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SUARIO\Documents\"/>
    </mc:Choice>
  </mc:AlternateContent>
  <xr:revisionPtr revIDLastSave="0" documentId="8_{93FDABEF-6BFD-4D73-A1FF-444090FBDC34}" xr6:coauthVersionLast="47" xr6:coauthVersionMax="47" xr10:uidLastSave="{00000000-0000-0000-0000-000000000000}"/>
  <bookViews>
    <workbookView xWindow="-108" yWindow="-108" windowWidth="23256" windowHeight="12456" xr2:uid="{00000000-000D-0000-FFFF-FFFF00000000}"/>
  </bookViews>
  <sheets>
    <sheet name="CONSOLIDADO_FINAL" sheetId="3" r:id="rId1"/>
    <sheet name="Datos4" sheetId="4" state="hidden" r:id="rId2"/>
    <sheet name="Hiperconv. TD Saldos OPS" sheetId="8" state="hidden" r:id="rId3"/>
  </sheets>
  <definedNames>
    <definedName name="CCP_1">#REF!</definedName>
    <definedName name="CCP_10">#REF!</definedName>
    <definedName name="CCP_11">#REF!</definedName>
    <definedName name="CCP_12">#REF!</definedName>
    <definedName name="CCP_13">#REF!</definedName>
    <definedName name="CCP_14">#REF!</definedName>
    <definedName name="CCP_15">#REF!</definedName>
    <definedName name="CCP_16">#REF!</definedName>
    <definedName name="CCP_17">#REF!</definedName>
    <definedName name="CCP_18">#REF!</definedName>
    <definedName name="CCP_19">#REF!</definedName>
    <definedName name="CCP_2">#REF!</definedName>
    <definedName name="CCP_20">#REF!</definedName>
    <definedName name="CCP_21">#REF!</definedName>
    <definedName name="CCP_22">#REF!</definedName>
    <definedName name="CCP_23">#REF!</definedName>
    <definedName name="CCP_24">#REF!</definedName>
    <definedName name="CCP_25">#REF!</definedName>
    <definedName name="CCP_26">#REF!</definedName>
    <definedName name="CCP_27">#REF!</definedName>
    <definedName name="CCP_28">#REF!</definedName>
    <definedName name="CCP_29">#REF!</definedName>
    <definedName name="CCP_3">#REF!</definedName>
    <definedName name="CCP_30">#REF!</definedName>
    <definedName name="CCP_4">#REF!</definedName>
    <definedName name="CCP_5">#REF!</definedName>
    <definedName name="CCP_6">#REF!</definedName>
    <definedName name="CCP_7">#REF!</definedName>
    <definedName name="CCP_8">#REF!</definedName>
    <definedName name="CCP_9">#REF!</definedName>
    <definedName name="CCPFUNCIONAMIENTO">#REF!</definedName>
    <definedName name="CCPINVERSIÓN">#REF!</definedName>
    <definedName name="EDO_VIG_FUT">#REF!</definedName>
    <definedName name="FUENTE">#REF!</definedName>
    <definedName name="Funcionamiento">#REF!</definedName>
    <definedName name="Inversión">#REF!</definedName>
    <definedName name="MESES">#REF!</definedName>
    <definedName name="MODALIDAD_CONTRATACIÓN">#REF!</definedName>
    <definedName name="N.A">#REF!</definedName>
    <definedName name="OBJ_1_1">#REF!</definedName>
    <definedName name="OBJ_1_2">#REF!</definedName>
    <definedName name="OBJ_1_3">#REF!</definedName>
    <definedName name="OBJ_10_1">#REF!</definedName>
    <definedName name="OBJ_10_2">#REF!</definedName>
    <definedName name="OBJ_10_3">#REF!</definedName>
    <definedName name="OBJ_2_1">#REF!</definedName>
    <definedName name="OBJ_2_2">#REF!</definedName>
    <definedName name="OBJ_3_1">#REF!</definedName>
    <definedName name="OBJ_3_2">#REF!</definedName>
    <definedName name="OBJ_4_1">#REF!</definedName>
    <definedName name="OBJ_4_2">#REF!</definedName>
    <definedName name="OBJ_5_1">#REF!</definedName>
    <definedName name="OBJ_5_2">#REF!</definedName>
    <definedName name="OBJ_5_3">#REF!</definedName>
    <definedName name="OBJ_6_1">#REF!</definedName>
    <definedName name="OBJ_6_2">#REF!</definedName>
    <definedName name="OBJ_6_3">#REF!</definedName>
    <definedName name="OBJ_7_1">#REF!</definedName>
    <definedName name="OBJ_7_2">#REF!</definedName>
    <definedName name="OBJ_7_3">#REF!</definedName>
    <definedName name="OBJ_8_1">#REF!</definedName>
    <definedName name="OBJ_8_2">#REF!</definedName>
    <definedName name="OBJ_9_1">#REF!</definedName>
    <definedName name="PRO_1_1_1">#REF!</definedName>
    <definedName name="PRO_1_1_2">#REF!</definedName>
    <definedName name="PRO_1_1_3">#REF!</definedName>
    <definedName name="PRO_10_1_1">#REF!</definedName>
    <definedName name="PRO_10_1_2">#REF!</definedName>
    <definedName name="PRO_10_2_1">#REF!</definedName>
    <definedName name="PRO_10_2_2">#REF!</definedName>
    <definedName name="PRO_10_3_1">#REF!</definedName>
    <definedName name="PRO_10_3_2">#REF!</definedName>
    <definedName name="PRO_2_1_1">#REF!</definedName>
    <definedName name="PRO_2_1_2">#REF!</definedName>
    <definedName name="PRO_3_1_1">#REF!</definedName>
    <definedName name="PRO_3_1_2">#REF!</definedName>
    <definedName name="PRO_3_2_1">#REF!</definedName>
    <definedName name="PRO_4_1_1">#REF!</definedName>
    <definedName name="PRO_4_2_1">#REF!</definedName>
    <definedName name="PRO_5_1_1">#REF!</definedName>
    <definedName name="PRO_5_2_1">#REF!</definedName>
    <definedName name="PRO_5_2_2">#REF!</definedName>
    <definedName name="PRO_5_3_1">#REF!</definedName>
    <definedName name="PRO_6_1_1">#REF!</definedName>
    <definedName name="PRO_6_2_1">#REF!</definedName>
    <definedName name="PRO_7_1_1">#REF!</definedName>
    <definedName name="PRO_7_2_1">#REF!</definedName>
    <definedName name="PRO_7_3_1">#REF!</definedName>
    <definedName name="PRO_8_1_1">#REF!</definedName>
    <definedName name="PRO_8_1_2">#REF!</definedName>
    <definedName name="PRO_8_2_1">#REF!</definedName>
    <definedName name="PRO_9_1_1">#REF!</definedName>
    <definedName name="PRO_9_1_2">#REF!</definedName>
    <definedName name="PRY_1">#REF!</definedName>
    <definedName name="PRY_10">#REF!</definedName>
    <definedName name="PRY_2">#REF!</definedName>
    <definedName name="PRY_3">#REF!</definedName>
    <definedName name="PRY_4">#REF!</definedName>
    <definedName name="PRY_5">#REF!</definedName>
    <definedName name="PRY_6">#REF!</definedName>
    <definedName name="PRY_7">#REF!</definedName>
    <definedName name="PRY_8">#REF!</definedName>
    <definedName name="PRY_9">#REF!</definedName>
    <definedName name="VIG_FUT">#REF!</definedName>
    <definedName name="Z_5C379220_B143_4FF9_8487_82ADA7CCED97_.wvu.FilterData" localSheetId="0" hidden="1">CONSOLIDADO_FINAL!$A$7:$CK$1108</definedName>
    <definedName name="Z_94DC759F_8A29_4EB7_AAFC_FC1F107D49E4_.wvu.FilterData" localSheetId="0" hidden="1">CONSOLIDADO_FINAL!$A$7:$CK$1108</definedName>
    <definedName name="Z_AF79DD8D_E7B6_48BD_AA5E_00C3DD69357B_.wvu.FilterData" localSheetId="0" hidden="1">CONSOLIDADO_FINAL!$A$7:$CK$1108</definedName>
    <definedName name="Z_D8FF9E55_3BCF_4069_A1A3_79B0C231303C_.wvu.FilterData" localSheetId="0" hidden="1">CONSOLIDADO_FINAL!$A$7:$CK$968</definedName>
    <definedName name="Z_F27BDD8C_7F03_495B_8D98_FCA0765E4AF6_.wvu.FilterData" localSheetId="0" hidden="1">CONSOLIDADO_FINAL!$A$7:$CK$920</definedName>
    <definedName name="Z_F42701DB_D541_4952_8D8D_FFEF9B4F5C42_.wvu.FilterData" localSheetId="0" hidden="1">CONSOLIDADO_FINAL!$A$7:$CK$968</definedName>
  </definedNames>
  <calcPr calcId="191029"/>
  <customWorkbookViews>
    <customWorkbookView name="Maria J" guid="{D8FF9E55-3BCF-4069-A1A3-79B0C231303C}" maximized="1" windowWidth="0" windowHeight="0" activeSheetId="0"/>
    <customWorkbookView name="Viviana Murcia" guid="{F27BDD8C-7F03-495B-8D98-FCA0765E4AF6}" maximized="1" windowWidth="0" windowHeight="0" activeSheetId="0"/>
    <customWorkbookView name="Sergio" guid="{F42701DB-D541-4952-8D8D-FFEF9B4F5C42}" maximized="1" windowWidth="0" windowHeight="0" activeSheetId="0"/>
    <customWorkbookView name="Jenn" guid="{94DC759F-8A29-4EB7-AAFC-FC1F107D49E4}" maximized="1" windowWidth="0" windowHeight="0" activeSheetId="0"/>
    <customWorkbookView name="Adri Munar" guid="{AF79DD8D-E7B6-48BD-AA5E-00C3DD69357B}" maximized="1" windowWidth="0" windowHeight="0" activeSheetId="0"/>
    <customWorkbookView name="LuzA" guid="{5C379220-B143-4FF9-8487-82ADA7CCED97}" maximized="1" windowWidth="0" windowHeight="0" activeSheetId="0"/>
  </customWorkbookViews>
  <pivotCaches>
    <pivotCache cacheId="16" r:id="rId4"/>
    <pivotCache cacheId="22" r:id="rId5"/>
  </pivotCaches>
  <fileRecoveryPr repairLoad="1"/>
</workbook>
</file>

<file path=xl/calcChain.xml><?xml version="1.0" encoding="utf-8"?>
<calcChain xmlns="http://schemas.openxmlformats.org/spreadsheetml/2006/main">
  <c r="CI924" i="3" l="1"/>
  <c r="CK924" i="3" s="1"/>
  <c r="CH924" i="3"/>
  <c r="CJ924" i="3" s="1"/>
  <c r="BG924" i="3"/>
  <c r="CI923" i="3"/>
  <c r="CK923" i="3" s="1"/>
  <c r="CH923" i="3"/>
  <c r="CJ923" i="3" s="1"/>
  <c r="BG923" i="3"/>
  <c r="CI922" i="3"/>
  <c r="CK922" i="3" s="1"/>
  <c r="CH922" i="3"/>
  <c r="CJ922" i="3" s="1"/>
  <c r="BG922" i="3"/>
  <c r="CI921" i="3"/>
  <c r="CK921" i="3" s="1"/>
  <c r="CH921" i="3"/>
  <c r="CJ921" i="3" s="1"/>
  <c r="BG921" i="3"/>
  <c r="CI920" i="3"/>
  <c r="CK920" i="3" s="1"/>
  <c r="CH920" i="3"/>
  <c r="CJ920" i="3" s="1"/>
  <c r="BG920" i="3"/>
  <c r="CI919" i="3"/>
  <c r="CK919" i="3" s="1"/>
  <c r="CH919" i="3"/>
  <c r="CJ919" i="3" s="1"/>
  <c r="BG919" i="3"/>
  <c r="CI918" i="3"/>
  <c r="CK918" i="3" s="1"/>
  <c r="CH918" i="3"/>
  <c r="CJ918" i="3" s="1"/>
  <c r="BG918" i="3"/>
  <c r="CI917" i="3"/>
  <c r="CK917" i="3" s="1"/>
  <c r="CH917" i="3"/>
  <c r="CJ917" i="3" s="1"/>
  <c r="BG917" i="3"/>
  <c r="CI916" i="3"/>
  <c r="CK916" i="3" s="1"/>
  <c r="CH916" i="3"/>
  <c r="CJ916" i="3" s="1"/>
  <c r="BG916" i="3"/>
  <c r="CI915" i="3"/>
  <c r="CK915" i="3" s="1"/>
  <c r="CH915" i="3"/>
  <c r="CJ915" i="3" s="1"/>
  <c r="BG915" i="3"/>
  <c r="CI914" i="3"/>
  <c r="CK914" i="3" s="1"/>
  <c r="CH914" i="3"/>
  <c r="CJ914" i="3" s="1"/>
  <c r="BG914" i="3"/>
  <c r="CI913" i="3"/>
  <c r="CK913" i="3" s="1"/>
  <c r="CH913" i="3"/>
  <c r="CJ913" i="3" s="1"/>
  <c r="BG913" i="3"/>
  <c r="CI912" i="3"/>
  <c r="CK912" i="3" s="1"/>
  <c r="CH912" i="3"/>
  <c r="CJ912" i="3" s="1"/>
  <c r="BG912" i="3"/>
  <c r="CI911" i="3"/>
  <c r="CK911" i="3" s="1"/>
  <c r="CH911" i="3"/>
  <c r="CJ911" i="3" s="1"/>
  <c r="BG911" i="3"/>
  <c r="CI910" i="3"/>
  <c r="CK910" i="3" s="1"/>
  <c r="CH910" i="3"/>
  <c r="CJ910" i="3" s="1"/>
  <c r="BG910" i="3"/>
  <c r="CI909" i="3"/>
  <c r="CK909" i="3" s="1"/>
  <c r="CH909" i="3"/>
  <c r="CJ909" i="3" s="1"/>
  <c r="BG909" i="3"/>
  <c r="CI908" i="3"/>
  <c r="CK908" i="3" s="1"/>
  <c r="CH908" i="3"/>
  <c r="CJ908" i="3" s="1"/>
  <c r="BG908" i="3"/>
  <c r="CI907" i="3"/>
  <c r="CK907" i="3" s="1"/>
  <c r="CH907" i="3"/>
  <c r="CJ907" i="3" s="1"/>
  <c r="BG907" i="3"/>
  <c r="CI906" i="3"/>
  <c r="CK906" i="3" s="1"/>
  <c r="CH906" i="3"/>
  <c r="CJ906" i="3" s="1"/>
  <c r="BG906" i="3"/>
  <c r="CI905" i="3"/>
  <c r="CK905" i="3" s="1"/>
  <c r="CH905" i="3"/>
  <c r="CJ905" i="3" s="1"/>
  <c r="BG905" i="3"/>
  <c r="CI904" i="3"/>
  <c r="CK904" i="3" s="1"/>
  <c r="CH904" i="3"/>
  <c r="CJ904" i="3" s="1"/>
  <c r="BG904" i="3"/>
  <c r="CI903" i="3"/>
  <c r="CK903" i="3" s="1"/>
  <c r="CH903" i="3"/>
  <c r="CJ903" i="3" s="1"/>
  <c r="BG903" i="3"/>
  <c r="CI902" i="3"/>
  <c r="CK902" i="3" s="1"/>
  <c r="CH902" i="3"/>
  <c r="CJ902" i="3" s="1"/>
  <c r="BG902" i="3"/>
  <c r="CI901" i="3"/>
  <c r="CK901" i="3" s="1"/>
  <c r="CH901" i="3"/>
  <c r="CJ901" i="3" s="1"/>
  <c r="BG901" i="3"/>
  <c r="CI900" i="3"/>
  <c r="CK900" i="3" s="1"/>
  <c r="CH900" i="3"/>
  <c r="CJ900" i="3" s="1"/>
  <c r="BG900" i="3"/>
  <c r="CI899" i="3"/>
  <c r="CK899" i="3" s="1"/>
  <c r="CH899" i="3"/>
  <c r="CJ899" i="3" s="1"/>
  <c r="BG899" i="3"/>
  <c r="CI898" i="3"/>
  <c r="CK898" i="3" s="1"/>
  <c r="CH898" i="3"/>
  <c r="CJ898" i="3" s="1"/>
  <c r="BG898" i="3"/>
  <c r="CI897" i="3"/>
  <c r="CK897" i="3" s="1"/>
  <c r="CH897" i="3"/>
  <c r="CJ897" i="3" s="1"/>
  <c r="BG897" i="3"/>
  <c r="CI896" i="3"/>
  <c r="CK896" i="3" s="1"/>
  <c r="CH896" i="3"/>
  <c r="CJ896" i="3" s="1"/>
  <c r="BG896" i="3"/>
  <c r="CI895" i="3"/>
  <c r="CK895" i="3" s="1"/>
  <c r="CH895" i="3"/>
  <c r="CJ895" i="3" s="1"/>
  <c r="BG895" i="3"/>
  <c r="CI894" i="3"/>
  <c r="CK894" i="3" s="1"/>
  <c r="CH894" i="3"/>
  <c r="CJ894" i="3" s="1"/>
  <c r="BG894" i="3"/>
  <c r="CI893" i="3"/>
  <c r="CK893" i="3" s="1"/>
  <c r="CH893" i="3"/>
  <c r="CJ893" i="3" s="1"/>
  <c r="BG893" i="3"/>
  <c r="CI892" i="3"/>
  <c r="CK892" i="3" s="1"/>
  <c r="CH892" i="3"/>
  <c r="CJ892" i="3" s="1"/>
  <c r="BG892" i="3"/>
  <c r="CI891" i="3"/>
  <c r="CK891" i="3" s="1"/>
  <c r="CH891" i="3"/>
  <c r="CJ891" i="3" s="1"/>
  <c r="BG891" i="3"/>
  <c r="CI890" i="3"/>
  <c r="CK890" i="3" s="1"/>
  <c r="CH890" i="3"/>
  <c r="CJ890" i="3" s="1"/>
  <c r="BG890" i="3"/>
  <c r="CI889" i="3"/>
  <c r="CK889" i="3" s="1"/>
  <c r="CH889" i="3"/>
  <c r="CJ889" i="3" s="1"/>
  <c r="BG889" i="3"/>
  <c r="CI888" i="3"/>
  <c r="CK888" i="3" s="1"/>
  <c r="CH888" i="3"/>
  <c r="CJ888" i="3" s="1"/>
  <c r="BG888" i="3"/>
  <c r="CI887" i="3"/>
  <c r="CK887" i="3" s="1"/>
  <c r="CH887" i="3"/>
  <c r="CJ887" i="3" s="1"/>
  <c r="BG887" i="3"/>
  <c r="CI886" i="3"/>
  <c r="CK886" i="3" s="1"/>
  <c r="CH886" i="3"/>
  <c r="CJ886" i="3" s="1"/>
  <c r="BG886" i="3"/>
  <c r="CI885" i="3"/>
  <c r="CK885" i="3" s="1"/>
  <c r="CH885" i="3"/>
  <c r="CJ885" i="3" s="1"/>
  <c r="BG885" i="3"/>
  <c r="CI884" i="3"/>
  <c r="CK884" i="3" s="1"/>
  <c r="CH884" i="3"/>
  <c r="CJ884" i="3" s="1"/>
  <c r="BG884" i="3"/>
  <c r="CI883" i="3"/>
  <c r="CK883" i="3" s="1"/>
  <c r="CH883" i="3"/>
  <c r="CJ883" i="3" s="1"/>
  <c r="BG883" i="3"/>
  <c r="CI882" i="3"/>
  <c r="CK882" i="3" s="1"/>
  <c r="CH882" i="3"/>
  <c r="CJ882" i="3" s="1"/>
  <c r="BG882" i="3"/>
  <c r="CI881" i="3"/>
  <c r="CK881" i="3" s="1"/>
  <c r="CH881" i="3"/>
  <c r="CJ881" i="3" s="1"/>
  <c r="BG881" i="3"/>
  <c r="CI880" i="3"/>
  <c r="CK880" i="3" s="1"/>
  <c r="CH880" i="3"/>
  <c r="CJ880" i="3" s="1"/>
  <c r="BG880" i="3"/>
  <c r="CI879" i="3"/>
  <c r="CK879" i="3" s="1"/>
  <c r="CH879" i="3"/>
  <c r="CJ879" i="3" s="1"/>
  <c r="BG879" i="3"/>
  <c r="CI878" i="3"/>
  <c r="CK878" i="3" s="1"/>
  <c r="CH878" i="3"/>
  <c r="CJ878" i="3" s="1"/>
  <c r="BG878" i="3"/>
  <c r="CI877" i="3"/>
  <c r="CK877" i="3" s="1"/>
  <c r="CH877" i="3"/>
  <c r="CJ877" i="3" s="1"/>
  <c r="BG877" i="3"/>
  <c r="CI876" i="3"/>
  <c r="CK876" i="3" s="1"/>
  <c r="CH876" i="3"/>
  <c r="CJ876" i="3" s="1"/>
  <c r="BG876" i="3"/>
  <c r="CI875" i="3"/>
  <c r="CK875" i="3" s="1"/>
  <c r="CH875" i="3"/>
  <c r="CJ875" i="3" s="1"/>
  <c r="BG875" i="3"/>
  <c r="CI874" i="3"/>
  <c r="CK874" i="3" s="1"/>
  <c r="CH874" i="3"/>
  <c r="CJ874" i="3" s="1"/>
  <c r="BG874" i="3"/>
  <c r="CI873" i="3"/>
  <c r="CK873" i="3" s="1"/>
  <c r="CH873" i="3"/>
  <c r="CJ873" i="3" s="1"/>
  <c r="BG873" i="3"/>
  <c r="CI872" i="3"/>
  <c r="CK872" i="3" s="1"/>
  <c r="CH872" i="3"/>
  <c r="CJ872" i="3" s="1"/>
  <c r="BG872" i="3"/>
  <c r="CI871" i="3"/>
  <c r="CK871" i="3" s="1"/>
  <c r="CH871" i="3"/>
  <c r="CJ871" i="3" s="1"/>
  <c r="BG871" i="3"/>
  <c r="CI870" i="3"/>
  <c r="CK870" i="3" s="1"/>
  <c r="CH870" i="3"/>
  <c r="CJ870" i="3" s="1"/>
  <c r="BG870" i="3"/>
  <c r="CI869" i="3"/>
  <c r="CK869" i="3" s="1"/>
  <c r="CH869" i="3"/>
  <c r="CJ869" i="3" s="1"/>
  <c r="BG869" i="3"/>
  <c r="CI868" i="3"/>
  <c r="CK868" i="3" s="1"/>
  <c r="CH868" i="3"/>
  <c r="CJ868" i="3" s="1"/>
  <c r="BG868" i="3"/>
  <c r="CI867" i="3"/>
  <c r="CK867" i="3" s="1"/>
  <c r="CH867" i="3"/>
  <c r="CJ867" i="3" s="1"/>
  <c r="BG867" i="3"/>
  <c r="CI866" i="3"/>
  <c r="CK866" i="3" s="1"/>
  <c r="CH866" i="3"/>
  <c r="CJ866" i="3" s="1"/>
  <c r="BG866" i="3"/>
  <c r="CI865" i="3"/>
  <c r="CK865" i="3" s="1"/>
  <c r="CH865" i="3"/>
  <c r="CJ865" i="3" s="1"/>
  <c r="BG865" i="3"/>
  <c r="CI864" i="3"/>
  <c r="CK864" i="3" s="1"/>
  <c r="CH864" i="3"/>
  <c r="CJ864" i="3" s="1"/>
  <c r="BG864" i="3"/>
  <c r="CI863" i="3"/>
  <c r="CK863" i="3" s="1"/>
  <c r="CH863" i="3"/>
  <c r="CJ863" i="3" s="1"/>
  <c r="BG863" i="3"/>
  <c r="CI862" i="3"/>
  <c r="CK862" i="3" s="1"/>
  <c r="CH862" i="3"/>
  <c r="CJ862" i="3" s="1"/>
  <c r="BG862" i="3"/>
  <c r="CI861" i="3"/>
  <c r="CK861" i="3" s="1"/>
  <c r="CH861" i="3"/>
  <c r="CJ861" i="3" s="1"/>
  <c r="BG861" i="3"/>
  <c r="CI860" i="3"/>
  <c r="CK860" i="3" s="1"/>
  <c r="CH860" i="3"/>
  <c r="CJ860" i="3" s="1"/>
  <c r="BG860" i="3"/>
  <c r="CI859" i="3"/>
  <c r="CK859" i="3" s="1"/>
  <c r="CH859" i="3"/>
  <c r="CJ859" i="3" s="1"/>
  <c r="BG859" i="3"/>
  <c r="CI858" i="3"/>
  <c r="CK858" i="3" s="1"/>
  <c r="CH858" i="3"/>
  <c r="CJ858" i="3" s="1"/>
  <c r="BG858" i="3"/>
  <c r="CI857" i="3"/>
  <c r="CK857" i="3" s="1"/>
  <c r="CH857" i="3"/>
  <c r="CJ857" i="3" s="1"/>
  <c r="BG857" i="3"/>
  <c r="CI856" i="3"/>
  <c r="CK856" i="3" s="1"/>
  <c r="CH856" i="3"/>
  <c r="CJ856" i="3" s="1"/>
  <c r="BG856" i="3"/>
  <c r="CI855" i="3"/>
  <c r="CK855" i="3" s="1"/>
  <c r="CH855" i="3"/>
  <c r="CJ855" i="3" s="1"/>
  <c r="BG855" i="3"/>
  <c r="CI854" i="3"/>
  <c r="CK854" i="3" s="1"/>
  <c r="CH854" i="3"/>
  <c r="CJ854" i="3" s="1"/>
  <c r="BG854" i="3"/>
  <c r="CI853" i="3"/>
  <c r="CK853" i="3" s="1"/>
  <c r="CH853" i="3"/>
  <c r="CJ853" i="3" s="1"/>
  <c r="BG853" i="3"/>
  <c r="CI852" i="3"/>
  <c r="CK852" i="3" s="1"/>
  <c r="CH852" i="3"/>
  <c r="CJ852" i="3" s="1"/>
  <c r="BG852" i="3"/>
  <c r="CI851" i="3"/>
  <c r="CK851" i="3" s="1"/>
  <c r="CH851" i="3"/>
  <c r="CJ851" i="3" s="1"/>
  <c r="BG851" i="3"/>
  <c r="CI850" i="3"/>
  <c r="CK850" i="3" s="1"/>
  <c r="CH850" i="3"/>
  <c r="CJ850" i="3" s="1"/>
  <c r="BG850" i="3"/>
  <c r="CI849" i="3"/>
  <c r="CK849" i="3" s="1"/>
  <c r="CH849" i="3"/>
  <c r="CJ849" i="3" s="1"/>
  <c r="BG849" i="3"/>
  <c r="CI848" i="3"/>
  <c r="CK848" i="3" s="1"/>
  <c r="CH848" i="3"/>
  <c r="CJ848" i="3" s="1"/>
  <c r="BG848" i="3"/>
  <c r="CI847" i="3"/>
  <c r="CK847" i="3" s="1"/>
  <c r="CH847" i="3"/>
  <c r="CJ847" i="3" s="1"/>
  <c r="BG847" i="3"/>
  <c r="CI846" i="3"/>
  <c r="CK846" i="3" s="1"/>
  <c r="CH846" i="3"/>
  <c r="CJ846" i="3" s="1"/>
  <c r="BG846" i="3"/>
  <c r="CI845" i="3"/>
  <c r="CK845" i="3" s="1"/>
  <c r="CH845" i="3"/>
  <c r="CJ845" i="3" s="1"/>
  <c r="BG845" i="3"/>
  <c r="CI844" i="3"/>
  <c r="CK844" i="3" s="1"/>
  <c r="CH844" i="3"/>
  <c r="CJ844" i="3" s="1"/>
  <c r="BG844" i="3"/>
  <c r="CI843" i="3"/>
  <c r="CK843" i="3" s="1"/>
  <c r="CH843" i="3"/>
  <c r="CJ843" i="3" s="1"/>
  <c r="BG843" i="3"/>
  <c r="CI842" i="3"/>
  <c r="CK842" i="3" s="1"/>
  <c r="CH842" i="3"/>
  <c r="CJ842" i="3" s="1"/>
  <c r="BG842" i="3"/>
  <c r="CI841" i="3"/>
  <c r="CK841" i="3" s="1"/>
  <c r="CH841" i="3"/>
  <c r="CJ841" i="3" s="1"/>
  <c r="BG841" i="3"/>
  <c r="CI840" i="3"/>
  <c r="CK840" i="3" s="1"/>
  <c r="CH840" i="3"/>
  <c r="CJ840" i="3" s="1"/>
  <c r="BG840" i="3"/>
  <c r="CI839" i="3"/>
  <c r="CK839" i="3" s="1"/>
  <c r="CH839" i="3"/>
  <c r="CJ839" i="3" s="1"/>
  <c r="BG839" i="3"/>
  <c r="CI838" i="3"/>
  <c r="CK838" i="3" s="1"/>
  <c r="CH838" i="3"/>
  <c r="CJ838" i="3" s="1"/>
  <c r="BG838" i="3"/>
  <c r="CI837" i="3"/>
  <c r="CK837" i="3" s="1"/>
  <c r="CH837" i="3"/>
  <c r="CJ837" i="3" s="1"/>
  <c r="BG837" i="3"/>
  <c r="CI836" i="3"/>
  <c r="CK836" i="3" s="1"/>
  <c r="CH836" i="3"/>
  <c r="CJ836" i="3" s="1"/>
  <c r="BG836" i="3"/>
  <c r="CI835" i="3"/>
  <c r="CK835" i="3" s="1"/>
  <c r="CH835" i="3"/>
  <c r="CJ835" i="3" s="1"/>
  <c r="BG835" i="3"/>
  <c r="CI834" i="3"/>
  <c r="CK834" i="3" s="1"/>
  <c r="CH834" i="3"/>
  <c r="CJ834" i="3" s="1"/>
  <c r="BG834" i="3"/>
  <c r="CI833" i="3"/>
  <c r="CK833" i="3" s="1"/>
  <c r="CH833" i="3"/>
  <c r="CJ833" i="3" s="1"/>
  <c r="BG833" i="3"/>
  <c r="CI832" i="3"/>
  <c r="CK832" i="3" s="1"/>
  <c r="CH832" i="3"/>
  <c r="CJ832" i="3" s="1"/>
  <c r="BG832" i="3"/>
  <c r="CI831" i="3"/>
  <c r="CK831" i="3" s="1"/>
  <c r="CH831" i="3"/>
  <c r="CJ831" i="3" s="1"/>
  <c r="BG831" i="3"/>
  <c r="CI830" i="3"/>
  <c r="CK830" i="3" s="1"/>
  <c r="CH830" i="3"/>
  <c r="CJ830" i="3" s="1"/>
  <c r="BG830" i="3"/>
  <c r="CI829" i="3"/>
  <c r="CK829" i="3" s="1"/>
  <c r="CH829" i="3"/>
  <c r="CJ829" i="3" s="1"/>
  <c r="BG829" i="3"/>
  <c r="CI828" i="3"/>
  <c r="CK828" i="3" s="1"/>
  <c r="CH828" i="3"/>
  <c r="CJ828" i="3" s="1"/>
  <c r="BG828" i="3"/>
  <c r="CI827" i="3"/>
  <c r="CK827" i="3" s="1"/>
  <c r="CH827" i="3"/>
  <c r="CJ827" i="3" s="1"/>
  <c r="BG827" i="3"/>
  <c r="CI826" i="3"/>
  <c r="CK826" i="3" s="1"/>
  <c r="CH826" i="3"/>
  <c r="CJ826" i="3" s="1"/>
  <c r="BG826" i="3"/>
  <c r="CI825" i="3"/>
  <c r="CK825" i="3" s="1"/>
  <c r="CH825" i="3"/>
  <c r="CJ825" i="3" s="1"/>
  <c r="BG825" i="3"/>
  <c r="CI824" i="3"/>
  <c r="CK824" i="3" s="1"/>
  <c r="CH824" i="3"/>
  <c r="CJ824" i="3" s="1"/>
  <c r="BG824" i="3"/>
  <c r="CI823" i="3"/>
  <c r="CK823" i="3" s="1"/>
  <c r="CH823" i="3"/>
  <c r="CJ823" i="3" s="1"/>
  <c r="BG823" i="3"/>
  <c r="CI822" i="3"/>
  <c r="CK822" i="3" s="1"/>
  <c r="CH822" i="3"/>
  <c r="CJ822" i="3" s="1"/>
  <c r="BG822" i="3"/>
  <c r="CI821" i="3"/>
  <c r="CK821" i="3" s="1"/>
  <c r="CH821" i="3"/>
  <c r="CJ821" i="3" s="1"/>
  <c r="BG821" i="3"/>
  <c r="CI820" i="3"/>
  <c r="CK820" i="3" s="1"/>
  <c r="CH820" i="3"/>
  <c r="CJ820" i="3" s="1"/>
  <c r="BG820" i="3"/>
  <c r="CI819" i="3"/>
  <c r="CK819" i="3" s="1"/>
  <c r="CH819" i="3"/>
  <c r="CJ819" i="3" s="1"/>
  <c r="BG819" i="3"/>
  <c r="CI818" i="3"/>
  <c r="CK818" i="3" s="1"/>
  <c r="CH818" i="3"/>
  <c r="CJ818" i="3" s="1"/>
  <c r="BG818" i="3"/>
  <c r="CI817" i="3"/>
  <c r="CK817" i="3" s="1"/>
  <c r="CH817" i="3"/>
  <c r="CJ817" i="3" s="1"/>
  <c r="BG817" i="3"/>
  <c r="CI816" i="3"/>
  <c r="CK816" i="3" s="1"/>
  <c r="CH816" i="3"/>
  <c r="CJ816" i="3" s="1"/>
  <c r="BG816" i="3"/>
  <c r="CI815" i="3"/>
  <c r="CK815" i="3" s="1"/>
  <c r="CH815" i="3"/>
  <c r="CJ815" i="3" s="1"/>
  <c r="BG815" i="3"/>
  <c r="CI814" i="3"/>
  <c r="CK814" i="3" s="1"/>
  <c r="CH814" i="3"/>
  <c r="CJ814" i="3" s="1"/>
  <c r="BG814" i="3"/>
  <c r="CI813" i="3"/>
  <c r="CK813" i="3" s="1"/>
  <c r="CH813" i="3"/>
  <c r="CJ813" i="3" s="1"/>
  <c r="BG813" i="3"/>
  <c r="CI812" i="3"/>
  <c r="CK812" i="3" s="1"/>
  <c r="CH812" i="3"/>
  <c r="CJ812" i="3" s="1"/>
  <c r="BG812" i="3"/>
  <c r="CI811" i="3"/>
  <c r="CK811" i="3" s="1"/>
  <c r="CH811" i="3"/>
  <c r="CJ811" i="3" s="1"/>
  <c r="BG811" i="3"/>
  <c r="CI810" i="3"/>
  <c r="CK810" i="3" s="1"/>
  <c r="CH810" i="3"/>
  <c r="CJ810" i="3" s="1"/>
  <c r="BG810" i="3"/>
  <c r="CI809" i="3"/>
  <c r="CK809" i="3" s="1"/>
  <c r="CH809" i="3"/>
  <c r="CJ809" i="3" s="1"/>
  <c r="BG809" i="3"/>
  <c r="CI808" i="3"/>
  <c r="CK808" i="3" s="1"/>
  <c r="CH808" i="3"/>
  <c r="CJ808" i="3" s="1"/>
  <c r="BG808" i="3"/>
  <c r="CI807" i="3"/>
  <c r="CK807" i="3" s="1"/>
  <c r="CH807" i="3"/>
  <c r="CJ807" i="3" s="1"/>
  <c r="BG807" i="3"/>
  <c r="CI806" i="3"/>
  <c r="CK806" i="3" s="1"/>
  <c r="CH806" i="3"/>
  <c r="CJ806" i="3" s="1"/>
  <c r="BG806" i="3"/>
  <c r="CI805" i="3"/>
  <c r="CK805" i="3" s="1"/>
  <c r="CH805" i="3"/>
  <c r="CJ805" i="3" s="1"/>
  <c r="BG805" i="3"/>
  <c r="CI804" i="3"/>
  <c r="CK804" i="3" s="1"/>
  <c r="CH804" i="3"/>
  <c r="CJ804" i="3" s="1"/>
  <c r="BG804" i="3"/>
  <c r="CI803" i="3"/>
  <c r="CK803" i="3" s="1"/>
  <c r="CH803" i="3"/>
  <c r="CJ803" i="3" s="1"/>
  <c r="BG803" i="3"/>
  <c r="CI802" i="3"/>
  <c r="CK802" i="3" s="1"/>
  <c r="CH802" i="3"/>
  <c r="CJ802" i="3" s="1"/>
  <c r="BG802" i="3"/>
  <c r="CI801" i="3"/>
  <c r="CK801" i="3" s="1"/>
  <c r="CH801" i="3"/>
  <c r="CJ801" i="3" s="1"/>
  <c r="BG801" i="3"/>
  <c r="CI800" i="3"/>
  <c r="CK800" i="3" s="1"/>
  <c r="CH800" i="3"/>
  <c r="CJ800" i="3" s="1"/>
  <c r="BG800" i="3"/>
  <c r="CI799" i="3"/>
  <c r="CK799" i="3" s="1"/>
  <c r="CH799" i="3"/>
  <c r="CJ799" i="3" s="1"/>
  <c r="BG799" i="3"/>
  <c r="CI798" i="3"/>
  <c r="CK798" i="3" s="1"/>
  <c r="CH798" i="3"/>
  <c r="CJ798" i="3" s="1"/>
  <c r="BG798" i="3"/>
  <c r="CI797" i="3"/>
  <c r="CK797" i="3" s="1"/>
  <c r="CH797" i="3"/>
  <c r="CJ797" i="3" s="1"/>
  <c r="BG797" i="3"/>
  <c r="CI796" i="3"/>
  <c r="CK796" i="3" s="1"/>
  <c r="CH796" i="3"/>
  <c r="CJ796" i="3" s="1"/>
  <c r="BG796" i="3"/>
  <c r="CI795" i="3"/>
  <c r="CK795" i="3" s="1"/>
  <c r="CH795" i="3"/>
  <c r="CJ795" i="3" s="1"/>
  <c r="BG795" i="3"/>
  <c r="CI794" i="3"/>
  <c r="CK794" i="3" s="1"/>
  <c r="CH794" i="3"/>
  <c r="CJ794" i="3" s="1"/>
  <c r="BG794" i="3"/>
  <c r="CI793" i="3"/>
  <c r="CK793" i="3" s="1"/>
  <c r="CH793" i="3"/>
  <c r="CJ793" i="3" s="1"/>
  <c r="BG793" i="3"/>
  <c r="CI792" i="3"/>
  <c r="CK792" i="3" s="1"/>
  <c r="CH792" i="3"/>
  <c r="CJ792" i="3" s="1"/>
  <c r="BG792" i="3"/>
  <c r="CI791" i="3"/>
  <c r="CK791" i="3" s="1"/>
  <c r="CH791" i="3"/>
  <c r="CJ791" i="3" s="1"/>
  <c r="BG791" i="3"/>
  <c r="CI790" i="3"/>
  <c r="CK790" i="3" s="1"/>
  <c r="CH790" i="3"/>
  <c r="CJ790" i="3" s="1"/>
  <c r="BG790" i="3"/>
  <c r="CI789" i="3"/>
  <c r="CK789" i="3" s="1"/>
  <c r="CH789" i="3"/>
  <c r="CJ789" i="3" s="1"/>
  <c r="BG789" i="3"/>
  <c r="CI788" i="3"/>
  <c r="CK788" i="3" s="1"/>
  <c r="CH788" i="3"/>
  <c r="CJ788" i="3" s="1"/>
  <c r="BG788" i="3"/>
  <c r="CI787" i="3"/>
  <c r="CK787" i="3" s="1"/>
  <c r="CH787" i="3"/>
  <c r="CJ787" i="3" s="1"/>
  <c r="BG787" i="3"/>
  <c r="CI786" i="3"/>
  <c r="CK786" i="3" s="1"/>
  <c r="CH786" i="3"/>
  <c r="CJ786" i="3" s="1"/>
  <c r="BG786" i="3"/>
  <c r="CI783" i="3"/>
  <c r="CK783" i="3" s="1"/>
  <c r="CH783" i="3"/>
  <c r="CJ783" i="3" s="1"/>
  <c r="BG783" i="3"/>
  <c r="CI782" i="3"/>
  <c r="CK782" i="3" s="1"/>
  <c r="CH782" i="3"/>
  <c r="CJ782" i="3" s="1"/>
  <c r="BG782" i="3"/>
  <c r="CI781" i="3"/>
  <c r="CK781" i="3" s="1"/>
  <c r="CH781" i="3"/>
  <c r="CJ781" i="3" s="1"/>
  <c r="BG781" i="3"/>
  <c r="CI780" i="3"/>
  <c r="CK780" i="3" s="1"/>
  <c r="CH780" i="3"/>
  <c r="CJ780" i="3" s="1"/>
  <c r="BG780" i="3"/>
  <c r="CI779" i="3"/>
  <c r="CK779" i="3" s="1"/>
  <c r="CH779" i="3"/>
  <c r="CJ779" i="3" s="1"/>
  <c r="BG779" i="3"/>
  <c r="CI778" i="3"/>
  <c r="CK778" i="3" s="1"/>
  <c r="CH778" i="3"/>
  <c r="CJ778" i="3" s="1"/>
  <c r="BG778" i="3"/>
  <c r="CI777" i="3"/>
  <c r="CK777" i="3" s="1"/>
  <c r="CH777" i="3"/>
  <c r="CJ777" i="3" s="1"/>
  <c r="BG777" i="3"/>
  <c r="CI776" i="3"/>
  <c r="CK776" i="3" s="1"/>
  <c r="CH776" i="3"/>
  <c r="CJ776" i="3" s="1"/>
  <c r="BG776" i="3"/>
  <c r="CI775" i="3"/>
  <c r="CK775" i="3" s="1"/>
  <c r="CH775" i="3"/>
  <c r="CJ775" i="3" s="1"/>
  <c r="BG775" i="3"/>
  <c r="CI774" i="3"/>
  <c r="CK774" i="3" s="1"/>
  <c r="CH774" i="3"/>
  <c r="CJ774" i="3" s="1"/>
  <c r="BG774" i="3"/>
  <c r="CI773" i="3"/>
  <c r="CK773" i="3" s="1"/>
  <c r="CH773" i="3"/>
  <c r="CJ773" i="3" s="1"/>
  <c r="BG773" i="3"/>
  <c r="CI772" i="3"/>
  <c r="CK772" i="3" s="1"/>
  <c r="CH772" i="3"/>
  <c r="CJ772" i="3" s="1"/>
  <c r="BG772" i="3"/>
  <c r="CI771" i="3"/>
  <c r="CK771" i="3" s="1"/>
  <c r="CH771" i="3"/>
  <c r="CJ771" i="3" s="1"/>
  <c r="BG771" i="3"/>
  <c r="CI770" i="3"/>
  <c r="CK770" i="3" s="1"/>
  <c r="CH770" i="3"/>
  <c r="CJ770" i="3" s="1"/>
  <c r="BG770" i="3"/>
  <c r="CI769" i="3"/>
  <c r="CK769" i="3" s="1"/>
  <c r="CH769" i="3"/>
  <c r="CJ769" i="3" s="1"/>
  <c r="BG769" i="3"/>
  <c r="CI768" i="3"/>
  <c r="CK768" i="3" s="1"/>
  <c r="CH768" i="3"/>
  <c r="CJ768" i="3" s="1"/>
  <c r="BG768" i="3"/>
  <c r="CI767" i="3"/>
  <c r="CK767" i="3" s="1"/>
  <c r="CH767" i="3"/>
  <c r="CJ767" i="3" s="1"/>
  <c r="BG767" i="3"/>
  <c r="CI766" i="3"/>
  <c r="CK766" i="3" s="1"/>
  <c r="CH766" i="3"/>
  <c r="CJ766" i="3" s="1"/>
  <c r="BG766" i="3"/>
  <c r="CI765" i="3"/>
  <c r="CK765" i="3" s="1"/>
  <c r="CH765" i="3"/>
  <c r="CJ765" i="3" s="1"/>
  <c r="BG765" i="3"/>
  <c r="CI764" i="3"/>
  <c r="CK764" i="3" s="1"/>
  <c r="CH764" i="3"/>
  <c r="CJ764" i="3" s="1"/>
  <c r="BG764" i="3"/>
  <c r="CI763" i="3"/>
  <c r="CK763" i="3" s="1"/>
  <c r="CH763" i="3"/>
  <c r="CJ763" i="3" s="1"/>
  <c r="BG763" i="3"/>
  <c r="CI762" i="3"/>
  <c r="CK762" i="3" s="1"/>
  <c r="CH762" i="3"/>
  <c r="CJ762" i="3" s="1"/>
  <c r="BG762" i="3"/>
  <c r="CI761" i="3"/>
  <c r="CK761" i="3" s="1"/>
  <c r="CH761" i="3"/>
  <c r="CJ761" i="3" s="1"/>
  <c r="BG761" i="3"/>
  <c r="CI760" i="3"/>
  <c r="CK760" i="3" s="1"/>
  <c r="CH760" i="3"/>
  <c r="CJ760" i="3" s="1"/>
  <c r="BG760" i="3"/>
  <c r="CI759" i="3"/>
  <c r="CK759" i="3" s="1"/>
  <c r="CH759" i="3"/>
  <c r="CJ759" i="3" s="1"/>
  <c r="BG759" i="3"/>
  <c r="CI758" i="3"/>
  <c r="CK758" i="3" s="1"/>
  <c r="CH758" i="3"/>
  <c r="CJ758" i="3" s="1"/>
  <c r="BG758" i="3"/>
  <c r="CI757" i="3"/>
  <c r="CK757" i="3" s="1"/>
  <c r="CH757" i="3"/>
  <c r="CJ757" i="3" s="1"/>
  <c r="BG757" i="3"/>
  <c r="CI756" i="3"/>
  <c r="CK756" i="3" s="1"/>
  <c r="CH756" i="3"/>
  <c r="CJ756" i="3" s="1"/>
  <c r="BG756" i="3"/>
  <c r="CI755" i="3"/>
  <c r="CK755" i="3" s="1"/>
  <c r="CH755" i="3"/>
  <c r="CJ755" i="3" s="1"/>
  <c r="BG755" i="3"/>
  <c r="CI754" i="3"/>
  <c r="CK754" i="3" s="1"/>
  <c r="CH754" i="3"/>
  <c r="CJ754" i="3" s="1"/>
  <c r="BG754" i="3"/>
  <c r="CI753" i="3"/>
  <c r="CK753" i="3" s="1"/>
  <c r="CH753" i="3"/>
  <c r="CJ753" i="3" s="1"/>
  <c r="BG753" i="3"/>
  <c r="CI752" i="3"/>
  <c r="CK752" i="3" s="1"/>
  <c r="CH752" i="3"/>
  <c r="CJ752" i="3" s="1"/>
  <c r="BG752" i="3"/>
  <c r="CI751" i="3"/>
  <c r="CK751" i="3" s="1"/>
  <c r="CH751" i="3"/>
  <c r="CJ751" i="3" s="1"/>
  <c r="BG751" i="3"/>
  <c r="CI750" i="3"/>
  <c r="CK750" i="3" s="1"/>
  <c r="CH750" i="3"/>
  <c r="CJ750" i="3" s="1"/>
  <c r="BG750" i="3"/>
  <c r="CI749" i="3"/>
  <c r="CK749" i="3" s="1"/>
  <c r="CH749" i="3"/>
  <c r="CJ749" i="3" s="1"/>
  <c r="BG749" i="3"/>
  <c r="CI748" i="3"/>
  <c r="CK748" i="3" s="1"/>
  <c r="CH748" i="3"/>
  <c r="CJ748" i="3" s="1"/>
  <c r="BG748" i="3"/>
  <c r="CI747" i="3"/>
  <c r="CK747" i="3" s="1"/>
  <c r="CH747" i="3"/>
  <c r="CJ747" i="3" s="1"/>
  <c r="BG747" i="3"/>
  <c r="CI746" i="3"/>
  <c r="CK746" i="3" s="1"/>
  <c r="CH746" i="3"/>
  <c r="CJ746" i="3" s="1"/>
  <c r="BG746" i="3"/>
  <c r="CI745" i="3"/>
  <c r="CK745" i="3" s="1"/>
  <c r="CH745" i="3"/>
  <c r="CJ745" i="3" s="1"/>
  <c r="BD745" i="3"/>
  <c r="BF745" i="3" s="1"/>
  <c r="BC745" i="3"/>
  <c r="BE745" i="3" s="1"/>
  <c r="CI744" i="3"/>
  <c r="CK744" i="3" s="1"/>
  <c r="CH744" i="3"/>
  <c r="CJ744" i="3" s="1"/>
  <c r="BD744" i="3"/>
  <c r="BF744" i="3" s="1"/>
  <c r="BC744" i="3"/>
  <c r="BE744" i="3" s="1"/>
  <c r="CI743" i="3"/>
  <c r="CK743" i="3" s="1"/>
  <c r="CH743" i="3"/>
  <c r="CJ743" i="3" s="1"/>
  <c r="BD743" i="3"/>
  <c r="BF743" i="3" s="1"/>
  <c r="BC743" i="3"/>
  <c r="BE743" i="3" s="1"/>
  <c r="CI742" i="3"/>
  <c r="CK742" i="3" s="1"/>
  <c r="CH742" i="3"/>
  <c r="CJ742" i="3" s="1"/>
  <c r="BD742" i="3"/>
  <c r="BF742" i="3" s="1"/>
  <c r="BC742" i="3"/>
  <c r="BE742" i="3" s="1"/>
  <c r="CI741" i="3"/>
  <c r="CK741" i="3" s="1"/>
  <c r="CH741" i="3"/>
  <c r="CJ741" i="3" s="1"/>
  <c r="BD741" i="3"/>
  <c r="BF741" i="3" s="1"/>
  <c r="BC741" i="3"/>
  <c r="BE741" i="3" s="1"/>
  <c r="CI740" i="3"/>
  <c r="CK740" i="3" s="1"/>
  <c r="CH740" i="3"/>
  <c r="CJ740" i="3" s="1"/>
  <c r="BD740" i="3"/>
  <c r="BF740" i="3" s="1"/>
  <c r="BC740" i="3"/>
  <c r="BE740" i="3" s="1"/>
  <c r="CI739" i="3"/>
  <c r="CK739" i="3" s="1"/>
  <c r="CH739" i="3"/>
  <c r="CJ739" i="3" s="1"/>
  <c r="BG739" i="3"/>
  <c r="BD739" i="3"/>
  <c r="BF739" i="3" s="1"/>
  <c r="BC739" i="3"/>
  <c r="BE739" i="3" s="1"/>
  <c r="CI738" i="3"/>
  <c r="CK738" i="3" s="1"/>
  <c r="CH738" i="3"/>
  <c r="CJ738" i="3" s="1"/>
  <c r="BG738" i="3"/>
  <c r="BD738" i="3"/>
  <c r="BF738" i="3" s="1"/>
  <c r="BC738" i="3"/>
  <c r="BE738" i="3" s="1"/>
  <c r="CI737" i="3"/>
  <c r="CK737" i="3" s="1"/>
  <c r="CH737" i="3"/>
  <c r="CJ737" i="3" s="1"/>
  <c r="BG737" i="3"/>
  <c r="BD737" i="3"/>
  <c r="BF737" i="3" s="1"/>
  <c r="BC737" i="3"/>
  <c r="BE737" i="3" s="1"/>
  <c r="CI736" i="3"/>
  <c r="CK736" i="3" s="1"/>
  <c r="CH736" i="3"/>
  <c r="CJ736" i="3" s="1"/>
  <c r="BG736" i="3"/>
  <c r="BD736" i="3"/>
  <c r="BF736" i="3" s="1"/>
  <c r="BC736" i="3"/>
  <c r="BE736" i="3" s="1"/>
  <c r="CI735" i="3"/>
  <c r="CK735" i="3" s="1"/>
  <c r="CH735" i="3"/>
  <c r="CJ735" i="3" s="1"/>
  <c r="BG735" i="3"/>
  <c r="BD735" i="3"/>
  <c r="BF735" i="3" s="1"/>
  <c r="BC735" i="3"/>
  <c r="BE735" i="3" s="1"/>
  <c r="CI734" i="3"/>
  <c r="CK734" i="3" s="1"/>
  <c r="CH734" i="3"/>
  <c r="CJ734" i="3" s="1"/>
  <c r="BG734" i="3"/>
  <c r="BD734" i="3"/>
  <c r="BF734" i="3" s="1"/>
  <c r="BC734" i="3"/>
  <c r="BE734" i="3" s="1"/>
  <c r="CI733" i="3"/>
  <c r="CK733" i="3" s="1"/>
  <c r="CH733" i="3"/>
  <c r="CJ733" i="3" s="1"/>
  <c r="BG733" i="3"/>
  <c r="BD733" i="3"/>
  <c r="BF733" i="3" s="1"/>
  <c r="BC733" i="3"/>
  <c r="BE733" i="3" s="1"/>
  <c r="CI732" i="3"/>
  <c r="CK732" i="3" s="1"/>
  <c r="CH732" i="3"/>
  <c r="CJ732" i="3" s="1"/>
  <c r="BG732" i="3"/>
  <c r="BD732" i="3"/>
  <c r="BF732" i="3" s="1"/>
  <c r="BC732" i="3"/>
  <c r="BE732" i="3" s="1"/>
  <c r="CI731" i="3"/>
  <c r="CK731" i="3" s="1"/>
  <c r="CH731" i="3"/>
  <c r="CJ731" i="3" s="1"/>
  <c r="BG731" i="3"/>
  <c r="BD731" i="3"/>
  <c r="BF731" i="3" s="1"/>
  <c r="BC731" i="3"/>
  <c r="BE731" i="3" s="1"/>
  <c r="CI730" i="3"/>
  <c r="CK730" i="3" s="1"/>
  <c r="CH730" i="3"/>
  <c r="CJ730" i="3" s="1"/>
  <c r="BG730" i="3"/>
  <c r="BD730" i="3"/>
  <c r="BF730" i="3" s="1"/>
  <c r="BC730" i="3"/>
  <c r="BE730" i="3" s="1"/>
  <c r="CI729" i="3"/>
  <c r="CK729" i="3" s="1"/>
  <c r="CH729" i="3"/>
  <c r="CJ729" i="3" s="1"/>
  <c r="BG729" i="3"/>
  <c r="BD729" i="3"/>
  <c r="BF729" i="3" s="1"/>
  <c r="BC729" i="3"/>
  <c r="BE729" i="3" s="1"/>
  <c r="CI728" i="3"/>
  <c r="CK728" i="3" s="1"/>
  <c r="CH728" i="3"/>
  <c r="CJ728" i="3" s="1"/>
  <c r="BG728" i="3"/>
  <c r="BD728" i="3"/>
  <c r="BF728" i="3" s="1"/>
  <c r="BC728" i="3"/>
  <c r="BE728" i="3" s="1"/>
  <c r="CI727" i="3"/>
  <c r="CK727" i="3" s="1"/>
  <c r="CH727" i="3"/>
  <c r="CJ727" i="3" s="1"/>
  <c r="BG727" i="3"/>
  <c r="BD727" i="3"/>
  <c r="BF727" i="3" s="1"/>
  <c r="BC727" i="3"/>
  <c r="BE727" i="3" s="1"/>
  <c r="CI726" i="3"/>
  <c r="CK726" i="3" s="1"/>
  <c r="CH726" i="3"/>
  <c r="CJ726" i="3" s="1"/>
  <c r="BG726" i="3"/>
  <c r="BD726" i="3"/>
  <c r="BF726" i="3" s="1"/>
  <c r="BC726" i="3"/>
  <c r="BE726" i="3" s="1"/>
  <c r="CI725" i="3"/>
  <c r="CK725" i="3" s="1"/>
  <c r="CH725" i="3"/>
  <c r="CJ725" i="3" s="1"/>
  <c r="BG725" i="3"/>
  <c r="BD725" i="3"/>
  <c r="BF725" i="3" s="1"/>
  <c r="BC725" i="3"/>
  <c r="BE725" i="3" s="1"/>
  <c r="CI724" i="3"/>
  <c r="CK724" i="3" s="1"/>
  <c r="CH724" i="3"/>
  <c r="CJ724" i="3" s="1"/>
  <c r="BG724" i="3"/>
  <c r="BD724" i="3"/>
  <c r="BF724" i="3" s="1"/>
  <c r="BC724" i="3"/>
  <c r="BE724" i="3" s="1"/>
  <c r="CI723" i="3"/>
  <c r="CK723" i="3" s="1"/>
  <c r="CH723" i="3"/>
  <c r="CJ723" i="3" s="1"/>
  <c r="BG723" i="3"/>
  <c r="BD723" i="3"/>
  <c r="BF723" i="3" s="1"/>
  <c r="BC723" i="3"/>
  <c r="BE723" i="3" s="1"/>
  <c r="CI722" i="3"/>
  <c r="CK722" i="3" s="1"/>
  <c r="CH722" i="3"/>
  <c r="CJ722" i="3" s="1"/>
  <c r="BG722" i="3"/>
  <c r="BD722" i="3"/>
  <c r="BF722" i="3" s="1"/>
  <c r="BC722" i="3"/>
  <c r="BE722" i="3" s="1"/>
  <c r="CI721" i="3"/>
  <c r="CK721" i="3" s="1"/>
  <c r="CH721" i="3"/>
  <c r="CJ721" i="3" s="1"/>
  <c r="BG721" i="3"/>
  <c r="BD721" i="3"/>
  <c r="BF721" i="3" s="1"/>
  <c r="BC721" i="3"/>
  <c r="BE721" i="3" s="1"/>
  <c r="CI720" i="3"/>
  <c r="CK720" i="3" s="1"/>
  <c r="CH720" i="3"/>
  <c r="CJ720" i="3" s="1"/>
  <c r="BG720" i="3"/>
  <c r="BD720" i="3"/>
  <c r="BF720" i="3" s="1"/>
  <c r="BC720" i="3"/>
  <c r="BE720" i="3" s="1"/>
  <c r="CI719" i="3"/>
  <c r="CK719" i="3" s="1"/>
  <c r="CH719" i="3"/>
  <c r="CJ719" i="3" s="1"/>
  <c r="BG719" i="3"/>
  <c r="BD719" i="3"/>
  <c r="BF719" i="3" s="1"/>
  <c r="BC719" i="3"/>
  <c r="BE719" i="3" s="1"/>
  <c r="CI718" i="3"/>
  <c r="CK718" i="3" s="1"/>
  <c r="CH718" i="3"/>
  <c r="CJ718" i="3" s="1"/>
  <c r="BG718" i="3"/>
  <c r="BD718" i="3"/>
  <c r="BF718" i="3" s="1"/>
  <c r="BC718" i="3"/>
  <c r="BE718" i="3" s="1"/>
  <c r="CI717" i="3"/>
  <c r="CK717" i="3" s="1"/>
  <c r="CH717" i="3"/>
  <c r="CJ717" i="3" s="1"/>
  <c r="BG717" i="3"/>
  <c r="BD717" i="3"/>
  <c r="BF717" i="3" s="1"/>
  <c r="BC717" i="3"/>
  <c r="BE717" i="3" s="1"/>
  <c r="CI716" i="3"/>
  <c r="CK716" i="3" s="1"/>
  <c r="CH716" i="3"/>
  <c r="CJ716" i="3" s="1"/>
  <c r="BG716" i="3"/>
  <c r="BD716" i="3"/>
  <c r="BF716" i="3" s="1"/>
  <c r="BC716" i="3"/>
  <c r="BE716" i="3" s="1"/>
  <c r="CI715" i="3"/>
  <c r="CK715" i="3" s="1"/>
  <c r="CH715" i="3"/>
  <c r="CJ715" i="3" s="1"/>
  <c r="BG715" i="3"/>
  <c r="BD715" i="3"/>
  <c r="BF715" i="3" s="1"/>
  <c r="BC715" i="3"/>
  <c r="BE715" i="3" s="1"/>
  <c r="CI714" i="3"/>
  <c r="CK714" i="3" s="1"/>
  <c r="CH714" i="3"/>
  <c r="CJ714" i="3" s="1"/>
  <c r="BG714" i="3"/>
  <c r="BD714" i="3"/>
  <c r="BF714" i="3" s="1"/>
  <c r="BC714" i="3"/>
  <c r="BE714" i="3" s="1"/>
  <c r="CI713" i="3"/>
  <c r="CK713" i="3" s="1"/>
  <c r="CH713" i="3"/>
  <c r="CJ713" i="3" s="1"/>
  <c r="BG713" i="3"/>
  <c r="BD713" i="3"/>
  <c r="BF713" i="3" s="1"/>
  <c r="BC713" i="3"/>
  <c r="BE713" i="3" s="1"/>
  <c r="CI712" i="3"/>
  <c r="CK712" i="3" s="1"/>
  <c r="CH712" i="3"/>
  <c r="CJ712" i="3" s="1"/>
  <c r="BG712" i="3"/>
  <c r="BD712" i="3"/>
  <c r="BF712" i="3" s="1"/>
  <c r="BC712" i="3"/>
  <c r="BE712" i="3" s="1"/>
  <c r="CI711" i="3"/>
  <c r="CK711" i="3" s="1"/>
  <c r="CH711" i="3"/>
  <c r="CJ711" i="3" s="1"/>
  <c r="BG711" i="3"/>
  <c r="BD711" i="3"/>
  <c r="BF711" i="3" s="1"/>
  <c r="BC711" i="3"/>
  <c r="BE711" i="3" s="1"/>
  <c r="CI710" i="3"/>
  <c r="CK710" i="3" s="1"/>
  <c r="CH710" i="3"/>
  <c r="CJ710" i="3" s="1"/>
  <c r="BG710" i="3"/>
  <c r="BD710" i="3"/>
  <c r="BF710" i="3" s="1"/>
  <c r="BC710" i="3"/>
  <c r="BE710" i="3" s="1"/>
  <c r="CI709" i="3"/>
  <c r="CK709" i="3" s="1"/>
  <c r="CH709" i="3"/>
  <c r="CJ709" i="3" s="1"/>
  <c r="BG709" i="3"/>
  <c r="BD709" i="3"/>
  <c r="BF709" i="3" s="1"/>
  <c r="BC709" i="3"/>
  <c r="BE709" i="3" s="1"/>
  <c r="CI708" i="3"/>
  <c r="CK708" i="3" s="1"/>
  <c r="CH708" i="3"/>
  <c r="CJ708" i="3" s="1"/>
  <c r="BG708" i="3"/>
  <c r="BD708" i="3"/>
  <c r="BF708" i="3" s="1"/>
  <c r="BC708" i="3"/>
  <c r="BE708" i="3" s="1"/>
  <c r="CI707" i="3"/>
  <c r="CK707" i="3" s="1"/>
  <c r="CH707" i="3"/>
  <c r="CJ707" i="3" s="1"/>
  <c r="BG707" i="3"/>
  <c r="BD707" i="3"/>
  <c r="BF707" i="3" s="1"/>
  <c r="BC707" i="3"/>
  <c r="BE707" i="3" s="1"/>
  <c r="CI706" i="3"/>
  <c r="CK706" i="3" s="1"/>
  <c r="CH706" i="3"/>
  <c r="CJ706" i="3" s="1"/>
  <c r="BG706" i="3"/>
  <c r="BD706" i="3"/>
  <c r="BF706" i="3" s="1"/>
  <c r="BC706" i="3"/>
  <c r="BE706" i="3" s="1"/>
  <c r="CI705" i="3"/>
  <c r="CK705" i="3" s="1"/>
  <c r="CH705" i="3"/>
  <c r="CJ705" i="3" s="1"/>
  <c r="BG705" i="3"/>
  <c r="BD705" i="3"/>
  <c r="BF705" i="3" s="1"/>
  <c r="BC705" i="3"/>
  <c r="BE705" i="3" s="1"/>
  <c r="CI704" i="3"/>
  <c r="CK704" i="3" s="1"/>
  <c r="CH704" i="3"/>
  <c r="CJ704" i="3" s="1"/>
  <c r="BG704" i="3"/>
  <c r="BD704" i="3"/>
  <c r="BF704" i="3" s="1"/>
  <c r="BC704" i="3"/>
  <c r="BE704" i="3" s="1"/>
  <c r="CI703" i="3"/>
  <c r="CK703" i="3" s="1"/>
  <c r="CH703" i="3"/>
  <c r="CJ703" i="3" s="1"/>
  <c r="BG703" i="3"/>
  <c r="BD703" i="3"/>
  <c r="BF703" i="3" s="1"/>
  <c r="BC703" i="3"/>
  <c r="BE703" i="3" s="1"/>
  <c r="CI702" i="3"/>
  <c r="CK702" i="3" s="1"/>
  <c r="CH702" i="3"/>
  <c r="CJ702" i="3" s="1"/>
  <c r="BG702" i="3"/>
  <c r="BD702" i="3"/>
  <c r="BF702" i="3" s="1"/>
  <c r="BC702" i="3"/>
  <c r="BE702" i="3" s="1"/>
  <c r="CI701" i="3"/>
  <c r="CK701" i="3" s="1"/>
  <c r="CH701" i="3"/>
  <c r="CJ701" i="3" s="1"/>
  <c r="BG701" i="3"/>
  <c r="BD701" i="3"/>
  <c r="BF701" i="3" s="1"/>
  <c r="BC701" i="3"/>
  <c r="BE701" i="3" s="1"/>
  <c r="CI700" i="3"/>
  <c r="CK700" i="3" s="1"/>
  <c r="CH700" i="3"/>
  <c r="CJ700" i="3" s="1"/>
  <c r="BG700" i="3"/>
  <c r="BD700" i="3"/>
  <c r="BF700" i="3" s="1"/>
  <c r="BC700" i="3"/>
  <c r="BE700" i="3" s="1"/>
  <c r="CI699" i="3"/>
  <c r="CK699" i="3" s="1"/>
  <c r="CH699" i="3"/>
  <c r="CJ699" i="3" s="1"/>
  <c r="BG699" i="3"/>
  <c r="BD699" i="3"/>
  <c r="BF699" i="3" s="1"/>
  <c r="BC699" i="3"/>
  <c r="BE699" i="3" s="1"/>
  <c r="CI698" i="3"/>
  <c r="CK698" i="3" s="1"/>
  <c r="CH698" i="3"/>
  <c r="CJ698" i="3" s="1"/>
  <c r="BG698" i="3"/>
  <c r="BD698" i="3"/>
  <c r="BF698" i="3" s="1"/>
  <c r="BC698" i="3"/>
  <c r="BE698" i="3" s="1"/>
  <c r="CI697" i="3"/>
  <c r="CK697" i="3" s="1"/>
  <c r="CH697" i="3"/>
  <c r="CJ697" i="3" s="1"/>
  <c r="BG697" i="3"/>
  <c r="BD697" i="3"/>
  <c r="BF697" i="3" s="1"/>
  <c r="BC697" i="3"/>
  <c r="BE697" i="3" s="1"/>
  <c r="CI696" i="3"/>
  <c r="CK696" i="3" s="1"/>
  <c r="CH696" i="3"/>
  <c r="CJ696" i="3" s="1"/>
  <c r="BG696" i="3"/>
  <c r="BD696" i="3"/>
  <c r="BF696" i="3" s="1"/>
  <c r="BC696" i="3"/>
  <c r="BE696" i="3" s="1"/>
  <c r="CI695" i="3"/>
  <c r="CK695" i="3" s="1"/>
  <c r="CH695" i="3"/>
  <c r="CJ695" i="3" s="1"/>
  <c r="BG695" i="3"/>
  <c r="BD695" i="3"/>
  <c r="BF695" i="3" s="1"/>
  <c r="BC695" i="3"/>
  <c r="BE695" i="3" s="1"/>
  <c r="CI694" i="3"/>
  <c r="CK694" i="3" s="1"/>
  <c r="CH694" i="3"/>
  <c r="CJ694" i="3" s="1"/>
  <c r="BG694" i="3"/>
  <c r="BD694" i="3"/>
  <c r="BF694" i="3" s="1"/>
  <c r="BC694" i="3"/>
  <c r="BE694" i="3" s="1"/>
  <c r="CI693" i="3"/>
  <c r="CK693" i="3" s="1"/>
  <c r="CH693" i="3"/>
  <c r="CJ693" i="3" s="1"/>
  <c r="BG693" i="3"/>
  <c r="BD693" i="3"/>
  <c r="BF693" i="3" s="1"/>
  <c r="BC693" i="3"/>
  <c r="BE693" i="3" s="1"/>
  <c r="CI692" i="3"/>
  <c r="CK692" i="3" s="1"/>
  <c r="CH692" i="3"/>
  <c r="CJ692" i="3" s="1"/>
  <c r="BG692" i="3"/>
  <c r="BD692" i="3"/>
  <c r="BF692" i="3" s="1"/>
  <c r="BC692" i="3"/>
  <c r="BE692" i="3" s="1"/>
  <c r="CI691" i="3"/>
  <c r="CK691" i="3" s="1"/>
  <c r="CH691" i="3"/>
  <c r="CJ691" i="3" s="1"/>
  <c r="BG691" i="3"/>
  <c r="BD691" i="3"/>
  <c r="BF691" i="3" s="1"/>
  <c r="BC691" i="3"/>
  <c r="BE691" i="3" s="1"/>
  <c r="CI690" i="3"/>
  <c r="CK690" i="3" s="1"/>
  <c r="CH690" i="3"/>
  <c r="CJ690" i="3" s="1"/>
  <c r="BG690" i="3"/>
  <c r="BD690" i="3"/>
  <c r="BF690" i="3" s="1"/>
  <c r="BC690" i="3"/>
  <c r="BE690" i="3" s="1"/>
  <c r="CI689" i="3"/>
  <c r="CK689" i="3" s="1"/>
  <c r="CH689" i="3"/>
  <c r="CJ689" i="3" s="1"/>
  <c r="BG689" i="3"/>
  <c r="BD689" i="3"/>
  <c r="BF689" i="3" s="1"/>
  <c r="BC689" i="3"/>
  <c r="BE689" i="3" s="1"/>
  <c r="CI688" i="3"/>
  <c r="CK688" i="3" s="1"/>
  <c r="CH688" i="3"/>
  <c r="CJ688" i="3" s="1"/>
  <c r="BG688" i="3"/>
  <c r="BD688" i="3"/>
  <c r="BF688" i="3" s="1"/>
  <c r="BC688" i="3"/>
  <c r="BE688" i="3" s="1"/>
  <c r="CI687" i="3"/>
  <c r="CK687" i="3" s="1"/>
  <c r="CH687" i="3"/>
  <c r="CJ687" i="3" s="1"/>
  <c r="BG687" i="3"/>
  <c r="BD687" i="3"/>
  <c r="BF687" i="3" s="1"/>
  <c r="BC687" i="3"/>
  <c r="BE687" i="3" s="1"/>
  <c r="CI686" i="3"/>
  <c r="CK686" i="3" s="1"/>
  <c r="CH686" i="3"/>
  <c r="CJ686" i="3" s="1"/>
  <c r="BG686" i="3"/>
  <c r="BD686" i="3"/>
  <c r="BF686" i="3" s="1"/>
  <c r="BC686" i="3"/>
  <c r="BE686" i="3" s="1"/>
  <c r="CI685" i="3"/>
  <c r="CK685" i="3" s="1"/>
  <c r="CH685" i="3"/>
  <c r="CJ685" i="3" s="1"/>
  <c r="BG685" i="3"/>
  <c r="BD685" i="3"/>
  <c r="BF685" i="3" s="1"/>
  <c r="BC685" i="3"/>
  <c r="BE685" i="3" s="1"/>
  <c r="CI684" i="3"/>
  <c r="CK684" i="3" s="1"/>
  <c r="CH684" i="3"/>
  <c r="CJ684" i="3" s="1"/>
  <c r="BG684" i="3"/>
  <c r="BD684" i="3"/>
  <c r="BF684" i="3" s="1"/>
  <c r="BC684" i="3"/>
  <c r="BE684" i="3" s="1"/>
  <c r="CI683" i="3"/>
  <c r="CK683" i="3" s="1"/>
  <c r="CH683" i="3"/>
  <c r="CJ683" i="3" s="1"/>
  <c r="BG683" i="3"/>
  <c r="BD683" i="3"/>
  <c r="BF683" i="3" s="1"/>
  <c r="BC683" i="3"/>
  <c r="BE683" i="3" s="1"/>
  <c r="CI682" i="3"/>
  <c r="CK682" i="3" s="1"/>
  <c r="CH682" i="3"/>
  <c r="CJ682" i="3" s="1"/>
  <c r="BG682" i="3"/>
  <c r="BD682" i="3"/>
  <c r="BF682" i="3" s="1"/>
  <c r="BC682" i="3"/>
  <c r="BE682" i="3" s="1"/>
  <c r="CI681" i="3"/>
  <c r="CK681" i="3" s="1"/>
  <c r="CH681" i="3"/>
  <c r="CJ681" i="3" s="1"/>
  <c r="BG681" i="3"/>
  <c r="BD681" i="3"/>
  <c r="BF681" i="3" s="1"/>
  <c r="BC681" i="3"/>
  <c r="BE681" i="3" s="1"/>
  <c r="CI680" i="3"/>
  <c r="CK680" i="3" s="1"/>
  <c r="CH680" i="3"/>
  <c r="CJ680" i="3" s="1"/>
  <c r="BG680" i="3"/>
  <c r="BD680" i="3"/>
  <c r="BF680" i="3" s="1"/>
  <c r="BC680" i="3"/>
  <c r="BE680" i="3" s="1"/>
  <c r="CI679" i="3"/>
  <c r="CK679" i="3" s="1"/>
  <c r="CH679" i="3"/>
  <c r="CJ679" i="3" s="1"/>
  <c r="BG679" i="3"/>
  <c r="BD679" i="3"/>
  <c r="BF679" i="3" s="1"/>
  <c r="BC679" i="3"/>
  <c r="BE679" i="3" s="1"/>
  <c r="CI678" i="3"/>
  <c r="CK678" i="3" s="1"/>
  <c r="CH678" i="3"/>
  <c r="CJ678" i="3" s="1"/>
  <c r="BG678" i="3"/>
  <c r="BD678" i="3"/>
  <c r="BF678" i="3" s="1"/>
  <c r="BC678" i="3"/>
  <c r="BE678" i="3" s="1"/>
  <c r="CI677" i="3"/>
  <c r="CK677" i="3" s="1"/>
  <c r="CH677" i="3"/>
  <c r="CJ677" i="3" s="1"/>
  <c r="BG677" i="3"/>
  <c r="BD677" i="3"/>
  <c r="BF677" i="3" s="1"/>
  <c r="BC677" i="3"/>
  <c r="BE677" i="3" s="1"/>
  <c r="CI676" i="3"/>
  <c r="CK676" i="3" s="1"/>
  <c r="CH676" i="3"/>
  <c r="CJ676" i="3" s="1"/>
  <c r="BG676" i="3"/>
  <c r="BD676" i="3"/>
  <c r="BF676" i="3" s="1"/>
  <c r="BC676" i="3"/>
  <c r="BE676" i="3" s="1"/>
  <c r="CI675" i="3"/>
  <c r="CK675" i="3" s="1"/>
  <c r="CH675" i="3"/>
  <c r="CJ675" i="3" s="1"/>
  <c r="BG675" i="3"/>
  <c r="BD675" i="3"/>
  <c r="BF675" i="3" s="1"/>
  <c r="BC675" i="3"/>
  <c r="BE675" i="3" s="1"/>
  <c r="CI674" i="3"/>
  <c r="CK674" i="3" s="1"/>
  <c r="CH674" i="3"/>
  <c r="CJ674" i="3" s="1"/>
  <c r="BG674" i="3"/>
  <c r="BD674" i="3"/>
  <c r="BF674" i="3" s="1"/>
  <c r="BC674" i="3"/>
  <c r="BE674" i="3" s="1"/>
  <c r="CI673" i="3"/>
  <c r="CK673" i="3" s="1"/>
  <c r="CH673" i="3"/>
  <c r="CJ673" i="3" s="1"/>
  <c r="BG673" i="3"/>
  <c r="BD673" i="3"/>
  <c r="BF673" i="3" s="1"/>
  <c r="BC673" i="3"/>
  <c r="BE673" i="3" s="1"/>
  <c r="CI672" i="3"/>
  <c r="CK672" i="3" s="1"/>
  <c r="CH672" i="3"/>
  <c r="CJ672" i="3" s="1"/>
  <c r="BG672" i="3"/>
  <c r="BD672" i="3"/>
  <c r="BF672" i="3" s="1"/>
  <c r="BC672" i="3"/>
  <c r="BE672" i="3" s="1"/>
  <c r="CI671" i="3"/>
  <c r="CK671" i="3" s="1"/>
  <c r="CH671" i="3"/>
  <c r="CJ671" i="3" s="1"/>
  <c r="BG671" i="3"/>
  <c r="BD671" i="3"/>
  <c r="BF671" i="3" s="1"/>
  <c r="BC671" i="3"/>
  <c r="BE671" i="3" s="1"/>
  <c r="CI670" i="3"/>
  <c r="CK670" i="3" s="1"/>
  <c r="CH670" i="3"/>
  <c r="CJ670" i="3" s="1"/>
  <c r="BG670" i="3"/>
  <c r="BD670" i="3"/>
  <c r="BF670" i="3" s="1"/>
  <c r="BC670" i="3"/>
  <c r="BE670" i="3" s="1"/>
  <c r="CI669" i="3"/>
  <c r="CK669" i="3" s="1"/>
  <c r="CH669" i="3"/>
  <c r="CJ669" i="3" s="1"/>
  <c r="BG669" i="3"/>
  <c r="BD669" i="3"/>
  <c r="BF669" i="3" s="1"/>
  <c r="BC669" i="3"/>
  <c r="BE669" i="3" s="1"/>
  <c r="CI668" i="3"/>
  <c r="CK668" i="3" s="1"/>
  <c r="CH668" i="3"/>
  <c r="CJ668" i="3" s="1"/>
  <c r="BG668" i="3"/>
  <c r="BD668" i="3"/>
  <c r="BF668" i="3" s="1"/>
  <c r="BC668" i="3"/>
  <c r="BE668" i="3" s="1"/>
  <c r="CI667" i="3"/>
  <c r="CK667" i="3" s="1"/>
  <c r="CH667" i="3"/>
  <c r="CJ667" i="3" s="1"/>
  <c r="BG667" i="3"/>
  <c r="BD667" i="3"/>
  <c r="BF667" i="3" s="1"/>
  <c r="BC667" i="3"/>
  <c r="BE667" i="3" s="1"/>
  <c r="CI666" i="3"/>
  <c r="CK666" i="3" s="1"/>
  <c r="CH666" i="3"/>
  <c r="CJ666" i="3" s="1"/>
  <c r="BG666" i="3"/>
  <c r="BD666" i="3"/>
  <c r="BF666" i="3" s="1"/>
  <c r="BC666" i="3"/>
  <c r="BE666" i="3" s="1"/>
  <c r="CI665" i="3"/>
  <c r="CK665" i="3" s="1"/>
  <c r="CH665" i="3"/>
  <c r="CJ665" i="3" s="1"/>
  <c r="BG665" i="3"/>
  <c r="BD665" i="3"/>
  <c r="BF665" i="3" s="1"/>
  <c r="BC665" i="3"/>
  <c r="BE665" i="3" s="1"/>
  <c r="CI664" i="3"/>
  <c r="CK664" i="3" s="1"/>
  <c r="CH664" i="3"/>
  <c r="CJ664" i="3" s="1"/>
  <c r="BG664" i="3"/>
  <c r="BD664" i="3"/>
  <c r="BF664" i="3" s="1"/>
  <c r="BC664" i="3"/>
  <c r="BE664" i="3" s="1"/>
  <c r="CI663" i="3"/>
  <c r="CK663" i="3" s="1"/>
  <c r="CH663" i="3"/>
  <c r="CJ663" i="3" s="1"/>
  <c r="BG663" i="3"/>
  <c r="BD663" i="3"/>
  <c r="BF663" i="3" s="1"/>
  <c r="BC663" i="3"/>
  <c r="BE663" i="3" s="1"/>
  <c r="CI662" i="3"/>
  <c r="CK662" i="3" s="1"/>
  <c r="CH662" i="3"/>
  <c r="CJ662" i="3" s="1"/>
  <c r="BG662" i="3"/>
  <c r="BD662" i="3"/>
  <c r="BF662" i="3" s="1"/>
  <c r="BC662" i="3"/>
  <c r="BE662" i="3" s="1"/>
  <c r="CI661" i="3"/>
  <c r="CK661" i="3" s="1"/>
  <c r="CH661" i="3"/>
  <c r="CJ661" i="3" s="1"/>
  <c r="BG661" i="3"/>
  <c r="BD661" i="3"/>
  <c r="BF661" i="3" s="1"/>
  <c r="BC661" i="3"/>
  <c r="BE661" i="3" s="1"/>
  <c r="CI660" i="3"/>
  <c r="CK660" i="3" s="1"/>
  <c r="CH660" i="3"/>
  <c r="CJ660" i="3" s="1"/>
  <c r="BG660" i="3"/>
  <c r="BD660" i="3"/>
  <c r="BF660" i="3" s="1"/>
  <c r="BC660" i="3"/>
  <c r="BE660" i="3" s="1"/>
  <c r="CI659" i="3"/>
  <c r="CK659" i="3" s="1"/>
  <c r="CH659" i="3"/>
  <c r="CJ659" i="3" s="1"/>
  <c r="BG659" i="3"/>
  <c r="BD659" i="3"/>
  <c r="BF659" i="3" s="1"/>
  <c r="BC659" i="3"/>
  <c r="BE659" i="3" s="1"/>
  <c r="CI658" i="3"/>
  <c r="CK658" i="3" s="1"/>
  <c r="CH658" i="3"/>
  <c r="CJ658" i="3" s="1"/>
  <c r="BG658" i="3"/>
  <c r="BD658" i="3"/>
  <c r="BF658" i="3" s="1"/>
  <c r="BC658" i="3"/>
  <c r="BE658" i="3" s="1"/>
  <c r="CI657" i="3"/>
  <c r="CK657" i="3" s="1"/>
  <c r="CH657" i="3"/>
  <c r="CJ657" i="3" s="1"/>
  <c r="BG657" i="3"/>
  <c r="BD657" i="3"/>
  <c r="BF657" i="3" s="1"/>
  <c r="BC657" i="3"/>
  <c r="BE657" i="3" s="1"/>
  <c r="CI656" i="3"/>
  <c r="CK656" i="3" s="1"/>
  <c r="CH656" i="3"/>
  <c r="CJ656" i="3" s="1"/>
  <c r="BG656" i="3"/>
  <c r="BD656" i="3"/>
  <c r="BF656" i="3" s="1"/>
  <c r="BC656" i="3"/>
  <c r="BE656" i="3" s="1"/>
  <c r="CI655" i="3"/>
  <c r="CK655" i="3" s="1"/>
  <c r="CH655" i="3"/>
  <c r="CJ655" i="3" s="1"/>
  <c r="BG655" i="3"/>
  <c r="BD655" i="3"/>
  <c r="BF655" i="3" s="1"/>
  <c r="BC655" i="3"/>
  <c r="BE655" i="3" s="1"/>
  <c r="CI654" i="3"/>
  <c r="CK654" i="3" s="1"/>
  <c r="CH654" i="3"/>
  <c r="CJ654" i="3" s="1"/>
  <c r="BG654" i="3"/>
  <c r="BD654" i="3"/>
  <c r="BF654" i="3" s="1"/>
  <c r="BC654" i="3"/>
  <c r="BE654" i="3" s="1"/>
  <c r="CI653" i="3"/>
  <c r="CK653" i="3" s="1"/>
  <c r="CH653" i="3"/>
  <c r="CJ653" i="3" s="1"/>
  <c r="BG653" i="3"/>
  <c r="BD653" i="3"/>
  <c r="BF653" i="3" s="1"/>
  <c r="BC653" i="3"/>
  <c r="BE653" i="3" s="1"/>
  <c r="CI652" i="3"/>
  <c r="CK652" i="3" s="1"/>
  <c r="CH652" i="3"/>
  <c r="CJ652" i="3" s="1"/>
  <c r="BG652" i="3"/>
  <c r="BD652" i="3"/>
  <c r="BF652" i="3" s="1"/>
  <c r="BC652" i="3"/>
  <c r="BE652" i="3" s="1"/>
  <c r="CI651" i="3"/>
  <c r="CK651" i="3" s="1"/>
  <c r="CH651" i="3"/>
  <c r="CJ651" i="3" s="1"/>
  <c r="BG651" i="3"/>
  <c r="BD651" i="3"/>
  <c r="BF651" i="3" s="1"/>
  <c r="BC651" i="3"/>
  <c r="BE651" i="3" s="1"/>
  <c r="CI650" i="3"/>
  <c r="CK650" i="3" s="1"/>
  <c r="CH650" i="3"/>
  <c r="CJ650" i="3" s="1"/>
  <c r="BG650" i="3"/>
  <c r="BD650" i="3"/>
  <c r="BF650" i="3" s="1"/>
  <c r="BC650" i="3"/>
  <c r="BE650" i="3" s="1"/>
  <c r="CI649" i="3"/>
  <c r="CK649" i="3" s="1"/>
  <c r="CH649" i="3"/>
  <c r="CJ649" i="3" s="1"/>
  <c r="BG649" i="3"/>
  <c r="BD649" i="3"/>
  <c r="BF649" i="3" s="1"/>
  <c r="BC649" i="3"/>
  <c r="BE649" i="3" s="1"/>
  <c r="CI648" i="3"/>
  <c r="CK648" i="3" s="1"/>
  <c r="CH648" i="3"/>
  <c r="CJ648" i="3" s="1"/>
  <c r="BG648" i="3"/>
  <c r="BD648" i="3"/>
  <c r="BF648" i="3" s="1"/>
  <c r="BC648" i="3"/>
  <c r="BE648" i="3" s="1"/>
  <c r="CI647" i="3"/>
  <c r="CK647" i="3" s="1"/>
  <c r="CH647" i="3"/>
  <c r="CJ647" i="3" s="1"/>
  <c r="BG647" i="3"/>
  <c r="BD647" i="3"/>
  <c r="BF647" i="3" s="1"/>
  <c r="BC647" i="3"/>
  <c r="BE647" i="3" s="1"/>
  <c r="CI646" i="3"/>
  <c r="CK646" i="3" s="1"/>
  <c r="CH646" i="3"/>
  <c r="CJ646" i="3" s="1"/>
  <c r="BG646" i="3"/>
  <c r="BD646" i="3"/>
  <c r="BF646" i="3" s="1"/>
  <c r="BC646" i="3"/>
  <c r="BE646" i="3" s="1"/>
  <c r="CI645" i="3"/>
  <c r="CK645" i="3" s="1"/>
  <c r="CH645" i="3"/>
  <c r="CJ645" i="3" s="1"/>
  <c r="BG645" i="3"/>
  <c r="BD645" i="3"/>
  <c r="BF645" i="3" s="1"/>
  <c r="BC645" i="3"/>
  <c r="BE645" i="3" s="1"/>
  <c r="CI644" i="3"/>
  <c r="CK644" i="3" s="1"/>
  <c r="CH644" i="3"/>
  <c r="CJ644" i="3" s="1"/>
  <c r="BG644" i="3"/>
  <c r="BD644" i="3"/>
  <c r="BF644" i="3" s="1"/>
  <c r="BC644" i="3"/>
  <c r="BE644" i="3" s="1"/>
  <c r="CI643" i="3"/>
  <c r="CK643" i="3" s="1"/>
  <c r="CH643" i="3"/>
  <c r="CJ643" i="3" s="1"/>
  <c r="BG643" i="3"/>
  <c r="BD643" i="3"/>
  <c r="BF643" i="3" s="1"/>
  <c r="BC643" i="3"/>
  <c r="BE643" i="3" s="1"/>
  <c r="CI642" i="3"/>
  <c r="CK642" i="3" s="1"/>
  <c r="CH642" i="3"/>
  <c r="CJ642" i="3" s="1"/>
  <c r="BG642" i="3"/>
  <c r="BD642" i="3"/>
  <c r="BF642" i="3" s="1"/>
  <c r="BC642" i="3"/>
  <c r="BE642" i="3" s="1"/>
  <c r="CI641" i="3"/>
  <c r="CK641" i="3" s="1"/>
  <c r="CH641" i="3"/>
  <c r="CJ641" i="3" s="1"/>
  <c r="BG641" i="3"/>
  <c r="BD641" i="3"/>
  <c r="BF641" i="3" s="1"/>
  <c r="BC641" i="3"/>
  <c r="BE641" i="3" s="1"/>
  <c r="CI640" i="3"/>
  <c r="CK640" i="3" s="1"/>
  <c r="CH640" i="3"/>
  <c r="CJ640" i="3" s="1"/>
  <c r="BG640" i="3"/>
  <c r="BD640" i="3"/>
  <c r="BF640" i="3" s="1"/>
  <c r="BC640" i="3"/>
  <c r="BE640" i="3" s="1"/>
  <c r="CI639" i="3"/>
  <c r="CK639" i="3" s="1"/>
  <c r="CH639" i="3"/>
  <c r="CJ639" i="3" s="1"/>
  <c r="BG639" i="3"/>
  <c r="BD639" i="3"/>
  <c r="BF639" i="3" s="1"/>
  <c r="BC639" i="3"/>
  <c r="BE639" i="3" s="1"/>
  <c r="CI638" i="3"/>
  <c r="CK638" i="3" s="1"/>
  <c r="CH638" i="3"/>
  <c r="CJ638" i="3" s="1"/>
  <c r="BG638" i="3"/>
  <c r="BD638" i="3"/>
  <c r="BF638" i="3" s="1"/>
  <c r="BC638" i="3"/>
  <c r="BE638" i="3" s="1"/>
  <c r="CI637" i="3"/>
  <c r="CK637" i="3" s="1"/>
  <c r="CH637" i="3"/>
  <c r="CJ637" i="3" s="1"/>
  <c r="BG637" i="3"/>
  <c r="BD637" i="3"/>
  <c r="BF637" i="3" s="1"/>
  <c r="BC637" i="3"/>
  <c r="BE637" i="3" s="1"/>
  <c r="CI636" i="3"/>
  <c r="CK636" i="3" s="1"/>
  <c r="CH636" i="3"/>
  <c r="CJ636" i="3" s="1"/>
  <c r="BG636" i="3"/>
  <c r="BD636" i="3"/>
  <c r="BF636" i="3" s="1"/>
  <c r="BC636" i="3"/>
  <c r="BE636" i="3" s="1"/>
  <c r="CI635" i="3"/>
  <c r="CK635" i="3" s="1"/>
  <c r="CH635" i="3"/>
  <c r="CJ635" i="3" s="1"/>
  <c r="BG635" i="3"/>
  <c r="BD635" i="3"/>
  <c r="BF635" i="3" s="1"/>
  <c r="BC635" i="3"/>
  <c r="BE635" i="3" s="1"/>
  <c r="CI634" i="3"/>
  <c r="CK634" i="3" s="1"/>
  <c r="CH634" i="3"/>
  <c r="CJ634" i="3" s="1"/>
  <c r="BG634" i="3"/>
  <c r="BD634" i="3"/>
  <c r="BF634" i="3" s="1"/>
  <c r="BC634" i="3"/>
  <c r="BE634" i="3" s="1"/>
  <c r="CI633" i="3"/>
  <c r="CK633" i="3" s="1"/>
  <c r="CH633" i="3"/>
  <c r="CJ633" i="3" s="1"/>
  <c r="BG633" i="3"/>
  <c r="BD633" i="3"/>
  <c r="BF633" i="3" s="1"/>
  <c r="BC633" i="3"/>
  <c r="BE633" i="3" s="1"/>
  <c r="CI632" i="3"/>
  <c r="CK632" i="3" s="1"/>
  <c r="CH632" i="3"/>
  <c r="CJ632" i="3" s="1"/>
  <c r="BG632" i="3"/>
  <c r="BD632" i="3"/>
  <c r="BF632" i="3" s="1"/>
  <c r="BC632" i="3"/>
  <c r="BE632" i="3" s="1"/>
  <c r="CI631" i="3"/>
  <c r="CK631" i="3" s="1"/>
  <c r="CH631" i="3"/>
  <c r="CJ631" i="3" s="1"/>
  <c r="BG631" i="3"/>
  <c r="BD631" i="3"/>
  <c r="BF631" i="3" s="1"/>
  <c r="BC631" i="3"/>
  <c r="BE631" i="3" s="1"/>
  <c r="CI630" i="3"/>
  <c r="CK630" i="3" s="1"/>
  <c r="CH630" i="3"/>
  <c r="CJ630" i="3" s="1"/>
  <c r="BG630" i="3"/>
  <c r="BD630" i="3"/>
  <c r="BF630" i="3" s="1"/>
  <c r="BC630" i="3"/>
  <c r="BE630" i="3" s="1"/>
  <c r="CI629" i="3"/>
  <c r="CK629" i="3" s="1"/>
  <c r="CH629" i="3"/>
  <c r="CJ629" i="3" s="1"/>
  <c r="BG629" i="3"/>
  <c r="BD629" i="3"/>
  <c r="BF629" i="3" s="1"/>
  <c r="BC629" i="3"/>
  <c r="BE629" i="3" s="1"/>
  <c r="CI628" i="3"/>
  <c r="CK628" i="3" s="1"/>
  <c r="CH628" i="3"/>
  <c r="CJ628" i="3" s="1"/>
  <c r="BG628" i="3"/>
  <c r="BD628" i="3"/>
  <c r="BF628" i="3" s="1"/>
  <c r="BC628" i="3"/>
  <c r="BE628" i="3" s="1"/>
  <c r="CI627" i="3"/>
  <c r="CK627" i="3" s="1"/>
  <c r="CH627" i="3"/>
  <c r="CJ627" i="3" s="1"/>
  <c r="BG627" i="3"/>
  <c r="BD627" i="3"/>
  <c r="BF627" i="3" s="1"/>
  <c r="BC627" i="3"/>
  <c r="BE627" i="3" s="1"/>
  <c r="CI626" i="3"/>
  <c r="CK626" i="3" s="1"/>
  <c r="CH626" i="3"/>
  <c r="CJ626" i="3" s="1"/>
  <c r="BG626" i="3"/>
  <c r="BD626" i="3"/>
  <c r="BF626" i="3" s="1"/>
  <c r="BC626" i="3"/>
  <c r="BE626" i="3" s="1"/>
  <c r="CI625" i="3"/>
  <c r="CK625" i="3" s="1"/>
  <c r="CH625" i="3"/>
  <c r="CJ625" i="3" s="1"/>
  <c r="BG625" i="3"/>
  <c r="BD625" i="3"/>
  <c r="BF625" i="3" s="1"/>
  <c r="BC625" i="3"/>
  <c r="BE625" i="3" s="1"/>
  <c r="CI624" i="3"/>
  <c r="CK624" i="3" s="1"/>
  <c r="CH624" i="3"/>
  <c r="CJ624" i="3" s="1"/>
  <c r="BG624" i="3"/>
  <c r="BD624" i="3"/>
  <c r="BF624" i="3" s="1"/>
  <c r="BC624" i="3"/>
  <c r="BE624" i="3" s="1"/>
  <c r="CI623" i="3"/>
  <c r="CK623" i="3" s="1"/>
  <c r="CH623" i="3"/>
  <c r="CJ623" i="3" s="1"/>
  <c r="BG623" i="3"/>
  <c r="BD623" i="3"/>
  <c r="BF623" i="3" s="1"/>
  <c r="BC623" i="3"/>
  <c r="BE623" i="3" s="1"/>
  <c r="CI622" i="3"/>
  <c r="CK622" i="3" s="1"/>
  <c r="CH622" i="3"/>
  <c r="CJ622" i="3" s="1"/>
  <c r="BG622" i="3"/>
  <c r="BD622" i="3"/>
  <c r="BF622" i="3" s="1"/>
  <c r="BC622" i="3"/>
  <c r="BE622" i="3" s="1"/>
  <c r="CI621" i="3"/>
  <c r="CK621" i="3" s="1"/>
  <c r="CH621" i="3"/>
  <c r="CJ621" i="3" s="1"/>
  <c r="BG621" i="3"/>
  <c r="BD621" i="3"/>
  <c r="BF621" i="3" s="1"/>
  <c r="BC621" i="3"/>
  <c r="BE621" i="3" s="1"/>
  <c r="CI620" i="3"/>
  <c r="CK620" i="3" s="1"/>
  <c r="CH620" i="3"/>
  <c r="CJ620" i="3" s="1"/>
  <c r="BG620" i="3"/>
  <c r="BD620" i="3"/>
  <c r="BF620" i="3" s="1"/>
  <c r="BC620" i="3"/>
  <c r="BE620" i="3" s="1"/>
  <c r="CI619" i="3"/>
  <c r="CK619" i="3" s="1"/>
  <c r="CH619" i="3"/>
  <c r="CJ619" i="3" s="1"/>
  <c r="BG619" i="3"/>
  <c r="BD619" i="3"/>
  <c r="BF619" i="3" s="1"/>
  <c r="BC619" i="3"/>
  <c r="BE619" i="3" s="1"/>
  <c r="CI618" i="3"/>
  <c r="CK618" i="3" s="1"/>
  <c r="CH618" i="3"/>
  <c r="CJ618" i="3" s="1"/>
  <c r="BG618" i="3"/>
  <c r="BD618" i="3"/>
  <c r="BF618" i="3" s="1"/>
  <c r="BC618" i="3"/>
  <c r="BE618" i="3" s="1"/>
  <c r="CI617" i="3"/>
  <c r="CK617" i="3" s="1"/>
  <c r="CH617" i="3"/>
  <c r="CJ617" i="3" s="1"/>
  <c r="BG617" i="3"/>
  <c r="BD617" i="3"/>
  <c r="BF617" i="3" s="1"/>
  <c r="BC617" i="3"/>
  <c r="BE617" i="3" s="1"/>
  <c r="CI616" i="3"/>
  <c r="CK616" i="3" s="1"/>
  <c r="CH616" i="3"/>
  <c r="CJ616" i="3" s="1"/>
  <c r="BG616" i="3"/>
  <c r="BD616" i="3"/>
  <c r="BF616" i="3" s="1"/>
  <c r="BC616" i="3"/>
  <c r="BE616" i="3" s="1"/>
  <c r="CI615" i="3"/>
  <c r="CK615" i="3" s="1"/>
  <c r="CH615" i="3"/>
  <c r="CJ615" i="3" s="1"/>
  <c r="BG615" i="3"/>
  <c r="BD615" i="3"/>
  <c r="BF615" i="3" s="1"/>
  <c r="BC615" i="3"/>
  <c r="BE615" i="3" s="1"/>
  <c r="CI614" i="3"/>
  <c r="CK614" i="3" s="1"/>
  <c r="CH614" i="3"/>
  <c r="CJ614" i="3" s="1"/>
  <c r="BG614" i="3"/>
  <c r="BD614" i="3"/>
  <c r="BF614" i="3" s="1"/>
  <c r="BC614" i="3"/>
  <c r="BE614" i="3" s="1"/>
  <c r="CI613" i="3"/>
  <c r="CK613" i="3" s="1"/>
  <c r="CH613" i="3"/>
  <c r="CJ613" i="3" s="1"/>
  <c r="BG613" i="3"/>
  <c r="BD613" i="3"/>
  <c r="BF613" i="3" s="1"/>
  <c r="BC613" i="3"/>
  <c r="BE613" i="3" s="1"/>
  <c r="CI612" i="3"/>
  <c r="CK612" i="3" s="1"/>
  <c r="CH612" i="3"/>
  <c r="CJ612" i="3" s="1"/>
  <c r="BG612" i="3"/>
  <c r="BD612" i="3"/>
  <c r="BF612" i="3" s="1"/>
  <c r="BC612" i="3"/>
  <c r="BE612" i="3" s="1"/>
  <c r="CI611" i="3"/>
  <c r="CK611" i="3" s="1"/>
  <c r="CH611" i="3"/>
  <c r="CJ611" i="3" s="1"/>
  <c r="BG611" i="3"/>
  <c r="BD611" i="3"/>
  <c r="BF611" i="3" s="1"/>
  <c r="BC611" i="3"/>
  <c r="BE611" i="3" s="1"/>
  <c r="CI610" i="3"/>
  <c r="CK610" i="3" s="1"/>
  <c r="CH610" i="3"/>
  <c r="CJ610" i="3" s="1"/>
  <c r="BG610" i="3"/>
  <c r="BD610" i="3"/>
  <c r="BF610" i="3" s="1"/>
  <c r="BC610" i="3"/>
  <c r="BE610" i="3" s="1"/>
  <c r="CI609" i="3"/>
  <c r="CK609" i="3" s="1"/>
  <c r="CH609" i="3"/>
  <c r="CJ609" i="3" s="1"/>
  <c r="BG609" i="3"/>
  <c r="BD609" i="3"/>
  <c r="BF609" i="3" s="1"/>
  <c r="BC609" i="3"/>
  <c r="BE609" i="3" s="1"/>
  <c r="CI608" i="3"/>
  <c r="CK608" i="3" s="1"/>
  <c r="CH608" i="3"/>
  <c r="CJ608" i="3" s="1"/>
  <c r="BG608" i="3"/>
  <c r="BD608" i="3"/>
  <c r="BF608" i="3" s="1"/>
  <c r="BC608" i="3"/>
  <c r="BE608" i="3" s="1"/>
  <c r="CI607" i="3"/>
  <c r="CK607" i="3" s="1"/>
  <c r="CH607" i="3"/>
  <c r="CJ607" i="3" s="1"/>
  <c r="BG607" i="3"/>
  <c r="BD607" i="3"/>
  <c r="BF607" i="3" s="1"/>
  <c r="BC607" i="3"/>
  <c r="BE607" i="3" s="1"/>
  <c r="CI606" i="3"/>
  <c r="CK606" i="3" s="1"/>
  <c r="CH606" i="3"/>
  <c r="CJ606" i="3" s="1"/>
  <c r="BG606" i="3"/>
  <c r="BD606" i="3"/>
  <c r="BF606" i="3" s="1"/>
  <c r="BC606" i="3"/>
  <c r="BE606" i="3" s="1"/>
  <c r="CI605" i="3"/>
  <c r="CK605" i="3" s="1"/>
  <c r="CH605" i="3"/>
  <c r="CJ605" i="3" s="1"/>
  <c r="BG605" i="3"/>
  <c r="BD605" i="3"/>
  <c r="BF605" i="3" s="1"/>
  <c r="BC605" i="3"/>
  <c r="BE605" i="3" s="1"/>
  <c r="CI604" i="3"/>
  <c r="CK604" i="3" s="1"/>
  <c r="CH604" i="3"/>
  <c r="CJ604" i="3" s="1"/>
  <c r="BG604" i="3"/>
  <c r="BD604" i="3"/>
  <c r="BF604" i="3" s="1"/>
  <c r="BC604" i="3"/>
  <c r="BE604" i="3" s="1"/>
  <c r="CI603" i="3"/>
  <c r="CK603" i="3" s="1"/>
  <c r="CH603" i="3"/>
  <c r="CJ603" i="3" s="1"/>
  <c r="BG603" i="3"/>
  <c r="BD603" i="3"/>
  <c r="BF603" i="3" s="1"/>
  <c r="BC603" i="3"/>
  <c r="BE603" i="3" s="1"/>
  <c r="CI602" i="3"/>
  <c r="CK602" i="3" s="1"/>
  <c r="CH602" i="3"/>
  <c r="CJ602" i="3" s="1"/>
  <c r="BG602" i="3"/>
  <c r="BD602" i="3"/>
  <c r="BF602" i="3" s="1"/>
  <c r="BC602" i="3"/>
  <c r="BE602" i="3" s="1"/>
  <c r="CI601" i="3"/>
  <c r="CK601" i="3" s="1"/>
  <c r="CH601" i="3"/>
  <c r="CJ601" i="3" s="1"/>
  <c r="BG601" i="3"/>
  <c r="BD601" i="3"/>
  <c r="BF601" i="3" s="1"/>
  <c r="BC601" i="3"/>
  <c r="BE601" i="3" s="1"/>
  <c r="CI600" i="3"/>
  <c r="CK600" i="3" s="1"/>
  <c r="CH600" i="3"/>
  <c r="CJ600" i="3" s="1"/>
  <c r="BG600" i="3"/>
  <c r="BD600" i="3"/>
  <c r="BF600" i="3" s="1"/>
  <c r="BC600" i="3"/>
  <c r="BE600" i="3" s="1"/>
  <c r="CI599" i="3"/>
  <c r="CK599" i="3" s="1"/>
  <c r="CH599" i="3"/>
  <c r="CJ599" i="3" s="1"/>
  <c r="BG599" i="3"/>
  <c r="BD599" i="3"/>
  <c r="BF599" i="3" s="1"/>
  <c r="BC599" i="3"/>
  <c r="BE599" i="3" s="1"/>
  <c r="CI598" i="3"/>
  <c r="CK598" i="3" s="1"/>
  <c r="CH598" i="3"/>
  <c r="CJ598" i="3" s="1"/>
  <c r="BG598" i="3"/>
  <c r="BD598" i="3"/>
  <c r="BF598" i="3" s="1"/>
  <c r="BC598" i="3"/>
  <c r="BE598" i="3" s="1"/>
  <c r="CI597" i="3"/>
  <c r="CK597" i="3" s="1"/>
  <c r="CH597" i="3"/>
  <c r="CJ597" i="3" s="1"/>
  <c r="BG597" i="3"/>
  <c r="BD597" i="3"/>
  <c r="BF597" i="3" s="1"/>
  <c r="BC597" i="3"/>
  <c r="BE597" i="3" s="1"/>
  <c r="CI596" i="3"/>
  <c r="CK596" i="3" s="1"/>
  <c r="CH596" i="3"/>
  <c r="CJ596" i="3" s="1"/>
  <c r="BG596" i="3"/>
  <c r="BD596" i="3"/>
  <c r="BF596" i="3" s="1"/>
  <c r="BC596" i="3"/>
  <c r="BE596" i="3" s="1"/>
  <c r="CI595" i="3"/>
  <c r="CK595" i="3" s="1"/>
  <c r="CH595" i="3"/>
  <c r="CJ595" i="3" s="1"/>
  <c r="BG595" i="3"/>
  <c r="BD595" i="3"/>
  <c r="BF595" i="3" s="1"/>
  <c r="BC595" i="3"/>
  <c r="BE595" i="3" s="1"/>
  <c r="CI594" i="3"/>
  <c r="CK594" i="3" s="1"/>
  <c r="CH594" i="3"/>
  <c r="CJ594" i="3" s="1"/>
  <c r="BG594" i="3"/>
  <c r="BD594" i="3"/>
  <c r="BF594" i="3" s="1"/>
  <c r="BC594" i="3"/>
  <c r="BE594" i="3" s="1"/>
  <c r="CI593" i="3"/>
  <c r="CK593" i="3" s="1"/>
  <c r="CH593" i="3"/>
  <c r="CJ593" i="3" s="1"/>
  <c r="BG593" i="3"/>
  <c r="BD593" i="3"/>
  <c r="BF593" i="3" s="1"/>
  <c r="BC593" i="3"/>
  <c r="BE593" i="3" s="1"/>
  <c r="CI592" i="3"/>
  <c r="CK592" i="3" s="1"/>
  <c r="CH592" i="3"/>
  <c r="CJ592" i="3" s="1"/>
  <c r="BG592" i="3"/>
  <c r="BD592" i="3"/>
  <c r="BF592" i="3" s="1"/>
  <c r="BC592" i="3"/>
  <c r="BE592" i="3" s="1"/>
  <c r="CI591" i="3"/>
  <c r="CK591" i="3" s="1"/>
  <c r="CH591" i="3"/>
  <c r="CJ591" i="3" s="1"/>
  <c r="BG591" i="3"/>
  <c r="BD591" i="3"/>
  <c r="BF591" i="3" s="1"/>
  <c r="BC591" i="3"/>
  <c r="BE591" i="3" s="1"/>
  <c r="CI590" i="3"/>
  <c r="CK590" i="3" s="1"/>
  <c r="CH590" i="3"/>
  <c r="CJ590" i="3" s="1"/>
  <c r="BG590" i="3"/>
  <c r="BD590" i="3"/>
  <c r="BF590" i="3" s="1"/>
  <c r="BC590" i="3"/>
  <c r="BE590" i="3" s="1"/>
  <c r="CI589" i="3"/>
  <c r="CK589" i="3" s="1"/>
  <c r="CH589" i="3"/>
  <c r="CJ589" i="3" s="1"/>
  <c r="BG589" i="3"/>
  <c r="BD589" i="3"/>
  <c r="BF589" i="3" s="1"/>
  <c r="BC589" i="3"/>
  <c r="BE589" i="3" s="1"/>
  <c r="CI588" i="3"/>
  <c r="CK588" i="3" s="1"/>
  <c r="CH588" i="3"/>
  <c r="CJ588" i="3" s="1"/>
  <c r="BG588" i="3"/>
  <c r="BD588" i="3"/>
  <c r="BF588" i="3" s="1"/>
  <c r="BC588" i="3"/>
  <c r="BE588" i="3" s="1"/>
  <c r="CI587" i="3"/>
  <c r="CK587" i="3" s="1"/>
  <c r="CH587" i="3"/>
  <c r="CJ587" i="3" s="1"/>
  <c r="BG587" i="3"/>
  <c r="BD587" i="3"/>
  <c r="BF587" i="3" s="1"/>
  <c r="BC587" i="3"/>
  <c r="BE587" i="3" s="1"/>
  <c r="CI586" i="3"/>
  <c r="CK586" i="3" s="1"/>
  <c r="CH586" i="3"/>
  <c r="CJ586" i="3" s="1"/>
  <c r="BG586" i="3"/>
  <c r="BD586" i="3"/>
  <c r="BF586" i="3" s="1"/>
  <c r="BC586" i="3"/>
  <c r="BE586" i="3" s="1"/>
  <c r="CI585" i="3"/>
  <c r="CK585" i="3" s="1"/>
  <c r="CH585" i="3"/>
  <c r="CJ585" i="3" s="1"/>
  <c r="BG585" i="3"/>
  <c r="BD585" i="3"/>
  <c r="BF585" i="3" s="1"/>
  <c r="BC585" i="3"/>
  <c r="BE585" i="3" s="1"/>
  <c r="CI584" i="3"/>
  <c r="CK584" i="3" s="1"/>
  <c r="CH584" i="3"/>
  <c r="CJ584" i="3" s="1"/>
  <c r="BG584" i="3"/>
  <c r="BD584" i="3"/>
  <c r="BF584" i="3" s="1"/>
  <c r="BC584" i="3"/>
  <c r="BE584" i="3" s="1"/>
  <c r="CI583" i="3"/>
  <c r="CK583" i="3" s="1"/>
  <c r="CH583" i="3"/>
  <c r="CJ583" i="3" s="1"/>
  <c r="BG583" i="3"/>
  <c r="BD583" i="3"/>
  <c r="BF583" i="3" s="1"/>
  <c r="BC583" i="3"/>
  <c r="BE583" i="3" s="1"/>
  <c r="CI582" i="3"/>
  <c r="CK582" i="3" s="1"/>
  <c r="CH582" i="3"/>
  <c r="CJ582" i="3" s="1"/>
  <c r="BG582" i="3"/>
  <c r="BD582" i="3"/>
  <c r="BF582" i="3" s="1"/>
  <c r="BC582" i="3"/>
  <c r="BE582" i="3" s="1"/>
  <c r="CI581" i="3"/>
  <c r="CK581" i="3" s="1"/>
  <c r="CH581" i="3"/>
  <c r="CJ581" i="3" s="1"/>
  <c r="BG581" i="3"/>
  <c r="BD581" i="3"/>
  <c r="BF581" i="3" s="1"/>
  <c r="BC581" i="3"/>
  <c r="BE581" i="3" s="1"/>
  <c r="CI580" i="3"/>
  <c r="CK580" i="3" s="1"/>
  <c r="CH580" i="3"/>
  <c r="CJ580" i="3" s="1"/>
  <c r="BG580" i="3"/>
  <c r="BD580" i="3"/>
  <c r="BF580" i="3" s="1"/>
  <c r="BC580" i="3"/>
  <c r="BE580" i="3" s="1"/>
  <c r="CI579" i="3"/>
  <c r="CK579" i="3" s="1"/>
  <c r="CH579" i="3"/>
  <c r="CJ579" i="3" s="1"/>
  <c r="BG579" i="3"/>
  <c r="BD579" i="3"/>
  <c r="BF579" i="3" s="1"/>
  <c r="BC579" i="3"/>
  <c r="BE579" i="3" s="1"/>
  <c r="CI578" i="3"/>
  <c r="CK578" i="3" s="1"/>
  <c r="CH578" i="3"/>
  <c r="CJ578" i="3" s="1"/>
  <c r="BG578" i="3"/>
  <c r="BD578" i="3"/>
  <c r="BF578" i="3" s="1"/>
  <c r="BC578" i="3"/>
  <c r="BE578" i="3" s="1"/>
  <c r="CI577" i="3"/>
  <c r="CK577" i="3" s="1"/>
  <c r="CH577" i="3"/>
  <c r="CJ577" i="3" s="1"/>
  <c r="BG577" i="3"/>
  <c r="BD577" i="3"/>
  <c r="BF577" i="3" s="1"/>
  <c r="BC577" i="3"/>
  <c r="BE577" i="3" s="1"/>
  <c r="CI576" i="3"/>
  <c r="CK576" i="3" s="1"/>
  <c r="CH576" i="3"/>
  <c r="CJ576" i="3" s="1"/>
  <c r="BG576" i="3"/>
  <c r="BD576" i="3"/>
  <c r="BF576" i="3" s="1"/>
  <c r="BC576" i="3"/>
  <c r="BE576" i="3" s="1"/>
  <c r="CI575" i="3"/>
  <c r="CK575" i="3" s="1"/>
  <c r="CH575" i="3"/>
  <c r="CJ575" i="3" s="1"/>
  <c r="BG575" i="3"/>
  <c r="BD575" i="3"/>
  <c r="BF575" i="3" s="1"/>
  <c r="BC575" i="3"/>
  <c r="BE575" i="3" s="1"/>
  <c r="CI574" i="3"/>
  <c r="CK574" i="3" s="1"/>
  <c r="CH574" i="3"/>
  <c r="CJ574" i="3" s="1"/>
  <c r="BG574" i="3"/>
  <c r="BD574" i="3"/>
  <c r="BF574" i="3" s="1"/>
  <c r="BC574" i="3"/>
  <c r="BE574" i="3" s="1"/>
  <c r="CI573" i="3"/>
  <c r="CK573" i="3" s="1"/>
  <c r="CH573" i="3"/>
  <c r="CJ573" i="3" s="1"/>
  <c r="BG573" i="3"/>
  <c r="BD573" i="3"/>
  <c r="BF573" i="3" s="1"/>
  <c r="BC573" i="3"/>
  <c r="BE573" i="3" s="1"/>
  <c r="CI572" i="3"/>
  <c r="CK572" i="3" s="1"/>
  <c r="CH572" i="3"/>
  <c r="CJ572" i="3" s="1"/>
  <c r="BG572" i="3"/>
  <c r="BD572" i="3"/>
  <c r="BF572" i="3" s="1"/>
  <c r="BC572" i="3"/>
  <c r="BE572" i="3" s="1"/>
  <c r="CI571" i="3"/>
  <c r="CK571" i="3" s="1"/>
  <c r="CH571" i="3"/>
  <c r="CJ571" i="3" s="1"/>
  <c r="BG571" i="3"/>
  <c r="BD571" i="3"/>
  <c r="BF571" i="3" s="1"/>
  <c r="BC571" i="3"/>
  <c r="BE571" i="3" s="1"/>
  <c r="CI570" i="3"/>
  <c r="CK570" i="3" s="1"/>
  <c r="CH570" i="3"/>
  <c r="CJ570" i="3" s="1"/>
  <c r="BG570" i="3"/>
  <c r="BD570" i="3"/>
  <c r="BF570" i="3" s="1"/>
  <c r="BC570" i="3"/>
  <c r="BE570" i="3" s="1"/>
  <c r="CI569" i="3"/>
  <c r="CK569" i="3" s="1"/>
  <c r="CH569" i="3"/>
  <c r="CJ569" i="3" s="1"/>
  <c r="BG569" i="3"/>
  <c r="BD569" i="3"/>
  <c r="BF569" i="3" s="1"/>
  <c r="BC569" i="3"/>
  <c r="BE569" i="3" s="1"/>
  <c r="CI568" i="3"/>
  <c r="CK568" i="3" s="1"/>
  <c r="CH568" i="3"/>
  <c r="CJ568" i="3" s="1"/>
  <c r="BG568" i="3"/>
  <c r="BD568" i="3"/>
  <c r="BF568" i="3" s="1"/>
  <c r="BC568" i="3"/>
  <c r="BE568" i="3" s="1"/>
  <c r="CI567" i="3"/>
  <c r="CK567" i="3" s="1"/>
  <c r="CH567" i="3"/>
  <c r="CJ567" i="3" s="1"/>
  <c r="BG567" i="3"/>
  <c r="BD567" i="3"/>
  <c r="BF567" i="3" s="1"/>
  <c r="BC567" i="3"/>
  <c r="BE567" i="3" s="1"/>
  <c r="CI566" i="3"/>
  <c r="CK566" i="3" s="1"/>
  <c r="CH566" i="3"/>
  <c r="CJ566" i="3" s="1"/>
  <c r="BG566" i="3"/>
  <c r="BD566" i="3"/>
  <c r="BF566" i="3" s="1"/>
  <c r="BC566" i="3"/>
  <c r="BE566" i="3" s="1"/>
  <c r="CI565" i="3"/>
  <c r="CK565" i="3" s="1"/>
  <c r="CH565" i="3"/>
  <c r="CJ565" i="3" s="1"/>
  <c r="BG565" i="3"/>
  <c r="BD565" i="3"/>
  <c r="BF565" i="3" s="1"/>
  <c r="BC565" i="3"/>
  <c r="BE565" i="3" s="1"/>
  <c r="CI564" i="3"/>
  <c r="CK564" i="3" s="1"/>
  <c r="CH564" i="3"/>
  <c r="CJ564" i="3" s="1"/>
  <c r="BG564" i="3"/>
  <c r="BD564" i="3"/>
  <c r="BF564" i="3" s="1"/>
  <c r="BC564" i="3"/>
  <c r="BE564" i="3" s="1"/>
  <c r="CI563" i="3"/>
  <c r="CK563" i="3" s="1"/>
  <c r="CH563" i="3"/>
  <c r="CJ563" i="3" s="1"/>
  <c r="BG563" i="3"/>
  <c r="BD563" i="3"/>
  <c r="BF563" i="3" s="1"/>
  <c r="BC563" i="3"/>
  <c r="BE563" i="3" s="1"/>
  <c r="CI562" i="3"/>
  <c r="CK562" i="3" s="1"/>
  <c r="CH562" i="3"/>
  <c r="CJ562" i="3" s="1"/>
  <c r="BG562" i="3"/>
  <c r="BD562" i="3"/>
  <c r="BF562" i="3" s="1"/>
  <c r="BC562" i="3"/>
  <c r="BE562" i="3" s="1"/>
  <c r="CI561" i="3"/>
  <c r="CK561" i="3" s="1"/>
  <c r="CH561" i="3"/>
  <c r="CJ561" i="3" s="1"/>
  <c r="BG561" i="3"/>
  <c r="BD561" i="3"/>
  <c r="BF561" i="3" s="1"/>
  <c r="BC561" i="3"/>
  <c r="BE561" i="3" s="1"/>
  <c r="CI560" i="3"/>
  <c r="CK560" i="3" s="1"/>
  <c r="CH560" i="3"/>
  <c r="CJ560" i="3" s="1"/>
  <c r="BG560" i="3"/>
  <c r="BD560" i="3"/>
  <c r="BF560" i="3" s="1"/>
  <c r="BC560" i="3"/>
  <c r="BE560" i="3" s="1"/>
  <c r="CI559" i="3"/>
  <c r="CK559" i="3" s="1"/>
  <c r="CH559" i="3"/>
  <c r="CJ559" i="3" s="1"/>
  <c r="BG559" i="3"/>
  <c r="BD559" i="3"/>
  <c r="BF559" i="3" s="1"/>
  <c r="BC559" i="3"/>
  <c r="BE559" i="3" s="1"/>
  <c r="CI558" i="3"/>
  <c r="CK558" i="3" s="1"/>
  <c r="CH558" i="3"/>
  <c r="CJ558" i="3" s="1"/>
  <c r="BG558" i="3"/>
  <c r="BD558" i="3"/>
  <c r="BF558" i="3" s="1"/>
  <c r="BC558" i="3"/>
  <c r="BE558" i="3" s="1"/>
  <c r="CI557" i="3"/>
  <c r="CK557" i="3" s="1"/>
  <c r="CH557" i="3"/>
  <c r="CJ557" i="3" s="1"/>
  <c r="BG557" i="3"/>
  <c r="BD557" i="3"/>
  <c r="BF557" i="3" s="1"/>
  <c r="BC557" i="3"/>
  <c r="BE557" i="3" s="1"/>
  <c r="CI556" i="3"/>
  <c r="CK556" i="3" s="1"/>
  <c r="CH556" i="3"/>
  <c r="CJ556" i="3" s="1"/>
  <c r="BG556" i="3"/>
  <c r="BD556" i="3"/>
  <c r="BF556" i="3" s="1"/>
  <c r="BC556" i="3"/>
  <c r="BE556" i="3" s="1"/>
  <c r="CI555" i="3"/>
  <c r="CK555" i="3" s="1"/>
  <c r="CH555" i="3"/>
  <c r="CJ555" i="3" s="1"/>
  <c r="BG555" i="3"/>
  <c r="BD555" i="3"/>
  <c r="BF555" i="3" s="1"/>
  <c r="BC555" i="3"/>
  <c r="BE555" i="3" s="1"/>
  <c r="CI554" i="3"/>
  <c r="CK554" i="3" s="1"/>
  <c r="CH554" i="3"/>
  <c r="CJ554" i="3" s="1"/>
  <c r="BG554" i="3"/>
  <c r="BD554" i="3"/>
  <c r="BF554" i="3" s="1"/>
  <c r="BC554" i="3"/>
  <c r="BE554" i="3" s="1"/>
  <c r="CI553" i="3"/>
  <c r="CK553" i="3" s="1"/>
  <c r="CH553" i="3"/>
  <c r="CJ553" i="3" s="1"/>
  <c r="BG553" i="3"/>
  <c r="BD553" i="3"/>
  <c r="BF553" i="3" s="1"/>
  <c r="BC553" i="3"/>
  <c r="BE553" i="3" s="1"/>
  <c r="CI552" i="3"/>
  <c r="CK552" i="3" s="1"/>
  <c r="CH552" i="3"/>
  <c r="CJ552" i="3" s="1"/>
  <c r="BG552" i="3"/>
  <c r="BD552" i="3"/>
  <c r="BF552" i="3" s="1"/>
  <c r="BC552" i="3"/>
  <c r="BE552" i="3" s="1"/>
  <c r="CI551" i="3"/>
  <c r="CK551" i="3" s="1"/>
  <c r="CH551" i="3"/>
  <c r="CJ551" i="3" s="1"/>
  <c r="BG551" i="3"/>
  <c r="BD551" i="3"/>
  <c r="BF551" i="3" s="1"/>
  <c r="BC551" i="3"/>
  <c r="BE551" i="3" s="1"/>
  <c r="CI550" i="3"/>
  <c r="CK550" i="3" s="1"/>
  <c r="CH550" i="3"/>
  <c r="CJ550" i="3" s="1"/>
  <c r="BG550" i="3"/>
  <c r="BD550" i="3"/>
  <c r="BF550" i="3" s="1"/>
  <c r="BC550" i="3"/>
  <c r="BE550" i="3" s="1"/>
  <c r="CI549" i="3"/>
  <c r="CK549" i="3" s="1"/>
  <c r="CH549" i="3"/>
  <c r="CJ549" i="3" s="1"/>
  <c r="BG549" i="3"/>
  <c r="BD549" i="3"/>
  <c r="BF549" i="3" s="1"/>
  <c r="BC549" i="3"/>
  <c r="BE549" i="3" s="1"/>
  <c r="CI548" i="3"/>
  <c r="CK548" i="3" s="1"/>
  <c r="CH548" i="3"/>
  <c r="CJ548" i="3" s="1"/>
  <c r="BG548" i="3"/>
  <c r="BD548" i="3"/>
  <c r="BF548" i="3" s="1"/>
  <c r="BC548" i="3"/>
  <c r="BE548" i="3" s="1"/>
  <c r="CI547" i="3"/>
  <c r="CK547" i="3" s="1"/>
  <c r="CH547" i="3"/>
  <c r="CJ547" i="3" s="1"/>
  <c r="BG547" i="3"/>
  <c r="BD547" i="3"/>
  <c r="BF547" i="3" s="1"/>
  <c r="BC547" i="3"/>
  <c r="BE547" i="3" s="1"/>
  <c r="CI546" i="3"/>
  <c r="CK546" i="3" s="1"/>
  <c r="CH546" i="3"/>
  <c r="CJ546" i="3" s="1"/>
  <c r="BG546" i="3"/>
  <c r="BD546" i="3"/>
  <c r="BF546" i="3" s="1"/>
  <c r="BC546" i="3"/>
  <c r="BE546" i="3" s="1"/>
  <c r="CI545" i="3"/>
  <c r="CK545" i="3" s="1"/>
  <c r="CH545" i="3"/>
  <c r="CJ545" i="3" s="1"/>
  <c r="BG545" i="3"/>
  <c r="BD545" i="3"/>
  <c r="BF545" i="3" s="1"/>
  <c r="BC545" i="3"/>
  <c r="BE545" i="3" s="1"/>
  <c r="CI544" i="3"/>
  <c r="CK544" i="3" s="1"/>
  <c r="CH544" i="3"/>
  <c r="CJ544" i="3" s="1"/>
  <c r="BG544" i="3"/>
  <c r="BD544" i="3"/>
  <c r="BF544" i="3" s="1"/>
  <c r="BC544" i="3"/>
  <c r="BE544" i="3" s="1"/>
  <c r="CI543" i="3"/>
  <c r="CK543" i="3" s="1"/>
  <c r="CH543" i="3"/>
  <c r="CJ543" i="3" s="1"/>
  <c r="BG543" i="3"/>
  <c r="BD543" i="3"/>
  <c r="BF543" i="3" s="1"/>
  <c r="BC543" i="3"/>
  <c r="BE543" i="3" s="1"/>
  <c r="CI542" i="3"/>
  <c r="CK542" i="3" s="1"/>
  <c r="CH542" i="3"/>
  <c r="CJ542" i="3" s="1"/>
  <c r="BG542" i="3"/>
  <c r="BD542" i="3"/>
  <c r="BF542" i="3" s="1"/>
  <c r="BC542" i="3"/>
  <c r="BE542" i="3" s="1"/>
  <c r="CI541" i="3"/>
  <c r="CK541" i="3" s="1"/>
  <c r="CH541" i="3"/>
  <c r="CJ541" i="3" s="1"/>
  <c r="BG541" i="3"/>
  <c r="BD541" i="3"/>
  <c r="BF541" i="3" s="1"/>
  <c r="BC541" i="3"/>
  <c r="BE541" i="3" s="1"/>
  <c r="CI540" i="3"/>
  <c r="CK540" i="3" s="1"/>
  <c r="CH540" i="3"/>
  <c r="CJ540" i="3" s="1"/>
  <c r="BG540" i="3"/>
  <c r="BD540" i="3"/>
  <c r="BF540" i="3" s="1"/>
  <c r="BC540" i="3"/>
  <c r="BE540" i="3" s="1"/>
  <c r="CI539" i="3"/>
  <c r="CK539" i="3" s="1"/>
  <c r="CH539" i="3"/>
  <c r="CJ539" i="3" s="1"/>
  <c r="BG539" i="3"/>
  <c r="BD539" i="3"/>
  <c r="BF539" i="3" s="1"/>
  <c r="BC539" i="3"/>
  <c r="BE539" i="3" s="1"/>
  <c r="CI538" i="3"/>
  <c r="CK538" i="3" s="1"/>
  <c r="CH538" i="3"/>
  <c r="CJ538" i="3" s="1"/>
  <c r="BG538" i="3"/>
  <c r="BD538" i="3"/>
  <c r="BF538" i="3" s="1"/>
  <c r="BC538" i="3"/>
  <c r="BE538" i="3" s="1"/>
  <c r="CI537" i="3"/>
  <c r="CK537" i="3" s="1"/>
  <c r="CH537" i="3"/>
  <c r="CJ537" i="3" s="1"/>
  <c r="BG537" i="3"/>
  <c r="BD537" i="3"/>
  <c r="BF537" i="3" s="1"/>
  <c r="BC537" i="3"/>
  <c r="BE537" i="3" s="1"/>
  <c r="CI536" i="3"/>
  <c r="CK536" i="3" s="1"/>
  <c r="CH536" i="3"/>
  <c r="CJ536" i="3" s="1"/>
  <c r="BG536" i="3"/>
  <c r="BD536" i="3"/>
  <c r="BF536" i="3" s="1"/>
  <c r="BC536" i="3"/>
  <c r="BE536" i="3" s="1"/>
  <c r="CI535" i="3"/>
  <c r="CK535" i="3" s="1"/>
  <c r="CH535" i="3"/>
  <c r="CJ535" i="3" s="1"/>
  <c r="BG535" i="3"/>
  <c r="BD535" i="3"/>
  <c r="BF535" i="3" s="1"/>
  <c r="BC535" i="3"/>
  <c r="BE535" i="3" s="1"/>
  <c r="CI534" i="3"/>
  <c r="CK534" i="3" s="1"/>
  <c r="CH534" i="3"/>
  <c r="CJ534" i="3" s="1"/>
  <c r="BG534" i="3"/>
  <c r="BD534" i="3"/>
  <c r="BF534" i="3" s="1"/>
  <c r="BC534" i="3"/>
  <c r="BE534" i="3" s="1"/>
  <c r="CI533" i="3"/>
  <c r="CK533" i="3" s="1"/>
  <c r="CH533" i="3"/>
  <c r="CJ533" i="3" s="1"/>
  <c r="BG533" i="3"/>
  <c r="BD533" i="3"/>
  <c r="BF533" i="3" s="1"/>
  <c r="BC533" i="3"/>
  <c r="BE533" i="3" s="1"/>
  <c r="CI532" i="3"/>
  <c r="CK532" i="3" s="1"/>
  <c r="CH532" i="3"/>
  <c r="CJ532" i="3" s="1"/>
  <c r="BG532" i="3"/>
  <c r="BD532" i="3"/>
  <c r="BF532" i="3" s="1"/>
  <c r="BC532" i="3"/>
  <c r="BE532" i="3" s="1"/>
  <c r="CI531" i="3"/>
  <c r="CK531" i="3" s="1"/>
  <c r="CH531" i="3"/>
  <c r="CJ531" i="3" s="1"/>
  <c r="BG531" i="3"/>
  <c r="BD531" i="3"/>
  <c r="BF531" i="3" s="1"/>
  <c r="BC531" i="3"/>
  <c r="BE531" i="3" s="1"/>
  <c r="CI530" i="3"/>
  <c r="CK530" i="3" s="1"/>
  <c r="CH530" i="3"/>
  <c r="CJ530" i="3" s="1"/>
  <c r="BG530" i="3"/>
  <c r="BD530" i="3"/>
  <c r="BF530" i="3" s="1"/>
  <c r="BC530" i="3"/>
  <c r="BE530" i="3" s="1"/>
  <c r="CI529" i="3"/>
  <c r="CK529" i="3" s="1"/>
  <c r="CH529" i="3"/>
  <c r="CJ529" i="3" s="1"/>
  <c r="BG529" i="3"/>
  <c r="BD529" i="3"/>
  <c r="BF529" i="3" s="1"/>
  <c r="BC529" i="3"/>
  <c r="BE529" i="3" s="1"/>
  <c r="CI528" i="3"/>
  <c r="CK528" i="3" s="1"/>
  <c r="CH528" i="3"/>
  <c r="CJ528" i="3" s="1"/>
  <c r="BG528" i="3"/>
  <c r="BD528" i="3"/>
  <c r="BF528" i="3" s="1"/>
  <c r="BC528" i="3"/>
  <c r="BE528" i="3" s="1"/>
  <c r="CI527" i="3"/>
  <c r="CK527" i="3" s="1"/>
  <c r="CH527" i="3"/>
  <c r="CJ527" i="3" s="1"/>
  <c r="BG527" i="3"/>
  <c r="BD527" i="3"/>
  <c r="BF527" i="3" s="1"/>
  <c r="BC527" i="3"/>
  <c r="BE527" i="3" s="1"/>
  <c r="CI526" i="3"/>
  <c r="CK526" i="3" s="1"/>
  <c r="CH526" i="3"/>
  <c r="CJ526" i="3" s="1"/>
  <c r="BG526" i="3"/>
  <c r="BD526" i="3"/>
  <c r="BF526" i="3" s="1"/>
  <c r="BC526" i="3"/>
  <c r="BE526" i="3" s="1"/>
  <c r="CI525" i="3"/>
  <c r="CK525" i="3" s="1"/>
  <c r="CH525" i="3"/>
  <c r="CJ525" i="3" s="1"/>
  <c r="BG525" i="3"/>
  <c r="BD525" i="3"/>
  <c r="BF525" i="3" s="1"/>
  <c r="BC525" i="3"/>
  <c r="BE525" i="3" s="1"/>
  <c r="CI524" i="3"/>
  <c r="CK524" i="3" s="1"/>
  <c r="CH524" i="3"/>
  <c r="CJ524" i="3" s="1"/>
  <c r="BG524" i="3"/>
  <c r="BD524" i="3"/>
  <c r="BF524" i="3" s="1"/>
  <c r="BC524" i="3"/>
  <c r="BE524" i="3" s="1"/>
  <c r="CI523" i="3"/>
  <c r="CK523" i="3" s="1"/>
  <c r="CH523" i="3"/>
  <c r="CJ523" i="3" s="1"/>
  <c r="BG523" i="3"/>
  <c r="BD523" i="3"/>
  <c r="BF523" i="3" s="1"/>
  <c r="BC523" i="3"/>
  <c r="BE523" i="3" s="1"/>
  <c r="CI522" i="3"/>
  <c r="CK522" i="3" s="1"/>
  <c r="CH522" i="3"/>
  <c r="CJ522" i="3" s="1"/>
  <c r="BG522" i="3"/>
  <c r="BD522" i="3"/>
  <c r="BF522" i="3" s="1"/>
  <c r="BC522" i="3"/>
  <c r="BE522" i="3" s="1"/>
  <c r="CI521" i="3"/>
  <c r="CK521" i="3" s="1"/>
  <c r="CH521" i="3"/>
  <c r="CJ521" i="3" s="1"/>
  <c r="BG521" i="3"/>
  <c r="BD521" i="3"/>
  <c r="BF521" i="3" s="1"/>
  <c r="BC521" i="3"/>
  <c r="BE521" i="3" s="1"/>
  <c r="CI520" i="3"/>
  <c r="CK520" i="3" s="1"/>
  <c r="CH520" i="3"/>
  <c r="CJ520" i="3" s="1"/>
  <c r="BG520" i="3"/>
  <c r="BD520" i="3"/>
  <c r="BF520" i="3" s="1"/>
  <c r="BC520" i="3"/>
  <c r="BE520" i="3" s="1"/>
  <c r="CI519" i="3"/>
  <c r="CK519" i="3" s="1"/>
  <c r="CH519" i="3"/>
  <c r="CJ519" i="3" s="1"/>
  <c r="BG519" i="3"/>
  <c r="BD519" i="3"/>
  <c r="BF519" i="3" s="1"/>
  <c r="BC519" i="3"/>
  <c r="BE519" i="3" s="1"/>
  <c r="CI518" i="3"/>
  <c r="CK518" i="3" s="1"/>
  <c r="CH518" i="3"/>
  <c r="CJ518" i="3" s="1"/>
  <c r="BG518" i="3"/>
  <c r="BD518" i="3"/>
  <c r="BF518" i="3" s="1"/>
  <c r="BC518" i="3"/>
  <c r="BE518" i="3" s="1"/>
  <c r="CI517" i="3"/>
  <c r="CK517" i="3" s="1"/>
  <c r="CH517" i="3"/>
  <c r="CJ517" i="3" s="1"/>
  <c r="BG517" i="3"/>
  <c r="BD517" i="3"/>
  <c r="BF517" i="3" s="1"/>
  <c r="BC517" i="3"/>
  <c r="BE517" i="3" s="1"/>
  <c r="CI516" i="3"/>
  <c r="CK516" i="3" s="1"/>
  <c r="CH516" i="3"/>
  <c r="CJ516" i="3" s="1"/>
  <c r="BG516" i="3"/>
  <c r="BD516" i="3"/>
  <c r="BF516" i="3" s="1"/>
  <c r="BC516" i="3"/>
  <c r="BE516" i="3" s="1"/>
  <c r="CI515" i="3"/>
  <c r="CK515" i="3" s="1"/>
  <c r="CH515" i="3"/>
  <c r="CJ515" i="3" s="1"/>
  <c r="BG515" i="3"/>
  <c r="BD515" i="3"/>
  <c r="BF515" i="3" s="1"/>
  <c r="BC515" i="3"/>
  <c r="BE515" i="3" s="1"/>
  <c r="CI514" i="3"/>
  <c r="CK514" i="3" s="1"/>
  <c r="CH514" i="3"/>
  <c r="CJ514" i="3" s="1"/>
  <c r="BG514" i="3"/>
  <c r="BD514" i="3"/>
  <c r="BF514" i="3" s="1"/>
  <c r="BC514" i="3"/>
  <c r="BE514" i="3" s="1"/>
  <c r="CI513" i="3"/>
  <c r="CK513" i="3" s="1"/>
  <c r="CH513" i="3"/>
  <c r="CJ513" i="3" s="1"/>
  <c r="BG513" i="3"/>
  <c r="BD513" i="3"/>
  <c r="BF513" i="3" s="1"/>
  <c r="BC513" i="3"/>
  <c r="BE513" i="3" s="1"/>
  <c r="CI512" i="3"/>
  <c r="CK512" i="3" s="1"/>
  <c r="CH512" i="3"/>
  <c r="CJ512" i="3" s="1"/>
  <c r="BG512" i="3"/>
  <c r="BD512" i="3"/>
  <c r="BF512" i="3" s="1"/>
  <c r="BC512" i="3"/>
  <c r="BE512" i="3" s="1"/>
  <c r="CI511" i="3"/>
  <c r="CK511" i="3" s="1"/>
  <c r="CH511" i="3"/>
  <c r="CJ511" i="3" s="1"/>
  <c r="BG511" i="3"/>
  <c r="BD511" i="3"/>
  <c r="BF511" i="3" s="1"/>
  <c r="BC511" i="3"/>
  <c r="BE511" i="3" s="1"/>
  <c r="CI510" i="3"/>
  <c r="CK510" i="3" s="1"/>
  <c r="CH510" i="3"/>
  <c r="CJ510" i="3" s="1"/>
  <c r="BG510" i="3"/>
  <c r="BD510" i="3"/>
  <c r="BF510" i="3" s="1"/>
  <c r="BC510" i="3"/>
  <c r="BE510" i="3" s="1"/>
  <c r="CI509" i="3"/>
  <c r="CK509" i="3" s="1"/>
  <c r="CH509" i="3"/>
  <c r="CJ509" i="3" s="1"/>
  <c r="BG509" i="3"/>
  <c r="BD509" i="3"/>
  <c r="BF509" i="3" s="1"/>
  <c r="BC509" i="3"/>
  <c r="BE509" i="3" s="1"/>
  <c r="CI508" i="3"/>
  <c r="CK508" i="3" s="1"/>
  <c r="CH508" i="3"/>
  <c r="CJ508" i="3" s="1"/>
  <c r="BG508" i="3"/>
  <c r="BD508" i="3"/>
  <c r="BF508" i="3" s="1"/>
  <c r="BC508" i="3"/>
  <c r="BE508" i="3" s="1"/>
  <c r="CI507" i="3"/>
  <c r="CK507" i="3" s="1"/>
  <c r="CH507" i="3"/>
  <c r="CJ507" i="3" s="1"/>
  <c r="BG507" i="3"/>
  <c r="BD507" i="3"/>
  <c r="BF507" i="3" s="1"/>
  <c r="BC507" i="3"/>
  <c r="BE507" i="3" s="1"/>
  <c r="CI506" i="3"/>
  <c r="CK506" i="3" s="1"/>
  <c r="CH506" i="3"/>
  <c r="CJ506" i="3" s="1"/>
  <c r="BG506" i="3"/>
  <c r="BD506" i="3"/>
  <c r="BF506" i="3" s="1"/>
  <c r="BC506" i="3"/>
  <c r="BE506" i="3" s="1"/>
  <c r="CI505" i="3"/>
  <c r="CK505" i="3" s="1"/>
  <c r="CH505" i="3"/>
  <c r="CJ505" i="3" s="1"/>
  <c r="BG505" i="3"/>
  <c r="BD505" i="3"/>
  <c r="BF505" i="3" s="1"/>
  <c r="BC505" i="3"/>
  <c r="BE505" i="3" s="1"/>
  <c r="CI504" i="3"/>
  <c r="CK504" i="3" s="1"/>
  <c r="CH504" i="3"/>
  <c r="CJ504" i="3" s="1"/>
  <c r="BG504" i="3"/>
  <c r="BD504" i="3"/>
  <c r="BF504" i="3" s="1"/>
  <c r="BC504" i="3"/>
  <c r="BE504" i="3" s="1"/>
  <c r="CI503" i="3"/>
  <c r="CK503" i="3" s="1"/>
  <c r="CH503" i="3"/>
  <c r="CJ503" i="3" s="1"/>
  <c r="BG503" i="3"/>
  <c r="BD503" i="3"/>
  <c r="BF503" i="3" s="1"/>
  <c r="BC503" i="3"/>
  <c r="BE503" i="3" s="1"/>
  <c r="CI502" i="3"/>
  <c r="CK502" i="3" s="1"/>
  <c r="CH502" i="3"/>
  <c r="CJ502" i="3" s="1"/>
  <c r="BG502" i="3"/>
  <c r="BD502" i="3"/>
  <c r="BF502" i="3" s="1"/>
  <c r="BC502" i="3"/>
  <c r="BE502" i="3" s="1"/>
  <c r="CI501" i="3"/>
  <c r="CK501" i="3" s="1"/>
  <c r="CH501" i="3"/>
  <c r="CJ501" i="3" s="1"/>
  <c r="BG501" i="3"/>
  <c r="BD501" i="3"/>
  <c r="BF501" i="3" s="1"/>
  <c r="BC501" i="3"/>
  <c r="BE501" i="3" s="1"/>
  <c r="CI500" i="3"/>
  <c r="CK500" i="3" s="1"/>
  <c r="CH500" i="3"/>
  <c r="CJ500" i="3" s="1"/>
  <c r="BG500" i="3"/>
  <c r="BD500" i="3"/>
  <c r="BF500" i="3" s="1"/>
  <c r="BC500" i="3"/>
  <c r="BE500" i="3" s="1"/>
  <c r="CI499" i="3"/>
  <c r="CK499" i="3" s="1"/>
  <c r="CH499" i="3"/>
  <c r="CJ499" i="3" s="1"/>
  <c r="BG499" i="3"/>
  <c r="BD499" i="3"/>
  <c r="BF499" i="3" s="1"/>
  <c r="BC499" i="3"/>
  <c r="BE499" i="3" s="1"/>
  <c r="CI498" i="3"/>
  <c r="CK498" i="3" s="1"/>
  <c r="CH498" i="3"/>
  <c r="CJ498" i="3" s="1"/>
  <c r="BG498" i="3"/>
  <c r="BD498" i="3"/>
  <c r="BF498" i="3" s="1"/>
  <c r="BC498" i="3"/>
  <c r="BE498" i="3" s="1"/>
  <c r="CI497" i="3"/>
  <c r="CK497" i="3" s="1"/>
  <c r="CH497" i="3"/>
  <c r="CJ497" i="3" s="1"/>
  <c r="BG497" i="3"/>
  <c r="BD497" i="3"/>
  <c r="BF497" i="3" s="1"/>
  <c r="BC497" i="3"/>
  <c r="BE497" i="3" s="1"/>
  <c r="CI496" i="3"/>
  <c r="CK496" i="3" s="1"/>
  <c r="CH496" i="3"/>
  <c r="CJ496" i="3" s="1"/>
  <c r="BG496" i="3"/>
  <c r="BD496" i="3"/>
  <c r="BF496" i="3" s="1"/>
  <c r="BC496" i="3"/>
  <c r="BE496" i="3" s="1"/>
  <c r="CI495" i="3"/>
  <c r="CK495" i="3" s="1"/>
  <c r="CH495" i="3"/>
  <c r="CJ495" i="3" s="1"/>
  <c r="BG495" i="3"/>
  <c r="BD495" i="3"/>
  <c r="BF495" i="3" s="1"/>
  <c r="BC495" i="3"/>
  <c r="BE495" i="3" s="1"/>
  <c r="CI494" i="3"/>
  <c r="CK494" i="3" s="1"/>
  <c r="CH494" i="3"/>
  <c r="CJ494" i="3" s="1"/>
  <c r="BG494" i="3"/>
  <c r="BD494" i="3"/>
  <c r="BF494" i="3" s="1"/>
  <c r="BC494" i="3"/>
  <c r="BE494" i="3" s="1"/>
  <c r="CI493" i="3"/>
  <c r="CK493" i="3" s="1"/>
  <c r="CH493" i="3"/>
  <c r="CJ493" i="3" s="1"/>
  <c r="BG493" i="3"/>
  <c r="BD493" i="3"/>
  <c r="BF493" i="3" s="1"/>
  <c r="BC493" i="3"/>
  <c r="BE493" i="3" s="1"/>
  <c r="CI492" i="3"/>
  <c r="CK492" i="3" s="1"/>
  <c r="CH492" i="3"/>
  <c r="CJ492" i="3" s="1"/>
  <c r="BG492" i="3"/>
  <c r="BD492" i="3"/>
  <c r="BF492" i="3" s="1"/>
  <c r="BC492" i="3"/>
  <c r="BE492" i="3" s="1"/>
  <c r="CI491" i="3"/>
  <c r="CK491" i="3" s="1"/>
  <c r="CH491" i="3"/>
  <c r="CJ491" i="3" s="1"/>
  <c r="BG491" i="3"/>
  <c r="BD491" i="3"/>
  <c r="BF491" i="3" s="1"/>
  <c r="BC491" i="3"/>
  <c r="BE491" i="3" s="1"/>
  <c r="CI490" i="3"/>
  <c r="CK490" i="3" s="1"/>
  <c r="CH490" i="3"/>
  <c r="CJ490" i="3" s="1"/>
  <c r="BG490" i="3"/>
  <c r="BD490" i="3"/>
  <c r="BF490" i="3" s="1"/>
  <c r="BC490" i="3"/>
  <c r="BE490" i="3" s="1"/>
  <c r="CI489" i="3"/>
  <c r="CK489" i="3" s="1"/>
  <c r="CH489" i="3"/>
  <c r="CJ489" i="3" s="1"/>
  <c r="BG489" i="3"/>
  <c r="BD489" i="3"/>
  <c r="BF489" i="3" s="1"/>
  <c r="BC489" i="3"/>
  <c r="BE489" i="3" s="1"/>
  <c r="CI488" i="3"/>
  <c r="CK488" i="3" s="1"/>
  <c r="CH488" i="3"/>
  <c r="CJ488" i="3" s="1"/>
  <c r="BG488" i="3"/>
  <c r="BD488" i="3"/>
  <c r="BF488" i="3" s="1"/>
  <c r="BC488" i="3"/>
  <c r="BE488" i="3" s="1"/>
  <c r="CI487" i="3"/>
  <c r="CK487" i="3" s="1"/>
  <c r="CH487" i="3"/>
  <c r="CJ487" i="3" s="1"/>
  <c r="BG487" i="3"/>
  <c r="BD487" i="3"/>
  <c r="BF487" i="3" s="1"/>
  <c r="BC487" i="3"/>
  <c r="BE487" i="3" s="1"/>
  <c r="CI486" i="3"/>
  <c r="CK486" i="3" s="1"/>
  <c r="CH486" i="3"/>
  <c r="CJ486" i="3" s="1"/>
  <c r="BG486" i="3"/>
  <c r="BD486" i="3"/>
  <c r="BF486" i="3" s="1"/>
  <c r="BC486" i="3"/>
  <c r="BE486" i="3" s="1"/>
  <c r="CI485" i="3"/>
  <c r="CK485" i="3" s="1"/>
  <c r="CH485" i="3"/>
  <c r="CJ485" i="3" s="1"/>
  <c r="BG485" i="3"/>
  <c r="BD485" i="3"/>
  <c r="BF485" i="3" s="1"/>
  <c r="BC485" i="3"/>
  <c r="BE485" i="3" s="1"/>
  <c r="CI484" i="3"/>
  <c r="CK484" i="3" s="1"/>
  <c r="CH484" i="3"/>
  <c r="CJ484" i="3" s="1"/>
  <c r="BG484" i="3"/>
  <c r="BD484" i="3"/>
  <c r="BF484" i="3" s="1"/>
  <c r="BC484" i="3"/>
  <c r="BE484" i="3" s="1"/>
  <c r="CI483" i="3"/>
  <c r="CK483" i="3" s="1"/>
  <c r="CH483" i="3"/>
  <c r="CJ483" i="3" s="1"/>
  <c r="BG483" i="3"/>
  <c r="BD483" i="3"/>
  <c r="BF483" i="3" s="1"/>
  <c r="BC483" i="3"/>
  <c r="BE483" i="3" s="1"/>
  <c r="CI482" i="3"/>
  <c r="CK482" i="3" s="1"/>
  <c r="CH482" i="3"/>
  <c r="CJ482" i="3" s="1"/>
  <c r="BG482" i="3"/>
  <c r="BD482" i="3"/>
  <c r="BF482" i="3" s="1"/>
  <c r="BC482" i="3"/>
  <c r="BE482" i="3" s="1"/>
  <c r="CI481" i="3"/>
  <c r="CK481" i="3" s="1"/>
  <c r="CH481" i="3"/>
  <c r="CJ481" i="3" s="1"/>
  <c r="BG481" i="3"/>
  <c r="BD481" i="3"/>
  <c r="BF481" i="3" s="1"/>
  <c r="BC481" i="3"/>
  <c r="BE481" i="3" s="1"/>
  <c r="CI480" i="3"/>
  <c r="CH480" i="3"/>
  <c r="BG480" i="3"/>
  <c r="BD480" i="3"/>
  <c r="BC480" i="3"/>
  <c r="X480" i="3"/>
  <c r="W480" i="3"/>
  <c r="CI479" i="3"/>
  <c r="CK479" i="3" s="1"/>
  <c r="CH479" i="3"/>
  <c r="CJ479" i="3" s="1"/>
  <c r="BG479" i="3"/>
  <c r="BD479" i="3"/>
  <c r="BF479" i="3" s="1"/>
  <c r="BC479" i="3"/>
  <c r="BE479" i="3" s="1"/>
  <c r="CI478" i="3"/>
  <c r="CK478" i="3" s="1"/>
  <c r="CH478" i="3"/>
  <c r="CJ478" i="3" s="1"/>
  <c r="BG478" i="3"/>
  <c r="BD478" i="3"/>
  <c r="BF478" i="3" s="1"/>
  <c r="BC478" i="3"/>
  <c r="BE478" i="3" s="1"/>
  <c r="CI477" i="3"/>
  <c r="CK477" i="3" s="1"/>
  <c r="CH477" i="3"/>
  <c r="CJ477" i="3" s="1"/>
  <c r="BG477" i="3"/>
  <c r="BD477" i="3"/>
  <c r="BF477" i="3" s="1"/>
  <c r="BC477" i="3"/>
  <c r="BE477" i="3" s="1"/>
  <c r="CI476" i="3"/>
  <c r="CK476" i="3" s="1"/>
  <c r="CH476" i="3"/>
  <c r="CJ476" i="3" s="1"/>
  <c r="BG476" i="3"/>
  <c r="BD476" i="3"/>
  <c r="BF476" i="3" s="1"/>
  <c r="BC476" i="3"/>
  <c r="BE476" i="3" s="1"/>
  <c r="CI475" i="3"/>
  <c r="CK475" i="3" s="1"/>
  <c r="CH475" i="3"/>
  <c r="CJ475" i="3" s="1"/>
  <c r="BG475" i="3"/>
  <c r="BD475" i="3"/>
  <c r="BF475" i="3" s="1"/>
  <c r="BC475" i="3"/>
  <c r="BE475" i="3" s="1"/>
  <c r="CI474" i="3"/>
  <c r="CK474" i="3" s="1"/>
  <c r="CH474" i="3"/>
  <c r="CJ474" i="3" s="1"/>
  <c r="BG474" i="3"/>
  <c r="BD474" i="3"/>
  <c r="BF474" i="3" s="1"/>
  <c r="BC474" i="3"/>
  <c r="BE474" i="3" s="1"/>
  <c r="CI473" i="3"/>
  <c r="CK473" i="3" s="1"/>
  <c r="CH473" i="3"/>
  <c r="CJ473" i="3" s="1"/>
  <c r="BG473" i="3"/>
  <c r="BD473" i="3"/>
  <c r="BF473" i="3" s="1"/>
  <c r="BC473" i="3"/>
  <c r="BE473" i="3" s="1"/>
  <c r="CI472" i="3"/>
  <c r="CK472" i="3" s="1"/>
  <c r="CH472" i="3"/>
  <c r="CJ472" i="3" s="1"/>
  <c r="BG472" i="3"/>
  <c r="BD472" i="3"/>
  <c r="BF472" i="3" s="1"/>
  <c r="BC472" i="3"/>
  <c r="BE472" i="3" s="1"/>
  <c r="CI471" i="3"/>
  <c r="CK471" i="3" s="1"/>
  <c r="CH471" i="3"/>
  <c r="CJ471" i="3" s="1"/>
  <c r="BG471" i="3"/>
  <c r="BD471" i="3"/>
  <c r="BF471" i="3" s="1"/>
  <c r="BC471" i="3"/>
  <c r="BE471" i="3" s="1"/>
  <c r="CI470" i="3"/>
  <c r="CK470" i="3" s="1"/>
  <c r="CH470" i="3"/>
  <c r="CJ470" i="3" s="1"/>
  <c r="BG470" i="3"/>
  <c r="BD470" i="3"/>
  <c r="BF470" i="3" s="1"/>
  <c r="BC470" i="3"/>
  <c r="BE470" i="3" s="1"/>
  <c r="CI469" i="3"/>
  <c r="CK469" i="3" s="1"/>
  <c r="CH469" i="3"/>
  <c r="CJ469" i="3" s="1"/>
  <c r="BG469" i="3"/>
  <c r="BD469" i="3"/>
  <c r="BF469" i="3" s="1"/>
  <c r="BC469" i="3"/>
  <c r="BE469" i="3" s="1"/>
  <c r="CI468" i="3"/>
  <c r="CK468" i="3" s="1"/>
  <c r="CH468" i="3"/>
  <c r="CJ468" i="3" s="1"/>
  <c r="BG468" i="3"/>
  <c r="BD468" i="3"/>
  <c r="BF468" i="3" s="1"/>
  <c r="BC468" i="3"/>
  <c r="BE468" i="3" s="1"/>
  <c r="CI467" i="3"/>
  <c r="CK467" i="3" s="1"/>
  <c r="CH467" i="3"/>
  <c r="CJ467" i="3" s="1"/>
  <c r="BG467" i="3"/>
  <c r="BD467" i="3"/>
  <c r="BF467" i="3" s="1"/>
  <c r="BC467" i="3"/>
  <c r="BE467" i="3" s="1"/>
  <c r="CI466" i="3"/>
  <c r="CK466" i="3" s="1"/>
  <c r="CH466" i="3"/>
  <c r="CJ466" i="3" s="1"/>
  <c r="BG466" i="3"/>
  <c r="BD466" i="3"/>
  <c r="BF466" i="3" s="1"/>
  <c r="BC466" i="3"/>
  <c r="BE466" i="3" s="1"/>
  <c r="CI465" i="3"/>
  <c r="CK465" i="3" s="1"/>
  <c r="CH465" i="3"/>
  <c r="CJ465" i="3" s="1"/>
  <c r="BG465" i="3"/>
  <c r="BD465" i="3"/>
  <c r="BF465" i="3" s="1"/>
  <c r="BC465" i="3"/>
  <c r="BE465" i="3" s="1"/>
  <c r="CI464" i="3"/>
  <c r="CK464" i="3" s="1"/>
  <c r="CH464" i="3"/>
  <c r="CJ464" i="3" s="1"/>
  <c r="BG464" i="3"/>
  <c r="BD464" i="3"/>
  <c r="BF464" i="3" s="1"/>
  <c r="BC464" i="3"/>
  <c r="BE464" i="3" s="1"/>
  <c r="CI463" i="3"/>
  <c r="CK463" i="3" s="1"/>
  <c r="CH463" i="3"/>
  <c r="CJ463" i="3" s="1"/>
  <c r="BG463" i="3"/>
  <c r="BD463" i="3"/>
  <c r="BF463" i="3" s="1"/>
  <c r="BC463" i="3"/>
  <c r="BE463" i="3" s="1"/>
  <c r="CI462" i="3"/>
  <c r="CK462" i="3" s="1"/>
  <c r="CH462" i="3"/>
  <c r="CJ462" i="3" s="1"/>
  <c r="BG462" i="3"/>
  <c r="BD462" i="3"/>
  <c r="BF462" i="3" s="1"/>
  <c r="BC462" i="3"/>
  <c r="BE462" i="3" s="1"/>
  <c r="CI461" i="3"/>
  <c r="CK461" i="3" s="1"/>
  <c r="CH461" i="3"/>
  <c r="CJ461" i="3" s="1"/>
  <c r="BG461" i="3"/>
  <c r="BD461" i="3"/>
  <c r="BF461" i="3" s="1"/>
  <c r="BC461" i="3"/>
  <c r="BE461" i="3" s="1"/>
  <c r="CI460" i="3"/>
  <c r="CK460" i="3" s="1"/>
  <c r="CH460" i="3"/>
  <c r="CJ460" i="3" s="1"/>
  <c r="BG460" i="3"/>
  <c r="BD460" i="3"/>
  <c r="BF460" i="3" s="1"/>
  <c r="BC460" i="3"/>
  <c r="BE460" i="3" s="1"/>
  <c r="CI459" i="3"/>
  <c r="CK459" i="3" s="1"/>
  <c r="CH459" i="3"/>
  <c r="CJ459" i="3" s="1"/>
  <c r="BG459" i="3"/>
  <c r="BD459" i="3"/>
  <c r="BF459" i="3" s="1"/>
  <c r="BC459" i="3"/>
  <c r="BE459" i="3" s="1"/>
  <c r="CI458" i="3"/>
  <c r="CK458" i="3" s="1"/>
  <c r="CH458" i="3"/>
  <c r="CJ458" i="3" s="1"/>
  <c r="BG458" i="3"/>
  <c r="BD458" i="3"/>
  <c r="BF458" i="3" s="1"/>
  <c r="BC458" i="3"/>
  <c r="BE458" i="3" s="1"/>
  <c r="CI457" i="3"/>
  <c r="CK457" i="3" s="1"/>
  <c r="CH457" i="3"/>
  <c r="CJ457" i="3" s="1"/>
  <c r="BG457" i="3"/>
  <c r="BD457" i="3"/>
  <c r="BF457" i="3" s="1"/>
  <c r="BC457" i="3"/>
  <c r="BE457" i="3" s="1"/>
  <c r="CI456" i="3"/>
  <c r="CK456" i="3" s="1"/>
  <c r="CH456" i="3"/>
  <c r="CJ456" i="3" s="1"/>
  <c r="BG456" i="3"/>
  <c r="BD456" i="3"/>
  <c r="BF456" i="3" s="1"/>
  <c r="BC456" i="3"/>
  <c r="BE456" i="3" s="1"/>
  <c r="CI455" i="3"/>
  <c r="CK455" i="3" s="1"/>
  <c r="CH455" i="3"/>
  <c r="CJ455" i="3" s="1"/>
  <c r="BG455" i="3"/>
  <c r="BD455" i="3"/>
  <c r="BF455" i="3" s="1"/>
  <c r="BC455" i="3"/>
  <c r="BE455" i="3" s="1"/>
  <c r="CI454" i="3"/>
  <c r="CK454" i="3" s="1"/>
  <c r="CH454" i="3"/>
  <c r="CJ454" i="3" s="1"/>
  <c r="BG454" i="3"/>
  <c r="BD454" i="3"/>
  <c r="BF454" i="3" s="1"/>
  <c r="BC454" i="3"/>
  <c r="BE454" i="3" s="1"/>
  <c r="CI453" i="3"/>
  <c r="CK453" i="3" s="1"/>
  <c r="CH453" i="3"/>
  <c r="CJ453" i="3" s="1"/>
  <c r="BG453" i="3"/>
  <c r="BD453" i="3"/>
  <c r="BF453" i="3" s="1"/>
  <c r="BC453" i="3"/>
  <c r="BE453" i="3" s="1"/>
  <c r="CI452" i="3"/>
  <c r="CK452" i="3" s="1"/>
  <c r="CH452" i="3"/>
  <c r="CJ452" i="3" s="1"/>
  <c r="BG452" i="3"/>
  <c r="BD452" i="3"/>
  <c r="BF452" i="3" s="1"/>
  <c r="BC452" i="3"/>
  <c r="BE452" i="3" s="1"/>
  <c r="CI451" i="3"/>
  <c r="CK451" i="3" s="1"/>
  <c r="CH451" i="3"/>
  <c r="CJ451" i="3" s="1"/>
  <c r="BG451" i="3"/>
  <c r="BD451" i="3"/>
  <c r="BF451" i="3" s="1"/>
  <c r="BC451" i="3"/>
  <c r="BE451" i="3" s="1"/>
  <c r="CI450" i="3"/>
  <c r="CK450" i="3" s="1"/>
  <c r="CH450" i="3"/>
  <c r="CJ450" i="3" s="1"/>
  <c r="BG450" i="3"/>
  <c r="BD450" i="3"/>
  <c r="BF450" i="3" s="1"/>
  <c r="BC450" i="3"/>
  <c r="BE450" i="3" s="1"/>
  <c r="CI449" i="3"/>
  <c r="CK449" i="3" s="1"/>
  <c r="CH449" i="3"/>
  <c r="CJ449" i="3" s="1"/>
  <c r="BG449" i="3"/>
  <c r="BD449" i="3"/>
  <c r="BF449" i="3" s="1"/>
  <c r="BC449" i="3"/>
  <c r="BE449" i="3" s="1"/>
  <c r="CI448" i="3"/>
  <c r="CK448" i="3" s="1"/>
  <c r="CH448" i="3"/>
  <c r="CJ448" i="3" s="1"/>
  <c r="BG448" i="3"/>
  <c r="BD448" i="3"/>
  <c r="BF448" i="3" s="1"/>
  <c r="BC448" i="3"/>
  <c r="BE448" i="3" s="1"/>
  <c r="CI447" i="3"/>
  <c r="CK447" i="3" s="1"/>
  <c r="CH447" i="3"/>
  <c r="CJ447" i="3" s="1"/>
  <c r="BG447" i="3"/>
  <c r="BD447" i="3"/>
  <c r="BF447" i="3" s="1"/>
  <c r="BC447" i="3"/>
  <c r="BE447" i="3" s="1"/>
  <c r="CI446" i="3"/>
  <c r="CK446" i="3" s="1"/>
  <c r="CH446" i="3"/>
  <c r="CJ446" i="3" s="1"/>
  <c r="BG446" i="3"/>
  <c r="BD446" i="3"/>
  <c r="BF446" i="3" s="1"/>
  <c r="BC446" i="3"/>
  <c r="BE446" i="3" s="1"/>
  <c r="CI445" i="3"/>
  <c r="CK445" i="3" s="1"/>
  <c r="CH445" i="3"/>
  <c r="CJ445" i="3" s="1"/>
  <c r="BG445" i="3"/>
  <c r="BD445" i="3"/>
  <c r="BF445" i="3" s="1"/>
  <c r="BC445" i="3"/>
  <c r="BE445" i="3" s="1"/>
  <c r="CI444" i="3"/>
  <c r="CK444" i="3" s="1"/>
  <c r="CH444" i="3"/>
  <c r="CJ444" i="3" s="1"/>
  <c r="BG444" i="3"/>
  <c r="BD444" i="3"/>
  <c r="BF444" i="3" s="1"/>
  <c r="BC444" i="3"/>
  <c r="BE444" i="3" s="1"/>
  <c r="CI443" i="3"/>
  <c r="CK443" i="3" s="1"/>
  <c r="CH443" i="3"/>
  <c r="CJ443" i="3" s="1"/>
  <c r="BG443" i="3"/>
  <c r="BD443" i="3"/>
  <c r="BF443" i="3" s="1"/>
  <c r="BC443" i="3"/>
  <c r="BE443" i="3" s="1"/>
  <c r="CI442" i="3"/>
  <c r="CK442" i="3" s="1"/>
  <c r="CH442" i="3"/>
  <c r="CJ442" i="3" s="1"/>
  <c r="BG442" i="3"/>
  <c r="BD442" i="3"/>
  <c r="BF442" i="3" s="1"/>
  <c r="BC442" i="3"/>
  <c r="BE442" i="3" s="1"/>
  <c r="CI441" i="3"/>
  <c r="CK441" i="3" s="1"/>
  <c r="CH441" i="3"/>
  <c r="CJ441" i="3" s="1"/>
  <c r="BG441" i="3"/>
  <c r="BD441" i="3"/>
  <c r="BF441" i="3" s="1"/>
  <c r="BC441" i="3"/>
  <c r="BE441" i="3" s="1"/>
  <c r="CI440" i="3"/>
  <c r="CK440" i="3" s="1"/>
  <c r="CH440" i="3"/>
  <c r="CJ440" i="3" s="1"/>
  <c r="BG440" i="3"/>
  <c r="BD440" i="3"/>
  <c r="BF440" i="3" s="1"/>
  <c r="BC440" i="3"/>
  <c r="BE440" i="3" s="1"/>
  <c r="CI439" i="3"/>
  <c r="CK439" i="3" s="1"/>
  <c r="CH439" i="3"/>
  <c r="CJ439" i="3" s="1"/>
  <c r="BG439" i="3"/>
  <c r="BD439" i="3"/>
  <c r="BF439" i="3" s="1"/>
  <c r="BC439" i="3"/>
  <c r="BE439" i="3" s="1"/>
  <c r="CI438" i="3"/>
  <c r="CK438" i="3" s="1"/>
  <c r="CH438" i="3"/>
  <c r="CJ438" i="3" s="1"/>
  <c r="BG438" i="3"/>
  <c r="BD438" i="3"/>
  <c r="BF438" i="3" s="1"/>
  <c r="BC438" i="3"/>
  <c r="BE438" i="3" s="1"/>
  <c r="CI437" i="3"/>
  <c r="CK437" i="3" s="1"/>
  <c r="CH437" i="3"/>
  <c r="CJ437" i="3" s="1"/>
  <c r="BG437" i="3"/>
  <c r="BD437" i="3"/>
  <c r="BF437" i="3" s="1"/>
  <c r="BC437" i="3"/>
  <c r="BE437" i="3" s="1"/>
  <c r="CI436" i="3"/>
  <c r="CK436" i="3" s="1"/>
  <c r="CH436" i="3"/>
  <c r="CJ436" i="3" s="1"/>
  <c r="BG436" i="3"/>
  <c r="BD436" i="3"/>
  <c r="BF436" i="3" s="1"/>
  <c r="BC436" i="3"/>
  <c r="BE436" i="3" s="1"/>
  <c r="CI435" i="3"/>
  <c r="CK435" i="3" s="1"/>
  <c r="CH435" i="3"/>
  <c r="CJ435" i="3" s="1"/>
  <c r="BG435" i="3"/>
  <c r="BD435" i="3"/>
  <c r="BF435" i="3" s="1"/>
  <c r="BC435" i="3"/>
  <c r="BE435" i="3" s="1"/>
  <c r="CI434" i="3"/>
  <c r="CK434" i="3" s="1"/>
  <c r="CH434" i="3"/>
  <c r="CJ434" i="3" s="1"/>
  <c r="BG434" i="3"/>
  <c r="BD434" i="3"/>
  <c r="BF434" i="3" s="1"/>
  <c r="BC434" i="3"/>
  <c r="BE434" i="3" s="1"/>
  <c r="CI433" i="3"/>
  <c r="CK433" i="3" s="1"/>
  <c r="CH433" i="3"/>
  <c r="CJ433" i="3" s="1"/>
  <c r="BG433" i="3"/>
  <c r="BD433" i="3"/>
  <c r="BF433" i="3" s="1"/>
  <c r="BC433" i="3"/>
  <c r="BE433" i="3" s="1"/>
  <c r="CI432" i="3"/>
  <c r="CK432" i="3" s="1"/>
  <c r="CH432" i="3"/>
  <c r="CJ432" i="3" s="1"/>
  <c r="BG432" i="3"/>
  <c r="BD432" i="3"/>
  <c r="BF432" i="3" s="1"/>
  <c r="BC432" i="3"/>
  <c r="BE432" i="3" s="1"/>
  <c r="CI431" i="3"/>
  <c r="CK431" i="3" s="1"/>
  <c r="CH431" i="3"/>
  <c r="CJ431" i="3" s="1"/>
  <c r="BG431" i="3"/>
  <c r="BD431" i="3"/>
  <c r="BF431" i="3" s="1"/>
  <c r="BC431" i="3"/>
  <c r="BE431" i="3" s="1"/>
  <c r="CI430" i="3"/>
  <c r="CK430" i="3" s="1"/>
  <c r="CH430" i="3"/>
  <c r="CJ430" i="3" s="1"/>
  <c r="BG430" i="3"/>
  <c r="BD430" i="3"/>
  <c r="BF430" i="3" s="1"/>
  <c r="BC430" i="3"/>
  <c r="BE430" i="3" s="1"/>
  <c r="CI429" i="3"/>
  <c r="CK429" i="3" s="1"/>
  <c r="CH429" i="3"/>
  <c r="CJ429" i="3" s="1"/>
  <c r="BG429" i="3"/>
  <c r="BD429" i="3"/>
  <c r="BF429" i="3" s="1"/>
  <c r="BC429" i="3"/>
  <c r="BE429" i="3" s="1"/>
  <c r="CI428" i="3"/>
  <c r="CK428" i="3" s="1"/>
  <c r="CH428" i="3"/>
  <c r="CJ428" i="3" s="1"/>
  <c r="BG428" i="3"/>
  <c r="BD428" i="3"/>
  <c r="BF428" i="3" s="1"/>
  <c r="BC428" i="3"/>
  <c r="BE428" i="3" s="1"/>
  <c r="CI427" i="3"/>
  <c r="CK427" i="3" s="1"/>
  <c r="CH427" i="3"/>
  <c r="CJ427" i="3" s="1"/>
  <c r="BG427" i="3"/>
  <c r="BD427" i="3"/>
  <c r="BF427" i="3" s="1"/>
  <c r="BC427" i="3"/>
  <c r="BE427" i="3" s="1"/>
  <c r="CI426" i="3"/>
  <c r="CK426" i="3" s="1"/>
  <c r="CH426" i="3"/>
  <c r="CJ426" i="3" s="1"/>
  <c r="BG426" i="3"/>
  <c r="BD426" i="3"/>
  <c r="BF426" i="3" s="1"/>
  <c r="BC426" i="3"/>
  <c r="BE426" i="3" s="1"/>
  <c r="CI425" i="3"/>
  <c r="CK425" i="3" s="1"/>
  <c r="CH425" i="3"/>
  <c r="CJ425" i="3" s="1"/>
  <c r="BG425" i="3"/>
  <c r="BD425" i="3"/>
  <c r="BF425" i="3" s="1"/>
  <c r="BC425" i="3"/>
  <c r="BE425" i="3" s="1"/>
  <c r="CI424" i="3"/>
  <c r="CK424" i="3" s="1"/>
  <c r="CH424" i="3"/>
  <c r="CJ424" i="3" s="1"/>
  <c r="BG424" i="3"/>
  <c r="BD424" i="3"/>
  <c r="BF424" i="3" s="1"/>
  <c r="BC424" i="3"/>
  <c r="BE424" i="3" s="1"/>
  <c r="CI423" i="3"/>
  <c r="CK423" i="3" s="1"/>
  <c r="CH423" i="3"/>
  <c r="CJ423" i="3" s="1"/>
  <c r="BG423" i="3"/>
  <c r="BD423" i="3"/>
  <c r="BF423" i="3" s="1"/>
  <c r="BC423" i="3"/>
  <c r="BE423" i="3" s="1"/>
  <c r="CI422" i="3"/>
  <c r="CK422" i="3" s="1"/>
  <c r="CH422" i="3"/>
  <c r="CJ422" i="3" s="1"/>
  <c r="BG422" i="3"/>
  <c r="BD422" i="3"/>
  <c r="BF422" i="3" s="1"/>
  <c r="BC422" i="3"/>
  <c r="BE422" i="3" s="1"/>
  <c r="CI421" i="3"/>
  <c r="CK421" i="3" s="1"/>
  <c r="CH421" i="3"/>
  <c r="CJ421" i="3" s="1"/>
  <c r="BG421" i="3"/>
  <c r="BD421" i="3"/>
  <c r="BF421" i="3" s="1"/>
  <c r="BC421" i="3"/>
  <c r="BE421" i="3" s="1"/>
  <c r="CI420" i="3"/>
  <c r="CK420" i="3" s="1"/>
  <c r="CH420" i="3"/>
  <c r="CJ420" i="3" s="1"/>
  <c r="BG420" i="3"/>
  <c r="BD420" i="3"/>
  <c r="BF420" i="3" s="1"/>
  <c r="BC420" i="3"/>
  <c r="BE420" i="3" s="1"/>
  <c r="CI419" i="3"/>
  <c r="CK419" i="3" s="1"/>
  <c r="CH419" i="3"/>
  <c r="CJ419" i="3" s="1"/>
  <c r="BG419" i="3"/>
  <c r="BD419" i="3"/>
  <c r="BF419" i="3" s="1"/>
  <c r="BC419" i="3"/>
  <c r="BE419" i="3" s="1"/>
  <c r="CI418" i="3"/>
  <c r="CK418" i="3" s="1"/>
  <c r="CH418" i="3"/>
  <c r="CJ418" i="3" s="1"/>
  <c r="BG418" i="3"/>
  <c r="BD418" i="3"/>
  <c r="BF418" i="3" s="1"/>
  <c r="BC418" i="3"/>
  <c r="BE418" i="3" s="1"/>
  <c r="CI417" i="3"/>
  <c r="CK417" i="3" s="1"/>
  <c r="CH417" i="3"/>
  <c r="CJ417" i="3" s="1"/>
  <c r="BG417" i="3"/>
  <c r="BD417" i="3"/>
  <c r="BF417" i="3" s="1"/>
  <c r="BC417" i="3"/>
  <c r="BE417" i="3" s="1"/>
  <c r="CI416" i="3"/>
  <c r="CK416" i="3" s="1"/>
  <c r="CH416" i="3"/>
  <c r="CJ416" i="3" s="1"/>
  <c r="BG416" i="3"/>
  <c r="BD416" i="3"/>
  <c r="BF416" i="3" s="1"/>
  <c r="BC416" i="3"/>
  <c r="BE416" i="3" s="1"/>
  <c r="CI415" i="3"/>
  <c r="CK415" i="3" s="1"/>
  <c r="CH415" i="3"/>
  <c r="CJ415" i="3" s="1"/>
  <c r="BG415" i="3"/>
  <c r="BD415" i="3"/>
  <c r="BF415" i="3" s="1"/>
  <c r="BC415" i="3"/>
  <c r="BE415" i="3" s="1"/>
  <c r="CI414" i="3"/>
  <c r="CK414" i="3" s="1"/>
  <c r="CH414" i="3"/>
  <c r="CJ414" i="3" s="1"/>
  <c r="BG414" i="3"/>
  <c r="BD414" i="3"/>
  <c r="BF414" i="3" s="1"/>
  <c r="BC414" i="3"/>
  <c r="BE414" i="3" s="1"/>
  <c r="CI413" i="3"/>
  <c r="CK413" i="3" s="1"/>
  <c r="CH413" i="3"/>
  <c r="CJ413" i="3" s="1"/>
  <c r="BG413" i="3"/>
  <c r="BD413" i="3"/>
  <c r="BF413" i="3" s="1"/>
  <c r="BC413" i="3"/>
  <c r="BE413" i="3" s="1"/>
  <c r="BG412" i="3"/>
  <c r="CI411" i="3"/>
  <c r="CK411" i="3" s="1"/>
  <c r="CH411" i="3"/>
  <c r="CJ411" i="3" s="1"/>
  <c r="BG411" i="3"/>
  <c r="BD411" i="3"/>
  <c r="BF411" i="3" s="1"/>
  <c r="BC411" i="3"/>
  <c r="BE411" i="3" s="1"/>
  <c r="CI410" i="3"/>
  <c r="CK410" i="3" s="1"/>
  <c r="CH410" i="3"/>
  <c r="CJ410" i="3" s="1"/>
  <c r="BG410" i="3"/>
  <c r="BD410" i="3"/>
  <c r="BF410" i="3" s="1"/>
  <c r="BC410" i="3"/>
  <c r="BE410" i="3" s="1"/>
  <c r="CI409" i="3"/>
  <c r="CK409" i="3" s="1"/>
  <c r="CH409" i="3"/>
  <c r="CJ409" i="3" s="1"/>
  <c r="BG409" i="3"/>
  <c r="BD409" i="3"/>
  <c r="BF409" i="3" s="1"/>
  <c r="BC409" i="3"/>
  <c r="BE409" i="3" s="1"/>
  <c r="CI408" i="3"/>
  <c r="CK408" i="3" s="1"/>
  <c r="CH408" i="3"/>
  <c r="CJ408" i="3" s="1"/>
  <c r="BG408" i="3"/>
  <c r="BD408" i="3"/>
  <c r="BF408" i="3" s="1"/>
  <c r="BC408" i="3"/>
  <c r="BE408" i="3" s="1"/>
  <c r="CI407" i="3"/>
  <c r="CK407" i="3" s="1"/>
  <c r="CH407" i="3"/>
  <c r="CJ407" i="3" s="1"/>
  <c r="BG407" i="3"/>
  <c r="BD407" i="3"/>
  <c r="BF407" i="3" s="1"/>
  <c r="BC407" i="3"/>
  <c r="BE407" i="3" s="1"/>
  <c r="CI406" i="3"/>
  <c r="CK406" i="3" s="1"/>
  <c r="CH406" i="3"/>
  <c r="CJ406" i="3" s="1"/>
  <c r="BG406" i="3"/>
  <c r="BD406" i="3"/>
  <c r="BF406" i="3" s="1"/>
  <c r="BC406" i="3"/>
  <c r="BE406" i="3" s="1"/>
  <c r="CI405" i="3"/>
  <c r="CK405" i="3" s="1"/>
  <c r="CH405" i="3"/>
  <c r="CJ405" i="3" s="1"/>
  <c r="BG405" i="3"/>
  <c r="BD405" i="3"/>
  <c r="BF405" i="3" s="1"/>
  <c r="BC405" i="3"/>
  <c r="BE405" i="3" s="1"/>
  <c r="CI404" i="3"/>
  <c r="CK404" i="3" s="1"/>
  <c r="CH404" i="3"/>
  <c r="CJ404" i="3" s="1"/>
  <c r="BG404" i="3"/>
  <c r="BD404" i="3"/>
  <c r="BF404" i="3" s="1"/>
  <c r="BC404" i="3"/>
  <c r="BE404" i="3" s="1"/>
  <c r="CI403" i="3"/>
  <c r="CK403" i="3" s="1"/>
  <c r="CH403" i="3"/>
  <c r="CJ403" i="3" s="1"/>
  <c r="BG403" i="3"/>
  <c r="BD403" i="3"/>
  <c r="BF403" i="3" s="1"/>
  <c r="BC403" i="3"/>
  <c r="BE403" i="3" s="1"/>
  <c r="CI402" i="3"/>
  <c r="CK402" i="3" s="1"/>
  <c r="CH402" i="3"/>
  <c r="CJ402" i="3" s="1"/>
  <c r="BG402" i="3"/>
  <c r="BD402" i="3"/>
  <c r="BF402" i="3" s="1"/>
  <c r="BC402" i="3"/>
  <c r="BE402" i="3" s="1"/>
  <c r="CI401" i="3"/>
  <c r="CK401" i="3" s="1"/>
  <c r="CH401" i="3"/>
  <c r="CJ401" i="3" s="1"/>
  <c r="BG401" i="3"/>
  <c r="BD401" i="3"/>
  <c r="BF401" i="3" s="1"/>
  <c r="BC401" i="3"/>
  <c r="BE401" i="3" s="1"/>
  <c r="CI400" i="3"/>
  <c r="CK400" i="3" s="1"/>
  <c r="CH400" i="3"/>
  <c r="CJ400" i="3" s="1"/>
  <c r="BG400" i="3"/>
  <c r="BD400" i="3"/>
  <c r="BF400" i="3" s="1"/>
  <c r="BC400" i="3"/>
  <c r="BE400" i="3" s="1"/>
  <c r="CI399" i="3"/>
  <c r="CK399" i="3" s="1"/>
  <c r="CH399" i="3"/>
  <c r="CJ399" i="3" s="1"/>
  <c r="BG399" i="3"/>
  <c r="BD399" i="3"/>
  <c r="BF399" i="3" s="1"/>
  <c r="BC399" i="3"/>
  <c r="BE399" i="3" s="1"/>
  <c r="CI398" i="3"/>
  <c r="CK398" i="3" s="1"/>
  <c r="CH398" i="3"/>
  <c r="CJ398" i="3" s="1"/>
  <c r="BG398" i="3"/>
  <c r="BD398" i="3"/>
  <c r="BF398" i="3" s="1"/>
  <c r="BC398" i="3"/>
  <c r="BE398" i="3" s="1"/>
  <c r="CI397" i="3"/>
  <c r="CK397" i="3" s="1"/>
  <c r="CH397" i="3"/>
  <c r="CJ397" i="3" s="1"/>
  <c r="BG397" i="3"/>
  <c r="BD397" i="3"/>
  <c r="BF397" i="3" s="1"/>
  <c r="BC397" i="3"/>
  <c r="BE397" i="3" s="1"/>
  <c r="CI396" i="3"/>
  <c r="CK396" i="3" s="1"/>
  <c r="CH396" i="3"/>
  <c r="CJ396" i="3" s="1"/>
  <c r="BG396" i="3"/>
  <c r="BD396" i="3"/>
  <c r="BF396" i="3" s="1"/>
  <c r="BC396" i="3"/>
  <c r="BE396" i="3" s="1"/>
  <c r="CI395" i="3"/>
  <c r="CK395" i="3" s="1"/>
  <c r="CH395" i="3"/>
  <c r="CJ395" i="3" s="1"/>
  <c r="BG395" i="3"/>
  <c r="BD395" i="3"/>
  <c r="BF395" i="3" s="1"/>
  <c r="BC395" i="3"/>
  <c r="BE395" i="3" s="1"/>
  <c r="CI394" i="3"/>
  <c r="CK394" i="3" s="1"/>
  <c r="CH394" i="3"/>
  <c r="CJ394" i="3" s="1"/>
  <c r="BG394" i="3"/>
  <c r="BD394" i="3"/>
  <c r="BF394" i="3" s="1"/>
  <c r="BC394" i="3"/>
  <c r="BE394" i="3" s="1"/>
  <c r="CI393" i="3"/>
  <c r="CK393" i="3" s="1"/>
  <c r="CH393" i="3"/>
  <c r="CJ393" i="3" s="1"/>
  <c r="BG393" i="3"/>
  <c r="BD393" i="3"/>
  <c r="BF393" i="3" s="1"/>
  <c r="BC393" i="3"/>
  <c r="BE393" i="3" s="1"/>
  <c r="CI392" i="3"/>
  <c r="CK392" i="3" s="1"/>
  <c r="CH392" i="3"/>
  <c r="CJ392" i="3" s="1"/>
  <c r="BG392" i="3"/>
  <c r="BD392" i="3"/>
  <c r="BF392" i="3" s="1"/>
  <c r="BC392" i="3"/>
  <c r="BE392" i="3" s="1"/>
  <c r="CI391" i="3"/>
  <c r="CK391" i="3" s="1"/>
  <c r="CH391" i="3"/>
  <c r="CJ391" i="3" s="1"/>
  <c r="BG391" i="3"/>
  <c r="BD391" i="3"/>
  <c r="BF391" i="3" s="1"/>
  <c r="BC391" i="3"/>
  <c r="BE391" i="3" s="1"/>
  <c r="CI390" i="3"/>
  <c r="CK390" i="3" s="1"/>
  <c r="CH390" i="3"/>
  <c r="CJ390" i="3" s="1"/>
  <c r="BG390" i="3"/>
  <c r="BD390" i="3"/>
  <c r="BF390" i="3" s="1"/>
  <c r="BC390" i="3"/>
  <c r="BE390" i="3" s="1"/>
  <c r="CI389" i="3"/>
  <c r="CK389" i="3" s="1"/>
  <c r="CH389" i="3"/>
  <c r="CJ389" i="3" s="1"/>
  <c r="BG389" i="3"/>
  <c r="CI388" i="3"/>
  <c r="CK388" i="3" s="1"/>
  <c r="CH388" i="3"/>
  <c r="CJ388" i="3" s="1"/>
  <c r="BG388" i="3"/>
  <c r="BD388" i="3"/>
  <c r="BF388" i="3" s="1"/>
  <c r="BC388" i="3"/>
  <c r="BE388" i="3" s="1"/>
  <c r="CI387" i="3"/>
  <c r="CK387" i="3" s="1"/>
  <c r="CH387" i="3"/>
  <c r="CJ387" i="3" s="1"/>
  <c r="BG387" i="3"/>
  <c r="BD387" i="3"/>
  <c r="BF387" i="3" s="1"/>
  <c r="BC387" i="3"/>
  <c r="BE387" i="3" s="1"/>
  <c r="CI386" i="3"/>
  <c r="CK386" i="3" s="1"/>
  <c r="CH386" i="3"/>
  <c r="CJ386" i="3" s="1"/>
  <c r="BG386" i="3"/>
  <c r="BD386" i="3"/>
  <c r="BF386" i="3" s="1"/>
  <c r="BC386" i="3"/>
  <c r="BE386" i="3" s="1"/>
  <c r="CI385" i="3"/>
  <c r="CK385" i="3" s="1"/>
  <c r="CH385" i="3"/>
  <c r="CJ385" i="3" s="1"/>
  <c r="BG385" i="3"/>
  <c r="BD385" i="3"/>
  <c r="BF385" i="3" s="1"/>
  <c r="BC385" i="3"/>
  <c r="BE385" i="3" s="1"/>
  <c r="CI384" i="3"/>
  <c r="CK384" i="3" s="1"/>
  <c r="CH384" i="3"/>
  <c r="CJ384" i="3" s="1"/>
  <c r="BG384" i="3"/>
  <c r="BD384" i="3"/>
  <c r="BF384" i="3" s="1"/>
  <c r="BC384" i="3"/>
  <c r="BE384" i="3" s="1"/>
  <c r="CI383" i="3"/>
  <c r="CK383" i="3" s="1"/>
  <c r="CH383" i="3"/>
  <c r="CJ383" i="3" s="1"/>
  <c r="BG383" i="3"/>
  <c r="BD383" i="3"/>
  <c r="BF383" i="3" s="1"/>
  <c r="BC383" i="3"/>
  <c r="BE383" i="3" s="1"/>
  <c r="CI382" i="3"/>
  <c r="CK382" i="3" s="1"/>
  <c r="CH382" i="3"/>
  <c r="CJ382" i="3" s="1"/>
  <c r="BG382" i="3"/>
  <c r="BD382" i="3"/>
  <c r="BF382" i="3" s="1"/>
  <c r="BC382" i="3"/>
  <c r="BE382" i="3" s="1"/>
  <c r="CI381" i="3"/>
  <c r="CK381" i="3" s="1"/>
  <c r="CH381" i="3"/>
  <c r="CJ381" i="3" s="1"/>
  <c r="BG381" i="3"/>
  <c r="BD381" i="3"/>
  <c r="BF381" i="3" s="1"/>
  <c r="BC381" i="3"/>
  <c r="BE381" i="3" s="1"/>
  <c r="CI380" i="3"/>
  <c r="CK380" i="3" s="1"/>
  <c r="CH380" i="3"/>
  <c r="CJ380" i="3" s="1"/>
  <c r="BG380" i="3"/>
  <c r="BD380" i="3"/>
  <c r="BF380" i="3" s="1"/>
  <c r="BC380" i="3"/>
  <c r="BE380" i="3" s="1"/>
  <c r="CI379" i="3"/>
  <c r="CK379" i="3" s="1"/>
  <c r="CH379" i="3"/>
  <c r="CJ379" i="3" s="1"/>
  <c r="BG379" i="3"/>
  <c r="BD379" i="3"/>
  <c r="BF379" i="3" s="1"/>
  <c r="BC379" i="3"/>
  <c r="BE379" i="3" s="1"/>
  <c r="CI378" i="3"/>
  <c r="CK378" i="3" s="1"/>
  <c r="CH378" i="3"/>
  <c r="CJ378" i="3" s="1"/>
  <c r="BG378" i="3"/>
  <c r="BD378" i="3"/>
  <c r="BF378" i="3" s="1"/>
  <c r="BC378" i="3"/>
  <c r="BE378" i="3" s="1"/>
  <c r="CI377" i="3"/>
  <c r="CK377" i="3" s="1"/>
  <c r="CH377" i="3"/>
  <c r="CJ377" i="3" s="1"/>
  <c r="BG377" i="3"/>
  <c r="BD377" i="3"/>
  <c r="BF377" i="3" s="1"/>
  <c r="BC377" i="3"/>
  <c r="BE377" i="3" s="1"/>
  <c r="CI376" i="3"/>
  <c r="CK376" i="3" s="1"/>
  <c r="CH376" i="3"/>
  <c r="CJ376" i="3" s="1"/>
  <c r="BG376" i="3"/>
  <c r="BD376" i="3"/>
  <c r="BF376" i="3" s="1"/>
  <c r="BC376" i="3"/>
  <c r="BE376" i="3" s="1"/>
  <c r="CI375" i="3"/>
  <c r="CK375" i="3" s="1"/>
  <c r="CH375" i="3"/>
  <c r="CJ375" i="3" s="1"/>
  <c r="BG375" i="3"/>
  <c r="BD375" i="3"/>
  <c r="BF375" i="3" s="1"/>
  <c r="BC375" i="3"/>
  <c r="BE375" i="3" s="1"/>
  <c r="CI374" i="3"/>
  <c r="CK374" i="3" s="1"/>
  <c r="CH374" i="3"/>
  <c r="CJ374" i="3" s="1"/>
  <c r="BG374" i="3"/>
  <c r="BD374" i="3"/>
  <c r="BF374" i="3" s="1"/>
  <c r="BC374" i="3"/>
  <c r="BE374" i="3" s="1"/>
  <c r="CI373" i="3"/>
  <c r="CK373" i="3" s="1"/>
  <c r="CH373" i="3"/>
  <c r="CJ373" i="3" s="1"/>
  <c r="BG373" i="3"/>
  <c r="BD373" i="3"/>
  <c r="BF373" i="3" s="1"/>
  <c r="BC373" i="3"/>
  <c r="BE373" i="3" s="1"/>
  <c r="CI372" i="3"/>
  <c r="CK372" i="3" s="1"/>
  <c r="CH372" i="3"/>
  <c r="CJ372" i="3" s="1"/>
  <c r="BG372" i="3"/>
  <c r="BD372" i="3"/>
  <c r="BF372" i="3" s="1"/>
  <c r="BC372" i="3"/>
  <c r="BE372" i="3" s="1"/>
  <c r="CI371" i="3"/>
  <c r="CK371" i="3" s="1"/>
  <c r="CH371" i="3"/>
  <c r="CJ371" i="3" s="1"/>
  <c r="BG371" i="3"/>
  <c r="BD371" i="3"/>
  <c r="BF371" i="3" s="1"/>
  <c r="BC371" i="3"/>
  <c r="BE371" i="3" s="1"/>
  <c r="CI370" i="3"/>
  <c r="CK370" i="3" s="1"/>
  <c r="CH370" i="3"/>
  <c r="CJ370" i="3" s="1"/>
  <c r="BG370" i="3"/>
  <c r="BD370" i="3"/>
  <c r="BF370" i="3" s="1"/>
  <c r="BC370" i="3"/>
  <c r="BE370" i="3" s="1"/>
  <c r="CI369" i="3"/>
  <c r="CK369" i="3" s="1"/>
  <c r="CH369" i="3"/>
  <c r="CJ369" i="3" s="1"/>
  <c r="BG369" i="3"/>
  <c r="BD369" i="3"/>
  <c r="BF369" i="3" s="1"/>
  <c r="BC369" i="3"/>
  <c r="BE369" i="3" s="1"/>
  <c r="CI368" i="3"/>
  <c r="CK368" i="3" s="1"/>
  <c r="CH368" i="3"/>
  <c r="CJ368" i="3" s="1"/>
  <c r="BG368" i="3"/>
  <c r="BD368" i="3"/>
  <c r="BF368" i="3" s="1"/>
  <c r="BC368" i="3"/>
  <c r="BE368" i="3" s="1"/>
  <c r="CI367" i="3"/>
  <c r="CK367" i="3" s="1"/>
  <c r="CH367" i="3"/>
  <c r="CJ367" i="3" s="1"/>
  <c r="BG367" i="3"/>
  <c r="BD367" i="3"/>
  <c r="BF367" i="3" s="1"/>
  <c r="BC367" i="3"/>
  <c r="BE367" i="3" s="1"/>
  <c r="CI366" i="3"/>
  <c r="CK366" i="3" s="1"/>
  <c r="CH366" i="3"/>
  <c r="CJ366" i="3" s="1"/>
  <c r="BG366" i="3"/>
  <c r="BD366" i="3"/>
  <c r="BF366" i="3" s="1"/>
  <c r="BC366" i="3"/>
  <c r="BE366" i="3" s="1"/>
  <c r="CI365" i="3"/>
  <c r="CK365" i="3" s="1"/>
  <c r="CH365" i="3"/>
  <c r="CJ365" i="3" s="1"/>
  <c r="BG365" i="3"/>
  <c r="BD365" i="3"/>
  <c r="BF365" i="3" s="1"/>
  <c r="BC365" i="3"/>
  <c r="BE365" i="3" s="1"/>
  <c r="CI364" i="3"/>
  <c r="CK364" i="3" s="1"/>
  <c r="CH364" i="3"/>
  <c r="CJ364" i="3" s="1"/>
  <c r="BG364" i="3"/>
  <c r="BD364" i="3"/>
  <c r="BF364" i="3" s="1"/>
  <c r="BC364" i="3"/>
  <c r="BE364" i="3" s="1"/>
  <c r="CI363" i="3"/>
  <c r="CK363" i="3" s="1"/>
  <c r="CH363" i="3"/>
  <c r="CJ363" i="3" s="1"/>
  <c r="BG363" i="3"/>
  <c r="BD363" i="3"/>
  <c r="BF363" i="3" s="1"/>
  <c r="BC363" i="3"/>
  <c r="BE363" i="3" s="1"/>
  <c r="CI362" i="3"/>
  <c r="CK362" i="3" s="1"/>
  <c r="CH362" i="3"/>
  <c r="CJ362" i="3" s="1"/>
  <c r="BG362" i="3"/>
  <c r="BD362" i="3"/>
  <c r="BF362" i="3" s="1"/>
  <c r="BC362" i="3"/>
  <c r="BE362" i="3" s="1"/>
  <c r="CI361" i="3"/>
  <c r="CK361" i="3" s="1"/>
  <c r="CH361" i="3"/>
  <c r="CJ361" i="3" s="1"/>
  <c r="BG361" i="3"/>
  <c r="BD361" i="3"/>
  <c r="BF361" i="3" s="1"/>
  <c r="BC361" i="3"/>
  <c r="BE361" i="3" s="1"/>
  <c r="CI360" i="3"/>
  <c r="CK360" i="3" s="1"/>
  <c r="CH360" i="3"/>
  <c r="CJ360" i="3" s="1"/>
  <c r="BG360" i="3"/>
  <c r="BD360" i="3"/>
  <c r="BF360" i="3" s="1"/>
  <c r="BC360" i="3"/>
  <c r="BE360" i="3" s="1"/>
  <c r="CI359" i="3"/>
  <c r="CK359" i="3" s="1"/>
  <c r="CH359" i="3"/>
  <c r="CJ359" i="3" s="1"/>
  <c r="BG359" i="3"/>
  <c r="BD359" i="3"/>
  <c r="BF359" i="3" s="1"/>
  <c r="BC359" i="3"/>
  <c r="BE359" i="3" s="1"/>
  <c r="CI358" i="3"/>
  <c r="CK358" i="3" s="1"/>
  <c r="CH358" i="3"/>
  <c r="CJ358" i="3" s="1"/>
  <c r="BG358" i="3"/>
  <c r="BD358" i="3"/>
  <c r="BF358" i="3" s="1"/>
  <c r="BC358" i="3"/>
  <c r="BE358" i="3" s="1"/>
  <c r="CI357" i="3"/>
  <c r="CK357" i="3" s="1"/>
  <c r="CH357" i="3"/>
  <c r="CJ357" i="3" s="1"/>
  <c r="BG357" i="3"/>
  <c r="BD357" i="3"/>
  <c r="BF357" i="3" s="1"/>
  <c r="BC357" i="3"/>
  <c r="BE357" i="3" s="1"/>
  <c r="CI356" i="3"/>
  <c r="CK356" i="3" s="1"/>
  <c r="CH356" i="3"/>
  <c r="CJ356" i="3" s="1"/>
  <c r="BG356" i="3"/>
  <c r="BD356" i="3"/>
  <c r="BF356" i="3" s="1"/>
  <c r="BC356" i="3"/>
  <c r="BE356" i="3" s="1"/>
  <c r="CI355" i="3"/>
  <c r="CK355" i="3" s="1"/>
  <c r="CH355" i="3"/>
  <c r="CJ355" i="3" s="1"/>
  <c r="BG355" i="3"/>
  <c r="BD355" i="3"/>
  <c r="BF355" i="3" s="1"/>
  <c r="BC355" i="3"/>
  <c r="BE355" i="3" s="1"/>
  <c r="CI354" i="3"/>
  <c r="CK354" i="3" s="1"/>
  <c r="CH354" i="3"/>
  <c r="CJ354" i="3" s="1"/>
  <c r="BG354" i="3"/>
  <c r="BD354" i="3"/>
  <c r="BF354" i="3" s="1"/>
  <c r="BC354" i="3"/>
  <c r="BE354" i="3" s="1"/>
  <c r="CI353" i="3"/>
  <c r="CK353" i="3" s="1"/>
  <c r="CH353" i="3"/>
  <c r="CJ353" i="3" s="1"/>
  <c r="BG353" i="3"/>
  <c r="BD353" i="3"/>
  <c r="BF353" i="3" s="1"/>
  <c r="BC353" i="3"/>
  <c r="BE353" i="3" s="1"/>
  <c r="CI352" i="3"/>
  <c r="CK352" i="3" s="1"/>
  <c r="CH352" i="3"/>
  <c r="CJ352" i="3" s="1"/>
  <c r="BG352" i="3"/>
  <c r="BD352" i="3"/>
  <c r="BF352" i="3" s="1"/>
  <c r="BC352" i="3"/>
  <c r="BE352" i="3" s="1"/>
  <c r="CI351" i="3"/>
  <c r="CK351" i="3" s="1"/>
  <c r="CH351" i="3"/>
  <c r="CJ351" i="3" s="1"/>
  <c r="BG351" i="3"/>
  <c r="BD351" i="3"/>
  <c r="BF351" i="3" s="1"/>
  <c r="BC351" i="3"/>
  <c r="BE351" i="3" s="1"/>
  <c r="CI350" i="3"/>
  <c r="CK350" i="3" s="1"/>
  <c r="CH350" i="3"/>
  <c r="CJ350" i="3" s="1"/>
  <c r="BG350" i="3"/>
  <c r="BD350" i="3"/>
  <c r="BF350" i="3" s="1"/>
  <c r="BC350" i="3"/>
  <c r="BE350" i="3" s="1"/>
  <c r="CI349" i="3"/>
  <c r="CK349" i="3" s="1"/>
  <c r="CH349" i="3"/>
  <c r="CJ349" i="3" s="1"/>
  <c r="BG349" i="3"/>
  <c r="BD349" i="3"/>
  <c r="BF349" i="3" s="1"/>
  <c r="BC349" i="3"/>
  <c r="BE349" i="3" s="1"/>
  <c r="CI348" i="3"/>
  <c r="CK348" i="3" s="1"/>
  <c r="CH348" i="3"/>
  <c r="CJ348" i="3" s="1"/>
  <c r="BG348" i="3"/>
  <c r="BD348" i="3"/>
  <c r="BF348" i="3" s="1"/>
  <c r="BC348" i="3"/>
  <c r="BE348" i="3" s="1"/>
  <c r="CI347" i="3"/>
  <c r="CK347" i="3" s="1"/>
  <c r="CH347" i="3"/>
  <c r="CJ347" i="3" s="1"/>
  <c r="BG347" i="3"/>
  <c r="BD347" i="3"/>
  <c r="BF347" i="3" s="1"/>
  <c r="BC347" i="3"/>
  <c r="BE347" i="3" s="1"/>
  <c r="CI346" i="3"/>
  <c r="CK346" i="3" s="1"/>
  <c r="CH346" i="3"/>
  <c r="CJ346" i="3" s="1"/>
  <c r="BG346" i="3"/>
  <c r="BD346" i="3"/>
  <c r="BF346" i="3" s="1"/>
  <c r="BC346" i="3"/>
  <c r="BE346" i="3" s="1"/>
  <c r="CI345" i="3"/>
  <c r="CK345" i="3" s="1"/>
  <c r="CH345" i="3"/>
  <c r="CJ345" i="3" s="1"/>
  <c r="BG345" i="3"/>
  <c r="BD345" i="3"/>
  <c r="BF345" i="3" s="1"/>
  <c r="BC345" i="3"/>
  <c r="BE345" i="3" s="1"/>
  <c r="CI344" i="3"/>
  <c r="CK344" i="3" s="1"/>
  <c r="CH344" i="3"/>
  <c r="CJ344" i="3" s="1"/>
  <c r="BG344" i="3"/>
  <c r="BD344" i="3"/>
  <c r="BF344" i="3" s="1"/>
  <c r="BC344" i="3"/>
  <c r="BE344" i="3" s="1"/>
  <c r="CI343" i="3"/>
  <c r="CK343" i="3" s="1"/>
  <c r="CH343" i="3"/>
  <c r="CJ343" i="3" s="1"/>
  <c r="BG343" i="3"/>
  <c r="BD343" i="3"/>
  <c r="BF343" i="3" s="1"/>
  <c r="BC343" i="3"/>
  <c r="BE343" i="3" s="1"/>
  <c r="CI342" i="3"/>
  <c r="CK342" i="3" s="1"/>
  <c r="CH342" i="3"/>
  <c r="CJ342" i="3" s="1"/>
  <c r="BG342" i="3"/>
  <c r="BD342" i="3"/>
  <c r="BF342" i="3" s="1"/>
  <c r="BC342" i="3"/>
  <c r="BE342" i="3" s="1"/>
  <c r="CI341" i="3"/>
  <c r="CK341" i="3" s="1"/>
  <c r="CH341" i="3"/>
  <c r="CJ341" i="3" s="1"/>
  <c r="BG341" i="3"/>
  <c r="BD341" i="3"/>
  <c r="BF341" i="3" s="1"/>
  <c r="BC341" i="3"/>
  <c r="BE341" i="3" s="1"/>
  <c r="CI340" i="3"/>
  <c r="CK340" i="3" s="1"/>
  <c r="CH340" i="3"/>
  <c r="CJ340" i="3" s="1"/>
  <c r="BG340" i="3"/>
  <c r="BD340" i="3"/>
  <c r="BF340" i="3" s="1"/>
  <c r="BC340" i="3"/>
  <c r="BE340" i="3" s="1"/>
  <c r="CI339" i="3"/>
  <c r="CK339" i="3" s="1"/>
  <c r="CH339" i="3"/>
  <c r="CJ339" i="3" s="1"/>
  <c r="BG339" i="3"/>
  <c r="BD339" i="3"/>
  <c r="BF339" i="3" s="1"/>
  <c r="BC339" i="3"/>
  <c r="BE339" i="3" s="1"/>
  <c r="CI338" i="3"/>
  <c r="CK338" i="3" s="1"/>
  <c r="CH338" i="3"/>
  <c r="CJ338" i="3" s="1"/>
  <c r="BG338" i="3"/>
  <c r="BD338" i="3"/>
  <c r="BF338" i="3" s="1"/>
  <c r="BC338" i="3"/>
  <c r="BE338" i="3" s="1"/>
  <c r="CI337" i="3"/>
  <c r="CK337" i="3" s="1"/>
  <c r="CH337" i="3"/>
  <c r="CJ337" i="3" s="1"/>
  <c r="BG337" i="3"/>
  <c r="BD337" i="3"/>
  <c r="BF337" i="3" s="1"/>
  <c r="BC337" i="3"/>
  <c r="BE337" i="3" s="1"/>
  <c r="CI336" i="3"/>
  <c r="CK336" i="3" s="1"/>
  <c r="CH336" i="3"/>
  <c r="CJ336" i="3" s="1"/>
  <c r="BG336" i="3"/>
  <c r="BD336" i="3"/>
  <c r="BF336" i="3" s="1"/>
  <c r="BC336" i="3"/>
  <c r="BE336" i="3" s="1"/>
  <c r="CI335" i="3"/>
  <c r="CK335" i="3" s="1"/>
  <c r="CH335" i="3"/>
  <c r="CJ335" i="3" s="1"/>
  <c r="BG335" i="3"/>
  <c r="BD335" i="3"/>
  <c r="BF335" i="3" s="1"/>
  <c r="BC335" i="3"/>
  <c r="BE335" i="3" s="1"/>
  <c r="CI334" i="3"/>
  <c r="CK334" i="3" s="1"/>
  <c r="CH334" i="3"/>
  <c r="CJ334" i="3" s="1"/>
  <c r="BG334" i="3"/>
  <c r="BD334" i="3"/>
  <c r="BF334" i="3" s="1"/>
  <c r="BC334" i="3"/>
  <c r="BE334" i="3" s="1"/>
  <c r="CI333" i="3"/>
  <c r="CK333" i="3" s="1"/>
  <c r="CH333" i="3"/>
  <c r="CJ333" i="3" s="1"/>
  <c r="BG333" i="3"/>
  <c r="BD333" i="3"/>
  <c r="BF333" i="3" s="1"/>
  <c r="BC333" i="3"/>
  <c r="BE333" i="3" s="1"/>
  <c r="CI332" i="3"/>
  <c r="CK332" i="3" s="1"/>
  <c r="CH332" i="3"/>
  <c r="CJ332" i="3" s="1"/>
  <c r="BG332" i="3"/>
  <c r="BD332" i="3"/>
  <c r="BF332" i="3" s="1"/>
  <c r="BC332" i="3"/>
  <c r="BE332" i="3" s="1"/>
  <c r="CI331" i="3"/>
  <c r="CK331" i="3" s="1"/>
  <c r="CH331" i="3"/>
  <c r="CJ331" i="3" s="1"/>
  <c r="BG331" i="3"/>
  <c r="BD331" i="3"/>
  <c r="BF331" i="3" s="1"/>
  <c r="BC331" i="3"/>
  <c r="BE331" i="3" s="1"/>
  <c r="CI330" i="3"/>
  <c r="CK330" i="3" s="1"/>
  <c r="CH330" i="3"/>
  <c r="CJ330" i="3" s="1"/>
  <c r="BG330" i="3"/>
  <c r="BD330" i="3"/>
  <c r="BF330" i="3" s="1"/>
  <c r="BC330" i="3"/>
  <c r="BE330" i="3" s="1"/>
  <c r="CI329" i="3"/>
  <c r="CK329" i="3" s="1"/>
  <c r="CH329" i="3"/>
  <c r="CJ329" i="3" s="1"/>
  <c r="BG329" i="3"/>
  <c r="BD329" i="3"/>
  <c r="BF329" i="3" s="1"/>
  <c r="BC329" i="3"/>
  <c r="BE329" i="3" s="1"/>
  <c r="CI328" i="3"/>
  <c r="CK328" i="3" s="1"/>
  <c r="CH328" i="3"/>
  <c r="CJ328" i="3" s="1"/>
  <c r="BG328" i="3"/>
  <c r="BD328" i="3"/>
  <c r="BF328" i="3" s="1"/>
  <c r="BC328" i="3"/>
  <c r="BE328" i="3" s="1"/>
  <c r="CI327" i="3"/>
  <c r="CK327" i="3" s="1"/>
  <c r="CH327" i="3"/>
  <c r="CJ327" i="3" s="1"/>
  <c r="BG327" i="3"/>
  <c r="BD327" i="3"/>
  <c r="BF327" i="3" s="1"/>
  <c r="BC327" i="3"/>
  <c r="BE327" i="3" s="1"/>
  <c r="CI326" i="3"/>
  <c r="CK326" i="3" s="1"/>
  <c r="CH326" i="3"/>
  <c r="CJ326" i="3" s="1"/>
  <c r="BG326" i="3"/>
  <c r="BD326" i="3"/>
  <c r="BF326" i="3" s="1"/>
  <c r="BC326" i="3"/>
  <c r="BE326" i="3" s="1"/>
  <c r="CI325" i="3"/>
  <c r="CK325" i="3" s="1"/>
  <c r="CH325" i="3"/>
  <c r="CJ325" i="3" s="1"/>
  <c r="BG325" i="3"/>
  <c r="BD325" i="3"/>
  <c r="BF325" i="3" s="1"/>
  <c r="BC325" i="3"/>
  <c r="BE325" i="3" s="1"/>
  <c r="CI324" i="3"/>
  <c r="CK324" i="3" s="1"/>
  <c r="CH324" i="3"/>
  <c r="CJ324" i="3" s="1"/>
  <c r="BG324" i="3"/>
  <c r="BD324" i="3"/>
  <c r="BF324" i="3" s="1"/>
  <c r="BC324" i="3"/>
  <c r="BE324" i="3" s="1"/>
  <c r="CI323" i="3"/>
  <c r="CK323" i="3" s="1"/>
  <c r="CH323" i="3"/>
  <c r="CJ323" i="3" s="1"/>
  <c r="BG323" i="3"/>
  <c r="BD323" i="3"/>
  <c r="BF323" i="3" s="1"/>
  <c r="BC323" i="3"/>
  <c r="BE323" i="3" s="1"/>
  <c r="CI322" i="3"/>
  <c r="CK322" i="3" s="1"/>
  <c r="CH322" i="3"/>
  <c r="CJ322" i="3" s="1"/>
  <c r="BG322" i="3"/>
  <c r="BD322" i="3"/>
  <c r="BF322" i="3" s="1"/>
  <c r="BC322" i="3"/>
  <c r="BE322" i="3" s="1"/>
  <c r="CI321" i="3"/>
  <c r="CK321" i="3" s="1"/>
  <c r="CH321" i="3"/>
  <c r="CJ321" i="3" s="1"/>
  <c r="BG321" i="3"/>
  <c r="BD321" i="3"/>
  <c r="BF321" i="3" s="1"/>
  <c r="BC321" i="3"/>
  <c r="BE321" i="3" s="1"/>
  <c r="CI320" i="3"/>
  <c r="CK320" i="3" s="1"/>
  <c r="CH320" i="3"/>
  <c r="CJ320" i="3" s="1"/>
  <c r="BG320" i="3"/>
  <c r="BD320" i="3"/>
  <c r="BF320" i="3" s="1"/>
  <c r="BC320" i="3"/>
  <c r="BE320" i="3" s="1"/>
  <c r="CI319" i="3"/>
  <c r="CK319" i="3" s="1"/>
  <c r="CH319" i="3"/>
  <c r="CJ319" i="3" s="1"/>
  <c r="BG319" i="3"/>
  <c r="BD319" i="3"/>
  <c r="BF319" i="3" s="1"/>
  <c r="BC319" i="3"/>
  <c r="BE319" i="3" s="1"/>
  <c r="CI318" i="3"/>
  <c r="CK318" i="3" s="1"/>
  <c r="CH318" i="3"/>
  <c r="CJ318" i="3" s="1"/>
  <c r="BG318" i="3"/>
  <c r="BD318" i="3"/>
  <c r="BF318" i="3" s="1"/>
  <c r="BC318" i="3"/>
  <c r="BE318" i="3" s="1"/>
  <c r="CI317" i="3"/>
  <c r="CK317" i="3" s="1"/>
  <c r="CH317" i="3"/>
  <c r="CJ317" i="3" s="1"/>
  <c r="BG317" i="3"/>
  <c r="BD317" i="3"/>
  <c r="BF317" i="3" s="1"/>
  <c r="BC317" i="3"/>
  <c r="BE317" i="3" s="1"/>
  <c r="CI316" i="3"/>
  <c r="CK316" i="3" s="1"/>
  <c r="CH316" i="3"/>
  <c r="CJ316" i="3" s="1"/>
  <c r="BG316" i="3"/>
  <c r="BD316" i="3"/>
  <c r="BF316" i="3" s="1"/>
  <c r="BC316" i="3"/>
  <c r="BE316" i="3" s="1"/>
  <c r="CI315" i="3"/>
  <c r="CK315" i="3" s="1"/>
  <c r="CH315" i="3"/>
  <c r="CJ315" i="3" s="1"/>
  <c r="BG315" i="3"/>
  <c r="BD315" i="3"/>
  <c r="BF315" i="3" s="1"/>
  <c r="BC315" i="3"/>
  <c r="BE315" i="3" s="1"/>
  <c r="CI314" i="3"/>
  <c r="CK314" i="3" s="1"/>
  <c r="CH314" i="3"/>
  <c r="CJ314" i="3" s="1"/>
  <c r="BG314" i="3"/>
  <c r="BD314" i="3"/>
  <c r="BF314" i="3" s="1"/>
  <c r="BC314" i="3"/>
  <c r="BE314" i="3" s="1"/>
  <c r="CI313" i="3"/>
  <c r="CK313" i="3" s="1"/>
  <c r="CH313" i="3"/>
  <c r="CJ313" i="3" s="1"/>
  <c r="BG313" i="3"/>
  <c r="BD313" i="3"/>
  <c r="BF313" i="3" s="1"/>
  <c r="BC313" i="3"/>
  <c r="BE313" i="3" s="1"/>
  <c r="CI312" i="3"/>
  <c r="CK312" i="3" s="1"/>
  <c r="CH312" i="3"/>
  <c r="CJ312" i="3" s="1"/>
  <c r="BG312" i="3"/>
  <c r="BD312" i="3"/>
  <c r="BF312" i="3" s="1"/>
  <c r="BC312" i="3"/>
  <c r="BE312" i="3" s="1"/>
  <c r="CI311" i="3"/>
  <c r="CK311" i="3" s="1"/>
  <c r="CH311" i="3"/>
  <c r="CJ311" i="3" s="1"/>
  <c r="BG311" i="3"/>
  <c r="BD311" i="3"/>
  <c r="BF311" i="3" s="1"/>
  <c r="BC311" i="3"/>
  <c r="BE311" i="3" s="1"/>
  <c r="CI310" i="3"/>
  <c r="CK310" i="3" s="1"/>
  <c r="CH310" i="3"/>
  <c r="CJ310" i="3" s="1"/>
  <c r="BG310" i="3"/>
  <c r="BD310" i="3"/>
  <c r="BF310" i="3" s="1"/>
  <c r="BC310" i="3"/>
  <c r="BE310" i="3" s="1"/>
  <c r="CI309" i="3"/>
  <c r="CK309" i="3" s="1"/>
  <c r="CH309" i="3"/>
  <c r="CJ309" i="3" s="1"/>
  <c r="BG309" i="3"/>
  <c r="BD309" i="3"/>
  <c r="BF309" i="3" s="1"/>
  <c r="BC309" i="3"/>
  <c r="BE309" i="3" s="1"/>
  <c r="CI308" i="3"/>
  <c r="CK308" i="3" s="1"/>
  <c r="CH308" i="3"/>
  <c r="CJ308" i="3" s="1"/>
  <c r="BG308" i="3"/>
  <c r="BD308" i="3"/>
  <c r="BF308" i="3" s="1"/>
  <c r="BC308" i="3"/>
  <c r="BE308" i="3" s="1"/>
  <c r="CI307" i="3"/>
  <c r="CK307" i="3" s="1"/>
  <c r="CH307" i="3"/>
  <c r="CJ307" i="3" s="1"/>
  <c r="BG307" i="3"/>
  <c r="BD307" i="3"/>
  <c r="BF307" i="3" s="1"/>
  <c r="BC307" i="3"/>
  <c r="BE307" i="3" s="1"/>
  <c r="CI306" i="3"/>
  <c r="CK306" i="3" s="1"/>
  <c r="CH306" i="3"/>
  <c r="CJ306" i="3" s="1"/>
  <c r="BG306" i="3"/>
  <c r="BD306" i="3"/>
  <c r="BF306" i="3" s="1"/>
  <c r="BC306" i="3"/>
  <c r="BE306" i="3" s="1"/>
  <c r="CI305" i="3"/>
  <c r="CK305" i="3" s="1"/>
  <c r="CH305" i="3"/>
  <c r="CJ305" i="3" s="1"/>
  <c r="BG305" i="3"/>
  <c r="BD305" i="3"/>
  <c r="BF305" i="3" s="1"/>
  <c r="BC305" i="3"/>
  <c r="BE305" i="3" s="1"/>
  <c r="CI304" i="3"/>
  <c r="CK304" i="3" s="1"/>
  <c r="CH304" i="3"/>
  <c r="CJ304" i="3" s="1"/>
  <c r="BG304" i="3"/>
  <c r="BD304" i="3"/>
  <c r="BF304" i="3" s="1"/>
  <c r="BC304" i="3"/>
  <c r="BE304" i="3" s="1"/>
  <c r="CI303" i="3"/>
  <c r="CK303" i="3" s="1"/>
  <c r="CH303" i="3"/>
  <c r="CJ303" i="3" s="1"/>
  <c r="BG303" i="3"/>
  <c r="BD303" i="3"/>
  <c r="BF303" i="3" s="1"/>
  <c r="BC303" i="3"/>
  <c r="BE303" i="3" s="1"/>
  <c r="CI302" i="3"/>
  <c r="CK302" i="3" s="1"/>
  <c r="CH302" i="3"/>
  <c r="CJ302" i="3" s="1"/>
  <c r="BG302" i="3"/>
  <c r="BD302" i="3"/>
  <c r="BF302" i="3" s="1"/>
  <c r="BC302" i="3"/>
  <c r="BE302" i="3" s="1"/>
  <c r="CI301" i="3"/>
  <c r="CK301" i="3" s="1"/>
  <c r="CH301" i="3"/>
  <c r="CJ301" i="3" s="1"/>
  <c r="BG301" i="3"/>
  <c r="BD301" i="3"/>
  <c r="BF301" i="3" s="1"/>
  <c r="BC301" i="3"/>
  <c r="BE301" i="3" s="1"/>
  <c r="CI300" i="3"/>
  <c r="CK300" i="3" s="1"/>
  <c r="CH300" i="3"/>
  <c r="CJ300" i="3" s="1"/>
  <c r="BG300" i="3"/>
  <c r="BD300" i="3"/>
  <c r="BF300" i="3" s="1"/>
  <c r="BC300" i="3"/>
  <c r="BE300" i="3" s="1"/>
  <c r="CI299" i="3"/>
  <c r="CK299" i="3" s="1"/>
  <c r="CH299" i="3"/>
  <c r="CJ299" i="3" s="1"/>
  <c r="BG299" i="3"/>
  <c r="BD299" i="3"/>
  <c r="BF299" i="3" s="1"/>
  <c r="BC299" i="3"/>
  <c r="BE299" i="3" s="1"/>
  <c r="CI298" i="3"/>
  <c r="CK298" i="3" s="1"/>
  <c r="CH298" i="3"/>
  <c r="CJ298" i="3" s="1"/>
  <c r="BG298" i="3"/>
  <c r="BD298" i="3"/>
  <c r="BF298" i="3" s="1"/>
  <c r="BC298" i="3"/>
  <c r="BE298" i="3" s="1"/>
  <c r="CI297" i="3"/>
  <c r="CK297" i="3" s="1"/>
  <c r="CH297" i="3"/>
  <c r="CJ297" i="3" s="1"/>
  <c r="BG297" i="3"/>
  <c r="BD297" i="3"/>
  <c r="BF297" i="3" s="1"/>
  <c r="BC297" i="3"/>
  <c r="BE297" i="3" s="1"/>
  <c r="CI296" i="3"/>
  <c r="CK296" i="3" s="1"/>
  <c r="CH296" i="3"/>
  <c r="CJ296" i="3" s="1"/>
  <c r="BG296" i="3"/>
  <c r="BD296" i="3"/>
  <c r="BF296" i="3" s="1"/>
  <c r="BC296" i="3"/>
  <c r="BE296" i="3" s="1"/>
  <c r="CI295" i="3"/>
  <c r="CK295" i="3" s="1"/>
  <c r="CH295" i="3"/>
  <c r="CJ295" i="3" s="1"/>
  <c r="BG295" i="3"/>
  <c r="BD295" i="3"/>
  <c r="BF295" i="3" s="1"/>
  <c r="BC295" i="3"/>
  <c r="BE295" i="3" s="1"/>
  <c r="CI294" i="3"/>
  <c r="CK294" i="3" s="1"/>
  <c r="CH294" i="3"/>
  <c r="CJ294" i="3" s="1"/>
  <c r="BG294" i="3"/>
  <c r="BD294" i="3"/>
  <c r="BF294" i="3" s="1"/>
  <c r="BC294" i="3"/>
  <c r="BE294" i="3" s="1"/>
  <c r="CI293" i="3"/>
  <c r="CK293" i="3" s="1"/>
  <c r="CH293" i="3"/>
  <c r="CJ293" i="3" s="1"/>
  <c r="BG293" i="3"/>
  <c r="BD293" i="3"/>
  <c r="BF293" i="3" s="1"/>
  <c r="BC293" i="3"/>
  <c r="BE293" i="3" s="1"/>
  <c r="CI292" i="3"/>
  <c r="CK292" i="3" s="1"/>
  <c r="CH292" i="3"/>
  <c r="CJ292" i="3" s="1"/>
  <c r="BG292" i="3"/>
  <c r="BD292" i="3"/>
  <c r="BF292" i="3" s="1"/>
  <c r="BC292" i="3"/>
  <c r="BE292" i="3" s="1"/>
  <c r="CI291" i="3"/>
  <c r="CK291" i="3" s="1"/>
  <c r="CH291" i="3"/>
  <c r="CJ291" i="3" s="1"/>
  <c r="BG291" i="3"/>
  <c r="BD291" i="3"/>
  <c r="BF291" i="3" s="1"/>
  <c r="BC291" i="3"/>
  <c r="BE291" i="3" s="1"/>
  <c r="CI290" i="3"/>
  <c r="CK290" i="3" s="1"/>
  <c r="CH290" i="3"/>
  <c r="CJ290" i="3" s="1"/>
  <c r="BG290" i="3"/>
  <c r="BD290" i="3"/>
  <c r="BF290" i="3" s="1"/>
  <c r="BC290" i="3"/>
  <c r="BE290" i="3" s="1"/>
  <c r="CI289" i="3"/>
  <c r="CK289" i="3" s="1"/>
  <c r="CH289" i="3"/>
  <c r="CJ289" i="3" s="1"/>
  <c r="BG289" i="3"/>
  <c r="BD289" i="3"/>
  <c r="BF289" i="3" s="1"/>
  <c r="BC289" i="3"/>
  <c r="BE289" i="3" s="1"/>
  <c r="CI288" i="3"/>
  <c r="CK288" i="3" s="1"/>
  <c r="CH288" i="3"/>
  <c r="CJ288" i="3" s="1"/>
  <c r="BG288" i="3"/>
  <c r="BD288" i="3"/>
  <c r="BF288" i="3" s="1"/>
  <c r="BC288" i="3"/>
  <c r="BE288" i="3" s="1"/>
  <c r="CI287" i="3"/>
  <c r="CK287" i="3" s="1"/>
  <c r="CH287" i="3"/>
  <c r="CJ287" i="3" s="1"/>
  <c r="BG287" i="3"/>
  <c r="BD287" i="3"/>
  <c r="BF287" i="3" s="1"/>
  <c r="BC287" i="3"/>
  <c r="BE287" i="3" s="1"/>
  <c r="CI286" i="3"/>
  <c r="CK286" i="3" s="1"/>
  <c r="CH286" i="3"/>
  <c r="CJ286" i="3" s="1"/>
  <c r="BG286" i="3"/>
  <c r="BD286" i="3"/>
  <c r="BF286" i="3" s="1"/>
  <c r="BC286" i="3"/>
  <c r="BE286" i="3" s="1"/>
  <c r="CI285" i="3"/>
  <c r="CK285" i="3" s="1"/>
  <c r="CH285" i="3"/>
  <c r="CJ285" i="3" s="1"/>
  <c r="BG285" i="3"/>
  <c r="BD285" i="3"/>
  <c r="BF285" i="3" s="1"/>
  <c r="BC285" i="3"/>
  <c r="BE285" i="3" s="1"/>
  <c r="CI284" i="3"/>
  <c r="CK284" i="3" s="1"/>
  <c r="CH284" i="3"/>
  <c r="CJ284" i="3" s="1"/>
  <c r="BG284" i="3"/>
  <c r="BD284" i="3"/>
  <c r="BF284" i="3" s="1"/>
  <c r="BC284" i="3"/>
  <c r="BE284" i="3" s="1"/>
  <c r="CI283" i="3"/>
  <c r="CK283" i="3" s="1"/>
  <c r="CH283" i="3"/>
  <c r="CJ283" i="3" s="1"/>
  <c r="BG283" i="3"/>
  <c r="BD283" i="3"/>
  <c r="BF283" i="3" s="1"/>
  <c r="BC283" i="3"/>
  <c r="BE283" i="3" s="1"/>
  <c r="CI282" i="3"/>
  <c r="CK282" i="3" s="1"/>
  <c r="CH282" i="3"/>
  <c r="CJ282" i="3" s="1"/>
  <c r="BG282" i="3"/>
  <c r="BD282" i="3"/>
  <c r="BF282" i="3" s="1"/>
  <c r="BC282" i="3"/>
  <c r="BE282" i="3" s="1"/>
  <c r="CI281" i="3"/>
  <c r="CK281" i="3" s="1"/>
  <c r="CH281" i="3"/>
  <c r="CJ281" i="3" s="1"/>
  <c r="BG281" i="3"/>
  <c r="BD281" i="3"/>
  <c r="BF281" i="3" s="1"/>
  <c r="BC281" i="3"/>
  <c r="BE281" i="3" s="1"/>
  <c r="CI280" i="3"/>
  <c r="CK280" i="3" s="1"/>
  <c r="CH280" i="3"/>
  <c r="CJ280" i="3" s="1"/>
  <c r="BG280" i="3"/>
  <c r="BD280" i="3"/>
  <c r="BF280" i="3" s="1"/>
  <c r="BC280" i="3"/>
  <c r="BE280" i="3" s="1"/>
  <c r="CI279" i="3"/>
  <c r="CK279" i="3" s="1"/>
  <c r="CH279" i="3"/>
  <c r="CJ279" i="3" s="1"/>
  <c r="BG279" i="3"/>
  <c r="BD279" i="3"/>
  <c r="BF279" i="3" s="1"/>
  <c r="BC279" i="3"/>
  <c r="BE279" i="3" s="1"/>
  <c r="CI278" i="3"/>
  <c r="CK278" i="3" s="1"/>
  <c r="CH278" i="3"/>
  <c r="CJ278" i="3" s="1"/>
  <c r="BG278" i="3"/>
  <c r="BD278" i="3"/>
  <c r="BF278" i="3" s="1"/>
  <c r="BC278" i="3"/>
  <c r="BE278" i="3" s="1"/>
  <c r="CI277" i="3"/>
  <c r="CK277" i="3" s="1"/>
  <c r="CH277" i="3"/>
  <c r="CJ277" i="3" s="1"/>
  <c r="BG277" i="3"/>
  <c r="BD277" i="3"/>
  <c r="BF277" i="3" s="1"/>
  <c r="BC277" i="3"/>
  <c r="BE277" i="3" s="1"/>
  <c r="CI276" i="3"/>
  <c r="CK276" i="3" s="1"/>
  <c r="CH276" i="3"/>
  <c r="CJ276" i="3" s="1"/>
  <c r="BG276" i="3"/>
  <c r="BD276" i="3"/>
  <c r="BF276" i="3" s="1"/>
  <c r="BC276" i="3"/>
  <c r="BE276" i="3" s="1"/>
  <c r="CI275" i="3"/>
  <c r="CK275" i="3" s="1"/>
  <c r="CH275" i="3"/>
  <c r="CJ275" i="3" s="1"/>
  <c r="BG275" i="3"/>
  <c r="CI274" i="3"/>
  <c r="CK274" i="3" s="1"/>
  <c r="CH274" i="3"/>
  <c r="CJ274" i="3" s="1"/>
  <c r="BG274" i="3"/>
  <c r="CI273" i="3"/>
  <c r="CK273" i="3" s="1"/>
  <c r="CH273" i="3"/>
  <c r="CJ273" i="3" s="1"/>
  <c r="BG273" i="3"/>
  <c r="CI272" i="3"/>
  <c r="CK272" i="3" s="1"/>
  <c r="CH272" i="3"/>
  <c r="CJ272" i="3" s="1"/>
  <c r="BG272" i="3"/>
  <c r="CI271" i="3"/>
  <c r="CK271" i="3" s="1"/>
  <c r="CH271" i="3"/>
  <c r="CJ271" i="3" s="1"/>
  <c r="BG271" i="3"/>
  <c r="CI270" i="3"/>
  <c r="CK270" i="3" s="1"/>
  <c r="CH270" i="3"/>
  <c r="CJ270" i="3" s="1"/>
  <c r="BG270" i="3"/>
  <c r="CI269" i="3"/>
  <c r="CK269" i="3" s="1"/>
  <c r="CH269" i="3"/>
  <c r="CJ269" i="3" s="1"/>
  <c r="BG269" i="3"/>
  <c r="CI268" i="3"/>
  <c r="CK268" i="3" s="1"/>
  <c r="CH268" i="3"/>
  <c r="CJ268" i="3" s="1"/>
  <c r="BG268" i="3"/>
  <c r="BD268" i="3"/>
  <c r="BF268" i="3" s="1"/>
  <c r="BC268" i="3"/>
  <c r="BE268" i="3" s="1"/>
  <c r="CI267" i="3"/>
  <c r="CK267" i="3" s="1"/>
  <c r="CH267" i="3"/>
  <c r="CJ267" i="3" s="1"/>
  <c r="BG267" i="3"/>
  <c r="BD267" i="3"/>
  <c r="BF267" i="3" s="1"/>
  <c r="BC267" i="3"/>
  <c r="BE267" i="3" s="1"/>
  <c r="CI266" i="3"/>
  <c r="CK266" i="3" s="1"/>
  <c r="CH266" i="3"/>
  <c r="CJ266" i="3" s="1"/>
  <c r="BG266" i="3"/>
  <c r="BD266" i="3"/>
  <c r="BF266" i="3" s="1"/>
  <c r="BC266" i="3"/>
  <c r="BE266" i="3" s="1"/>
  <c r="CI265" i="3"/>
  <c r="CK265" i="3" s="1"/>
  <c r="CH265" i="3"/>
  <c r="CJ265" i="3" s="1"/>
  <c r="BG265" i="3"/>
  <c r="BD265" i="3"/>
  <c r="BF265" i="3" s="1"/>
  <c r="BC265" i="3"/>
  <c r="BE265" i="3" s="1"/>
  <c r="CI264" i="3"/>
  <c r="CK264" i="3" s="1"/>
  <c r="CH264" i="3"/>
  <c r="CJ264" i="3" s="1"/>
  <c r="BG264" i="3"/>
  <c r="BD264" i="3"/>
  <c r="BF264" i="3" s="1"/>
  <c r="BC264" i="3"/>
  <c r="BE264" i="3" s="1"/>
  <c r="CI263" i="3"/>
  <c r="CK263" i="3" s="1"/>
  <c r="CH263" i="3"/>
  <c r="CJ263" i="3" s="1"/>
  <c r="BG263" i="3"/>
  <c r="BD263" i="3"/>
  <c r="BF263" i="3" s="1"/>
  <c r="BC263" i="3"/>
  <c r="BE263" i="3" s="1"/>
  <c r="CI262" i="3"/>
  <c r="CK262" i="3" s="1"/>
  <c r="CH262" i="3"/>
  <c r="CJ262" i="3" s="1"/>
  <c r="BG262" i="3"/>
  <c r="BD262" i="3"/>
  <c r="BF262" i="3" s="1"/>
  <c r="BC262" i="3"/>
  <c r="BE262" i="3" s="1"/>
  <c r="CI261" i="3"/>
  <c r="CK261" i="3" s="1"/>
  <c r="CH261" i="3"/>
  <c r="CJ261" i="3" s="1"/>
  <c r="BG261" i="3"/>
  <c r="BD261" i="3"/>
  <c r="BF261" i="3" s="1"/>
  <c r="BC261" i="3"/>
  <c r="BE261" i="3" s="1"/>
  <c r="CI260" i="3"/>
  <c r="CK260" i="3" s="1"/>
  <c r="CH260" i="3"/>
  <c r="CJ260" i="3" s="1"/>
  <c r="BG260" i="3"/>
  <c r="BD260" i="3"/>
  <c r="BF260" i="3" s="1"/>
  <c r="BC260" i="3"/>
  <c r="BE260" i="3" s="1"/>
  <c r="CI259" i="3"/>
  <c r="CK259" i="3" s="1"/>
  <c r="CH259" i="3"/>
  <c r="CJ259" i="3" s="1"/>
  <c r="BG259" i="3"/>
  <c r="BD259" i="3"/>
  <c r="BF259" i="3" s="1"/>
  <c r="BC259" i="3"/>
  <c r="BE259" i="3" s="1"/>
  <c r="CI258" i="3"/>
  <c r="CK258" i="3" s="1"/>
  <c r="CH258" i="3"/>
  <c r="CJ258" i="3" s="1"/>
  <c r="BG258" i="3"/>
  <c r="BD258" i="3"/>
  <c r="BF258" i="3" s="1"/>
  <c r="BC258" i="3"/>
  <c r="BE258" i="3" s="1"/>
  <c r="CI257" i="3"/>
  <c r="CK257" i="3" s="1"/>
  <c r="CH257" i="3"/>
  <c r="CJ257" i="3" s="1"/>
  <c r="BG257" i="3"/>
  <c r="BD257" i="3"/>
  <c r="BF257" i="3" s="1"/>
  <c r="BC257" i="3"/>
  <c r="BE257" i="3" s="1"/>
  <c r="CI256" i="3"/>
  <c r="CK256" i="3" s="1"/>
  <c r="CH256" i="3"/>
  <c r="CJ256" i="3" s="1"/>
  <c r="BG256" i="3"/>
  <c r="BD256" i="3"/>
  <c r="BF256" i="3" s="1"/>
  <c r="BC256" i="3"/>
  <c r="BE256" i="3" s="1"/>
  <c r="CI255" i="3"/>
  <c r="CK255" i="3" s="1"/>
  <c r="CH255" i="3"/>
  <c r="CJ255" i="3" s="1"/>
  <c r="BG255" i="3"/>
  <c r="BD255" i="3"/>
  <c r="BF255" i="3" s="1"/>
  <c r="BC255" i="3"/>
  <c r="BE255" i="3" s="1"/>
  <c r="CI254" i="3"/>
  <c r="CK254" i="3" s="1"/>
  <c r="CH254" i="3"/>
  <c r="CJ254" i="3" s="1"/>
  <c r="BG254" i="3"/>
  <c r="BD254" i="3"/>
  <c r="BF254" i="3" s="1"/>
  <c r="BC254" i="3"/>
  <c r="BE254" i="3" s="1"/>
  <c r="CI253" i="3"/>
  <c r="CK253" i="3" s="1"/>
  <c r="CH253" i="3"/>
  <c r="CJ253" i="3" s="1"/>
  <c r="BG253" i="3"/>
  <c r="BD253" i="3"/>
  <c r="BF253" i="3" s="1"/>
  <c r="BC253" i="3"/>
  <c r="BE253" i="3" s="1"/>
  <c r="CI252" i="3"/>
  <c r="CK252" i="3" s="1"/>
  <c r="CH252" i="3"/>
  <c r="CJ252" i="3" s="1"/>
  <c r="BG252" i="3"/>
  <c r="BD252" i="3"/>
  <c r="BF252" i="3" s="1"/>
  <c r="BC252" i="3"/>
  <c r="BE252" i="3" s="1"/>
  <c r="CI251" i="3"/>
  <c r="CK251" i="3" s="1"/>
  <c r="CH251" i="3"/>
  <c r="CJ251" i="3" s="1"/>
  <c r="BG251" i="3"/>
  <c r="BD251" i="3"/>
  <c r="BF251" i="3" s="1"/>
  <c r="BC251" i="3"/>
  <c r="BE251" i="3" s="1"/>
  <c r="CI250" i="3"/>
  <c r="CK250" i="3" s="1"/>
  <c r="CH250" i="3"/>
  <c r="CJ250" i="3" s="1"/>
  <c r="BG250" i="3"/>
  <c r="BD250" i="3"/>
  <c r="BF250" i="3" s="1"/>
  <c r="BC250" i="3"/>
  <c r="BE250" i="3" s="1"/>
  <c r="CI249" i="3"/>
  <c r="CK249" i="3" s="1"/>
  <c r="CH249" i="3"/>
  <c r="CJ249" i="3" s="1"/>
  <c r="BG249" i="3"/>
  <c r="BD249" i="3"/>
  <c r="BF249" i="3" s="1"/>
  <c r="BC249" i="3"/>
  <c r="BE249" i="3" s="1"/>
  <c r="CI248" i="3"/>
  <c r="CK248" i="3" s="1"/>
  <c r="CH248" i="3"/>
  <c r="CJ248" i="3" s="1"/>
  <c r="BG248" i="3"/>
  <c r="BD248" i="3"/>
  <c r="BF248" i="3" s="1"/>
  <c r="BC248" i="3"/>
  <c r="BE248" i="3" s="1"/>
  <c r="CI247" i="3"/>
  <c r="CK247" i="3" s="1"/>
  <c r="CH247" i="3"/>
  <c r="CJ247" i="3" s="1"/>
  <c r="BG247" i="3"/>
  <c r="BD247" i="3"/>
  <c r="BF247" i="3" s="1"/>
  <c r="BC247" i="3"/>
  <c r="BE247" i="3" s="1"/>
  <c r="CI246" i="3"/>
  <c r="CK246" i="3" s="1"/>
  <c r="CH246" i="3"/>
  <c r="CJ246" i="3" s="1"/>
  <c r="BG246" i="3"/>
  <c r="BD246" i="3"/>
  <c r="BF246" i="3" s="1"/>
  <c r="BC246" i="3"/>
  <c r="BE246" i="3" s="1"/>
  <c r="CI245" i="3"/>
  <c r="CK245" i="3" s="1"/>
  <c r="CH245" i="3"/>
  <c r="CJ245" i="3" s="1"/>
  <c r="BG245" i="3"/>
  <c r="BD245" i="3"/>
  <c r="BF245" i="3" s="1"/>
  <c r="BC245" i="3"/>
  <c r="BE245" i="3" s="1"/>
  <c r="CI244" i="3"/>
  <c r="CK244" i="3" s="1"/>
  <c r="CH244" i="3"/>
  <c r="CJ244" i="3" s="1"/>
  <c r="BG244" i="3"/>
  <c r="BD244" i="3"/>
  <c r="BF244" i="3" s="1"/>
  <c r="BC244" i="3"/>
  <c r="BE244" i="3" s="1"/>
  <c r="CI243" i="3"/>
  <c r="CK243" i="3" s="1"/>
  <c r="CH243" i="3"/>
  <c r="CJ243" i="3" s="1"/>
  <c r="BG243" i="3"/>
  <c r="BD243" i="3"/>
  <c r="BF243" i="3" s="1"/>
  <c r="BC243" i="3"/>
  <c r="BE243" i="3" s="1"/>
  <c r="CI242" i="3"/>
  <c r="CK242" i="3" s="1"/>
  <c r="CH242" i="3"/>
  <c r="CJ242" i="3" s="1"/>
  <c r="BG242" i="3"/>
  <c r="BD242" i="3"/>
  <c r="BF242" i="3" s="1"/>
  <c r="BC242" i="3"/>
  <c r="BE242" i="3" s="1"/>
  <c r="CI241" i="3"/>
  <c r="CK241" i="3" s="1"/>
  <c r="CH241" i="3"/>
  <c r="CJ241" i="3" s="1"/>
  <c r="BG241" i="3"/>
  <c r="BD241" i="3"/>
  <c r="BF241" i="3" s="1"/>
  <c r="BC241" i="3"/>
  <c r="BE241" i="3" s="1"/>
  <c r="CI240" i="3"/>
  <c r="CK240" i="3" s="1"/>
  <c r="CH240" i="3"/>
  <c r="CJ240" i="3" s="1"/>
  <c r="BG240" i="3"/>
  <c r="BD240" i="3"/>
  <c r="BF240" i="3" s="1"/>
  <c r="BC240" i="3"/>
  <c r="BE240" i="3" s="1"/>
  <c r="CI239" i="3"/>
  <c r="CK239" i="3" s="1"/>
  <c r="CH239" i="3"/>
  <c r="CJ239" i="3" s="1"/>
  <c r="BG239" i="3"/>
  <c r="BD239" i="3"/>
  <c r="BF239" i="3" s="1"/>
  <c r="BC239" i="3"/>
  <c r="BE239" i="3" s="1"/>
  <c r="CI238" i="3"/>
  <c r="CK238" i="3" s="1"/>
  <c r="CH238" i="3"/>
  <c r="CJ238" i="3" s="1"/>
  <c r="BG238" i="3"/>
  <c r="BD238" i="3"/>
  <c r="BF238" i="3" s="1"/>
  <c r="BC238" i="3"/>
  <c r="BE238" i="3" s="1"/>
  <c r="CI237" i="3"/>
  <c r="CK237" i="3" s="1"/>
  <c r="CH237" i="3"/>
  <c r="CJ237" i="3" s="1"/>
  <c r="BG237" i="3"/>
  <c r="BD237" i="3"/>
  <c r="BF237" i="3" s="1"/>
  <c r="BC237" i="3"/>
  <c r="BE237" i="3" s="1"/>
  <c r="CI236" i="3"/>
  <c r="CK236" i="3" s="1"/>
  <c r="CH236" i="3"/>
  <c r="CJ236" i="3" s="1"/>
  <c r="BG236" i="3"/>
  <c r="BD236" i="3"/>
  <c r="BF236" i="3" s="1"/>
  <c r="BC236" i="3"/>
  <c r="BE236" i="3" s="1"/>
  <c r="CI235" i="3"/>
  <c r="CK235" i="3" s="1"/>
  <c r="CH235" i="3"/>
  <c r="CJ235" i="3" s="1"/>
  <c r="BG235" i="3"/>
  <c r="BD235" i="3"/>
  <c r="BF235" i="3" s="1"/>
  <c r="BC235" i="3"/>
  <c r="BE235" i="3" s="1"/>
  <c r="CI234" i="3"/>
  <c r="CK234" i="3" s="1"/>
  <c r="CH234" i="3"/>
  <c r="CJ234" i="3" s="1"/>
  <c r="BG234" i="3"/>
  <c r="BD234" i="3"/>
  <c r="BF234" i="3" s="1"/>
  <c r="BC234" i="3"/>
  <c r="BE234" i="3" s="1"/>
  <c r="CI233" i="3"/>
  <c r="CK233" i="3" s="1"/>
  <c r="CH233" i="3"/>
  <c r="CJ233" i="3" s="1"/>
  <c r="BG233" i="3"/>
  <c r="BD233" i="3"/>
  <c r="BF233" i="3" s="1"/>
  <c r="BC233" i="3"/>
  <c r="BE233" i="3" s="1"/>
  <c r="CI232" i="3"/>
  <c r="CK232" i="3" s="1"/>
  <c r="CH232" i="3"/>
  <c r="CJ232" i="3" s="1"/>
  <c r="BG232" i="3"/>
  <c r="BD232" i="3"/>
  <c r="BF232" i="3" s="1"/>
  <c r="BC232" i="3"/>
  <c r="BE232" i="3" s="1"/>
  <c r="CI231" i="3"/>
  <c r="CK231" i="3" s="1"/>
  <c r="CH231" i="3"/>
  <c r="CJ231" i="3" s="1"/>
  <c r="BG231" i="3"/>
  <c r="BD231" i="3"/>
  <c r="BF231" i="3" s="1"/>
  <c r="BC231" i="3"/>
  <c r="BE231" i="3" s="1"/>
  <c r="CI230" i="3"/>
  <c r="CK230" i="3" s="1"/>
  <c r="CH230" i="3"/>
  <c r="CJ230" i="3" s="1"/>
  <c r="BG230" i="3"/>
  <c r="BD230" i="3"/>
  <c r="BF230" i="3" s="1"/>
  <c r="BC230" i="3"/>
  <c r="BE230" i="3" s="1"/>
  <c r="CI229" i="3"/>
  <c r="CK229" i="3" s="1"/>
  <c r="CH229" i="3"/>
  <c r="CJ229" i="3" s="1"/>
  <c r="BG229" i="3"/>
  <c r="BD229" i="3"/>
  <c r="BF229" i="3" s="1"/>
  <c r="BC229" i="3"/>
  <c r="BE229" i="3" s="1"/>
  <c r="CI228" i="3"/>
  <c r="CK228" i="3" s="1"/>
  <c r="CH228" i="3"/>
  <c r="CJ228" i="3" s="1"/>
  <c r="BG228" i="3"/>
  <c r="BD228" i="3"/>
  <c r="BF228" i="3" s="1"/>
  <c r="BC228" i="3"/>
  <c r="BE228" i="3" s="1"/>
  <c r="CI227" i="3"/>
  <c r="CK227" i="3" s="1"/>
  <c r="CH227" i="3"/>
  <c r="CJ227" i="3" s="1"/>
  <c r="BG227" i="3"/>
  <c r="BD227" i="3"/>
  <c r="BF227" i="3" s="1"/>
  <c r="BC227" i="3"/>
  <c r="BE227" i="3" s="1"/>
  <c r="CI226" i="3"/>
  <c r="CK226" i="3" s="1"/>
  <c r="CH226" i="3"/>
  <c r="CJ226" i="3" s="1"/>
  <c r="BG226" i="3"/>
  <c r="BD226" i="3"/>
  <c r="BF226" i="3" s="1"/>
  <c r="BC226" i="3"/>
  <c r="BE226" i="3" s="1"/>
  <c r="CI225" i="3"/>
  <c r="CK225" i="3" s="1"/>
  <c r="CH225" i="3"/>
  <c r="CJ225" i="3" s="1"/>
  <c r="BG225" i="3"/>
  <c r="BD225" i="3"/>
  <c r="BF225" i="3" s="1"/>
  <c r="BC225" i="3"/>
  <c r="BE225" i="3" s="1"/>
  <c r="CI224" i="3"/>
  <c r="CK224" i="3" s="1"/>
  <c r="CH224" i="3"/>
  <c r="CJ224" i="3" s="1"/>
  <c r="BG224" i="3"/>
  <c r="BD224" i="3"/>
  <c r="BF224" i="3" s="1"/>
  <c r="BC224" i="3"/>
  <c r="BE224" i="3" s="1"/>
  <c r="CI223" i="3"/>
  <c r="CK223" i="3" s="1"/>
  <c r="CH223" i="3"/>
  <c r="CJ223" i="3" s="1"/>
  <c r="BG223" i="3"/>
  <c r="BD223" i="3"/>
  <c r="BF223" i="3" s="1"/>
  <c r="BC223" i="3"/>
  <c r="BE223" i="3" s="1"/>
  <c r="CI222" i="3"/>
  <c r="CK222" i="3" s="1"/>
  <c r="CH222" i="3"/>
  <c r="CJ222" i="3" s="1"/>
  <c r="BG222" i="3"/>
  <c r="BD222" i="3"/>
  <c r="BF222" i="3" s="1"/>
  <c r="BC222" i="3"/>
  <c r="BE222" i="3" s="1"/>
  <c r="CI221" i="3"/>
  <c r="CK221" i="3" s="1"/>
  <c r="CH221" i="3"/>
  <c r="CJ221" i="3" s="1"/>
  <c r="BG221" i="3"/>
  <c r="BD221" i="3"/>
  <c r="BF221" i="3" s="1"/>
  <c r="BC221" i="3"/>
  <c r="BE221" i="3" s="1"/>
  <c r="CI220" i="3"/>
  <c r="CK220" i="3" s="1"/>
  <c r="CH220" i="3"/>
  <c r="CJ220" i="3" s="1"/>
  <c r="BG220" i="3"/>
  <c r="BD220" i="3"/>
  <c r="BF220" i="3" s="1"/>
  <c r="BC220" i="3"/>
  <c r="BE220" i="3" s="1"/>
  <c r="CI219" i="3"/>
  <c r="CK219" i="3" s="1"/>
  <c r="CH219" i="3"/>
  <c r="CJ219" i="3" s="1"/>
  <c r="BG219" i="3"/>
  <c r="BD219" i="3"/>
  <c r="BF219" i="3" s="1"/>
  <c r="BC219" i="3"/>
  <c r="BE219" i="3" s="1"/>
  <c r="CI218" i="3"/>
  <c r="CK218" i="3" s="1"/>
  <c r="CH218" i="3"/>
  <c r="CJ218" i="3" s="1"/>
  <c r="BG218" i="3"/>
  <c r="BD218" i="3"/>
  <c r="BF218" i="3" s="1"/>
  <c r="BC218" i="3"/>
  <c r="BE218" i="3" s="1"/>
  <c r="CI217" i="3"/>
  <c r="CK217" i="3" s="1"/>
  <c r="CH217" i="3"/>
  <c r="CJ217" i="3" s="1"/>
  <c r="BG217" i="3"/>
  <c r="BD217" i="3"/>
  <c r="BF217" i="3" s="1"/>
  <c r="BC217" i="3"/>
  <c r="BE217" i="3" s="1"/>
  <c r="CI216" i="3"/>
  <c r="CK216" i="3" s="1"/>
  <c r="CH216" i="3"/>
  <c r="CJ216" i="3" s="1"/>
  <c r="BG216" i="3"/>
  <c r="BD216" i="3"/>
  <c r="BF216" i="3" s="1"/>
  <c r="BC216" i="3"/>
  <c r="BE216" i="3" s="1"/>
  <c r="CI215" i="3"/>
  <c r="CK215" i="3" s="1"/>
  <c r="CH215" i="3"/>
  <c r="CJ215" i="3" s="1"/>
  <c r="BG215" i="3"/>
  <c r="BD215" i="3"/>
  <c r="BF215" i="3" s="1"/>
  <c r="BC215" i="3"/>
  <c r="BE215" i="3" s="1"/>
  <c r="CI214" i="3"/>
  <c r="CK214" i="3" s="1"/>
  <c r="CH214" i="3"/>
  <c r="CJ214" i="3" s="1"/>
  <c r="BG214" i="3"/>
  <c r="BD214" i="3"/>
  <c r="BF214" i="3" s="1"/>
  <c r="BC214" i="3"/>
  <c r="BE214" i="3" s="1"/>
  <c r="CI213" i="3"/>
  <c r="CK213" i="3" s="1"/>
  <c r="CH213" i="3"/>
  <c r="CJ213" i="3" s="1"/>
  <c r="BG213" i="3"/>
  <c r="BD213" i="3"/>
  <c r="BF213" i="3" s="1"/>
  <c r="BC213" i="3"/>
  <c r="BE213" i="3" s="1"/>
  <c r="CI212" i="3"/>
  <c r="CK212" i="3" s="1"/>
  <c r="CH212" i="3"/>
  <c r="CJ212" i="3" s="1"/>
  <c r="BG212" i="3"/>
  <c r="BD212" i="3"/>
  <c r="BF212" i="3" s="1"/>
  <c r="BC212" i="3"/>
  <c r="BE212" i="3" s="1"/>
  <c r="CI211" i="3"/>
  <c r="CK211" i="3" s="1"/>
  <c r="CH211" i="3"/>
  <c r="CJ211" i="3" s="1"/>
  <c r="BG211" i="3"/>
  <c r="BD211" i="3"/>
  <c r="BF211" i="3" s="1"/>
  <c r="BC211" i="3"/>
  <c r="BE211" i="3" s="1"/>
  <c r="CI210" i="3"/>
  <c r="CK210" i="3" s="1"/>
  <c r="CH210" i="3"/>
  <c r="CJ210" i="3" s="1"/>
  <c r="BG210" i="3"/>
  <c r="BD210" i="3"/>
  <c r="BF210" i="3" s="1"/>
  <c r="BC210" i="3"/>
  <c r="BE210" i="3" s="1"/>
  <c r="CI209" i="3"/>
  <c r="CK209" i="3" s="1"/>
  <c r="CH209" i="3"/>
  <c r="CJ209" i="3" s="1"/>
  <c r="BG209" i="3"/>
  <c r="BD209" i="3"/>
  <c r="BF209" i="3" s="1"/>
  <c r="BC209" i="3"/>
  <c r="BE209" i="3" s="1"/>
  <c r="CI208" i="3"/>
  <c r="CK208" i="3" s="1"/>
  <c r="CH208" i="3"/>
  <c r="CJ208" i="3" s="1"/>
  <c r="BG208" i="3"/>
  <c r="BD208" i="3"/>
  <c r="BF208" i="3" s="1"/>
  <c r="BC208" i="3"/>
  <c r="BE208" i="3" s="1"/>
  <c r="CI207" i="3"/>
  <c r="CK207" i="3" s="1"/>
  <c r="CH207" i="3"/>
  <c r="CJ207" i="3" s="1"/>
  <c r="BG207" i="3"/>
  <c r="BD207" i="3"/>
  <c r="BF207" i="3" s="1"/>
  <c r="BC207" i="3"/>
  <c r="BE207" i="3" s="1"/>
  <c r="CI206" i="3"/>
  <c r="CK206" i="3" s="1"/>
  <c r="CH206" i="3"/>
  <c r="CJ206" i="3" s="1"/>
  <c r="BG206" i="3"/>
  <c r="BD206" i="3"/>
  <c r="BF206" i="3" s="1"/>
  <c r="BC206" i="3"/>
  <c r="BE206" i="3" s="1"/>
  <c r="CI205" i="3"/>
  <c r="CK205" i="3" s="1"/>
  <c r="CH205" i="3"/>
  <c r="CJ205" i="3" s="1"/>
  <c r="BG205" i="3"/>
  <c r="BD205" i="3"/>
  <c r="BF205" i="3" s="1"/>
  <c r="BC205" i="3"/>
  <c r="BE205" i="3" s="1"/>
  <c r="CI204" i="3"/>
  <c r="CK204" i="3" s="1"/>
  <c r="CH204" i="3"/>
  <c r="CJ204" i="3" s="1"/>
  <c r="BG204" i="3"/>
  <c r="BD204" i="3"/>
  <c r="BF204" i="3" s="1"/>
  <c r="BC204" i="3"/>
  <c r="BE204" i="3" s="1"/>
  <c r="CI203" i="3"/>
  <c r="CK203" i="3" s="1"/>
  <c r="CH203" i="3"/>
  <c r="CJ203" i="3" s="1"/>
  <c r="BG203" i="3"/>
  <c r="BD203" i="3"/>
  <c r="BF203" i="3" s="1"/>
  <c r="BC203" i="3"/>
  <c r="BE203" i="3" s="1"/>
  <c r="CI202" i="3"/>
  <c r="CK202" i="3" s="1"/>
  <c r="CH202" i="3"/>
  <c r="CJ202" i="3" s="1"/>
  <c r="BG202" i="3"/>
  <c r="BD202" i="3"/>
  <c r="BF202" i="3" s="1"/>
  <c r="BC202" i="3"/>
  <c r="BE202" i="3" s="1"/>
  <c r="CI201" i="3"/>
  <c r="CK201" i="3" s="1"/>
  <c r="CH201" i="3"/>
  <c r="CJ201" i="3" s="1"/>
  <c r="BG201" i="3"/>
  <c r="BD201" i="3"/>
  <c r="BF201" i="3" s="1"/>
  <c r="BC201" i="3"/>
  <c r="BE201" i="3" s="1"/>
  <c r="CI200" i="3"/>
  <c r="CK200" i="3" s="1"/>
  <c r="CH200" i="3"/>
  <c r="CJ200" i="3" s="1"/>
  <c r="BG200" i="3"/>
  <c r="BD200" i="3"/>
  <c r="BF200" i="3" s="1"/>
  <c r="BC200" i="3"/>
  <c r="BE200" i="3" s="1"/>
  <c r="CI199" i="3"/>
  <c r="CK199" i="3" s="1"/>
  <c r="CH199" i="3"/>
  <c r="CJ199" i="3" s="1"/>
  <c r="BG199" i="3"/>
  <c r="BD199" i="3"/>
  <c r="BF199" i="3" s="1"/>
  <c r="BC199" i="3"/>
  <c r="BE199" i="3" s="1"/>
  <c r="CI198" i="3"/>
  <c r="CK198" i="3" s="1"/>
  <c r="CH198" i="3"/>
  <c r="CJ198" i="3" s="1"/>
  <c r="BG198" i="3"/>
  <c r="BD198" i="3"/>
  <c r="BF198" i="3" s="1"/>
  <c r="BC198" i="3"/>
  <c r="BE198" i="3" s="1"/>
  <c r="CI197" i="3"/>
  <c r="CK197" i="3" s="1"/>
  <c r="CH197" i="3"/>
  <c r="CJ197" i="3" s="1"/>
  <c r="BG197" i="3"/>
  <c r="BD197" i="3"/>
  <c r="BF197" i="3" s="1"/>
  <c r="BC197" i="3"/>
  <c r="BE197" i="3" s="1"/>
  <c r="CI196" i="3"/>
  <c r="CK196" i="3" s="1"/>
  <c r="CH196" i="3"/>
  <c r="CJ196" i="3" s="1"/>
  <c r="BG196" i="3"/>
  <c r="BD196" i="3"/>
  <c r="BF196" i="3" s="1"/>
  <c r="BC196" i="3"/>
  <c r="BE196" i="3" s="1"/>
  <c r="CI195" i="3"/>
  <c r="CK195" i="3" s="1"/>
  <c r="CH195" i="3"/>
  <c r="CJ195" i="3" s="1"/>
  <c r="BG195" i="3"/>
  <c r="BD195" i="3"/>
  <c r="BF195" i="3" s="1"/>
  <c r="BC195" i="3"/>
  <c r="BE195" i="3" s="1"/>
  <c r="CI194" i="3"/>
  <c r="CK194" i="3" s="1"/>
  <c r="CH194" i="3"/>
  <c r="CJ194" i="3" s="1"/>
  <c r="BG194" i="3"/>
  <c r="BD194" i="3"/>
  <c r="BF194" i="3" s="1"/>
  <c r="BC194" i="3"/>
  <c r="BE194" i="3" s="1"/>
  <c r="CI193" i="3"/>
  <c r="CK193" i="3" s="1"/>
  <c r="CH193" i="3"/>
  <c r="CJ193" i="3" s="1"/>
  <c r="BG193" i="3"/>
  <c r="BD193" i="3"/>
  <c r="BF193" i="3" s="1"/>
  <c r="BC193" i="3"/>
  <c r="BE193" i="3" s="1"/>
  <c r="CI192" i="3"/>
  <c r="CK192" i="3" s="1"/>
  <c r="CH192" i="3"/>
  <c r="CJ192" i="3" s="1"/>
  <c r="BG192" i="3"/>
  <c r="BD192" i="3"/>
  <c r="BF192" i="3" s="1"/>
  <c r="BC192" i="3"/>
  <c r="BE192" i="3" s="1"/>
  <c r="CI191" i="3"/>
  <c r="CK191" i="3" s="1"/>
  <c r="CH191" i="3"/>
  <c r="CJ191" i="3" s="1"/>
  <c r="BG191" i="3"/>
  <c r="BD191" i="3"/>
  <c r="BF191" i="3" s="1"/>
  <c r="BC191" i="3"/>
  <c r="BE191" i="3" s="1"/>
  <c r="CI190" i="3"/>
  <c r="CK190" i="3" s="1"/>
  <c r="CH190" i="3"/>
  <c r="CJ190" i="3" s="1"/>
  <c r="BG190" i="3"/>
  <c r="BD190" i="3"/>
  <c r="BF190" i="3" s="1"/>
  <c r="BC190" i="3"/>
  <c r="BE190" i="3" s="1"/>
  <c r="CI189" i="3"/>
  <c r="CK189" i="3" s="1"/>
  <c r="CH189" i="3"/>
  <c r="CJ189" i="3" s="1"/>
  <c r="BG189" i="3"/>
  <c r="BD189" i="3"/>
  <c r="BF189" i="3" s="1"/>
  <c r="BC189" i="3"/>
  <c r="BE189" i="3" s="1"/>
  <c r="CI188" i="3"/>
  <c r="CK188" i="3" s="1"/>
  <c r="CH188" i="3"/>
  <c r="CJ188" i="3" s="1"/>
  <c r="BG188" i="3"/>
  <c r="BD188" i="3"/>
  <c r="BF188" i="3" s="1"/>
  <c r="BC188" i="3"/>
  <c r="BE188" i="3" s="1"/>
  <c r="CI187" i="3"/>
  <c r="CK187" i="3" s="1"/>
  <c r="CH187" i="3"/>
  <c r="CJ187" i="3" s="1"/>
  <c r="BG187" i="3"/>
  <c r="BD187" i="3"/>
  <c r="BF187" i="3" s="1"/>
  <c r="BC187" i="3"/>
  <c r="BE187" i="3" s="1"/>
  <c r="CI186" i="3"/>
  <c r="CK186" i="3" s="1"/>
  <c r="CH186" i="3"/>
  <c r="CJ186" i="3" s="1"/>
  <c r="BG186" i="3"/>
  <c r="BD186" i="3"/>
  <c r="BF186" i="3" s="1"/>
  <c r="BC186" i="3"/>
  <c r="BE186" i="3" s="1"/>
  <c r="CI185" i="3"/>
  <c r="CK185" i="3" s="1"/>
  <c r="CH185" i="3"/>
  <c r="CJ185" i="3" s="1"/>
  <c r="BG185" i="3"/>
  <c r="BD185" i="3"/>
  <c r="BF185" i="3" s="1"/>
  <c r="BC185" i="3"/>
  <c r="BE185" i="3" s="1"/>
  <c r="CI184" i="3"/>
  <c r="CK184" i="3" s="1"/>
  <c r="CH184" i="3"/>
  <c r="CJ184" i="3" s="1"/>
  <c r="BG184" i="3"/>
  <c r="BD184" i="3"/>
  <c r="BF184" i="3" s="1"/>
  <c r="BC184" i="3"/>
  <c r="BE184" i="3" s="1"/>
  <c r="CI183" i="3"/>
  <c r="CK183" i="3" s="1"/>
  <c r="CH183" i="3"/>
  <c r="CJ183" i="3" s="1"/>
  <c r="BG183" i="3"/>
  <c r="BD183" i="3"/>
  <c r="BF183" i="3" s="1"/>
  <c r="BC183" i="3"/>
  <c r="BE183" i="3" s="1"/>
  <c r="CI182" i="3"/>
  <c r="CK182" i="3" s="1"/>
  <c r="CH182" i="3"/>
  <c r="CJ182" i="3" s="1"/>
  <c r="BG182" i="3"/>
  <c r="BD182" i="3"/>
  <c r="BF182" i="3" s="1"/>
  <c r="BC182" i="3"/>
  <c r="BE182" i="3" s="1"/>
  <c r="CI181" i="3"/>
  <c r="CK181" i="3" s="1"/>
  <c r="CH181" i="3"/>
  <c r="CJ181" i="3" s="1"/>
  <c r="BG181" i="3"/>
  <c r="BD181" i="3"/>
  <c r="BF181" i="3" s="1"/>
  <c r="BC181" i="3"/>
  <c r="BE181" i="3" s="1"/>
  <c r="CI180" i="3"/>
  <c r="CK180" i="3" s="1"/>
  <c r="CH180" i="3"/>
  <c r="CJ180" i="3" s="1"/>
  <c r="BG180" i="3"/>
  <c r="BD180" i="3"/>
  <c r="BF180" i="3" s="1"/>
  <c r="BC180" i="3"/>
  <c r="BE180" i="3" s="1"/>
  <c r="CI179" i="3"/>
  <c r="CK179" i="3" s="1"/>
  <c r="CH179" i="3"/>
  <c r="CJ179" i="3" s="1"/>
  <c r="BG179" i="3"/>
  <c r="BD179" i="3"/>
  <c r="BF179" i="3" s="1"/>
  <c r="BC179" i="3"/>
  <c r="BE179" i="3" s="1"/>
  <c r="CI178" i="3"/>
  <c r="CK178" i="3" s="1"/>
  <c r="CH178" i="3"/>
  <c r="CJ178" i="3" s="1"/>
  <c r="BG178" i="3"/>
  <c r="BD178" i="3"/>
  <c r="BF178" i="3" s="1"/>
  <c r="BC178" i="3"/>
  <c r="BE178" i="3" s="1"/>
  <c r="CI177" i="3"/>
  <c r="CK177" i="3" s="1"/>
  <c r="CH177" i="3"/>
  <c r="CJ177" i="3" s="1"/>
  <c r="BG177" i="3"/>
  <c r="BD177" i="3"/>
  <c r="BF177" i="3" s="1"/>
  <c r="BC177" i="3"/>
  <c r="BE177" i="3" s="1"/>
  <c r="CI176" i="3"/>
  <c r="CK176" i="3" s="1"/>
  <c r="CH176" i="3"/>
  <c r="CJ176" i="3" s="1"/>
  <c r="BG176" i="3"/>
  <c r="BD176" i="3"/>
  <c r="BF176" i="3" s="1"/>
  <c r="BC176" i="3"/>
  <c r="BE176" i="3" s="1"/>
  <c r="CI175" i="3"/>
  <c r="CK175" i="3" s="1"/>
  <c r="CH175" i="3"/>
  <c r="CJ175" i="3" s="1"/>
  <c r="BG175" i="3"/>
  <c r="BD175" i="3"/>
  <c r="BF175" i="3" s="1"/>
  <c r="BC175" i="3"/>
  <c r="BE175" i="3" s="1"/>
  <c r="CI174" i="3"/>
  <c r="CK174" i="3" s="1"/>
  <c r="CH174" i="3"/>
  <c r="CJ174" i="3" s="1"/>
  <c r="BG174" i="3"/>
  <c r="BD174" i="3"/>
  <c r="BF174" i="3" s="1"/>
  <c r="BC174" i="3"/>
  <c r="BE174" i="3" s="1"/>
  <c r="CI173" i="3"/>
  <c r="CK173" i="3" s="1"/>
  <c r="CH173" i="3"/>
  <c r="CJ173" i="3" s="1"/>
  <c r="BG173" i="3"/>
  <c r="BD173" i="3"/>
  <c r="BF173" i="3" s="1"/>
  <c r="BC173" i="3"/>
  <c r="BE173" i="3" s="1"/>
  <c r="CI172" i="3"/>
  <c r="CK172" i="3" s="1"/>
  <c r="CH172" i="3"/>
  <c r="CJ172" i="3" s="1"/>
  <c r="BG172" i="3"/>
  <c r="BD172" i="3"/>
  <c r="BF172" i="3" s="1"/>
  <c r="BC172" i="3"/>
  <c r="BE172" i="3" s="1"/>
  <c r="CI171" i="3"/>
  <c r="CK171" i="3" s="1"/>
  <c r="CH171" i="3"/>
  <c r="CJ171" i="3" s="1"/>
  <c r="BG171" i="3"/>
  <c r="BD171" i="3"/>
  <c r="BF171" i="3" s="1"/>
  <c r="BC171" i="3"/>
  <c r="BE171" i="3" s="1"/>
  <c r="CI170" i="3"/>
  <c r="CK170" i="3" s="1"/>
  <c r="CH170" i="3"/>
  <c r="CJ170" i="3" s="1"/>
  <c r="BG170" i="3"/>
  <c r="BD170" i="3"/>
  <c r="BF170" i="3" s="1"/>
  <c r="BC170" i="3"/>
  <c r="BE170" i="3" s="1"/>
  <c r="CI169" i="3"/>
  <c r="CK169" i="3" s="1"/>
  <c r="CH169" i="3"/>
  <c r="CJ169" i="3" s="1"/>
  <c r="BG169" i="3"/>
  <c r="BD169" i="3"/>
  <c r="BF169" i="3" s="1"/>
  <c r="BC169" i="3"/>
  <c r="BE169" i="3" s="1"/>
  <c r="CI168" i="3"/>
  <c r="CK168" i="3" s="1"/>
  <c r="CH168" i="3"/>
  <c r="CJ168" i="3" s="1"/>
  <c r="BG168" i="3"/>
  <c r="BD168" i="3"/>
  <c r="BF168" i="3" s="1"/>
  <c r="BC168" i="3"/>
  <c r="BE168" i="3" s="1"/>
  <c r="CI167" i="3"/>
  <c r="CK167" i="3" s="1"/>
  <c r="CH167" i="3"/>
  <c r="CJ167" i="3" s="1"/>
  <c r="BG167" i="3"/>
  <c r="BD167" i="3"/>
  <c r="BF167" i="3" s="1"/>
  <c r="BC167" i="3"/>
  <c r="BE167" i="3" s="1"/>
  <c r="CI166" i="3"/>
  <c r="CK166" i="3" s="1"/>
  <c r="CH166" i="3"/>
  <c r="CJ166" i="3" s="1"/>
  <c r="BG166" i="3"/>
  <c r="BD166" i="3"/>
  <c r="BF166" i="3" s="1"/>
  <c r="BC166" i="3"/>
  <c r="BE166" i="3" s="1"/>
  <c r="CI165" i="3"/>
  <c r="CK165" i="3" s="1"/>
  <c r="CH165" i="3"/>
  <c r="CJ165" i="3" s="1"/>
  <c r="BG165" i="3"/>
  <c r="BD165" i="3"/>
  <c r="BF165" i="3" s="1"/>
  <c r="BC165" i="3"/>
  <c r="BE165" i="3" s="1"/>
  <c r="CI164" i="3"/>
  <c r="CK164" i="3" s="1"/>
  <c r="CH164" i="3"/>
  <c r="CJ164" i="3" s="1"/>
  <c r="BG164" i="3"/>
  <c r="BD164" i="3"/>
  <c r="BF164" i="3" s="1"/>
  <c r="BC164" i="3"/>
  <c r="BE164" i="3" s="1"/>
  <c r="CI163" i="3"/>
  <c r="CK163" i="3" s="1"/>
  <c r="CH163" i="3"/>
  <c r="CJ163" i="3" s="1"/>
  <c r="BG163" i="3"/>
  <c r="BD163" i="3"/>
  <c r="BF163" i="3" s="1"/>
  <c r="BC163" i="3"/>
  <c r="BE163" i="3" s="1"/>
  <c r="CI162" i="3"/>
  <c r="CK162" i="3" s="1"/>
  <c r="CH162" i="3"/>
  <c r="CJ162" i="3" s="1"/>
  <c r="BG162" i="3"/>
  <c r="BD162" i="3"/>
  <c r="BF162" i="3" s="1"/>
  <c r="BC162" i="3"/>
  <c r="BE162" i="3" s="1"/>
  <c r="CI161" i="3"/>
  <c r="CK161" i="3" s="1"/>
  <c r="CH161" i="3"/>
  <c r="CJ161" i="3" s="1"/>
  <c r="BG161" i="3"/>
  <c r="BD161" i="3"/>
  <c r="BF161" i="3" s="1"/>
  <c r="BC161" i="3"/>
  <c r="BE161" i="3" s="1"/>
  <c r="CI160" i="3"/>
  <c r="CK160" i="3" s="1"/>
  <c r="CH160" i="3"/>
  <c r="CJ160" i="3" s="1"/>
  <c r="BG160" i="3"/>
  <c r="BD160" i="3"/>
  <c r="BF160" i="3" s="1"/>
  <c r="BC160" i="3"/>
  <c r="BE160" i="3" s="1"/>
  <c r="CI159" i="3"/>
  <c r="CK159" i="3" s="1"/>
  <c r="CH159" i="3"/>
  <c r="CJ159" i="3" s="1"/>
  <c r="BG159" i="3"/>
  <c r="BD159" i="3"/>
  <c r="BF159" i="3" s="1"/>
  <c r="BC159" i="3"/>
  <c r="BE159" i="3" s="1"/>
  <c r="CI158" i="3"/>
  <c r="CK158" i="3" s="1"/>
  <c r="CH158" i="3"/>
  <c r="CJ158" i="3" s="1"/>
  <c r="BG158" i="3"/>
  <c r="BD158" i="3"/>
  <c r="BF158" i="3" s="1"/>
  <c r="BC158" i="3"/>
  <c r="BE158" i="3" s="1"/>
  <c r="CI157" i="3"/>
  <c r="CK157" i="3" s="1"/>
  <c r="CH157" i="3"/>
  <c r="CJ157" i="3" s="1"/>
  <c r="BG157" i="3"/>
  <c r="BD157" i="3"/>
  <c r="BF157" i="3" s="1"/>
  <c r="BC157" i="3"/>
  <c r="BE157" i="3" s="1"/>
  <c r="CI156" i="3"/>
  <c r="CK156" i="3" s="1"/>
  <c r="CH156" i="3"/>
  <c r="CJ156" i="3" s="1"/>
  <c r="BG156" i="3"/>
  <c r="BD156" i="3"/>
  <c r="BF156" i="3" s="1"/>
  <c r="BC156" i="3"/>
  <c r="BE156" i="3" s="1"/>
  <c r="CI155" i="3"/>
  <c r="CK155" i="3" s="1"/>
  <c r="CH155" i="3"/>
  <c r="CJ155" i="3" s="1"/>
  <c r="BG155" i="3"/>
  <c r="BD155" i="3"/>
  <c r="BF155" i="3" s="1"/>
  <c r="BC155" i="3"/>
  <c r="BE155" i="3" s="1"/>
  <c r="CI154" i="3"/>
  <c r="CK154" i="3" s="1"/>
  <c r="CH154" i="3"/>
  <c r="CJ154" i="3" s="1"/>
  <c r="BG154" i="3"/>
  <c r="BD154" i="3"/>
  <c r="BF154" i="3" s="1"/>
  <c r="BC154" i="3"/>
  <c r="BE154" i="3" s="1"/>
  <c r="CI153" i="3"/>
  <c r="CK153" i="3" s="1"/>
  <c r="CH153" i="3"/>
  <c r="CJ153" i="3" s="1"/>
  <c r="BG153" i="3"/>
  <c r="BD153" i="3"/>
  <c r="BF153" i="3" s="1"/>
  <c r="BC153" i="3"/>
  <c r="BE153" i="3" s="1"/>
  <c r="CI152" i="3"/>
  <c r="CK152" i="3" s="1"/>
  <c r="CH152" i="3"/>
  <c r="CJ152" i="3" s="1"/>
  <c r="BG152" i="3"/>
  <c r="BD152" i="3"/>
  <c r="BF152" i="3" s="1"/>
  <c r="BC152" i="3"/>
  <c r="BE152" i="3" s="1"/>
  <c r="CI151" i="3"/>
  <c r="CK151" i="3" s="1"/>
  <c r="CH151" i="3"/>
  <c r="CJ151" i="3" s="1"/>
  <c r="BG151" i="3"/>
  <c r="BD151" i="3"/>
  <c r="BF151" i="3" s="1"/>
  <c r="BC151" i="3"/>
  <c r="BE151" i="3" s="1"/>
  <c r="CI150" i="3"/>
  <c r="CK150" i="3" s="1"/>
  <c r="CH150" i="3"/>
  <c r="CJ150" i="3" s="1"/>
  <c r="BG150" i="3"/>
  <c r="BD150" i="3"/>
  <c r="BF150" i="3" s="1"/>
  <c r="BC150" i="3"/>
  <c r="BE150" i="3" s="1"/>
  <c r="CI149" i="3"/>
  <c r="CK149" i="3" s="1"/>
  <c r="CH149" i="3"/>
  <c r="CJ149" i="3" s="1"/>
  <c r="BG149" i="3"/>
  <c r="BD149" i="3"/>
  <c r="BF149" i="3" s="1"/>
  <c r="BC149" i="3"/>
  <c r="BE149" i="3" s="1"/>
  <c r="CI148" i="3"/>
  <c r="CK148" i="3" s="1"/>
  <c r="CH148" i="3"/>
  <c r="CJ148" i="3" s="1"/>
  <c r="BG148" i="3"/>
  <c r="BD148" i="3"/>
  <c r="BF148" i="3" s="1"/>
  <c r="BC148" i="3"/>
  <c r="BE148" i="3" s="1"/>
  <c r="CI147" i="3"/>
  <c r="CK147" i="3" s="1"/>
  <c r="CH147" i="3"/>
  <c r="CJ147" i="3" s="1"/>
  <c r="BG147" i="3"/>
  <c r="BD147" i="3"/>
  <c r="BF147" i="3" s="1"/>
  <c r="BC147" i="3"/>
  <c r="BE147" i="3" s="1"/>
  <c r="CI146" i="3"/>
  <c r="CK146" i="3" s="1"/>
  <c r="CH146" i="3"/>
  <c r="CJ146" i="3" s="1"/>
  <c r="BG146" i="3"/>
  <c r="BD146" i="3"/>
  <c r="BF146" i="3" s="1"/>
  <c r="BC146" i="3"/>
  <c r="BE146" i="3" s="1"/>
  <c r="CI145" i="3"/>
  <c r="CK145" i="3" s="1"/>
  <c r="CH145" i="3"/>
  <c r="CJ145" i="3" s="1"/>
  <c r="BG145" i="3"/>
  <c r="BD145" i="3"/>
  <c r="BF145" i="3" s="1"/>
  <c r="BC145" i="3"/>
  <c r="BE145" i="3" s="1"/>
  <c r="CI144" i="3"/>
  <c r="CK144" i="3" s="1"/>
  <c r="CH144" i="3"/>
  <c r="CJ144" i="3" s="1"/>
  <c r="BG144" i="3"/>
  <c r="BD144" i="3"/>
  <c r="BF144" i="3" s="1"/>
  <c r="BC144" i="3"/>
  <c r="BE144" i="3" s="1"/>
  <c r="CI143" i="3"/>
  <c r="CK143" i="3" s="1"/>
  <c r="CH143" i="3"/>
  <c r="CJ143" i="3" s="1"/>
  <c r="BG143" i="3"/>
  <c r="BD143" i="3"/>
  <c r="BF143" i="3" s="1"/>
  <c r="BC143" i="3"/>
  <c r="BE143" i="3" s="1"/>
  <c r="CI142" i="3"/>
  <c r="CK142" i="3" s="1"/>
  <c r="CH142" i="3"/>
  <c r="CJ142" i="3" s="1"/>
  <c r="BG142" i="3"/>
  <c r="BD142" i="3"/>
  <c r="BF142" i="3" s="1"/>
  <c r="BC142" i="3"/>
  <c r="BE142" i="3" s="1"/>
  <c r="CI141" i="3"/>
  <c r="CK141" i="3" s="1"/>
  <c r="CH141" i="3"/>
  <c r="CJ141" i="3" s="1"/>
  <c r="BG141" i="3"/>
  <c r="BD141" i="3"/>
  <c r="BF141" i="3" s="1"/>
  <c r="BC141" i="3"/>
  <c r="BE141" i="3" s="1"/>
  <c r="CI140" i="3"/>
  <c r="CK140" i="3" s="1"/>
  <c r="CH140" i="3"/>
  <c r="CJ140" i="3" s="1"/>
  <c r="BG140" i="3"/>
  <c r="BD140" i="3"/>
  <c r="BF140" i="3" s="1"/>
  <c r="BC140" i="3"/>
  <c r="BE140" i="3" s="1"/>
  <c r="CI139" i="3"/>
  <c r="CK139" i="3" s="1"/>
  <c r="CH139" i="3"/>
  <c r="CJ139" i="3" s="1"/>
  <c r="BG139" i="3"/>
  <c r="BD139" i="3"/>
  <c r="BF139" i="3" s="1"/>
  <c r="BC139" i="3"/>
  <c r="BE139" i="3" s="1"/>
  <c r="CI138" i="3"/>
  <c r="CK138" i="3" s="1"/>
  <c r="CH138" i="3"/>
  <c r="CJ138" i="3" s="1"/>
  <c r="BG138" i="3"/>
  <c r="BD138" i="3"/>
  <c r="BF138" i="3" s="1"/>
  <c r="BC138" i="3"/>
  <c r="BE138" i="3" s="1"/>
  <c r="CI137" i="3"/>
  <c r="CK137" i="3" s="1"/>
  <c r="CH137" i="3"/>
  <c r="CJ137" i="3" s="1"/>
  <c r="BG137" i="3"/>
  <c r="BD137" i="3"/>
  <c r="BF137" i="3" s="1"/>
  <c r="BC137" i="3"/>
  <c r="BE137" i="3" s="1"/>
  <c r="CI136" i="3"/>
  <c r="CK136" i="3" s="1"/>
  <c r="CH136" i="3"/>
  <c r="CJ136" i="3" s="1"/>
  <c r="BG136" i="3"/>
  <c r="BD136" i="3"/>
  <c r="BF136" i="3" s="1"/>
  <c r="BC136" i="3"/>
  <c r="BE136" i="3" s="1"/>
  <c r="CI135" i="3"/>
  <c r="CK135" i="3" s="1"/>
  <c r="CH135" i="3"/>
  <c r="CJ135" i="3" s="1"/>
  <c r="BG135" i="3"/>
  <c r="BD135" i="3"/>
  <c r="BF135" i="3" s="1"/>
  <c r="BC135" i="3"/>
  <c r="BE135" i="3" s="1"/>
  <c r="CI134" i="3"/>
  <c r="CK134" i="3" s="1"/>
  <c r="CH134" i="3"/>
  <c r="CJ134" i="3" s="1"/>
  <c r="BG134" i="3"/>
  <c r="BD134" i="3"/>
  <c r="BF134" i="3" s="1"/>
  <c r="BC134" i="3"/>
  <c r="BE134" i="3" s="1"/>
  <c r="CI133" i="3"/>
  <c r="CK133" i="3" s="1"/>
  <c r="CH133" i="3"/>
  <c r="CJ133" i="3" s="1"/>
  <c r="BG133" i="3"/>
  <c r="BD133" i="3"/>
  <c r="BF133" i="3" s="1"/>
  <c r="BC133" i="3"/>
  <c r="BE133" i="3" s="1"/>
  <c r="CI132" i="3"/>
  <c r="CK132" i="3" s="1"/>
  <c r="CH132" i="3"/>
  <c r="CJ132" i="3" s="1"/>
  <c r="BG132" i="3"/>
  <c r="BD132" i="3"/>
  <c r="BF132" i="3" s="1"/>
  <c r="BC132" i="3"/>
  <c r="BE132" i="3" s="1"/>
  <c r="CI131" i="3"/>
  <c r="CK131" i="3" s="1"/>
  <c r="CH131" i="3"/>
  <c r="CJ131" i="3" s="1"/>
  <c r="BG131" i="3"/>
  <c r="BD131" i="3"/>
  <c r="BF131" i="3" s="1"/>
  <c r="BC131" i="3"/>
  <c r="BE131" i="3" s="1"/>
  <c r="CI130" i="3"/>
  <c r="CK130" i="3" s="1"/>
  <c r="CH130" i="3"/>
  <c r="CJ130" i="3" s="1"/>
  <c r="BG130" i="3"/>
  <c r="BD130" i="3"/>
  <c r="BF130" i="3" s="1"/>
  <c r="BC130" i="3"/>
  <c r="BE130" i="3" s="1"/>
  <c r="CI129" i="3"/>
  <c r="CK129" i="3" s="1"/>
  <c r="CH129" i="3"/>
  <c r="CJ129" i="3" s="1"/>
  <c r="BG129" i="3"/>
  <c r="BD129" i="3"/>
  <c r="BF129" i="3" s="1"/>
  <c r="BC129" i="3"/>
  <c r="BE129" i="3" s="1"/>
  <c r="CI128" i="3"/>
  <c r="CK128" i="3" s="1"/>
  <c r="CH128" i="3"/>
  <c r="CJ128" i="3" s="1"/>
  <c r="BG128" i="3"/>
  <c r="BD128" i="3"/>
  <c r="BF128" i="3" s="1"/>
  <c r="BC128" i="3"/>
  <c r="BE128" i="3" s="1"/>
  <c r="CI127" i="3"/>
  <c r="CK127" i="3" s="1"/>
  <c r="CH127" i="3"/>
  <c r="CJ127" i="3" s="1"/>
  <c r="BG127" i="3"/>
  <c r="BD127" i="3"/>
  <c r="BF127" i="3" s="1"/>
  <c r="BC127" i="3"/>
  <c r="BE127" i="3" s="1"/>
  <c r="CI126" i="3"/>
  <c r="CK126" i="3" s="1"/>
  <c r="CH126" i="3"/>
  <c r="CJ126" i="3" s="1"/>
  <c r="BG126" i="3"/>
  <c r="BD126" i="3"/>
  <c r="BF126" i="3" s="1"/>
  <c r="BC126" i="3"/>
  <c r="BE126" i="3" s="1"/>
  <c r="CI125" i="3"/>
  <c r="CK125" i="3" s="1"/>
  <c r="CH125" i="3"/>
  <c r="CJ125" i="3" s="1"/>
  <c r="BG125" i="3"/>
  <c r="BD125" i="3"/>
  <c r="BF125" i="3" s="1"/>
  <c r="BC125" i="3"/>
  <c r="BE125" i="3" s="1"/>
  <c r="CI124" i="3"/>
  <c r="CK124" i="3" s="1"/>
  <c r="CH124" i="3"/>
  <c r="CJ124" i="3" s="1"/>
  <c r="BG124" i="3"/>
  <c r="BD124" i="3"/>
  <c r="BF124" i="3" s="1"/>
  <c r="BC124" i="3"/>
  <c r="BE124" i="3" s="1"/>
  <c r="CI123" i="3"/>
  <c r="CK123" i="3" s="1"/>
  <c r="CH123" i="3"/>
  <c r="CJ123" i="3" s="1"/>
  <c r="BG123" i="3"/>
  <c r="BD123" i="3"/>
  <c r="BF123" i="3" s="1"/>
  <c r="BC123" i="3"/>
  <c r="BE123" i="3" s="1"/>
  <c r="CI122" i="3"/>
  <c r="CK122" i="3" s="1"/>
  <c r="CH122" i="3"/>
  <c r="CJ122" i="3" s="1"/>
  <c r="BG122" i="3"/>
  <c r="BD122" i="3"/>
  <c r="BF122" i="3" s="1"/>
  <c r="BC122" i="3"/>
  <c r="BE122" i="3" s="1"/>
  <c r="CI121" i="3"/>
  <c r="CK121" i="3" s="1"/>
  <c r="CH121" i="3"/>
  <c r="CJ121" i="3" s="1"/>
  <c r="BG121" i="3"/>
  <c r="BD121" i="3"/>
  <c r="BF121" i="3" s="1"/>
  <c r="BC121" i="3"/>
  <c r="BE121" i="3" s="1"/>
  <c r="CI120" i="3"/>
  <c r="CK120" i="3" s="1"/>
  <c r="CH120" i="3"/>
  <c r="CJ120" i="3" s="1"/>
  <c r="BG120" i="3"/>
  <c r="BD120" i="3"/>
  <c r="BF120" i="3" s="1"/>
  <c r="BC120" i="3"/>
  <c r="BE120" i="3" s="1"/>
  <c r="CI119" i="3"/>
  <c r="CK119" i="3" s="1"/>
  <c r="CH119" i="3"/>
  <c r="CJ119" i="3" s="1"/>
  <c r="BG119" i="3"/>
  <c r="BD119" i="3"/>
  <c r="BF119" i="3" s="1"/>
  <c r="BC119" i="3"/>
  <c r="BE119" i="3" s="1"/>
  <c r="CI118" i="3"/>
  <c r="CK118" i="3" s="1"/>
  <c r="CH118" i="3"/>
  <c r="CJ118" i="3" s="1"/>
  <c r="BG118" i="3"/>
  <c r="BD118" i="3"/>
  <c r="BF118" i="3" s="1"/>
  <c r="BC118" i="3"/>
  <c r="BE118" i="3" s="1"/>
  <c r="CI117" i="3"/>
  <c r="CK117" i="3" s="1"/>
  <c r="CH117" i="3"/>
  <c r="CJ117" i="3" s="1"/>
  <c r="BG117" i="3"/>
  <c r="BD117" i="3"/>
  <c r="BF117" i="3" s="1"/>
  <c r="BC117" i="3"/>
  <c r="BE117" i="3" s="1"/>
  <c r="CI116" i="3"/>
  <c r="CK116" i="3" s="1"/>
  <c r="CH116" i="3"/>
  <c r="CJ116" i="3" s="1"/>
  <c r="BG116" i="3"/>
  <c r="BD116" i="3"/>
  <c r="BF116" i="3" s="1"/>
  <c r="BC116" i="3"/>
  <c r="BE116" i="3" s="1"/>
  <c r="CI115" i="3"/>
  <c r="CK115" i="3" s="1"/>
  <c r="CH115" i="3"/>
  <c r="CJ115" i="3" s="1"/>
  <c r="BG115" i="3"/>
  <c r="BD115" i="3"/>
  <c r="BF115" i="3" s="1"/>
  <c r="BC115" i="3"/>
  <c r="BE115" i="3" s="1"/>
  <c r="CI114" i="3"/>
  <c r="CK114" i="3" s="1"/>
  <c r="CH114" i="3"/>
  <c r="CJ114" i="3" s="1"/>
  <c r="BG114" i="3"/>
  <c r="BD114" i="3"/>
  <c r="BF114" i="3" s="1"/>
  <c r="BC114" i="3"/>
  <c r="BE114" i="3" s="1"/>
  <c r="CI113" i="3"/>
  <c r="CK113" i="3" s="1"/>
  <c r="CH113" i="3"/>
  <c r="CJ113" i="3" s="1"/>
  <c r="BG113" i="3"/>
  <c r="BD113" i="3"/>
  <c r="BF113" i="3" s="1"/>
  <c r="BC113" i="3"/>
  <c r="BE113" i="3" s="1"/>
  <c r="CI112" i="3"/>
  <c r="CK112" i="3" s="1"/>
  <c r="CH112" i="3"/>
  <c r="CJ112" i="3" s="1"/>
  <c r="BG112" i="3"/>
  <c r="BD112" i="3"/>
  <c r="BF112" i="3" s="1"/>
  <c r="BC112" i="3"/>
  <c r="BE112" i="3" s="1"/>
  <c r="CI111" i="3"/>
  <c r="CK111" i="3" s="1"/>
  <c r="CH111" i="3"/>
  <c r="CJ111" i="3" s="1"/>
  <c r="BG111" i="3"/>
  <c r="BD111" i="3"/>
  <c r="BF111" i="3" s="1"/>
  <c r="BC111" i="3"/>
  <c r="BE111" i="3" s="1"/>
  <c r="CI110" i="3"/>
  <c r="CK110" i="3" s="1"/>
  <c r="CH110" i="3"/>
  <c r="CJ110" i="3" s="1"/>
  <c r="BG110" i="3"/>
  <c r="BD110" i="3"/>
  <c r="BF110" i="3" s="1"/>
  <c r="BC110" i="3"/>
  <c r="BE110" i="3" s="1"/>
  <c r="CI109" i="3"/>
  <c r="CK109" i="3" s="1"/>
  <c r="CH109" i="3"/>
  <c r="CJ109" i="3" s="1"/>
  <c r="BG109" i="3"/>
  <c r="BD109" i="3"/>
  <c r="BF109" i="3" s="1"/>
  <c r="BC109" i="3"/>
  <c r="BE109" i="3" s="1"/>
  <c r="CI108" i="3"/>
  <c r="CK108" i="3" s="1"/>
  <c r="CH108" i="3"/>
  <c r="CJ108" i="3" s="1"/>
  <c r="BG108" i="3"/>
  <c r="BD108" i="3"/>
  <c r="BF108" i="3" s="1"/>
  <c r="BC108" i="3"/>
  <c r="BE108" i="3" s="1"/>
  <c r="CI107" i="3"/>
  <c r="CK107" i="3" s="1"/>
  <c r="CH107" i="3"/>
  <c r="CJ107" i="3" s="1"/>
  <c r="BG107" i="3"/>
  <c r="BD107" i="3"/>
  <c r="BF107" i="3" s="1"/>
  <c r="BC107" i="3"/>
  <c r="BE107" i="3" s="1"/>
  <c r="CI106" i="3"/>
  <c r="CK106" i="3" s="1"/>
  <c r="CH106" i="3"/>
  <c r="CJ106" i="3" s="1"/>
  <c r="BG106" i="3"/>
  <c r="BD106" i="3"/>
  <c r="BF106" i="3" s="1"/>
  <c r="BC106" i="3"/>
  <c r="BE106" i="3" s="1"/>
  <c r="CI105" i="3"/>
  <c r="CK105" i="3" s="1"/>
  <c r="CH105" i="3"/>
  <c r="CJ105" i="3" s="1"/>
  <c r="BG105" i="3"/>
  <c r="BD105" i="3"/>
  <c r="BF105" i="3" s="1"/>
  <c r="BC105" i="3"/>
  <c r="BE105" i="3" s="1"/>
  <c r="CI104" i="3"/>
  <c r="CK104" i="3" s="1"/>
  <c r="CH104" i="3"/>
  <c r="CJ104" i="3" s="1"/>
  <c r="BG104" i="3"/>
  <c r="BD104" i="3"/>
  <c r="BF104" i="3" s="1"/>
  <c r="BC104" i="3"/>
  <c r="BE104" i="3" s="1"/>
  <c r="CI103" i="3"/>
  <c r="CK103" i="3" s="1"/>
  <c r="CH103" i="3"/>
  <c r="CJ103" i="3" s="1"/>
  <c r="BG103" i="3"/>
  <c r="BD103" i="3"/>
  <c r="BF103" i="3" s="1"/>
  <c r="BC103" i="3"/>
  <c r="BE103" i="3" s="1"/>
  <c r="CI102" i="3"/>
  <c r="CK102" i="3" s="1"/>
  <c r="CH102" i="3"/>
  <c r="CJ102" i="3" s="1"/>
  <c r="BG102" i="3"/>
  <c r="BD102" i="3"/>
  <c r="BF102" i="3" s="1"/>
  <c r="BC102" i="3"/>
  <c r="BE102" i="3" s="1"/>
  <c r="CI101" i="3"/>
  <c r="CK101" i="3" s="1"/>
  <c r="CH101" i="3"/>
  <c r="CJ101" i="3" s="1"/>
  <c r="BG101" i="3"/>
  <c r="BD101" i="3"/>
  <c r="BF101" i="3" s="1"/>
  <c r="BC101" i="3"/>
  <c r="BE101" i="3" s="1"/>
  <c r="CI100" i="3"/>
  <c r="CK100" i="3" s="1"/>
  <c r="CH100" i="3"/>
  <c r="CJ100" i="3" s="1"/>
  <c r="BG100" i="3"/>
  <c r="BD100" i="3"/>
  <c r="BF100" i="3" s="1"/>
  <c r="BC100" i="3"/>
  <c r="BE100" i="3" s="1"/>
  <c r="CI99" i="3"/>
  <c r="CK99" i="3" s="1"/>
  <c r="CH99" i="3"/>
  <c r="CJ99" i="3" s="1"/>
  <c r="BG99" i="3"/>
  <c r="BD99" i="3"/>
  <c r="BF99" i="3" s="1"/>
  <c r="BC99" i="3"/>
  <c r="BE99" i="3" s="1"/>
  <c r="CI98" i="3"/>
  <c r="CK98" i="3" s="1"/>
  <c r="CH98" i="3"/>
  <c r="CJ98" i="3" s="1"/>
  <c r="BG98" i="3"/>
  <c r="BD98" i="3"/>
  <c r="BF98" i="3" s="1"/>
  <c r="BC98" i="3"/>
  <c r="BE98" i="3" s="1"/>
  <c r="CI97" i="3"/>
  <c r="CK97" i="3" s="1"/>
  <c r="CH97" i="3"/>
  <c r="CJ97" i="3" s="1"/>
  <c r="BG97" i="3"/>
  <c r="BD97" i="3"/>
  <c r="BF97" i="3" s="1"/>
  <c r="BC97" i="3"/>
  <c r="BE97" i="3" s="1"/>
  <c r="CI96" i="3"/>
  <c r="CK96" i="3" s="1"/>
  <c r="CH96" i="3"/>
  <c r="CJ96" i="3" s="1"/>
  <c r="BG96" i="3"/>
  <c r="BD96" i="3"/>
  <c r="BF96" i="3" s="1"/>
  <c r="BC96" i="3"/>
  <c r="BE96" i="3" s="1"/>
  <c r="CI95" i="3"/>
  <c r="CK95" i="3" s="1"/>
  <c r="CH95" i="3"/>
  <c r="CJ95" i="3" s="1"/>
  <c r="BG95" i="3"/>
  <c r="BD95" i="3"/>
  <c r="BF95" i="3" s="1"/>
  <c r="BC95" i="3"/>
  <c r="BE95" i="3" s="1"/>
  <c r="CI94" i="3"/>
  <c r="CK94" i="3" s="1"/>
  <c r="CH94" i="3"/>
  <c r="CJ94" i="3" s="1"/>
  <c r="BG94" i="3"/>
  <c r="BD94" i="3"/>
  <c r="BF94" i="3" s="1"/>
  <c r="BC94" i="3"/>
  <c r="BE94" i="3" s="1"/>
  <c r="CI93" i="3"/>
  <c r="CK93" i="3" s="1"/>
  <c r="CH93" i="3"/>
  <c r="CJ93" i="3" s="1"/>
  <c r="BG93" i="3"/>
  <c r="BD93" i="3"/>
  <c r="BF93" i="3" s="1"/>
  <c r="BC93" i="3"/>
  <c r="BE93" i="3" s="1"/>
  <c r="CI92" i="3"/>
  <c r="CK92" i="3" s="1"/>
  <c r="CH92" i="3"/>
  <c r="CJ92" i="3" s="1"/>
  <c r="BG92" i="3"/>
  <c r="BD92" i="3"/>
  <c r="BF92" i="3" s="1"/>
  <c r="BC92" i="3"/>
  <c r="BE92" i="3" s="1"/>
  <c r="CI91" i="3"/>
  <c r="CK91" i="3" s="1"/>
  <c r="CH91" i="3"/>
  <c r="CJ91" i="3" s="1"/>
  <c r="BG91" i="3"/>
  <c r="BD91" i="3"/>
  <c r="BF91" i="3" s="1"/>
  <c r="BC91" i="3"/>
  <c r="BE91" i="3" s="1"/>
  <c r="CI90" i="3"/>
  <c r="CK90" i="3" s="1"/>
  <c r="CH90" i="3"/>
  <c r="CJ90" i="3" s="1"/>
  <c r="BG90" i="3"/>
  <c r="BD90" i="3"/>
  <c r="BF90" i="3" s="1"/>
  <c r="BC90" i="3"/>
  <c r="BE90" i="3" s="1"/>
  <c r="CI89" i="3"/>
  <c r="CK89" i="3" s="1"/>
  <c r="CH89" i="3"/>
  <c r="CJ89" i="3" s="1"/>
  <c r="BG89" i="3"/>
  <c r="BD89" i="3"/>
  <c r="BF89" i="3" s="1"/>
  <c r="BC89" i="3"/>
  <c r="BE89" i="3" s="1"/>
  <c r="CI88" i="3"/>
  <c r="CK88" i="3" s="1"/>
  <c r="CH88" i="3"/>
  <c r="CJ88" i="3" s="1"/>
  <c r="BG88" i="3"/>
  <c r="BD88" i="3"/>
  <c r="BF88" i="3" s="1"/>
  <c r="BC88" i="3"/>
  <c r="BE88" i="3" s="1"/>
  <c r="CI87" i="3"/>
  <c r="CK87" i="3" s="1"/>
  <c r="CH87" i="3"/>
  <c r="CJ87" i="3" s="1"/>
  <c r="BG87" i="3"/>
  <c r="BD87" i="3"/>
  <c r="BF87" i="3" s="1"/>
  <c r="BC87" i="3"/>
  <c r="BE87" i="3" s="1"/>
  <c r="CI86" i="3"/>
  <c r="CK86" i="3" s="1"/>
  <c r="CH86" i="3"/>
  <c r="CJ86" i="3" s="1"/>
  <c r="BG86" i="3"/>
  <c r="BD86" i="3"/>
  <c r="BF86" i="3" s="1"/>
  <c r="BC86" i="3"/>
  <c r="BE86" i="3" s="1"/>
  <c r="CI85" i="3"/>
  <c r="CK85" i="3" s="1"/>
  <c r="CH85" i="3"/>
  <c r="CJ85" i="3" s="1"/>
  <c r="BG85" i="3"/>
  <c r="BD85" i="3"/>
  <c r="BF85" i="3" s="1"/>
  <c r="BC85" i="3"/>
  <c r="BE85" i="3" s="1"/>
  <c r="CI84" i="3"/>
  <c r="CK84" i="3" s="1"/>
  <c r="CH84" i="3"/>
  <c r="CJ84" i="3" s="1"/>
  <c r="BG84" i="3"/>
  <c r="BD84" i="3"/>
  <c r="BF84" i="3" s="1"/>
  <c r="BC84" i="3"/>
  <c r="BE84" i="3" s="1"/>
  <c r="CI83" i="3"/>
  <c r="CK83" i="3" s="1"/>
  <c r="CH83" i="3"/>
  <c r="CJ83" i="3" s="1"/>
  <c r="BG83" i="3"/>
  <c r="BD83" i="3"/>
  <c r="BF83" i="3" s="1"/>
  <c r="BC83" i="3"/>
  <c r="BE83" i="3" s="1"/>
  <c r="CI82" i="3"/>
  <c r="CK82" i="3" s="1"/>
  <c r="CH82" i="3"/>
  <c r="CJ82" i="3" s="1"/>
  <c r="BG82" i="3"/>
  <c r="BD82" i="3"/>
  <c r="BF82" i="3" s="1"/>
  <c r="BC82" i="3"/>
  <c r="BE82" i="3" s="1"/>
  <c r="CI81" i="3"/>
  <c r="CK81" i="3" s="1"/>
  <c r="CH81" i="3"/>
  <c r="CJ81" i="3" s="1"/>
  <c r="BG81" i="3"/>
  <c r="BD81" i="3"/>
  <c r="BF81" i="3" s="1"/>
  <c r="BC81" i="3"/>
  <c r="BE81" i="3" s="1"/>
  <c r="CI80" i="3"/>
  <c r="CK80" i="3" s="1"/>
  <c r="CH80" i="3"/>
  <c r="CJ80" i="3" s="1"/>
  <c r="BG80" i="3"/>
  <c r="BD80" i="3"/>
  <c r="BF80" i="3" s="1"/>
  <c r="BC80" i="3"/>
  <c r="BE80" i="3" s="1"/>
  <c r="CI79" i="3"/>
  <c r="CK79" i="3" s="1"/>
  <c r="CH79" i="3"/>
  <c r="CJ79" i="3" s="1"/>
  <c r="BG79" i="3"/>
  <c r="BD79" i="3"/>
  <c r="BF79" i="3" s="1"/>
  <c r="BC79" i="3"/>
  <c r="BE79" i="3" s="1"/>
  <c r="CI78" i="3"/>
  <c r="CK78" i="3" s="1"/>
  <c r="CH78" i="3"/>
  <c r="CJ78" i="3" s="1"/>
  <c r="BG78" i="3"/>
  <c r="BD78" i="3"/>
  <c r="BF78" i="3" s="1"/>
  <c r="BC78" i="3"/>
  <c r="BE78" i="3" s="1"/>
  <c r="CI77" i="3"/>
  <c r="CK77" i="3" s="1"/>
  <c r="CH77" i="3"/>
  <c r="CJ77" i="3" s="1"/>
  <c r="BG77" i="3"/>
  <c r="BD77" i="3"/>
  <c r="BF77" i="3" s="1"/>
  <c r="BC77" i="3"/>
  <c r="BE77" i="3" s="1"/>
  <c r="CI76" i="3"/>
  <c r="CK76" i="3" s="1"/>
  <c r="CH76" i="3"/>
  <c r="CJ76" i="3" s="1"/>
  <c r="BG76" i="3"/>
  <c r="BD76" i="3"/>
  <c r="BF76" i="3" s="1"/>
  <c r="BC76" i="3"/>
  <c r="BE76" i="3" s="1"/>
  <c r="CI75" i="3"/>
  <c r="CK75" i="3" s="1"/>
  <c r="CH75" i="3"/>
  <c r="CJ75" i="3" s="1"/>
  <c r="BG75" i="3"/>
  <c r="BD75" i="3"/>
  <c r="BF75" i="3" s="1"/>
  <c r="BC75" i="3"/>
  <c r="BE75" i="3" s="1"/>
  <c r="CI74" i="3"/>
  <c r="CK74" i="3" s="1"/>
  <c r="CH74" i="3"/>
  <c r="CJ74" i="3" s="1"/>
  <c r="BG74" i="3"/>
  <c r="BD74" i="3"/>
  <c r="BF74" i="3" s="1"/>
  <c r="BC74" i="3"/>
  <c r="BE74" i="3" s="1"/>
  <c r="CI73" i="3"/>
  <c r="CK73" i="3" s="1"/>
  <c r="CH73" i="3"/>
  <c r="CJ73" i="3" s="1"/>
  <c r="BG73" i="3"/>
  <c r="BD73" i="3"/>
  <c r="BF73" i="3" s="1"/>
  <c r="BC73" i="3"/>
  <c r="BE73" i="3" s="1"/>
  <c r="CI72" i="3"/>
  <c r="CK72" i="3" s="1"/>
  <c r="CH72" i="3"/>
  <c r="CJ72" i="3" s="1"/>
  <c r="BG72" i="3"/>
  <c r="BD72" i="3"/>
  <c r="BF72" i="3" s="1"/>
  <c r="BC72" i="3"/>
  <c r="BE72" i="3" s="1"/>
  <c r="CI71" i="3"/>
  <c r="CK71" i="3" s="1"/>
  <c r="CH71" i="3"/>
  <c r="CJ71" i="3" s="1"/>
  <c r="BG71" i="3"/>
  <c r="BD71" i="3"/>
  <c r="BF71" i="3" s="1"/>
  <c r="BC71" i="3"/>
  <c r="BE71" i="3" s="1"/>
  <c r="CI70" i="3"/>
  <c r="CK70" i="3" s="1"/>
  <c r="CH70" i="3"/>
  <c r="CJ70" i="3" s="1"/>
  <c r="BG70" i="3"/>
  <c r="BD70" i="3"/>
  <c r="BF70" i="3" s="1"/>
  <c r="BC70" i="3"/>
  <c r="BE70" i="3" s="1"/>
  <c r="CI69" i="3"/>
  <c r="CK69" i="3" s="1"/>
  <c r="CH69" i="3"/>
  <c r="CJ69" i="3" s="1"/>
  <c r="BG69" i="3"/>
  <c r="BD69" i="3"/>
  <c r="BF69" i="3" s="1"/>
  <c r="BC69" i="3"/>
  <c r="BE69" i="3" s="1"/>
  <c r="CI68" i="3"/>
  <c r="CK68" i="3" s="1"/>
  <c r="CH68" i="3"/>
  <c r="CJ68" i="3" s="1"/>
  <c r="BG68" i="3"/>
  <c r="BD68" i="3"/>
  <c r="BF68" i="3" s="1"/>
  <c r="BC68" i="3"/>
  <c r="BE68" i="3" s="1"/>
  <c r="CI67" i="3"/>
  <c r="CK67" i="3" s="1"/>
  <c r="CH67" i="3"/>
  <c r="CJ67" i="3" s="1"/>
  <c r="BG67" i="3"/>
  <c r="BD67" i="3"/>
  <c r="BF67" i="3" s="1"/>
  <c r="BC67" i="3"/>
  <c r="BE67" i="3" s="1"/>
  <c r="CI66" i="3"/>
  <c r="CK66" i="3" s="1"/>
  <c r="CH66" i="3"/>
  <c r="CJ66" i="3" s="1"/>
  <c r="BG66" i="3"/>
  <c r="BD66" i="3"/>
  <c r="BF66" i="3" s="1"/>
  <c r="BC66" i="3"/>
  <c r="BE66" i="3" s="1"/>
  <c r="CI65" i="3"/>
  <c r="CK65" i="3" s="1"/>
  <c r="CH65" i="3"/>
  <c r="CJ65" i="3" s="1"/>
  <c r="BG65" i="3"/>
  <c r="BD65" i="3"/>
  <c r="BF65" i="3" s="1"/>
  <c r="BC65" i="3"/>
  <c r="BE65" i="3" s="1"/>
  <c r="CI64" i="3"/>
  <c r="CK64" i="3" s="1"/>
  <c r="CH64" i="3"/>
  <c r="CJ64" i="3" s="1"/>
  <c r="BG64" i="3"/>
  <c r="BD64" i="3"/>
  <c r="BF64" i="3" s="1"/>
  <c r="BC64" i="3"/>
  <c r="BE64" i="3" s="1"/>
  <c r="CI63" i="3"/>
  <c r="CK63" i="3" s="1"/>
  <c r="CH63" i="3"/>
  <c r="CJ63" i="3" s="1"/>
  <c r="BG63" i="3"/>
  <c r="BD63" i="3"/>
  <c r="BF63" i="3" s="1"/>
  <c r="BC63" i="3"/>
  <c r="BE63" i="3" s="1"/>
  <c r="CI62" i="3"/>
  <c r="CK62" i="3" s="1"/>
  <c r="CH62" i="3"/>
  <c r="CJ62" i="3" s="1"/>
  <c r="BG62" i="3"/>
  <c r="BD62" i="3"/>
  <c r="BF62" i="3" s="1"/>
  <c r="BC62" i="3"/>
  <c r="BE62" i="3" s="1"/>
  <c r="CI61" i="3"/>
  <c r="CK61" i="3" s="1"/>
  <c r="CH61" i="3"/>
  <c r="CJ61" i="3" s="1"/>
  <c r="BG61" i="3"/>
  <c r="BD61" i="3"/>
  <c r="BF61" i="3" s="1"/>
  <c r="BC61" i="3"/>
  <c r="BE61" i="3" s="1"/>
  <c r="CI60" i="3"/>
  <c r="CK60" i="3" s="1"/>
  <c r="CH60" i="3"/>
  <c r="CJ60" i="3" s="1"/>
  <c r="BG60" i="3"/>
  <c r="BD60" i="3"/>
  <c r="BF60" i="3" s="1"/>
  <c r="BC60" i="3"/>
  <c r="BE60" i="3" s="1"/>
  <c r="CI59" i="3"/>
  <c r="CK59" i="3" s="1"/>
  <c r="CH59" i="3"/>
  <c r="CJ59" i="3" s="1"/>
  <c r="BG59" i="3"/>
  <c r="BD59" i="3"/>
  <c r="BF59" i="3" s="1"/>
  <c r="BC59" i="3"/>
  <c r="BE59" i="3" s="1"/>
  <c r="CI58" i="3"/>
  <c r="CK58" i="3" s="1"/>
  <c r="CH58" i="3"/>
  <c r="CJ58" i="3" s="1"/>
  <c r="BG58" i="3"/>
  <c r="BD58" i="3"/>
  <c r="BF58" i="3" s="1"/>
  <c r="BC58" i="3"/>
  <c r="BE58" i="3" s="1"/>
  <c r="CI57" i="3"/>
  <c r="CK57" i="3" s="1"/>
  <c r="CH57" i="3"/>
  <c r="CJ57" i="3" s="1"/>
  <c r="BG57" i="3"/>
  <c r="BD57" i="3"/>
  <c r="BF57" i="3" s="1"/>
  <c r="BC57" i="3"/>
  <c r="BE57" i="3" s="1"/>
  <c r="CI56" i="3"/>
  <c r="CK56" i="3" s="1"/>
  <c r="CH56" i="3"/>
  <c r="CJ56" i="3" s="1"/>
  <c r="BG56" i="3"/>
  <c r="BD56" i="3"/>
  <c r="BF56" i="3" s="1"/>
  <c r="BC56" i="3"/>
  <c r="BE56" i="3" s="1"/>
  <c r="CI55" i="3"/>
  <c r="CK55" i="3" s="1"/>
  <c r="CH55" i="3"/>
  <c r="CJ55" i="3" s="1"/>
  <c r="BG55" i="3"/>
  <c r="BD55" i="3"/>
  <c r="BF55" i="3" s="1"/>
  <c r="BC55" i="3"/>
  <c r="BE55" i="3" s="1"/>
  <c r="CI54" i="3"/>
  <c r="CK54" i="3" s="1"/>
  <c r="CH54" i="3"/>
  <c r="CJ54" i="3" s="1"/>
  <c r="BG54" i="3"/>
  <c r="BD54" i="3"/>
  <c r="BF54" i="3" s="1"/>
  <c r="BC54" i="3"/>
  <c r="BE54" i="3" s="1"/>
  <c r="CI53" i="3"/>
  <c r="CK53" i="3" s="1"/>
  <c r="CH53" i="3"/>
  <c r="CJ53" i="3" s="1"/>
  <c r="BG53" i="3"/>
  <c r="BD53" i="3"/>
  <c r="BF53" i="3" s="1"/>
  <c r="BC53" i="3"/>
  <c r="BE53" i="3" s="1"/>
  <c r="CI52" i="3"/>
  <c r="CK52" i="3" s="1"/>
  <c r="CH52" i="3"/>
  <c r="CJ52" i="3" s="1"/>
  <c r="BG52" i="3"/>
  <c r="BD52" i="3"/>
  <c r="BF52" i="3" s="1"/>
  <c r="BC52" i="3"/>
  <c r="BE52" i="3" s="1"/>
  <c r="CI51" i="3"/>
  <c r="CK51" i="3" s="1"/>
  <c r="CH51" i="3"/>
  <c r="CJ51" i="3" s="1"/>
  <c r="BG51" i="3"/>
  <c r="BD51" i="3"/>
  <c r="BF51" i="3" s="1"/>
  <c r="BC51" i="3"/>
  <c r="BE51" i="3" s="1"/>
  <c r="CI50" i="3"/>
  <c r="CK50" i="3" s="1"/>
  <c r="CH50" i="3"/>
  <c r="CJ50" i="3" s="1"/>
  <c r="BG50" i="3"/>
  <c r="BD50" i="3"/>
  <c r="BF50" i="3" s="1"/>
  <c r="BC50" i="3"/>
  <c r="BE50" i="3" s="1"/>
  <c r="CI49" i="3"/>
  <c r="CK49" i="3" s="1"/>
  <c r="CH49" i="3"/>
  <c r="CJ49" i="3" s="1"/>
  <c r="BG49" i="3"/>
  <c r="BD49" i="3"/>
  <c r="BF49" i="3" s="1"/>
  <c r="BC49" i="3"/>
  <c r="BE49" i="3" s="1"/>
  <c r="CI48" i="3"/>
  <c r="CK48" i="3" s="1"/>
  <c r="CH48" i="3"/>
  <c r="CJ48" i="3" s="1"/>
  <c r="BG48" i="3"/>
  <c r="BD48" i="3"/>
  <c r="BF48" i="3" s="1"/>
  <c r="BC48" i="3"/>
  <c r="BE48" i="3" s="1"/>
  <c r="CI47" i="3"/>
  <c r="CK47" i="3" s="1"/>
  <c r="CH47" i="3"/>
  <c r="CJ47" i="3" s="1"/>
  <c r="BG47" i="3"/>
  <c r="BD47" i="3"/>
  <c r="BF47" i="3" s="1"/>
  <c r="BC47" i="3"/>
  <c r="BE47" i="3" s="1"/>
  <c r="CI46" i="3"/>
  <c r="CK46" i="3" s="1"/>
  <c r="CH46" i="3"/>
  <c r="CJ46" i="3" s="1"/>
  <c r="BG46" i="3"/>
  <c r="BD46" i="3"/>
  <c r="BF46" i="3" s="1"/>
  <c r="BC46" i="3"/>
  <c r="BE46" i="3" s="1"/>
  <c r="CI45" i="3"/>
  <c r="CK45" i="3" s="1"/>
  <c r="CH45" i="3"/>
  <c r="CJ45" i="3" s="1"/>
  <c r="BG45" i="3"/>
  <c r="BD45" i="3"/>
  <c r="BF45" i="3" s="1"/>
  <c r="BC45" i="3"/>
  <c r="BE45" i="3" s="1"/>
  <c r="CI44" i="3"/>
  <c r="CK44" i="3" s="1"/>
  <c r="CH44" i="3"/>
  <c r="CJ44" i="3" s="1"/>
  <c r="BG44" i="3"/>
  <c r="BD44" i="3"/>
  <c r="BF44" i="3" s="1"/>
  <c r="BC44" i="3"/>
  <c r="BE44" i="3" s="1"/>
  <c r="CI43" i="3"/>
  <c r="CK43" i="3" s="1"/>
  <c r="CH43" i="3"/>
  <c r="CJ43" i="3" s="1"/>
  <c r="BG43" i="3"/>
  <c r="BD43" i="3"/>
  <c r="BF43" i="3" s="1"/>
  <c r="BC43" i="3"/>
  <c r="BE43" i="3" s="1"/>
  <c r="CI42" i="3"/>
  <c r="CK42" i="3" s="1"/>
  <c r="CH42" i="3"/>
  <c r="CJ42" i="3" s="1"/>
  <c r="BG42" i="3"/>
  <c r="BD42" i="3"/>
  <c r="BF42" i="3" s="1"/>
  <c r="BC42" i="3"/>
  <c r="BE42" i="3" s="1"/>
  <c r="CI41" i="3"/>
  <c r="CK41" i="3" s="1"/>
  <c r="CH41" i="3"/>
  <c r="CJ41" i="3" s="1"/>
  <c r="BG41" i="3"/>
  <c r="BD41" i="3"/>
  <c r="BF41" i="3" s="1"/>
  <c r="BC41" i="3"/>
  <c r="BE41" i="3" s="1"/>
  <c r="CI40" i="3"/>
  <c r="CK40" i="3" s="1"/>
  <c r="CH40" i="3"/>
  <c r="CJ40" i="3" s="1"/>
  <c r="BG40" i="3"/>
  <c r="BD40" i="3"/>
  <c r="BF40" i="3" s="1"/>
  <c r="BC40" i="3"/>
  <c r="BE40" i="3" s="1"/>
  <c r="CI39" i="3"/>
  <c r="CK39" i="3" s="1"/>
  <c r="CH39" i="3"/>
  <c r="CJ39" i="3" s="1"/>
  <c r="BG39" i="3"/>
  <c r="BD39" i="3"/>
  <c r="BF39" i="3" s="1"/>
  <c r="BC39" i="3"/>
  <c r="BE39" i="3" s="1"/>
  <c r="CI38" i="3"/>
  <c r="CK38" i="3" s="1"/>
  <c r="CH38" i="3"/>
  <c r="CJ38" i="3" s="1"/>
  <c r="BG38" i="3"/>
  <c r="BD38" i="3"/>
  <c r="BF38" i="3" s="1"/>
  <c r="BC38" i="3"/>
  <c r="BE38" i="3" s="1"/>
  <c r="CI37" i="3"/>
  <c r="CK37" i="3" s="1"/>
  <c r="CH37" i="3"/>
  <c r="CJ37" i="3" s="1"/>
  <c r="BG37" i="3"/>
  <c r="BD37" i="3"/>
  <c r="BF37" i="3" s="1"/>
  <c r="BC37" i="3"/>
  <c r="BE37" i="3" s="1"/>
  <c r="CI36" i="3"/>
  <c r="CK36" i="3" s="1"/>
  <c r="CH36" i="3"/>
  <c r="CJ36" i="3" s="1"/>
  <c r="BG36" i="3"/>
  <c r="BD36" i="3"/>
  <c r="BF36" i="3" s="1"/>
  <c r="BC36" i="3"/>
  <c r="BE36" i="3" s="1"/>
  <c r="CI35" i="3"/>
  <c r="CK35" i="3" s="1"/>
  <c r="CH35" i="3"/>
  <c r="CJ35" i="3" s="1"/>
  <c r="BG35" i="3"/>
  <c r="BD35" i="3"/>
  <c r="BF35" i="3" s="1"/>
  <c r="BC35" i="3"/>
  <c r="BE35" i="3" s="1"/>
  <c r="CI34" i="3"/>
  <c r="CK34" i="3" s="1"/>
  <c r="CH34" i="3"/>
  <c r="CJ34" i="3" s="1"/>
  <c r="BG34" i="3"/>
  <c r="BD34" i="3"/>
  <c r="BF34" i="3" s="1"/>
  <c r="BC34" i="3"/>
  <c r="BE34" i="3" s="1"/>
  <c r="CI33" i="3"/>
  <c r="CK33" i="3" s="1"/>
  <c r="CH33" i="3"/>
  <c r="CJ33" i="3" s="1"/>
  <c r="BG33" i="3"/>
  <c r="BD33" i="3"/>
  <c r="BF33" i="3" s="1"/>
  <c r="BC33" i="3"/>
  <c r="BE33" i="3" s="1"/>
  <c r="CI32" i="3"/>
  <c r="CK32" i="3" s="1"/>
  <c r="CH32" i="3"/>
  <c r="CJ32" i="3" s="1"/>
  <c r="BG32" i="3"/>
  <c r="BD32" i="3"/>
  <c r="BF32" i="3" s="1"/>
  <c r="BC32" i="3"/>
  <c r="BE32" i="3" s="1"/>
  <c r="CI31" i="3"/>
  <c r="CK31" i="3" s="1"/>
  <c r="CH31" i="3"/>
  <c r="CJ31" i="3" s="1"/>
  <c r="BG31" i="3"/>
  <c r="BD31" i="3"/>
  <c r="BF31" i="3" s="1"/>
  <c r="BC31" i="3"/>
  <c r="BE31" i="3" s="1"/>
  <c r="CI30" i="3"/>
  <c r="CK30" i="3" s="1"/>
  <c r="CH30" i="3"/>
  <c r="CJ30" i="3" s="1"/>
  <c r="BG30" i="3"/>
  <c r="BD30" i="3"/>
  <c r="BF30" i="3" s="1"/>
  <c r="BC30" i="3"/>
  <c r="BE30" i="3" s="1"/>
  <c r="CI29" i="3"/>
  <c r="CK29" i="3" s="1"/>
  <c r="CH29" i="3"/>
  <c r="CJ29" i="3" s="1"/>
  <c r="BG29" i="3"/>
  <c r="BD29" i="3"/>
  <c r="BF29" i="3" s="1"/>
  <c r="BC29" i="3"/>
  <c r="BE29" i="3" s="1"/>
  <c r="CI28" i="3"/>
  <c r="CK28" i="3" s="1"/>
  <c r="CH28" i="3"/>
  <c r="CJ28" i="3" s="1"/>
  <c r="BG28" i="3"/>
  <c r="BD28" i="3"/>
  <c r="BF28" i="3" s="1"/>
  <c r="BC28" i="3"/>
  <c r="BE28" i="3" s="1"/>
  <c r="CI27" i="3"/>
  <c r="CK27" i="3" s="1"/>
  <c r="CH27" i="3"/>
  <c r="CJ27" i="3" s="1"/>
  <c r="BG27" i="3"/>
  <c r="BD27" i="3"/>
  <c r="BF27" i="3" s="1"/>
  <c r="BC27" i="3"/>
  <c r="BE27" i="3" s="1"/>
  <c r="CI26" i="3"/>
  <c r="CK26" i="3" s="1"/>
  <c r="CH26" i="3"/>
  <c r="CJ26" i="3" s="1"/>
  <c r="BG26" i="3"/>
  <c r="BD26" i="3"/>
  <c r="BF26" i="3" s="1"/>
  <c r="BC26" i="3"/>
  <c r="BE26" i="3" s="1"/>
  <c r="CI25" i="3"/>
  <c r="CK25" i="3" s="1"/>
  <c r="CH25" i="3"/>
  <c r="CJ25" i="3" s="1"/>
  <c r="BG25" i="3"/>
  <c r="BD25" i="3"/>
  <c r="BF25" i="3" s="1"/>
  <c r="BC25" i="3"/>
  <c r="BE25" i="3" s="1"/>
  <c r="CI24" i="3"/>
  <c r="CK24" i="3" s="1"/>
  <c r="CH24" i="3"/>
  <c r="CJ24" i="3" s="1"/>
  <c r="BG24" i="3"/>
  <c r="BD24" i="3"/>
  <c r="BF24" i="3" s="1"/>
  <c r="BC24" i="3"/>
  <c r="BE24" i="3" s="1"/>
  <c r="CI23" i="3"/>
  <c r="CK23" i="3" s="1"/>
  <c r="CH23" i="3"/>
  <c r="CJ23" i="3" s="1"/>
  <c r="BG23" i="3"/>
  <c r="BD23" i="3"/>
  <c r="BF23" i="3" s="1"/>
  <c r="BC23" i="3"/>
  <c r="BE23" i="3" s="1"/>
  <c r="CI22" i="3"/>
  <c r="CK22" i="3" s="1"/>
  <c r="CH22" i="3"/>
  <c r="CJ22" i="3" s="1"/>
  <c r="BG22" i="3"/>
  <c r="BD22" i="3"/>
  <c r="BF22" i="3" s="1"/>
  <c r="BC22" i="3"/>
  <c r="BE22" i="3" s="1"/>
  <c r="CI21" i="3"/>
  <c r="CK21" i="3" s="1"/>
  <c r="CH21" i="3"/>
  <c r="CJ21" i="3" s="1"/>
  <c r="BG21" i="3"/>
  <c r="BD21" i="3"/>
  <c r="BF21" i="3" s="1"/>
  <c r="BC21" i="3"/>
  <c r="BE21" i="3" s="1"/>
  <c r="CI20" i="3"/>
  <c r="CK20" i="3" s="1"/>
  <c r="CH20" i="3"/>
  <c r="CJ20" i="3" s="1"/>
  <c r="BG20" i="3"/>
  <c r="BD20" i="3"/>
  <c r="BF20" i="3" s="1"/>
  <c r="BC20" i="3"/>
  <c r="BE20" i="3" s="1"/>
  <c r="CI19" i="3"/>
  <c r="CK19" i="3" s="1"/>
  <c r="CH19" i="3"/>
  <c r="CJ19" i="3" s="1"/>
  <c r="BG19" i="3"/>
  <c r="BD19" i="3"/>
  <c r="BF19" i="3" s="1"/>
  <c r="BC19" i="3"/>
  <c r="BE19" i="3" s="1"/>
  <c r="CI18" i="3"/>
  <c r="CK18" i="3" s="1"/>
  <c r="CH18" i="3"/>
  <c r="CJ18" i="3" s="1"/>
  <c r="BG18" i="3"/>
  <c r="BD18" i="3"/>
  <c r="BF18" i="3" s="1"/>
  <c r="BC18" i="3"/>
  <c r="BE18" i="3" s="1"/>
  <c r="CI17" i="3"/>
  <c r="CK17" i="3" s="1"/>
  <c r="CH17" i="3"/>
  <c r="CJ17" i="3" s="1"/>
  <c r="BG17" i="3"/>
  <c r="BD17" i="3"/>
  <c r="BF17" i="3" s="1"/>
  <c r="BC17" i="3"/>
  <c r="BE17" i="3" s="1"/>
  <c r="CI16" i="3"/>
  <c r="CK16" i="3" s="1"/>
  <c r="CH16" i="3"/>
  <c r="CJ16" i="3" s="1"/>
  <c r="BG16" i="3"/>
  <c r="BD16" i="3"/>
  <c r="BF16" i="3" s="1"/>
  <c r="BC16" i="3"/>
  <c r="BE16" i="3" s="1"/>
  <c r="CI15" i="3"/>
  <c r="CK15" i="3" s="1"/>
  <c r="CH15" i="3"/>
  <c r="CJ15" i="3" s="1"/>
  <c r="BG15" i="3"/>
  <c r="BD15" i="3"/>
  <c r="BF15" i="3" s="1"/>
  <c r="BC15" i="3"/>
  <c r="BE15" i="3" s="1"/>
  <c r="CI14" i="3"/>
  <c r="CK14" i="3" s="1"/>
  <c r="CH14" i="3"/>
  <c r="CJ14" i="3" s="1"/>
  <c r="BG14" i="3"/>
  <c r="BD14" i="3"/>
  <c r="BF14" i="3" s="1"/>
  <c r="BC14" i="3"/>
  <c r="BE14" i="3" s="1"/>
  <c r="CI13" i="3"/>
  <c r="CK13" i="3" s="1"/>
  <c r="CH13" i="3"/>
  <c r="CJ13" i="3" s="1"/>
  <c r="BG13" i="3"/>
  <c r="BD13" i="3"/>
  <c r="BF13" i="3" s="1"/>
  <c r="BC13" i="3"/>
  <c r="BE13" i="3" s="1"/>
  <c r="CI12" i="3"/>
  <c r="CK12" i="3" s="1"/>
  <c r="CH12" i="3"/>
  <c r="CJ12" i="3" s="1"/>
  <c r="BG12" i="3"/>
  <c r="BD12" i="3"/>
  <c r="BF12" i="3" s="1"/>
  <c r="BC12" i="3"/>
  <c r="BE12" i="3" s="1"/>
  <c r="CI11" i="3"/>
  <c r="CK11" i="3" s="1"/>
  <c r="CH11" i="3"/>
  <c r="CJ11" i="3" s="1"/>
  <c r="BG11" i="3"/>
  <c r="BD11" i="3"/>
  <c r="BF11" i="3" s="1"/>
  <c r="BC11" i="3"/>
  <c r="BE11" i="3" s="1"/>
  <c r="CI10" i="3"/>
  <c r="CK10" i="3" s="1"/>
  <c r="CH10" i="3"/>
  <c r="CJ10" i="3" s="1"/>
  <c r="BG10" i="3"/>
  <c r="BD10" i="3"/>
  <c r="BF10" i="3" s="1"/>
  <c r="BC10" i="3"/>
  <c r="BE10" i="3" s="1"/>
  <c r="CI9" i="3"/>
  <c r="CK9" i="3" s="1"/>
  <c r="CH9" i="3"/>
  <c r="CJ9" i="3" s="1"/>
  <c r="BG9" i="3"/>
  <c r="BD9" i="3"/>
  <c r="BF9" i="3" s="1"/>
  <c r="BC9" i="3"/>
  <c r="BE9" i="3" s="1"/>
  <c r="CI8" i="3"/>
  <c r="CK8" i="3" s="1"/>
  <c r="CH8" i="3"/>
  <c r="CJ8" i="3" s="1"/>
  <c r="BG8" i="3"/>
  <c r="BD8" i="3"/>
  <c r="BF8" i="3" s="1"/>
  <c r="BC8" i="3"/>
  <c r="BE8" i="3" s="1"/>
  <c r="CJ480" i="3" l="1"/>
  <c r="BF480" i="3"/>
  <c r="CK480" i="3"/>
  <c r="BE480" i="3"/>
</calcChain>
</file>

<file path=xl/sharedStrings.xml><?xml version="1.0" encoding="utf-8"?>
<sst xmlns="http://schemas.openxmlformats.org/spreadsheetml/2006/main" count="22521" uniqueCount="2328">
  <si>
    <t>Dependencia</t>
  </si>
  <si>
    <t>Producto del Proyecto de Inversión</t>
  </si>
  <si>
    <t>Rubro presupuestal</t>
  </si>
  <si>
    <t>Dirección General</t>
  </si>
  <si>
    <t>Documentos Metodológicos</t>
  </si>
  <si>
    <t>C-2106-1900-10-53105E-2106005-02</t>
  </si>
  <si>
    <t>Servicios de apoyo para la Gestión de Procesos de Participación, Colaboración, y Transparencia del Sector Minero Energético</t>
  </si>
  <si>
    <t>C-2106-1900-10-53105E-2106022-02</t>
  </si>
  <si>
    <t>Oficina Asesora de Planeación</t>
  </si>
  <si>
    <t>Documentos de Planeación</t>
  </si>
  <si>
    <t>C-2199-1900-4-53105B-2199056-02</t>
  </si>
  <si>
    <t>C-2199-1900-4-53105B-2199057-02</t>
  </si>
  <si>
    <t>Servicio de Implementación Sistemas de Gestión</t>
  </si>
  <si>
    <t>C-2199-1900-4-53105B-2199062-02</t>
  </si>
  <si>
    <t>Oficina de Gestión de Proyecto de Fondos</t>
  </si>
  <si>
    <t>Documentos de Lineamientos Técnicos</t>
  </si>
  <si>
    <t>C-2102-1900-5-53106A-2102008-02</t>
  </si>
  <si>
    <t>C-2102-1900-5-53106A-2102009-02</t>
  </si>
  <si>
    <t>Servicio de Asistencia Técnica</t>
  </si>
  <si>
    <t>C-2102-1900-5-53106A-2102071-02</t>
  </si>
  <si>
    <t>Oficina de Tecnologías de la Información</t>
  </si>
  <si>
    <t>Documento para la Planeación Estratégica en TI</t>
  </si>
  <si>
    <t>C-2199-1900-5-53105B-2199066-02</t>
  </si>
  <si>
    <t>Servicios de Información Implementados</t>
  </si>
  <si>
    <t>C-2199-1900-5-53105B-2199065-02</t>
  </si>
  <si>
    <t>Servicios Tecnológicos</t>
  </si>
  <si>
    <t>C-2199-1900-5-53105B-2199067-02</t>
  </si>
  <si>
    <t>Secretaría General</t>
  </si>
  <si>
    <t>Servicio de Educación Informal para la Gestión Administrativa</t>
  </si>
  <si>
    <t>C-2199-1900-4-53105B-2199060-02</t>
  </si>
  <si>
    <t>Subdirección de Demanda</t>
  </si>
  <si>
    <t>C-2106-1900-13-40302B-2106010-02</t>
  </si>
  <si>
    <t>C-2106-1900-13-40302B-2106003-02</t>
  </si>
  <si>
    <t>C-2106-1900-13-40302B-2106005-02</t>
  </si>
  <si>
    <t>Subdirección de Energía Eléctrica</t>
  </si>
  <si>
    <t>C-2102-1900-6-40301C-2102009-02</t>
  </si>
  <si>
    <t>C-2102-1900-6-40301C-2102071-02</t>
  </si>
  <si>
    <t>Subdirección de Gestión de la Información</t>
  </si>
  <si>
    <t>Documentos de Lineamientos Técnicos para el Gobierno de Datos y Gestión de la Información</t>
  </si>
  <si>
    <t>C-2106-1900-14-53105B-2106010-02</t>
  </si>
  <si>
    <t>Documentos de Lineamientos Técnicos para la Producción de Información del Sector con Estándares de Calidad</t>
  </si>
  <si>
    <t>Servicio de Divulgación del Sector Minero Energético</t>
  </si>
  <si>
    <t>C-2106-1900-14-53105B-2106019-02</t>
  </si>
  <si>
    <t>Servicio de Información Actualizado para el Análisis y Toma de Decisiones Estratégicas del Sector</t>
  </si>
  <si>
    <t>C-2106-1900-14-53105B-2106033-02</t>
  </si>
  <si>
    <t>Servicio de Información Implementado e Interoperado</t>
  </si>
  <si>
    <t>C-2106-1900-14-53105B-2106034-02</t>
  </si>
  <si>
    <t>Servicio de Información Implementado para la Accesibilidad Sectorial</t>
  </si>
  <si>
    <t>Subdirección de Hidrocarburos</t>
  </si>
  <si>
    <t>Documentos de Lineamientos Técnicos - Para el Desarrollo del Sector Hidrocarburos</t>
  </si>
  <si>
    <t>C-2103-1900-2-40301B-2103025-02</t>
  </si>
  <si>
    <t>Documentos de planeación estratégica del sector hidrocarburos</t>
  </si>
  <si>
    <t>C-2103-1900-2-40301B-2103026-02</t>
  </si>
  <si>
    <t>Subdirección de Minería</t>
  </si>
  <si>
    <t>Documentos de Investigación</t>
  </si>
  <si>
    <t>C-2106-1900-12-40302A-2106002-02</t>
  </si>
  <si>
    <t>C-2106-1900-12-40302A-2106010-02</t>
  </si>
  <si>
    <t>C-2106-1900-12-40302A-2106003-02</t>
  </si>
  <si>
    <t>C-2106-1900-12-40302A-2106019-02</t>
  </si>
  <si>
    <t>Nombre Proyecto (Corto)</t>
  </si>
  <si>
    <t>Demanda</t>
  </si>
  <si>
    <t>Energía</t>
  </si>
  <si>
    <t>Enfoque Territorial</t>
  </si>
  <si>
    <t>Fondos</t>
  </si>
  <si>
    <t>Gestión de la Información</t>
  </si>
  <si>
    <t>Hidrocarburos</t>
  </si>
  <si>
    <t>Minería</t>
  </si>
  <si>
    <t>TIC</t>
  </si>
  <si>
    <t>Transversal</t>
  </si>
  <si>
    <t>Actividad / Entregable del Proyecto de Inversión</t>
  </si>
  <si>
    <t>Documento con la descripción de procesos, métodos y herramientas.</t>
  </si>
  <si>
    <t>Documento con los resultados de las validaciones.</t>
  </si>
  <si>
    <t>Diagnóstico</t>
  </si>
  <si>
    <t>Divulgación</t>
  </si>
  <si>
    <t>Documento de planeación preliminar.</t>
  </si>
  <si>
    <t>Documento metodológico preliminar.</t>
  </si>
  <si>
    <t>Documento metodológico validado.</t>
  </si>
  <si>
    <t>Documento de planeación validado.</t>
  </si>
  <si>
    <t>Estructurar los documentos técnicos y jurídicos para los procesos de convocatorias y subastas.</t>
  </si>
  <si>
    <t>Monitorear los resultados e impactos de los proyectos en ejecución de los procesos de convocatorias y subastas.</t>
  </si>
  <si>
    <t>Definir e implementar lineamientos articulados de gestión institucional con enfoque territorial ambiental y social.</t>
  </si>
  <si>
    <t>Identificar e incorporar variables sociales, ambientales y territoriales en los documentos de planeación minero energética.</t>
  </si>
  <si>
    <t>Diseñar la estrategia de comunicación y participación con actores, territorio y sector, que mejoren el relacionamiento con dichos actores bajo el Enfoque Territorial.</t>
  </si>
  <si>
    <t>Implementar la estrategia de comunicación y participación con actores, territorio y sector, que mejoren el relacionamiento con dichos actores bajo el Enfoque Territorial.</t>
  </si>
  <si>
    <t>Plan de trabajo.</t>
  </si>
  <si>
    <t>Capacitar interesados en la presentación de proyectos de inversión.</t>
  </si>
  <si>
    <t>Capacitar organizaciones y usuarios en general en las regiones.</t>
  </si>
  <si>
    <t>Desarrollar el proceso de divulgación.</t>
  </si>
  <si>
    <t>Realizar la recolección y procesamiento de la información.</t>
  </si>
  <si>
    <t>Diseño técnico y funcional.</t>
  </si>
  <si>
    <t>Pruebas y aseguramiento de calidad.</t>
  </si>
  <si>
    <t>Desarrollo</t>
  </si>
  <si>
    <t>Documento con el diseño metodológico.</t>
  </si>
  <si>
    <t>Resultados análisis de información.</t>
  </si>
  <si>
    <t>Apropiar insumos para el análisis de Mercado Internacional de minerales y sus tendencias a largo plazo.</t>
  </si>
  <si>
    <t>Apropiar Insumos para el análisis de Mercado Nacional e internacional de minerales y sus encadenamientos productivos.</t>
  </si>
  <si>
    <t>Desarrollar herramientas para el análisis, proyección y divulgación de la información minera.</t>
  </si>
  <si>
    <t>Definir y estructurar las acciones tendientes a la apropiación e implementación de la política de Gobierno Digital.</t>
  </si>
  <si>
    <t>Mantener y fortalecer el modelo Operativo de TI.</t>
  </si>
  <si>
    <t>Identificar y apropiar soluciones de TI.</t>
  </si>
  <si>
    <t>Realizar la adopción del modelo de gestión de Información Institucional.</t>
  </si>
  <si>
    <t>Administrar de manera eficiente el Software a nivel Institucional, de cara a la mejora de los productos y servicios prestados a la ciudadanía.</t>
  </si>
  <si>
    <t>Robustecer el nivel de madurez de la estrategia de infraestructura y soluciones en la nube.</t>
  </si>
  <si>
    <t>Realizar la formulación de políticas, estrategias, proyectos y planes encaminadas a lograr los objetivos institucionales en desarrollo de su misión.</t>
  </si>
  <si>
    <t>Realizar la programación y seguimiento a la ejecución de las políticas, estrategias, los planes y proyectos institucionales.</t>
  </si>
  <si>
    <t>Desarrollar la gestión del conocimiento mediante la generación, producción y validación de los documentos metodológicos para la toma de decisiones en los procesos y actividades de la entidad, asegurando su alineación con las estrategias institucionales.</t>
  </si>
  <si>
    <t>Realizar la implementación de un esquema organizativo y de gobernabilidad para la gestión del conocimiento</t>
  </si>
  <si>
    <t>Configurar entornos de aprendizaje, intercambio y difusión de conocimiento asociados a prácticas clave de la entidad y su información minero energética, entre los servidores públicos y los grupos de valor.</t>
  </si>
  <si>
    <t>Diseñar y ejecutar el plan de fortalecimiento de competencias técnicas especializadas para la planeación minero energética.</t>
  </si>
  <si>
    <t>Planificar y coordinar la apropiación e implementación del MIPG.</t>
  </si>
  <si>
    <t>Realizar acciones que faciliten la articulación de los instrumentos de planeación, de cara a la mejora de los productos y servicios prestados a la ciudadanía.</t>
  </si>
  <si>
    <t>Fuente de los recursos</t>
  </si>
  <si>
    <t>Propios - 20 - Ingresos corrientes</t>
  </si>
  <si>
    <t>Propios - 21 - Otros recursos de tesorería</t>
  </si>
  <si>
    <t>Tipo de PAA</t>
  </si>
  <si>
    <t>Nombre Proyecto (Largo)</t>
  </si>
  <si>
    <t>¿Se publica en SECOP?</t>
  </si>
  <si>
    <t>Presentado y aprobado en comité de contratación</t>
  </si>
  <si>
    <t>Número de comité de contratación</t>
  </si>
  <si>
    <t>Ítem</t>
  </si>
  <si>
    <t>Objetivo Específico del Proyecto de Inversión</t>
  </si>
  <si>
    <t>Códigos UNSPSC</t>
  </si>
  <si>
    <t>Tipología de la adquisición</t>
  </si>
  <si>
    <t>Descripción u objeto contractual</t>
  </si>
  <si>
    <t>Mes estimado de inicio de proceso de selección</t>
  </si>
  <si>
    <t>Mes estimado de presentación de ofertas</t>
  </si>
  <si>
    <t>Mes de registro del contrato</t>
  </si>
  <si>
    <t>Duración estimada del contrato</t>
  </si>
  <si>
    <t>Unidad de tiempo</t>
  </si>
  <si>
    <t xml:space="preserve">Modalidad de selección </t>
  </si>
  <si>
    <t>Valor total estimado</t>
  </si>
  <si>
    <t>Valor estimado en la vigencia actual</t>
  </si>
  <si>
    <t>¿Se requieren vigencias futuras?</t>
  </si>
  <si>
    <t>Estado de solicitud de vigencias futuras</t>
  </si>
  <si>
    <t>Nombre del responsable</t>
  </si>
  <si>
    <t xml:space="preserve">Cargo del responsable </t>
  </si>
  <si>
    <t xml:space="preserve">Teléfono del responsable </t>
  </si>
  <si>
    <t>Correo electrónico del responsable</t>
  </si>
  <si>
    <t>AG Compromisos_enero</t>
  </si>
  <si>
    <t>AG Obligaciones_enero</t>
  </si>
  <si>
    <t>AG Compromisos_febrero</t>
  </si>
  <si>
    <t>AG Obligaciones_febrero</t>
  </si>
  <si>
    <t>AG Compromisos_marzo</t>
  </si>
  <si>
    <t>AG Obligaciones_marzo</t>
  </si>
  <si>
    <t>AG Compromisos_abril</t>
  </si>
  <si>
    <t>AG Obligaciones_abril</t>
  </si>
  <si>
    <t>AG Compromisos_mayo</t>
  </si>
  <si>
    <t>AG Obligaciones_mayo</t>
  </si>
  <si>
    <t>AG Compromisos_junio</t>
  </si>
  <si>
    <t>AG Obligaciones_junio</t>
  </si>
  <si>
    <t>AG Compromisos_julio</t>
  </si>
  <si>
    <t>AG Obligaciones_julio</t>
  </si>
  <si>
    <t>AG Compromisos_agosto</t>
  </si>
  <si>
    <t>AG Obligaciones_agosto</t>
  </si>
  <si>
    <t>AG Compromisos_septiembre</t>
  </si>
  <si>
    <t>AG Obligaciones_septiembre</t>
  </si>
  <si>
    <t>AG Compromisos_octubre</t>
  </si>
  <si>
    <t>AG Obligaciones_octubre</t>
  </si>
  <si>
    <t>AG Compromisos_noviembre</t>
  </si>
  <si>
    <t>AG Obligaciones_noviembre</t>
  </si>
  <si>
    <t>AG Compromisos_diciembre</t>
  </si>
  <si>
    <t>AG Obligaciones_diciembre</t>
  </si>
  <si>
    <t>AG Suma de compromisos</t>
  </si>
  <si>
    <t>AG Suma de obligaciones</t>
  </si>
  <si>
    <t>AG Diferencias compromisos</t>
  </si>
  <si>
    <t>AG Diferencias obligaciones</t>
  </si>
  <si>
    <t>Objeto sin ítem</t>
  </si>
  <si>
    <t>Compromisos_enero</t>
  </si>
  <si>
    <t>Obligaciones_enero</t>
  </si>
  <si>
    <t>Compromisos_febrero</t>
  </si>
  <si>
    <t>Obligaciones_febrero</t>
  </si>
  <si>
    <t>Compromisos_marzo</t>
  </si>
  <si>
    <t>Obligaciones_marzo</t>
  </si>
  <si>
    <t>Compromisos_abril</t>
  </si>
  <si>
    <t>Obligaciones_abril</t>
  </si>
  <si>
    <t>Compromisos_mayo</t>
  </si>
  <si>
    <t>Obligaciones_mayo</t>
  </si>
  <si>
    <t>Compromisos_junio</t>
  </si>
  <si>
    <t>Obligaciones_junio</t>
  </si>
  <si>
    <t>Compromisos_julio</t>
  </si>
  <si>
    <t>Obligaciones_julio</t>
  </si>
  <si>
    <t>Compromisos_agosto</t>
  </si>
  <si>
    <t>Obligaciones_agosto</t>
  </si>
  <si>
    <t>Compromisos_septiembre</t>
  </si>
  <si>
    <t>Obligaciones_septiembre</t>
  </si>
  <si>
    <t>Compromisos_octubre</t>
  </si>
  <si>
    <t>Obligaciones_octubre</t>
  </si>
  <si>
    <t>Compromisos_noviembre</t>
  </si>
  <si>
    <t>Obligaciones_noviembre</t>
  </si>
  <si>
    <t>Compromisos_diciembre</t>
  </si>
  <si>
    <t>Obligaciones_diciembre</t>
  </si>
  <si>
    <t>Compromisos por definir</t>
  </si>
  <si>
    <t>Obligaciones por definir</t>
  </si>
  <si>
    <t>Suma de compromisos</t>
  </si>
  <si>
    <t>Suma de obligaciones</t>
  </si>
  <si>
    <t>Diferencias compromisos</t>
  </si>
  <si>
    <t>Diferencias obligaciones</t>
  </si>
  <si>
    <t>Número de CDP</t>
  </si>
  <si>
    <t>Fecha de Expedición del CDP</t>
  </si>
  <si>
    <t>Valor del CDP</t>
  </si>
  <si>
    <t>Saldo del ítem (Valor estimado en la vigencia actual - Valor del CDP)</t>
  </si>
  <si>
    <t>Número de RP</t>
  </si>
  <si>
    <t>Fecha de Expedición del RP</t>
  </si>
  <si>
    <t>Valor del RP</t>
  </si>
  <si>
    <t>Recursos sin comprometer (Valor estimado del Item - Valor RP)</t>
  </si>
  <si>
    <t>CDP - RP</t>
  </si>
  <si>
    <t>Nombre del Contratista</t>
  </si>
  <si>
    <t>Número del contrato</t>
  </si>
  <si>
    <t>Compromiso ejecutado enero</t>
  </si>
  <si>
    <t>Obligación ejecutada enero</t>
  </si>
  <si>
    <t>Pago ejecutado enero</t>
  </si>
  <si>
    <t>Compromiso ejecutado febrero</t>
  </si>
  <si>
    <t>Obligación ejecutada febrero</t>
  </si>
  <si>
    <t>Pago ejecutado febrero</t>
  </si>
  <si>
    <t>Compromiso ejecutado marzo</t>
  </si>
  <si>
    <t>Obligación ejecutada marzo</t>
  </si>
  <si>
    <t>Pago ejecutado marzo</t>
  </si>
  <si>
    <t>Compromiso ejecutado abril</t>
  </si>
  <si>
    <t>Obligación ejecutada abril</t>
  </si>
  <si>
    <t>Pago ejecutado abril</t>
  </si>
  <si>
    <t>Compromiso ejecutado mayo</t>
  </si>
  <si>
    <t>Obligación ejecutada mayo</t>
  </si>
  <si>
    <t>Pago ejecutado mayo</t>
  </si>
  <si>
    <t>Compromiso ejecutado junio</t>
  </si>
  <si>
    <t>Obligación ejecutada junio</t>
  </si>
  <si>
    <t>Pago ejecutado junio</t>
  </si>
  <si>
    <t>Compromiso ejecutado julio</t>
  </si>
  <si>
    <t>Obligación ejecutada julio</t>
  </si>
  <si>
    <t>Pago ejecutado julio</t>
  </si>
  <si>
    <t>Compromiso ejecutado agosto</t>
  </si>
  <si>
    <t>Obligación ejecutada agosto</t>
  </si>
  <si>
    <t>Pago ejecutado agosto</t>
  </si>
  <si>
    <t>Compromiso ejecutado septiembre</t>
  </si>
  <si>
    <t>Obligación ejecutada septiembre</t>
  </si>
  <si>
    <t>Pago ejecutado septiembre</t>
  </si>
  <si>
    <t>Compromiso ejecutado octubre</t>
  </si>
  <si>
    <t>Obligación ejecutada octubre</t>
  </si>
  <si>
    <t>Pago ejecutado octubre</t>
  </si>
  <si>
    <t>Compromiso ejecutado noviembre</t>
  </si>
  <si>
    <t>Obligación ejecutada noviembre</t>
  </si>
  <si>
    <t>Pago ejecutado noviembre</t>
  </si>
  <si>
    <t>Compromiso ejecutado diciembre</t>
  </si>
  <si>
    <t>Obligación ejecutada diciembre</t>
  </si>
  <si>
    <t>Pago ejecutado diciembre</t>
  </si>
  <si>
    <t>Total Compromiso ejecutado</t>
  </si>
  <si>
    <t>Total Obligación ejecutada</t>
  </si>
  <si>
    <t>Total pago ejecutado</t>
  </si>
  <si>
    <t>Diferencia Total Compromiso ejecutado - Total Obligación ejecutada</t>
  </si>
  <si>
    <t>Inversión</t>
  </si>
  <si>
    <t>Fortalecimiento del levantamiento, gestión y apropiación de la información para la planeación del sector minero energético con enfoque territorial nacional</t>
  </si>
  <si>
    <t>Sí</t>
  </si>
  <si>
    <t>100-1</t>
  </si>
  <si>
    <t>Incluir el uso de las particularidades propias de cada territorio en la planeación minero energética.</t>
  </si>
  <si>
    <t>Prestación de servicios profesionales y/o de apoyo a la gestión</t>
  </si>
  <si>
    <t>100-1 Prestar servicios profesionales para la identificación y evaluación de variables ambientales críticas en los departamentos priorizados, aportando a la actualización técnica del Atlas de Conflictividad Socioambiental para la planificación minero- energética.</t>
  </si>
  <si>
    <t xml:space="preserve">Enero </t>
  </si>
  <si>
    <t>Meses</t>
  </si>
  <si>
    <t xml:space="preserve">Contratación directa - Prestación de servicios profesionales </t>
  </si>
  <si>
    <t>N/A</t>
  </si>
  <si>
    <t>Sandra Caballero</t>
  </si>
  <si>
    <t>Asesora Dirección general</t>
  </si>
  <si>
    <t>sandra.caballero@upme.gov.co</t>
  </si>
  <si>
    <t>100-2</t>
  </si>
  <si>
    <t>100-2 Prestar servicios profesionales para el análisis y representación espacial de información socioambiental y territorial, mediante el uso de herramientas de Sistemas de Información Geográfica (SIG) que apoyen la construcción de escenarios de planeación minero-energética con énfasis en el proyecto de Enfoque Territorial.</t>
  </si>
  <si>
    <t>100-3</t>
  </si>
  <si>
    <t>100-3 Prestar servicios profesionales para apoyar la identificación e incorporación de variables sociales y territoriales en los documentos de la UPME, con el fin de fortalecer el conocimiento sobre la relación entre el desarrollo minero-energético.</t>
  </si>
  <si>
    <t>100-4</t>
  </si>
  <si>
    <t>100-4 Prestar servicios profesionales a la Unidad de Planeación Minero-Energética (UPME) en el ejercicio de la secretaría técnica de comités interinstitucionales e intersectoriales, el fortalecimiento del relacionamiento estratégico entre niveles de gobierno y sectores, y el acompañamiento a procesos de territorialización y diálogo social en el marco de la planeación energética nacional y regional.</t>
  </si>
  <si>
    <t>100-5</t>
  </si>
  <si>
    <t>100-5 Prestar los servicios profesionales en la construcción de conceptos jurídicos del Proyecto Enfoque Territorial, acorde a la normativa vigente, y analizar el marco regulatorio relacionado con los aspectos jurídicos que involucran la planeación de energía eléctrica de orden nacional en la UPME.</t>
  </si>
  <si>
    <t>100-6</t>
  </si>
  <si>
    <t>100-6 Prestar servicios profesionales para el análisis, seguimiento y fortalecimiento de la gobernanza territorial del sector minero-energético, mediante el diseño de estrategias de relacionamiento institucional y el análisis de la dinámica política y social de los actores en las regiones priorizadas por el Proyecto de Enfoque Territorial de la UPME.</t>
  </si>
  <si>
    <t>100-7</t>
  </si>
  <si>
    <t>100-7 Prestar servicios profesionales para apoyar las actividades de organización, análisis básico de información y mejora de procesos operativos que contribuyan a la evaluación y divulgación de lineamientos relacionados con el Atlas de Conflictividad Socioambiental.</t>
  </si>
  <si>
    <t>100-8</t>
  </si>
  <si>
    <t>100-8 Prestar servicios profesionales de apoyo jurídico para la revisión normativa y la emisión de conceptos relacionados con los habilitadores socioambientales y la infraestructura energética, articulando criterios legales con las necesidades del proyecto Enfoque Territorial, con el fin de fortalecer la planeación institucional y la adecuada incorporación de dichos habilitadores en los proyectos misionales de la entidad.</t>
  </si>
  <si>
    <t>100-9</t>
  </si>
  <si>
    <t>43201800;43233405;43212201</t>
  </si>
  <si>
    <t>Hardware (Equipos de computo o partes físicas)</t>
  </si>
  <si>
    <t>100-9 Adquirir el licenciamiento por suscripción para Plataforma de virtualización y almacenamiento en nube incluyendo la adquisición del hardware para Computación y Storage que soporta esta solución de Hiperconvergencia.</t>
  </si>
  <si>
    <t>Abril</t>
  </si>
  <si>
    <t>Mayo</t>
  </si>
  <si>
    <t>Seléccion abreviada - acuerdo marco</t>
  </si>
  <si>
    <t>100-10</t>
  </si>
  <si>
    <t>Operador Logístico</t>
  </si>
  <si>
    <t>100-10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</si>
  <si>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Contratación directa</t>
  </si>
  <si>
    <t>100-11</t>
  </si>
  <si>
    <t>100-11 Prestar servicios profesionales para el análisis de información social y apoyo en la formulación de lineamientos metodológicos que integren variables sociales y comunitarias en la herramienta "Atlas de Conflictividad Socioambiental", en el marco del proyecto enfoque territorial para la planeación minero-energética.</t>
  </si>
  <si>
    <t>100-12</t>
  </si>
  <si>
    <t>100-12 Adquirir el licenciamiento por suscripción para Plataforma de virtualización y almacenamiento en nube incluyendo la adquisición del hardware para Computación y Storage que soporta esta solución de Hiperconvergencia.</t>
  </si>
  <si>
    <t>100-13</t>
  </si>
  <si>
    <t>100-13 Prestar servicios profesionales para la proyección de documentos de contenido legal y apoyo de los asuntos de tipo jurídico que resulten de las actuaciones administrativas de competencia de la UPME, en el marco de la gestión institucional de la Entidad.</t>
  </si>
  <si>
    <t>Mateo Severino</t>
  </si>
  <si>
    <t>mateo.severino@upme.gov.co</t>
  </si>
  <si>
    <t>100-14</t>
  </si>
  <si>
    <t>100-14 Prestar servicios profesionales para apoyar la planeación, coordinación, convocatoria y desarrollo de espacios participativos con entidades nacionales y regionales vinculadas a proyectos energéticos, así como la articulación institucional con comunidades, contribuyendo a la sistematización de experiencias, la identificación de buenas prácticas y la consolidación y gestión de información requerida para los talleres y mesas interinstitucionales del proyecto Enfoque Territorial.</t>
  </si>
  <si>
    <t>100-15</t>
  </si>
  <si>
    <t>100-15 Prestar servicios profesionales para el desarrollo del procedimiento de gestión precontractual y contractual de la Unidad de Planeación Minero Energética.</t>
  </si>
  <si>
    <t>100-16</t>
  </si>
  <si>
    <t>100-16 Prestar servicios profesionales para la articulación del análisis técnico, la construcción conceptual y operativa, y la implementación de las mesas técnicas, así como el desarrollo de recomendaciones de política pública, metodologías y herramientas para la implementación de la Estrategia de Integración de Habilitadores Socioambientales para la planeación minero-energética de la UPME.</t>
  </si>
  <si>
    <t>100-17</t>
  </si>
  <si>
    <t>100-17 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t>
  </si>
  <si>
    <t>100-18</t>
  </si>
  <si>
    <t>100-18 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t>
  </si>
  <si>
    <t>100-19</t>
  </si>
  <si>
    <t>100-19 Prestar servicios profesionales para apoyar a la UPME en la identificación, evaluación y mitigación de impactos ambientales derivados de sus actividades rutinarias, garantizando el cumplimiento de la normativa ambiental, la gestión adecuada de residuos, y el control del uso racional de agua y energía, con el fin de optimizar las prácticas sostenibles dentro de la entidad.</t>
  </si>
  <si>
    <t>jenny.pena@upme.gov.co</t>
  </si>
  <si>
    <t>100-20</t>
  </si>
  <si>
    <t>100-20 Prestar servicios profesionales para apoyar la formulación, actualización, articulación, monitoreo y mejora de los Planes Institucionales y el Sistema de Gestión Institucional de la UPME, garantizando su alineación con el Marco Estratégico Institucional y el Modelo Integrado de Planeación y Gestión - MIPG.</t>
  </si>
  <si>
    <t>Veronica Tabares</t>
  </si>
  <si>
    <t>katherin.perez@upme.gov.co</t>
  </si>
  <si>
    <t>100-21</t>
  </si>
  <si>
    <t>100-21 Prestar los servicios profesionales de enlace legislativo y asesoría jurídica del Proyecto Enfoque Territorial, mediante la elaboración de conceptos, análisis y seguimiento normativo, mediante el monitoreo de la normativa vigente de los proyectos y del sector minero energético y del enfoque territorial, a fin de asegurar la legalidad y la oportunidad de las decisiones del proyecto, identificando impactos, riesgos y oportunidades para el proyecto.</t>
  </si>
  <si>
    <t>100-22</t>
  </si>
  <si>
    <t>100-22 Prestar servicios profesionales para el diseño e implementación de una estrategia psicopedagógica y de transferencia de conocimiento, con análisis de política pública minero-energética, en el marco del Proyecto de Enfoque Territorial de la UPME.</t>
  </si>
  <si>
    <t>100-23</t>
  </si>
  <si>
    <t>100-23 Prestar servicios profesionales para apoyo administrativo en la ejecución de actividades del proyecto enfoque territorial, incluyendo la organización de información, control de entregables, consolidación de reportes en coordinación con la Dirección General, los equipos técnicos y jurídicos del proyecto.</t>
  </si>
  <si>
    <t>100-24</t>
  </si>
  <si>
    <t>100-24 Prestar servicios profesionales para apoyar técnica y estratégicamente a la Unidad de Planeación Minero-Energética – UPME en el desarrollo de la planeación sectorial con enfoque territorial, mediante el análisis político-institucional y socio-territorial, la articulación intra e intersectorial, y la elaboración de insumos técnicos que contribuyan al fortalecimiento de los planes, estudios e instrumentos de planeación minero-energética.</t>
  </si>
  <si>
    <t>Radicado 20261000008453</t>
  </si>
  <si>
    <t>100-25</t>
  </si>
  <si>
    <t>100-25 Prestar servicios profesionales para la creación, desarrollo, producción y entrega de contenidos comunicacionales para las actividades de la UPME.</t>
  </si>
  <si>
    <t>100-26</t>
  </si>
  <si>
    <t>100-26 Prestar servicios profesionales orientados al fortalecimiento de la Dimensión de Control Interno mediante la ejecución del Plan Anual de Auditorías Internas Independientes, con énfasis en la evaluación de la gestión administrativa de la UPME.</t>
  </si>
  <si>
    <t>100-27</t>
  </si>
  <si>
    <t>100-27 Prestar servicios profesionales orientados al fortalecimiento de la Política Institucional de Control Interno a través de la ejecución del Plan Anual de Auditorías Internas Independientes, con énfasis en la evaluación de la gestión financiera de la UPME.</t>
  </si>
  <si>
    <t>100-28</t>
  </si>
  <si>
    <t>100-28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</si>
  <si>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100-29</t>
  </si>
  <si>
    <t>100-29 Prestar servicios profesionales a la Unidad de Planeación Minero-Energética (UPME) para apoyar la gestión y articulación interinstitucional e intersectorial, a través del ejercicio de la secretaría técnica de comités, el fortalecimiento de los procesos de participación, diálogo social y relacionamiento estratégico con actores territoriales, y el acompañamiento a la implementación del enfoque territorial en la planeación energética nacional y regional.</t>
  </si>
  <si>
    <t>100-30</t>
  </si>
  <si>
    <t>100-30 Prestación de servicios profesionales para apoyar la sistematización de experiencias del proyecto de enfoque territorial, identificando buenas prácticas, cuellos de botella y dificultades en la articulación territorial programados por la UPME.</t>
  </si>
  <si>
    <t>100-31</t>
  </si>
  <si>
    <t>100-31 Prestar servicios de apoyo en la creación y diseño de productos gráficos innovadores para contenido digital e impreso, con el fin de contribuir a la gestión de comunicación interna y externa de la UPME.</t>
  </si>
  <si>
    <t>Radicado 20261110012353</t>
  </si>
  <si>
    <t>100-32</t>
  </si>
  <si>
    <t>Tiquetes</t>
  </si>
  <si>
    <t>100-32 Adquirir los servicios necesarios para garantizar el desplazamiento de servidores públicos y contratistas de la UPME a los eventos y espacios institucionales de planeación minero energética.</t>
  </si>
  <si>
    <t>No</t>
  </si>
  <si>
    <t>100-33</t>
  </si>
  <si>
    <t>Viáticos o gastos de desplazamiento</t>
  </si>
  <si>
    <t>100-33 Viáticos o gastos de desplazamiento</t>
  </si>
  <si>
    <t>100-34</t>
  </si>
  <si>
    <t>100-34 Viáticos o gastos de desplazamiento</t>
  </si>
  <si>
    <t>100-35</t>
  </si>
  <si>
    <t>100-35 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t>
  </si>
  <si>
    <t>Contratación régimen especial (con ofertas)  - Régimen especial</t>
  </si>
  <si>
    <t>100-36</t>
  </si>
  <si>
    <t>100-36 Prestar servicios profesionales para analizar la información ambiental vinculada a proyectos de energía renovable, identificando factores críticos y oportunidades de mejora en la gestión institucional, formular recomendaciones técnicas y la elaboración de insumos orientados al fortalecimiento del plan estratégico de acompañamiento institucional con enfoque ambiental y territorial.</t>
  </si>
  <si>
    <t>100-37</t>
  </si>
  <si>
    <t>100-37 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t>
  </si>
  <si>
    <t>100-38</t>
  </si>
  <si>
    <t>100-38 Prestar servicios profesionales para apoyar la evaluación, identificación y estructuración de acciones técnicas validadas para el acompañamiento permanente a entidades del orden nacional y regional, en zonas priorizadas con conflictos sociales para la construcción del "Atlas de conflictividad".</t>
  </si>
  <si>
    <t>100-39</t>
  </si>
  <si>
    <t>100-39 Prestar servicios profesionales para apoyar las convocatorias, socializaciones, análisis de información y la elaboración de informes técnicos requeridos, que contribuyan a la gestión y al fortalecimiento de la ejecución del proyecto de Enfoque Territorial.</t>
  </si>
  <si>
    <t>100-40</t>
  </si>
  <si>
    <t>100-40 Prestación de servicios profesionales para la identificación y evaluación de variables ambientales que inciden en la planeación y ejecución de proyectos de energías renovables que tengan relación con entidades nacionales y regionales.</t>
  </si>
  <si>
    <t>100-41</t>
  </si>
  <si>
    <t>100-41 Prestar los servicios profesionales para apoyar las convocatorias, socializaciones y mesas de trabajo de los proyectos de energías renovables y convencionales, con enfoque social territorial.</t>
  </si>
  <si>
    <t>100-42</t>
  </si>
  <si>
    <t>100-42 Viáticos o gastos de desplazamiento</t>
  </si>
  <si>
    <t>100-43</t>
  </si>
  <si>
    <t>100-43 Prestar servicios profesionales para apoyar la planeación, convocatoria y desarrollo de espacios participativos con entidades nacionales y regionales vinculadas a proyectos energéticos, incluyendo la articulación con comunidades, contribuyendo a la sistematización de experiencias, la identificación de buenas prácticas y la consolidación de información para los talleres y mesas interinstitucionales del proyecto.</t>
  </si>
  <si>
    <t>100-44</t>
  </si>
  <si>
    <t>100-44 Prestar servicios profesionales para el apoyo logístico, metodológico y de seguimiento a las convocatorias y talleres participativos con entidades del orden nacional y territorial, orientados a la construcción de rutas de acompañamiento institucional, la sistematización de aportes y el fortalecimiento del diálogo interinstitucional con enfoque social, territorial, de género y étnico.</t>
  </si>
  <si>
    <t>10.5</t>
  </si>
  <si>
    <t>100-45</t>
  </si>
  <si>
    <t>100-45 Prestar servicios profesionales para el desarrollo del procedimiento de gestión contractual de la Unidad de Planeación Minero Energética con énfasis en el proyecto “Fortalecimiento del Levantamiento, Gestión y Apropiación de la Información Para La Planeación Del Sector Minero Energético Con Enfoque Territorial Nacional".</t>
  </si>
  <si>
    <t>edith.chavez@upme.gov.co</t>
  </si>
  <si>
    <t>100-46</t>
  </si>
  <si>
    <t>100-46 Prestar los servicios profesionales para apoyar de manera integral el proceso de liquidación y gestión de la nómina de la UPME, incluyendo la elaboración de retroactivos, seguridad social, consolidación de la información, pago de acreencias laborales y demás obligaciones derivadas. Así mismo, apoyar en el desarrollo, implementación y seguimiento del plan operativo y metodológico en el sistema que se determine para tal fin, garantizando el cumplimiento de las normas legales vigentes y de los lineamientos institucionales.</t>
  </si>
  <si>
    <t>100-47</t>
  </si>
  <si>
    <t>100-47 Prestar servicios profesionales para apoyar la evaluación, identificación y estructuración de acciones técnicas validadas para el acompañamiento permanente a entidades del orden nacional y regional con incidencia en la puesta en operación de proyectos de energía renovable, con el fin de fortalecer la articulación institucional y facilitar el avance oportuno de dichas iniciativas.</t>
  </si>
  <si>
    <t>100-48</t>
  </si>
  <si>
    <t>100-48 Prestar servicios profesionales para apoyar al equipo de Enfoque Territorial en actividades técnicas y administrativas relacionadas con la articulación intra e intersectorial para la planeación minero-energética, así como el análisis institucional, sistematización de información y elaboración de insumos orientados al fortalecimiento de la gestión territorial.</t>
  </si>
  <si>
    <t>100-49</t>
  </si>
  <si>
    <t>100-49 Prestar servicios profesionales de apoyo al seguimiento y análisis de los indicadores operativos del Plan Estratégico Institucional, orientados al cumplimiento de los objetivos del Proyecto Enfoque Territorial, así como en la consolidación de informes técnicos y la preparación de insumos para la rendición de cuentas del proyecto.</t>
  </si>
  <si>
    <t>100-50</t>
  </si>
  <si>
    <t>100-50 Adquirir el licenciamiento por suscripción para Plataforma de virtualización y almacenamiento en nube incluyendo la adquisición del hardware para Computación y Storage que soporta esta solución de Hiperconvergencia.</t>
  </si>
  <si>
    <t>100-51</t>
  </si>
  <si>
    <t>Fortalecer el conocimiento de la población y el territorio en cuanto a la dinámica de la planeación minero energética.</t>
  </si>
  <si>
    <t>100-51 Prestar servicios profesionales para apoyar, desde una perspectiva jurídica básica, la integración de variables ambientales, territoriales y etnográficas en las herramientas de planeación minero-energética, con énfasis en escenarios de análisis energéticos, comunidades energéticas y la visualización de contextos territoriales.</t>
  </si>
  <si>
    <t>100-52</t>
  </si>
  <si>
    <t>100-52 Prestar servicios de apoyo  en la realización audiovisual a cargo del grupo de comunicaciones y prensa, orientados a visibilizar la implementación del proyecto de Enfoque Territorial dirigido a los diversos actores del territorio y la ciudadanía en general.</t>
  </si>
  <si>
    <t>100-53</t>
  </si>
  <si>
    <t>100-53 Prestar servicios profesionales para apoyar el diseño y la implementación de la estrategia de comunicación y participación con actores sectoriales y territoriales, orientada a mejorar el relacionamiento institucional bajo el Enfoque Territorial. Incluyendo actividades de apoyo en la identificación de actores, el desarrollo de canales básicos de diálogo, y la divulgación de información relacionada con la planeación minero-energética de la UPME.</t>
  </si>
  <si>
    <t>100-54</t>
  </si>
  <si>
    <t>100-54 Prestar servicios profesionales para apoyar las convocatorias, socializaciones, análisis de información y la elaboración de informes técnicos requeridos, que contribuyan a la gestión y al fortalecimiento de la ejecución del proyecto de Enfoque Territorial.</t>
  </si>
  <si>
    <t>100-55</t>
  </si>
  <si>
    <t>100-55 Prestación de servicios profesionales para la implementación de la estrategia de comunicación y participación de la UPME mediante acciones de diálogo social y territorial, incorporando enfoques de género, cuidado, análisis territorial y gobernanza.</t>
  </si>
  <si>
    <t>100-56</t>
  </si>
  <si>
    <t>100-56 Prestar los servicios profesionales para la implementación de la estrategia de comunicación y participación del dialogo social, territorial e interinstitucional con el fin de incorporar las variables de género y perspectiva del cuidado en la planeación minero energética, en las zonas priorizadas del país.</t>
  </si>
  <si>
    <t>100-57</t>
  </si>
  <si>
    <t>100-57 Prestación de servicios profesionales para la conceptualización, diseño e implementación de estrategias pedagógicas innovadoras y metodologías efectivas de transferencia de conocimiento, con el propósito de fortalecer el diálogo, la apropiación social y la construcción de capacidades entre la Unidad de Planeación Minero Energética y sus grupos de valor.</t>
  </si>
  <si>
    <t>100-58</t>
  </si>
  <si>
    <t>100-58 Prestar servicios profesionales para el seguimiento a la implementación de los proyectos de generación con conexión aprobada por la Unidad de Planeación Minero Energética, en aras de identificar y gestionar soluciones a desafíos ambientales, sociales, territoriales, entre otras, a través de la articulación con los actores estratégicos a nivel local, regional y nacional.</t>
  </si>
  <si>
    <t>100-59</t>
  </si>
  <si>
    <t>100-59 Prestar servicios profesionales de asesoría jurídica y apoyo orientados a la incorporación transversal del enfoque social y de género en la gestión institucional, mediante la emisión de conceptos y estrategias jurídicas que promuevan y fortalezcan la inclusión, la equidad, la prevención de todas las formas de discriminación y la participación ciudadana y comunitaria, avalando la adecuada integración de dichos enfoques en el marco de los proyectos y funciones de la entidad, con  prevalencia en la perspectiva y el enfoque de género.</t>
  </si>
  <si>
    <t>100-60</t>
  </si>
  <si>
    <t>100-60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</si>
  <si>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Radicado 20261000002293</t>
  </si>
  <si>
    <t>100-61</t>
  </si>
  <si>
    <t>100-61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</si>
  <si>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100-62</t>
  </si>
  <si>
    <t>100-62 Prestar servicios profesionales en la incorporación de enfoque de prevención de violencias basadas en género (VBG), la aplicación del protocolo institucional en comisiones nacionales y actividades de trabajo territorial, en concordancia con la Política de Mujer y Género y el Convenio 190 de la OIT.</t>
  </si>
  <si>
    <t>100-63</t>
  </si>
  <si>
    <t>100-63 Prestar los servicios profesionales en la implementación y articulación de análisis técnico para la inclusión de variables sociales en los documentos de la entidad, y apoyar los procesos relacionados con víctimas de conflictividad social en las zonas priorizadas con indicadores de vulneración de los derechos humanos claves en la planeación minero energética.</t>
  </si>
  <si>
    <t>100-64</t>
  </si>
  <si>
    <t>100-64 Prestación de servicios profesionales para apoyar la planeación, convocatorias y jornadas pedagógicas presenciales y virtuales dirigida a actores locales, organizaciones comunitarias con entidades nacionales y regionales vinculadas a proyectos energéticos.</t>
  </si>
  <si>
    <t>100-65</t>
  </si>
  <si>
    <t>100-65 Prestar servicios profesionales especializados para la formulación, articulación e implementación de acciones de incidencia política y formación pedagógica en derechos humanos, orientadas al fortalecimiento de la gobernanza territorial y la gestión del entorno social, facilitando la interlocución técnica de la UPME con actores institucionales y comunitarios en el marco del proyecto de Enfoque Territorial.</t>
  </si>
  <si>
    <t>100-66</t>
  </si>
  <si>
    <t>100-66 Prestar servicios de apoyo  en la realización audiovisual a cargo del grupo de comunicaciones y prensa, orientados a visibilizar la implementación del proyecto de Enfoque Territorial dirigidas a los diversos actores del territorio y la ciudadanía en general.</t>
  </si>
  <si>
    <t>100-67</t>
  </si>
  <si>
    <t>100-67 Prestar servicios profesionales orientados al fortalecimiento de la Dimensión de Control Interno mediante la ejecución del Plan Anual de Auditorías Internas Independientes, con énfasis en la evaluación de la gestión administrativa de la UPME.</t>
  </si>
  <si>
    <t>100-68</t>
  </si>
  <si>
    <t xml:space="preserve">100-68 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  </t>
  </si>
  <si>
    <t>100-69</t>
  </si>
  <si>
    <t>100-69 Prestación de servicios profesionales para la proyección oportuna y eficiente de los procedimientos contractuales de la entidad así como atender las PQRS y gestionar las actuaciones administrativas derivadas de las metas institucionales, en especial lo relacionado con el proyecto de enfoque territorial.</t>
  </si>
  <si>
    <t>100-70</t>
  </si>
  <si>
    <t>100-70 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t>
  </si>
  <si>
    <t>Wilson Quintero</t>
  </si>
  <si>
    <t>Asesor Dirección general</t>
  </si>
  <si>
    <t>wilson.quintero@upme.gov.co</t>
  </si>
  <si>
    <t>100-71</t>
  </si>
  <si>
    <t>100-71 Adquirir el licenciamiento por suscripción para Plataforma de virtualización y almacenamiento en nube incluyendo la adquisición del hardware para Computación y Storage que soporta esta solución de Hiperconvergencia.</t>
  </si>
  <si>
    <t>Fortalecimiento de la percepción de la ciudadanía frente a los productos y servicios prestados por la UPME nacional</t>
  </si>
  <si>
    <t>101-1</t>
  </si>
  <si>
    <t>Mejorar el direccionamiento estratégico y la gestión de los procesos frente a la ciudadanía.</t>
  </si>
  <si>
    <t>101-1 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t>
  </si>
  <si>
    <t>Días</t>
  </si>
  <si>
    <t>Verónica Tabares Muñoz</t>
  </si>
  <si>
    <t>Jefe de Oficina Asesora de Planeación</t>
  </si>
  <si>
    <t>veronica.tabares@upme.gov.co</t>
  </si>
  <si>
    <t>101-2</t>
  </si>
  <si>
    <t>101-2 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t>
  </si>
  <si>
    <t>101-3</t>
  </si>
  <si>
    <t>101-3 Prestar servicios profesionales para apoyar las acciones de formulación y seguimiento de los proyectos de inversión de la entidad; así como el registro, análisis y consolidación de información en las herramientas y sistemas de información definidos por la Oficina Asesora de Planeación.</t>
  </si>
  <si>
    <t>101-4</t>
  </si>
  <si>
    <t>101-4 Prestar servicios profesionales para apoyar las actividades de seguimiento, evaluación y mejora del Sistema de Gestión Institucional, en articulación con el Modelo Integrado de Planeación y Gestión (MIPG).</t>
  </si>
  <si>
    <t>101-5</t>
  </si>
  <si>
    <t>101-5 Prestar servicios profesionales para acompañar el desarrollo de las actividades asociadas a la ejecución, seguimiento y organización de las acciones de cooperación internacional y demás tareas operativas asignadas a la Oficina Asesora de Planeación.</t>
  </si>
  <si>
    <t>101-6</t>
  </si>
  <si>
    <t>101-6 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t>
  </si>
  <si>
    <t>101-7</t>
  </si>
  <si>
    <t>101-7 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t>
  </si>
  <si>
    <t>101-8</t>
  </si>
  <si>
    <t>101-8 Prestar servicios profesionales para alinear, implementar y mejorar el Sistema de Administración del Riesgo de la Unidad de Planeación Minero Energética, en concordancia con la Política Integral de la Administración del Riesgo, conforme a las tipologías y lineamientos establecidos por el Departamento Administrativo de la Función Pública (DAFP) y en alineación con el Sistema de Gestión de Riesgos para la Integridad Pública (SIGRIP), con el propósito de prevenir la materialización de eventos de riesgo y garantizar el logro de los objetivos institucionales.</t>
  </si>
  <si>
    <t>101-9</t>
  </si>
  <si>
    <t>101-9 Prestar servicios profesionales para apoyar la implementación de la estrategia de cooperación internacional de la Unidad de Planeación Minero Energética</t>
  </si>
  <si>
    <t>101-10</t>
  </si>
  <si>
    <t>101-10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</si>
  <si>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101-11</t>
  </si>
  <si>
    <t>101-11 Prestar servicios profesionales para la finalización del rediseño de los procesos definidos en el nuevo modelo operativo de la UPME y los elementos que los integran, así como los ajustes que sean requeridos en la implementación y mantenimiento del Sistema de Gestión Institucional y la apropiación del Modelo Integrado de Planeación y Gestión- MIPG, que se deriven de la modernización.</t>
  </si>
  <si>
    <t>101-12</t>
  </si>
  <si>
    <t>101-12 Prestar servicios profesionales para el desarrollo de actividades relacionadas con la gestión de la planeación institucional de la entidad, mediante el acompañamiento, seguimiento, monitoreo, análisis y elaboración de informes de avance de los planes institucionales; así como para apoyar la implementación y seguimiento de la estrategia de cooperación internacional de la entidad, con el fin de contribuir al cumplimiento del Modelo Integrado de Planeación y Gestión (MIPG) y del Sistema de Gestión Institucional.</t>
  </si>
  <si>
    <t>101-13</t>
  </si>
  <si>
    <t>101-13 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t>
  </si>
  <si>
    <t>101-14</t>
  </si>
  <si>
    <t>101-14 Prestar servicios profesionales para apoyar las actividades de seguimiento, evaluación y mejora del Sistema de Gestión Institucional, en articulación con el Modelo Integrado de Planeación y Gestión (MIPG).</t>
  </si>
  <si>
    <t>101-15</t>
  </si>
  <si>
    <t>101-15 Prestar servicios profesionales para apoyar la documentación y actualización de los procesos y procedimientos de la Unidad de Planeación Minero Energética, así como la gestión documental que se genere en el marco de la implementación y seguimiento del Sistema de Gestión Institucional y del Modelo Integrado de Planeación y Gestión (MIPG).</t>
  </si>
  <si>
    <t>101-16</t>
  </si>
  <si>
    <t>101-16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</si>
  <si>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101-17</t>
  </si>
  <si>
    <t>Software - Nube pública o privada</t>
  </si>
  <si>
    <t>101-17 Renovar la suscripción del sistema de información para la integración y administración de la planeación institucional y de los sistemas de gestión de la Unidad de Planeación Minero Energética.</t>
  </si>
  <si>
    <t>Noviembre</t>
  </si>
  <si>
    <t>Contratación directa - único oferente</t>
  </si>
  <si>
    <t>101-18</t>
  </si>
  <si>
    <t>Estudios</t>
  </si>
  <si>
    <t>101-18 Realizar la auditoría interna al Sistema de Gestión Institucional de la UPME, con el propósito de validar el grado de cumplimiento de los requisitos establecidos en la Norma Técnica Colombiana NTC ISO 9001:2015.</t>
  </si>
  <si>
    <t>Octubre</t>
  </si>
  <si>
    <t>Contratación directa - Contratos menor cuantía</t>
  </si>
  <si>
    <t>101-19</t>
  </si>
  <si>
    <t>101-19 Realizar la auditoría de certificación del Sistema de Gestión Institucional bajo la NTC ISO 9001:2015 en la UPME.</t>
  </si>
  <si>
    <t>Junio</t>
  </si>
  <si>
    <t>101-20</t>
  </si>
  <si>
    <t>Fortalecer la gestión de conocimiento para la planeación minero energética.</t>
  </si>
  <si>
    <t>101-20 Prestar servicios profesionales en la coordinación de la implementación de la Política y Modelo de Gestión del Conocimiento e Innovación (Gesco+i) de la Entidad, para fortalecer la adopción, seguimiento y consolidación de las actividades establecidas en la Política Institucional y la Hoja de Ruta Gesco+i, asegurando la articulación con la Planeación Estratégica Institucional y el MIPG, la gestión de buenas prácticas, lecciones aprendidas y la dinamización de la cultura de conocimiento e innovación.</t>
  </si>
  <si>
    <t>101-21</t>
  </si>
  <si>
    <t>101-21 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t>
  </si>
  <si>
    <t>101-22</t>
  </si>
  <si>
    <t>101-22 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t>
  </si>
  <si>
    <t>101-23</t>
  </si>
  <si>
    <t>101-23 Prestar servicios profesionales para apoyar el fortalecimiento técnico, metodológico y operativo de las actividades establecidas en Política y Modelo de Gestión del Conocimiento e Innovación (Gesco+i) en el marco de la implementación del Modelo Integrado de Planeación y Gestión – MIPG en la Unidad de Planeación Minero Energética – UPME.</t>
  </si>
  <si>
    <t>101-24</t>
  </si>
  <si>
    <t>101-24 Prestar servicios profesionales para realizar el análisis, procesamiento y visualización de datos relacionados con la ejecución presupuestal de los proyectos de inversión, el Sistema de Gestión Institucional, los planes institucionales y las políticas del Modelo Integrado de Planeación y Gestión (MIPG) de la Unidad de Planeación Minero Energética, mediante la construcción y actualización de tableros de control e insumos que apoyen la toma de decisiones.</t>
  </si>
  <si>
    <t>101-25</t>
  </si>
  <si>
    <t>101-25 Prestar servicios profesionales para apoyar el diligenciamiento, administración y actualización de bases de datos institucionales, relacionadas con la ejecución presupuestal de los proyectos de inversión, el Sistema de Gestión Institucional y el seguimiento de las políticas del Modelo Integrado de Planeación y Gestión (MIPG) en la Unidad de Planeación Minero Energética.</t>
  </si>
  <si>
    <t>101-26</t>
  </si>
  <si>
    <t>101-26 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t>
  </si>
  <si>
    <t>101-27</t>
  </si>
  <si>
    <t>101-27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</si>
  <si>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101-28</t>
  </si>
  <si>
    <t>101-28 Prestar servicios profesionales para el seguimiento como segunda línea de defensa de la política de Seguridad y Salud en el Trabajo, así como, articular las diferentes áreas de la entidad para la elaboración y actualización del Plan de Continuidad del Negocio.</t>
  </si>
  <si>
    <t>101-29</t>
  </si>
  <si>
    <t>101-29 Realizar la auditoría de certificación del Sistema de Gestión Institucional bajo la NTC ISO 9001:2015 en la UPME.</t>
  </si>
  <si>
    <t>101-30</t>
  </si>
  <si>
    <t>101-30 Prestar servicios profesionales orientados al fortalecimiento de la Dimensión de Control Interno mediante la ejecución del Plan Anual de Auditorías Internas Independientes, con énfasis en la evaluación de la gestión administrativa de la UPME.</t>
  </si>
  <si>
    <t>101-31</t>
  </si>
  <si>
    <t>101-31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</si>
  <si>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101-32</t>
  </si>
  <si>
    <t>101-32 Prestar servicios profesionales orientados al fortalecimiento de la Política Institucional de Control Interno a través de la ejecución del Plan Anual de Auditorías Internas Independientes, con énfasis en la evaluación de la gestión financiera de la UPME.</t>
  </si>
  <si>
    <t>101-33</t>
  </si>
  <si>
    <t>101-33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</si>
  <si>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101-34</t>
  </si>
  <si>
    <t>101-34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</si>
  <si>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101-35</t>
  </si>
  <si>
    <t>101-35 Realizar la auditoría de certificación del Sistema de Gestión Institucional bajo la NTC ISO 9001:2015 en la UPME.</t>
  </si>
  <si>
    <t xml:space="preserve">Contratación directa </t>
  </si>
  <si>
    <t>101-36</t>
  </si>
  <si>
    <t>101-36 Prestar servicios profesionales para apoyar la implementación de la estrategia de cooperación internacional de la Unidad de Planeación Minero Energética</t>
  </si>
  <si>
    <t>Dias</t>
  </si>
  <si>
    <t>101-37</t>
  </si>
  <si>
    <t>101-37 Prestar servicios profesionales para apoyar la implementación de la estrategia de cooperación internacional de la Unidad de Planeación Minero Energética</t>
  </si>
  <si>
    <t>101-38</t>
  </si>
  <si>
    <t>101-38 Prestar servicios profesionales para apoyar la implementación de la estrategia de cooperación internacional de la Unidad de Planeación Minero Energética</t>
  </si>
  <si>
    <t>Mejoramiento de la participación ciudadana en el modelo energético y de infraestructura energética, en el marco de la transición energética justa a nivel  nacional</t>
  </si>
  <si>
    <t>180-1</t>
  </si>
  <si>
    <t>Mejorar la capacidad de los interesados en formular proyectos de inversión en el sector energético.</t>
  </si>
  <si>
    <t>180-1 Viáticos o gastos de desplazamiento</t>
  </si>
  <si>
    <t>Manuel Peña Suarez</t>
  </si>
  <si>
    <t>Jefe Oficina Gestión de Proyectos de Fondos</t>
  </si>
  <si>
    <t>manuel.pena@upme.govco</t>
  </si>
  <si>
    <t>180-2</t>
  </si>
  <si>
    <t>180-2 Adquirir los servicios necesarios para garantizar el desplazamiento de servidores públicos y contratistas de la UPME a los eventos y espacios institucionales de planeación minero energética.</t>
  </si>
  <si>
    <t>180-3</t>
  </si>
  <si>
    <t>180-3 Prestar los servicios profesionales para realizar el seguimiento y reporte de las actividades relacionadas con la planeación estratégica y el sistema de gestión de calidad de la Oficina de Gestión de Proyectos de Fondos de la UPME.</t>
  </si>
  <si>
    <t>Oscar Zabaleta</t>
  </si>
  <si>
    <t>oscar.zabaleta@upme.gov.co</t>
  </si>
  <si>
    <t>180-4</t>
  </si>
  <si>
    <t>180-4 Prestar servicios profesionales para realizar la atención de PQRS, capacitación externa e interna, levantamiento de requerimientos de la plataforma SUU en marco del proceso de emisión de conceptos de la oficina de gestión de proyectos de fondos de la UPME y apoyo a tareas de gestión del manejo de bases de datos y sistemas de información asociadas.</t>
  </si>
  <si>
    <t>180-5</t>
  </si>
  <si>
    <t>180-5 Prestar servicios profesionales especializados en el desarrollo, implementación y mantenimiento de soluciones tecnológicas para la Oficina de Gestión de Proyectos de Fondos (OGPF) de la UPME.</t>
  </si>
  <si>
    <t>180-6</t>
  </si>
  <si>
    <t>180-6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</si>
  <si>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180-7</t>
  </si>
  <si>
    <t>180-7 Prestar servicios profesionales orientados al fortalecimiento de la Dimensión de Control Interno mediante la ejecución del Plan Anual de Auditorías Internas Independientes, con énfasis en la evaluación de la gestión administrativa de la UPME.</t>
  </si>
  <si>
    <t>180-8</t>
  </si>
  <si>
    <t>180-8 Prestar servicios profesionales orientados al fortalecimiento de la Política Institucional de Control Interno a través de la ejecución del Plan Anual de Auditorías Internas Independientes, con énfasis en la evaluación de la gestión financiera de la UPME.</t>
  </si>
  <si>
    <t>180-9</t>
  </si>
  <si>
    <t>180-9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</si>
  <si>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180-10</t>
  </si>
  <si>
    <t>180-10 Adquirir el licenciamiento por suscripción para Plataforma de virtualización y almacenamiento en nube incluyendo la adquisición del hardware para Computación y Storage que soporta esta solución de Hiperconvergencia.</t>
  </si>
  <si>
    <t>No. Rad 202601300040373</t>
  </si>
  <si>
    <t>180-11</t>
  </si>
  <si>
    <t>180-11 Adquirir el licenciamiento por suscripción para Plataforma de virtualización y almacenamiento en nube incluyendo la adquisición del hardware para Computación y Storage que soporta esta solución de Hiperconvergencia.</t>
  </si>
  <si>
    <t>Febrero</t>
  </si>
  <si>
    <t>180-12</t>
  </si>
  <si>
    <t>180-12 Prestar servicios profesionales en comunicación estratégica para la planeación, desarrollo y ejecución de acciones de free press que promuevan la visibilidad institucional y la articulación intra e intersectorial de la Unidad de Planeación Minero Energética – UPME, en el marco del proyecto Enfoque Territorial y bajo las orientaciones de la Dirección General.</t>
  </si>
  <si>
    <t>180-13</t>
  </si>
  <si>
    <t>180-13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</si>
  <si>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Radicado 20261800004593</t>
  </si>
  <si>
    <t>180-14</t>
  </si>
  <si>
    <t>180-14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</si>
  <si>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180-15</t>
  </si>
  <si>
    <t>180-15 Prestar servicios profesionales para llevar a cabo la evaluación técnica y financiera de los proyectos energéticos que solicitan recursos a los diferentes fondos y mecanismos de financiación evaluados por la UPME, así como, liderar mesas técnicas, contribuir en la definición de criterios de evaluación y brindar acompañamiento a nivel interno y externo en modalidad de capacitación.</t>
  </si>
  <si>
    <t>180-16</t>
  </si>
  <si>
    <t>180-16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</si>
  <si>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180-17</t>
  </si>
  <si>
    <t>180-17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</si>
  <si>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180-18</t>
  </si>
  <si>
    <t>180-18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</si>
  <si>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180-19</t>
  </si>
  <si>
    <t>180-19 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t>
  </si>
  <si>
    <t>180-20</t>
  </si>
  <si>
    <t>180-20 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t>
  </si>
  <si>
    <t>180-21</t>
  </si>
  <si>
    <t>180-21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</si>
  <si>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180-22</t>
  </si>
  <si>
    <t>180-22 Prestar servicios profesionales para realizar la evaluación técnica, financiera y ambiental de los proyectos energéticos que solicitan recursos a los diferentes fondos y mecanismos de financiación del Ministerio de Minas y Energía (MME) evaluados por la UPME, así como participar en mesas técnicas solicitadas.</t>
  </si>
  <si>
    <t>180-23</t>
  </si>
  <si>
    <t>180-23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</si>
  <si>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180-24</t>
  </si>
  <si>
    <t>180-24 Prestar los servicios profesionales en la construcción de herramientas y documentos con criterio social en marcado en procesos de la dirección general de la UPME.</t>
  </si>
  <si>
    <t>180-25</t>
  </si>
  <si>
    <t>180-25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</si>
  <si>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180-26</t>
  </si>
  <si>
    <t>180-26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</si>
  <si>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180-27</t>
  </si>
  <si>
    <t>180-27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</si>
  <si>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180-28</t>
  </si>
  <si>
    <t>180-28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</si>
  <si>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180-29</t>
  </si>
  <si>
    <t>180-29 Prestar servicios profesionales para la evaluación técnica y financiera de proyectos energéticos que solicitan recursos a los fondos y mecanismos de financiación evaluados por la UPME.</t>
  </si>
  <si>
    <t>180-30</t>
  </si>
  <si>
    <t xml:space="preserve">180-30 Prestar servicios profesionales para llevar a cabo la evaluación técnica y financiera de proyectos energéticos que solicitan recursos a los fondos y mecanismos de financiación evaluados por la UPME, liderar en mesas técnicas, contribuir en la definición de criterios de evaluación y brindar acompañamiento a nivel interno y externo en modalidad de capacitación. </t>
  </si>
  <si>
    <t>180-31</t>
  </si>
  <si>
    <t>180-31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</si>
  <si>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180-32</t>
  </si>
  <si>
    <t>180-32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</si>
  <si>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180-33</t>
  </si>
  <si>
    <t>180-33 Prestar servicios profesionales para la evaluación técnica y financiera de proyectos energéticos que solicitan recursos a los fondos y mecanismos de financiación evaluados por la UPME.</t>
  </si>
  <si>
    <t>180-34</t>
  </si>
  <si>
    <t>180-34 Prestar servicios profesionales para la evaluación técnica y financiera de proyectos energéticos que solicitan recursos a los fondos y mecanismos de financiación evaluados por la UPME.</t>
  </si>
  <si>
    <t>180-35</t>
  </si>
  <si>
    <t>180-35 Prestar servicios profesionales para apoyar la evaluación de  proyectos en los componentes constructivos que solicitan recursos a los fondos y mecanismos de financiación evaluados por la UPME, ademas de la consolidación de información de referencia de los fondos en base a los proyectos evaluados por la OGPF</t>
  </si>
  <si>
    <t>180-36</t>
  </si>
  <si>
    <t>180-36 Prestar servicios profesionales para el desarrollo, implementación y mantenimiento de modelos geoespaciales en SIG basados en Python (scripts, modelos analíticos y flujos automatizados), orientados al análisis espacial requeridos en la Oficina de Gestión de Proyectos de Fondos</t>
  </si>
  <si>
    <t>180-37</t>
  </si>
  <si>
    <t>Planta Temporal</t>
  </si>
  <si>
    <t>180-37 Gastos de personal de los empleos de la planta temporal</t>
  </si>
  <si>
    <t>180-38</t>
  </si>
  <si>
    <t>180-38 Gastos administrativos por puestos de trabajo empleos de la planta temporal</t>
  </si>
  <si>
    <t>180-39</t>
  </si>
  <si>
    <t>Mejorar caracterización socio económica de los territorios en su desarrollo energético.</t>
  </si>
  <si>
    <t>180-39 Prestar los servicios profesionales para asesorar la Oficina de Gestión de Proyectos de Fondos en el diseño, desarrollo y seguimiento de procesos de planeación energética y ampliación de cobertura de gas combustible y apoyo en definición de criterios acorde con las nuevas tecnologías y aplicaciones de este sector, así como asistencia y capacitación técnica en planeación energética y formulación de proyectos de la OGPF</t>
  </si>
  <si>
    <t>180-40</t>
  </si>
  <si>
    <t>180-40 Prestar los servicios profesionales para asesorar a la Oficina de Gestión de Proyectos de Fondos en el diseño, desarrollo y seguimiento de procesos de planeación energética y definición de estrategias de energización de las regiones del país, apoyando la formulación de lineamientos técnicos, la articulación interinstitucional y el fortalecimiento de las acciones orientadas a ampliar la cobertura de energía eléctrica en el país, así como asistencia y capacitación técnica en planeación energética  y formulación de proyectos de la OGPF</t>
  </si>
  <si>
    <t>180-41</t>
  </si>
  <si>
    <t>Consultoría</t>
  </si>
  <si>
    <t>180-41 Desarrollar estrategias de energización en la región como insumo para la planeación territorial</t>
  </si>
  <si>
    <t>Julio</t>
  </si>
  <si>
    <t>180-42</t>
  </si>
  <si>
    <t>180-42 Desarrollar estrategias de energización en la región como insumo para la planeación territorial</t>
  </si>
  <si>
    <t>180-43</t>
  </si>
  <si>
    <t>180-43 Prestar los servicios profesionales especializados a la Dirección General en los asuntos técnicos del sector energético, con énfasis en la planeación y la eficiencia energética.</t>
  </si>
  <si>
    <t>180-44</t>
  </si>
  <si>
    <t>180-44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</si>
  <si>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Contratación régimen especial - Régimen especial</t>
  </si>
  <si>
    <t>180-45</t>
  </si>
  <si>
    <t>180-45  Prestar los servicios profesionales en la construcción de herramientas y documentos en el carácter social y político como mecanismo de unificación de criterios en la evaluación y estrategias de energización en los procesos de la Oficina de Gestión de Proyectos de Fondos.</t>
  </si>
  <si>
    <t>180-46</t>
  </si>
  <si>
    <t>180-46 Prestar los servicios profesionales para realizar el seguimiento y reporte de las actividades relacionadas con el proyecto de inversión y contractual de la Oficina de Gestión de Proyectos de Fondos de la UPME.</t>
  </si>
  <si>
    <t>180-47</t>
  </si>
  <si>
    <t>180 - 47 Prestar servicios profesionales para realizar la evaluación técnica y financiera de proyectos energéticos que solicitan recursos a los fondos y mecanismos de financiación evaluados por la UPME, y participar en mesas técnicas.</t>
  </si>
  <si>
    <t>Jefe Oficina Gestión de Proyectos de Fondos (E)</t>
  </si>
  <si>
    <t>180-48</t>
  </si>
  <si>
    <t>180-48 Prestar servicios profesionales para la evaluación técnica y financiera de proyectos energéticos que solicitan recursos a los fondos y mecanismos de financiación evaluados por la UPME.</t>
  </si>
  <si>
    <t>180-49</t>
  </si>
  <si>
    <t>180-49 Prestar servicios profesionales para la evaluación técnica y financiera de proyectos energéticos que solicitan recursos a los fondos y mecanismos de financiación evaluados por la UPME.</t>
  </si>
  <si>
    <t>180-50</t>
  </si>
  <si>
    <t>180-50 Prestar los servicios profesionales como enlace en la Region Pacifico en la implementación de la estrategia de comunicación de la UPME al Territorio, orientada a fortalecer la transparencia de los procesos de planeación minero-energética mediante el desarrollo de espacios y canales adicionales de divulgación.</t>
  </si>
  <si>
    <t>180-51</t>
  </si>
  <si>
    <t>180-51 Prestar sus servicios profesionales especializados a la Dirección General en asuntos técnicos del sector energético, con énfasis en la planeación eléctrica y/o la integración territorial de variables energéticas.</t>
  </si>
  <si>
    <t>180-52</t>
  </si>
  <si>
    <t>180-52 Prestar servicios profesionales para la evaluación técnica y financiera de proyectos energéticos que solicitan recursos a los fondos y mecanismos de financiación evaluados por la UPME.</t>
  </si>
  <si>
    <t>180-53</t>
  </si>
  <si>
    <t>180-53 Prestar sus servicios profesionales especializados a la Dirección General en asuntos técnicos del sector energético, con énfasis en la planeación eléctrica y/o la integración territorial de variables energéticas.</t>
  </si>
  <si>
    <t>180-54</t>
  </si>
  <si>
    <t>180-54 Prestar servicios profesionales para llevar a cabo la evaluación técnica y financiera de proyectos del sector de energia electrica que solicitan recursos a los fondos y mecanismos de financiación evaluados por la UPME, así como liderar las mesas técnicas y contribuir en la definición de criterios en las diferentes metodologías de evaluación.</t>
  </si>
  <si>
    <t>180-55</t>
  </si>
  <si>
    <t>180-55 Prestar servicios profesionales para llevar a cabo la evaluación técnica y financiera de proyectos del sector de gas combustible que solicitan recursos a los fondos y mecanismos de financiación evaluados por la UPME, así como liderar las mesas técnicas, contribuir en la definición de criterios financieros en las diferentes metodologías de evaluación.</t>
  </si>
  <si>
    <t>180-56</t>
  </si>
  <si>
    <t>180-56 Prestar servicios profesionales para liderar, planificar, implementar, gestionar y supervisar el Sistema de Gestión de Seguridad de la Información (SGSI) de la UPME y asegurar el cumplimiento de las políticas, normativas internas y legislación vigente en materia de seguridad digital, ciberseguridad y protección de datos garantizando su alineación con el MSPI y la ISO/IEC 27001:2022.</t>
  </si>
  <si>
    <t>180-57</t>
  </si>
  <si>
    <t>180-57 Prestar servicios profesionales para llevar a cabo la evaluación técnica y ambiental de proyectos que solicitan recursos a los fondos y mecanismos de financiación evaluados por la UPME, así como liderar las mesas técnicas, contribuir en la definición de criterios ambientales y sociales en las diferentes metodologías de evaluación.</t>
  </si>
  <si>
    <t>180-58</t>
  </si>
  <si>
    <t xml:space="preserve">180-58 Prestar los servicios profesionales en la definición de variable sociales en apoyo al area de enfoque territorial de la direccion general de la unidad. </t>
  </si>
  <si>
    <t>Fortalecimiento de los servicios digitales aumentando la capacidad para la transformación digital e interacción con el ciudadano</t>
  </si>
  <si>
    <t>130-1</t>
  </si>
  <si>
    <t>Mejorar la implementación del modelo de Gestión de Información Institucional.</t>
  </si>
  <si>
    <t>130-1 Prestar servicios profesionales de gestión y soporte especializado para el mantenimiento de los procesos automatizados en la plataforma de gestión de procesos de negocio (BPMS) de la UPME, asegurando la continuidad operativa y la correcta prestación de los servicios ciudadanos digitales, en estricto cumplimiento de los lineamientos de la política de gobierno digital y de acuerdo con el Plan Estratégico de Tecnologías de la Información.</t>
  </si>
  <si>
    <t>Paola del Pilar Puerta Peña</t>
  </si>
  <si>
    <t>Jefe Oficina de Tecnologías de la Información</t>
  </si>
  <si>
    <t>pilar.puerta@upme.gov.co</t>
  </si>
  <si>
    <t>130-2</t>
  </si>
  <si>
    <t>Incrementar el desarrollo de los habilitadores transversales de la política de gobierno digital.</t>
  </si>
  <si>
    <t>130-2 Prestar servicios profesionales como analista y documentador para proyectos de sistemas de información en la Unidad de Planeación Minero Energética (UPME), documentando los requisitos funcionales y técnicos de las iniciativas de desarrollo de software, asegurando la trazabilidad y el correcto entendimiento en todas las fases del proyecto.</t>
  </si>
  <si>
    <t>130-3</t>
  </si>
  <si>
    <t>130-3 Prestar servicios profesionales de diseño y diagramación de planes, productos, piezas de diseño y diversos formatos para su publicación los distintos canales de la UPME y necesidades del plan de comunicaciones.</t>
  </si>
  <si>
    <t>130-4</t>
  </si>
  <si>
    <t>130-4 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t>
  </si>
  <si>
    <t>130-5</t>
  </si>
  <si>
    <t>130-5 Prestar servicios profesionales para apoyar las diferentes labores que se desprendan de la administración de las herramientas de seguridad perimetral de la UPME y en la elaboración de documentación, relacionada con el Dominio de Seguridad Digital para la Unidad.</t>
  </si>
  <si>
    <t>130-6</t>
  </si>
  <si>
    <t>130-6 Prestar servicios profesionales de desarrollo y ajuste de software para fortalecer la interoperabilidad y sincronización de los sistemas de información de la entidad incluyendo la creación y modificación de aplicaciones web, servicios web y/o Apis mejorando la conectividad y el intercambio de datos entre los diferentes sistemas de la entidad.</t>
  </si>
  <si>
    <t>130-7</t>
  </si>
  <si>
    <t>130-7 Prestación de servicios profesionales en la Oficina de Tecnologías de la Información para la aplicación de gestión de proyectos de TI, que contribuyan a la implementación de la política de gobierno digital en la Entidad, de conformidad con la Metodología para la Gestión de Proyectos de Tecnologías de la Información – MGPTI del Min TIC.</t>
  </si>
  <si>
    <t>130-8</t>
  </si>
  <si>
    <t>130-8 Prestar servicios profesionales para la proyección de documentos de contenido legal y apoyo de los asuntos de tipo jurídico que resulten de las actuaciones administrativas de competencia de la UPME, en el marco de la gestión institucional de la Entidad.</t>
  </si>
  <si>
    <t>130-9</t>
  </si>
  <si>
    <t>130-9 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t>
  </si>
  <si>
    <t>130-10</t>
  </si>
  <si>
    <t>130-10 Prestar servicios profesionales para apoyar en los proyectos de tecnología en todas sus fases y ciclos de proceso, especialmente, en aquellos enfocados en la transformación digital a la Oficina de Tecnología de la Información de la UPME</t>
  </si>
  <si>
    <t>130-11</t>
  </si>
  <si>
    <t>130-11 Prestación de servicios profesionales especializados para la ingeniería, configuración y puesta en marcha de una infraestructura de red convergente y escalable para la UPME, así como la administración de soluciones de conectividad híbrida, la segmentación lógica de redes para el tráfico de datos críticos y la optimización de hardware de misión operativa, alineado con los marcos de Arquitectura Empresarial y estándares internacionales de gestión de servicios TI.</t>
  </si>
  <si>
    <t>130-12</t>
  </si>
  <si>
    <t>130-12 Prestar servicios de apoyo a la gestión para la operatividad de los sistemas de información y de Infraestructura de la Unidad de Planeación Minero-Energética – UPME, así como en las actividades asociadas al soporte y monitoreo en las respectivas herramientas instaladas para tal fin.</t>
  </si>
  <si>
    <t>130-13</t>
  </si>
  <si>
    <t>130-13 Prestar servicios de apoyo a la gestión como analista de sistemas de TI en Gestión de Servicios, para liderar proyectos orientados a la implementación, ajuste y mejora del servicio al cliente interno y externo, asegurando la alineación de la mesa de servicios con el modelo ITIL, de conformidad con la Metodología para la Gestión de Proyectos de Tecnologías de la Información – MGPTI del Min TIC.</t>
  </si>
  <si>
    <t>130-14</t>
  </si>
  <si>
    <t>130-14 Prestar servicios de apoyo a la gestión en la mesa de servicio para atender, registrar, clasificar y dar solución de primer nivel a los requerimientos tecnológicos, bajo las buenas prácticas ITIL y los procedimientos establecidos para la gestión de servicios de TI.</t>
  </si>
  <si>
    <t>130-15</t>
  </si>
  <si>
    <t>130-15 Prestar servicios de apoyo a la gestión para la atención de solicitudes de los servicios tecnológicos, apoyar en la gestión de la mesa de servicio y medición de indicadores de TI de la UPME.</t>
  </si>
  <si>
    <t>130-16</t>
  </si>
  <si>
    <t>130-16 Prestar servicios profesionales especializados orientados a la atención, análisis y resolución de incidentes o requerimientos que afecten los sistemas de información implementados en la UPME, así como la plataforma tecnológica necesaria para su operación.</t>
  </si>
  <si>
    <t>130-17</t>
  </si>
  <si>
    <t>130-17 Prestar servicios profesionales especializados en la administración y gestión integral de bases de datos, con el fin de asegurar la correcta implementación, mantenimiento, y optimización de las bases de datos que soportan las aplicaciones y portales web de la Entidad</t>
  </si>
  <si>
    <t>130-18</t>
  </si>
  <si>
    <t>130-18 Prestar servicios profesionales especializados para apoyar el seguimiento y control de los instrumentos de planeación institucional y del Proyecto de Inversión de la Oficina de Tecnologías de la Información, comprendiendo el acompañamiento en la ejecución presupuestal, la gestión de procesos precontractuales y las demás actividades administrativas que se requieran</t>
  </si>
  <si>
    <t>130-19</t>
  </si>
  <si>
    <t>130-19 Prestar servicios profesionales para apoyar en los proyectos de tecnología en todas sus fases y ciclos de proceso, especialmente, en aquellos enfocados en infraestructura tecnológica a la Oficina de Tecnología de la Información de la UPME.</t>
  </si>
  <si>
    <t>130-20</t>
  </si>
  <si>
    <t>130-20 Prestar servicios profesionales para apoyar la administración y el mejoramiento continuo del Sistema de Gestión de Seguridad y Privacidad de la Información – SGSI, en el marco del Modelo de Seguridad y Privacidad de la Información – MSPI, orientado a los planes de tratamiento de riesgos y de seguridad, la gestión de riesgos y activos de información, y la consolidación de un entorno confiable alineado con la política de Gobierno Digital.</t>
  </si>
  <si>
    <t>130-21</t>
  </si>
  <si>
    <t>130-21 Prestar servicios profesionales para gestionar y alinear la Arquitectura Empresarial de sistemas de información de la UPME, garantizando el gobierno de datos y apoyar de manera eficiente la misión y los objetivos estratégicos de la entidad.</t>
  </si>
  <si>
    <t>130-22</t>
  </si>
  <si>
    <t>130-22 Prestar servicios profesionales para fortalecer la gestión estratégica de tecnología y la transformación digital de la entidad; mediante el diseño, alineación y gestión de la implementación de la Arquitectura Empresarial de la UPME, asegurando la relación entre los objetivos estratégicos del negocio y las capacidades tecnológicas de la entidad contribuyendo así al fortalecimiento de la política de gobierno digital.</t>
  </si>
  <si>
    <t>130-23</t>
  </si>
  <si>
    <t>130-23 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t>
  </si>
  <si>
    <t>130-24</t>
  </si>
  <si>
    <t>130-24 Prestar servicios profesionales en la Oficina de Tecnologías de la Información para apoyar actividades administrativas, como la proyección, seguimiento y actualización de los documentos, procesos, procedimientos, guías, instructivos y demás documentos requeridos para la gestión de TI.</t>
  </si>
  <si>
    <t>130-25</t>
  </si>
  <si>
    <t>130-25 Prestar servicios profesionales para apoyar en los proyectos de tecnología en todas sus fases y ciclos de proceso, especialmente, en aquellos enfocados en la calidad de los sistemas de información a la Oficina de Tecnología de la Información de la UPME</t>
  </si>
  <si>
    <t>130-26</t>
  </si>
  <si>
    <t>Aumentar la capacidad institucional a nivel de arquitectura tecnológica y de sistemas de información.</t>
  </si>
  <si>
    <t>130-26 Prestar servicios profesionales especializados para la administración y supervisión integral del entorno tecnológico, abarcando redes, servidores, sistemas y plataformas en la nube, lo que incluye la gestión eficiente de los recursos de TI, la optimización de operaciones, la atención y resolución de incidentes técnicos, así como la implementación de medidas de ciberseguridad que garanticen la continuidad y protección de los servicios tecnológicos de la entidad.</t>
  </si>
  <si>
    <t>130-27</t>
  </si>
  <si>
    <t>130-27 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t>
  </si>
  <si>
    <t>130-28</t>
  </si>
  <si>
    <t>130-28 Prestar servicios profesionales orientados al fortalecimiento de la Dimensión de Control Interno mediante la ejecución del Plan Anual de Auditorías Internas Independientes, con énfasis en la evaluación de la gestión administrativa de la UPME.</t>
  </si>
  <si>
    <t>130-29</t>
  </si>
  <si>
    <t>130-29 Prestar servicios profesionales orientados al fortalecimiento de la Política Institucional de Control Interno a través de la ejecución del Plan Anual de Auditorías Internas Independientes, con énfasis en la evaluación de la gestión financiera de la UPME.</t>
  </si>
  <si>
    <t>130-30</t>
  </si>
  <si>
    <t>130-30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</si>
  <si>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130-31</t>
  </si>
  <si>
    <t>130-31 Prestar servicios profesionales para el desarrollo de la gestión contractual de la entidad, desde el Git de Gestión Contractual, en especial, lo relacionado con las actividades derivadas de la Oficina de Tecnologías de la Información.</t>
  </si>
  <si>
    <t>130-32</t>
  </si>
  <si>
    <t>130-32 Prestar servicios profesionales para apoyar a la oficina de tecnologías de la información en la implementación del Modelo de Gestión y Gobierno de acuerdo a los lineamientos establecidos por el MinTIC.</t>
  </si>
  <si>
    <t>130-33</t>
  </si>
  <si>
    <t>130-33 Prestar servicios profesionales especializados para el desarrollo de la gestión contractual de la Unidad, brindando especial atención a las necesidades de la Oficina de Tecnologías de la Información, en coordinación del Jit de Gestión Contractual.</t>
  </si>
  <si>
    <t>130-34</t>
  </si>
  <si>
    <t>130-34 Prestar servicios profesionales para el desarrollo de las actividades relacionadas con la gestión contractual de la Oficina de Tecnologías de la Información, y para el apoyo de las mismas de manera transversal en la Entidad.</t>
  </si>
  <si>
    <t>130-35</t>
  </si>
  <si>
    <t>130-35 Prestar servicios profesionales especializados para apoyar de manera transversal la gestión del talento humano de la Unidad de Planeación Minero Energética UPME, mediante la implementación, seguimiento y mejora del Sistema de Gestión de Seguridad y Salud en el Trabajo (SG-SST), en cumplimiento de la normatividad vigente y los lineamientos institucionales.</t>
  </si>
  <si>
    <t>130-36</t>
  </si>
  <si>
    <t>130-36 Prestar servicios profesionales especializados orientados a la atención, análisis y resolución de incidentes o requerimientos que afecten los sistemas de información implementados en la UPME, así como la plataforma tecnológica necesaria para su operación.</t>
  </si>
  <si>
    <t>130-37</t>
  </si>
  <si>
    <t>130-37 Prestar los servicios profesionales de acompañamiento jurídico y técnico en los asuntos de gestión precontractual, contractual y pos contractual de la Oficina de Tecnologías de la Información</t>
  </si>
  <si>
    <t>130-38</t>
  </si>
  <si>
    <t>130-38 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t>
  </si>
  <si>
    <t>130-39</t>
  </si>
  <si>
    <t>130-39 Prestar servicios profesionales en la Oficina de Tecnologías de la Información para apoyar la implementación de buenas prácticas en Gestión de Proyectos y en el seguimiento al Plan Estratégico de Tecnologías de la Información.</t>
  </si>
  <si>
    <t>130-40</t>
  </si>
  <si>
    <t>130-40 Prestar servicios profesionales para apoyar actividades tanto operativas como administrativas inherentes al GIT de Arquitectura empresarial y Seguridad de la información.</t>
  </si>
  <si>
    <t>130-41</t>
  </si>
  <si>
    <t>130-41 Prestar servicios profesionales para la proyección de documentos de contenido legal y apoyo de los asuntos de tipo jurídico que resulten de las actuaciones administrativas de competencia de la UPME, en el marco de la gestión institucional de la Entidad.</t>
  </si>
  <si>
    <t>130-42</t>
  </si>
  <si>
    <t>130-42 Prestar servicios profesionales para la proyección de documentos de contenido legal y apoyo de los asuntos de tipo jurídico que resulten de las actuaciones administrativas de competencia de la UPME, en el marco de la gestión institucional de la Entidad.</t>
  </si>
  <si>
    <t>130-43</t>
  </si>
  <si>
    <t>130-43 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t>
  </si>
  <si>
    <t>130-44</t>
  </si>
  <si>
    <t>130-44 Prestar servicios profesionales para apoyar a la Oficina de Tecnologías de la Información en la definición y/o actualización del plan estratégico de tecnologías de información y en la gestión de los proyectos de su mapa de ruta</t>
  </si>
  <si>
    <t>130-45</t>
  </si>
  <si>
    <t>130-45 Prestar servicios profesionales para la atención de los requerimientos y PQRs relacionados con la operación de las plataformas tecnológicas de trámites y servicios prestados a la ciudadanía.</t>
  </si>
  <si>
    <t>130-46</t>
  </si>
  <si>
    <t>130-46 Prestar servicios de apoyo a la gestión para el diseño, gestión y administración de las redes de telecomunicaciones de la UPME tanto de redes de área local LAN y redes inalámbricas, garantizando la seguridad y la eficiencia de la información.</t>
  </si>
  <si>
    <t>130-47</t>
  </si>
  <si>
    <t>130-47 Prestar servicios profesionales para apoyar en los proyectos de tecnología en todas sus fases y ciclos de proceso, especialmente, en aquellos enfocados en la arquitectura empresarial y seguridad informática a la Oficina de Tecnología de la Información de la UPME</t>
  </si>
  <si>
    <t>130-48</t>
  </si>
  <si>
    <t>130-48 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t>
  </si>
  <si>
    <t>130-49</t>
  </si>
  <si>
    <t>130-49 Prestar servicios profesionales en comunicación institucional del sector minero-energético, mediante la revisión, análisis y conceptuación de documentos, la elaboración de insumos comunicacionales y contenidos base para piezas informativas y audiovisuales, así como el acompañamiento técnico-comunicacional a acciones y campañas de la entidad, garantizando la coherencia de los mensajes, la pertinencia temática y su alineación con los lineamientos estratégicos e institucionales definidos.</t>
  </si>
  <si>
    <t>130-50</t>
  </si>
  <si>
    <t>130-50 Prestar servicios de apoyo a la gestión  de la comunicación digital de la entidad, mediante la creación, administración y dinamización de contenidos en canales digitales y redes sociales, orientados a la divulgación y socialización de los procesos, proyectos y resultados institucionales, promoviendo la interacción, el relacionamiento y la apropiación de los mensajes por parte de los públicos de interés, en articulación con las estrategias sectoriales e institucionales definidas por la entidad.</t>
  </si>
  <si>
    <t>130-51</t>
  </si>
  <si>
    <t>130-51 Prestar servicios de apoyo a la gestión de la comunicación institucional, orientados a la coordinación, articulación y seguimiento de acciones, campañas y contenidos comunicacionales de la entidad, garantizando la coherencia de los mensajes, la pertinencia temática y su alineación con los lineamientos estratégicos e institucionales definidos.</t>
  </si>
  <si>
    <t>130-52</t>
  </si>
  <si>
    <t>130-52 Prestar servicios profesionales para el apoyo técnico en la operación y seguimiento del entorno tecnológico de la entidad, así como el mantenimiento y soporte de la infraestructura tecnológica, los servicios tecnológicos y los sistemas de información de la entidad</t>
  </si>
  <si>
    <t>130-53</t>
  </si>
  <si>
    <t>130-53 Viáticos o gastos de desplazamiento</t>
  </si>
  <si>
    <t>130-54</t>
  </si>
  <si>
    <t>130-54 Adquirir los servicios necesarios para garantizar el desplazamiento de servidores públicos y contratistas de la UPME a los eventos y espacios institucionales de planeación minero energética.</t>
  </si>
  <si>
    <t>130-55</t>
  </si>
  <si>
    <t>Software - Suscripciones</t>
  </si>
  <si>
    <t>130-55 Adquirir suscripción online de consulta e información jurídica.</t>
  </si>
  <si>
    <t>130-56</t>
  </si>
  <si>
    <t>Software - Licencias</t>
  </si>
  <si>
    <t>130-56 Adquirir Certificado Wildcard SSL Multidominio para los servidores de la Unidad</t>
  </si>
  <si>
    <t>130-57</t>
  </si>
  <si>
    <t>130-57 Adquirir el servicio de firmado digital incluyendo certificados de firma digital en el sistema de gestión documental de la UPME y los de función pública SIIF Nación (token) y un certificado de firma digital de persona jurídica para facturación electrónica</t>
  </si>
  <si>
    <t>Agosto</t>
  </si>
  <si>
    <t>130-58</t>
  </si>
  <si>
    <t>43222501;43233205;43222503</t>
  </si>
  <si>
    <t>130-58 Adquirir el servicio de ciberseguridad contra ransomware y el licenciamiento de la solución Endpoint con la que cuenta la UPME</t>
  </si>
  <si>
    <t>130-59</t>
  </si>
  <si>
    <t>43233415;71151106</t>
  </si>
  <si>
    <t>130-59 Renovar el licenciamiento y soporte de solución de backup</t>
  </si>
  <si>
    <t>130-60</t>
  </si>
  <si>
    <t>43233415;43211501;81112003;71151106</t>
  </si>
  <si>
    <t>130-60 Adquirir el servicio de nube para Backup y DRP</t>
  </si>
  <si>
    <t>Marzo</t>
  </si>
  <si>
    <t>130-61</t>
  </si>
  <si>
    <t>130-61 Actualización y soporte del sistema de gestión documental de la Unidad, basado en ARGO/ORFEOGPL, para la Unidad de Planeación Minero Energética -UPME</t>
  </si>
  <si>
    <t>130-62</t>
  </si>
  <si>
    <t>130-62 Contratar el suministro de una solución tecnológica integral en la modalidad de software como servicio (SaaS), que permita la gestión unificada de los procesos de nómina, recursos humanos, administración de contratistas, y el control de bienes y servicios de la entidad</t>
  </si>
  <si>
    <t>130-63</t>
  </si>
  <si>
    <t>130-63 Adquirir el licenciamiento de correo electrónico, junto con las herramientas colaborativas en nube para la UPME</t>
  </si>
  <si>
    <t>130-64</t>
  </si>
  <si>
    <t>130-64 Adquisición de suscripción anual de un sistema de monitoreo de la infraestructura tecnológica de la entidad.</t>
  </si>
  <si>
    <t>130-65</t>
  </si>
  <si>
    <t>43222611;43232805</t>
  </si>
  <si>
    <t>130-65 Adquirir el canal de backup de internet para la UPME.</t>
  </si>
  <si>
    <t>130-66</t>
  </si>
  <si>
    <t>130-66 Renovación del segmento de prefijo IPV6 ante LACNIC.</t>
  </si>
  <si>
    <t>Diciembre</t>
  </si>
  <si>
    <t>130-67</t>
  </si>
  <si>
    <t>130-67 Contratar el servicio de plataforma cómo servicios PaaS de la herramienta Bizagi, así como la migración de los flujos de procesos de la UPME.</t>
  </si>
  <si>
    <t>130-68</t>
  </si>
  <si>
    <t>130-68 Adquirir el servicio de licenciamiento de Office 365 usado en la entidad</t>
  </si>
  <si>
    <t>130-69</t>
  </si>
  <si>
    <t xml:space="preserve">43233200;81111800;81111801;81112208, </t>
  </si>
  <si>
    <t>130-69 Adquirir el licenciamiento de la solución con la que cuenta la UPME para la protección del correo electrónico, de la red de comunicaciones, y la integración con el Firewall Palo Alto</t>
  </si>
  <si>
    <t>130-70</t>
  </si>
  <si>
    <t>43222501;43222503;43222504;43222609;43233205</t>
  </si>
  <si>
    <t>130-70 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t>
  </si>
  <si>
    <t>130-71</t>
  </si>
  <si>
    <t>130-71 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t>
  </si>
  <si>
    <t>130-72</t>
  </si>
  <si>
    <t>43232304,81112200,81112100</t>
  </si>
  <si>
    <t>130-72 Adquirir la suscripción de Power BI para la visualización de datos de la entidad</t>
  </si>
  <si>
    <t>130-73</t>
  </si>
  <si>
    <t>130-73 Adquirir 150 licencias de Vicarius, una solución avanzada de gestión de vulnerabilidades y parches diseñada para mejorar la seguridad y la gestión de riesgos en la infraestructura de TI de la entidad.</t>
  </si>
  <si>
    <t>130-74</t>
  </si>
  <si>
    <t>43231500;43232305;43232311</t>
  </si>
  <si>
    <t>130-74 Adquirir el licenciamiento de gestión de bases de datos Microsoft SQL Server Standard Edition, para optimizar el rendimiento y la seguridad de la infraestructura de datos de la Unidad de Planeación Minero Energética (UPME).</t>
  </si>
  <si>
    <t>130-75</t>
  </si>
  <si>
    <t>43230000;43232805</t>
  </si>
  <si>
    <t>130-75 Contratar el servicio para la actualización de ultima versión estable de la plataforma Issabel de telefonía IP, puesta en funcionamiento de servidor redundante y servicio de soporte para toda la plataforma Issabel de la UPME en su arquitectura Activo-Pasivo (redundancia ""hot standby"")."</t>
  </si>
  <si>
    <t>130-76</t>
  </si>
  <si>
    <t>130-76 Adquirir el licenciamiento, implementación, y soporte técnico de una plataforma de gestión de servicios de tecnología de la información (ITSM) para la mesa de servicios de la Unidad de Planeación Minero Energética (UPME)</t>
  </si>
  <si>
    <t>130-77</t>
  </si>
  <si>
    <t>43212201;43233405</t>
  </si>
  <si>
    <t>130-77 Renovación de licenciamiento y soporte para escritorios virtuales</t>
  </si>
  <si>
    <t>130-78</t>
  </si>
  <si>
    <t>130-78 Adquisición del sistema operativo Windows 11, versión vigente y soportada por Microsoft para las escritorios virtuales</t>
  </si>
  <si>
    <t>130-79</t>
  </si>
  <si>
    <t>130-79 Actualizar y renovar el licenciamiento ESRI.</t>
  </si>
  <si>
    <t>130-80</t>
  </si>
  <si>
    <t>130-80 Adquirir el licenciamiento por suscripción para Plataforma de virtualización y almacenamiento en nube incluyendo la adquisición del hardware para Computación y Storage que soporta esta solución de Hiperconvergencia.</t>
  </si>
  <si>
    <t>Contratación régimen especial (con ofertas) - Régimen especial</t>
  </si>
  <si>
    <t>130-81</t>
  </si>
  <si>
    <t>130-81 Adquirir el licenciamiento por suscripción para Plataforma de virtualización y almacenamiento en nube incluyendo la adquisición del hardware para Computación y Storage que soporta esta solución de Hiperconvergencia.</t>
  </si>
  <si>
    <t>130-82</t>
  </si>
  <si>
    <t>130-82 Adquirir el licenciamiento por suscripción para Plataforma de virtualización y almacenamiento en nube incluyendo la adquisición del hardware para Computación y Storage que soporta esta solución de Hiperconvergencia.</t>
  </si>
  <si>
    <t>130-83</t>
  </si>
  <si>
    <t>130-83 Adquirir el licenciamiento por suscripción para Plataforma de virtualización y almacenamiento en nube incluyendo la adquisición del hardware para Computación y Storage que soporta esta solución de Hiperconvergencia.</t>
  </si>
  <si>
    <t>130-84</t>
  </si>
  <si>
    <t>130-84 Adquirir el licenciamiento por suscripción para Plataforma de virtualización y almacenamiento en nube incluyendo la adquisición del hardware para Computación y Storage que soporta esta solución de Hiperconvergencia.</t>
  </si>
  <si>
    <t>130-85</t>
  </si>
  <si>
    <t>130-85 Adquirir el licenciamiento por suscripción para Plataforma de virtualización y almacenamiento en nube incluyendo la adquisición del hardware para Computación y Storage que soporta esta solución de Hiperconvergencia.</t>
  </si>
  <si>
    <t>130-86</t>
  </si>
  <si>
    <t>130-86 Prestar servicios profesionales especializados para el diseño, planificación, ejecución, validación y documentación del proceso de migración de la infraestructura tecnológica on-premise actualmente operada por la UPME hacia el entorno de nube, incluyendo la configuración, implementación y puesta en operación del Plan de Recuperación ante Desastres (DRP) debidamente actualizado y probado, garantizando la continuidad operativa de los servicios, la seguridad, disponibilidad e integridad de la información, así como la entrega periódica de informes técnicos de avance, arquitectura y cumplimiento.</t>
  </si>
  <si>
    <t>130-87</t>
  </si>
  <si>
    <t>130-87 Prestar servicios profesionales para apoyar a la entidad en los procesos administrativos y en las actividades relacionadas con la atención y orientación al ciudadano.</t>
  </si>
  <si>
    <t>130-88</t>
  </si>
  <si>
    <t>130-88 Prestar servicios profesionales para apoyar a la entidad en los procesos administrativos y en las actividades relacionadas con la atención y orientación al ciudadano.</t>
  </si>
  <si>
    <t>130-89</t>
  </si>
  <si>
    <t>130-89 Prestar servicios profesionales para apoyar los procesos de provisión y selección de personal de la planta global y temporal de la Unidad de Planeación Minero Energética – UPME, de conformidad con la normatividad vigente y las necesidades institucionales</t>
  </si>
  <si>
    <t>130-90</t>
  </si>
  <si>
    <t>130-90 Prestar servicios profesionales para apoyar los procesos de provisión y selección de personal de la planta global y temporal de la Unidad de Planeación Minero Energética – UPME, de conformidad con la normatividad vigente y las necesidades institucionales</t>
  </si>
  <si>
    <t>130-91</t>
  </si>
  <si>
    <t>130-91 Prestar servicios profesionales para apoyar a la Oficina de Tecnologías de la Información, en el desarrollo y seguimiento de actividades administrativas, de planeación y coordinación con las diferentes áreas de la entidad, de acuerdo con las necesidades de la dependencia y los lineamientos institucionales.</t>
  </si>
  <si>
    <t>130-92</t>
  </si>
  <si>
    <t>130-92 Prestar servicios de apoyo a la gestión para el apoyo contable, financiero y presupuestal de los proyectos de inversión de la entidad, en especial el de la Oficina de Tecnologías de la Información para apoyar el seguimiento a la ejecución presupuestal y el cumplimiento de las obligaciones conforme a la normatividad vigente</t>
  </si>
  <si>
    <t>130-93</t>
  </si>
  <si>
    <t>130-93 Adquirir el servicio de licenciamiento de Office 365 usado en la entidad</t>
  </si>
  <si>
    <t>130-94</t>
  </si>
  <si>
    <t>130-94 Adquirir el servicio de licenciamiento de Office 365 usado en la entidad</t>
  </si>
  <si>
    <t>130-95</t>
  </si>
  <si>
    <t>130-95 Adquirir el servicio de nube para Backup y DRP</t>
  </si>
  <si>
    <t>130-96</t>
  </si>
  <si>
    <t>130-96 Adquirir el servicio de nube para Backup y DRP</t>
  </si>
  <si>
    <t>130-97</t>
  </si>
  <si>
    <t>130-97 Prestar servicios profesionales especializados en la administración y gestión integral de bases de datos, con el fin de asegurar la correcta implementación, mantenimiento, y optimización de las bases de datos que soportan las aplicaciones y portales web de la Entidad</t>
  </si>
  <si>
    <t>130-98</t>
  </si>
  <si>
    <t>130-98 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t>
  </si>
  <si>
    <t>130-99</t>
  </si>
  <si>
    <t>130-99 Adquirir el servicio de nube para Backup y DRP</t>
  </si>
  <si>
    <t>130-100</t>
  </si>
  <si>
    <t>43233415;43211501;81112003;71151107</t>
  </si>
  <si>
    <t>130-100 Adquirir el servicio de nube para Backup y DRP</t>
  </si>
  <si>
    <t>130-101</t>
  </si>
  <si>
    <t>45121518;43211612</t>
  </si>
  <si>
    <t>130-101 Adquirir suministros tecnológicos de discos duros, baterías para cámara, cargadores para baterías y tarjetas de memoria SD-SDXC, para suplir las necesidades de las áreas de la Upme.</t>
  </si>
  <si>
    <t>110-1</t>
  </si>
  <si>
    <t>110-1 Gastos de personal de los empleos de la planta temporal</t>
  </si>
  <si>
    <t>Katherin Perez</t>
  </si>
  <si>
    <t>Coordinador GIT Talento Humano</t>
  </si>
  <si>
    <t>110-2</t>
  </si>
  <si>
    <t>110-2 Prestar los servicios profesionales para el desarrollo de las actividades de apoyo jurídico de la Secretaría General</t>
  </si>
  <si>
    <t>Edith Chávez</t>
  </si>
  <si>
    <t>Coordinador GIT Contratación</t>
  </si>
  <si>
    <t>110-3</t>
  </si>
  <si>
    <t>110-3 Prestar los servicios profesionales para apoyar el seguimiento y control de la ejecución presupuestal y financiera de los recursos de funcionamiento e inversión asignados a la Secretaría General, así como brindar apoyo en la gestión de nómina de la UPME</t>
  </si>
  <si>
    <t>Hollman Corredor</t>
  </si>
  <si>
    <t>Coordinador GIT Financiera</t>
  </si>
  <si>
    <t>hollman.corredor@upme.gov.co</t>
  </si>
  <si>
    <t>110-4</t>
  </si>
  <si>
    <t>110-4 Prestar servicios profesionales especializados para apoyar la implementación, seguimiento y mejora del Sistema de Gestión de Seguridad y Salud en el Trabajo (SG-SST) de la Unidad de Planeación Minero Energética UPME, en cumplimiento de la normatividad vigente.</t>
  </si>
  <si>
    <t>110-5</t>
  </si>
  <si>
    <t>110-5 Prestar servicios profesionales orientados al fortalecimiento de la Dimensión de Control Interno mediante la ejecución del Plan Anual de Auditorías Internas Independientes, con énfasis en la evaluación de la gestión administrativa de la UPME.</t>
  </si>
  <si>
    <t>Diana María Jacome Carreño</t>
  </si>
  <si>
    <t>diana.jacome@upme.gov.co</t>
  </si>
  <si>
    <t>110-6</t>
  </si>
  <si>
    <t>110-6 Prestar servicios profesionales orientados al fortalecimiento de la Política Institucional de Control Interno a través de la ejecución del Plan Anual de Auditorías Internas Independientes, con énfasis en la evaluación de la gestión financiera de la UPME.</t>
  </si>
  <si>
    <t>110-7</t>
  </si>
  <si>
    <t>110-7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</si>
  <si>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110-8</t>
  </si>
  <si>
    <t>110-8 Prestar servicios profesionales para la proyección de documentos de contenido legal y apoyo de los asuntos de tipo jurídico y judicial de competencia la Oficina Asesora Jurídica de la UPME, en el marco de la gestión institucional de la Entidad.</t>
  </si>
  <si>
    <t>Jefe Oficina Jurídica</t>
  </si>
  <si>
    <t>110-9</t>
  </si>
  <si>
    <t>110-9 Prestar servicios profesionales para la proyección de documentos de contenido legal y apoyo de los asuntos de tipo jurídico y judicial de competencia la Oficina Asesora Jurídica de la UPME, en el marco de la gestión institucional de la Entidad.</t>
  </si>
  <si>
    <t>110-10</t>
  </si>
  <si>
    <t>110-10 Prestar servicios ​profesionales en asuntos jurídicos relacionados con los procesos ​y procedimientos administrativos y de planeación de competencia de la Oficina Asesora Jurídica de la UPME, en el marco de la gestión institucional de la Entidad.</t>
  </si>
  <si>
    <t>110-11</t>
  </si>
  <si>
    <t>110-11 Prestar servicios profesionales de asesoría estratégica a la Dirección General de la Unidad de Planeación Minero Energética UPME, orientados al fortalecimiento de la gestión pública y la gestión de atención al ciudadano, mediante la formulación de lineamientos, recomendaciones técnicas y acompañamiento especializado para la toma de decisiones, en concordancia con el MIPG, la normatividad vigente y los objetivos institucionales.</t>
  </si>
  <si>
    <t>Jenny Peña</t>
  </si>
  <si>
    <t>Coordinador GIT Administrativa</t>
  </si>
  <si>
    <t>110-12</t>
  </si>
  <si>
    <t>110-12 Prestar servicios de apoyo a la gestión documental de la Unidad de Planeación Minero Energética</t>
  </si>
  <si>
    <t>110-13</t>
  </si>
  <si>
    <t>110-13 Prestar servicios profesionales para apoyar la gestión del talento humano de la Unidad de Planeación Minero Energética UPME, mediante la elaboración, actualización y organización de documentos metodológicos, lineamientos e instrumentos técnicos asociados a los procesos de Gestión de Talento Humano, en concordancia con la normatividad vigente y los lineamientos institucionales.</t>
  </si>
  <si>
    <t>110-14</t>
  </si>
  <si>
    <t>110-14 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t>
  </si>
  <si>
    <t>110-15</t>
  </si>
  <si>
    <t>110-15 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t>
  </si>
  <si>
    <t>110-16</t>
  </si>
  <si>
    <t>110-16 Prestación de servicios profesionales especializados para apoyar el fortalecimiento de competencias técnicas para la planeación institucional y la configuración de entornos de aprendizaje e intercambio asociados a las prácticas y a la información sectorial de la UPME</t>
  </si>
  <si>
    <t>110-17</t>
  </si>
  <si>
    <t>110-17 Prestación de servicios profesionales en asesoria y apoyo jurídico para los planes transversales del Grupo Interno de Trabajo de Talento Humano de la entidad.</t>
  </si>
  <si>
    <t>110-18</t>
  </si>
  <si>
    <t>110-18 Prestar los servicios profesionales para asistir las actividades que fortalezcan la Gestión del Conocimiento por medio de la Dimensión del Talento Humano mediante la implementación de las políticas del Modelo Integrado de Planeación y Gestión MIPG, en especial la Política de Integridad y la Política de Gestión del Talento Humano.</t>
  </si>
  <si>
    <t>110-19</t>
  </si>
  <si>
    <t>110-19 Prestar los servicios profesionales para asistir y acompañar la gestión de la dimensión del Talento Humano, en su componente de selección, vinculación capacitación, gestión del Conocimiento, así como apoyar lo inherente a Evaluación de Desempeño, Evaluación de la Gestión Institucional y Acuerdos de Gestión.</t>
  </si>
  <si>
    <t>110-20</t>
  </si>
  <si>
    <t>110-20 Prestar servicios profesionales para adelantar los asuntos jurídicos derivados de la gestión de talento humano de la Unidad de Planeación Minero Energética.</t>
  </si>
  <si>
    <t>110-21</t>
  </si>
  <si>
    <t>110-21 Prestar servicios de apoyo técnico y administrativo a la Secretaría General y al Grupo Interno de Trabajo de Talento Humano de la UPME, en el desarrollo y ejecución de los procesos transversales del área, tales como gestión documental, actualización de bases de datos, seguimiento a actividades del plan de bienestar, inducción y reinducción, capacitaciones, seguridad y salud en el trabajo, así como demás actividades que se requieran para el cumplimiento de los objetivos institucionales en materia de gestión del talento humano.</t>
  </si>
  <si>
    <t>110-22</t>
  </si>
  <si>
    <t>110-22 Prestar servicios profesionales para apoyar la proyección, revisión y trámite de actos administrativos y demás actividades relacionadas con los procesos del área de talento humano de la UPME, conforme a los lineamientos de la entidad.</t>
  </si>
  <si>
    <t>110-23</t>
  </si>
  <si>
    <t>110-23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</si>
  <si>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110-24</t>
  </si>
  <si>
    <t>110-24 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t>
  </si>
  <si>
    <t>110-25</t>
  </si>
  <si>
    <t>110-25 Prestar servicios profesionales para apoyar la sustanciación y revisión de actos administrativos, respuestas a derechos de petición, conceptos y circulares adelantadas en la Secretaría General de la UPME.</t>
  </si>
  <si>
    <t>110-26</t>
  </si>
  <si>
    <t>110-26 Prestar servicios profesionales para apoyar la sustanciación y revisión de actos administrativos, respuestas a derechos de petición, conceptos y circulares adelantadas en la Secretaría General de la UPME.</t>
  </si>
  <si>
    <t>110-27</t>
  </si>
  <si>
    <t>110-27 Prestar servicios profesionales para apoyar la sustanciación y revisión de actos administrativos, respuestas a derechos de petición, conceptos y circulares adelantadas en la Secretaría General de la UPME.</t>
  </si>
  <si>
    <t>110-28</t>
  </si>
  <si>
    <t>110-28 Prestar servicios profesionales para apoyar la sustanciación y revisión de actos administrativos, respuestas a derechos de petición, conceptos, circulares; así como los procesos disciplinarios adelantados en la Secretaría General de la UPME</t>
  </si>
  <si>
    <t>110-29</t>
  </si>
  <si>
    <t>110-29 Prestar servicios de apoyo requeridos en gestión administrativa, documental, correspondencia y demás asuntos administrativos requeridos por la Upme.</t>
  </si>
  <si>
    <t>110-30</t>
  </si>
  <si>
    <t>110-30 Prestar los servicios profesionales para realizar y apoyar las diferentes actividades que fortalezcan la gestión del conocimiento por medio de la implementación de las políticas del Modelo Integrado de Planeación y Gestión MIPG y la política de Gestión del Talento Humano, en especial el programa de capacitación del Sistema de Gestión de Seguridad y Salud en el Trabajo de la UPME.</t>
  </si>
  <si>
    <t>110-31</t>
  </si>
  <si>
    <t>Adquisición de bienes y/o servicios (otros)</t>
  </si>
  <si>
    <t>110-31 Contratar los servicios profesionales requeridos para gestionar el desarrollo de actividades formativas y de actualización en el marco del Plan Institucional de Capacitación (PIC) de la vigencia 2026, dirigido a las servidoras/es públicos de la Upme.</t>
  </si>
  <si>
    <t>110-32</t>
  </si>
  <si>
    <t>110-32 Contratar la aplicación de la Batería de Instrumentos para la Evaluación de Factores de Riesgo Psicosocial a los servidores de la Unidad de Planeación Minero Energética – UPME, así como el desarrollo de las acciones de intervención derivadas de los resultados obtenidos, con el fin de promover el bienestar laboral y el mejoramiento de las condiciones psicosociales en la entidad.</t>
  </si>
  <si>
    <t>110-33</t>
  </si>
  <si>
    <t>110-33 Prestación de servicios profesionales especializados para apoyar el fortalecimiento de competencias técnicas para la planeación institucional y la configuración de entornos de aprendizaje e intercambio asociados a las prácticas y a la información sectorial de la UPME</t>
  </si>
  <si>
    <t>110-34</t>
  </si>
  <si>
    <t>110-34 Prestar servicios profesionales para la proyección de documentos de contenido legal y apoyo de los asuntos de tipo jurídico y judicial de competencia la Oficina Asesora Jurídica de la UPME, en el marco de la gestión institucional de la Entidad.</t>
  </si>
  <si>
    <t>110-35</t>
  </si>
  <si>
    <t>110-35 Prestar servicios profesionales para la proyección de documentos de contenido legal y apoyo de los asuntos de tipo jurídico y judicial de competencia la Oficina Asesora Jurídica de la UPME, en el marco de la gestión institucional de la Entidad.</t>
  </si>
  <si>
    <t>110-36</t>
  </si>
  <si>
    <t>110-36 Prestar servicios profesionales para apoyar la sustanciación de actos administrativos, respuestas a derechos de petición y circulares adelantadas en la Secretaría General de la UPME.</t>
  </si>
  <si>
    <t>110-37</t>
  </si>
  <si>
    <t>110-37 Prestar los servicios profesionales para la evaluación, validación y emisión de los conceptos técnicos y financieros de los proyectos energéticos presentados a los mecanismos y/o fondos para el acceso a recursos del sector minas y energía.</t>
  </si>
  <si>
    <t>110-38</t>
  </si>
  <si>
    <t>110-38 Prestar servicios profesionales de apoyo administrativo, incluyendo la organización y sistematización de la información, el control y seguimiento de entregables, así como la elaboración, generación y consolidación de informes y reportes institucionales de la Upme</t>
  </si>
  <si>
    <t>Fortalecimiento del sector en la planificación de la atención de la demanda energética nacional y la transición energética justa a nivel nacional</t>
  </si>
  <si>
    <t>160-1</t>
  </si>
  <si>
    <t>Mejorar la representatividad en la información de la participación de los sectores económicos en el consumo de energía.</t>
  </si>
  <si>
    <t>160-1 Prestar servicios profesionales para apoyar la construcción del componente de cambio climático, incluyendo la evaluación de emisiones de Gases de Efecto Invernadero, GEI,  el Balance Energético Colombiano, BECO, y los planes y programas que desarrolla la Subdirección de Demanda.</t>
  </si>
  <si>
    <t>Johanna Castellanos</t>
  </si>
  <si>
    <t>Subdirectora de Demanda</t>
  </si>
  <si>
    <t>johanna.castellanos@upme.gov.co</t>
  </si>
  <si>
    <t>160-2</t>
  </si>
  <si>
    <t>160-2 Prestar servicios profesionales para apoyar la definición, estructuración e implementación de la arquitectura de datos e información relacionada con los procesos de la Subdirección de Demanda, incluyendo actividades de analítica de datos mediante herramientas matemáticas y estadísticas. Asimismo, apoyar el desarrollo de prospectiva energética y articulación del equipo de datos de la Subdirección.</t>
  </si>
  <si>
    <t>160-3</t>
  </si>
  <si>
    <t>160-3 Prestar servicios profesionales para la asesoría y los análisis energéticos, así como prospectivos desarrollados para la Subdirección de Demanda, con énfasis en las cadenas de distribución de hidrocarburos, combustibles líquidos y gas, para fortalecer la planificación y la toma de decisiones sectoriales.</t>
  </si>
  <si>
    <t>160-4</t>
  </si>
  <si>
    <t>160-4 Prestar servicios profesionales para el diseño, evaluación y seguimiento de estrategias e instrumentos de eficiencia energética asociados con climatización y refrigeración y calor directo e indirecto, en los sectores residencial, terciario e industrial colombiano; en el marco de la Transición Energética Justa, TEJ.</t>
  </si>
  <si>
    <t>160-5</t>
  </si>
  <si>
    <t>160-5 Prestar servicios profesionales para apoyar la elaboración de estudios y el desarrollo de modelamiento para el Plan de Bioenergía, así como apoyar la elaboración de documentos de planeación y adelantar las gestiones asociadas al hidrógeno, en el marco de la Transición Energética Justa (TEJ).</t>
  </si>
  <si>
    <t>160-6</t>
  </si>
  <si>
    <t>160-6 Prestar servicios profesionales para apoyar la definición de líneas base y meta de eficiencia energética del sector transporte y apoyar la construcción de modelos computacionales enfocados en la predicción del comportamiento del sector transporte, como insumos para el PEN y la actualización del PAI PROURE 2026; en el marco de la Transición Energética Justa, TEJ.</t>
  </si>
  <si>
    <t>160-7</t>
  </si>
  <si>
    <t>160-7 Prestar servicios profesionales para apoyar la determinación de las líneas base y meta de eficiencia energética de la oferta y transformación de energía a partir de estudios, iniciativas y proyectos de GEE, así como la gestión y acompañamiento tecnico de los planes priorizados por la Subdirección de Demanda, en el marco de la Transición Energética Justa, TEJ.</t>
  </si>
  <si>
    <t>160-8</t>
  </si>
  <si>
    <t>Desarrollar la capacidad instalada en la planificación estratégica de la atención de la demanda.</t>
  </si>
  <si>
    <t>160-8 Prestar servicios profesionales para desarrollar y actualizar modelos de optimización para la transición de la demanda y la oferta de energía en el marco de los planes de la Subdirección de Demanda, a partir de buenas prácticas de modelamiento empleadas a nivel internacional, así como asesorar y apoyar la elaboración de documentos de planeación, en el marco de la Transición Energética Justa (TEJ).</t>
  </si>
  <si>
    <t>160-9</t>
  </si>
  <si>
    <t>160-9 Prestar servicios profesionales para la construcción de modelos matemáticos y de analítica de datos, así como la elaboración y divulgación de documentos de planeación, en el marco de la Transición Energética Justa, TEJ.</t>
  </si>
  <si>
    <t>160-10</t>
  </si>
  <si>
    <t>160-10 Prestar servicios profesionales para el desarrollo del Plan de Bioenergía Nacional, apoyando la identificación y análisis de aspectos tecnológicos, económicos, sociales, regulatorios y ambientales para la conceptualización de los documentos estratégicos que desarrolla la Subdirección de Demanda, incluyendo el Plan Energético Nacional, y brindando soporte técnico, analítico y de coordinación en las etapas de formulación del Plan Nacional de Bioenergía de Colombia 2025, asegurando su alineación con las políticas nacionales de desarrollo sostenible y la Transición Energética Justa (TEJ).</t>
  </si>
  <si>
    <t>160-11</t>
  </si>
  <si>
    <t>160-11 Prestar servicios profesionales para apoyar el análisis de los planes y demás iniciativas priorizadas por la Subdirección de Demanda, así como apoyar la elaboración de documentos de planeación, en particular aquellos relacionados con evaluaciones económicas y de beneficio–costo, en el marco de la Transición Energética Justa del país.</t>
  </si>
  <si>
    <t>160-12</t>
  </si>
  <si>
    <t>160-12 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t>
  </si>
  <si>
    <t>160-13</t>
  </si>
  <si>
    <t>160-13 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t>
  </si>
  <si>
    <t>160-14</t>
  </si>
  <si>
    <t>Fomentar la articulación de la política pública, el marco regulatorio y la visión de gobierno.</t>
  </si>
  <si>
    <t>160-14 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t>
  </si>
  <si>
    <t>160-15</t>
  </si>
  <si>
    <t>160-15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</si>
  <si>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160-16</t>
  </si>
  <si>
    <t>160-16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</si>
  <si>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160-17</t>
  </si>
  <si>
    <t>160-17 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t>
  </si>
  <si>
    <t>160-18</t>
  </si>
  <si>
    <t>160-18 Prestar servicios profesionales para la recopilación, sistematización y centralización de información relacionada con la bioenergía en Colombia, con el propósito de fortalecer la gestión, el análisis y la disponibilidad de datos del equipo de Nuevos Energéticos, en apoyo a las acciones de planeación y desarrollo del sector energético nacional.</t>
  </si>
  <si>
    <t>160-19</t>
  </si>
  <si>
    <t>160-19 Prestar servicios de apoyo a la gestión  para brindar soporte análisis de modelos de optimización y datos aplicados al sector energético, así como apoyar las actividades relacionadas con el procesamiento de la información, generación de resultados e indicadores que contribuyan a la toma de decisiones y al fortalecimiento de los procesos misionales dentro de la subdirección de demanda.</t>
  </si>
  <si>
    <t>160-20</t>
  </si>
  <si>
    <t>160-20 Prestar servicios profesionales para la elaboración, análisis, actualización del Balance Energético Colombiano (BECO), mediante la recolección, depuración y análisis de información energética y económica, la construcción y  el desarrollo de análisis cuantitativos y cualitativos, y la elaboración de insumos técnicos.</t>
  </si>
  <si>
    <t>160-21</t>
  </si>
  <si>
    <t>160-21 Prestar servicios profesionales para el análisis de información energética, contribuyendo a  la elaboración de estudios, reportes e indicadores.</t>
  </si>
  <si>
    <t>160-22</t>
  </si>
  <si>
    <t xml:space="preserve">160-22 Prestar servicios profesionales para brindar soporte técnico y regulatorio especializado para la elaboración de documentos de recomendaciones, análisis de impacto normativo y soporte estratégico en la formulación del Plan Energético Nacional (PEN) y los planes  de la Subdirección de Demanda en el marco de la transición energética justa (TEJ)						</t>
  </si>
  <si>
    <t>160-23</t>
  </si>
  <si>
    <t>160-23 Prestar servicios profesionales para apoyar el desarrollo, mantenimiento y actualización de sistemas de información geográfica, mediante la gestión, modelamiento y administración de información espacial. Así mismo, apoyar el diseño e implementación de servicios geográficos y aplicaciones web geoespaciales que permitan la visualización, análisis y uso eficiente de la información territorial, en apoyo a los procesos y necesidades misionales de la entidad.</t>
  </si>
  <si>
    <t>160-24</t>
  </si>
  <si>
    <t>160-24 Prestar servicios profesionales para apoyar la identificación, análisis y evaluación de potenciales, metas y medidas de eficiencia energética en los sectores residencial y terciario en Colombia, como insumos técnicos para la actualización y desarrollo del PAI y el PROURE, en el marco de la Transición Energética Justa – TEJ.</t>
  </si>
  <si>
    <t>160-25</t>
  </si>
  <si>
    <t>160-25 Prestar servicios de apoyo a la gestión para la conceptualización e incorporación de variables socioambientales en la construcción de escenarios energéticos, mediante el levantamiento, procesamiento y análisis de datos, así como el apoyo a la articulación técnica e interinstitucional de documentos de planeación de la Subdirección de Demanda, en el marco de la TEJ.</t>
  </si>
  <si>
    <t>160-26</t>
  </si>
  <si>
    <t>160-26 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t>
  </si>
  <si>
    <t>160-27</t>
  </si>
  <si>
    <t>160-27 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t>
  </si>
  <si>
    <t>160-28</t>
  </si>
  <si>
    <t>160-28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</si>
  <si>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160-29</t>
  </si>
  <si>
    <t>160-29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</si>
  <si>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160-30</t>
  </si>
  <si>
    <t>160-30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</si>
  <si>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160-31</t>
  </si>
  <si>
    <t>160-31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</si>
  <si>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160-32</t>
  </si>
  <si>
    <t>160-32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</si>
  <si>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160-33</t>
  </si>
  <si>
    <t>160-33 Prestar servicios profesionales para la construcción de modelos matemáticos y de analítica de datos, así como la elaboración y divulgación de documentos de planeación, en el marco de la Transición Energética Justa, TEJ.</t>
  </si>
  <si>
    <t>160-34</t>
  </si>
  <si>
    <t>160-34 Prestar servicios profesionales para el diseño, desarrollo, mantenimiento y despliegue de aplicaciones web que soporten los planes, estudios, documentos técnicos y productos desarrollados por la Subdirección de Demanda. Así mismo, apoyar la implementación de soluciones tecnológicas que faciliten la gestión, análisis, visualización y difusión de la información asociada a los procesos de la Subdirección de Demanda, garantizando la calidad, continuidad y adecuado funcionamiento de los sistemas de información, en articulación con los equipos técnicos y funcionales de la entidad.</t>
  </si>
  <si>
    <t>160-35</t>
  </si>
  <si>
    <t>160-35 Prestar servicios profesionales en análisis de datos energéticos para el BECO, incluyendo la revisión y aseguramiento de la calidad de la información, la creación de documentos técnicos, el apoyo en procesos de certificación y la elaboración de estadísticas, contribuyendo al análisis económico y la toma de decisiones estratégicas de la entidad.</t>
  </si>
  <si>
    <t>160-36</t>
  </si>
  <si>
    <t>160-36 Prestar servicios profesionales para el análisis de información energética, contribuyendo a  la elaboración de estudios, reportes e indicadores.</t>
  </si>
  <si>
    <t>160-37</t>
  </si>
  <si>
    <t>160-37 Prestar servicios profesionales para brindar soporte técnico, jurídico y regulatorio en la Subdirección de Demanda, mediante el análisis de información y evaluación de impactos normativos que apoyen la formulación de planes y la toma de decisiones estratégicas.</t>
  </si>
  <si>
    <t>160-38</t>
  </si>
  <si>
    <t>160-38 Prestar servicios profesionales para apoyar la definición de líneas base y meta de eficiencia como insumos para el PEN y la actualización del PAI PROURE 2026, mediante el análisis de información del sector transporte con énfasis en los modos fluvial, férreo, marítimo y aéreo, el desarrollo de modelos computacionales de predicción del comportamiento del sector y el soporte técnico a las medidas de eficiencia energética priorizadas; en el marco de la Transición Energética Justa, TEJ.</t>
  </si>
  <si>
    <t>160-39</t>
  </si>
  <si>
    <t>160-39 Prestar servicios profesionales para apoyar la identificación, análisis y evaluación de potenciales, metas y medidas de eficiencia energética en la producción y transporte de hidrocarburos y minerales y termoeléctricas en Colombia, como insumos técnicos para la actualización y desarrollo del PAI y el PROURE, en el marco de la Transición Energética Justa – TEJ.</t>
  </si>
  <si>
    <t>160-40</t>
  </si>
  <si>
    <t>160-40 Prestar servicios profesionales para proponer modelos basados en optimización  y proyección de escenarios para la transición de la demanda y la oferta de energía en el marco de los planes de la subdirección de demanda, a partir de buenas prácticas de modelamiento empleadas a nivel internacional, en el marco de la Transición Energética Justa</t>
  </si>
  <si>
    <t>160-41</t>
  </si>
  <si>
    <t>160-41 Prestar servicios profesionales para apoyar la gestión, administración y optimización de la información de la Subdirección de Demanda, mediante el diseño, implementación y mantenimiento de bases de datos y flujos de datos que garanticen la disponibilidad, calidad y trazabilidad de la información. Así mismo, apoyar la integración de información proveniente de las diferentes dependencias de la entidad, actuando como enlace técnico para la adecuada articulación y fortalecimiento de los procesos de gestión de información asociados a la Subdirección de Demanda.</t>
  </si>
  <si>
    <t>160-42</t>
  </si>
  <si>
    <t>160-42 Prestar servicios profesionales como Diseñador de Interfaz Gráfica (UI) para la presentación de datos, mediante la creación y desarrollo de elementos visuales e interactivos que garanticen funcionalidad, claridad y coherencia gráfica, conforme a los lineamientos institucionales.</t>
  </si>
  <si>
    <t>160-43</t>
  </si>
  <si>
    <t>160-43 Prestar servicios profesionales para apoyar la realización de la caracterización geográfica nacional de la distribución de hidrocarburos a nivel municipal y regional.</t>
  </si>
  <si>
    <t>160-44</t>
  </si>
  <si>
    <t>160-44 Prestar servicios profesionales para realizar el seguimiento en las actividades asociadas a la Evaluación de Incentivos Tributarios y apoyo a la supervisión de los contratos relacionados con el trámite de Incentivos.</t>
  </si>
  <si>
    <t>160-45</t>
  </si>
  <si>
    <t>160-45 Prestar servicios profesionales para la evaluación de inversiones en proyectos de Gestión Eficiente de la Energía, aplicando criterios técnicos y metodologías usadas en servicios de interventoría, a las solicitudes de incentivos tributarios de la UPME, así como la validación documental, evaluación técnica y elaboración de recomendaciones sobre el avance en la implementación de las medidas de eficiencia energética reportadas a la UPME por las entidades públicas, en cumplimiento de lo dispuesto en el artículo 237 de la Ley 2294 de 2023 — Plan Nacional de Desarrollo 2022–2026.</t>
  </si>
  <si>
    <t>160-46</t>
  </si>
  <si>
    <t xml:space="preserve">160-46 Prestar servicios profesionales para el desarrollo de las actividades  de gestión de la información en la Subdirección de Demanda, incluyendo, diseño, actualizacion y mantenimiento  de bases de datos.						</t>
  </si>
  <si>
    <t>160-47</t>
  </si>
  <si>
    <t>160-47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</si>
  <si>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160-48</t>
  </si>
  <si>
    <t>160-48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</si>
  <si>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160-49</t>
  </si>
  <si>
    <t>160-49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</si>
  <si>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160-50</t>
  </si>
  <si>
    <t>160-50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</si>
  <si>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160-51</t>
  </si>
  <si>
    <t>160-51 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t>
  </si>
  <si>
    <t>160-52</t>
  </si>
  <si>
    <t>160-52 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t>
  </si>
  <si>
    <t>160-53</t>
  </si>
  <si>
    <t>160-53 Prestar servicios profesionales en el desarrollo de las actuaciones administrativas de la Entidad, mediante el análisis normativo, la proyección de respuestas a PQR´s  contribuyendo al cumplimiento de las funciones misionales y al fortalecimiento de la gestión institucional.</t>
  </si>
  <si>
    <t>160-54</t>
  </si>
  <si>
    <t>160-54 Prestar servicios profesionales para las actividades de free press de la Unidad de Planeación Minero Energética- UPME, con énfasis en la estrategia de articulación intra e intersectorial para la planificación del desarrollo minero-energético.</t>
  </si>
  <si>
    <t>160-55</t>
  </si>
  <si>
    <t>160-55 Prestar servicios profesionales en derecho para apoyar la gestión jurídica de la UPME, mediante la asesoría y acompañamiento en la sustanciación de procesos administrativos y contractuales, la elaboración y revisión de conceptos jurídicos, la revisión de actos administrativos, y la emisión de recomendaciones para garantizar el cumplimiento de la normativa vigente y los lineamientos institucionales de la Entidad</t>
  </si>
  <si>
    <t>160-56</t>
  </si>
  <si>
    <t>160-56 Prestar servicios profesionales a nivel jurídico en materia laboral y de gestión del talento humano a la UPME, orientados al acompañamiento de los procesos administrativos, conforme a la normatividad vigente y los lineamientos institucionales.</t>
  </si>
  <si>
    <t>160-57</t>
  </si>
  <si>
    <t>160-57 Prestar servicios profesionales a nivel jurídico en materia laboral y de gestión del talento humano a la UPME, orientados al acompañamiento de los procesos administrativos, conforme a la normatividad vigente y los lineamientos institucionales.</t>
  </si>
  <si>
    <t>160-58</t>
  </si>
  <si>
    <t>160-58 Prestar servicios profesionales a nivel jurídico en materia laboral y de gestión del talento humano a la UPME, orientados al acompañamiento de los procesos administrativos, conforme a la normatividad vigente y los lineamientos institucionales.</t>
  </si>
  <si>
    <t>160-59</t>
  </si>
  <si>
    <t>160-59 Adquirir el licenciamiento por suscripción para Plataforma de virtualización y almacenamiento en nube incluyendo la adquisición del hardware para Computación y Storage que soporta esta solución de Hiperconvergencia.</t>
  </si>
  <si>
    <t>160-60</t>
  </si>
  <si>
    <t>160-60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</si>
  <si>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160-61</t>
  </si>
  <si>
    <t>160-61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</si>
  <si>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160-62</t>
  </si>
  <si>
    <t>160-62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</si>
  <si>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160-63</t>
  </si>
  <si>
    <t>160-63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</si>
  <si>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160-64</t>
  </si>
  <si>
    <t>160-64 Adquirir los servicios necesarios para garantizar el desplazamiento de servidores públicos y contratistas de la UPME a los eventos y espacios institucionales de planeación minero energética.</t>
  </si>
  <si>
    <t>160-65</t>
  </si>
  <si>
    <t>160-65 Viáticos o gastos de desplazamiento</t>
  </si>
  <si>
    <t>160-66</t>
  </si>
  <si>
    <t>160-66 Viáticos o gastos de desplazamiento</t>
  </si>
  <si>
    <t>Si</t>
  </si>
  <si>
    <t>160-67</t>
  </si>
  <si>
    <t>160-67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</si>
  <si>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160-68</t>
  </si>
  <si>
    <t>160-68 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t>
  </si>
  <si>
    <t>160-69</t>
  </si>
  <si>
    <t>160-69 Prestar servicios profesionales para brindar soporte integral a las actividades jurídicas de la UPME, mediante la elaboración, revisión y análisis de conceptos jurídicos, la atención de requerimientos y recursos administrativos, y el acompañamiento en actuaciones jurídicas, conforme a las disposiciones legales vigentes.</t>
  </si>
  <si>
    <t>160-70</t>
  </si>
  <si>
    <t>160-70 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t>
  </si>
  <si>
    <t>160-71</t>
  </si>
  <si>
    <t>160-71 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t>
  </si>
  <si>
    <t>160-72</t>
  </si>
  <si>
    <t>160-72 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t>
  </si>
  <si>
    <t>160-73</t>
  </si>
  <si>
    <t>160-73 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t>
  </si>
  <si>
    <t>160-74</t>
  </si>
  <si>
    <t>160-74  Prestar servicios profesionales para la evaluación técnica y documental de proyectos de Fuentes No Convencionales de Energía y Gestión Eficiente de la Energía, en el marco del trámite de incentivos tributarios adelantado por la UPME, conforme a la normativa vigente.</t>
  </si>
  <si>
    <t>160-75</t>
  </si>
  <si>
    <t>160-75 Prestar servicios profesionales para la evaluación técnica y documental de proyectos de Fuentes No Convencionales de Energía y Gestión Eficiente de la Energía, en el marco del trámite de incentivos tributarios adelantado por la UPME, conforme a la normativa vigente.</t>
  </si>
  <si>
    <t>160-76</t>
  </si>
  <si>
    <t>160-76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</si>
  <si>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Fortalecimiento de la planeación para reducir las limitaciones en la prestación del servicio de energía eléctrica y la atención plena de la demanda nacional.</t>
  </si>
  <si>
    <t>150-1</t>
  </si>
  <si>
    <t>Aumentar señales de expansión y cobertura del servicio de energía eléctrica.</t>
  </si>
  <si>
    <t>150-1 Prestar servicios profesionales para adelantar la gestión contractual de la Subdirección de Energía Eléctrica y de la entidad, en asocio con el GIT de Gestión Contractual.</t>
  </si>
  <si>
    <t>Solicitadas</t>
  </si>
  <si>
    <t>Guillermo Holguin Garcia</t>
  </si>
  <si>
    <t>Subdirector de Energía Eléctrica</t>
  </si>
  <si>
    <t>guillermo.holguin@upme.gov.co</t>
  </si>
  <si>
    <t>150-10</t>
  </si>
  <si>
    <t>150-10 Prestar servicios profesionales para la proyección de documentos de contenido legal y apoyo de los asuntos de tipo jurídico que resulten de las actuaciones administrativas de competencia de la UPME, en el marco de la gestión institucional de la Entidad.</t>
  </si>
  <si>
    <t>150-100</t>
  </si>
  <si>
    <t>Aumentar la oportunidad en la definición de obras y ejecución de los procesos de convocatorias.</t>
  </si>
  <si>
    <t>150-100 Brindar servicios profesionales de asesoría en asuntos jurídicos y regulatorios a la Subdirección de Energía Eléctrica, en el marco de los procedimientos y actuaciones que adelante</t>
  </si>
  <si>
    <t>150-101</t>
  </si>
  <si>
    <t>150-101 Prestar servicios profesionales de diagramación de documentos, diseño y diagramación de datos, creación de piezas para canales digitales de la UPME y necesidades generales de diseño en el área de comunicaciones</t>
  </si>
  <si>
    <t>150-102</t>
  </si>
  <si>
    <t>150-102 Prestar servicios profesionales para la creación, producción y gestión de contenidos digitales, audiovisuales y editoriales, en alineación con el Plan Estratégico de Comunicaciones de la UPME</t>
  </si>
  <si>
    <t>150-103</t>
  </si>
  <si>
    <t>150-103 Prestar servicios profesionales para apoyar el seguimiento de proyectos de inversión, mediante la consolidación de la información y la elaboración de los reportes correspondientes en la herramienta de seguimiento, el reporte de avance de los planes institucionales.</t>
  </si>
  <si>
    <t>Radicado 20261500021643</t>
  </si>
  <si>
    <t>150-104</t>
  </si>
  <si>
    <t>150-104 Prestar servicios profesionales para la proyección de documentos de contenido legal y apoyo de los asuntos de tipo jurídico que resulten de las actuaciones administrativas de competencia de la Subdirección de energía Eléctrica.</t>
  </si>
  <si>
    <t>150-105</t>
  </si>
  <si>
    <t>150-105 Prestar servicios profesionales para hacer seguimiento técnico a la ejecución de los proyectos del Sistema de Transmisión Nacional y Regional, desarrollados mediante el mecanismo de convocatoria pública y sus ampliaciones.</t>
  </si>
  <si>
    <t>150-106</t>
  </si>
  <si>
    <t>150-106 Prestar servicios profesionales para la elaboración de documentos legales y el apoyo a los asuntos jurídicos derivados de las actuaciones administrativas de la UPME.</t>
  </si>
  <si>
    <t>150-107</t>
  </si>
  <si>
    <t>150-107 Prestar servicios profesionales para la elaboración de documentos jurídicos de la UPME.</t>
  </si>
  <si>
    <t>Radicado 202601500059273</t>
  </si>
  <si>
    <t>150-108</t>
  </si>
  <si>
    <t>150-108  Adquirir equipos de cómputo para la Subdirección de Energía Eléctrica</t>
  </si>
  <si>
    <t xml:space="preserve">Junio </t>
  </si>
  <si>
    <t>150-109</t>
  </si>
  <si>
    <t>Servicio de asistencia Técnica</t>
  </si>
  <si>
    <t>150-109 Prestar servicios profesionales para adelantar el análisis y procesamiento de la información técnica relacionada con el desarrollo y la ejecución de los proyectos de transmisión objeto de convocatoria pública en la etapa de ejecución.</t>
  </si>
  <si>
    <t>150-11</t>
  </si>
  <si>
    <t>150-11 Prestar servicios profesionales para la proyección de documentos de contenido legal y apoyo de los asuntos de tipo jurídico que resulten de las actuaciones administrativas de competencia de la UPME, en el marco de la gestión institucional de la Entidad.</t>
  </si>
  <si>
    <t>150-110</t>
  </si>
  <si>
    <t>150-110 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t>
  </si>
  <si>
    <t>150-111</t>
  </si>
  <si>
    <t>150-111 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t>
  </si>
  <si>
    <t>150-112</t>
  </si>
  <si>
    <t>150-112 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t>
  </si>
  <si>
    <t>150-113</t>
  </si>
  <si>
    <t>150-113 Prestar servicios profesionales para el apoyo en la elaboración de documentos y en el procesamiento de la información, de las convocatorias públicas y de ampliación de los proyectos de transmisión nacional y regional, y demás proyectos en ejecución asignados.</t>
  </si>
  <si>
    <t>150-114</t>
  </si>
  <si>
    <t>150-114 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</si>
  <si>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150-115</t>
  </si>
  <si>
    <t xml:space="preserve">150-115 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	</t>
  </si>
  <si>
    <t>150-116</t>
  </si>
  <si>
    <t>150-116 Prestar servicios profesionales para apoyar el análisis y revisión de información socioambiental de los proyectos de transmisión nacional y regional en ejecución, así como los análisis de posibilidades y condicionantes en etapas de planeación, estructuración y ejecución.</t>
  </si>
  <si>
    <t>150-117</t>
  </si>
  <si>
    <t>150-117 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t>
  </si>
  <si>
    <t>150-118</t>
  </si>
  <si>
    <t>150-118 Prestación de servicios profesionales para apoyar la elaboración de documentos y el procesamiento de información asociados a las convocatorias públicas.</t>
  </si>
  <si>
    <t>150-119</t>
  </si>
  <si>
    <t>150-119 Adquirir servicios en la nube para la implementación de un lago de datos institucional que permita la consolidación, integración, centralización, acceso y exposición de la información de la UPME, incluyendo la asociada a electromovilidad.</t>
  </si>
  <si>
    <t xml:space="preserve"> Seléccion abreviada - acuerdo marco</t>
  </si>
  <si>
    <t>150-12</t>
  </si>
  <si>
    <t>150-12 Prestar servicios profesionales para la proyección de documentos de contenido legal y apoyo de los asuntos de tipo jurídico que resulten de las actuaciones administrativas de competencia de la UPME, en el marco de la gestión institucional de la Entidad.</t>
  </si>
  <si>
    <t>150-2</t>
  </si>
  <si>
    <t>150-2 Prestar servicios profesionales a la Subdirección de Energía Eléctrica en el proceso, verificación y cumplimiento de requisitos legales y asuntos jurídicos misionales.</t>
  </si>
  <si>
    <t>150-13</t>
  </si>
  <si>
    <t>150-13 Prestar servicios profesionales para la proyección de documentos de contenido legal y apoyo de los asuntos de tipo jurídico que resulten de las actuaciones administrativas de competencia de la UPME, en el marco de la gestión institucional de la Entidad.</t>
  </si>
  <si>
    <t>150-14</t>
  </si>
  <si>
    <t>150-14 Prestar servicios profesionales para la proyección de documentos de contenido legal y apoyo de los asuntos de tipo jurídico que resulten de las actuaciones administrativas de competencia de la UPME, en el marco de la gestión institucional de la Entidad.</t>
  </si>
  <si>
    <t>150-15</t>
  </si>
  <si>
    <t>150-15 Prestar servicios profesionales para la proyección de documentos de contenido legal y apoyo de los asuntos de tipo jurídico que resulten de las actuaciones administrativas de competencia de la UPME, en el marco de la gestión institucional de la Entidad.</t>
  </si>
  <si>
    <t>150-16</t>
  </si>
  <si>
    <t>150-16 Prestar servicios ​de apoyo a la gestión en las labores administrativas relacionadas con los procesos ​y procedimientos a cargo de la Oficina Asesora Jurídica, para el logro de los objetivos institucionales de la UPME​.</t>
  </si>
  <si>
    <t>150-17</t>
  </si>
  <si>
    <t>150-17 Prestar servicios de apoyo a la gestión para garantizar el cumplimiento de requisitos legales y la oportuna resolución de las peticiones, quejas y reclamos interpuestos ante la Subdirección de Energía Eléctrica en el marco de sus competencias</t>
  </si>
  <si>
    <t>150-18</t>
  </si>
  <si>
    <t>150-18 Asesorar jurídicamente a la Subdirección de Energía Eléctrica en el proceso, verificación y cumplimiento de requisitos legales de las solicitudes de asignación de capacidad de transporte, respuestas asociadas y atención de acciones de carácter jurídico, en lo relacionado con la aplicación de la Resolución CREG 075 de 2021 y procedimientos relacionados con la expansión del sistema eléctrico.</t>
  </si>
  <si>
    <t>150-19</t>
  </si>
  <si>
    <t>150-19 Brindar asesoría jurídica a la Subdirección de Energía Eléctrica en el proceso de verificación y cumplimiento de los requisitos legales relacionados con la subdirección, así como en la elaboración de respuestas y la atención de actuaciones de carácter jurídico, en el marco de la aplicación de las diferentes Resoluciones expedidas por la CREG, la UPME y el Ministerio de Minas y Energía, así como de los demás procedimientos asociados a la subdirección de energía eléctrica</t>
  </si>
  <si>
    <t>150-20</t>
  </si>
  <si>
    <t>150-20 Prestar los servicios profesionales para realizar el seguimiento y control de la planeación estratégica de la Subdirección de Energía Eléctrica, gestión de resultados, procesos contractuales, ejecución presupuestal, sistema de gestión de la calidad y seguimiento a la gestión documental de los procesos de transmisión, generación, convocatorias y cobertura.</t>
  </si>
  <si>
    <t>150-21</t>
  </si>
  <si>
    <t>150-21 Prestar los servicios profesionales para realizar el seguimiento y control de los procesos contractuales, la ejecución presupuestal y demás actividades que se requieran para el cumplimiento de las metas y objetivos de la Subdirección de Energía Eléctrica, asociados a las iniciativas y proyectos de transmisión, generación, convocatorias y cobertura.</t>
  </si>
  <si>
    <t>150-22</t>
  </si>
  <si>
    <t>150-22 Prestación de servicios de apoyo a la mesa de ayuda de los procesos que se llevan a cabo en la plataforma Bizagi, así como el procesamiento y resolución de peticiones, quejas y reclamos que se alleguen en el marco de las actividades desarrolladas por la Subdirección de Energía Eléctrica.</t>
  </si>
  <si>
    <t>150-23</t>
  </si>
  <si>
    <t>150-23 Prestación de servicios profesionales en la atención de requerimientos externos e internos asociados a la gestión de información sobre la ejecución de los procesos de expansión del Sistema Interconectado Nacional, la aprobación de conexión de proyectos en el STN y STR y, la asignación de capacidad de transporte, en el marco de las actividades desarrolladas por la Subdirección de Energía Eléctrica.</t>
  </si>
  <si>
    <t>150-24</t>
  </si>
  <si>
    <t>150-24 Brindar asesoría jurídica a la Subdirección de Energía Eléctrica en el proceso de verificación y cumplimiento de los requisitos legales relacionados con las solicitudes de generación, cobertura, convocatorias y transmisión, así como en la elaboración de respuestas y la atención de actuaciones de carácter jurídico y regulatorio, en el marco de la aplicación de las diferentes Resoluciones expedidas por la CREG, la UPME y el Ministerio de Minas y Energía</t>
  </si>
  <si>
    <t>150-25</t>
  </si>
  <si>
    <t>150-25 Prestar servicios profesionales para realizar soporte y adecuación del BIZZAGI, apoyando los procesos de transmisión en la mesa de ayuda.</t>
  </si>
  <si>
    <t>150-26</t>
  </si>
  <si>
    <t>150-26 Realizar el soporte, adecuación, mantenimiento y desarrollo de las automatizaciones de procesos en BIZAGI y de los sistemas que soportan la operación de la Subdirección de Energía Eléctrica.</t>
  </si>
  <si>
    <t>150-27</t>
  </si>
  <si>
    <t>150-27 Prestar servicios profesionales para la realización de acopio, organización y análisis de la información presentada a la Unidad por las distintas entidades y agentes para la obtención de estadísticas e indicadores que contribuyan a la universalización del servicio de energía eléctrica en el territorio nacional.</t>
  </si>
  <si>
    <t>150-28</t>
  </si>
  <si>
    <t>150-28 Prestar servicios profesionales para realizar la compilación, verificación, análisis y gestión de la información relacionada con los procesos de cobertura del servicio de energía eléctrica, y apoyar la estimación del índice de cobertura ICEE y los análisis de soluciones.</t>
  </si>
  <si>
    <t>150-29</t>
  </si>
  <si>
    <t>150-29 Prestar servicios profesionales para la realización de acopio, organización, validación y análisis de la información geográfica presentada a la Unidad para la elaboración del Plan Indicativo de Expansión de Cobertura de Energía Eléctrica – PIEC y para la obtención del certificado que debe emitir UPME en relación con los Planes de Expansión de Cobertura de los Operadores de Red.</t>
  </si>
  <si>
    <t>150-3</t>
  </si>
  <si>
    <t>150-3 Prestar servicios profesionales de diagramación de documentos, diseño y diagramación de datos, creación de piezas para canales digitales de la UPME y necesidades generales de diseño en el área de comunicaciones.</t>
  </si>
  <si>
    <t>150-30</t>
  </si>
  <si>
    <t>150-30 Prestar servicios profesionales para apoyar la estructuración de bases de datos de los procesos de cobertura, el control de calidad de la información, los análisis de ampliación de la cobertura, el mejoramiento de los geoprocesos y las solicitudes de los operadores de red.</t>
  </si>
  <si>
    <t>150-31</t>
  </si>
  <si>
    <t>150-31 Prestar servicios profesionales orientados al fortalecimiento de la Dimensión de Control Interno mediante la ejecución del Plan Anual de Auditorías Internas Independientes, con énfasis en la evaluación de la gestión administrativa de la UPME.</t>
  </si>
  <si>
    <t>150-32</t>
  </si>
  <si>
    <t>150-32 Prestar servicios profesionales orientados al fortalecimiento de la Dimensión de Control Interno mediante la ejecución del Plan Anual de Auditorías Internas Independientes, con énfasis en la evaluación de la gestión administrativa de la UPME.</t>
  </si>
  <si>
    <t>150-33</t>
  </si>
  <si>
    <t>150-33 Prestar servicios profesionales orientados al fortalecimiento de la Dimensión de Control Interno mediante la ejecución del Plan Anual de Auditorías Internas Independientes, con énfasis en la evaluación de la gestión administrativa de la UPME.</t>
  </si>
  <si>
    <t>150-34</t>
  </si>
  <si>
    <t>150-34 Prestar los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</si>
  <si>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150-35</t>
  </si>
  <si>
    <t>150-35 Prestar servicios profesionales para adelantar el análisis y procesamiento de la información técnica relacionada con el desarrollo y la ejecución de los proyectos de transmisión objeto de convocatoria pública en la etapa de ejecución.</t>
  </si>
  <si>
    <t>150-36</t>
  </si>
  <si>
    <t>150-36 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t>
  </si>
  <si>
    <t>150-37</t>
  </si>
  <si>
    <t>150-37 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t>
  </si>
  <si>
    <t>150-38</t>
  </si>
  <si>
    <t>150-38 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t>
  </si>
  <si>
    <t>150-39</t>
  </si>
  <si>
    <t>150-39 Prestar servicios profesionales para el apoyo en la elaboración de documentos y en el procesamiento de la información, de las convocatorias públicas y de ampliación de los proyectos de transmisión nacional y regional, y demás proyectos en ejecución asignados.</t>
  </si>
  <si>
    <t>150-4</t>
  </si>
  <si>
    <t>150-4 Prestar servicios profesionales para la proyección y/o revisión jurídica de los documentos de tipo legal producto de las actuaciones administrativas de competencia de la UPME, y lo que de ello se derive, en el marco de la gestión institucional de la Entidad.</t>
  </si>
  <si>
    <t>150-40</t>
  </si>
  <si>
    <t>150-40 Prestar sus servicios profesionales para adelantar el análisis y procesamiento de la información técnica relacionada con el desarrollo y la ejecución de los proyectos de transmisión objeto de convocatoria pública en la etapa de ejecución.</t>
  </si>
  <si>
    <t>150-41</t>
  </si>
  <si>
    <t>150-41 Prestar servicios profesionales para apoyar a la subdirección de energía eléctrica, dentro del marco regulatorio de la planeación del SIN, el seguimiento y control de la ejecución de la planeación estratégica, así como de las iniciativas de cooperación internacional mediante la atención y procesamiento de solicitudes de grupos y actores internos y externos</t>
  </si>
  <si>
    <t>150-42</t>
  </si>
  <si>
    <t>150-42 Prestar servicios profesionales para apoyar en el seguimiento a la ejecución de los proyectos del sistema de transmisión nacional y regional, ejecutados mediante convocatoria pública y ampliaciones. Apoyar en la estructuración de los DSI de los proyectos ejecutados mediante el mecanismo de convocatoria pública.</t>
  </si>
  <si>
    <t>150-43</t>
  </si>
  <si>
    <t>150-43 Prestar servicios profesionales para el apoyo en la estructuración de los DSI de los proyectos ejecutados mediante el mecanismo de convocatoria pública, así como el seguimiento al componente ambiental y social de los proyectos del sistema de transmisión nacional y regional que le sean asignados</t>
  </si>
  <si>
    <t>150-44</t>
  </si>
  <si>
    <t>150-44 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</si>
  <si>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150-45</t>
  </si>
  <si>
    <t>150-45 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t>
  </si>
  <si>
    <t>150-46</t>
  </si>
  <si>
    <t>150-46 Prestar servicios profesionales para apoyar el análisis y revisión de información socioambiental de los proyectos de transmisión nacional y regional en ejecución, así como los análisis de posibilidades y condicionantes en etapas de planeación, estructuración y ejecución.</t>
  </si>
  <si>
    <t>150-47</t>
  </si>
  <si>
    <t>150-47 Prestación de servicios profesionales para apoyar la elaboración de documentos y el procesamiento de información relacionados con las convocatorias públicas y de ampliación de proyectos de transmisión a nivel nacional y regional</t>
  </si>
  <si>
    <t>150-48</t>
  </si>
  <si>
    <t>150-48 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t>
  </si>
  <si>
    <t>150-49</t>
  </si>
  <si>
    <t>150-49 Prestación de servicios profesionales para el procesamiento de los datos derivados de los procesos internos en la subdirección de energía eléctrica, así como el mantenimiento y gestión de las herramientas para las estadísticas e indicadores de seguimiento.</t>
  </si>
  <si>
    <t>150-5</t>
  </si>
  <si>
    <t>150-5 Prestar servicios profesionales para la proyección y/o revisión jurídica de los documentos de tipo legal producto de las actuaciones administrativas de competencia de la UPME, y lo que de ello se derive, en el marco de la gestión institucional de la Entidad.</t>
  </si>
  <si>
    <t>150-50</t>
  </si>
  <si>
    <t>150-50 Prestar servicios profesionales para apoyar el modelamiento y la simulación de escenarios requeridos, para la elaboración del Plan Indicativo de Expansión de la Generación, así como apoyar el seguimiento de proyectos y la elaboración de documentos en el marco de las actividades del grupo de generación de la Subdirección de Energía Eléctrica.</t>
  </si>
  <si>
    <t>150-51</t>
  </si>
  <si>
    <t>150-51 Prestar los servicios profesionales para apoyar el Plan Indicativo de Expansión de Generación, así como apoyar el seguimiento y proyectos que se lleven en el marco de las actividades del grupo de generación de la Subdirección de Energía Eléctrica.</t>
  </si>
  <si>
    <t>150-52</t>
  </si>
  <si>
    <t>150-52 Prestar los servicios profesionales  para analizar, procesar y presentar resultados estableciendo estándares, políticas y procesos que determinen el uso, desarrollo y gestión de los datos que se generen en el marco de los análisis que realice la Subdirección de Energía Eléctrica.</t>
  </si>
  <si>
    <t>150-53</t>
  </si>
  <si>
    <t>150-53 Prestar los servicios profesionales para apoyar la actualización de las herramientas ofimáticas del grupo de generación y cobertura, así como participar de los análisis para el plan de generación y las evaluaciones de los registros de proyectos de generación.</t>
  </si>
  <si>
    <t>150-54</t>
  </si>
  <si>
    <t>150-54 Prestar servicios profesionales para el apoyo técnico en la evaluación, análisis y procesamiento de las solicitudes de conexión a las redes de transmisión nacional, regional y de distribución, mediante la aplicación de metodologías y criterios técnicos de análisis eléctrico, así como la elaboración y emisión de conceptos técnicos asociados a la asignación de capacidad de conexión.</t>
  </si>
  <si>
    <t>150-55</t>
  </si>
  <si>
    <t>150-55 Prestación de servicios profesionales para apoyar la elaboración de documentos y el procesamiento de información asociados a las convocatorias públicas.</t>
  </si>
  <si>
    <t>150-56</t>
  </si>
  <si>
    <t>150-56 Prestación de servicios profesionales para apoyar el análisis energético de largo plazo en el marco de la formulación del Plan de Expansión de Generación.</t>
  </si>
  <si>
    <t>150-57</t>
  </si>
  <si>
    <t>150-57 Prestar servicios profesionales para realizar el seguimiento a la ejecución de los proyectos de nivel de tensión IV que corresponde a la UPME y a los procedimientos asociados, y apoyar los análisis, evaluaciones y conceptos sobre las solicitudes de asignación de capacidad.</t>
  </si>
  <si>
    <t>150-58</t>
  </si>
  <si>
    <t>150-58 Prestar servicios profesionales para apoyar el análisis de las solicitudes de asignación de capacidad de proyectos de generación y usuarios finales, procesar la información requerida por los modelos y participar del proceso de verificación de requisitos y seguimiento a los proyectos.</t>
  </si>
  <si>
    <t>150-59</t>
  </si>
  <si>
    <t>150-59 Prestar servicios profesionales para proporcionar servicios profesionales para realizar el análisis y procesamiento de solicitudes de los agentes interesados en conectarse a la red nacional, regional y de distribución, incluyendo la evaluación de solicitudes de aprobación de Unidades Constructivas de nivel de tensión IV remitidas por los distintos transportadores; así como también brindar apoyo a los procedimientos asociado al grupo interno de trabajo de transmisión.</t>
  </si>
  <si>
    <t>150-6</t>
  </si>
  <si>
    <t>150-6 Prestar servicios profesionales para la proyección y/o revisión jurídica de los documentos de tipo legal producto de las actuaciones administrativas de competencia de la UPME, y lo que de ello se derive, en el marco de la gestión institucional de la Entidad.</t>
  </si>
  <si>
    <t>150-60</t>
  </si>
  <si>
    <t>150-60 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apoyar la evaluación de solicitudes de asignación de capacidad de transporte de proyectos de generación y usuarios finales según la resolución CREG 075 de 2021.</t>
  </si>
  <si>
    <t>150-61</t>
  </si>
  <si>
    <t>150-61 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conceptos sobre las solicitudes de asignación de capacidad.</t>
  </si>
  <si>
    <t>150-62</t>
  </si>
  <si>
    <t>150-62 Prestar los servicios profesionales para apoyar el seguimiento el seguimiento a la ejecución de los proyectos de nivel de tensión iv que corresponde a la UPME y las solicitudes de conexión según la resolución CREG 075 de 2021 , así como los procedimientos asociados al grupo interno de trabajo de transmisión.</t>
  </si>
  <si>
    <t>150-63</t>
  </si>
  <si>
    <t>150-63 Prestar los servicios profesionales para apoyar el análisis y procesamiento de solicitudes de los agentes interesados en conectarse a la red nacional, regional y de distribución, conforme a las disposiciones de la Resolución CREG 075 y a los procedimientos asociados al grupo interno de trabajo de transmisión.</t>
  </si>
  <si>
    <t>150-64</t>
  </si>
  <si>
    <t>150-64 Prestar los servicios profesionales para participar en el análisis, procesamiento , evaluación técnico - económica  y respuesta a solicitudes asociadas a proyectos de agentes interesados en conectarse a la red  del Sistema Interconectado Nacional - SIN, así como de las relacionadas con el seguimiento, la conceptualización, aprobación  y/o modificación de planes y obras de expansión del SIN.</t>
  </si>
  <si>
    <t>150-65</t>
  </si>
  <si>
    <t>150-65 Prestar sus servicios profesionales para participar en el análisis de la expansión y las solicitudes de asignación de capacidad de proyectos de generación y usuarios finales, procesar la información requerida por los modelos y participar en la gestión de la plataforma de la ventanilla única.</t>
  </si>
  <si>
    <t>150-66</t>
  </si>
  <si>
    <t>150-66 Prestar los servicios profesionales para apoyar el análisis y la evaluación técnico–económica de las solicitudes presentadas por los agentes interesados en la conexión de proyectos al Sistema Interconectado Nacional – SIN, así como en el seguimiento, conceptualización, revisión y formulación de conceptos técnicos relacionados con la aprobación o modificación de los planes y obras de expansión del SIN, en el marco de la normativa vigente y las directrices establecidas por la Entidad.</t>
  </si>
  <si>
    <t>150-67</t>
  </si>
  <si>
    <t>150-67 Viáticos o gastos de desplazamiento</t>
  </si>
  <si>
    <t>Radicado 20261500003343</t>
  </si>
  <si>
    <t>150-68</t>
  </si>
  <si>
    <t>150-68 Adquirir los servicios necesarios para garantizar el desplazamiento de servidores públicos y contratistas de la UPME a los eventos y espacios institucionales de planeación minero energética.</t>
  </si>
  <si>
    <t>150-69</t>
  </si>
  <si>
    <t>150-69 Adquirir servicio de renovación del licenciamiento de los modelos SDDP y OPTGEN, el cual incluye soporte y mantenimiento para las licencias durante la vigencia del servicio, así como la adquisición del servicio de ejecución remota PSR Cloud.</t>
  </si>
  <si>
    <t>Septiembre</t>
  </si>
  <si>
    <t>Contratación directa  - único oferente</t>
  </si>
  <si>
    <t>150-7</t>
  </si>
  <si>
    <t>150-7 Prestar servicios profesionales para la proyección y/o revisión jurídica de los documentos de tipo legal producto de las actuaciones administrativas de competencia de la UPME, y lo que de ello se derive, en el marco de la gestión institucional de la Entidad.</t>
  </si>
  <si>
    <t>150-70</t>
  </si>
  <si>
    <t>150-70 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t>
  </si>
  <si>
    <t>150-71</t>
  </si>
  <si>
    <t>150-71 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t>
  </si>
  <si>
    <t>150-72</t>
  </si>
  <si>
    <t>150-72 Gastos de personal de los empleos de la planta temporal</t>
  </si>
  <si>
    <t>150-73</t>
  </si>
  <si>
    <t>150-73 Adquirir el licenciamiento por suscripción para Plataforma de virtualización y almacenamiento en nube incluyendo la adquisición del hardware para Computación y Storage que soporta esta solución de Hiperconvergencia.</t>
  </si>
  <si>
    <t>150-74</t>
  </si>
  <si>
    <t>150-74 Adquirir el licenciamiento por suscripción para Plataforma de virtualización y almacenamiento en nube incluyendo la adquisición del hardware para Computación y Storage que soporta esta solución de Hiperconvergencia.</t>
  </si>
  <si>
    <t>150-75</t>
  </si>
  <si>
    <t>150-75 Gastos de personal de los empleos de la planta temporal</t>
  </si>
  <si>
    <t>150-76</t>
  </si>
  <si>
    <t>150-76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</si>
  <si>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150-77</t>
  </si>
  <si>
    <t>150-77 Prestar servicios profesionales para apoyar y fortalecer la gestión del talento humano de la Unidad de Planeación Minero Energética – UPME, mediante el desarrollo de actividades orientadas a la provisión de vacantes, los procesos de vinculación e inducción de los servidores públicos, y el seguimiento a la ejecución de los planes de talento humano, en el marco de las acciones institucionales adelantadas para mejorar la planeación y la gestión del sector energético nacional.</t>
  </si>
  <si>
    <t>150-78</t>
  </si>
  <si>
    <t>150-78 Prestar los servicios profesionales para apoyar y gestionar las actividades orientadas al fortalecimiento del proceso de atención al ciudadano, así como garantizando la adecuada implementación, seguimiento y evaluación de la política de participación ciudadana de la Unidad de Planeación Minero Energética – UPME.</t>
  </si>
  <si>
    <t>150-79</t>
  </si>
  <si>
    <t>150-79 Prestar servicios de apoyo en la etapa precontractual y contractual, en el marco de la gestión administrativa y los procesos internos de la UPME.</t>
  </si>
  <si>
    <t>150-8</t>
  </si>
  <si>
    <t>150-8 Prestar servicios ​profesionales en asuntos jurídicos relacionados con los procesos ​y procedimientos de competencia de la Oficina Asesora Jurídica de la UPME, en el marco de la gestión institucional de la Entidad.</t>
  </si>
  <si>
    <t>150-80</t>
  </si>
  <si>
    <t>150-80 Prestar los servicios profesionales de apoyo al Grupo Interno de Trabajo de Gestión del Talento Humano de la UPME, en el fortalecimiento de los procesos de bienestar, desarrollo del talento humano y acompañamiento a la gestión de previsión de vacantes, en el marco de la planeación de la futura planta temporal de la entidad.</t>
  </si>
  <si>
    <t>150-81</t>
  </si>
  <si>
    <t>150-81 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t>
  </si>
  <si>
    <t>150-82</t>
  </si>
  <si>
    <t>150-82 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t>
  </si>
  <si>
    <t>150-83</t>
  </si>
  <si>
    <t xml:space="preserve">150-83 Prestar servicios profesionales para la proyección de documentos de contenido legal y apoyo de los asuntos de tipo jurídico que resulten de las actuaciones administrativas de competencia de la Subdirección de Energía Eléctrica. </t>
  </si>
  <si>
    <t>150-84</t>
  </si>
  <si>
    <t xml:space="preserve">150-84 Prestar servicios profesionales para efectuar el seguimiento del componente social de los proyectos definidos en el plan de expansión que son objeto de convocatoria pública. </t>
  </si>
  <si>
    <t>150-85</t>
  </si>
  <si>
    <t>150-85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</si>
  <si>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150-86</t>
  </si>
  <si>
    <t>150-86 Prestar los servicios profesionales para la implementación y mantenimiento del Programa de Transparencia y Ética Pública (PTEP) y fortalecer la Política de Rendición de Cuentas, la Política de Participación Ciudadana en la Gestión y la Política de Servicio al Ciudadano en la UPME</t>
  </si>
  <si>
    <t>150-87</t>
  </si>
  <si>
    <t>150-87 Prestar servicios de apoyo profesional en la recopilación, organización y creación de contenido como insumos informativos, bases de datos, formatos y contenidos preliminares requeridos para el desarrollo de las estrategias de comunicación externa e interna de la Unidad, la producción de piezas digitales y la gestión operativa de los canales institucionales en concordancia con los lineamientos del Plan de Comunicaciones de la UPME y la Dirección General</t>
  </si>
  <si>
    <t>150-88</t>
  </si>
  <si>
    <t>150-88 Prestar servicios profesionales para apoyar el análisis y procesamiento de solicitudes de conexión de los agentes a las redes nacional, regional y de distribución, de conformidad con la Resolución CREG 075.</t>
  </si>
  <si>
    <t>150-89</t>
  </si>
  <si>
    <t>150-89 Prestación de servicios profesionales para la elaboración de documentos y el procesamiento de la información de las convocatorias públicas de los proyectos de transmisión nacional y regional.</t>
  </si>
  <si>
    <t>150-9</t>
  </si>
  <si>
    <t>150-9 Prestar servicios profesionales para la proyección de documentos de contenido legal y apoyo de los asuntos de tipo jurídico que resulten de las actuaciones administrativas de competencia de la UPME, en el marco de la gestión institucional de la Entidad.</t>
  </si>
  <si>
    <t>150-90</t>
  </si>
  <si>
    <t>150-90 Prestar servicios profesionales para participar en el análisis de la expansión y de las solicitudes de asignación de capacidad de proyectos de generación y usuarios finales, así como en el procesamiento de la información requerida por los modelos y en la gestión de la plataforma de la Ventanilla Única</t>
  </si>
  <si>
    <t>150-91</t>
  </si>
  <si>
    <t>150-91 Brindar servicios de apoyo profesional en la creación y diseño de productos gráficos innovadores para contenido digital e impreso, con el fin de contribuir a la gestión de la comunicación interna y externa de la UPME</t>
  </si>
  <si>
    <t>150-92</t>
  </si>
  <si>
    <t>150-92 Prestar servicios profesionales para la proyección de documentos de contenido legal y apoyo de los asuntos de tipo jurídico que resulten de las actuaciones administrativas de competencia de la UPME, en el marco de la gestión institucional de la Entidad.</t>
  </si>
  <si>
    <t>150-93</t>
  </si>
  <si>
    <t>150-93 Prestar servicios profesionales para la proyección de documentos de contenido legal y apoyo de los asuntos de tipo jurídico que resulten de las actuaciones administrativas de competencia de la UPME, en el marco de la gestión institucional de la Entidad.</t>
  </si>
  <si>
    <t>150-94</t>
  </si>
  <si>
    <t xml:space="preserve">150-94 Adquirir el licenciamiento por suscripción para Plataforma de virtualización y almacenamiento en nube incluyendo la adquisición del hardware para Computación y Storage que soporta esta solución de Hiperconvergencia.						</t>
  </si>
  <si>
    <t>150-95</t>
  </si>
  <si>
    <t>150-95 Adquirir equipos de cómputo para la Subdirección de Energía Eléctrica</t>
  </si>
  <si>
    <t>150-96</t>
  </si>
  <si>
    <t>150-96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</si>
  <si>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150-97</t>
  </si>
  <si>
    <t>150-97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</si>
  <si>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150-98</t>
  </si>
  <si>
    <t>150-98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</si>
  <si>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150-99</t>
  </si>
  <si>
    <t>150-99 Brindar servicios profesionales de asesoría en asuntos jurídicos y regulatorios a la Subdirección de Energía Eléctrica, en el marco de los procedimientos y actuaciones que adelante</t>
  </si>
  <si>
    <t>Implementación de una solución integral para el acceso a los datos y a la información oportuna y de calidad del sector minero energético a nivel nacional</t>
  </si>
  <si>
    <t>131-1</t>
  </si>
  <si>
    <t>Fortalecer la implementación de la política de gobierno de datos y gestión de información del sector minero energético.</t>
  </si>
  <si>
    <t>131-1 Prestación de servicios profesionales para la construcción e implementación de los lineamientos sectoriales e institucionales en materia de gobierno de datos y gestión de información, considerando el marco normativo vigente.</t>
  </si>
  <si>
    <t>Guillermo Holguin</t>
  </si>
  <si>
    <t>Subdirector de Gestión de la Información</t>
  </si>
  <si>
    <t>131-2</t>
  </si>
  <si>
    <t>131-2 Prestación de servicios de apoyo a la gestión para el seguimiento, estructuración y tramitación de las gestiones y metas presupuestales asociadas a la entidad, con especial énfasis en la Subdirección de Gestión de la Información y su proyecto de inversión.</t>
  </si>
  <si>
    <t>131-3</t>
  </si>
  <si>
    <t>131-3 Prestación servicios profesionales para la documentación y actualización de los lineamientos de gobierno de datos y la metodología de gestión de la información, así como para brindar el apoyo administrativo en el seguimiento y control de las metas de la Subdirección de Gestión de la Información.</t>
  </si>
  <si>
    <t>131-4</t>
  </si>
  <si>
    <t>131-4 Prestación de servicios profesionales orientados a la gestión de proyectos asociados al Plan Estratégico de Tecnologías de la Información y a otros instrumentos de planeación de la Subdirección de Gestión de la Información</t>
  </si>
  <si>
    <t>131-5</t>
  </si>
  <si>
    <t>131-5 Prestación de servicios de apoyo a la gestión para desarrollar la documentación integral del sistema de gestión de datos y brindar apoyo técnico en la implementación y actualización de la política de gobierno de datos y la metodología de gestión de información, tanto para la UPME como para el sector minero energético.</t>
  </si>
  <si>
    <t>131-6</t>
  </si>
  <si>
    <t>131-6 Prestación de servicios profesionales para actualizar y fortalecer el documento de gestión de información sectorial, incluyendo la revisión, actualización e implementación de metodologías y políticas de gobierno de datos, alineados con las necesidades del sector minero energético y los estándares de la UPME.</t>
  </si>
  <si>
    <t>131-7</t>
  </si>
  <si>
    <t>131-7 Prestación de servicios profesionales para apoyar el fortalecimiento e implementación del Marco de Referencia de Arquitectura Empresarial en la Unidad de Planeación Minero Energética</t>
  </si>
  <si>
    <t>131-8</t>
  </si>
  <si>
    <t>131-8 Prestar apoyo en la elaboración, actualización de los procesos, procedimientos y documentación en el marco de la Modernización de Procesos de la Entidad</t>
  </si>
  <si>
    <t>131-9</t>
  </si>
  <si>
    <t>131-9 Prestación de servicios profesionales para la construcción e implementación de los lineamientos sectoriales e institucionales en materia de gobierno de datos y gestión de información, considerando el marco normativo vigente.</t>
  </si>
  <si>
    <t>131-10</t>
  </si>
  <si>
    <t>131-10 Prestación de servicios profesionales para diseñar, documentar e implementar arquitecturas de datos robustas, escalables y seguras, incluyendo el modelo conceptual, lógico y físico que procure la integración de las diferentes fuentes de información que requiera la entidad.</t>
  </si>
  <si>
    <t>131-11</t>
  </si>
  <si>
    <t>131-11Adquirir servicios en la nube para la implementación de un lago de datos institucional que permita la consolidación, integración, centralización, acceso y exposición de la información de la UPME, incluyendo la asociada a electromovilidad.</t>
  </si>
  <si>
    <t>131-12</t>
  </si>
  <si>
    <t>131-12 Adquirir el licenciamiento de las herramientas colaborativas en nube para la UPME</t>
  </si>
  <si>
    <t>131-13</t>
  </si>
  <si>
    <t>131-13 Prestación de servicios de apoyo a la gestión para el diseño, documentación e implementación de la arquitectura de integración y flujos de información sectoriales, garantizando la interoperabilidad entre los sistemas de información de la UPME y la coherencia con los lineamientos de gobierno de datos y gestión de la información.</t>
  </si>
  <si>
    <t>131-14</t>
  </si>
  <si>
    <t>131-14 Prestación de servicios de apoyo a la gestión orientados al despliegue de microservicios y arquitecturas distribuidas, así como a la contribución en la integración e interoperabilidad de la información requerida por la entidad.</t>
  </si>
  <si>
    <t>131-15</t>
  </si>
  <si>
    <t>131-15 Prestación de servicios de apoyo a la gestión para la recolección y procesamiento de material audiovisual requerido para los sistemas de información y las comunicaciones institucionales</t>
  </si>
  <si>
    <t>131-16</t>
  </si>
  <si>
    <t>131-16 Prestación de servicios profesionales para apoyar la gestión, actualización y visualización de información geográfica, siguiendo los lineamientos técnicos definidos por la entidad.</t>
  </si>
  <si>
    <t>131-17</t>
  </si>
  <si>
    <t>131-17 Prestación de servicios de apoyo a la gestión para la creación de contenido digital asociado a los sistemas de información y las comunicaciones institucionales.</t>
  </si>
  <si>
    <t>131-18</t>
  </si>
  <si>
    <t>131-18 Prestación de servicios profesionales para el fortalecimiento de las comunicaciones y divulgación de los sistemas de información institucionales.</t>
  </si>
  <si>
    <t>131-19</t>
  </si>
  <si>
    <t>Mejorar la calidad de la información producida por el sector minero energético.</t>
  </si>
  <si>
    <t>131-19 Prestación de servicios profesionales para la formulación e implementación de los lineamientos estadísticos sectoriales e institucionales orientados a la consolidación de planes y estrategias para el fortalecimiento y certificación de la información estadística, así como el acompañamiento técnico y metodológico de las mesas estadísticas con participación de la UPME.</t>
  </si>
  <si>
    <t>131-20</t>
  </si>
  <si>
    <t>131-20 Prestación de servicios profesionales orientados al fortalecimiento de la política MIPG de Gestión de Información Estadística, así como al mejoramiento continuo de registros administrativos y operaciones estadísticas.</t>
  </si>
  <si>
    <t>131-21</t>
  </si>
  <si>
    <t>131-21 Prestar los servicios profesionales en el proceso de gestión documental en la implementación del Plan Institucional de Archivos – PINAR y en la gestión de los recursos bibliográficos a través de la biblioteca digital de la UPME para vigencia 2026.</t>
  </si>
  <si>
    <t>131-22</t>
  </si>
  <si>
    <t>131-22 Adquirir servicios en la nube para la implementación de un lago de datos institucional que permita la consolidación, integración, centralización, acceso y exposición de la información de la UPME, incluyendo la asociada a electromovilidad.</t>
  </si>
  <si>
    <t>131-23</t>
  </si>
  <si>
    <t>131-23 Prestación de servicios profesionales orientados a definir, estructurar y apoyar la implementación de modelos de analítica de datos e inteligencia artificial que permitan identificar patrones, tendencias y correlaciones significativas, utilizando herramientas estadísticas, de analítica y de visualización.</t>
  </si>
  <si>
    <t>131-24</t>
  </si>
  <si>
    <t>131-24 Adquirir servicios en la nube para la implementación de un lago de datos institucional que permita la consolidación, integración, centralización, acceso y exposición de la información de la UPME, incluyendo la asociada a electromovilidad.</t>
  </si>
  <si>
    <t>131-25</t>
  </si>
  <si>
    <t>131-25 Prestación de servicios profesionales orientados a definir, desarrollar e implementar productos de interés sectorial a partir de la utilización de analítica de datos, que permita contribuir en el fortalecimiento de los sistemas de información de este sector.</t>
  </si>
  <si>
    <t>131-26</t>
  </si>
  <si>
    <t>131-26 Prestación de servicios profesionales orientados a definir, desarrollar e implementar herramientas de analítica y visualización de datos de interés sectorial, con especial énfasis en las variables del sector hidrocarburos, así como a contribuir en el fortalecimiento de los sistemas de información de este sector.</t>
  </si>
  <si>
    <t>131-27</t>
  </si>
  <si>
    <t>131-27 Prestación de servicios profesionales para el apoyo en la implementación efectiva de políticas y procedimientos adaptados para el cumplimiento del régimen de protección de datos personales</t>
  </si>
  <si>
    <t>131-28</t>
  </si>
  <si>
    <t>131-28 Prestación de servicios profesionales orientados a definir, estructurar, implementar y gestionar la carga y manejo de datos para el desarrollo de modelos de analítica de datos aplicados al sector minero energético, garantizando la identificación de patrones, tendencias y correlaciones significativas utilizando herramientas estadísticas, de analítica y de visualización.</t>
  </si>
  <si>
    <t>131-29</t>
  </si>
  <si>
    <t>131-29 Prestación de servicios profesionales orientados a la realización de labores de analítica de datos para las principales variables del sector minero energético, garantizando calidad en los datos.</t>
  </si>
  <si>
    <t>131-30</t>
  </si>
  <si>
    <t>131-30 Prestación de servicios profesionales orientados a la realización de analítica de datos y modelos para las principales variables del sector minero energético, garantizando la identificación de patrones, tendencias y correlaciones significativas utilizando herramientas estadísticas, de analítica y de visualización.</t>
  </si>
  <si>
    <t>131-31</t>
  </si>
  <si>
    <t>131-31 Prestación de servicios profesionales para diseñar, documentar y mantener la arquitectura de datos institucional, incluyendo modelos conceptuales, lógicos y físicos, así como la implementación de interoperabilidades y del Data Warehouse/Data Lake, asegurando la consistencia, integridad, trazabilidad y gobernanza de la información proveniente de fuentes sectoriales y corporativas.</t>
  </si>
  <si>
    <t>131-32</t>
  </si>
  <si>
    <t>131-32 Prestación de servicios profesionales para la recopilación, análisis, depuración y reporte de datos y planes minerenergéticos, con especial énfasis en variables hidrocarburíferas a nivel nacional e internacional.</t>
  </si>
  <si>
    <t>131-33</t>
  </si>
  <si>
    <t>131-33 Prestación de servicios profesionales para la gestión de procesos contractuales asociados al proyecto de inversión ejecutado por la Subdirección de Gestión de la Información, así como al ciclo de formulación, seguimiento y reporte de los instrumentos de planeación institucionales.</t>
  </si>
  <si>
    <t>131-34</t>
  </si>
  <si>
    <t>131-34 Prestación de servicios profesionales para la proyección oportuna y eficiente de los actos administrativos y memorandos de la Subdirección de Gestión de la Información, así como para el apoyo en la gestión contractual y documental de la dependencia y el seguimiento de metas institucionales.</t>
  </si>
  <si>
    <t>131-35</t>
  </si>
  <si>
    <t>131-35 Adquirir el licenciamiento por suscripción para Plataforma de virtualización y almacenamiento en nube incluyendo la adquisición del hardware para Computación y Storage que soporta esta solución de Hiperconvergencia.</t>
  </si>
  <si>
    <t xml:space="preserve">Contratación régimen especial (con ofertas)  - Régimen especial </t>
  </si>
  <si>
    <t>131-36</t>
  </si>
  <si>
    <t>131-36 Adquirir servicios en la nube para la implementación de un lago de datos institucional que permita la consolidación, integración, centralización, acceso y exposición de la información de la UPME, incluyendo la asociada a electromovilidad.</t>
  </si>
  <si>
    <t>131-37</t>
  </si>
  <si>
    <t>Implementar una adecuada estrategia de comunicación y divulgación de la información del sector minero energético.</t>
  </si>
  <si>
    <t>131-37 Prestación de servicios profesionales para el diseño, desarrollo e implementación de mejoras y requerimientos en los portales institucionales, la Intranet y las aplicaciones web de la UPME, asegurando la planeación, coordinación y articulación con las áreas internas y demás actores involucrados, con el fin de garantizar la coherencia técnica, visual y funcional de los sistemas digitales administrados por la Subdirección de Gestión de la Información.</t>
  </si>
  <si>
    <t>131-38</t>
  </si>
  <si>
    <t>131-38 Prestación de servicios profesionales para el desarrollo, actualización, integración y mantenimiento de los portales institucionales, sistemas de información y aplicaciones web de la UPME, incorporando componentes de backend, servicios API y estructuras de datos que fortalezcan su interoperabilidad, accesibilidad y sostenibilidad tecnológica, conforme a los lineamientos técnicos y normativos de la entidad.</t>
  </si>
  <si>
    <t>131-39</t>
  </si>
  <si>
    <t>131-39 Adquirir servicios en la nube para la implementación de un lago de datos institucional que permita la consolidación, integración, centralización, acceso y exposición de la información de la UPME, incluyendo la asociada a electromovilidad.</t>
  </si>
  <si>
    <t>131-40</t>
  </si>
  <si>
    <t>131-40 Adquirir servicios en la nube para la implementación de un lago de datos institucional que permita la consolidación, integración, centralización, acceso y exposición de la información de la UPME, incluyendo la asociada a electromovilidad.</t>
  </si>
  <si>
    <t>131-41</t>
  </si>
  <si>
    <t>131-41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t>
  </si>
  <si>
    <t>131-42</t>
  </si>
  <si>
    <t>131-42 Prestación de servicios profesionales para el diseño, desarrollo, mantenimiento y optimización de los portales institucionales, micrositios y sistemas de información administrados por la UPME, garantizando la calidad técnica, la interoperabilidad y la adecuada experiencia de usuario, conforme a los estándares tecnológicos y lineamientos institucionales, incluyendo el aplicativo Centro de Monitoreo 6GW+.</t>
  </si>
  <si>
    <t>131-43</t>
  </si>
  <si>
    <t>131-43 Prestación de servicios profesionales para la actualización, mantenimiento y desarrollo de visores geográficos, así como el fortalecimiento del Geoportal Sectorial, la implementación de dashboards considerando especialmente las variables que integren y analicen información territorial, ambiental y variables de potencial interés para el sector minero energético.</t>
  </si>
  <si>
    <t>131-44</t>
  </si>
  <si>
    <t>131-44 Prestación de servicios de apoyo a la gestión para el análisis, integración y modelamiento de información geoespacial relacionada con la generación de energía a partir de fuentes no convencionales y renovables (FNCER), apoyando la planeación energética mediante la aplicación de herramientas de Sistemas de Información Geográfica (SIG), modelación territorial y análisis espacial.</t>
  </si>
  <si>
    <t>131-45</t>
  </si>
  <si>
    <t>131-45 Prestación de servicios profesionales para el diseño gráfico, la creación de interfaces de usuario (UI/UX), la estructuración y maquetación visual de los portales institucionales, micrositios, sistemas de información, la Intranet y demás aplicaciones web desarrolladas por la UPME, garantizando la coherencia visual, la accesibilidad y la aplicación de la línea gráfica institucional definida por la Subdirección de Gestión de la Información.</t>
  </si>
  <si>
    <t>131-46</t>
  </si>
  <si>
    <t>131-46 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t>
  </si>
  <si>
    <t>131-47</t>
  </si>
  <si>
    <t>131-47 Prestación de servicios profesionales para el diseño, estructuración y desarrollo visual de los portales institucionales, la Intranet y demás productos digitales de la UPME, aplicando principios de experiencia de usuario (UX/UI), accesibilidad y usabilidad, en coherencia con la identidad visual sectorial y los lineamientos técnicos definidos por la Subdirección de Gestión de la Información.</t>
  </si>
  <si>
    <t>131-48</t>
  </si>
  <si>
    <t>131-48 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t>
  </si>
  <si>
    <t>131-49</t>
  </si>
  <si>
    <t>131-49 Prestación de servicios de apoyo técnico y funcional para la gestión, actualización, publicación y difusión de contenidos en los portales institucionales, micrositios e Intranet de la UPME, asegurando la accesibilidad de la información, la continuidad operativa y la aplicación de los lineamientos definidos por la Subdirección de Gestión de la Información.</t>
  </si>
  <si>
    <t>131-50</t>
  </si>
  <si>
    <t>131-50 Prestación de servicios profesionales para el desarrollo, actualización, mantenimiento y mejora de las soluciones web, portales institucionales, aplicaciones y sistemas de información de la UPME, garantizando el cumplimiento de los estándares de accesibilidad, usabilidad y lineamientos técnicos definidos por la Subdirección de Gestión de la Información.</t>
  </si>
  <si>
    <t>131-51</t>
  </si>
  <si>
    <t>131-51 Adquirir el licenciamiento de un conjunto de herramientas digitales destinadas al diseño de interfaces gráficas, así como al desarrollo y la optimización en la gestión de contenidos web de la Unidad de Planeación Minero Energética (UPME).</t>
  </si>
  <si>
    <t>131-52</t>
  </si>
  <si>
    <t>131-52 Prestación de servicios profesionales para apoyar en la identificación, caracterización técnica y metodológica de nuevos registros administrativos con potencial estadístico, así como el acompañamiento en la implementación de las fases del proceso estadístico para el diseño y puesta en marcha de nuevas operaciones estadísticas de la UPME</t>
  </si>
  <si>
    <t>131-53</t>
  </si>
  <si>
    <t>131-53 Prestación de servicios profesionales para el mantenimiento, administración, optimización y aseguramiento de la calidad de la Base de Datos Geográfica Corporativa (EGDBUPME), garantizando la integridad, interoperabilidad, seguridad y disponibilidad de la información geoespacial que soporta los productos y servicios del Geoportal Sectorial y demás sistemas geográficos institucionales de la UPME.</t>
  </si>
  <si>
    <t>131-54</t>
  </si>
  <si>
    <t>131-54 Prestación de servicios profesionales para al análisis y validación de la información territorial y normativa (POT, POMCA, áreas protegidas, catastro multipropósito y demás instrumentos de ordenamiento), integrándose a los análisis SIG de la UPME para garantizar consistencia técnica y territorial en los estudios y proyectos del sector minero-energético.</t>
  </si>
  <si>
    <t>131-55</t>
  </si>
  <si>
    <t>131-55 Actualizar y renovar el licenciamiento ESRI.</t>
  </si>
  <si>
    <t>131-56</t>
  </si>
  <si>
    <t>131-56 Prestación de servicios de apoyo a la gestión para la recolección y procesamiento de material audiovisual requerido para los sistemas de información y las comunicaciones institucionales</t>
  </si>
  <si>
    <t>131-57</t>
  </si>
  <si>
    <t>131-57 Adquirir servicios en la nube para la implementación de un lago de datos institucional que permita la consolidación, integración, centralización, acceso y exposición de la información de la UPME, incluyendo la asociada a electromovilidad.</t>
  </si>
  <si>
    <t>131-58</t>
  </si>
  <si>
    <t>131-58 Prestar servicios profesionales para la gestión de las fases contractuales de la entidad, con especial énfasis en los asuntos relativos a la Subdirección de Gestión de la Información, en asocio con el GIT de Gestión Contractual.</t>
  </si>
  <si>
    <t>131-59</t>
  </si>
  <si>
    <t>131-59 Prestación de servicios profesionales para la gestión contractual de la entidad garantizando el cumplimiento de las disposiciones legales e institucionales.</t>
  </si>
  <si>
    <t>131-60</t>
  </si>
  <si>
    <t>131-60 Prestación de servicios profesionales en marketing para la gestión administrativa integral del equipo de comunicaciones de la UPME, asegurando la operatividad, trazabilidad y calidad de sus procesos internos y acciones de comunicación, en cumplimiento de los lineamientos institucionales.</t>
  </si>
  <si>
    <t>131-61</t>
  </si>
  <si>
    <t>131-61 Prestación de servicios profesionales para la recopilación, análisis, depuración y reporte de datos y planes minerenergéticos, con especial énfasis en variables hidrocarburíferas a nivel nacional e internacional.</t>
  </si>
  <si>
    <t>131-62</t>
  </si>
  <si>
    <t>131-62 Prestación de servicios de apoyo a la gestión para la recolección, procesamiento y creación de productos audiovisuales para los diferentes canales de comunicación institucionales.</t>
  </si>
  <si>
    <t>131-63</t>
  </si>
  <si>
    <t>131-63 Adquirir los servicios necesarios para garantizar el desplazamiento de servidores públicos y contratistas de la UPME a los eventos y espacios institucionales de planeación minero energética.</t>
  </si>
  <si>
    <t>131-64</t>
  </si>
  <si>
    <t>131-64 Viáticos o gastos de desplazamiento</t>
  </si>
  <si>
    <t>Radicado 20261900002593</t>
  </si>
  <si>
    <t>131-65</t>
  </si>
  <si>
    <t>131-65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</si>
  <si>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131-66</t>
  </si>
  <si>
    <t>131-66 Prestación de servicios profesionales con autonomía técnica y administrativa, para el acompañamiento jurídico especializado en la gestión contractual de la Subdirección de Gestión de la Información y de la entidad, en coordinación con el Git de Gestión Contractual.</t>
  </si>
  <si>
    <t>131-67</t>
  </si>
  <si>
    <t>131-67 Prestación de servicios profesionales de estructuración gráfica de documentos, diseño digital, presentaciones de diversa índole que sean requeridos por el área de comunicaciones.</t>
  </si>
  <si>
    <t>131-68</t>
  </si>
  <si>
    <t>131-68 Prestación de servicios profesionales para la contribución técnica y metodológica en el desarrollo e implementación de estrategias y programas asociados a la transición energética justa.</t>
  </si>
  <si>
    <t>131-69</t>
  </si>
  <si>
    <t>131-69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t>
  </si>
  <si>
    <t>131-70</t>
  </si>
  <si>
    <t>131-70 Prestar servicios profesionales orientados al fortalecimiento de la Dimensión de Control Interno mediante la ejecución del Plan Anual de Auditorías Internas Independientes, con énfasis en la evaluación de la gestión administrativa de la UPME.</t>
  </si>
  <si>
    <t>131-71</t>
  </si>
  <si>
    <t>131-71 Prestar servicios profesionales orientados al fortalecimiento de la Política Institucional de Control Interno a través de la ejecución del Plan Anual de Auditorías Internas Independientes, con énfasis en la evaluación de la gestión financiera de la UPME.</t>
  </si>
  <si>
    <t>131-72</t>
  </si>
  <si>
    <t>131-72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</si>
  <si>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131-73</t>
  </si>
  <si>
    <t>131-73 Prestar servicios profesionales para la gestión de las fases contractuales de la entidad, con especial énfasis en los asuntos relativos a la Subdirección de Gestión de la Información, en asocio con el GIT de Gestión Contractual.</t>
  </si>
  <si>
    <t>131-74</t>
  </si>
  <si>
    <t>131-74 Prestación de servicios de apoyo a la gestión orientados a la estructuración y organización documental de la Subdirección de Gestión de la Información</t>
  </si>
  <si>
    <t>131-75</t>
  </si>
  <si>
    <t>131-75 Prestar apoyo a la consolidación, actualización y revisión de los inventarios y bienes de la UPME la Modernización de Procesos de la Entidad.</t>
  </si>
  <si>
    <t>131-76</t>
  </si>
  <si>
    <t>131-76 Prestar servicios profesionales en psicología para apoyar los procesos de provisión y selección de personal de la entidad, de conformidad con los lineamientos institucionales y la normatividad vigente.</t>
  </si>
  <si>
    <t>131-77</t>
  </si>
  <si>
    <t>131-77 Prestar servicios profesionales en psicología para apoyar los procesos de provisión y selección de personal de la entidad, de conformidad con los lineamientos institucionales y la normatividad vigente.</t>
  </si>
  <si>
    <t>131-78</t>
  </si>
  <si>
    <t>131-78 Prestación de servicios profesionales para contribuir en la estructuración, planificación, seguimiento y control de los proyectos, iniciativas y líneas estratégicas y de tecnologías de la información asociadas a la Subdirección de Gestión de la Información, mediante la aplicación de metodologías y buenas prácticas de dirección de proyectos.</t>
  </si>
  <si>
    <t>131-79</t>
  </si>
  <si>
    <t>131-79 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t>
  </si>
  <si>
    <t>131-80</t>
  </si>
  <si>
    <t>131-80 Prestación de servicios de apoyo a la gestión para la exploración, limpieza y análisis de datos institucionales y sectoriales</t>
  </si>
  <si>
    <t>131-81</t>
  </si>
  <si>
    <t>131-81 Prestación de servicios profesionales para apoyar la proyección de actos administrativos y el cumplimiento de responsabilidades jurídico administrativas a cargo de la Subdirección de Gestión de la Información.</t>
  </si>
  <si>
    <t>Mejoramiento de la planeación del abastecimiento y confiabilidad del subsector de hidrocarburos a nivel nacional</t>
  </si>
  <si>
    <t>170-1</t>
  </si>
  <si>
    <t>Fortalecer la planificación de la oferta de hidrocarburos.</t>
  </si>
  <si>
    <t>170-1 Realizar la renovación de la suscripción online de S&amp;P Global Commodity Insights.</t>
  </si>
  <si>
    <t>Ingrid Fernanda Vásquez Méndez</t>
  </si>
  <si>
    <t>Subdirectora de hidrocarburos</t>
  </si>
  <si>
    <t>ingrid.vasquez@upme.gov.co</t>
  </si>
  <si>
    <t>170-2</t>
  </si>
  <si>
    <t>170-2 Prestar los servicios profesionales para realizar el seguimiento y control de las actividades de planeación estratégica, procesos contractuales, ejecución presupuestal y ejecución del proyecto de inversión para el cumplimiento de las metas y objetivos de la Subdirección de Hidrocarburos; así como realizar acompañamiento en las diferentes actividades del sistema de gestión.</t>
  </si>
  <si>
    <t>170-3</t>
  </si>
  <si>
    <t>170-3 Prestar servicios profesionales para brindar apoyo jurídico a la Subdirección de Hidrocarburos en la ejecución y seguimiento de la política pública correspondiente al sector.</t>
  </si>
  <si>
    <t>170-4</t>
  </si>
  <si>
    <t>170-4 Prestar servicios profesionales de asesoría jurídica en temas asociados a los procesos abiertos y competitivos que adelante la Subdirección de Hidrocarburos.</t>
  </si>
  <si>
    <t>170-5</t>
  </si>
  <si>
    <t>170-5 Prestar servicios profesionales para apoyar la elaboración, desarrollo, análisis de información y demás actividades relacionadas con el Plan Indicativo de Combustibles Líquidos a cargo de la Subdirección de Hidrocarburos</t>
  </si>
  <si>
    <t>170-6</t>
  </si>
  <si>
    <t>170-6 Prestar los servicios profesionales para apoyar la estructuración, seguimiento, ejecución y control de los procesos abiertos y competitivos que adelante la Subdirección de Hidrocarburos.</t>
  </si>
  <si>
    <t>170-7</t>
  </si>
  <si>
    <t>170-7 Prestar servicios profesionales para apoyar la estructuración y desarrollo de lineamientos técnicos relacionados con procesos de selección y/o evaluación de proyectos de infraestructura que contribuyan al cumplimiento de los objetivos de la Subdirección de Hidrocarburos y del sector.</t>
  </si>
  <si>
    <t>170-8</t>
  </si>
  <si>
    <t>170-8 Prestar servicios profesionales de asesoría en la elaboración, estructuración y desarrollo de planes, así como acompañar la definición y desarrollo de lineamientos técnicos relacionados con los temas que requieran la Dirección General y la Subdirección de Hidrocarburos.</t>
  </si>
  <si>
    <t>170-9</t>
  </si>
  <si>
    <t>170-9 Prestar servicios de apoyo a la gestión para el desarrollo de actividades administrativas y de gestión estratégica  institucional que le sean asignadas, de conformidad con las necesidades de la Subdirección de Hidrocarburos.</t>
  </si>
  <si>
    <t>170-10</t>
  </si>
  <si>
    <t>170-10 Prestar servicios profesionales de apoyo jurídico en la gestión de los temas asociados a las convocatorias y planes a cargo de la Subdirección de Hidrocarburos.</t>
  </si>
  <si>
    <t>170-11</t>
  </si>
  <si>
    <t>170-11 Prestar servicios profesionales para apoyar el análisis y elaboración de metodologías para la proyección de precios de los energéticos en el contexto de las políticas energéticas a cargo de la Subdirección de Hidrocarburos.</t>
  </si>
  <si>
    <t>170-12</t>
  </si>
  <si>
    <t>170-12 Prestar los servicios profesionales para realizar el mantenimiento de la documentación, seguimiento y control de las herramientas de gestión, así como el acompañamiento de la gestión administrativa y de los convenios supervisados por la Subdirección de Hidrocarburos.</t>
  </si>
  <si>
    <t>170-13</t>
  </si>
  <si>
    <t>170-13 Prestar servicios profesionales de apoyo jurídico, elaboración de actos administrativos y acompañamiento jurídico en los distintos procesos y actividades técnicas que adelanta la subdirección de hidrocarburos</t>
  </si>
  <si>
    <t>170-14</t>
  </si>
  <si>
    <t>170-14 Prestar servicios profesionales para apoyar el diseño, desarrollo e implementación de modelos avanzados de simulación, para la integración e interoperabilidad de los planes de abastecimiento y confiabilidad de la Subdirección de Hidrocarburos.</t>
  </si>
  <si>
    <t>170-15</t>
  </si>
  <si>
    <t>170-15 Prestar servicios profesionales para apoyar el análisis económico y de costos de infraestuctura, así como las demás actividades relacionadas con la elaboración y desarrollo de los Planes de abastecimiento y confiabilidad a cargo de la Subdirección de Hidrocarburos</t>
  </si>
  <si>
    <t>170-16</t>
  </si>
  <si>
    <t>170-16 Prestar servicios profesionales de asesoría orientados a la elaboración, estructuración y desarrollo estratégico de planes, así como a la evaluación de proyectos de infraestructura y al análisis regulatorio en los temas que requieran la Dirección General y la Subdirección de Hidrocarburos.</t>
  </si>
  <si>
    <t>170-17</t>
  </si>
  <si>
    <t>170-17 Prestar servicios profesionales para apoyar la elaboración, desarrollo, análisis de información y demás actividades relacionadas con el Plan Nacional de Sustitución de Leña a cargo de la Subdireccion de Hidrocarburos.</t>
  </si>
  <si>
    <t>170-18</t>
  </si>
  <si>
    <t>170-18 Prestar servicios profesionales para apoyar la elaboración, desarrollo, análisis de información y demás actividades relacionadas con el Plan Indicativo de Bioenergía con el enfoque territorial a cargo de la Subdireccion de Hidrocarburos.</t>
  </si>
  <si>
    <t>170-19</t>
  </si>
  <si>
    <t>170-19 Prestar servicios profesionales de asesoría en materia económica y financiera, orientados a la elaboración, análisis y seguimiento de planes, así como al desarrollo y aplicación de lineamientos técnicos en los temas que requieran la Dirección General y la Subdirección de Hidrocarburos.</t>
  </si>
  <si>
    <t>170-20</t>
  </si>
  <si>
    <t>170-20 Prestar servicios profesionales para brindar apoyo jurídico en la ejecución y seguimiento de procesos de convocatorias públicas y demás actividades a cargo de la Subdirección de Hidrocarburos.</t>
  </si>
  <si>
    <t>170-21</t>
  </si>
  <si>
    <t>170-21 Prestar servicios profesionales para apoyar la elaboración, desarrollo, análisis de información y demás actividades relacionadas con el Plan Indicativo de GLP a cargo de la Subdirección de Hidrocarburos</t>
  </si>
  <si>
    <t>170-22</t>
  </si>
  <si>
    <t>170-22 Prestar servicios profesionales para apoyar la elaboración, desarrollo, análisis de información y demás actividades relacionadas con el Estudio Técnico para el Plan de Abastecimiento de Gas Natural a cargo de la Subdirección de Hidrocarburos</t>
  </si>
  <si>
    <t>170-23</t>
  </si>
  <si>
    <t>170-23 Prestar servicios profesionales para apoyar el seguimiento y control de los procesos de selección y la evaluación de proyectos de infraestructura, así como, la elaboración de documentos técnicos de la Subdirección de Hidrocarburos</t>
  </si>
  <si>
    <t>170-24</t>
  </si>
  <si>
    <t>170-24 Prestar los servicios profesionales para apoyar la preparación y divulgación de documentos de planeación, participar en la aplicación de las metodologías de evaluación, análisis económicos, tarifarios y de los requisitos regulatorios aplicables a la Subdirección de Hidrocarburos.</t>
  </si>
  <si>
    <t>170-25</t>
  </si>
  <si>
    <t>170-25 Prestar servicios profesionales para apoyar la estructuración, evaluación y desarrollo de lineamientos técnicos de proyectos de infraestructura de hidrocarburos, en el marco de los procesos de convocatorias públicas y demás actividades a cargo de la Subdirección de Hidrocarburos</t>
  </si>
  <si>
    <t>170-26</t>
  </si>
  <si>
    <t>170-26 Prestar servicios profesionales para apoyar el diseño, evaluación y análisis de los proyectos de infraestructura de hidrocarburos, así como en la  aplicación de metodologías para la gestión de información técnica en los procesos que adelante la Subdirección de Hidrocarburos.</t>
  </si>
  <si>
    <t>170-27</t>
  </si>
  <si>
    <t>170-27 Prestar servicios profesionales para apoyar la ejecución de las diferentes actividades relacionadas con el Plan Nacional de Sustitución de Leña y procesos a cargo de la Subdirección de Hidrocarburos.</t>
  </si>
  <si>
    <t>170-28</t>
  </si>
  <si>
    <t>170-28 Prestar servicios profesionales para apoyar la ejecución de las diferentes actividades relacionadas con el Estudio Técnico para el Plan de Abastecimiento de Gas Natural y procesos a cargo de la Subdirección de Hidrocarburos.</t>
  </si>
  <si>
    <t>170-29</t>
  </si>
  <si>
    <t>170-29 Prestar servicios profesionales para apoyar las actividades relacionadas con el desarrollo de modelos y simulación en el marco de los planes indicativos a cargo de la Subdirección de Hidrocarburos, así como de su ejercicio misional.</t>
  </si>
  <si>
    <t>170-30</t>
  </si>
  <si>
    <t>170-30 Prestar servicios profesionales para apoyar las actividades relacionadas con la incorporación del componente transición energética y sostenibilidad en el marco de los planes indicativos cargo de la Subdirección de Hidrocarburos, así como de su ejercicio misional.</t>
  </si>
  <si>
    <t>170-31</t>
  </si>
  <si>
    <t>Reducir limitaciones que afecten la expansión de infraestructura de suministro de hidrocarburos en el tiempo.</t>
  </si>
  <si>
    <t>170-31 Prestar servicios profesionales para apoyar las actividades relacionadas con la gestión de la información en el marco de los planes indicativos a cargo de la Subdirección de Hidrocarburos, así como de su ejercicio misional.</t>
  </si>
  <si>
    <t>170-32</t>
  </si>
  <si>
    <t>170-32 Prestar servicios profesionales para apoyar la ejecución de las actividades relacionadas con los procesos de convocatorias públicas, así como la elaboración de documentos técnicos y asistencia a la gestión de la Subdirección de Hidrocarburos.</t>
  </si>
  <si>
    <t>170-33</t>
  </si>
  <si>
    <t>170-33 Prestar servicios profesionales para apoyar la ejecución de las diferentes actividades relacionadas con el Plan Indicativo de Abastecimiento de Combustibles Líquidos y procesos a cargo de la Subdirección de Hidrocarburos.</t>
  </si>
  <si>
    <t>170-34</t>
  </si>
  <si>
    <t>170-34 Prestar servicios profesionales para la gestión jurídica en la verificación y cumplimiento de requisitos legales y expedición de actos administrativos, en especial, lo relacionado con el sector hidrocarburos.</t>
  </si>
  <si>
    <t>170-35</t>
  </si>
  <si>
    <t>170-35 Prestar servicios de apoyo a la gestión para el desarrollo de actividades administrativas, operativas y de gestión institucional que le sean asignadas, de conformidad con las necesidades de la Subdirección de Hidrocarburos.</t>
  </si>
  <si>
    <t>170-36</t>
  </si>
  <si>
    <t>170-36 Prestar servicios profesionales para la elaboración, trámite y gestión de actuaciones administrativas, la verificación y cumplimiento de requisitos legales y demás actividades que se requieran de conformidad con las necesidades del sector de hidrocarburos.</t>
  </si>
  <si>
    <t>170-37</t>
  </si>
  <si>
    <t>170-37 Prestar servicios profesionales para apoyar la ejecución de las actividades relacionadas con los procesos de convocatorias públicas, así como la elaboración de documentos técnicos y asistencia a la gestión de los diferentes planes y proyectos a cargo de la Subdirección de Hidrocarburos.</t>
  </si>
  <si>
    <t>170-38</t>
  </si>
  <si>
    <t>170-38 Adquirir los servicios necesarios para garantizar el desplazamiento de servidores públicos y contratistas de la UPME a los eventos y espacios institucionales de planeación minero energética.</t>
  </si>
  <si>
    <t>170-39</t>
  </si>
  <si>
    <t>170-39 Adquirir los servicios necesarios para garantizar el desplazamiento de servidores públicos y contratistas de la UPME a los eventos y espacios institucionales de planeación minero energética.</t>
  </si>
  <si>
    <t>170-40</t>
  </si>
  <si>
    <t>170-40 Renovar y prestar mantenimiento de Licencias MATLAB</t>
  </si>
  <si>
    <t>170-41</t>
  </si>
  <si>
    <t>43201800,43233405,43212201</t>
  </si>
  <si>
    <t>170-41 Adquirir el licenciamiento por suscripción para Plataforma de virtualización y almacenamiento en nube incluyendo la adquisición del hardware para Computación y Storage que soporta esta solución de Hiperconvergencia.</t>
  </si>
  <si>
    <t>170-42</t>
  </si>
  <si>
    <t>170-42 Adquirir los servicios necesarios para garantizar el desplazamiento de servidores públicos y contratistas de la UPME a los eventos y espacios institucionales de planeación minero energética.</t>
  </si>
  <si>
    <t>170-43</t>
  </si>
  <si>
    <t>170-43 Viáticos o gastos de desplazamiento</t>
  </si>
  <si>
    <t>170-44</t>
  </si>
  <si>
    <t>170-44 Definición de requisitos mínimos para establecer los parámetros técnicos y criterios de diseño, construcción, operación y mantenimiento de infraestructura de abastecimiento y confiabilidad de combustibles hidrocarburos en Colombia.</t>
  </si>
  <si>
    <t>170-45</t>
  </si>
  <si>
    <t>170-45 Prestar servicios de auditoría externa para los procesos de convocatorias públicas de gas natural que adelante la subdirección de hidrocarburos.</t>
  </si>
  <si>
    <t>170-46</t>
  </si>
  <si>
    <t>170-46 Adquirir el licenciamiento por suscripción para Plataforma de virtualización y almacenamiento en nube incluyendo la adquisición del hardware para Computación y Storage que soporta esta solución de Hiperconvergencia.</t>
  </si>
  <si>
    <t>170-47</t>
  </si>
  <si>
    <t>170-47 Prestar servicios profesionales orientados al fortalecimiento de la Dimensión de Control Interno mediante la ejecución del Plan Anual de Auditorías Internas Independientes, con énfasis en la evaluación de la gestión administrativa de la UPME</t>
  </si>
  <si>
    <t>170-48</t>
  </si>
  <si>
    <t>170-48 Prestar servicios profesionales orientados al fortalecimiento de la Política Institucional de Control Interno  a través de la ejecución del Plan Anual de Auditorías Internas Independientes, con énfasis en la evaluación  de la gestión financiera de la UPME.</t>
  </si>
  <si>
    <t>170-49</t>
  </si>
  <si>
    <t>170-49 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t>
  </si>
  <si>
    <t>170-50</t>
  </si>
  <si>
    <t>170-50 Prestar servicios profesionales en asuntos jurídicos y judiciales de la Unidad de Planeación Minero Energética.</t>
  </si>
  <si>
    <t>170-51</t>
  </si>
  <si>
    <t>170-51 Prestar servicios profesionales para la gestión jurídica en la verificación y cumplimiento de asuntos legales de competencia de la UPME, y lo que de ello se derive, en especial, lo relacionado con el sector hidrocarburos y energía.</t>
  </si>
  <si>
    <t>170-52</t>
  </si>
  <si>
    <t>170-52 Prestar servicios profesionales para apoyar la ejecución de las diferentes actividades relacionadas con la formulación de los planes a cargo de la Subdirección de Hidrocarburos y demás gestiones misionales.</t>
  </si>
  <si>
    <t>Radicado 20261700004963</t>
  </si>
  <si>
    <t>170-53</t>
  </si>
  <si>
    <t>170-53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</si>
  <si>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170-54</t>
  </si>
  <si>
    <t>170-54 Adquirir los servicios necesarios para garantizar el desplazamiento de servidores públicos y contratistas de la UPME a los eventos y espacios institucionales de planeación minero energética.</t>
  </si>
  <si>
    <t>170-55</t>
  </si>
  <si>
    <t>170-55 Viáticos o gastos de desplazamiento</t>
  </si>
  <si>
    <t>170-56</t>
  </si>
  <si>
    <t>170-56 Prestar servicios de apoyo a la gestión para el desarrollo de actividades administrativas, de gestión operativa, de seguimiento y de gestión que le sean asignadas, de conformidad con las necesidades de la Subdirección de Hidrocarburos.</t>
  </si>
  <si>
    <t>170-57</t>
  </si>
  <si>
    <t>170-57 Viáticos o gastos de desplazamiento</t>
  </si>
  <si>
    <t>170-58</t>
  </si>
  <si>
    <t>170-58 Definición de requisitos mínimos para establecer los parámetros técnicos y criterios de diseño, construcción, operación y mantenimiento de infraestructura de abastecimiento y confiabilidad de combustibles hidrocarburos en Colombia.</t>
  </si>
  <si>
    <t>170-59</t>
  </si>
  <si>
    <t>170-59 Prestar servicios de apoyo a la gestión para el desarrollo de actividades requeridas en gestión administrativa, documental, correspondencia y demás asuntos administrativos,  de conformidad con las necesidades de la Subdirección de Hidrocarburos.</t>
  </si>
  <si>
    <t>Fortalecimiento de la planeación para el desarrollo minero responsable con los territorios en el marco de la transición energética a nivel nacional</t>
  </si>
  <si>
    <t>140-1</t>
  </si>
  <si>
    <t>Fortalecer la gestión integral de la información de la planeación minera.</t>
  </si>
  <si>
    <t>140-1 Prestar servicios profesionales para brindar apoyo en la Subdirección de Minería, en el soporte técnico para el análisis de los precios base de los minerales, conforme la metodología establecida.</t>
  </si>
  <si>
    <t>Germán Tiberio Ojeda</t>
  </si>
  <si>
    <t>Subdirector de Minería</t>
  </si>
  <si>
    <t>german.ojeda@upme.gov.co</t>
  </si>
  <si>
    <t>140-2</t>
  </si>
  <si>
    <t>140-2 Prestar servicios profesionales de apoyo en la Subdirección de Minería, en el soporte técnico para la determinación del precio base de liquidación de regalías, análisis de datos a través de los sistemas de divulgación de información minera.</t>
  </si>
  <si>
    <t>140-3</t>
  </si>
  <si>
    <t>140-3 Prestar servicios profesionales orientados a la divulgación, socialización de los procesos y documentos técnicos del sector minero energético, bajo el marco de los objetivos institucionales de la UPME</t>
  </si>
  <si>
    <t>140-4</t>
  </si>
  <si>
    <t>140-4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</si>
  <si>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140-5</t>
  </si>
  <si>
    <t>140-5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</si>
  <si>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140-6</t>
  </si>
  <si>
    <t>140-6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</si>
  <si>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140-7</t>
  </si>
  <si>
    <t>140-7 Desarrollo de nuevos indicadores, analítica y tableros para el SIMCO basados en información sectorial agregando valor a la divulgación de las estadísticas del sector minero</t>
  </si>
  <si>
    <t>Rad. 20261400038423</t>
  </si>
  <si>
    <t>140-8</t>
  </si>
  <si>
    <t>140-8 Prestar los servicios de suscripción ONLINE a Fast Markets MB</t>
  </si>
  <si>
    <t>140-9</t>
  </si>
  <si>
    <t>140-9 Realizar la renovación de la suscripción online de ARGUS MEDIA.</t>
  </si>
  <si>
    <t>140-10</t>
  </si>
  <si>
    <t>140-10 Renovación de la suscripción ONLINE de Baltic Exchange.</t>
  </si>
  <si>
    <t>140-11</t>
  </si>
  <si>
    <t>140-11 Adquirir el licenciamiento por suscripción para Plataforma de virtualización y almacenamiento en nube incluyendo la adquisición del hardware para Computación y Storage que soporta esta solución de Hiperconvergencia.</t>
  </si>
  <si>
    <t>140-12</t>
  </si>
  <si>
    <t>140-12 Prestar servicios profesionales de apoyo a la Subdirección de Minería para la elaboración de informes asociados a aspectos técnicos, estudios y divulgación de la información del sector minero.</t>
  </si>
  <si>
    <t>140-13</t>
  </si>
  <si>
    <t>140-13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</si>
  <si>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140-14</t>
  </si>
  <si>
    <t>140-14 Prestar servicios profesionales de apoyo a la Subdirección de Minería en los aspectos técnicos asociados al cumplimiento de su misionalidad, así como en el acompañamiento en las actividades de divulgación, planeación e investigación del sector minero.</t>
  </si>
  <si>
    <t>140-15</t>
  </si>
  <si>
    <t>140-15 Prestar servicios profesionales de apoyo a la Subdirección de Minería en los asuntos relacionados con el cumplimiento de su misionalidad, así como en el acompañamiento en las actividades de divulgación, planeación e investigación del sector minero.</t>
  </si>
  <si>
    <t>140-16</t>
  </si>
  <si>
    <t>140-16 Desarrollo de nuevos indicadores, analítica y tableros para el SIMCO basados en información sectorial agregando valor a la divulgación de las estadísticas del sector minero</t>
  </si>
  <si>
    <t>140-17</t>
  </si>
  <si>
    <t>140-17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</si>
  <si>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140-18</t>
  </si>
  <si>
    <t>140-18 Desarrollo de nuevos indicadores, analítica y tableros para el SIMCO basados en información sectorial agregando valor a la divulgación de las estadísticas del sector minero</t>
  </si>
  <si>
    <t>140-19</t>
  </si>
  <si>
    <t>140-19 Prestar servicios profesionales de apoyo a la Subdirección de Minería, en la visibilización de la industria minera a través de los sistemas de divulgación de información minera y la entrega de conocimiento al sector.</t>
  </si>
  <si>
    <t>RODRIGUEZ PEDRAZA KAREN MAYELI</t>
  </si>
  <si>
    <t>??</t>
  </si>
  <si>
    <t>140-20</t>
  </si>
  <si>
    <t>Ampliar el conocimiento de los encadenamientos productivos asociados a la actividad minera por parte de los actores del sector.</t>
  </si>
  <si>
    <t>140-20  Elaborar los balances oferta utilización de productos mineros y la cuenta de producción y generación del ingreso en versión provisional para la operación estadística cuenta satélite de minería - CSM, en el marco del modelo genérico del proceso estadístico GSBPM.</t>
  </si>
  <si>
    <t>Contratación directa - Contratos interadministrativos</t>
  </si>
  <si>
    <t>Radicado 20261400019863</t>
  </si>
  <si>
    <t>140-21</t>
  </si>
  <si>
    <t>140-21 Prestar servicios profesionales para brindar apoyo en la Subdirección de Minería, en la elaboración de estudios técnicos asociados a la actividad minera y documentos de investigación.</t>
  </si>
  <si>
    <t>140-22</t>
  </si>
  <si>
    <t>140-22 Prestar servicios profesionales para apoyar a la Subdirección de Minería mediante la generación de análisis técnicos y sociales que contribuyan a la elaboración de documentos de investigación y variables interseccionales.</t>
  </si>
  <si>
    <t>140-23</t>
  </si>
  <si>
    <t>140-23 Prestar servicios profesionales de apoyo jurídico para acompañar las gestiones necesarias orientadas al cumplimiento de las actividades de la Subdirección de Minería, así como para apoyar la elaboración de documentos de investigación.</t>
  </si>
  <si>
    <t>140-24</t>
  </si>
  <si>
    <t>140-24 Prestar servicios profesionales de apoyo en la Subdirección de Minería, en el soporte técnico para la determinación del precio base de liquidación de regalías, análisis de datos a través de los sistemas de divulgación de información minera.</t>
  </si>
  <si>
    <t>140-25</t>
  </si>
  <si>
    <t>140-25 Prestar servicios profesionales de apoyo a la Subdirección de Minería, en la visibilización de la industria minera a través de los sistemas de divulgación de información minera y la entrega de conocimiento al sector.</t>
  </si>
  <si>
    <t>140-26</t>
  </si>
  <si>
    <t>140-26 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t>
  </si>
  <si>
    <t>140-27</t>
  </si>
  <si>
    <t>140-27 Actualizar y renovar el licenciamiento ESRI.</t>
  </si>
  <si>
    <t>140-28</t>
  </si>
  <si>
    <t>140-28 Prestar servicios profesionales para apoyar a la Subdirección de Minería en la incorporación de aspectos técnicos y sociales que contribuyan al fortalecimiento de la investigación del sector minero.</t>
  </si>
  <si>
    <t>140-29</t>
  </si>
  <si>
    <t>140-29 Prestar servicios profesionales de apoyo a la Subdirección de Minería en los aspectos técnicos asociados al cumplimiento de su misionalidad, así como en el acompañamiento en las actividades de planeación e investigación del sector minero.</t>
  </si>
  <si>
    <t>140-30</t>
  </si>
  <si>
    <t>140-30 Viáticos o gastos de desplazamiento</t>
  </si>
  <si>
    <t>140-31</t>
  </si>
  <si>
    <t>140-31 Viáticos o gastos de desplazamiento</t>
  </si>
  <si>
    <t>140-32</t>
  </si>
  <si>
    <t>140-32 Prestar servicios profesionales de apoyo a la Subdirección de Minería para la gestión de datos y el desarrollo de modelos asociados al sector minero, desde un enfoque técnico y de investigación que contribuya al análisis y fortalecimiento del sector</t>
  </si>
  <si>
    <t>140-33</t>
  </si>
  <si>
    <t>140-33 Prestar servicios profesionales de apoyo a la Subdirección de Minería en los asuntos relacionados con el cumplimiento de su misionalidad, así como en el acompañamiento en las actividades de divulgación, planeación e investigación del sector minero.</t>
  </si>
  <si>
    <t>140-34</t>
  </si>
  <si>
    <t>140-34 Prestar servicios profesionales para apoyar a la Subdirección de Minería en asuntos administrativos y financieros, así como en la elaboración y apoyo a documentos técnicos y de investigación de la Subdirección.</t>
  </si>
  <si>
    <t>140-35</t>
  </si>
  <si>
    <t>140-35  Elaborar los balances oferta utilización de productos mineros y la cuenta de producción y generación del ingreso en versión provisional para la operación estadística cuenta satélite de minería - CSM, en el marco del modelo genérico del proceso estadístico GSBPM.</t>
  </si>
  <si>
    <t>140-36</t>
  </si>
  <si>
    <t>140-36 Prestar servicios profesionales para apoyar a la Subdirección de Minería mediante la generación de análisis técnicos y sociales que contribuyan a la elaboración de documentos de investigación y variables interseccionales.</t>
  </si>
  <si>
    <t>140-37</t>
  </si>
  <si>
    <t>140-37 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t>
  </si>
  <si>
    <t>140-38</t>
  </si>
  <si>
    <t>140-38 Prestar servicios profesionales para brindar apoyo en la Subdirección de Minería, para el análisis de datos técnicos para documentos de investigación que contribuyan a los estudios y análisis de datos del sector minero colombiano.</t>
  </si>
  <si>
    <t>140-39</t>
  </si>
  <si>
    <t>140-39 Prestar servicios profesionales para apoyar a la Subdirección de Minería en el análisis y la gestión de datos que contribuyan a la formulación de los instrumentos de planeación, variables interseccionales para la elaboración de documentos de investigación.</t>
  </si>
  <si>
    <t>140-40</t>
  </si>
  <si>
    <t>140-40 Prestar servicios profesionales orientados al fortalecimiento de la Dimensión de Control Interno mediante la ejecución del Plan Anual de Auditorías Internas Independientes, con énfasis en la evaluación de la gestión administrativa de la UPME.</t>
  </si>
  <si>
    <t>140-41</t>
  </si>
  <si>
    <t>140-41 Prestar servicios profesionales orientados al fortalecimiento de la Política Institucional de Control Interno a través de la ejecución del Plan Anual de Auditorías Internas Independientes, con énfasis en la evaluación de la gestión financiera de la UPME.</t>
  </si>
  <si>
    <t>140-42</t>
  </si>
  <si>
    <t>140-42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</si>
  <si>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140-43</t>
  </si>
  <si>
    <t>140-43 Prestar servicios profesionales para la proyección y/o revisión jurídica de los documentos de tipo legal producto de las actuaciones administrativas de competencia de la UPME, y lo que de ello se derive, en el marco de la gestión institucional de la Entidad.</t>
  </si>
  <si>
    <t>140-44</t>
  </si>
  <si>
    <t>140-44  Prestar servicios ​profesionales en asuntos jurídicos relacionados con los procesos ​y procedimientos de competencia de la Subdirección de Minería, en el marco de la gestión institucional de la Entidad.</t>
  </si>
  <si>
    <t>140-45</t>
  </si>
  <si>
    <t>140-45 Prestar servicios profesionales para brindar apoyo en la Subdirección de Minería, en la elaboración de estudios técnicos asociados a la actividad minera y documentos de investigación.</t>
  </si>
  <si>
    <t>140-46</t>
  </si>
  <si>
    <t>140-46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</si>
  <si>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140-47</t>
  </si>
  <si>
    <t>140-47 Prestar servicios profesionales para apoyar a la Subdirección de Minería en la realización de análisis económicos, orientados a la elaboración, seguimiento y evaluación de los instrumentos de planeación del sector minero, así como en la generación de insumos para la elaboración de documentos técnicos y de investigación sectorial.</t>
  </si>
  <si>
    <t>140-48</t>
  </si>
  <si>
    <t>140-48 Viáticos o gastos de desplazamiento</t>
  </si>
  <si>
    <t>Radicado 20261400002193</t>
  </si>
  <si>
    <t>140-49</t>
  </si>
  <si>
    <t>140-49 Adquirir los servicios necesarios para garantizar el desplazamiento de servidores públicos y contratistas de la UPME a los eventos y espacios institucionales de planeación minero energética.</t>
  </si>
  <si>
    <t>140-50</t>
  </si>
  <si>
    <t>140-50 Prestar servicios profesionales de apoyo a la Subdirección de Minería en los asuntos relacionados con el cumplimiento de su misionalidad, así como en el acompañamiento en las actividades de divulgación, planeación e investigación del sector minero.</t>
  </si>
  <si>
    <t>140-51</t>
  </si>
  <si>
    <t>140-51 Prestar servicios profesionales para brindar apoyo a la subdirección de minería para el modelamiento del sector minero colombiano a través de las herramientas como dinámica de sistemas y Python, como soporte a los documentos técnicos y de planeación minera.</t>
  </si>
  <si>
    <t>140-52</t>
  </si>
  <si>
    <t>140-52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</si>
  <si>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140-53</t>
  </si>
  <si>
    <t>140-53 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t>
  </si>
  <si>
    <t>140-54</t>
  </si>
  <si>
    <t>140-54 Desarrollo de nuevos indicadores, analítica y tableros para el SIMCO basados en información sectorial agregando valor a la divulgación de las estadísticas del sector minero</t>
  </si>
  <si>
    <t>140-55</t>
  </si>
  <si>
    <t>140-55 Prestar servicios profesionales de apoyo a la Subdirección de Minería en los asuntos relacionados con el cumplimiento de su misionalidad, así como en el acompañamiento en las actividades de divulgación, planeación e investigación del sector minero.</t>
  </si>
  <si>
    <t>140-56</t>
  </si>
  <si>
    <t>140-56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</si>
  <si>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140-57</t>
  </si>
  <si>
    <t>140-57 Prestar servicios profesionales para apoyar las actividades relacionadas con el seguimiento financiero del proyecto de inversión y de planeación de la Subdirección de Minería</t>
  </si>
  <si>
    <t>140-58</t>
  </si>
  <si>
    <t>140-58 Desarrollo de nuevos indicadores, analítica y tableros para el SIMCO basados en información sectorial agregando valor a la divulgación de las estadísticas del sector minero</t>
  </si>
  <si>
    <t>140-59</t>
  </si>
  <si>
    <t>Fortalecer la articulación de las entidades del sector en la formulación, ejecución y seguimiento de la planeación minera.</t>
  </si>
  <si>
    <t>140-59 Prestar servicios profesionales de apoyo a la Subdirección de Minería en los aspectos técnicos asociados al cumplimiento de su misionalidad, así como en el acompañamiento en las actividades de divulgación, planeación e investigación del sector minero.</t>
  </si>
  <si>
    <t>140-60</t>
  </si>
  <si>
    <t>140-60 Prestar servicios profesionales de apoyo a la Subdirección de Minería para la elaboración de informes asociados a aspectos técnicos, estudios y divulgación de la información del sector minero.</t>
  </si>
  <si>
    <t>140-61</t>
  </si>
  <si>
    <t>140-61 Prestar servicios profesionales de apoyo a la Subdirección de Minería para la gestión de datos y el desarrollo de modelos asociados al sector minero, desde un enfoque técnico y de investigación que contribuya al análisis y fortalecimiento del sector</t>
  </si>
  <si>
    <t>140-62</t>
  </si>
  <si>
    <t>140-62 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t>
  </si>
  <si>
    <t>140-63</t>
  </si>
  <si>
    <t>140-63 Viáticos o gastos de desplazamiento</t>
  </si>
  <si>
    <t>140-64</t>
  </si>
  <si>
    <t>140-64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</si>
  <si>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140-65</t>
  </si>
  <si>
    <t>140-65 Prestar servicios profesionales para brindar apoyo a la subdirección de minería para el modelamiento del sector minero colombiano a través de las herramientas como dinámica de sistemas y Python, como soporte a los documentos técnicos y de planeación minera.</t>
  </si>
  <si>
    <t>140-66</t>
  </si>
  <si>
    <t>140-66 Prestar servicios profesionales para apoyar las actividades relacionadas con el seguimiento financiero del proyecto de inversión y de planeación de la Subdirección de Minería</t>
  </si>
  <si>
    <t>140-67</t>
  </si>
  <si>
    <t>140-67 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t>
  </si>
  <si>
    <t>140-68</t>
  </si>
  <si>
    <t>140-68 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t>
  </si>
  <si>
    <t>140-69</t>
  </si>
  <si>
    <t>viáticos o gastos de desplazamiento</t>
  </si>
  <si>
    <t>140-69 Viáticos o gastos de desplazamiento</t>
  </si>
  <si>
    <t>140-70</t>
  </si>
  <si>
    <t>140-70 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t>
  </si>
  <si>
    <t xml:space="preserve">Contratación directa - Contratos interadministrativos </t>
  </si>
  <si>
    <t>140-71</t>
  </si>
  <si>
    <t>140-71 Prestar servicios profesionales de apoyo a la Subdirección de Minería en la organización y gestión de la información asociada a los estudios técnicos del sector minero.</t>
  </si>
  <si>
    <t>140-72</t>
  </si>
  <si>
    <t>140-72 Prestar servicios profesionales de apoyo a la Subdirección de Minería para la gestión de datos y el desarrollo de modelos asociados al sector minero, desde un enfoque técnico y de investigación que contribuya al análisis y fortalecimiento del sector</t>
  </si>
  <si>
    <t>140-73</t>
  </si>
  <si>
    <t>140-73 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t>
  </si>
  <si>
    <t>140-74</t>
  </si>
  <si>
    <t>140-74 Desarrollo de nuevos indicadores, analítica y tableros para el SIMCO basados en información sectorial agregando valor a la divulgación de las estadísticas del sector minero</t>
  </si>
  <si>
    <t>140-75</t>
  </si>
  <si>
    <t>140-75 Prestar servicios profesionales de apoyo a la Subdirección de Minería en los aspectos técnicos asociados al cumplimiento de su misionalidad, así como en el acompañamiento en las actividades de planeación e investigación del sector minero.</t>
  </si>
  <si>
    <t>140-76</t>
  </si>
  <si>
    <t>140-76 Prestar servicios profesionales para apoyar a la Subdirección de Minería en asuntos administrativos y financieros, así como en la elaboración y apoyo a documentos técnicos y de investigación de la Subdirección.</t>
  </si>
  <si>
    <t>140-77</t>
  </si>
  <si>
    <t>140-77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</si>
  <si>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140-78</t>
  </si>
  <si>
    <t>140-78 Prestar Servicios profesionales en el apoyo a la subdirección de minería en temas normativos, jurídicos para los instrumentos de planeación y documentos técnicos de la subdirección.</t>
  </si>
  <si>
    <t>140-79</t>
  </si>
  <si>
    <t>140-79 Prestar servicios profesionales orientados a la divulgación, socialización de los procesos y documentos técnicos del sector minero energético, bajo el marco de los objetivos institucionales de la UPME</t>
  </si>
  <si>
    <t>140-80</t>
  </si>
  <si>
    <t>140-80 Prestar servicios profesionales para la proyección y/o revisión jurídica de los documentos de tipo legal producto de las actuaciones administrativas de competencia de la UPME, y lo que de ello se derive, en el marco de la gestión institucional de la Entidad.</t>
  </si>
  <si>
    <t>140-81</t>
  </si>
  <si>
    <t>140-81  Prestar servicios ​profesionales en asuntos jurídicos relacionados con los procesos ​y procedimientos de competencia de la Subdirección de Minería, en el marco de la gestión institucional de la Entidad.</t>
  </si>
  <si>
    <t>140-82</t>
  </si>
  <si>
    <t>140-82 Prestar servicios profesionales para apoyar a la Subdirección de Minería en la incorporación de aspectos técnicos y sociales que contribuyan al fortalecimiento de la investigación del sector minero.</t>
  </si>
  <si>
    <t>140-83</t>
  </si>
  <si>
    <t>140-83 Adquirir los servicios necesarios para garantizar el desplazamiento de servidores públicos y contratistas de la UPME a los eventos y espacios institucionales de planeación minero energética.</t>
  </si>
  <si>
    <t>140-84</t>
  </si>
  <si>
    <t>140-84 Viáticos o gastos de desplazamiento</t>
  </si>
  <si>
    <t>140-85</t>
  </si>
  <si>
    <t>140-85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</si>
  <si>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Radicado 20261400003283</t>
  </si>
  <si>
    <t>140-86</t>
  </si>
  <si>
    <t>140-86 Prestar el servicio de publicación en el diario oficial de los actos administrativos de carácter general emitidos por la UPME.</t>
  </si>
  <si>
    <t>140-87</t>
  </si>
  <si>
    <t>140-87 Adquirir el licenciamiento de las herramientas colaborativas en nube para la UPME</t>
  </si>
  <si>
    <t>140-88</t>
  </si>
  <si>
    <t>140-88 Prestar servicios profesionales para apoyar en la identificación y análisis de variables para planes subsectoriales, mediante la recopilación, organización y documentación de información socioambiental que contribuya a la planificación sostenible de la UPME.</t>
  </si>
  <si>
    <t>140-89</t>
  </si>
  <si>
    <t>140-89  Prestar servicios profesionales para apoyar en la identificación y análisis de variables para planes subsectoriales, mediante la recopilación, organización y documentación de información socioambiental que contribuya a la planificación sostenible de la UPME.</t>
  </si>
  <si>
    <t>140-90</t>
  </si>
  <si>
    <t>NA</t>
  </si>
  <si>
    <t>140-90 Viáticos o gastos de desplazamiento</t>
  </si>
  <si>
    <t>140-91</t>
  </si>
  <si>
    <t>Servicio de divulgación del Sector Minero Energético</t>
  </si>
  <si>
    <t>140-91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</si>
  <si>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140-92</t>
  </si>
  <si>
    <t>140-92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</si>
  <si>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 xml:space="preserve"> Contratación directa.</t>
  </si>
  <si>
    <t>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</si>
  <si>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140-93</t>
  </si>
  <si>
    <t>140-93 Viáticos o gastos de desplazamiento</t>
  </si>
  <si>
    <t>140-94</t>
  </si>
  <si>
    <t>140-94 Viáticos o gastos de desplazamiento</t>
  </si>
  <si>
    <t>140-95</t>
  </si>
  <si>
    <t>140-95  Elaborar los balances oferta utilización de productos mineros y la cuenta de producción y generación del ingreso en versión provisional para la operación estadística cuenta satélite de minería - CSM, en el marco del modelo genérico del proceso estadístico GSBPM.</t>
  </si>
  <si>
    <t xml:space="preserve"> Contratación directa - Contratos interadministrativos</t>
  </si>
  <si>
    <t>140-96</t>
  </si>
  <si>
    <t>140-96 Viáticos o gastos de desplazamiento</t>
  </si>
  <si>
    <t>140-97</t>
  </si>
  <si>
    <t>140-97 Adquirir los servicios necesarios para garantizar el desplazamiento de servidores públicos y contratistas de la UPME a los eventos y espacios institucionales de planeación minero energética.</t>
  </si>
  <si>
    <t>Funcionamiento</t>
  </si>
  <si>
    <t>111-1</t>
  </si>
  <si>
    <t>N.A</t>
  </si>
  <si>
    <t>72101511</t>
  </si>
  <si>
    <t>A-02-02-02-008-007</t>
  </si>
  <si>
    <t>Mantenimientos y/o mejoras</t>
  </si>
  <si>
    <t>111-1 Prestar servicios de mantenimiento preventivo, correctivo y de emergencia a los equipos de aire acondicionado ubicados en la sede administrativa de la Upme.</t>
  </si>
  <si>
    <t>Jenny Patricia Peña Rozo</t>
  </si>
  <si>
    <t>Coordinador GIT Gestión Administrativa y Servicio al Ciudadano</t>
  </si>
  <si>
    <t>111-10</t>
  </si>
  <si>
    <t>84131607;84131500</t>
  </si>
  <si>
    <t>A-02-02-02-007-001</t>
  </si>
  <si>
    <t>111-10 Adquirir el servicio de seguro obligatorio de accidente de tránsito "SOAT" para los dos vehículos oficiales de la Upme.</t>
  </si>
  <si>
    <t>111-11</t>
  </si>
  <si>
    <t>15101506</t>
  </si>
  <si>
    <t>A-02-02-01-003-003</t>
  </si>
  <si>
    <t>111-11 Suministrar la gasolina requerida a los vehículos oficiales de propiedad de la Upme.</t>
  </si>
  <si>
    <t>111-12</t>
  </si>
  <si>
    <t>80111707</t>
  </si>
  <si>
    <t>A-02-02-01-002-008</t>
  </si>
  <si>
    <t>111-12 Suministrar el calzado y vestido de labor para la dotación de los servidores de la UPME para la vigencia 2026 mediante la entrega de tarjetas electrónicas canjeables.</t>
  </si>
  <si>
    <t>111-13</t>
  </si>
  <si>
    <t>44121600</t>
  </si>
  <si>
    <t xml:space="preserve">A-02-02-01-003-002 </t>
  </si>
  <si>
    <t>111-13 Adquirir elementos de oficina y papelería requeridos por los servidores de la Upme.</t>
  </si>
  <si>
    <t>111-14</t>
  </si>
  <si>
    <t>80131500</t>
  </si>
  <si>
    <t>A-02-02-02-009-007</t>
  </si>
  <si>
    <t>Arrendamientos</t>
  </si>
  <si>
    <t>111-14 Prestar el servicio de arrendamiento para la administración integral del archivo central de la Upme y su respectivo bodegaje.</t>
  </si>
  <si>
    <t>111-15</t>
  </si>
  <si>
    <t>55101519</t>
  </si>
  <si>
    <t>A-02-02-02-008-009</t>
  </si>
  <si>
    <t>111-15 Prestar el servicio de publicación en el diario oficial de los actos administrativos de carácter general emitidos por la UPME.</t>
  </si>
  <si>
    <t>111-16</t>
  </si>
  <si>
    <t>80111620</t>
  </si>
  <si>
    <t>A-02-02-02-008-003</t>
  </si>
  <si>
    <t>111-16 Brindar apoyo en los procesos administrativos, documentales y de servicio al ciudadano en el marco de la Modernización de Procesos de la Entidad UPME</t>
  </si>
  <si>
    <t>11.5</t>
  </si>
  <si>
    <t>111-17</t>
  </si>
  <si>
    <t>111-17 Prestar servicios profesionales en el apoyo a la supervisión de contratos, control de pagos y seguimiento a la ejecución del PAA y correcto funcionamiento de bienes y servicios requeridos de la UPME.</t>
  </si>
  <si>
    <t>111-18</t>
  </si>
  <si>
    <t>111-18 Prestar servicios profesionales en la interventoría de la tercera fase de adecuaciones a la infraestructura de la sede administrativa de la Upme.</t>
  </si>
  <si>
    <t>111-19</t>
  </si>
  <si>
    <t>111-19 Prestar los servicios profesionales para apoyar las actividades relacionadas con la gestión administrativa de la Secretaría General de la UPME.</t>
  </si>
  <si>
    <t>111-2</t>
  </si>
  <si>
    <t>72101509</t>
  </si>
  <si>
    <t>111-2 Prestar servicios de mantenimiento preventivo y correctivo en el sistema de protección de red contraincendios en las instalaciones de la UPME.</t>
  </si>
  <si>
    <t>111-20</t>
  </si>
  <si>
    <t>A-02-02-02-008-002</t>
  </si>
  <si>
    <t>111-20 Prestar servicios profesionales para apoyar la sustanciación y revisión de actos administrativos, respuestas a derechos de petición, conceptos y circulares adelantadas en la Secretaría General de la UPME.</t>
  </si>
  <si>
    <t>111-21</t>
  </si>
  <si>
    <t>84131501;84131607;84131514;84131500;84131603</t>
  </si>
  <si>
    <t>111-21 Prestar servicios de intermediación y asesoría en la formulación y manejo de los programas de seguros para la Upme.</t>
  </si>
  <si>
    <t>111-22</t>
  </si>
  <si>
    <t>111-22 Adquirir las pólizas de seguros que amparen los bienes muebles, inmuebles e intereses patrimoniales asegurables de propiedad de la Upme y de aquellos por los que sea o llegase a ser legalmente responsable a nivel nacional.</t>
  </si>
  <si>
    <t>111-23</t>
  </si>
  <si>
    <t>78102203;78102206</t>
  </si>
  <si>
    <t>A-02-02-02-006-008</t>
  </si>
  <si>
    <t xml:space="preserve">111-23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						</t>
  </si>
  <si>
    <t>111-24</t>
  </si>
  <si>
    <t xml:space="preserve">A-02-02-02-008-005 </t>
  </si>
  <si>
    <t>111-24 Prestar el servicio integral de recepción, seguridad privada y vigilancia en la sede de la Upme.</t>
  </si>
  <si>
    <t>111-25</t>
  </si>
  <si>
    <t>72121103</t>
  </si>
  <si>
    <t xml:space="preserve">A-02-02-02-008-007 </t>
  </si>
  <si>
    <t>111-25 Adelantar la tercera fase de las adecuaciones a la infraestructura de la sede administrativa de la Upme.</t>
  </si>
  <si>
    <t>111-26</t>
  </si>
  <si>
    <t>90101700;76111500</t>
  </si>
  <si>
    <t>111-26 Prestar el servicio integral de aseo y cafetería para la Upme incluidos los insumos básicos de aseo y cafetería requeridos.</t>
  </si>
  <si>
    <t>Selección abreviada - acuerdo marco</t>
  </si>
  <si>
    <t>111-27</t>
  </si>
  <si>
    <t>42172001</t>
  </si>
  <si>
    <t>A-02-02-01-003-005</t>
  </si>
  <si>
    <t>111-27 Adquirir los insumos y elementos necesarios para dotar los botiquines de las brigadas de emergencia y comprar los elementos de bioseguridad para los servidores públicos de la Upme.</t>
  </si>
  <si>
    <t>Liliana Castillo</t>
  </si>
  <si>
    <t>Coordinadora GIT Gestión del Talento Humano</t>
  </si>
  <si>
    <t>liliana.castillo@upme.gov.co</t>
  </si>
  <si>
    <t>111-28</t>
  </si>
  <si>
    <t>85101503</t>
  </si>
  <si>
    <t>A-02-02-02-009-003</t>
  </si>
  <si>
    <t>111-28 Prestar los servicios requeridos para gestionar los exámenes médicos periódicos ocupacionales de la vigencia 2026 para los servidores públicos de la Upme.</t>
  </si>
  <si>
    <t>111-29</t>
  </si>
  <si>
    <t>85122201</t>
  </si>
  <si>
    <t>111-29 Prestar los servicios requeridos para gestionar los exámenes médicos de vinculación y desvinculación de los funcionarios de la Upme.</t>
  </si>
  <si>
    <t>111-3</t>
  </si>
  <si>
    <t>78181507</t>
  </si>
  <si>
    <t>111-3 Prestar servicios de mantenimiento preventivo y correctivo para los dos vehículos oficiales de propiedad de la Upme.</t>
  </si>
  <si>
    <t>Radicado 20261130017173</t>
  </si>
  <si>
    <t>111-30</t>
  </si>
  <si>
    <t>A-02-02-02-009-002</t>
  </si>
  <si>
    <t>111-30 Contratar los servicios profesionales requeridos para gestionar el desarrollo de actividades formativas y de actualización en el marco del Plan Institucional de Capacitación (PIC) de la vigencia 2026, dirigido a las servidoras/es públicos de la Upme.</t>
  </si>
  <si>
    <t>111-31</t>
  </si>
  <si>
    <t>85101508</t>
  </si>
  <si>
    <t>111-31 Prestar servicios profesionales de área protegida (SAP) para las personas que se encuentren en las instalaciones de la Upme en caso de presentarse una emergencia y/o urgencia como parte del Plan de Emergencia de la Entidad.</t>
  </si>
  <si>
    <t>111-32</t>
  </si>
  <si>
    <t>A-02-02-02-009-006</t>
  </si>
  <si>
    <t>111-32 Prestar los servicios logísticos en la organización y ejecución de las actividades programadas en el Plan de bienestar social, estímulos e incentivos para los servidores de la Upme y sus familias durante la vigencia 2026.</t>
  </si>
  <si>
    <t>111-33</t>
  </si>
  <si>
    <t>111-33 Contratar los servicios profesionales requeridos para gestionar el desarrollo de actividades formativas y de actualización en el marco del Plan Institucional de Capacitación (PIC) de la vigencia 2026, dirigido a las servidoras/es públicos de la UPME</t>
  </si>
  <si>
    <t>111-34</t>
  </si>
  <si>
    <t>111-34 Prestar los servicios profesionales al Grupo Interno de Trabajo de Gestión Administrativa y Servicio al Ciudadano en el levantamiento, verificación, consolidación, análisis de información y procesos administrativos a cargo</t>
  </si>
  <si>
    <t>111-35</t>
  </si>
  <si>
    <t>111-35 Prestar servicios profesionales orientados a fortalecer la apropiación, comprensión y adecuada aplicación del proceso contable de la entidad</t>
  </si>
  <si>
    <t>Coordinador GIT Financiero</t>
  </si>
  <si>
    <t>hollmen.corredor@upme.gov.co</t>
  </si>
  <si>
    <t>111-36</t>
  </si>
  <si>
    <t>111-36 Prestar el servicio de mantenimiento preventivo y correctivo que garantice el correcto funcionamiento de las UPS de propiedad de la Upme.</t>
  </si>
  <si>
    <t>111-37</t>
  </si>
  <si>
    <t>41111970</t>
  </si>
  <si>
    <t>111-37 Prestar el servicio de mantenimiento preventivo y correctivo del sistema de monitoreo ambiental instalado en el centro de cómputo de la Upme.</t>
  </si>
  <si>
    <t>111-38</t>
  </si>
  <si>
    <t>A-02-02-02-008-004</t>
  </si>
  <si>
    <t>111-38 Prestar el servicio de internet dedicado en la Upme.</t>
  </si>
  <si>
    <t>111-39</t>
  </si>
  <si>
    <t>111-39 Prestar servicios profesionales para brindar apoyo en la presentación de informes, seguimiento plan estratégico institucional, plan anual de adquisiciones y apoyo en documentos especialmente en la Secretaría General y en la Subdirección de Minería</t>
  </si>
  <si>
    <t>German Ojeda</t>
  </si>
  <si>
    <t>111-4</t>
  </si>
  <si>
    <t>46191601</t>
  </si>
  <si>
    <t>111-4 Prestar servicios de recarga y mantenimiento de extintores de la Upme.</t>
  </si>
  <si>
    <t>111-40</t>
  </si>
  <si>
    <t>111-40 Prestar servicios profesionales de asesoría estratégica a la Secretaría General de la Unidad de Planeación Minero Energética UPME, orientados al fortalecimiento de la gestión pública y la gestión del talento humano, mediante la formulación de lineamientos, recomendaciones técnicas y acompañamiento especializado para la toma de decisiones, en concordancia con el MIPG, la normatividad vigente y los objetivos institucionales.</t>
  </si>
  <si>
    <t>Katherin Pérez</t>
  </si>
  <si>
    <t>111-41</t>
  </si>
  <si>
    <t>111-41 Brindar el servicio de apoyo en todo lo relacionado con la gestión administrativa, la gestión documental, el manejo de la correspondencia y requeridos por la Unidad de Planeación Minero-Energética - UPME</t>
  </si>
  <si>
    <t>111-42</t>
  </si>
  <si>
    <t>111-42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</si>
  <si>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111-43</t>
  </si>
  <si>
    <t>111-43 Prestar el servicio de arrendamiento para bodegaje y administración integral del archivo central de la UPME</t>
  </si>
  <si>
    <t>111-44</t>
  </si>
  <si>
    <t>A-02-02-02-008-005</t>
  </si>
  <si>
    <t xml:space="preserve">111-44 Prestar el servicio de vigilancia, seguridad privada y recepción para la sede administrativa de la Unidad de Planeación Minero Energética. UPME.					</t>
  </si>
  <si>
    <t>111-45</t>
  </si>
  <si>
    <t xml:space="preserve">111-45 Contratar la prestación del servicio integral de Aseo y Cafetería incluídos los insumos básicos de Aseo y Cafetería para la sede de la Unidad de Planeación Minero Energética-UPME.					</t>
  </si>
  <si>
    <t>111-5</t>
  </si>
  <si>
    <t>44103125;81101707</t>
  </si>
  <si>
    <t>111-5 Prestar servicios de mantenimiento preventivo y correctivo incluidos los repuestos requeridos para las impresoras, escáneres y fotocopiadoras de propiedad de la Upme.</t>
  </si>
  <si>
    <t>111-6</t>
  </si>
  <si>
    <t>72151704</t>
  </si>
  <si>
    <t>111-6 Prestar servicios de mantenimiento preventivo y correctivo del sistema de cámaras de video -CCTV instalados en la Sede de la Upme.</t>
  </si>
  <si>
    <t>111-7</t>
  </si>
  <si>
    <t>72102900</t>
  </si>
  <si>
    <t>111-7 Prestar servicios de arreglos locativos requeridos en la Sede de la Upme.</t>
  </si>
  <si>
    <t>111-8</t>
  </si>
  <si>
    <t>44103100</t>
  </si>
  <si>
    <t>111-8 Adquirir elementos requeridos para impresoras y/o fotocopiadoras (Toners) de la Upme.</t>
  </si>
  <si>
    <t>111-9</t>
  </si>
  <si>
    <t>90101604</t>
  </si>
  <si>
    <t>A-02-02-02-006-003</t>
  </si>
  <si>
    <t>111-9 Prestar apoyo logístico para atender las reuniones del Consejo Directivo de la Upme o las que determine la Dirección general para apoyar actividades del sector en la vigencia 2026.</t>
  </si>
  <si>
    <t>161-1</t>
  </si>
  <si>
    <t>A-05-01-02-008-002</t>
  </si>
  <si>
    <t>161-1 Prestar servicios profesionales para la gestión de requerimientos contractuales y demás actividades administrativas requeridas por la Subdirección de Demanda.</t>
  </si>
  <si>
    <t>161-10</t>
  </si>
  <si>
    <t>A-05-01-02-008-003</t>
  </si>
  <si>
    <t>161-10 Prestar servicios profesionales para la evaluación y análisis de la información de los proyectos de Gestión Eficiente de la Energía, así como para la elaboración,  consolidación y análisis de reportes de implementación de las medidas de eficiencia energética en edificaciones públicas</t>
  </si>
  <si>
    <t>161-100</t>
  </si>
  <si>
    <t>161-100 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t>
  </si>
  <si>
    <t>161-101</t>
  </si>
  <si>
    <t>161-101 Prestar servicios profesionales para apoyar la gestión de la comunicación institucional de la UPME, mediante la elaboración, implementación y seguimiento de estrategias de comunicación interna y externa, gestión de medios y opinión pública, desarrollo de contenidos y material informativo, y asesoría en campañas de divulgación, fortaleciendo la imagen institucional y contribuyendo al cumplimiento de los objetivos misionales de la Entidad</t>
  </si>
  <si>
    <t>161-102</t>
  </si>
  <si>
    <t>161-102 Prestación de servicios profesionales de estructuración gráfica de documentos, diseño digital, presentaciones de diversa índole que sean requeridos por el área de comunicaciones</t>
  </si>
  <si>
    <t>161-103</t>
  </si>
  <si>
    <t>161-103 Prestar servicios profesionales para la creación de contenido, divulgación y socialización de los proyectos, planes y gestión de la UPME.</t>
  </si>
  <si>
    <t>161-104</t>
  </si>
  <si>
    <t>161-104 Prestar servicios de apoyo a la gestión para la UPME en la creación de contenidos audiovisuales destinados a los diferentes canales de comunicación de la entidad, en atención a sus necesidades institucionales.</t>
  </si>
  <si>
    <t>161-105</t>
  </si>
  <si>
    <t>161-105 Prestación de servicios de apoyo a la gestión para contribuir en la realización de contenido multimedia y la consolidación del banco de contenido para los portales interactivos en desarrollo de la entidad</t>
  </si>
  <si>
    <t>161-106</t>
  </si>
  <si>
    <t>161-106 Prestar servicios profesionales para la gestión y fortalecimiento de la presencia digital, mediante la elaboración de contenido y su divulgación para la implementación de estrategias de comunicación digital, campañas de posicionamiento institucional y administración de sus canales y comunidades en redes sociales de las diferentes subdirecciones y Dirección General.</t>
  </si>
  <si>
    <t>161-107</t>
  </si>
  <si>
    <t>161-107 Prestar servicios profesionales de apoyo al área de comunicaciones en el diseño, desarrollo y producción de materiales audiovisuales, animaciones, piezas gráficas y contenidos digitales, orientados a fortalecer la identidad visual institucional y la divulgación estratégica de la información técnica y misional de la UPME.</t>
  </si>
  <si>
    <t>161-108</t>
  </si>
  <si>
    <t>161-108 Prestar los servicios profesionales para la formulación, actualización y seguimiento a la ejecución presupuestal, procesos contractuales, planes institucionales y proyectos de inversión de la Unidad de Planeación Minero Energética asignados, así como los relacionados con proyectos de Fuentes No Convencionales de Energía, Gestión Eficiente de la Energía e Hidrógeno.</t>
  </si>
  <si>
    <t>161-109</t>
  </si>
  <si>
    <t>161-109 Prestar servicios profesionales en la ejecución y seguimiento a las acciones de cooperación relacionadas con la implementación y la actualización de la Estrategia Institucional de Cooperación Internacional de la UPME.</t>
  </si>
  <si>
    <t>161-11</t>
  </si>
  <si>
    <t>161-11 Prestar servicios profesionales en pedagogía, para apoyar en el diseño, planeación y ejecución de procesos de capacitación interna y externa, así como en la elaboración y actualización de materiales pedagógicos y recursos didácticos asociados al trámite de incentivos tributarios</t>
  </si>
  <si>
    <t>161-110</t>
  </si>
  <si>
    <t>161-110 Prestar los servicios profesionales para el acompañamiento y seguimiento jurídico a las etapas pre contractual, contractual y pos contractual, así como, reporte de información</t>
  </si>
  <si>
    <t>Coordinador GIT Contractual</t>
  </si>
  <si>
    <t>161-111</t>
  </si>
  <si>
    <t>161-111 Prestar servicios profesionales para la gestión de las fases contractuales de la entidad, con especial énfasis en los asuntos relativos a la Subdirección de Demanda, en asocio con el GIT de Gestión Contractual.</t>
  </si>
  <si>
    <t>161-112</t>
  </si>
  <si>
    <t>161-112 Prestar servicios profesionales para apoyar los procesos contractuales de la entidad en sus diferentes etapas, así como mantener actualizados los expedientes contractuales, bases de datos y sistemas de gestión documental del GIT de Gestión Contractual</t>
  </si>
  <si>
    <t>161-113</t>
  </si>
  <si>
    <t>161-113 Prestar el servicio de apoyo en todo lo relacionado con los asuntos de correspondencia de los trámites relacionados con los certificados de proyectos de Fuentes no Convencionales de Energía y Gestión Eficiente de la Energía y demás asuntos de la Entidad</t>
  </si>
  <si>
    <t>161-114</t>
  </si>
  <si>
    <t>161-114 Prestar los servicios profesionales para apoyar y tramitar las actividades asociadas con el proceso de atención al ciudadano y la política de participación ciudadana y los planes institucionales de la UPME.s de Energía y Gestión Eficiente de la Energía y demás asuntos de la Entidad</t>
  </si>
  <si>
    <t>161-115</t>
  </si>
  <si>
    <t>161-115 Prestar los servicios profesionales Para el desarrollo de actividades relacionadas con el seguimiento  analisis y control a la ejecucion presupuestal, Plan anualizado de caja y a los procesos tesorales de la entidad</t>
  </si>
  <si>
    <t>161-116</t>
  </si>
  <si>
    <t>161-116 Prestar los servicios profesionales para el desarrollo de actividades relacionadas con la gestión y el seguimiento presupuestal en el marco del direccionamiento estratégico de la Entidad.</t>
  </si>
  <si>
    <t>161-117</t>
  </si>
  <si>
    <t>161-117 Prestar los servicios profesionales para el apoyo administrativo relacionados con el contrato de la fiducia mercantil, gestión de tesorería y contable a cargo de GIT de gestión financiera.</t>
  </si>
  <si>
    <t>161-118</t>
  </si>
  <si>
    <t>161-118 Prestar los servicios profesionales para el desarrollo de actividades relacionadas con la gestión tributaria de la entidad a cargo del Grupo Interno de Trabajo de Gestión Financiera de la Secretaría General, todo de conformidad con lo señalado en los estudios previos y la propuesta, los cuales forman parte integral del contrato.</t>
  </si>
  <si>
    <t>161-119</t>
  </si>
  <si>
    <t>161-119 Prestación de servicios profesionales para la creación desde la experiencia académica, de estrategias de información que trasciendan a la ciudadanía en el conocimiento de la misionalidad de la UPME</t>
  </si>
  <si>
    <t>161-12</t>
  </si>
  <si>
    <t>161-12 Prestar los servicios profesionales para la asistencia técnica y atención al ciudadano, así como la evaluación de los requerimientos asociados al trámite de Incentivos Tributarios.</t>
  </si>
  <si>
    <t>161-120</t>
  </si>
  <si>
    <t>161-120 Prestar los servicios profesionales para la gestión en la ejecución de los ingresos y gastos de comercialización y producción, apoyo en el seguimiento técnico, administrativo y financiero al cumplimiento del objeto del contrato de la fiducia mercantil y apoyo en las actividades relacionadas de la gestión de tesorería</t>
  </si>
  <si>
    <t>161-121</t>
  </si>
  <si>
    <t>84111701;84101501</t>
  </si>
  <si>
    <t>A-05-01-02-007-001</t>
  </si>
  <si>
    <t>161-121 Constituir una Fiducia Mercantil, a través del cual se recibirán y administrarán los recursos provenientes de los terceros que utilicen o soliciten servicios técnicos o de planeación y asesoría a la Unidad de Planeación Minero Energética - UPME.</t>
  </si>
  <si>
    <t>161-122</t>
  </si>
  <si>
    <t>161-122 Prestar servicios profesionales,  para el desarrollo de actividades relacionadas con el seguimiento, análisis y control de la gestión contable  de la Unidad de Planeación Minero Energética – UPME</t>
  </si>
  <si>
    <t>161-123</t>
  </si>
  <si>
    <t>161-123 Prestar servicios profesionales para el desarrollo de los tramites contractuales requeridos y la proyección de las respuestas a las PQRS de la entidad, en especial las relacionadas con el tramite de Incentivos Tributarios.</t>
  </si>
  <si>
    <t>161-124</t>
  </si>
  <si>
    <t>161-124 Prestar apoyo técnico operativo en los procesos de registro, verificación y organización de la información contable, presupuestal y financiera de la entidad, conforme a la normatividad vigente del sector público, contribuyendo al correcto manejo de los recursos y al cumplimiento de los procedimientos internos establecidos.</t>
  </si>
  <si>
    <t>161-125</t>
  </si>
  <si>
    <t>161-125 Prestar servicios de apoyo en las actividades de registro, clasificación, depuración, verificación y archivo de la información contable de la entidad, de conformidad con la normatividad contable del sector público y los procedimientos internos, contribuyendo a la elaboración de informes contables y al adecuado control de las operaciones financieras.</t>
  </si>
  <si>
    <t>161-126</t>
  </si>
  <si>
    <t>161-126 Prestar servicios profesionales en la formulación, análisis, seguimiento y evaluación de políticas, planes, programas y procesos institucionales, mediante el acompañamiento a las dependencias, la emisión de conceptos y recomendaciones administrativas, la elaboración de informes y el apoyo al cumplimiento de los lineamientos estratégicos, normativos y operativos de la Entidad.</t>
  </si>
  <si>
    <t>161-127</t>
  </si>
  <si>
    <t>43211500;43211515</t>
  </si>
  <si>
    <t>161-127 Adquisición de equipos de cómputo</t>
  </si>
  <si>
    <t>161-128</t>
  </si>
  <si>
    <t>161-128 GMF (4x1000)</t>
  </si>
  <si>
    <t>161-129</t>
  </si>
  <si>
    <t>A-05-01-02-006-008</t>
  </si>
  <si>
    <t>161-129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</si>
  <si>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161-13</t>
  </si>
  <si>
    <t>161-13 Prestar los servicios profesionales para la asistencia técnica y atención al ciudadano, así como la evaluación de los requerimientos asociados al trámite de Incentivos Tributarios.</t>
  </si>
  <si>
    <t>161-130</t>
  </si>
  <si>
    <t>161-130 Prestar servicios profesionales para apoyar la identificación, análisis y evaluación de potenciales, metas y medidas de eficiencia energética, así como para la evaluación y análisis de la información asociada a proyectos de Fuentes No Convencionales de Energía Renovable (FNCER) y de gestión eficiente de la energía.</t>
  </si>
  <si>
    <t>161-131</t>
  </si>
  <si>
    <t>161-131 Prestar servicios de apoyo a la gestión en el desarrollo del Plan Nacional de Bioenergía y la elaboración de documentos de planeación, en el marco de la Transición Energética Justa</t>
  </si>
  <si>
    <t>161-132</t>
  </si>
  <si>
    <t>161-132 Prestar servicios de apoyo a la gestión, para actividades enmarcadas en el Plan de Bienestar y Seguridad y Salud en el trabajo.</t>
  </si>
  <si>
    <t>161-133</t>
  </si>
  <si>
    <t xml:space="preserve">78102203;78102206	</t>
  </si>
  <si>
    <t xml:space="preserve">A-05-01-02-006-008	</t>
  </si>
  <si>
    <t>161-133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</si>
  <si>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161-134</t>
  </si>
  <si>
    <t>161-134 Prestar servicios profesionales al GIT de financiera, específicamente en los procesos de Tesorería y Presupuesto, conforme a la normatividad vigente</t>
  </si>
  <si>
    <t>161-14</t>
  </si>
  <si>
    <t>161-14 Prestar los servicios profesionales para la asistencia jurídica y atención al ciudadano, así como la respuesta a PQR´s de los requerimientos asociados al trámite de Incentivos Tributarios.</t>
  </si>
  <si>
    <t>161-15</t>
  </si>
  <si>
    <t>161-15 Prestar servicios profesionales para la evaluación, análisis de la información de los proyectos de Fuentes No Convencionales de Energía y Gestión eficiente de la energía así como la validación documental, evaluación técnica y conceptualización de medidas de eficiencia energética en edificios de las administraciones públicas.</t>
  </si>
  <si>
    <t>161-16</t>
  </si>
  <si>
    <t>161-16 Prestar servicios profesionales para la validación documental, la evaluación técnica y la conceptualización de las medidas de eficiencia energética reportadas para los edificios de las administraciones públicas presentados ante la UPME.</t>
  </si>
  <si>
    <t>161-17</t>
  </si>
  <si>
    <t>161-17 Prestar servicios profesionales para diseñar, desarrollar y acompañar estrategias de pedagogía y difusión con enfoque social, orientadas a la sensibilización, capacitación, formación y fortalecimiento de capacidades de los públicos objetivo de los diferentes trámites, planes y procesos de la Subdirección de Demanda.</t>
  </si>
  <si>
    <t>161-18</t>
  </si>
  <si>
    <t>161-18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</si>
  <si>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161-19</t>
  </si>
  <si>
    <t>161-19 Prestar servicios profesionales enfocados en la revisión, análisis y evaluación de la información técnica de proyectos de Fuentes No Convencionales de Energía y Gestión Eficiente de la Energía e hidrogeno, garantizando el cumplimiento de la normativa vigente, y apoyando la toma de decisiones estratégicas que optimicen la eficiencia en los procesos.</t>
  </si>
  <si>
    <t>161-2</t>
  </si>
  <si>
    <t>161-2 Prestar los servicios profesionales para realizar el seguimiento y control de los procesos contractuales, la ejecución presupuestal y demás actividades que se requieran para el cumplimiento de las metas y objetivos de la Subdirección de Demanda, asociados a las iniciativas y proyectos de FNCE, GEE e Hidrógeno.</t>
  </si>
  <si>
    <t>161-20</t>
  </si>
  <si>
    <t>161-20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</si>
  <si>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161-21</t>
  </si>
  <si>
    <t>161-21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</si>
  <si>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161-22</t>
  </si>
  <si>
    <t>161-22 Prestar servicios profesionales en materia contable, financiera y tributaria para la correcta aplicación de modificaciones normativas de incentivos tributarios y la revisión de criterios fiscales así como el apoyo administrativo a la Subdirección de Demanda</t>
  </si>
  <si>
    <t>161-23</t>
  </si>
  <si>
    <t>161-23 Prestar servicios profesionales especializados en arquitectura empresarial, automatización avanzada de procesos y desarrollo de soluciones tecnológicas sobre la plataforma Bizagi en el trámite de Incentivos Tributarios y otros entornos compatibles adoptados por la UPME.</t>
  </si>
  <si>
    <t>161-24</t>
  </si>
  <si>
    <t>161-24 Prestar servicios profesionales para realizar la gestión y análisis de información, construcción de bases de datos, formulación y seguimiento a las estadísticas e indicadores de impacto de los incentivos tributarios, con enfoque territorial.</t>
  </si>
  <si>
    <t>161-25</t>
  </si>
  <si>
    <t>161-25 Prestar servicios de apoyo asistencial para la gestión operativa de los casos, realizando la distribución y enrutamiento oportuno a los evaluadores correspondientes, el registro y actualización de la base de datos de seguimiento conforme al procedimiento establecido en el trámite de Incentivos Tributarios.</t>
  </si>
  <si>
    <t>161-26</t>
  </si>
  <si>
    <t>161-26 Prestar servicios de apoyo asistencial para la gestión operativa de los casos, realizando la distribución y enrutamiento oportuno a los evaluadores correspondientes, el registro y actualización de la base de datos de seguimiento y la verificación del cierre adecuado de los casos, garantizando que cada expediente cuente con la información completa y ordenada conforme a los lineamientos establecidos en el trámite de Incentivos Tributarios.</t>
  </si>
  <si>
    <t>161-27</t>
  </si>
  <si>
    <t>161-27 Prestar servicios profesionales para la evaluación y análisis de la información de los proyectos de FNCE y de Gestión Eficiente de la Energía, así como para la elaboración,  consolidación y análisis de reportes de implementación de las medidas de eficiencia energética en edificaciones públicas.</t>
  </si>
  <si>
    <t>161-28</t>
  </si>
  <si>
    <t>161-28 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t>
  </si>
  <si>
    <t>161-29</t>
  </si>
  <si>
    <t>161-29 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t>
  </si>
  <si>
    <t>161-3</t>
  </si>
  <si>
    <t>161-3 Prestar servicios profesionales para brindar soporte administrativo y operativo en los procesos contractuales, la gestión de trámites de pago y la realización de actividades necesarias para el cumplimiento de las metas operativas y estratégicas relacionadas con los proyectos de FNCE, GEE e Hidrógeno de la Subdirección de Demanda.</t>
  </si>
  <si>
    <t>161-30</t>
  </si>
  <si>
    <t>161-30 Prestar servicios profesionales para la evaluación, análisis de la información de los proyectos de Fuentes No Convencionales de Energía y Gestión Eficiente de la Energía.</t>
  </si>
  <si>
    <t>161-31</t>
  </si>
  <si>
    <t>161-31 Prestar servicios profesionales para la evaluación, análisis de la información de los proyectos de Fuentes No Convencionales de Energía y Gestión Eficiente de la Energía.</t>
  </si>
  <si>
    <t>161-32</t>
  </si>
  <si>
    <t>161-32 Prestar servicios profesionales para la evaluación, análisis de la información de los proyectos de Fuentes No Convencionales de Energía y Gestión Eficiente de la Energía.</t>
  </si>
  <si>
    <t>161-33</t>
  </si>
  <si>
    <t>161-33 Prestar servicios profesionales para la evaluación, análisis de la información de los proyectos de Fuentes No Convencionales de Energía y Gestión Eficiente de la Energía.</t>
  </si>
  <si>
    <t>161-34</t>
  </si>
  <si>
    <t>161-34 Prestar servicios profesionales para la evaluación, análisis de la información de los proyectos de Fuentes No Convencionales de Energía y Gestión Eficiente de la Energía.</t>
  </si>
  <si>
    <t>161-35</t>
  </si>
  <si>
    <t>161-35 Prestar servicios profesionales para la evaluación, análisis y actualización de la información de los proyectos de Fuentes No Convencionales de Energía, Gestión Eficiente de la Energía e Hidrógeno presentados a la UPME.</t>
  </si>
  <si>
    <t>161-36</t>
  </si>
  <si>
    <t>161-36 Prestar servicios profesionales para la evaluación y análisis de proyectos de Gestión Eficiente de la Energía, a las solicitudes de incentivos tributarios radicadas en la UPME.</t>
  </si>
  <si>
    <t>161-37</t>
  </si>
  <si>
    <t>161-37 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t>
  </si>
  <si>
    <t>161-38</t>
  </si>
  <si>
    <t>161-38 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t>
  </si>
  <si>
    <t>161-39</t>
  </si>
  <si>
    <t>161-39 Prestar servicios de apoyo a la gestión para la evaluación, análisis de la información de los proyectos de Fuentes No Convencionales de Energía y Gestión Eficiente de la Energía, así como el análisis de datos del trámite de incentivos tributarios a través de automatismos.</t>
  </si>
  <si>
    <t>161-4</t>
  </si>
  <si>
    <t>161-4 Prestar servicios profesionales para el seguimiento y documentación integral de las actividades de la Subdirección de Demanda, así como para la formulación, seguimiento, reporte y ejecución de instrumentos de planeación y metas institucionales.</t>
  </si>
  <si>
    <t>161-40</t>
  </si>
  <si>
    <t>161-40 Prestar servicios de apoyo a la gestión para la evaluación de proyectos de Fuentes No Convencionales de Energía, Gestión Eficiente de la Energía, particularmente proyectos de enfriamiento de gran capacidad, integrando la regulación del sector eléctrico nacional, así como parámetros de gestión ambiental y desarrollo sostenible, cuantificando impactos ambientales y sociales, que soporten la toma de decisiones en el trámite de incentivos tributarios.</t>
  </si>
  <si>
    <t>161-41</t>
  </si>
  <si>
    <t>161-41 Prestar servicios profesionales para la evaluación, análisis de la información de los proyectos de Fuentes No Convencionales de Energía y Gestión Eficiente de la Energía.</t>
  </si>
  <si>
    <t>161-42</t>
  </si>
  <si>
    <t>161-42 Prestar servicios profesionales para la evaluación, análisis de la información de los proyectos de Fuentes No Convencionales de Energía y Gestión Eficiente de la Energía.</t>
  </si>
  <si>
    <t>161-43</t>
  </si>
  <si>
    <t>161-43 Prestar servicios profesionales para apoyar la validación del cumplimiento en el envío correcto y completo de los requisitos exigidos por la normativa vigente para el acceso a incentivos tributarios en proyectos de Fuentes No Convencionales de Energía, Gestión Eficiente de la Energía e Hidrógeno.</t>
  </si>
  <si>
    <t>161-44</t>
  </si>
  <si>
    <t>161-44 Prestar servicios profesionales para realizar el análisis técnico y documental de los proyectos asociados a Fuentes No Convencionales de Energía y Gestión Eficiente de la Energía, mediante la evaluación integral de la información suministrada, la verificación del cumplimiento de los requisitos exigidos y la aplicación de los lineamientos normativos.</t>
  </si>
  <si>
    <t>161-45</t>
  </si>
  <si>
    <t>161-45 Prestar servicios profesionales para la evaluación y análisis integral de la información de los proyectos de Fuentes No Convencionales de Energía y de Gestión Eficiente de la Energía, aplicando metodologías de formulación, seguimiento y control de proyectos, con el fin de verificar el cumplimiento de requisitos técnicos y normativos, además de elaborar conceptos o informes técnicos que soporten la toma de decisiones en el trámite de incentivos tributarios.</t>
  </si>
  <si>
    <t>161-46</t>
  </si>
  <si>
    <t>161-46 Prestar servicios profesionales para el diseño y desarrollo de los temarios y contenidos técnicos orientados a la elaboración de cursos y/o módulos de aprendizaje relacionados con la capacitación de Gestores Energéticos en el uso racional y eficiente de la energía.</t>
  </si>
  <si>
    <t>161-47</t>
  </si>
  <si>
    <t>161-47 Prestar servicios profesionales para la gestión jurídica relacionada con la sustanciación de los recursos de reposición y acciones de tutela contra las decisiones adoptadas en el trámite de incentivos tributarios, asi como apoyar las actualizaciones normativas y juridicas requeridas dentro de la Subdirección de Demanda.</t>
  </si>
  <si>
    <t>161-48</t>
  </si>
  <si>
    <t>161-48 Prestar servicios profesionales para ejecutar y articular la gestión jurídica del equipo encargado de la sustanciación de los recursos de reposición y acciones de tutela interpuestas contra las decisiones adoptadas en el trámite de incentivos tributarios, asi como apoyar las actualizaciones normativas del proceso.</t>
  </si>
  <si>
    <t>161-49</t>
  </si>
  <si>
    <t xml:space="preserve">161-49 Prestar servicios profesionales para la evaluación técnica y revisión de proyectos de Fuentes No Convencionales de Energía, Gestión Eficiente de la Energía e Hidrógeno, incluyendo la validación de información y la aplicación de criterios técnicos y metodológicos de acuerdo a la normatividad vigente. </t>
  </si>
  <si>
    <t>161-5</t>
  </si>
  <si>
    <t>161-5 Prestar servicios de apoyo administrativo a la Subdirección de Demanda, incluyendo el análisis de información y documentos de sus procesos, la gestión de trámites y pagos, y la ejecución de actividades necesarias para cumplir las metas operativas, conforme a los lineamientos institucionales.</t>
  </si>
  <si>
    <t>161-50</t>
  </si>
  <si>
    <t>161-50 Prestar servicios profesionales para el análisis, verificación y validación de la información presentada en solicitudes de incentivos tributarios asociadas a proyectos de Fuentes No Convencionales de Energía y Gestión Eficiente de la Energía, aplicando los criterios técnicos, normativos y metodológicos definidos por la UPME.</t>
  </si>
  <si>
    <t>161-51</t>
  </si>
  <si>
    <t>161-51 Prestar servicios profesionales para la gestión jurídica relacionada con la sustanciación de los recursos de reposición y acciones de tutela contra las decisiones adoptadas en el trámite de incentivos tributarios, asi como apoyar las actualizaciones normativas del proceso.</t>
  </si>
  <si>
    <t>161-52</t>
  </si>
  <si>
    <t>161-52 Prestar servicios profesionales contables para asesorar y apoyar el análisis, interpretación y aplicación de los cambios normativos relacionados con el trámite de incentivos tributarios, incluyendo recomendaciones técnicas, revisión de criterios fiscales, información exógena e impacto en los contribuyentes.</t>
  </si>
  <si>
    <t>161-53</t>
  </si>
  <si>
    <t>161-53 Prestar servicios profesionales para la gestión jurídica relacionada con la sustanciación de los recursos de reposición y acciones de tutela contra las decisiones adoptadas en el trámite de incentivos tributarios.</t>
  </si>
  <si>
    <t>161-54</t>
  </si>
  <si>
    <t>161-54 Prestar servicios profesionales para la gestión jurídica relacionada con la sustanciación de los recursos de reposición y acciones de tutela contra las decisiones adoptadas en el trámite de incentivos tributarios.</t>
  </si>
  <si>
    <t>161-55</t>
  </si>
  <si>
    <t>161-55 Prestar servicios profesionales para apoyar la gestión jurídica , mediante la sustanciación,  proyección de recursos, acciones de tutela , la elaboración de conceptos jurídicos y la atención de requerimientos judiciales y administrativos, verificando el cumplimiento del marco normativo y jurisprudencial vigente</t>
  </si>
  <si>
    <t>161-56</t>
  </si>
  <si>
    <t>161-56 Prestar servicios profesionales para el apoyo a la actualización de normas, actos administrativos, lineamientos internos y demás instrumentos jurídicos del trámite de incentivos tributarios, así como la revisión permanente de los cambios normativos sectoriales que impacten el procedimiento.</t>
  </si>
  <si>
    <t>161-57</t>
  </si>
  <si>
    <t>161-57 Prestar servicios profesionales a nivel jurídico y regulatorio a la Subdirección de Demanda para el análisis de información y la evaluación de impactos normativos en el proceso de incentivos tributarios y las funciones misionales de la entidad</t>
  </si>
  <si>
    <t>161-58</t>
  </si>
  <si>
    <t>161-58 Prestar servicios profesionales para la evaluación, análisis, construcción de conceptos técnicos y actualizaciones tecnológicas para el trámite de incentivos tributarios de los proyectos de Fuentes No Convencionales de Energía, Gestión Eficiente de la Energía e Hidrógeno presentados a la UPME.</t>
  </si>
  <si>
    <t>161-59</t>
  </si>
  <si>
    <t xml:space="preserve">161-59 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						</t>
  </si>
  <si>
    <t>161-6</t>
  </si>
  <si>
    <t>161-6 Prestar servicios profesionales para la evaluación, análisis de la información de los proyectos de Fuentes No Convencionales de Energía y Gestión Eficiente de la Energía.</t>
  </si>
  <si>
    <t>161-60</t>
  </si>
  <si>
    <t>161-60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</si>
  <si>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161-61</t>
  </si>
  <si>
    <t>161-61 Prestar servicios profesionales para realizar el seguimiento y control de las PQRS radicadas en la Upme asociadas con el trámite de incentivos tributarios, así como la respuesta a las PQRS de la entidad y demás trámites de índole jurídico.</t>
  </si>
  <si>
    <t>161-62</t>
  </si>
  <si>
    <t>161-62 Prestar servicios profesionales en la gestión de respuestas a las PQRS radicadas en la entidad asociadas al trámite de incentivos tributarios, cumpliendo los términos legales.</t>
  </si>
  <si>
    <t>161-63</t>
  </si>
  <si>
    <t>161-63 Prestar servicios profesionales a la Subdirección de Demanda, atendiendo las PQRS y demás requerimientos jurídicos relacionados con la certificación de proyectos de FNCE, GEE e Hidrógeno.</t>
  </si>
  <si>
    <t>161-64</t>
  </si>
  <si>
    <t>161-64 Prestar servicios de apoyo a la gestión para la proyección de las respuestas a las PQRS de la Subdirección de Demanda, estableciendo mecanismos de optimización para el cumplimiento de los términos legal e institucionalmente previstos.</t>
  </si>
  <si>
    <t>161-65</t>
  </si>
  <si>
    <t>161-65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</si>
  <si>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161-66</t>
  </si>
  <si>
    <t>161-66 Prestar servicios profesionales para la gestión jurídica relacionada con los trámites de recursos administrativos contra las decisiones en la evaluación de los proyectos de Fuentes No Convencionales de Energía, Gestión Eficiente de la Energía e Hidrógeno.</t>
  </si>
  <si>
    <t>161-67</t>
  </si>
  <si>
    <t>161-67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</si>
  <si>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161-68</t>
  </si>
  <si>
    <t>161-68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</si>
  <si>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161-69</t>
  </si>
  <si>
    <t>161-69 Prestar servicios profesionales en la gestión de respuestas a las PQRS y demás trámites de índole jurídico radicadas en la entidad asociadas al trámite de incentivos tributarios, cumpliendo los términos legales.</t>
  </si>
  <si>
    <t>161-7</t>
  </si>
  <si>
    <t>161-7 Prestar servicios profesionales para la proyección de las respuestas a las PQRS de la entidad a nivel jurídico relacionadas con el trámite de Incentivos tributarios, así como el acompañamiento en los procesos contractuales requeridos dentro de la Subdirección de Demanda.</t>
  </si>
  <si>
    <t>161-70</t>
  </si>
  <si>
    <t>161-70 Prestar servicios profesionales para la gestión jurídica relacionada con la sustanciación de los recursos de reposición y acciones de tutela contra las decisiones adoptadas en el trámite de incentivos tributarios.</t>
  </si>
  <si>
    <t>161-71</t>
  </si>
  <si>
    <t>161-71 Prestar servicios profesionales para la evaluación, análisis de la información de los proyectos de Fuentes No Convencionales de Energía y Gestión Eficiente de la Energía.</t>
  </si>
  <si>
    <t>161-72</t>
  </si>
  <si>
    <t>161-72 Prestar servicios profesionales para contribuir en la implementación y seguimiento de los planes de mejoramiento mediante el análisis , consolidación y documentación de los procesos, asi como el desarrollo de las actividades de indole administrativo dentro de la Subdireccion de Demanda</t>
  </si>
  <si>
    <t>161-73</t>
  </si>
  <si>
    <t>161-73 Prestar servicios profesionales para la comunicación , divulgación y socialización de la planeación energética con enfoque en descarbonización, conforme a los lineamientos de la UPME.</t>
  </si>
  <si>
    <t>161-74</t>
  </si>
  <si>
    <t>161-74  Prestar servicios profesionales orientados al fortalecimiento de la Dimensión de Control Interno mediante la ejecución del Plan Anual de Auditorías Internas Independientes, con énfasis en la evaluación de la gestión misional de la UPME.</t>
  </si>
  <si>
    <t>161-75</t>
  </si>
  <si>
    <t>161-75 Prestar servicios profesionales para la revisión posterior y control de la calidad de conceptos técnicos y certificaciones emitidas en el marco del procedimiento de evaluación de solicitudes para Incentivos Tributarios de proyectos de FNCE, GEE e Hidrógeno</t>
  </si>
  <si>
    <t>161-76</t>
  </si>
  <si>
    <t>161-76 Prestar servicios de apoyo a la gestión para el fortalecimiento de los procesos de manejo de la información y archivo del equipo administrativo de la Entidad, mediante la organización, actualización, clasificación y control de la documentación, contribuyendo al cumplimiento de las funciones institucionales y a la eficiencia administrativa.</t>
  </si>
  <si>
    <t>161-77</t>
  </si>
  <si>
    <t>161-77 Prestar servicios profesionales para la revisión posterior, control de la calidad de conceptos técnicos y certificaciones emitidas en el marco del procedimiento de evaluación de solicitudes para Incentivos Tributarios de proyectos de FNCE, GEE e Hidrógeno, así como la actualización de los instructivos de trámite.</t>
  </si>
  <si>
    <t>161-78</t>
  </si>
  <si>
    <t>161-78 Prestar servicios profesionales para la revisión posterior, control de la calidad y unificación de conceptos técnicos y certificaciones emitidas en el marco del procedimiento de evaluación de solicitudes para Incentivos Tributarios de proyectos de FNCE, GEE e Hidrógeno.</t>
  </si>
  <si>
    <t>161-79</t>
  </si>
  <si>
    <t>161-79 Prestar servicios profesionales para la revisión posterior, control de la calidad, elaboración de herramientas de seguimiento y registro y unificación de conceptos técnicos y certificaciones, emitidas en el marco del procedimiento de evaluación de solicitudes para Incentivos Tributarios de proyectos de FNCE, GEE e Hidrógeno.</t>
  </si>
  <si>
    <t>161-8</t>
  </si>
  <si>
    <t>161-8 Prestar servicios profesionales para la gestión contractual y el apoyo administrativo a la Subdirección de Demanda, así como para el análisis jurídico y la proyección de respuestas a las PQRS y demás trámites jurídicos de la entidad.</t>
  </si>
  <si>
    <t>161-80</t>
  </si>
  <si>
    <t>161-80 Prestar servicios profesionales para el diseño, implementación y mejora de automatismos, herramientas de interoperabilidad y sistemas de reporte que reduzcan los tiempos y mejoren la eficiencia del procedimiento de evaluación de solicitudes para Incentivos Tributarios de proyectos de FNCE, GEE e Hidrógeno.</t>
  </si>
  <si>
    <t>161-81</t>
  </si>
  <si>
    <t>161-81 Prestar servicios profesionales orientados a la evaluación y análisis de la información correspondiente a los proyectos de Fuentes No Convencionales de Energía y de Gestión Eficiente de la Energía</t>
  </si>
  <si>
    <t>161-82</t>
  </si>
  <si>
    <t>161-82 Prestar servicios profesionales para elaborar e implementar una metodología de revisión escalonada y reporte de los conceptos técnicos y decisiones finales, que apoyen las decisiones de los Asesores Técnicos, referida a los proyectos que buscan acceder al trámite de Incentivos Tributarios.</t>
  </si>
  <si>
    <t>161-83</t>
  </si>
  <si>
    <t>161-83 Prestar servicios profesionales orientados al fortalecimiento de la dimensión de control interno a través de la ejecución del Plan Anual de Auditorías, con énfasis en la Dirección y la Gestión Pública de la Entidad.</t>
  </si>
  <si>
    <t>161-84</t>
  </si>
  <si>
    <t>161-84 Prestar servicios profesionales para elaborar e implementar una metodología de revisión escalonada y reporte de los conceptos técnicos y decisiones finales, que apoyen las decisiones de los Asesores Técnicos respecto de los proyectos que buscan acceder al trámite de Incentivos Tributarios, incorporando análisis técnico, verificación de parámetros de desempeño de los sistemas eléctricos asociados a proyectos de FNCE, GEE e Hidrógeno.</t>
  </si>
  <si>
    <t>161-85</t>
  </si>
  <si>
    <t>161-85 Prestar servicios profesionales para diseñar, modelar y divulgar los planes, programas y proyectos prioritarios de la Subdirección de Demanda, relacionados con el Plan Energético Nacional, así como apoyar la elaboración de documentos de planeación de la Subdirección, en el marco de la Transición Energética Justa (TEJ).</t>
  </si>
  <si>
    <t>161-86</t>
  </si>
  <si>
    <t>161-86 Prestar servicios profesionales orientados a los procesos de planeación minero energética mediante el  análisis de la información sectorial para la toma de decisiones estratégicas</t>
  </si>
  <si>
    <t>161-87</t>
  </si>
  <si>
    <t>161-87 Prestar servicios profesionales para apoyar el análisis técnico y la evaluación de la información asociada a los proyectos de Fuentes No Convencionales de Energía y de Gestión Eficiente de la Energía, mediante la revisión y validación de datos para la toma de decisiones y al cumplimiento de los objetivos misionales de la Entidad</t>
  </si>
  <si>
    <t>161-88</t>
  </si>
  <si>
    <t>161-88 Prestar servicios profesionales de apoyo técnico, jurídico y regulatorio a la Subdirección de Demanda, mediante el análisis de información y la evaluación de impactos normativos, con el fin de contribuir a la formulación de planes y a la toma de decisiones estratégicas.</t>
  </si>
  <si>
    <t>161-89</t>
  </si>
  <si>
    <t>161-89 Prestar servicios de apoyo a la gestión en las labores administrativas relacionadas con los procesos y procedimientos a cargo de la Oficina Asesora Jurídica, para el logro de los objetivos institucionales de la UPME.</t>
  </si>
  <si>
    <t>161-9</t>
  </si>
  <si>
    <t>161-9 Prestar servicios profesionales para el análisis de información y documentos de los procesos de la Subdirección de Demanda y los asociados a la planeación energética de largo plazo e incentivos tributarios.</t>
  </si>
  <si>
    <t>161-90</t>
  </si>
  <si>
    <t>161-90 Prestar servicios profesionales de asesoria en los asuntos juridicos de compentencia de la Oficina Asesora Juridica de la UPME y lo que de ello se derive, en el marco de la gestión institucional de la Entidad.</t>
  </si>
  <si>
    <t>161-91</t>
  </si>
  <si>
    <t>161-91 Prestar servicios profesionales en asuntos juridicos relacionados con los procesos y procedimientos de competencia de la Oficina Asesora Juridica de la UPME, en el marco de la gestión institucional de la Entidad.</t>
  </si>
  <si>
    <t>161-92</t>
  </si>
  <si>
    <t>161-92 Prestar servicios profesionales para la proyección de documentos de contenido legal y appoyo de los asuntos de tipo jurídico que resulten de las actividades administrativas de competencia de la UPME, en el marco de la gestión institucional de la Entidad</t>
  </si>
  <si>
    <t>161-93</t>
  </si>
  <si>
    <t>161-93 Prestar servicios profesionales para la proyección de documentos de contenido legal y apoyo de los asuntos de tipo juridico y judicial de competencia de la Oficina Asesora Jurídica de la UPME, en el marco de la gestión institucional de la Entidad</t>
  </si>
  <si>
    <t>161-94</t>
  </si>
  <si>
    <t>161-94 Prestar servicios ​profesionales en asuntos jurídicos relacionados con las actuaciones administrativas y misionales de la UPME, en el marco de la gestión institucional de la Entidad.</t>
  </si>
  <si>
    <t>161-95</t>
  </si>
  <si>
    <t>161-95 Prestar servicios profesionales para la elaboración y proyección de documentos de carácter legal, así como para brindar apoyo en los asuntos jurídicos derivados de las actuaciones administrativas misionales de competencia de la UPME, en el marco de la gestión institucional de la Entidad</t>
  </si>
  <si>
    <t>161-96</t>
  </si>
  <si>
    <t>161-96 Prestar servicios profesionales en derecho  para apoyar la gestión jurídica de la UPME, mediante la asesoría y acompañamiento en la sustanciación de procesos, la elaboración y revisión de conceptos jurídicos, la revisión de actos administrativos y la emisión de recomendaciones, garantizando el cumplimiento de la normativa vigente y de los lineamientos institucionales de la Entidad.</t>
  </si>
  <si>
    <t>161-97</t>
  </si>
  <si>
    <t>161-97 Prestar servicios profesionales para el análisis jurídico y la elaboración de respuestas a las PQRS y demás trámites de carácter jurídico, así como brindar apoyo técnico-jurídico en el componente territorial y de planeación territorial para la formulación, articulación y seguimiento de planes socioambientales.</t>
  </si>
  <si>
    <t>161-98</t>
  </si>
  <si>
    <t>161-98 Prestar servicios profesionales orientados al fortalecimiento de la Dimensión de Control Interno mediante la ejecución del Plan Anual de Auditorías Internas Independientes, con énfasis en la evaluación de la gestión administrativa de la UPME</t>
  </si>
  <si>
    <t>161-99</t>
  </si>
  <si>
    <t>161-99 Prestar servicios profesionales orientados al fortalecimiento de la Política Institucional de Control Interno  a través de la ejecución del Plan Anual de Auditorías Internas Independientes, con énfasis en la evaluación  de la gestión financiera de la UPME.</t>
  </si>
  <si>
    <t>Diferencia Total Compromiso ejecutado - Total Obligación ejecutada 2</t>
  </si>
  <si>
    <t>Desarrollo de nuevos indicadores, analítica y tableros para el SIMCO basados en información sectorial agregando valor a la divulgación de las estadísticas del sector minero</t>
  </si>
  <si>
    <t>Prestar servicios profesionales de apoyo a la Subdirección de Minería, en la visibilización de la industria minera a través de los sistemas de divulgación de información minera y la entrega de conocimiento al sector.</t>
  </si>
  <si>
    <t>Total general</t>
  </si>
  <si>
    <t>SUM of Valor estimado en la vigencia actual</t>
  </si>
  <si>
    <t>SUM of CDP - RP</t>
  </si>
  <si>
    <t>FORMATO
PLAN ANUAL DE ADQUISICIONES CONSOLIDADO 2026</t>
  </si>
  <si>
    <r>
      <t xml:space="preserve">Código: </t>
    </r>
    <r>
      <rPr>
        <sz val="12"/>
        <rFont val="Verdana"/>
        <family val="2"/>
      </rPr>
      <t xml:space="preserve">F-DE-008     </t>
    </r>
  </si>
  <si>
    <r>
      <t xml:space="preserve">Fecha: </t>
    </r>
    <r>
      <rPr>
        <sz val="12"/>
        <rFont val="Verdana"/>
        <family val="2"/>
      </rPr>
      <t>21/10/2024</t>
    </r>
  </si>
  <si>
    <r>
      <t xml:space="preserve">Versión: </t>
    </r>
    <r>
      <rPr>
        <sz val="12"/>
        <rFont val="Verdana"/>
        <family val="2"/>
      </rPr>
      <t>03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</si>
</sst>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_-* #,##0_-;\-* #,##0_-;_-* &quot;-&quot;??_-;_-@"/>
    <numFmt numFmtId="166" formatCode="dd/mm/yyyy"/>
    <numFmt numFmtId="169" formatCode="_-* #,##0.00_-;\-* #,##0.00_-;_-* &quot;-&quot;??.00_-;_-@"/>
  </numFmts>
  <fonts count="16" x14ac:knownFonts="1">
    <font>
      <sz val="11"/>
      <color theme="1"/>
      <name val="Calibri"/>
      <scheme val="minor"/>
    </font>
    <font>
      <b/>
      <sz val="11"/>
      <color rgb="FFFFFFFF"/>
      <name val="Calibri"/>
      <scheme val="minor"/>
    </font>
    <font>
      <sz val="11"/>
      <color theme="1"/>
      <name val="Calibri"/>
      <scheme val="minor"/>
    </font>
    <font>
      <b/>
      <sz val="10"/>
      <color theme="1"/>
      <name val="Nunito"/>
    </font>
    <font>
      <sz val="10"/>
      <color theme="1"/>
      <name val="Nunito"/>
    </font>
    <font>
      <b/>
      <sz val="10"/>
      <color rgb="FF000000"/>
      <name val="Nunito"/>
    </font>
    <font>
      <sz val="10"/>
      <color rgb="FF1F1F1F"/>
      <name val="Nunito"/>
    </font>
    <font>
      <sz val="10"/>
      <color rgb="FF000000"/>
      <name val="Nunito"/>
    </font>
    <font>
      <sz val="11"/>
      <color rgb="FF006100"/>
      <name val="Nunito"/>
    </font>
    <font>
      <sz val="9"/>
      <color theme="1"/>
      <name val="Nunito"/>
    </font>
    <font>
      <u/>
      <sz val="10"/>
      <color theme="1"/>
      <name val="Nunito"/>
    </font>
    <font>
      <sz val="11"/>
      <color theme="1"/>
      <name val="Nunito"/>
    </font>
    <font>
      <b/>
      <sz val="11"/>
      <name val="Arial"/>
      <family val="2"/>
    </font>
    <font>
      <b/>
      <sz val="36"/>
      <name val="Arial"/>
      <family val="2"/>
    </font>
    <font>
      <b/>
      <sz val="12"/>
      <name val="Verdana"/>
      <family val="2"/>
    </font>
    <font>
      <sz val="12"/>
      <name val="Verdana"/>
      <family val="2"/>
    </font>
  </fonts>
  <fills count="17">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8D8D8"/>
        <bgColor rgb="FFD8D8D8"/>
      </patternFill>
    </fill>
    <fill>
      <patternFill patternType="solid">
        <fgColor rgb="FFCCCCCC"/>
        <bgColor rgb="FFCCCCCC"/>
      </patternFill>
    </fill>
    <fill>
      <patternFill patternType="solid">
        <fgColor rgb="FF3D85C6"/>
        <bgColor rgb="FF3D85C6"/>
      </patternFill>
    </fill>
    <fill>
      <patternFill patternType="solid">
        <fgColor rgb="FF9CC2E5"/>
        <bgColor rgb="FF9CC2E5"/>
      </patternFill>
    </fill>
    <fill>
      <patternFill patternType="solid">
        <fgColor rgb="FFDD7E6B"/>
        <bgColor rgb="FFDD7E6B"/>
      </patternFill>
    </fill>
    <fill>
      <patternFill patternType="solid">
        <fgColor rgb="FFFFF2CC"/>
        <bgColor rgb="FFFFF2CC"/>
      </patternFill>
    </fill>
    <fill>
      <patternFill patternType="solid">
        <fgColor rgb="FFFF9900"/>
        <bgColor rgb="FFFF9900"/>
      </patternFill>
    </fill>
    <fill>
      <patternFill patternType="solid">
        <fgColor rgb="FFB7B7B7"/>
        <bgColor rgb="FFB7B7B7"/>
      </patternFill>
    </fill>
    <fill>
      <patternFill patternType="solid">
        <fgColor theme="0"/>
        <bgColor rgb="FFB7B7B7"/>
      </patternFill>
    </fill>
    <fill>
      <patternFill patternType="solid">
        <fgColor theme="0"/>
        <bgColor rgb="FFFFFFFF"/>
      </patternFill>
    </fill>
    <fill>
      <patternFill patternType="solid">
        <fgColor theme="0"/>
        <bgColor rgb="FFFFF2CC"/>
      </patternFill>
    </fill>
    <fill>
      <patternFill patternType="solid">
        <fgColor theme="0"/>
        <bgColor rgb="FFFFFF00"/>
      </patternFill>
    </fill>
    <fill>
      <patternFill patternType="solid">
        <fgColor theme="0"/>
        <bgColor indexed="64"/>
      </patternFill>
    </fill>
  </fills>
  <borders count="23">
    <border>
      <left/>
      <right/>
      <top/>
      <bottom/>
      <diagonal/>
    </border>
    <border>
      <left style="thin">
        <color rgb="FF000000"/>
      </left>
      <right style="thin">
        <color rgb="FF000000"/>
      </right>
      <top style="thin">
        <color rgb="FF000000"/>
      </top>
      <bottom style="thin">
        <color rgb="FF000000"/>
      </bottom>
      <diagonal/>
    </border>
    <border>
      <left/>
      <right style="thin">
        <color rgb="FFFFFFFF"/>
      </right>
      <top/>
      <bottom style="thin">
        <color rgb="FFA3B2CC"/>
      </bottom>
      <diagonal/>
    </border>
    <border>
      <left style="thin">
        <color rgb="FFFFFFFF"/>
      </left>
      <right style="thin">
        <color rgb="FFFFFFFF"/>
      </right>
      <top/>
      <bottom style="thin">
        <color rgb="FFA3B2CC"/>
      </bottom>
      <diagonal/>
    </border>
    <border>
      <left style="thin">
        <color rgb="FFFFFFFF"/>
      </left>
      <right/>
      <top/>
      <bottom style="thin">
        <color rgb="FFA3B2CC"/>
      </bottom>
      <diagonal/>
    </border>
    <border>
      <left/>
      <right style="thin">
        <color rgb="FFFFFFFF"/>
      </right>
      <top style="thin">
        <color rgb="FFA3B2CC"/>
      </top>
      <bottom style="thin">
        <color rgb="FFA3B2CC"/>
      </bottom>
      <diagonal/>
    </border>
    <border>
      <left style="thin">
        <color rgb="FFFFFFFF"/>
      </left>
      <right style="thin">
        <color rgb="FFFFFFFF"/>
      </right>
      <top style="thin">
        <color rgb="FFA3B2CC"/>
      </top>
      <bottom style="thin">
        <color rgb="FFA3B2CC"/>
      </bottom>
      <diagonal/>
    </border>
    <border>
      <left style="thin">
        <color rgb="FFFFFFFF"/>
      </left>
      <right/>
      <top style="thin">
        <color rgb="FFA3B2CC"/>
      </top>
      <bottom style="thin">
        <color rgb="FFA3B2CC"/>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9">
    <xf numFmtId="0" fontId="0" fillId="0" borderId="0" xfId="0"/>
    <xf numFmtId="0" fontId="3"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3" fontId="3" fillId="5"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3" fontId="4" fillId="3" borderId="1" xfId="0" applyNumberFormat="1" applyFont="1" applyFill="1" applyBorder="1" applyAlignment="1">
      <alignment horizontal="right" vertical="center" wrapText="1"/>
    </xf>
    <xf numFmtId="0" fontId="4" fillId="3" borderId="1" xfId="0" applyFont="1" applyFill="1" applyBorder="1" applyAlignment="1">
      <alignment horizontal="center" vertical="center"/>
    </xf>
    <xf numFmtId="3" fontId="7" fillId="11" borderId="1" xfId="0" applyNumberFormat="1" applyFont="1" applyFill="1" applyBorder="1" applyAlignment="1">
      <alignment horizontal="right" vertical="center"/>
    </xf>
    <xf numFmtId="3" fontId="4" fillId="11" borderId="1" xfId="0" applyNumberFormat="1" applyFont="1" applyFill="1" applyBorder="1" applyAlignment="1">
      <alignment horizontal="right" vertical="center"/>
    </xf>
    <xf numFmtId="3" fontId="4" fillId="11" borderId="1" xfId="0" applyNumberFormat="1" applyFont="1" applyFill="1" applyBorder="1" applyAlignment="1">
      <alignment horizontal="center" vertical="center"/>
    </xf>
    <xf numFmtId="4" fontId="7" fillId="0" borderId="1" xfId="0" applyNumberFormat="1" applyFont="1" applyBorder="1" applyAlignment="1">
      <alignment horizontal="center" vertical="center"/>
    </xf>
    <xf numFmtId="3" fontId="7" fillId="0" borderId="1" xfId="0" applyNumberFormat="1" applyFont="1" applyBorder="1" applyAlignment="1">
      <alignment horizontal="center" vertical="center"/>
    </xf>
    <xf numFmtId="165" fontId="4" fillId="11" borderId="1" xfId="0" applyNumberFormat="1" applyFont="1" applyFill="1" applyBorder="1" applyAlignment="1">
      <alignment horizontal="right" vertical="center"/>
    </xf>
    <xf numFmtId="165" fontId="4" fillId="11" borderId="1" xfId="0" applyNumberFormat="1" applyFont="1" applyFill="1" applyBorder="1" applyAlignment="1">
      <alignment horizontal="center" vertical="center"/>
    </xf>
    <xf numFmtId="0" fontId="7" fillId="0" borderId="1" xfId="0" applyFont="1" applyBorder="1" applyAlignment="1">
      <alignment horizontal="center" vertical="center"/>
    </xf>
    <xf numFmtId="4" fontId="8" fillId="2"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3" fontId="4" fillId="3" borderId="1" xfId="0" applyNumberFormat="1" applyFont="1" applyFill="1" applyBorder="1" applyAlignment="1">
      <alignment horizontal="left" vertical="center" wrapText="1"/>
    </xf>
    <xf numFmtId="3" fontId="4" fillId="3" borderId="1" xfId="0" applyNumberFormat="1" applyFont="1" applyFill="1" applyBorder="1" applyAlignment="1">
      <alignment horizontal="center" vertical="center"/>
    </xf>
    <xf numFmtId="0" fontId="10" fillId="3" borderId="1" xfId="0" applyFont="1" applyFill="1" applyBorder="1" applyAlignment="1">
      <alignment horizontal="center" vertical="center" wrapText="1"/>
    </xf>
    <xf numFmtId="0" fontId="4" fillId="3" borderId="1" xfId="0" applyFont="1" applyFill="1" applyBorder="1" applyAlignment="1">
      <alignment vertical="center" wrapText="1"/>
    </xf>
    <xf numFmtId="169" fontId="7" fillId="0" borderId="1" xfId="0" applyNumberFormat="1" applyFont="1" applyBorder="1" applyAlignment="1">
      <alignment horizontal="center" vertical="center"/>
    </xf>
    <xf numFmtId="165" fontId="7" fillId="0" borderId="1" xfId="0" applyNumberFormat="1" applyFont="1" applyBorder="1" applyAlignment="1">
      <alignment horizontal="center" vertical="center"/>
    </xf>
    <xf numFmtId="49" fontId="4" fillId="3" borderId="0" xfId="0" applyNumberFormat="1" applyFont="1" applyFill="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horizontal="left" vertical="center" wrapText="1"/>
    </xf>
    <xf numFmtId="0" fontId="6" fillId="3" borderId="0" xfId="0" applyFont="1" applyFill="1" applyAlignment="1">
      <alignment horizontal="center" vertical="center" wrapText="1"/>
    </xf>
    <xf numFmtId="164" fontId="4" fillId="3" borderId="0" xfId="0" applyNumberFormat="1" applyFont="1" applyFill="1" applyAlignment="1">
      <alignment horizontal="center" vertical="center" wrapText="1"/>
    </xf>
    <xf numFmtId="3" fontId="4" fillId="3" borderId="0" xfId="0" applyNumberFormat="1" applyFont="1" applyFill="1" applyAlignment="1">
      <alignment horizontal="right" vertical="center" wrapText="1"/>
    </xf>
    <xf numFmtId="0" fontId="4" fillId="3" borderId="0" xfId="0" applyFont="1" applyFill="1" applyAlignment="1">
      <alignment horizontal="center" vertical="center"/>
    </xf>
    <xf numFmtId="3" fontId="7" fillId="0" borderId="0" xfId="0" applyNumberFormat="1" applyFont="1" applyAlignment="1">
      <alignment horizontal="center" vertical="center"/>
    </xf>
    <xf numFmtId="3" fontId="7" fillId="2" borderId="0" xfId="0" applyNumberFormat="1" applyFont="1" applyFill="1" applyAlignment="1">
      <alignment horizontal="center" vertical="center"/>
    </xf>
    <xf numFmtId="165" fontId="7" fillId="0" borderId="0" xfId="0" applyNumberFormat="1" applyFont="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wrapText="1"/>
    </xf>
    <xf numFmtId="1" fontId="4" fillId="0" borderId="0" xfId="0" applyNumberFormat="1" applyFont="1" applyAlignment="1">
      <alignment vertical="center"/>
    </xf>
    <xf numFmtId="3" fontId="4" fillId="0" borderId="0" xfId="0" applyNumberFormat="1" applyFont="1" applyAlignment="1">
      <alignment horizontal="right" vertical="center"/>
    </xf>
    <xf numFmtId="0" fontId="4" fillId="2" borderId="0" xfId="0" applyFont="1" applyFill="1" applyAlignment="1">
      <alignment horizontal="center" vertical="center"/>
    </xf>
    <xf numFmtId="0" fontId="2" fillId="0" borderId="0" xfId="0" applyFont="1" applyAlignment="1">
      <alignment vertical="center"/>
    </xf>
    <xf numFmtId="3" fontId="4" fillId="0" borderId="0" xfId="0" applyNumberFormat="1" applyFont="1" applyAlignment="1">
      <alignment vertical="center"/>
    </xf>
    <xf numFmtId="3" fontId="7" fillId="0" borderId="0" xfId="0" applyNumberFormat="1" applyFont="1" applyAlignment="1">
      <alignment vertical="center"/>
    </xf>
    <xf numFmtId="3" fontId="7" fillId="0" borderId="0" xfId="0" applyNumberFormat="1" applyFont="1" applyAlignment="1">
      <alignment horizontal="right" vertical="center"/>
    </xf>
    <xf numFmtId="0" fontId="1" fillId="0" borderId="2" xfId="0" applyFont="1" applyBorder="1" applyAlignment="1">
      <alignment horizontal="center"/>
    </xf>
    <xf numFmtId="0" fontId="1" fillId="0" borderId="3" xfId="0" applyFont="1" applyBorder="1" applyAlignment="1">
      <alignment horizontal="center"/>
    </xf>
    <xf numFmtId="1" fontId="1" fillId="0" borderId="3" xfId="0" applyNumberFormat="1" applyFont="1" applyBorder="1" applyAlignment="1">
      <alignment horizontal="center"/>
    </xf>
    <xf numFmtId="3" fontId="1" fillId="0" borderId="3" xfId="0" applyNumberFormat="1" applyFont="1" applyBorder="1" applyAlignment="1">
      <alignment horizontal="center"/>
    </xf>
    <xf numFmtId="3" fontId="1" fillId="0" borderId="4" xfId="0" applyNumberFormat="1" applyFont="1" applyBorder="1" applyAlignment="1">
      <alignment horizontal="center"/>
    </xf>
    <xf numFmtId="49" fontId="2" fillId="0" borderId="5" xfId="0" applyNumberFormat="1" applyFont="1" applyBorder="1"/>
    <xf numFmtId="0" fontId="2" fillId="0" borderId="6" xfId="0" applyFont="1" applyBorder="1"/>
    <xf numFmtId="49" fontId="2" fillId="0" borderId="6" xfId="0" applyNumberFormat="1" applyFont="1" applyBorder="1"/>
    <xf numFmtId="164" fontId="2" fillId="0" borderId="6" xfId="0" applyNumberFormat="1" applyFont="1" applyBorder="1"/>
    <xf numFmtId="3" fontId="2" fillId="0" borderId="6" xfId="0" applyNumberFormat="1" applyFont="1" applyBorder="1"/>
    <xf numFmtId="4" fontId="2" fillId="0" borderId="6" xfId="0" applyNumberFormat="1" applyFont="1" applyBorder="1"/>
    <xf numFmtId="165" fontId="2" fillId="0" borderId="6" xfId="0" applyNumberFormat="1" applyFont="1" applyBorder="1"/>
    <xf numFmtId="3" fontId="2" fillId="0" borderId="7" xfId="0" applyNumberFormat="1" applyFont="1" applyBorder="1"/>
    <xf numFmtId="166" fontId="2" fillId="0" borderId="6" xfId="0" applyNumberFormat="1" applyFont="1" applyBorder="1"/>
    <xf numFmtId="0" fontId="0" fillId="0" borderId="8" xfId="0" pivotButton="1" applyBorder="1"/>
    <xf numFmtId="0" fontId="0" fillId="0" borderId="8" xfId="0" applyBorder="1"/>
    <xf numFmtId="0" fontId="0" fillId="0" borderId="9" xfId="0" applyNumberFormat="1" applyBorder="1"/>
    <xf numFmtId="0" fontId="0" fillId="0" borderId="10" xfId="0" applyBorder="1"/>
    <xf numFmtId="0" fontId="0" fillId="0" borderId="11" xfId="0" applyNumberFormat="1" applyBorder="1"/>
    <xf numFmtId="0" fontId="0" fillId="0" borderId="12" xfId="0" applyBorder="1"/>
    <xf numFmtId="0" fontId="0" fillId="0" borderId="13" xfId="0" applyNumberFormat="1" applyBorder="1"/>
    <xf numFmtId="0" fontId="0" fillId="0" borderId="13" xfId="0" pivotButton="1" applyBorder="1"/>
    <xf numFmtId="49" fontId="0" fillId="0" borderId="13" xfId="0" applyNumberFormat="1" applyBorder="1"/>
    <xf numFmtId="0" fontId="0" fillId="0" borderId="9" xfId="0" applyBorder="1"/>
    <xf numFmtId="0" fontId="0" fillId="0" borderId="13" xfId="0" applyBorder="1"/>
    <xf numFmtId="3" fontId="4" fillId="12" borderId="1" xfId="0" applyNumberFormat="1" applyFont="1" applyFill="1" applyBorder="1" applyAlignment="1">
      <alignment horizontal="right" vertical="center"/>
    </xf>
    <xf numFmtId="3" fontId="4" fillId="12" borderId="1" xfId="0" applyNumberFormat="1" applyFont="1" applyFill="1" applyBorder="1" applyAlignment="1">
      <alignment horizontal="center" vertical="center"/>
    </xf>
    <xf numFmtId="3" fontId="4" fillId="13" borderId="1" xfId="0" applyNumberFormat="1" applyFont="1" applyFill="1" applyBorder="1" applyAlignment="1">
      <alignment horizontal="right" vertical="center" wrapText="1"/>
    </xf>
    <xf numFmtId="0" fontId="4" fillId="14" borderId="1" xfId="0" applyFont="1" applyFill="1" applyBorder="1" applyAlignment="1">
      <alignment horizontal="left" vertical="center" wrapText="1"/>
    </xf>
    <xf numFmtId="0" fontId="4" fillId="13" borderId="1" xfId="0" applyFont="1" applyFill="1" applyBorder="1" applyAlignment="1">
      <alignment horizontal="left" vertical="center" wrapText="1"/>
    </xf>
    <xf numFmtId="0" fontId="4" fillId="15" borderId="1" xfId="0" applyFont="1" applyFill="1" applyBorder="1" applyAlignment="1">
      <alignment horizontal="left" vertical="center" wrapText="1"/>
    </xf>
    <xf numFmtId="0" fontId="4" fillId="15" borderId="1" xfId="0" applyFont="1" applyFill="1" applyBorder="1" applyAlignment="1">
      <alignment horizontal="center" vertical="center" wrapText="1"/>
    </xf>
    <xf numFmtId="49" fontId="4" fillId="16" borderId="1" xfId="0" applyNumberFormat="1" applyFont="1" applyFill="1" applyBorder="1" applyAlignment="1">
      <alignment horizontal="center" vertical="center" wrapText="1"/>
    </xf>
    <xf numFmtId="0" fontId="4" fillId="16" borderId="1" xfId="0" applyFont="1" applyFill="1" applyBorder="1" applyAlignment="1">
      <alignment horizontal="center" vertical="center" wrapText="1"/>
    </xf>
    <xf numFmtId="0" fontId="4" fillId="16" borderId="1" xfId="0" applyFont="1" applyFill="1" applyBorder="1" applyAlignment="1">
      <alignment horizontal="left" vertical="center" wrapText="1"/>
    </xf>
    <xf numFmtId="49" fontId="4" fillId="13" borderId="1" xfId="0" applyNumberFormat="1" applyFont="1" applyFill="1" applyBorder="1" applyAlignment="1">
      <alignment horizontal="center" vertical="center" wrapText="1"/>
    </xf>
    <xf numFmtId="0" fontId="9" fillId="16"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3" fontId="4" fillId="12" borderId="1" xfId="0" applyNumberFormat="1" applyFont="1" applyFill="1" applyBorder="1" applyAlignment="1">
      <alignment horizontal="right" vertical="center" wrapText="1"/>
    </xf>
    <xf numFmtId="0" fontId="11" fillId="13" borderId="1" xfId="0" applyFont="1" applyFill="1" applyBorder="1" applyAlignment="1">
      <alignment horizontal="center" vertical="center" wrapText="1"/>
    </xf>
    <xf numFmtId="0" fontId="12" fillId="0" borderId="14" xfId="0" applyFont="1" applyBorder="1" applyAlignment="1">
      <alignment horizontal="center"/>
    </xf>
    <xf numFmtId="0" fontId="12" fillId="0" borderId="15" xfId="0" applyFont="1" applyBorder="1" applyAlignment="1">
      <alignment horizontal="center"/>
    </xf>
    <xf numFmtId="0" fontId="13" fillId="0" borderId="16" xfId="0" applyFont="1" applyBorder="1" applyAlignment="1">
      <alignment horizontal="center" vertical="top" wrapText="1"/>
    </xf>
    <xf numFmtId="3" fontId="14" fillId="0" borderId="18" xfId="0" applyNumberFormat="1" applyFont="1" applyBorder="1" applyAlignment="1">
      <alignment horizontal="center" vertical="center" wrapText="1"/>
    </xf>
    <xf numFmtId="0" fontId="12" fillId="0" borderId="16" xfId="0" applyFont="1" applyBorder="1" applyAlignment="1">
      <alignment horizontal="center"/>
    </xf>
    <xf numFmtId="0" fontId="12" fillId="0" borderId="17" xfId="0" applyFont="1" applyBorder="1" applyAlignment="1">
      <alignment horizontal="center"/>
    </xf>
    <xf numFmtId="3" fontId="14" fillId="0" borderId="19" xfId="0" applyNumberFormat="1" applyFont="1" applyBorder="1" applyAlignment="1">
      <alignment horizontal="center" vertical="center" wrapText="1"/>
    </xf>
    <xf numFmtId="3" fontId="14" fillId="0" borderId="19" xfId="0" applyNumberFormat="1" applyFont="1" applyBorder="1" applyAlignment="1">
      <alignment horizontal="center" vertical="center" wrapText="1"/>
    </xf>
    <xf numFmtId="0" fontId="12" fillId="0" borderId="20" xfId="0" applyFont="1" applyBorder="1" applyAlignment="1">
      <alignment horizontal="center"/>
    </xf>
    <xf numFmtId="0" fontId="12" fillId="0" borderId="21" xfId="0" applyFont="1" applyBorder="1" applyAlignment="1">
      <alignment horizontal="center"/>
    </xf>
    <xf numFmtId="3" fontId="14" fillId="0" borderId="22" xfId="0" applyNumberFormat="1" applyFont="1" applyBorder="1" applyAlignment="1">
      <alignment horizontal="left" vertical="center" wrapText="1"/>
    </xf>
    <xf numFmtId="0" fontId="13" fillId="0" borderId="0" xfId="0" applyFont="1" applyBorder="1" applyAlignment="1">
      <alignment horizontal="center" vertical="top" wrapText="1"/>
    </xf>
  </cellXfs>
  <cellStyles count="1">
    <cellStyle name="Normal" xfId="0" builtinId="0"/>
  </cellStyles>
  <dxfs count="3">
    <dxf>
      <fill>
        <patternFill patternType="solid">
          <fgColor rgb="FFFFFFFF"/>
          <bgColor rgb="FFFFFFFF"/>
        </patternFill>
      </fill>
    </dxf>
    <dxf>
      <fill>
        <patternFill patternType="solid">
          <fgColor rgb="FFEBEFF1"/>
          <bgColor rgb="FFEBEFF1"/>
        </patternFill>
      </fill>
    </dxf>
    <dxf>
      <fill>
        <patternFill patternType="solid">
          <fgColor rgb="FF6C7687"/>
          <bgColor rgb="FF6C7687"/>
        </patternFill>
      </fill>
    </dxf>
  </dxfs>
  <tableStyles count="1">
    <tableStyle name="Datos4-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10" Type="http://schemas.microsoft.com/office/2017/10/relationships/person" Target="persons/person.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942975</xdr:colOff>
      <xdr:row>0</xdr:row>
      <xdr:rowOff>76201</xdr:rowOff>
    </xdr:from>
    <xdr:ext cx="714375" cy="771524"/>
    <xdr:pic>
      <xdr:nvPicPr>
        <xdr:cNvPr id="2" name="Imagen 1">
          <a:extLst>
            <a:ext uri="{FF2B5EF4-FFF2-40B4-BE49-F238E27FC236}">
              <a16:creationId xmlns:a16="http://schemas.microsoft.com/office/drawing/2014/main" id="{DE4E0356-2CB1-4EBD-857D-DCCE9296D9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047" t="12381" r="17718" b="12326"/>
        <a:stretch/>
      </xdr:blipFill>
      <xdr:spPr bwMode="auto">
        <a:xfrm>
          <a:off x="729615" y="76201"/>
          <a:ext cx="714375" cy="771524"/>
        </a:xfrm>
        <a:prstGeom prst="rect">
          <a:avLst/>
        </a:prstGeom>
        <a:noFill/>
        <a:ln>
          <a:noFill/>
        </a:ln>
        <a:extLst>
          <a:ext uri="{53640926-AAD7-44D8-BBD7-CCE9431645EC}">
            <a14:shadowObscured xmlns:a14="http://schemas.microsoft.com/office/drawing/2010/main"/>
          </a:ext>
        </a:extLst>
      </xdr:spPr>
    </xdr:pic>
    <xdr:clientData/>
  </xdr:oneCellAnchor>
</xdr:wsDr>
</file>

<file path=xl/persons/person.xml><?xml version="1.0" encoding="utf-8"?>
<x18tc:personList xmlns:x18tc="http://schemas.microsoft.com/office/spreadsheetml/2018/threadedcomments">
  <x18tc:person displayName="Viviana Patricia Murcia Mosucha" id="{89d529f9-05c7-4b43-b05d-4200e9abac65}" providerId="google-sheets"/>
</x18tc: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UARIO" refreshedDate="46147.373493634259" refreshedVersion="8" recordCount="1101" xr:uid="{00000000-000A-0000-FFFF-FFFF03000000}">
  <cacheSource type="worksheet">
    <worksheetSource ref="A7:CK1108" sheet="CONSOLIDADO_FINAL"/>
  </cacheSource>
  <cacheFields count="142">
    <cacheField name="Tipo de PAA" numFmtId="0">
      <sharedItems containsBlank="1" count="3">
        <s v="Inversión"/>
        <s v="Funcionamiento"/>
        <m/>
      </sharedItems>
    </cacheField>
    <cacheField name="Dependencia" numFmtId="0">
      <sharedItems containsBlank="1" count="11">
        <s v="Dirección General"/>
        <s v="Oficina Asesora de Planeación"/>
        <s v="Oficina de Gestión de Proyecto de Fondos"/>
        <s v="Oficina de Tecnologías de la Información"/>
        <s v="Secretaría General"/>
        <s v="Subdirección de Demanda"/>
        <s v="Subdirección de Energía Eléctrica"/>
        <s v="Subdirección de Gestión de la Información"/>
        <s v="Subdirección de Hidrocarburos"/>
        <s v="Subdirección de Minería"/>
        <m/>
      </sharedItems>
    </cacheField>
    <cacheField name="Nombre Proyecto (Largo)" numFmtId="0">
      <sharedItems containsBlank="1"/>
    </cacheField>
    <cacheField name="Nombre Proyecto (Corto)" numFmtId="0">
      <sharedItems containsBlank="1"/>
    </cacheField>
    <cacheField name="¿Se publica en SECOP?" numFmtId="0">
      <sharedItems containsBlank="1"/>
    </cacheField>
    <cacheField name="Presentado y aprobado en comité de contratación" numFmtId="0">
      <sharedItems containsBlank="1"/>
    </cacheField>
    <cacheField name="Número de comité de contratación" numFmtId="0">
      <sharedItems containsBlank="1" containsMixedTypes="1" containsNumber="1" containsInteger="1" minValue="1" maxValue="68"/>
    </cacheField>
    <cacheField name="Ítem" numFmtId="0">
      <sharedItems containsBlank="1"/>
    </cacheField>
    <cacheField name="Objetivo Específico del Proyecto de Inversión" numFmtId="0">
      <sharedItems containsBlank="1"/>
    </cacheField>
    <cacheField name="Producto del Proyecto de Inversión" numFmtId="0">
      <sharedItems containsBlank="1"/>
    </cacheField>
    <cacheField name="Actividad / Entregable del Proyecto de Inversión" numFmtId="0">
      <sharedItems containsBlank="1"/>
    </cacheField>
    <cacheField name="Códigos UNSPSC" numFmtId="0">
      <sharedItems containsBlank="1" containsMixedTypes="1" containsNumber="1" containsInteger="1" minValue="43211507" maxValue="93151509"/>
    </cacheField>
    <cacheField name="Rubro presupuestal" numFmtId="0">
      <sharedItems containsBlank="1"/>
    </cacheField>
    <cacheField name="Tipología de la adquisición" numFmtId="0">
      <sharedItems containsBlank="1"/>
    </cacheField>
    <cacheField name="Descripción u objeto contractual" numFmtId="0">
      <sharedItems containsBlank="1"/>
    </cacheField>
    <cacheField name="Mes estimado de inicio de proceso de selección" numFmtId="0">
      <sharedItems containsBlank="1"/>
    </cacheField>
    <cacheField name="Mes estimado de presentación de ofertas" numFmtId="0">
      <sharedItems containsBlank="1"/>
    </cacheField>
    <cacheField name="Mes de registro del contrato" numFmtId="0">
      <sharedItems containsBlank="1"/>
    </cacheField>
    <cacheField name="Duración estimada del contrato" numFmtId="0">
      <sharedItems containsBlank="1" containsMixedTypes="1" containsNumber="1" minValue="1" maxValue="365"/>
    </cacheField>
    <cacheField name="Unidad de tiempo" numFmtId="0">
      <sharedItems containsBlank="1"/>
    </cacheField>
    <cacheField name="Modalidad de selección " numFmtId="0">
      <sharedItems containsBlank="1"/>
    </cacheField>
    <cacheField name="Fuente de los recursos" numFmtId="0">
      <sharedItems containsBlank="1"/>
    </cacheField>
    <cacheField name="Valor total estimado" numFmtId="3">
      <sharedItems containsString="0" containsBlank="1" containsNumber="1" containsInteger="1" minValue="0" maxValue="718965200"/>
    </cacheField>
    <cacheField name="Valor estimado en la vigencia actual" numFmtId="3">
      <sharedItems containsString="0" containsBlank="1" containsNumber="1" containsInteger="1" minValue="0" maxValue="718965200"/>
    </cacheField>
    <cacheField name="¿Se requieren vigencias futuras?" numFmtId="0">
      <sharedItems containsBlank="1"/>
    </cacheField>
    <cacheField name="Estado de solicitud de vigencias futuras" numFmtId="0">
      <sharedItems containsBlank="1"/>
    </cacheField>
    <cacheField name="Nombre del responsable" numFmtId="0">
      <sharedItems containsBlank="1"/>
    </cacheField>
    <cacheField name="Cargo del responsable " numFmtId="0">
      <sharedItems containsBlank="1"/>
    </cacheField>
    <cacheField name="Teléfono del responsable " numFmtId="0">
      <sharedItems containsString="0" containsBlank="1" containsNumber="1" containsInteger="1" minValue="2220601" maxValue="6012220644"/>
    </cacheField>
    <cacheField name="Correo electrónico del responsable" numFmtId="0">
      <sharedItems containsBlank="1"/>
    </cacheField>
    <cacheField name="AG Compromisos_enero" numFmtId="0">
      <sharedItems containsString="0" containsBlank="1" containsNumber="1" containsInteger="1" minValue="0" maxValue="156400000"/>
    </cacheField>
    <cacheField name="AG Obligaciones_enero" numFmtId="0">
      <sharedItems containsString="0" containsBlank="1" containsNumber="1" containsInteger="1" minValue="0" maxValue="0"/>
    </cacheField>
    <cacheField name="AG Compromisos_febrero" numFmtId="0">
      <sharedItems containsString="0" containsBlank="1" containsNumber="1" containsInteger="1" minValue="0" maxValue="150997373"/>
    </cacheField>
    <cacheField name="AG Obligaciones_febrero" numFmtId="0">
      <sharedItems containsString="0" containsBlank="1" containsNumber="1" containsInteger="1" minValue="0" maxValue="9677850"/>
    </cacheField>
    <cacheField name="AG Compromisos_marzo" numFmtId="0">
      <sharedItems containsString="0" containsBlank="1" containsNumber="1" containsInteger="1" minValue="0" maxValue="213000000"/>
    </cacheField>
    <cacheField name="AG Obligaciones_marzo" numFmtId="0">
      <sharedItems containsString="0" containsBlank="1" containsNumber="1" containsInteger="1" minValue="0" maxValue="15000000"/>
    </cacheField>
    <cacheField name="AG Compromisos_abril" numFmtId="0">
      <sharedItems containsString="0" containsBlank="1" containsNumber="1" containsInteger="1" minValue="0" maxValue="500000000"/>
    </cacheField>
    <cacheField name="AG Obligaciones_abril" numFmtId="0">
      <sharedItems containsString="0" containsBlank="1" containsNumber="1" containsInteger="1" minValue="0" maxValue="37749343"/>
    </cacheField>
    <cacheField name="AG Compromisos_mayo" numFmtId="0">
      <sharedItems containsString="0" containsBlank="1" containsNumber="1" containsInteger="1" minValue="0" maxValue="47550000"/>
    </cacheField>
    <cacheField name="AG Obligaciones_mayo" numFmtId="0">
      <sharedItems containsString="0" containsBlank="1" containsNumber="1" containsInteger="1" minValue="0" maxValue="73467716"/>
    </cacheField>
    <cacheField name="AG Compromisos_junio" numFmtId="0">
      <sharedItems containsString="0" containsBlank="1" containsNumber="1" containsInteger="1" minValue="0" maxValue="300000000"/>
    </cacheField>
    <cacheField name="AG Obligaciones_junio" numFmtId="0">
      <sharedItems containsString="0" containsBlank="1" containsNumber="1" containsInteger="1" minValue="0" maxValue="500000000"/>
    </cacheField>
    <cacheField name="AG Compromisos_julio" numFmtId="0">
      <sharedItems containsString="0" containsBlank="1" containsNumber="1" containsInteger="1" minValue="0" maxValue="718965200"/>
    </cacheField>
    <cacheField name="AG Obligaciones_julio" numFmtId="0">
      <sharedItems containsString="0" containsBlank="1" containsNumber="1" containsInteger="1" minValue="0" maxValue="213000000"/>
    </cacheField>
    <cacheField name="AG Compromisos_agosto" numFmtId="0">
      <sharedItems containsString="0" containsBlank="1" containsNumber="1" containsInteger="1" minValue="0" maxValue="500000000"/>
    </cacheField>
    <cacheField name="AG Obligaciones_agosto" numFmtId="0">
      <sharedItems containsString="0" containsBlank="1" containsNumber="1" containsInteger="1" minValue="0" maxValue="300000000"/>
    </cacheField>
    <cacheField name="AG Compromisos_septiembre" numFmtId="0">
      <sharedItems containsString="0" containsBlank="1" containsNumber="1" containsInteger="1" minValue="0" maxValue="138000000"/>
    </cacheField>
    <cacheField name="AG Obligaciones_septiembre" numFmtId="0">
      <sharedItems containsString="0" containsBlank="1" containsNumber="1" containsInteger="1" minValue="0" maxValue="200000000"/>
    </cacheField>
    <cacheField name="AG Compromisos_octubre" numFmtId="0">
      <sharedItems containsString="0" containsBlank="1" containsNumber="1" containsInteger="1" minValue="0" maxValue="368750411"/>
    </cacheField>
    <cacheField name="AG Obligaciones_octubre" numFmtId="0">
      <sharedItems containsString="0" containsBlank="1" containsNumber="1" containsInteger="1" minValue="0" maxValue="318965200"/>
    </cacheField>
    <cacheField name="AG Compromisos_noviembre" numFmtId="0">
      <sharedItems containsString="0" containsBlank="1" containsNumber="1" containsInteger="1" minValue="0" maxValue="468830288"/>
    </cacheField>
    <cacheField name="AG Obligaciones_noviembre" numFmtId="0">
      <sharedItems containsString="0" containsBlank="1" containsNumber="1" containsInteger="1" minValue="0" maxValue="368750411"/>
    </cacheField>
    <cacheField name="AG Compromisos_diciembre" numFmtId="0">
      <sharedItems containsString="0" containsBlank="1" containsNumber="1" containsInteger="1" minValue="0" maxValue="79147307"/>
    </cacheField>
    <cacheField name="AG Obligaciones_diciembre" numFmtId="0">
      <sharedItems containsString="0" containsBlank="1" containsNumber="1" containsInteger="1" minValue="0" maxValue="500000000"/>
    </cacheField>
    <cacheField name="AG Suma de compromisos" numFmtId="0">
      <sharedItems containsString="0" containsBlank="1" containsNumber="1" containsInteger="1" minValue="0" maxValue="718965200"/>
    </cacheField>
    <cacheField name="AG Suma de obligaciones" numFmtId="0">
      <sharedItems containsString="0" containsBlank="1" containsNumber="1" containsInteger="1" minValue="0" maxValue="718965200"/>
    </cacheField>
    <cacheField name="AG Diferencias compromisos" numFmtId="0">
      <sharedItems containsString="0" containsBlank="1" containsNumber="1" containsInteger="1" minValue="-87000000" maxValue="200000000"/>
    </cacheField>
    <cacheField name="AG Diferencias obligaciones" numFmtId="0">
      <sharedItems containsString="0" containsBlank="1" containsNumber="1" containsInteger="1" minValue="-87000000" maxValue="200000000"/>
    </cacheField>
    <cacheField name="Objeto sin ítem" numFmtId="0">
      <sharedItems containsBlank="1"/>
    </cacheField>
    <cacheField name="Compromisos_enero" numFmtId="0">
      <sharedItems containsString="0" containsBlank="1" containsNumber="1" containsInteger="1" minValue="0" maxValue="156400000"/>
    </cacheField>
    <cacheField name="Obligaciones_enero" numFmtId="0">
      <sharedItems containsString="0" containsBlank="1" containsNumber="1" containsInteger="1" minValue="0" maxValue="0"/>
    </cacheField>
    <cacheField name="Compromisos_febrero" numFmtId="0">
      <sharedItems containsString="0" containsBlank="1" containsNumber="1" containsInteger="1" minValue="0" maxValue="150997373"/>
    </cacheField>
    <cacheField name="Obligaciones_febrero" numFmtId="0">
      <sharedItems containsString="0" containsBlank="1" containsNumber="1" containsInteger="1" minValue="-54000000" maxValue="12000000"/>
    </cacheField>
    <cacheField name="Compromisos_marzo" numFmtId="0">
      <sharedItems containsString="0" containsBlank="1" containsNumber="1" containsInteger="1" minValue="0" maxValue="300000000"/>
    </cacheField>
    <cacheField name="Obligaciones_marzo" numFmtId="0">
      <sharedItems containsString="0" containsBlank="1" containsNumber="1" containsInteger="1" minValue="0" maxValue="15000000"/>
    </cacheField>
    <cacheField name="Compromisos_abril" numFmtId="0">
      <sharedItems containsString="0" containsBlank="1" containsNumber="1" containsInteger="1" minValue="-87000000" maxValue="500000000"/>
    </cacheField>
    <cacheField name="Obligaciones_abril" numFmtId="0">
      <sharedItems containsString="0" containsBlank="1" containsNumber="1" containsInteger="1" minValue="0" maxValue="37749343"/>
    </cacheField>
    <cacheField name="Compromisos_mayo" numFmtId="0">
      <sharedItems containsString="0" containsBlank="1" containsNumber="1" containsInteger="1" minValue="0" maxValue="145670160"/>
    </cacheField>
    <cacheField name="Obligaciones_mayo" numFmtId="0">
      <sharedItems containsString="0" containsBlank="1" containsNumber="1" containsInteger="1" minValue="0" maxValue="310000000"/>
    </cacheField>
    <cacheField name="Compromisos_junio" numFmtId="0">
      <sharedItems containsString="0" containsBlank="1" containsNumber="1" containsInteger="1" minValue="0" maxValue="300000000"/>
    </cacheField>
    <cacheField name="Obligaciones_junio" numFmtId="0">
      <sharedItems containsString="0" containsBlank="1" containsNumber="1" containsInteger="1" minValue="0" maxValue="500000000"/>
    </cacheField>
    <cacheField name="Compromisos_julio" numFmtId="0">
      <sharedItems containsString="0" containsBlank="1" containsNumber="1" containsInteger="1" minValue="0" maxValue="718965200"/>
    </cacheField>
    <cacheField name="Obligaciones_julio" numFmtId="0">
      <sharedItems containsString="0" containsBlank="1" containsNumber="1" containsInteger="1" minValue="0" maxValue="150000000"/>
    </cacheField>
    <cacheField name="Compromisos_agosto" numFmtId="0">
      <sharedItems containsString="0" containsBlank="1" containsNumber="1" containsInteger="1" minValue="0" maxValue="500000000"/>
    </cacheField>
    <cacheField name="Obligaciones_agosto" numFmtId="0">
      <sharedItems containsString="0" containsBlank="1" containsNumber="1" containsInteger="1" minValue="0" maxValue="300000000"/>
    </cacheField>
    <cacheField name="Compromisos_septiembre" numFmtId="0">
      <sharedItems containsString="0" containsBlank="1" containsNumber="1" containsInteger="1" minValue="0" maxValue="136800000"/>
    </cacheField>
    <cacheField name="Obligaciones_septiembre" numFmtId="0">
      <sharedItems containsString="0" containsBlank="1" containsNumber="1" containsInteger="1" minValue="0" maxValue="200000000"/>
    </cacheField>
    <cacheField name="Compromisos_octubre" numFmtId="0">
      <sharedItems containsString="0" containsBlank="1" containsNumber="1" containsInteger="1" minValue="0" maxValue="368750411"/>
    </cacheField>
    <cacheField name="Obligaciones_octubre" numFmtId="0">
      <sharedItems containsString="0" containsBlank="1" containsNumber="1" containsInteger="1" minValue="0" maxValue="318965200"/>
    </cacheField>
    <cacheField name="Compromisos_noviembre" numFmtId="0">
      <sharedItems containsString="0" containsBlank="1" containsNumber="1" containsInteger="1" minValue="0" maxValue="468830288"/>
    </cacheField>
    <cacheField name="Obligaciones_noviembre" numFmtId="0">
      <sharedItems containsString="0" containsBlank="1" containsNumber="1" containsInteger="1" minValue="0" maxValue="368750411"/>
    </cacheField>
    <cacheField name="Compromisos_diciembre" numFmtId="0">
      <sharedItems containsString="0" containsBlank="1" containsNumber="1" containsInteger="1" minValue="0" maxValue="79147307"/>
    </cacheField>
    <cacheField name="Obligaciones_diciembre" numFmtId="0">
      <sharedItems containsString="0" containsBlank="1" containsNumber="1" containsInteger="1" minValue="0" maxValue="500000000"/>
    </cacheField>
    <cacheField name="Compromisos por definir" numFmtId="0">
      <sharedItems containsNonDate="0" containsString="0" containsBlank="1"/>
    </cacheField>
    <cacheField name="Obligaciones por definir" numFmtId="0">
      <sharedItems containsNonDate="0" containsString="0" containsBlank="1"/>
    </cacheField>
    <cacheField name="Suma de compromisos" numFmtId="0">
      <sharedItems containsBlank="1" containsMixedTypes="1" containsNumber="1" containsInteger="1" minValue="0" maxValue="718965200"/>
    </cacheField>
    <cacheField name="Suma de obligaciones" numFmtId="0">
      <sharedItems containsBlank="1" containsMixedTypes="1" containsNumber="1" containsInteger="1" minValue="0" maxValue="718965200"/>
    </cacheField>
    <cacheField name="Diferencias compromisos" numFmtId="0">
      <sharedItems containsBlank="1" containsMixedTypes="1" containsNumber="1" containsInteger="1" minValue="-74569050" maxValue="310000000"/>
    </cacheField>
    <cacheField name="Diferencias obligaciones" numFmtId="0">
      <sharedItems containsBlank="1" containsMixedTypes="1" containsNumber="1" containsInteger="1" minValue="-74569050" maxValue="90801410"/>
    </cacheField>
    <cacheField name="Número de CDP" numFmtId="0">
      <sharedItems containsString="0" containsBlank="1" containsNumber="1" minValue="126" maxValue="72126"/>
    </cacheField>
    <cacheField name="Fecha de Expedición del CDP" numFmtId="0">
      <sharedItems containsNonDate="0" containsDate="1" containsString="0" containsBlank="1" minDate="2026-01-01T00:00:00" maxDate="2026-04-30T00:00:00"/>
    </cacheField>
    <cacheField name="Valor del CDP" numFmtId="3">
      <sharedItems containsString="0" containsBlank="1" containsNumber="1" minValue="0" maxValue="376833620"/>
    </cacheField>
    <cacheField name="Saldo del ítem (Valor estimado en la vigencia actual - Valor del CDP)" numFmtId="3">
      <sharedItems containsString="0" containsBlank="1" containsNumber="1" minValue="-77600000" maxValue="718965200"/>
    </cacheField>
    <cacheField name="Número de RP" numFmtId="0">
      <sharedItems containsBlank="1" containsMixedTypes="1" containsNumber="1" minValue="126" maxValue="73426"/>
    </cacheField>
    <cacheField name="Fecha de Expedición del RP" numFmtId="0">
      <sharedItems containsDate="1" containsBlank="1" containsMixedTypes="1" minDate="2026-01-04T00:00:00" maxDate="2026-04-30T00:00:00"/>
    </cacheField>
    <cacheField name="Valor del RP" numFmtId="0">
      <sharedItems containsString="0" containsBlank="1" containsNumber="1" containsInteger="1" minValue="0" maxValue="376820939"/>
    </cacheField>
    <cacheField name="Recursos sin comprometer (Valor estimado del Item - Valor RP)" numFmtId="3">
      <sharedItems containsBlank="1" containsMixedTypes="1" containsNumber="1" containsInteger="1" minValue="-20684450" maxValue="718965200"/>
    </cacheField>
    <cacheField name="CDP - RP" numFmtId="3">
      <sharedItems containsString="0" containsBlank="1" containsNumber="1" minValue="0" maxValue="277094840"/>
    </cacheField>
    <cacheField name="Nombre del Contratista" numFmtId="0">
      <sharedItems containsBlank="1"/>
    </cacheField>
    <cacheField name="Número del contrato" numFmtId="0">
      <sharedItems containsBlank="1" containsMixedTypes="1" containsNumber="1" containsInteger="1" minValue="1126" maxValue="202601100002235"/>
    </cacheField>
    <cacheField name="Compromiso ejecutado enero" numFmtId="0">
      <sharedItems containsString="0" containsBlank="1" containsNumber="1" containsInteger="1" minValue="1355610" maxValue="156400000"/>
    </cacheField>
    <cacheField name="Obligación ejecutada enero" numFmtId="3">
      <sharedItems containsString="0" containsBlank="1" containsNumber="1" containsInteger="1" minValue="46643100" maxValue="46643100"/>
    </cacheField>
    <cacheField name="Pago ejecutado enero" numFmtId="3">
      <sharedItems containsNonDate="0" containsString="0" containsBlank="1"/>
    </cacheField>
    <cacheField name="Compromiso ejecutado febrero" numFmtId="3">
      <sharedItems containsString="0" containsBlank="1" containsNumber="1" containsInteger="1" minValue="-31600000" maxValue="150997373"/>
    </cacheField>
    <cacheField name="Obligación ejecutada febrero" numFmtId="3">
      <sharedItems containsString="0" containsBlank="1" containsNumber="1" minValue="109515" maxValue="11908431"/>
    </cacheField>
    <cacheField name="Pago ejecutado febrero" numFmtId="3">
      <sharedItems containsString="0" containsBlank="1" containsNumber="1" minValue="109515" maxValue="11908431"/>
    </cacheField>
    <cacheField name="Compromiso ejecutado marzo" numFmtId="3">
      <sharedItems containsString="0" containsBlank="1" containsNumber="1" containsInteger="1" minValue="-49320000" maxValue="376820939"/>
    </cacheField>
    <cacheField name="Obligación ejecutada marzo" numFmtId="3">
      <sharedItems containsString="0" containsBlank="1" containsNumber="1" minValue="140910" maxValue="19355700"/>
    </cacheField>
    <cacheField name="Pago ejecutado marzo" numFmtId="3">
      <sharedItems containsString="0" containsBlank="1" containsNumber="1" minValue="140910" maxValue="19355700"/>
    </cacheField>
    <cacheField name="Compromiso ejecutado abril" numFmtId="3">
      <sharedItems containsString="0" containsBlank="1" containsNumber="1" containsInteger="1" minValue="-69300000" maxValue="160000000"/>
    </cacheField>
    <cacheField name="Obligación ejecutada abril" numFmtId="3">
      <sharedItems containsString="0" containsBlank="1" containsNumber="1" minValue="1767360" maxValue="73342979"/>
    </cacheField>
    <cacheField name="Pago ejecutado abril" numFmtId="3">
      <sharedItems containsString="0" containsBlank="1" containsNumber="1" minValue="4" maxValue="73342979"/>
    </cacheField>
    <cacheField name="Compromiso ejecutado mayo" numFmtId="3">
      <sharedItems containsNonDate="0" containsString="0" containsBlank="1"/>
    </cacheField>
    <cacheField name="Obligación ejecutada mayo" numFmtId="3">
      <sharedItems containsNonDate="0" containsString="0" containsBlank="1"/>
    </cacheField>
    <cacheField name="Pago ejecutado mayo" numFmtId="3">
      <sharedItems containsNonDate="0" containsString="0" containsBlank="1"/>
    </cacheField>
    <cacheField name="Compromiso ejecutado junio" numFmtId="3">
      <sharedItems containsNonDate="0" containsString="0" containsBlank="1"/>
    </cacheField>
    <cacheField name="Obligación ejecutada junio" numFmtId="3">
      <sharedItems containsNonDate="0" containsString="0" containsBlank="1"/>
    </cacheField>
    <cacheField name="Pago ejecutado junio" numFmtId="3">
      <sharedItems containsNonDate="0" containsString="0" containsBlank="1"/>
    </cacheField>
    <cacheField name="Compromiso ejecutado julio" numFmtId="3">
      <sharedItems containsNonDate="0" containsString="0" containsBlank="1"/>
    </cacheField>
    <cacheField name="Obligación ejecutada julio" numFmtId="3">
      <sharedItems containsNonDate="0" containsString="0" containsBlank="1"/>
    </cacheField>
    <cacheField name="Pago ejecutado julio" numFmtId="3">
      <sharedItems containsNonDate="0" containsString="0" containsBlank="1"/>
    </cacheField>
    <cacheField name="Compromiso ejecutado agosto" numFmtId="3">
      <sharedItems containsNonDate="0" containsString="0" containsBlank="1"/>
    </cacheField>
    <cacheField name="Obligación ejecutada agosto" numFmtId="3">
      <sharedItems containsNonDate="0" containsString="0" containsBlank="1"/>
    </cacheField>
    <cacheField name="Pago ejecutado agosto" numFmtId="3">
      <sharedItems containsNonDate="0" containsString="0" containsBlank="1"/>
    </cacheField>
    <cacheField name="Compromiso ejecutado septiembre" numFmtId="3">
      <sharedItems containsNonDate="0" containsString="0" containsBlank="1"/>
    </cacheField>
    <cacheField name="Obligación ejecutada septiembre" numFmtId="3">
      <sharedItems containsNonDate="0" containsString="0" containsBlank="1"/>
    </cacheField>
    <cacheField name="Pago ejecutado septiembre" numFmtId="3">
      <sharedItems containsNonDate="0" containsString="0" containsBlank="1"/>
    </cacheField>
    <cacheField name="Compromiso ejecutado octubre" numFmtId="3">
      <sharedItems containsNonDate="0" containsString="0" containsBlank="1"/>
    </cacheField>
    <cacheField name="Obligación ejecutada octubre" numFmtId="3">
      <sharedItems containsNonDate="0" containsString="0" containsBlank="1"/>
    </cacheField>
    <cacheField name="Pago ejecutado octubre" numFmtId="3">
      <sharedItems containsNonDate="0" containsString="0" containsBlank="1"/>
    </cacheField>
    <cacheField name="Compromiso ejecutado noviembre" numFmtId="3">
      <sharedItems containsNonDate="0" containsString="0" containsBlank="1"/>
    </cacheField>
    <cacheField name="Obligación ejecutada noviembre" numFmtId="3">
      <sharedItems containsNonDate="0" containsString="0" containsBlank="1"/>
    </cacheField>
    <cacheField name="Pago ejecutado noviembre" numFmtId="3">
      <sharedItems containsNonDate="0" containsString="0" containsBlank="1"/>
    </cacheField>
    <cacheField name="Compromiso ejecutado diciembre" numFmtId="3">
      <sharedItems containsNonDate="0" containsString="0" containsBlank="1"/>
    </cacheField>
    <cacheField name="Obligación ejecutada diciembre" numFmtId="3">
      <sharedItems containsNonDate="0" containsString="0" containsBlank="1"/>
    </cacheField>
    <cacheField name="Pago ejecutado diciembre" numFmtId="3">
      <sharedItems containsNonDate="0" containsString="0" containsBlank="1"/>
    </cacheField>
    <cacheField name="Total Compromiso ejecutado" numFmtId="3">
      <sharedItems containsString="0" containsBlank="1" containsNumber="1" containsInteger="1" minValue="0" maxValue="376820939"/>
    </cacheField>
    <cacheField name="Total Obligación ejecutada" numFmtId="3">
      <sharedItems containsString="0" containsBlank="1" containsNumber="1" minValue="0" maxValue="73342979"/>
    </cacheField>
    <cacheField name="Total pago ejecutado" numFmtId="3">
      <sharedItems containsString="0" containsBlank="1" containsNumber="1" minValue="0" maxValue="73342979"/>
    </cacheField>
    <cacheField name="Diferencia Total Compromiso ejecutado - Total Obligación ejecutada" numFmtId="3">
      <sharedItems containsString="0" containsBlank="1" containsNumber="1" minValue="-46643100" maxValue="376820939"/>
    </cacheField>
    <cacheField name="Diferencia Total Compromiso ejecutado - Total Obligación ejecutada2" numFmtId="3">
      <sharedItems containsString="0" containsBlank="1" containsNumber="1" containsInteger="1" minValue="0" maxValue="46643100"/>
    </cacheField>
    <cacheField name="Hiperconvergencia" numFmtId="3">
      <sharedItems containsBlank="1" count="2">
        <m/>
        <s v="SI"/>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UARIO" refreshedDate="46147.373494097221" refreshedVersion="8" recordCount="917" xr:uid="{00000000-000A-0000-FFFF-FFFF02000000}">
  <cacheSource type="worksheet">
    <worksheetSource ref="A7:CK924" sheet="CONSOLIDADO_FINAL"/>
  </cacheSource>
  <cacheFields count="141">
    <cacheField name="Tipo de PAA" numFmtId="0">
      <sharedItems count="2">
        <s v="Inversión"/>
        <s v="Funcionamiento"/>
      </sharedItems>
    </cacheField>
    <cacheField name="Dependencia" numFmtId="0">
      <sharedItems count="10">
        <s v="Dirección General"/>
        <s v="Oficina Asesora de Planeación"/>
        <s v="Oficina de Gestión de Proyecto de Fondos"/>
        <s v="Oficina de Tecnologías de la Información"/>
        <s v="Secretaría General"/>
        <s v="Subdirección de Demanda"/>
        <s v="Subdirección de Energía Eléctrica"/>
        <s v="Subdirección de Gestión de la Información"/>
        <s v="Subdirección de Hidrocarburos"/>
        <s v="Subdirección de Minería"/>
      </sharedItems>
    </cacheField>
    <cacheField name="Nombre Proyecto (Largo)" numFmtId="0">
      <sharedItems/>
    </cacheField>
    <cacheField name="Nombre Proyecto (Corto)" numFmtId="0">
      <sharedItems/>
    </cacheField>
    <cacheField name="¿Se publica en SECOP?" numFmtId="0">
      <sharedItems/>
    </cacheField>
    <cacheField name="Presentado y aprobado en comité de contratación" numFmtId="0">
      <sharedItems/>
    </cacheField>
    <cacheField name="Número de comité de contratación" numFmtId="0">
      <sharedItems containsMixedTypes="1" containsNumber="1" containsInteger="1" minValue="1" maxValue="68"/>
    </cacheField>
    <cacheField name="Ítem" numFmtId="0">
      <sharedItems/>
    </cacheField>
    <cacheField name="Objetivo Específico del Proyecto de Inversión" numFmtId="0">
      <sharedItems/>
    </cacheField>
    <cacheField name="Producto del Proyecto de Inversión" numFmtId="0">
      <sharedItems/>
    </cacheField>
    <cacheField name="Actividad / Entregable del Proyecto de Inversión" numFmtId="0">
      <sharedItems/>
    </cacheField>
    <cacheField name="Códigos UNSPSC" numFmtId="0">
      <sharedItems containsMixedTypes="1" containsNumber="1" containsInteger="1" minValue="43211507" maxValue="93151509"/>
    </cacheField>
    <cacheField name="Rubro presupuestal" numFmtId="0">
      <sharedItems/>
    </cacheField>
    <cacheField name="Tipología de la adquisición" numFmtId="0">
      <sharedItems count="15">
        <s v="Prestación de servicios profesionales y/o de apoyo a la gestión"/>
        <s v="Hardware (Equipos de computo o partes físicas)"/>
        <s v="Operador Logístico"/>
        <s v="Tiquetes"/>
        <s v="Viáticos o gastos de desplazamiento"/>
        <s v="Software - Nube pública o privada"/>
        <s v="Estudios"/>
        <s v="Planta Temporal"/>
        <s v="Consultoría"/>
        <s v="Software - Suscripciones"/>
        <s v="Software - Licencias"/>
        <s v="Adquisición de bienes y/o servicios (otros)"/>
        <s v="Mantenimientos y/o mejoras"/>
        <s v="Arrendamientos"/>
        <s v="N/A"/>
      </sharedItems>
    </cacheField>
    <cacheField name="Descripción u objeto contractual" numFmtId="0">
      <sharedItems/>
    </cacheField>
    <cacheField name="Mes estimado de inicio de proceso de selección" numFmtId="0">
      <sharedItems/>
    </cacheField>
    <cacheField name="Mes estimado de presentación de ofertas" numFmtId="0">
      <sharedItems/>
    </cacheField>
    <cacheField name="Mes de registro del contrato" numFmtId="0">
      <sharedItems/>
    </cacheField>
    <cacheField name="Duración estimada del contrato" numFmtId="0">
      <sharedItems containsMixedTypes="1" containsNumber="1" minValue="1" maxValue="365"/>
    </cacheField>
    <cacheField name="Unidad de tiempo" numFmtId="0">
      <sharedItems/>
    </cacheField>
    <cacheField name="Modalidad de selección " numFmtId="0">
      <sharedItems/>
    </cacheField>
    <cacheField name="Fuente de los recursos" numFmtId="0">
      <sharedItems/>
    </cacheField>
    <cacheField name="Valor total estimado" numFmtId="3">
      <sharedItems containsSemiMixedTypes="0" containsString="0" containsNumber="1" containsInteger="1" minValue="0" maxValue="718965200"/>
    </cacheField>
    <cacheField name="Valor estimado en la vigencia actual" numFmtId="3">
      <sharedItems containsSemiMixedTypes="0" containsString="0" containsNumber="1" containsInteger="1" minValue="0" maxValue="718965200"/>
    </cacheField>
    <cacheField name="¿Se requieren vigencias futuras?" numFmtId="0">
      <sharedItems/>
    </cacheField>
    <cacheField name="Estado de solicitud de vigencias futuras" numFmtId="0">
      <sharedItems/>
    </cacheField>
    <cacheField name="Nombre del responsable" numFmtId="0">
      <sharedItems/>
    </cacheField>
    <cacheField name="Cargo del responsable " numFmtId="0">
      <sharedItems/>
    </cacheField>
    <cacheField name="Teléfono del responsable " numFmtId="0">
      <sharedItems containsSemiMixedTypes="0" containsString="0" containsNumber="1" containsInteger="1" minValue="2220601" maxValue="6012220644"/>
    </cacheField>
    <cacheField name="Correo electrónico del responsable" numFmtId="0">
      <sharedItems/>
    </cacheField>
    <cacheField name="AG Compromisos_enero" numFmtId="3">
      <sharedItems containsString="0" containsBlank="1" containsNumber="1" containsInteger="1" minValue="0" maxValue="156400000"/>
    </cacheField>
    <cacheField name="AG Obligaciones_enero" numFmtId="3">
      <sharedItems containsString="0" containsBlank="1" containsNumber="1" containsInteger="1" minValue="0" maxValue="0"/>
    </cacheField>
    <cacheField name="AG Compromisos_febrero" numFmtId="3">
      <sharedItems containsString="0" containsBlank="1" containsNumber="1" containsInteger="1" minValue="0" maxValue="150997373"/>
    </cacheField>
    <cacheField name="AG Obligaciones_febrero" numFmtId="3">
      <sharedItems containsString="0" containsBlank="1" containsNumber="1" containsInteger="1" minValue="0" maxValue="9677850"/>
    </cacheField>
    <cacheField name="AG Compromisos_marzo" numFmtId="3">
      <sharedItems containsString="0" containsBlank="1" containsNumber="1" containsInteger="1" minValue="0" maxValue="213000000"/>
    </cacheField>
    <cacheField name="AG Obligaciones_marzo" numFmtId="3">
      <sharedItems containsString="0" containsBlank="1" containsNumber="1" containsInteger="1" minValue="0" maxValue="15000000"/>
    </cacheField>
    <cacheField name="AG Compromisos_abril" numFmtId="3">
      <sharedItems containsString="0" containsBlank="1" containsNumber="1" containsInteger="1" minValue="0" maxValue="500000000"/>
    </cacheField>
    <cacheField name="AG Obligaciones_abril" numFmtId="3">
      <sharedItems containsString="0" containsBlank="1" containsNumber="1" containsInteger="1" minValue="0" maxValue="37749343"/>
    </cacheField>
    <cacheField name="AG Compromisos_mayo" numFmtId="3">
      <sharedItems containsString="0" containsBlank="1" containsNumber="1" containsInteger="1" minValue="0" maxValue="47550000"/>
    </cacheField>
    <cacheField name="AG Obligaciones_mayo" numFmtId="3">
      <sharedItems containsString="0" containsBlank="1" containsNumber="1" containsInteger="1" minValue="0" maxValue="73467716"/>
    </cacheField>
    <cacheField name="AG Compromisos_junio" numFmtId="3">
      <sharedItems containsString="0" containsBlank="1" containsNumber="1" containsInteger="1" minValue="0" maxValue="300000000"/>
    </cacheField>
    <cacheField name="AG Obligaciones_junio" numFmtId="3">
      <sharedItems containsString="0" containsBlank="1" containsNumber="1" containsInteger="1" minValue="0" maxValue="500000000"/>
    </cacheField>
    <cacheField name="AG Compromisos_julio" numFmtId="3">
      <sharedItems containsString="0" containsBlank="1" containsNumber="1" containsInteger="1" minValue="0" maxValue="718965200"/>
    </cacheField>
    <cacheField name="AG Obligaciones_julio" numFmtId="3">
      <sharedItems containsString="0" containsBlank="1" containsNumber="1" containsInteger="1" minValue="0" maxValue="213000000"/>
    </cacheField>
    <cacheField name="AG Compromisos_agosto" numFmtId="3">
      <sharedItems containsString="0" containsBlank="1" containsNumber="1" containsInteger="1" minValue="0" maxValue="500000000"/>
    </cacheField>
    <cacheField name="AG Obligaciones_agosto" numFmtId="3">
      <sharedItems containsString="0" containsBlank="1" containsNumber="1" containsInteger="1" minValue="0" maxValue="300000000"/>
    </cacheField>
    <cacheField name="AG Compromisos_septiembre" numFmtId="3">
      <sharedItems containsString="0" containsBlank="1" containsNumber="1" containsInteger="1" minValue="0" maxValue="138000000"/>
    </cacheField>
    <cacheField name="AG Obligaciones_septiembre" numFmtId="3">
      <sharedItems containsString="0" containsBlank="1" containsNumber="1" containsInteger="1" minValue="0" maxValue="200000000"/>
    </cacheField>
    <cacheField name="AG Compromisos_octubre" numFmtId="3">
      <sharedItems containsString="0" containsBlank="1" containsNumber="1" containsInteger="1" minValue="0" maxValue="368750411"/>
    </cacheField>
    <cacheField name="AG Obligaciones_octubre" numFmtId="3">
      <sharedItems containsString="0" containsBlank="1" containsNumber="1" containsInteger="1" minValue="0" maxValue="318965200"/>
    </cacheField>
    <cacheField name="AG Compromisos_noviembre" numFmtId="3">
      <sharedItems containsString="0" containsBlank="1" containsNumber="1" containsInteger="1" minValue="0" maxValue="468830288"/>
    </cacheField>
    <cacheField name="AG Obligaciones_noviembre" numFmtId="3">
      <sharedItems containsString="0" containsBlank="1" containsNumber="1" containsInteger="1" minValue="0" maxValue="368750411"/>
    </cacheField>
    <cacheField name="AG Compromisos_diciembre" numFmtId="3">
      <sharedItems containsString="0" containsBlank="1" containsNumber="1" containsInteger="1" minValue="0" maxValue="79147307"/>
    </cacheField>
    <cacheField name="AG Obligaciones_diciembre" numFmtId="3">
      <sharedItems containsString="0" containsBlank="1" containsNumber="1" containsInteger="1" minValue="0" maxValue="500000000"/>
    </cacheField>
    <cacheField name="AG Suma de compromisos" numFmtId="3">
      <sharedItems containsString="0" containsBlank="1" containsNumber="1" containsInteger="1" minValue="0" maxValue="718965200"/>
    </cacheField>
    <cacheField name="AG Suma de obligaciones" numFmtId="3">
      <sharedItems containsString="0" containsBlank="1" containsNumber="1" containsInteger="1" minValue="0" maxValue="718965200"/>
    </cacheField>
    <cacheField name="AG Diferencias compromisos" numFmtId="3">
      <sharedItems containsString="0" containsBlank="1" containsNumber="1" containsInteger="1" minValue="-87000000" maxValue="200000000"/>
    </cacheField>
    <cacheField name="AG Diferencias obligaciones" numFmtId="3">
      <sharedItems containsString="0" containsBlank="1" containsNumber="1" containsInteger="1" minValue="-87000000" maxValue="200000000"/>
    </cacheField>
    <cacheField name="Objeto sin ítem" numFmtId="0">
      <sharedItems containsBlank="1"/>
    </cacheField>
    <cacheField name="Compromisos_enero" numFmtId="0">
      <sharedItems containsString="0" containsBlank="1" containsNumber="1" containsInteger="1" minValue="0" maxValue="156400000"/>
    </cacheField>
    <cacheField name="Obligaciones_enero" numFmtId="0">
      <sharedItems containsString="0" containsBlank="1" containsNumber="1" containsInteger="1" minValue="0" maxValue="0"/>
    </cacheField>
    <cacheField name="Compromisos_febrero" numFmtId="0">
      <sharedItems containsString="0" containsBlank="1" containsNumber="1" containsInteger="1" minValue="0" maxValue="150997373"/>
    </cacheField>
    <cacheField name="Obligaciones_febrero" numFmtId="0">
      <sharedItems containsString="0" containsBlank="1" containsNumber="1" containsInteger="1" minValue="-54000000" maxValue="12000000"/>
    </cacheField>
    <cacheField name="Compromisos_marzo" numFmtId="0">
      <sharedItems containsString="0" containsBlank="1" containsNumber="1" containsInteger="1" minValue="0" maxValue="300000000"/>
    </cacheField>
    <cacheField name="Obligaciones_marzo" numFmtId="0">
      <sharedItems containsString="0" containsBlank="1" containsNumber="1" containsInteger="1" minValue="0" maxValue="15000000"/>
    </cacheField>
    <cacheField name="Compromisos_abril" numFmtId="0">
      <sharedItems containsString="0" containsBlank="1" containsNumber="1" containsInteger="1" minValue="-87000000" maxValue="500000000"/>
    </cacheField>
    <cacheField name="Obligaciones_abril" numFmtId="0">
      <sharedItems containsString="0" containsBlank="1" containsNumber="1" containsInteger="1" minValue="0" maxValue="37749343"/>
    </cacheField>
    <cacheField name="Compromisos_mayo" numFmtId="0">
      <sharedItems containsString="0" containsBlank="1" containsNumber="1" containsInteger="1" minValue="0" maxValue="145670160"/>
    </cacheField>
    <cacheField name="Obligaciones_mayo" numFmtId="0">
      <sharedItems containsString="0" containsBlank="1" containsNumber="1" containsInteger="1" minValue="0" maxValue="310000000"/>
    </cacheField>
    <cacheField name="Compromisos_junio" numFmtId="0">
      <sharedItems containsString="0" containsBlank="1" containsNumber="1" containsInteger="1" minValue="0" maxValue="300000000"/>
    </cacheField>
    <cacheField name="Obligaciones_junio" numFmtId="0">
      <sharedItems containsString="0" containsBlank="1" containsNumber="1" containsInteger="1" minValue="0" maxValue="500000000"/>
    </cacheField>
    <cacheField name="Compromisos_julio" numFmtId="0">
      <sharedItems containsString="0" containsBlank="1" containsNumber="1" containsInteger="1" minValue="0" maxValue="718965200"/>
    </cacheField>
    <cacheField name="Obligaciones_julio" numFmtId="0">
      <sharedItems containsString="0" containsBlank="1" containsNumber="1" containsInteger="1" minValue="0" maxValue="150000000"/>
    </cacheField>
    <cacheField name="Compromisos_agosto" numFmtId="0">
      <sharedItems containsString="0" containsBlank="1" containsNumber="1" containsInteger="1" minValue="0" maxValue="500000000"/>
    </cacheField>
    <cacheField name="Obligaciones_agosto" numFmtId="0">
      <sharedItems containsString="0" containsBlank="1" containsNumber="1" containsInteger="1" minValue="0" maxValue="300000000"/>
    </cacheField>
    <cacheField name="Compromisos_septiembre" numFmtId="0">
      <sharedItems containsString="0" containsBlank="1" containsNumber="1" containsInteger="1" minValue="0" maxValue="136800000"/>
    </cacheField>
    <cacheField name="Obligaciones_septiembre" numFmtId="0">
      <sharedItems containsString="0" containsBlank="1" containsNumber="1" containsInteger="1" minValue="0" maxValue="200000000"/>
    </cacheField>
    <cacheField name="Compromisos_octubre" numFmtId="0">
      <sharedItems containsString="0" containsBlank="1" containsNumber="1" containsInteger="1" minValue="0" maxValue="368750411"/>
    </cacheField>
    <cacheField name="Obligaciones_octubre" numFmtId="0">
      <sharedItems containsString="0" containsBlank="1" containsNumber="1" containsInteger="1" minValue="0" maxValue="318965200"/>
    </cacheField>
    <cacheField name="Compromisos_noviembre" numFmtId="0">
      <sharedItems containsString="0" containsBlank="1" containsNumber="1" containsInteger="1" minValue="0" maxValue="468830288"/>
    </cacheField>
    <cacheField name="Obligaciones_noviembre" numFmtId="0">
      <sharedItems containsString="0" containsBlank="1" containsNumber="1" containsInteger="1" minValue="0" maxValue="368750411"/>
    </cacheField>
    <cacheField name="Compromisos_diciembre" numFmtId="0">
      <sharedItems containsString="0" containsBlank="1" containsNumber="1" containsInteger="1" minValue="0" maxValue="79147307"/>
    </cacheField>
    <cacheField name="Obligaciones_diciembre" numFmtId="0">
      <sharedItems containsString="0" containsBlank="1" containsNumber="1" containsInteger="1" minValue="0" maxValue="500000000"/>
    </cacheField>
    <cacheField name="Compromisos por definir" numFmtId="0">
      <sharedItems containsNonDate="0" containsString="0" containsBlank="1"/>
    </cacheField>
    <cacheField name="Obligaciones por definir" numFmtId="0">
      <sharedItems containsNonDate="0" containsString="0" containsBlank="1"/>
    </cacheField>
    <cacheField name="Suma de compromisos" numFmtId="165">
      <sharedItems containsBlank="1" containsMixedTypes="1" containsNumber="1" containsInteger="1" minValue="0" maxValue="718965200"/>
    </cacheField>
    <cacheField name="Suma de obligaciones" numFmtId="165">
      <sharedItems containsBlank="1" containsMixedTypes="1" containsNumber="1" containsInteger="1" minValue="0" maxValue="718965200"/>
    </cacheField>
    <cacheField name="Diferencias compromisos" numFmtId="165">
      <sharedItems containsBlank="1" containsMixedTypes="1" containsNumber="1" containsInteger="1" minValue="-74569050" maxValue="310000000"/>
    </cacheField>
    <cacheField name="Diferencias obligaciones" numFmtId="165">
      <sharedItems containsBlank="1" containsMixedTypes="1" containsNumber="1" containsInteger="1" minValue="-74569050" maxValue="90801410"/>
    </cacheField>
    <cacheField name="Número de CDP" numFmtId="0">
      <sharedItems containsString="0" containsBlank="1" containsNumber="1" minValue="126" maxValue="72126"/>
    </cacheField>
    <cacheField name="Fecha de Expedición del CDP" numFmtId="166">
      <sharedItems containsNonDate="0" containsDate="1" containsString="0" containsBlank="1" minDate="2026-01-01T00:00:00" maxDate="2026-04-30T00:00:00"/>
    </cacheField>
    <cacheField name="Valor del CDP" numFmtId="3">
      <sharedItems containsString="0" containsBlank="1" containsNumber="1" minValue="0" maxValue="376833620"/>
    </cacheField>
    <cacheField name="Saldo del ítem (Valor estimado en la vigencia actual - Valor del CDP)" numFmtId="3">
      <sharedItems containsSemiMixedTypes="0" containsString="0" containsNumber="1" minValue="-77600000" maxValue="718965200"/>
    </cacheField>
    <cacheField name="Número de RP" numFmtId="0">
      <sharedItems containsBlank="1" containsMixedTypes="1" containsNumber="1" minValue="126" maxValue="73426"/>
    </cacheField>
    <cacheField name="Fecha de Expedición del RP" numFmtId="0">
      <sharedItems containsDate="1" containsBlank="1" containsMixedTypes="1" minDate="2026-01-04T00:00:00" maxDate="2026-04-30T00:00:00"/>
    </cacheField>
    <cacheField name="Valor del RP" numFmtId="3">
      <sharedItems containsString="0" containsBlank="1" containsNumber="1" containsInteger="1" minValue="0" maxValue="376820939"/>
    </cacheField>
    <cacheField name="Recursos sin comprometer (Valor estimado del Item - Valor RP)" numFmtId="3">
      <sharedItems containsMixedTypes="1" containsNumber="1" containsInteger="1" minValue="-20684450" maxValue="718965200"/>
    </cacheField>
    <cacheField name="CDP - RP" numFmtId="3">
      <sharedItems containsSemiMixedTypes="0" containsString="0" containsNumber="1" minValue="0" maxValue="277094840"/>
    </cacheField>
    <cacheField name="Nombre del Contratista" numFmtId="0">
      <sharedItems containsBlank="1"/>
    </cacheField>
    <cacheField name="Número del contrato" numFmtId="0">
      <sharedItems containsBlank="1" containsMixedTypes="1" containsNumber="1" containsInteger="1" minValue="1126" maxValue="202601100002235"/>
    </cacheField>
    <cacheField name="Compromiso ejecutado enero" numFmtId="0">
      <sharedItems containsString="0" containsBlank="1" containsNumber="1" containsInteger="1" minValue="1355610" maxValue="156400000"/>
    </cacheField>
    <cacheField name="Obligación ejecutada enero" numFmtId="3">
      <sharedItems containsString="0" containsBlank="1" containsNumber="1" containsInteger="1" minValue="46643100" maxValue="46643100"/>
    </cacheField>
    <cacheField name="Pago ejecutado enero" numFmtId="3">
      <sharedItems containsNonDate="0" containsString="0" containsBlank="1"/>
    </cacheField>
    <cacheField name="Compromiso ejecutado febrero" numFmtId="3">
      <sharedItems containsString="0" containsBlank="1" containsNumber="1" containsInteger="1" minValue="-31600000" maxValue="150997373"/>
    </cacheField>
    <cacheField name="Obligación ejecutada febrero" numFmtId="3">
      <sharedItems containsString="0" containsBlank="1" containsNumber="1" minValue="109515" maxValue="11908431"/>
    </cacheField>
    <cacheField name="Pago ejecutado febrero" numFmtId="3">
      <sharedItems containsString="0" containsBlank="1" containsNumber="1" minValue="109515" maxValue="11908431"/>
    </cacheField>
    <cacheField name="Compromiso ejecutado marzo" numFmtId="3">
      <sharedItems containsString="0" containsBlank="1" containsNumber="1" containsInteger="1" minValue="-49320000" maxValue="376820939"/>
    </cacheField>
    <cacheField name="Obligación ejecutada marzo" numFmtId="3">
      <sharedItems containsString="0" containsBlank="1" containsNumber="1" minValue="140910" maxValue="19355700"/>
    </cacheField>
    <cacheField name="Pago ejecutado marzo" numFmtId="3">
      <sharedItems containsString="0" containsBlank="1" containsNumber="1" minValue="140910" maxValue="19355700"/>
    </cacheField>
    <cacheField name="Compromiso ejecutado abril" numFmtId="3">
      <sharedItems containsString="0" containsBlank="1" containsNumber="1" containsInteger="1" minValue="-69300000" maxValue="160000000"/>
    </cacheField>
    <cacheField name="Obligación ejecutada abril" numFmtId="3">
      <sharedItems containsString="0" containsBlank="1" containsNumber="1" minValue="1767360" maxValue="73342979"/>
    </cacheField>
    <cacheField name="Pago ejecutado abril" numFmtId="3">
      <sharedItems containsString="0" containsBlank="1" containsNumber="1" minValue="1767360" maxValue="73342979"/>
    </cacheField>
    <cacheField name="Compromiso ejecutado mayo" numFmtId="3">
      <sharedItems containsNonDate="0" containsString="0" containsBlank="1"/>
    </cacheField>
    <cacheField name="Obligación ejecutada mayo" numFmtId="3">
      <sharedItems containsNonDate="0" containsString="0" containsBlank="1"/>
    </cacheField>
    <cacheField name="Pago ejecutado mayo" numFmtId="3">
      <sharedItems containsNonDate="0" containsString="0" containsBlank="1"/>
    </cacheField>
    <cacheField name="Compromiso ejecutado junio" numFmtId="3">
      <sharedItems containsNonDate="0" containsString="0" containsBlank="1"/>
    </cacheField>
    <cacheField name="Obligación ejecutada junio" numFmtId="3">
      <sharedItems containsNonDate="0" containsString="0" containsBlank="1"/>
    </cacheField>
    <cacheField name="Pago ejecutado junio" numFmtId="3">
      <sharedItems containsNonDate="0" containsString="0" containsBlank="1"/>
    </cacheField>
    <cacheField name="Compromiso ejecutado julio" numFmtId="3">
      <sharedItems containsNonDate="0" containsString="0" containsBlank="1"/>
    </cacheField>
    <cacheField name="Obligación ejecutada julio" numFmtId="3">
      <sharedItems containsNonDate="0" containsString="0" containsBlank="1"/>
    </cacheField>
    <cacheField name="Pago ejecutado julio" numFmtId="3">
      <sharedItems containsNonDate="0" containsString="0" containsBlank="1"/>
    </cacheField>
    <cacheField name="Compromiso ejecutado agosto" numFmtId="3">
      <sharedItems containsNonDate="0" containsString="0" containsBlank="1"/>
    </cacheField>
    <cacheField name="Obligación ejecutada agosto" numFmtId="3">
      <sharedItems containsNonDate="0" containsString="0" containsBlank="1"/>
    </cacheField>
    <cacheField name="Pago ejecutado agosto" numFmtId="3">
      <sharedItems containsNonDate="0" containsString="0" containsBlank="1"/>
    </cacheField>
    <cacheField name="Compromiso ejecutado septiembre" numFmtId="3">
      <sharedItems containsNonDate="0" containsString="0" containsBlank="1"/>
    </cacheField>
    <cacheField name="Obligación ejecutada septiembre" numFmtId="3">
      <sharedItems containsNonDate="0" containsString="0" containsBlank="1"/>
    </cacheField>
    <cacheField name="Pago ejecutado septiembre" numFmtId="3">
      <sharedItems containsNonDate="0" containsString="0" containsBlank="1"/>
    </cacheField>
    <cacheField name="Compromiso ejecutado octubre" numFmtId="3">
      <sharedItems containsNonDate="0" containsString="0" containsBlank="1"/>
    </cacheField>
    <cacheField name="Obligación ejecutada octubre" numFmtId="3">
      <sharedItems containsNonDate="0" containsString="0" containsBlank="1"/>
    </cacheField>
    <cacheField name="Pago ejecutado octubre" numFmtId="3">
      <sharedItems containsNonDate="0" containsString="0" containsBlank="1"/>
    </cacheField>
    <cacheField name="Compromiso ejecutado noviembre" numFmtId="3">
      <sharedItems containsNonDate="0" containsString="0" containsBlank="1"/>
    </cacheField>
    <cacheField name="Obligación ejecutada noviembre" numFmtId="3">
      <sharedItems containsNonDate="0" containsString="0" containsBlank="1"/>
    </cacheField>
    <cacheField name="Pago ejecutado noviembre" numFmtId="3">
      <sharedItems containsNonDate="0" containsString="0" containsBlank="1"/>
    </cacheField>
    <cacheField name="Compromiso ejecutado diciembre" numFmtId="3">
      <sharedItems containsNonDate="0" containsString="0" containsBlank="1"/>
    </cacheField>
    <cacheField name="Obligación ejecutada diciembre" numFmtId="3">
      <sharedItems containsNonDate="0" containsString="0" containsBlank="1"/>
    </cacheField>
    <cacheField name="Pago ejecutado diciembre" numFmtId="3">
      <sharedItems containsNonDate="0" containsString="0" containsBlank="1"/>
    </cacheField>
    <cacheField name="Total Compromiso ejecutado" numFmtId="3">
      <sharedItems containsString="0" containsBlank="1" containsNumber="1" containsInteger="1" minValue="0" maxValue="376820939"/>
    </cacheField>
    <cacheField name="Total Obligación ejecutada" numFmtId="3">
      <sharedItems containsString="0" containsBlank="1" containsNumber="1" minValue="0" maxValue="73342979"/>
    </cacheField>
    <cacheField name="Total pago ejecutado" numFmtId="3">
      <sharedItems containsString="0" containsBlank="1" containsNumber="1" minValue="0" maxValue="73342979"/>
    </cacheField>
    <cacheField name="Diferencia Total Compromiso ejecutado - Total Obligación ejecutada" numFmtId="3">
      <sharedItems containsString="0" containsBlank="1" containsNumber="1" minValue="-46643100" maxValue="376820939"/>
    </cacheField>
    <cacheField name="Diferencia Total Compromiso ejecutado - Total Obligación ejecutada2" numFmtId="3">
      <sharedItems containsString="0" containsBlank="1" containsNumber="1" containsInteger="1" minValue="0" maxValue="46643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1">
  <r>
    <x v="0"/>
    <x v="0"/>
    <s v="Fortalecimiento del levantamiento, gestión y apropiación de la información para la planeación del sector minero energético con enfoque territorial nacional"/>
    <s v="Enfoque Territorial"/>
    <s v="Sí"/>
    <s v="Sí"/>
    <n v="68"/>
    <s v="100-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 Prestar servicios profesionales para la identificación y evaluación de variables ambientales críticas en los departamentos priorizados, aportando a la actualización técnica del Atlas de Conflictividad Socioambiental para la planificación minero- ene"/>
    <s v="Enero "/>
    <s v="Enero "/>
    <s v="Enero "/>
    <n v="11"/>
    <s v="Meses"/>
    <s v="Contratación directa - Prestación de servicios profesionales "/>
    <s v="Propios - 20 - Ingresos corrientes"/>
    <n v="71500000"/>
    <n v="71500000"/>
    <s v="N/A"/>
    <s v="N/A"/>
    <s v="Sandra Caballero"/>
    <s v="Asesora Dirección general"/>
    <n v="6012220601"/>
    <s v="sandra.caballero@upme.gov.co"/>
    <n v="71500000"/>
    <n v="0"/>
    <n v="0"/>
    <n v="886667"/>
    <n v="0"/>
    <n v="6500000"/>
    <n v="0"/>
    <n v="6500000"/>
    <n v="0"/>
    <n v="6500000"/>
    <n v="0"/>
    <n v="6500000"/>
    <n v="0"/>
    <n v="6500000"/>
    <n v="0"/>
    <n v="6500000"/>
    <n v="0"/>
    <n v="6500000"/>
    <n v="0"/>
    <n v="6500000"/>
    <n v="0"/>
    <n v="6500000"/>
    <n v="0"/>
    <n v="12113333"/>
    <n v="71500000"/>
    <n v="71500000"/>
    <n v="0"/>
    <n v="0"/>
    <s v="Prestar servicios profesionales para la identificación y evaluación de variables ambientales críticas en los departamentos priorizados, aportando a la actualización técnica del Atlas de Conflictividad Socioambiental para la planificación minero- energétic"/>
    <n v="71500000"/>
    <m/>
    <m/>
    <n v="886667"/>
    <m/>
    <n v="6500000"/>
    <m/>
    <n v="6500000"/>
    <m/>
    <n v="6500000"/>
    <m/>
    <n v="6500000"/>
    <m/>
    <n v="6500000"/>
    <m/>
    <n v="6500000"/>
    <m/>
    <n v="6500000"/>
    <m/>
    <n v="6500000"/>
    <m/>
    <n v="6500000"/>
    <m/>
    <n v="12113333"/>
    <m/>
    <m/>
    <n v="71500000"/>
    <n v="71500000"/>
    <n v="0"/>
    <n v="0"/>
    <n v="7026"/>
    <d v="2026-01-06T00:00:00"/>
    <n v="71500000"/>
    <n v="0"/>
    <n v="22626"/>
    <d v="2026-01-27T00:00:00"/>
    <n v="71500000"/>
    <n v="0"/>
    <n v="0"/>
    <s v="BECERRA CANO MARIA FERNANDA"/>
    <s v="CO1.PCCNTR.9008519"/>
    <n v="71500000"/>
    <m/>
    <m/>
    <m/>
    <m/>
    <m/>
    <m/>
    <n v="7150000"/>
    <n v="7150000"/>
    <m/>
    <n v="6500000"/>
    <n v="6500000"/>
    <m/>
    <m/>
    <m/>
    <m/>
    <m/>
    <m/>
    <m/>
    <m/>
    <m/>
    <m/>
    <m/>
    <m/>
    <m/>
    <m/>
    <m/>
    <m/>
    <m/>
    <m/>
    <m/>
    <m/>
    <m/>
    <m/>
    <m/>
    <m/>
    <n v="71500000"/>
    <n v="13650000"/>
    <n v="13650000"/>
    <n v="57850000"/>
    <n v="0"/>
    <x v="0"/>
  </r>
  <r>
    <x v="0"/>
    <x v="0"/>
    <s v="Fortalecimiento del levantamiento, gestión y apropiación de la información para la planeación del sector minero energético con enfoque territorial nacional"/>
    <s v="Enfoque Territorial"/>
    <s v="Sí"/>
    <s v="Sí"/>
    <n v="2"/>
    <s v="100-2"/>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 Prestar servicios profesionales para el análisis y representación espacial de información socioambiental y territorial, mediante el uso de herramientas de Sistemas de Información Geográfica (SIG) que apoyen la construcción de escenarios de planeació"/>
    <s v="Enero "/>
    <s v="Enero "/>
    <s v="Enero "/>
    <n v="11"/>
    <s v="Meses"/>
    <s v="Contratación directa - Prestación de servicios profesionales "/>
    <s v="Propios - 20 - Ingresos corrientes"/>
    <n v="66000000"/>
    <n v="66000000"/>
    <s v="N/A"/>
    <s v="N/A"/>
    <s v="Sandra Caballero"/>
    <s v="Asesora Dirección general"/>
    <n v="6012220601"/>
    <s v="sandra.caballero@upme.gov.co"/>
    <n v="0"/>
    <n v="0"/>
    <n v="66000000"/>
    <n v="0"/>
    <n v="0"/>
    <n v="6000000"/>
    <n v="0"/>
    <n v="6000000"/>
    <n v="0"/>
    <n v="6000000"/>
    <n v="0"/>
    <n v="6000000"/>
    <n v="0"/>
    <n v="6000000"/>
    <n v="0"/>
    <n v="6000000"/>
    <n v="0"/>
    <n v="6000000"/>
    <n v="0"/>
    <n v="6000000"/>
    <n v="0"/>
    <n v="6000000"/>
    <n v="0"/>
    <n v="12000000"/>
    <n v="66000000"/>
    <n v="66000000"/>
    <n v="0"/>
    <n v="0"/>
    <s v="Prestar servicios profesionales para el análisis y representación espacial de información socioambiental y territorial, mediante el uso de herramientas de Sistemas de Información Geográfica (SIG) que apoyen la construcción de escenarios de planeación mine"/>
    <m/>
    <m/>
    <n v="66000000"/>
    <m/>
    <m/>
    <n v="6000000"/>
    <m/>
    <n v="6000000"/>
    <m/>
    <n v="6000000"/>
    <m/>
    <n v="6000000"/>
    <m/>
    <n v="6000000"/>
    <m/>
    <n v="6000000"/>
    <m/>
    <n v="6000000"/>
    <m/>
    <n v="6000000"/>
    <m/>
    <n v="6000000"/>
    <m/>
    <n v="12000000"/>
    <m/>
    <m/>
    <n v="66000000"/>
    <n v="66000000"/>
    <n v="0"/>
    <n v="0"/>
    <n v="26926"/>
    <d v="2026-01-14T00:00:00"/>
    <n v="66000000"/>
    <n v="0"/>
    <n v="47226"/>
    <d v="2026-02-06T00:00:00"/>
    <n v="66000000"/>
    <n v="0"/>
    <n v="0"/>
    <s v="GRISALES LOPEZ MAIRA ALEJANDRA"/>
    <s v="CO1.PCCNTR.9267383"/>
    <m/>
    <m/>
    <m/>
    <n v="66000000"/>
    <m/>
    <m/>
    <m/>
    <n v="4400000"/>
    <n v="4400000"/>
    <m/>
    <n v="6000000"/>
    <n v="6000000"/>
    <m/>
    <m/>
    <m/>
    <m/>
    <m/>
    <m/>
    <m/>
    <m/>
    <m/>
    <m/>
    <m/>
    <m/>
    <m/>
    <m/>
    <m/>
    <m/>
    <m/>
    <m/>
    <m/>
    <m/>
    <m/>
    <m/>
    <m/>
    <m/>
    <n v="66000000"/>
    <n v="10400000"/>
    <n v="10400000"/>
    <n v="55600000"/>
    <n v="0"/>
    <x v="0"/>
  </r>
  <r>
    <x v="0"/>
    <x v="0"/>
    <s v="Fortalecimiento del levantamiento, gestión y apropiación de la información para la planeación del sector minero energético con enfoque territorial nacional"/>
    <s v="Enfoque Territorial"/>
    <s v="Sí"/>
    <s v="Sí"/>
    <n v="68"/>
    <s v="100-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3 Prestar servicios profesionales para apoyar la identificación e incorporación de variables sociales y territoriales en los documentos de la UPME, con el fin de fortalecer el conocimiento sobre la relación entre el desarrollo minero-energético."/>
    <s v="Enero "/>
    <s v="Enero "/>
    <s v="Enero "/>
    <n v="11"/>
    <s v="Meses"/>
    <s v="Contratación directa - Prestación de servicios profesionales "/>
    <s v="Propios - 20 - Ingresos corrientes"/>
    <n v="82500000"/>
    <n v="82500000"/>
    <s v="N/A"/>
    <s v="N/A"/>
    <s v="Sandra Caballero"/>
    <s v="Asesora Dirección general"/>
    <n v="6012220601"/>
    <s v="sandra.caballero@upme.gov.co"/>
    <n v="82500000"/>
    <n v="0"/>
    <n v="0"/>
    <n v="750000"/>
    <n v="0"/>
    <n v="7500000"/>
    <n v="0"/>
    <n v="7500000"/>
    <n v="0"/>
    <n v="7500000"/>
    <n v="0"/>
    <n v="7500000"/>
    <n v="0"/>
    <n v="7500000"/>
    <n v="0"/>
    <n v="7500000"/>
    <n v="0"/>
    <n v="7500000"/>
    <n v="0"/>
    <n v="7500000"/>
    <n v="0"/>
    <n v="7500000"/>
    <n v="0"/>
    <n v="14250000"/>
    <n v="82500000"/>
    <n v="82500000"/>
    <n v="0"/>
    <n v="0"/>
    <s v="Prestar servicios profesionales para apoyar la identificación e incorporación de variables sociales y territoriales en los documentos de la UPME, con el fin de fortalecer el conocimiento sobre la relación entre el desarrollo minero-energético."/>
    <n v="82500000"/>
    <m/>
    <m/>
    <n v="750000"/>
    <m/>
    <n v="7500000"/>
    <m/>
    <n v="7500000"/>
    <m/>
    <n v="7500000"/>
    <m/>
    <n v="7500000"/>
    <m/>
    <n v="7500000"/>
    <m/>
    <n v="7500000"/>
    <m/>
    <n v="7500000"/>
    <m/>
    <n v="7500000"/>
    <m/>
    <n v="7500000"/>
    <m/>
    <n v="14250000"/>
    <m/>
    <m/>
    <n v="82500000"/>
    <n v="82500000"/>
    <n v="0"/>
    <n v="0"/>
    <n v="33726"/>
    <d v="2026-01-15T00:00:00"/>
    <n v="82500000"/>
    <n v="0"/>
    <n v="26326"/>
    <d v="2026-01-28T00:00:00"/>
    <n v="82500000"/>
    <n v="0"/>
    <n v="0"/>
    <s v="MAFLA NOGUERA SAMY ANDRES"/>
    <s v="CO1.PCCNTR.9144902"/>
    <n v="82500000"/>
    <m/>
    <m/>
    <m/>
    <m/>
    <m/>
    <m/>
    <n v="8000000"/>
    <n v="8000000"/>
    <m/>
    <m/>
    <m/>
    <m/>
    <m/>
    <m/>
    <m/>
    <m/>
    <m/>
    <m/>
    <m/>
    <m/>
    <m/>
    <m/>
    <m/>
    <m/>
    <m/>
    <m/>
    <m/>
    <m/>
    <m/>
    <m/>
    <m/>
    <m/>
    <m/>
    <m/>
    <m/>
    <n v="82500000"/>
    <n v="8000000"/>
    <n v="8000000"/>
    <n v="74500000"/>
    <n v="0"/>
    <x v="0"/>
  </r>
  <r>
    <x v="0"/>
    <x v="0"/>
    <s v="Fortalecimiento del levantamiento, gestión y apropiación de la información para la planeación del sector minero energético con enfoque territorial nacional"/>
    <s v="Enfoque Territorial"/>
    <s v="Sí"/>
    <s v="Sí"/>
    <n v="2"/>
    <s v="100-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4 Prestar servicios profesionales a la Unidad de Planeación Minero-Energética (UPME) en el ejercicio de la secretaría técnica de comités interinstitucionales e intersectoriales, el fortalecimiento del relacionamiento estratégico entre niveles de gobie"/>
    <s v="Enero "/>
    <s v="Enero "/>
    <s v="Enero "/>
    <n v="11"/>
    <s v="Meses"/>
    <s v="Contratación directa - Prestación de servicios profesionales "/>
    <s v="Propios - 20 - Ingresos corrientes"/>
    <n v="71500000"/>
    <n v="71500000"/>
    <s v="N/A"/>
    <s v="N/A"/>
    <s v="Sandra Caballero"/>
    <s v="Asesora Dirección general"/>
    <n v="6012220601"/>
    <s v="sandra.caballero@upme.gov.co"/>
    <n v="71500000"/>
    <n v="0"/>
    <n v="0"/>
    <n v="1083333"/>
    <n v="0"/>
    <n v="6500000"/>
    <n v="0"/>
    <n v="6500000"/>
    <n v="0"/>
    <n v="6500000"/>
    <n v="0"/>
    <n v="6500000"/>
    <n v="0"/>
    <n v="6500000"/>
    <n v="0"/>
    <n v="6500000"/>
    <n v="0"/>
    <n v="6500000"/>
    <n v="0"/>
    <n v="6500000"/>
    <n v="0"/>
    <n v="6500000"/>
    <n v="0"/>
    <n v="11916667"/>
    <n v="71500000"/>
    <n v="71500000"/>
    <n v="0"/>
    <n v="0"/>
    <s v="Prestar servicios profesionales a la Unidad de Planeación Minero-Energética (UPME) en el ejercicio de la secretaría técnica de comités interinstitucionales e intersectoriales, el fortalecimiento del relacionamiento estratégico entre niveles de gobierno y "/>
    <n v="71500000"/>
    <m/>
    <m/>
    <n v="1083333"/>
    <m/>
    <n v="6500000"/>
    <m/>
    <n v="6500000"/>
    <m/>
    <n v="6500000"/>
    <m/>
    <n v="6500000"/>
    <m/>
    <n v="6500000"/>
    <m/>
    <n v="6500000"/>
    <m/>
    <n v="6500000"/>
    <m/>
    <n v="6500000"/>
    <m/>
    <n v="6500000"/>
    <m/>
    <n v="11916667"/>
    <m/>
    <m/>
    <n v="71500000"/>
    <n v="71500000"/>
    <n v="0"/>
    <n v="0"/>
    <n v="32126"/>
    <d v="2026-01-06T00:00:00"/>
    <n v="71500000"/>
    <n v="0"/>
    <n v="22226"/>
    <d v="2026-01-26T00:00:00"/>
    <n v="71500000"/>
    <n v="0"/>
    <n v="0"/>
    <s v="RAMIREZ MEDINA EYDA LAUREN"/>
    <s v="CO1.PCCNTR.9078912"/>
    <n v="71500000"/>
    <m/>
    <m/>
    <m/>
    <m/>
    <m/>
    <m/>
    <n v="7366667"/>
    <n v="7366667"/>
    <m/>
    <n v="6500000"/>
    <n v="6500000"/>
    <m/>
    <m/>
    <m/>
    <m/>
    <m/>
    <m/>
    <m/>
    <m/>
    <m/>
    <m/>
    <m/>
    <m/>
    <m/>
    <m/>
    <m/>
    <m/>
    <m/>
    <m/>
    <m/>
    <m/>
    <m/>
    <m/>
    <m/>
    <m/>
    <n v="71500000"/>
    <n v="13866667"/>
    <n v="13866667"/>
    <n v="57633333"/>
    <n v="0"/>
    <x v="0"/>
  </r>
  <r>
    <x v="0"/>
    <x v="0"/>
    <s v="Fortalecimiento del levantamiento, gestión y apropiación de la información para la planeación del sector minero energético con enfoque territorial nacional"/>
    <s v="Enfoque Territorial"/>
    <s v="Sí"/>
    <s v="Sí"/>
    <n v="68"/>
    <s v="100-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5 Prestar los servicios profesionales en la construcción de conceptos jurídicos del Proyecto Enfoque Territorial, acorde a la normativa vigente, y analizar el marco regulatorio relacionado con los aspectos jurídicos que involucran la planeación de ene"/>
    <s v="Enero "/>
    <s v="Enero "/>
    <s v="Enero "/>
    <n v="10"/>
    <s v="Meses"/>
    <s v="Contratación directa - Prestación de servicios profesionales "/>
    <s v="Propios - 20 - Ingresos corrientes"/>
    <n v="72000000"/>
    <n v="72000000"/>
    <s v="N/A"/>
    <s v="N/A"/>
    <s v="Sandra Caballero"/>
    <s v="Asesora Dirección general"/>
    <n v="6012220601"/>
    <s v="sandra.caballero@upme.gov.co"/>
    <n v="0"/>
    <n v="0"/>
    <n v="72000000"/>
    <n v="0"/>
    <n v="0"/>
    <n v="6240000"/>
    <n v="0"/>
    <n v="7200000"/>
    <n v="0"/>
    <n v="7200000"/>
    <n v="0"/>
    <n v="7200000"/>
    <n v="0"/>
    <n v="7200000"/>
    <n v="0"/>
    <n v="7200000"/>
    <n v="0"/>
    <n v="7200000"/>
    <n v="0"/>
    <n v="7200000"/>
    <n v="0"/>
    <n v="7200000"/>
    <n v="0"/>
    <n v="8160000"/>
    <n v="72000000"/>
    <n v="72000000"/>
    <n v="0"/>
    <n v="0"/>
    <s v="Prestar los servicios profesionales en la construcción de conceptos jurídicos del Proyecto Enfoque Territorial, acorde a la normativa vigente, y analizar el marco regulatorio relacionado con los aspectos jurídicos que involucran la planeación de energía e"/>
    <m/>
    <m/>
    <n v="72000000"/>
    <m/>
    <m/>
    <n v="6240000"/>
    <m/>
    <n v="7200000"/>
    <m/>
    <n v="7200000"/>
    <m/>
    <n v="7200000"/>
    <m/>
    <n v="7200000"/>
    <m/>
    <n v="7200000"/>
    <m/>
    <n v="7200000"/>
    <m/>
    <n v="7200000"/>
    <m/>
    <n v="7200000"/>
    <m/>
    <n v="8160000"/>
    <m/>
    <m/>
    <n v="72000000"/>
    <n v="72000000"/>
    <n v="0"/>
    <n v="0"/>
    <n v="33626"/>
    <d v="2026-01-15T00:00:00"/>
    <n v="72000000"/>
    <n v="0"/>
    <n v="52826"/>
    <d v="2026-02-10T00:00:00"/>
    <n v="72000000"/>
    <n v="0"/>
    <n v="0"/>
    <s v="CASTILLO MENESES YADIRA"/>
    <s v="CO1.PCCNTR.9288549"/>
    <m/>
    <m/>
    <m/>
    <n v="72000000"/>
    <m/>
    <m/>
    <m/>
    <n v="4800000"/>
    <n v="4800000"/>
    <m/>
    <n v="7200000"/>
    <n v="7200000"/>
    <m/>
    <m/>
    <m/>
    <m/>
    <m/>
    <m/>
    <m/>
    <m/>
    <m/>
    <m/>
    <m/>
    <m/>
    <m/>
    <m/>
    <m/>
    <m/>
    <m/>
    <m/>
    <m/>
    <m/>
    <m/>
    <m/>
    <m/>
    <m/>
    <n v="72000000"/>
    <n v="12000000"/>
    <n v="12000000"/>
    <n v="60000000"/>
    <n v="0"/>
    <x v="0"/>
  </r>
  <r>
    <x v="0"/>
    <x v="0"/>
    <s v="Fortalecimiento del levantamiento, gestión y apropiación de la información para la planeación del sector minero energético con enfoque territorial nacional"/>
    <s v="Enfoque Territorial"/>
    <s v="Sí"/>
    <s v="Sí"/>
    <n v="6"/>
    <s v="100-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6 Prestar servicios profesionales para el análisis, seguimiento y fortalecimiento de la gobernanza territorial del sector minero-energético, mediante el diseño de estrategias de relacionamiento institucional y el análisis de la dinámica política y soc"/>
    <s v="Enero "/>
    <s v="Enero "/>
    <s v="Enero "/>
    <n v="9"/>
    <s v="Meses"/>
    <s v="Contratación directa - Prestación de servicios profesionales "/>
    <s v="Propios - 20 - Ingresos corrientes"/>
    <n v="62372574"/>
    <n v="62372574"/>
    <s v="N/A"/>
    <s v="N/A"/>
    <s v="Sandra Caballero"/>
    <s v="Asesora Dirección general"/>
    <n v="6012220601"/>
    <s v="sandra.caballero@upme.gov.co"/>
    <n v="54169500"/>
    <n v="0"/>
    <n v="0"/>
    <n v="0"/>
    <n v="0"/>
    <n v="5670234"/>
    <n v="0"/>
    <n v="5670234"/>
    <n v="0"/>
    <n v="5670234"/>
    <n v="0"/>
    <n v="5670234"/>
    <n v="8203074"/>
    <n v="5670234"/>
    <n v="0"/>
    <n v="5670234"/>
    <n v="0"/>
    <n v="5670234"/>
    <n v="0"/>
    <n v="5670234"/>
    <n v="0"/>
    <n v="5670234"/>
    <n v="0"/>
    <n v="11340468"/>
    <n v="62372574"/>
    <n v="62372574"/>
    <n v="0"/>
    <n v="0"/>
    <s v="Prestar servicios profesionales para el análisis, seguimiento y fortalecimiento de la gobernanza territorial del sector minero-energético, mediante el diseño de estrategias de relacionamiento institucional y el análisis de la dinámica política y social de"/>
    <n v="54169500"/>
    <m/>
    <m/>
    <m/>
    <m/>
    <n v="5670234"/>
    <m/>
    <n v="5670234"/>
    <m/>
    <n v="5670234"/>
    <m/>
    <n v="5670234"/>
    <n v="8203074"/>
    <n v="5670234"/>
    <m/>
    <n v="5670234"/>
    <m/>
    <n v="5670234"/>
    <m/>
    <n v="5670234"/>
    <m/>
    <n v="5670234"/>
    <m/>
    <n v="11340468"/>
    <m/>
    <m/>
    <n v="62372574"/>
    <n v="62372574"/>
    <n v="0"/>
    <n v="0"/>
    <n v="31226"/>
    <d v="2026-01-14T00:00:00"/>
    <n v="54169500"/>
    <n v="8203074"/>
    <n v="31226"/>
    <d v="2026-01-29T00:00:00"/>
    <n v="54169500"/>
    <n v="8203074"/>
    <n v="0"/>
    <s v="OLARTE FAJARDO IGOR ELL"/>
    <s v="CO1.PCCNTR.9142218"/>
    <n v="54169500"/>
    <m/>
    <m/>
    <m/>
    <m/>
    <m/>
    <m/>
    <n v="5236385"/>
    <n v="5236385"/>
    <m/>
    <m/>
    <m/>
    <m/>
    <m/>
    <m/>
    <m/>
    <m/>
    <m/>
    <m/>
    <m/>
    <m/>
    <m/>
    <m/>
    <m/>
    <m/>
    <m/>
    <m/>
    <m/>
    <m/>
    <m/>
    <m/>
    <m/>
    <m/>
    <m/>
    <m/>
    <m/>
    <n v="54169500"/>
    <n v="5236385"/>
    <n v="5236385"/>
    <n v="48933115"/>
    <n v="0"/>
    <x v="0"/>
  </r>
  <r>
    <x v="0"/>
    <x v="0"/>
    <s v="Fortalecimiento del levantamiento, gestión y apropiación de la información para la planeación del sector minero energético con enfoque territorial nacional"/>
    <s v="Enfoque Territorial"/>
    <s v="Sí"/>
    <s v="Sí"/>
    <n v="68"/>
    <s v="100-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7 Prestar servicios profesionales para apoyar las actividades de organización, análisis básico de información y mejora de procesos operativos que contribuyan a la evaluación y divulgación de lineamientos relacionados con el Atlas de Conflictividad Soc"/>
    <s v="Enero "/>
    <s v="Enero "/>
    <s v="Enero "/>
    <n v="10"/>
    <s v="Meses"/>
    <s v="Contratación directa - Prestación de servicios profesionales "/>
    <s v="Propios - 20 - Ingresos corrientes"/>
    <n v="60000000"/>
    <n v="60000000"/>
    <s v="N/A"/>
    <s v="N/A"/>
    <s v="Sandra Caballero"/>
    <s v="Asesora Dirección general"/>
    <n v="6012220601"/>
    <s v="sandra.caballero@upme.gov.co"/>
    <n v="60000000"/>
    <n v="0"/>
    <n v="0"/>
    <n v="1000000"/>
    <n v="0"/>
    <n v="6000000"/>
    <n v="0"/>
    <n v="6000000"/>
    <n v="0"/>
    <n v="6000000"/>
    <n v="0"/>
    <n v="6000000"/>
    <n v="0"/>
    <n v="6000000"/>
    <n v="0"/>
    <n v="6000000"/>
    <n v="0"/>
    <n v="6000000"/>
    <n v="0"/>
    <n v="6000000"/>
    <n v="0"/>
    <n v="6000000"/>
    <n v="0"/>
    <n v="5000000"/>
    <n v="60000000"/>
    <n v="60000000"/>
    <n v="0"/>
    <n v="0"/>
    <s v="Prestar servicios profesionales para apoyar las actividades de organización, análisis básico de información y mejora de procesos operativos que contribuyan a la evaluación y divulgación de lineamientos relacionados con el Atlas de Conflictividad Socioambi"/>
    <n v="60000000"/>
    <m/>
    <m/>
    <n v="1000000"/>
    <m/>
    <n v="6000000"/>
    <m/>
    <n v="6000000"/>
    <m/>
    <n v="6000000"/>
    <m/>
    <n v="6000000"/>
    <m/>
    <n v="6000000"/>
    <m/>
    <n v="6000000"/>
    <m/>
    <n v="6000000"/>
    <m/>
    <n v="6000000"/>
    <m/>
    <n v="6000000"/>
    <m/>
    <n v="5000000"/>
    <m/>
    <m/>
    <n v="60000000"/>
    <n v="60000000"/>
    <n v="0"/>
    <n v="0"/>
    <n v="7426"/>
    <d v="2026-01-06T00:00:00"/>
    <n v="60000000"/>
    <n v="0"/>
    <n v="22326"/>
    <d v="2026-01-26T00:00:00"/>
    <n v="60000000"/>
    <n v="0"/>
    <n v="0"/>
    <s v="LUCUMI ARARAT LEIDY ALEJANDRA"/>
    <s v="CO1.PCCNTR.9003920"/>
    <n v="60000000"/>
    <m/>
    <m/>
    <m/>
    <m/>
    <m/>
    <m/>
    <n v="6800000"/>
    <n v="6800000"/>
    <m/>
    <n v="6000000"/>
    <n v="6000000"/>
    <m/>
    <m/>
    <m/>
    <m/>
    <m/>
    <m/>
    <m/>
    <m/>
    <m/>
    <m/>
    <m/>
    <m/>
    <m/>
    <m/>
    <m/>
    <m/>
    <m/>
    <m/>
    <m/>
    <m/>
    <m/>
    <m/>
    <m/>
    <m/>
    <n v="60000000"/>
    <n v="12800000"/>
    <n v="12800000"/>
    <n v="47200000"/>
    <n v="0"/>
    <x v="0"/>
  </r>
  <r>
    <x v="0"/>
    <x v="0"/>
    <s v="Fortalecimiento del levantamiento, gestión y apropiación de la información para la planeación del sector minero energético con enfoque territorial nacional"/>
    <s v="Enfoque Territorial"/>
    <s v="Sí"/>
    <s v="Sí"/>
    <n v="68"/>
    <s v="100-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8 Prestar servicios profesionales de apoyo jurídico para la revisión normativa y la emisión de conceptos relacionados con los habilitadores socioambientales y la infraestructura energética, articulando criterios legales con las necesidades del proyect"/>
    <s v="Enero "/>
    <s v="Enero "/>
    <s v="Enero "/>
    <n v="10"/>
    <s v="Meses"/>
    <s v="Contratación directa - Prestación de servicios profesionales "/>
    <s v="Propios - 20 - Ingresos corrientes"/>
    <n v="72000000"/>
    <n v="72000000"/>
    <s v="N/A"/>
    <s v="N/A"/>
    <s v="Sandra Caballero"/>
    <s v="Asesora Dirección general"/>
    <n v="6012220601"/>
    <s v="sandra.caballero@upme.gov.co"/>
    <n v="72000000"/>
    <n v="0"/>
    <n v="0"/>
    <n v="2400000"/>
    <n v="0"/>
    <n v="7200000"/>
    <n v="0"/>
    <n v="7200000"/>
    <n v="0"/>
    <n v="7200000"/>
    <n v="0"/>
    <n v="7200000"/>
    <n v="0"/>
    <n v="7200000"/>
    <n v="0"/>
    <n v="7200000"/>
    <n v="0"/>
    <n v="7200000"/>
    <n v="0"/>
    <n v="7200000"/>
    <n v="0"/>
    <n v="7200000"/>
    <n v="0"/>
    <n v="4800000"/>
    <n v="72000000"/>
    <n v="72000000"/>
    <n v="0"/>
    <n v="0"/>
    <s v="Prestar servicios profesionales de apoyo jurídico para la revisión normativa y la emisión de conceptos relacionados con los habilitadores socioambientales y la infraestructura energética, articulando criterios legales con las necesidades del proyecto Enfo"/>
    <n v="72000000"/>
    <m/>
    <m/>
    <n v="2400000"/>
    <m/>
    <n v="7200000"/>
    <m/>
    <n v="7200000"/>
    <m/>
    <n v="7200000"/>
    <m/>
    <n v="7200000"/>
    <m/>
    <n v="7200000"/>
    <m/>
    <n v="7200000"/>
    <m/>
    <n v="7200000"/>
    <m/>
    <n v="7200000"/>
    <m/>
    <n v="7200000"/>
    <m/>
    <n v="4800000"/>
    <m/>
    <m/>
    <n v="72000000"/>
    <n v="72000000"/>
    <n v="0"/>
    <n v="0"/>
    <n v="7526"/>
    <d v="2026-01-06T00:00:00"/>
    <n v="72000000"/>
    <n v="0"/>
    <n v="14226"/>
    <d v="2026-01-21T00:00:00"/>
    <n v="72000000"/>
    <n v="0"/>
    <n v="0"/>
    <s v="PEÑA NEUTA MARIA FRANCY"/>
    <s v="CO1.PCCNTR.8884473"/>
    <n v="72000000"/>
    <m/>
    <m/>
    <m/>
    <n v="2160000"/>
    <n v="2160000"/>
    <m/>
    <n v="7200000"/>
    <n v="7200000"/>
    <m/>
    <n v="7200000"/>
    <n v="7200000"/>
    <m/>
    <m/>
    <m/>
    <m/>
    <m/>
    <m/>
    <m/>
    <m/>
    <m/>
    <m/>
    <m/>
    <m/>
    <m/>
    <m/>
    <m/>
    <m/>
    <m/>
    <m/>
    <m/>
    <m/>
    <m/>
    <m/>
    <m/>
    <m/>
    <n v="72000000"/>
    <n v="16560000"/>
    <n v="16560000"/>
    <n v="55440000"/>
    <n v="0"/>
    <x v="0"/>
  </r>
  <r>
    <x v="0"/>
    <x v="0"/>
    <s v="Fortalecimiento del levantamiento, gestión y apropiación de la información para la planeación del sector minero energético con enfoque territorial nacional"/>
    <s v="Enfoque Territorial"/>
    <s v="Sí"/>
    <s v="Sí"/>
    <n v="22"/>
    <s v="100-9"/>
    <s v="Incluir el uso de las particularidades propias de cada territorio en la planeación minero energética."/>
    <s v="Documentos Metodológicos"/>
    <s v="Identificar e incorporar variables sociales, ambientales y territoriales en los documentos de planeación minero energética."/>
    <s v="43201800;43233405;43212201"/>
    <s v="C-2106-1900-10-53105E-2106005-02"/>
    <s v="Hardware (Equipos de computo o partes físicas)"/>
    <s v="100-9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34000000"/>
    <n v="34000000"/>
    <s v="N/A"/>
    <s v="N/A"/>
    <s v="Sandra Caballero"/>
    <s v="Asesora Dirección general"/>
    <n v="6012220601"/>
    <s v="sandra.caballero@upme.gov.co"/>
    <n v="0"/>
    <n v="0"/>
    <n v="0"/>
    <n v="0"/>
    <n v="0"/>
    <n v="0"/>
    <n v="0"/>
    <n v="0"/>
    <n v="0"/>
    <n v="0"/>
    <n v="0"/>
    <n v="0"/>
    <n v="30000000"/>
    <n v="0"/>
    <n v="0"/>
    <n v="0"/>
    <n v="0"/>
    <n v="0"/>
    <n v="0"/>
    <n v="0"/>
    <n v="0"/>
    <n v="0"/>
    <n v="0"/>
    <n v="30000000"/>
    <n v="30000000"/>
    <n v="30000000"/>
    <n v="4000000"/>
    <n v="4000000"/>
    <s v="Adquirir el licenciamiento por suscripción para Plataforma de virtualización y almacenamiento en nube incluyendo la adquisición del hardware para Computación y Storage que soporta esta solución de Hiperconvergencia."/>
    <n v="0"/>
    <n v="0"/>
    <n v="0"/>
    <n v="0"/>
    <n v="0"/>
    <n v="0"/>
    <n v="4000000"/>
    <n v="0"/>
    <n v="0"/>
    <n v="0"/>
    <n v="0"/>
    <n v="0"/>
    <n v="30000000"/>
    <n v="0"/>
    <n v="0"/>
    <n v="0"/>
    <n v="0"/>
    <n v="0"/>
    <n v="0"/>
    <n v="0"/>
    <n v="0"/>
    <n v="0"/>
    <n v="0"/>
    <n v="34000000"/>
    <m/>
    <m/>
    <n v="34000000"/>
    <n v="34000000"/>
    <n v="0"/>
    <n v="0"/>
    <n v="40826"/>
    <d v="2026-01-16T00:00:00"/>
    <n v="0"/>
    <n v="34000000"/>
    <m/>
    <m/>
    <n v="0"/>
    <n v="34000000"/>
    <n v="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22"/>
    <s v="100-10"/>
    <s v="Incluir el uso de las particularidades propias de cada territorio en la planeación minero energética."/>
    <s v="Documentos Metodológicos"/>
    <s v="Identificar e incorporar variables sociales, ambientales y territoriales en los documentos de planeación minero energética."/>
    <n v="80141607"/>
    <s v="C-2106-1900-10-53105E-2106005-02"/>
    <s v="Operador Logístico"/>
    <s v="100-10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46666352"/>
    <n v="46666352"/>
    <s v="N/A"/>
    <s v="N/A"/>
    <s v="Sandra Caballero"/>
    <s v="Asesora Dirección general"/>
    <n v="6012220601"/>
    <s v="sandra.caballero@upme.gov.co"/>
    <n v="0"/>
    <n v="0"/>
    <n v="0"/>
    <n v="0"/>
    <n v="0"/>
    <n v="0"/>
    <n v="0"/>
    <n v="0"/>
    <n v="0"/>
    <n v="0"/>
    <n v="0"/>
    <n v="0"/>
    <n v="40000000"/>
    <n v="0"/>
    <n v="0"/>
    <n v="0"/>
    <n v="0"/>
    <n v="0"/>
    <n v="0"/>
    <n v="0"/>
    <n v="0"/>
    <n v="0"/>
    <n v="0"/>
    <n v="40000000"/>
    <n v="40000000"/>
    <n v="40000000"/>
    <n v="6666352"/>
    <n v="6666352"/>
    <s v="Prestación de los servicios de apoyo logístico para el desarrollo de la estrategia de comunicación y participación con actores nacionales y territoriales, así como para otros espacios interinstitucionales en el marco de la misionalidad de la entidad y el "/>
    <n v="0"/>
    <n v="0"/>
    <n v="0"/>
    <n v="0"/>
    <n v="0"/>
    <n v="0"/>
    <n v="6666352"/>
    <n v="0"/>
    <n v="0"/>
    <n v="0"/>
    <n v="0"/>
    <n v="0"/>
    <n v="40000000"/>
    <n v="0"/>
    <n v="0"/>
    <n v="10000000"/>
    <n v="0"/>
    <n v="10000000"/>
    <n v="0"/>
    <n v="10000000"/>
    <n v="0"/>
    <n v="10000000"/>
    <n v="0"/>
    <n v="6666352"/>
    <m/>
    <m/>
    <n v="46666352"/>
    <n v="46666352"/>
    <n v="0"/>
    <n v="0"/>
    <n v="25926"/>
    <d v="2026-01-13T00:00:00"/>
    <n v="40000000"/>
    <n v="6666352"/>
    <m/>
    <m/>
    <n v="0"/>
    <n v="46666352"/>
    <n v="400000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1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1 Prestar servicios profesionales para el análisis de información social y apoyo en la formulación de lineamientos metodológicos que integren variables sociales y comunitarias en la herramienta &quot;Atlas de Conflictividad Socioambiental&quot;, en el marco de"/>
    <s v="Enero "/>
    <s v="Enero "/>
    <s v="Enero "/>
    <n v="10"/>
    <s v="Meses"/>
    <s v="Contratación directa - Prestación de servicios profesionales "/>
    <s v="Propios - 20 - Ingresos corrientes"/>
    <n v="60000000"/>
    <n v="60000000"/>
    <s v="N/A"/>
    <s v="N/A"/>
    <s v="Sandra Caballero"/>
    <s v="Asesora Dirección general"/>
    <n v="6012220601"/>
    <s v="sandra.caballero@upme.gov.co"/>
    <n v="0"/>
    <n v="0"/>
    <n v="60000000"/>
    <n v="0"/>
    <n v="0"/>
    <n v="5000000"/>
    <n v="0"/>
    <n v="6000000"/>
    <n v="0"/>
    <n v="6000000"/>
    <n v="0"/>
    <n v="6000000"/>
    <n v="0"/>
    <n v="6000000"/>
    <n v="0"/>
    <n v="6000000"/>
    <n v="0"/>
    <n v="6000000"/>
    <n v="0"/>
    <n v="6000000"/>
    <n v="0"/>
    <n v="6000000"/>
    <n v="0"/>
    <n v="7000000"/>
    <n v="60000000"/>
    <n v="60000000"/>
    <n v="0"/>
    <n v="0"/>
    <s v="Prestar servicios profesionales para el análisis de información social y apoyo en la formulación de lineamientos metodológicos que integren variables sociales y comunitarias en la herramienta &quot;Atlas de Conflictividad Socioambiental&quot;, en el marco del proye"/>
    <m/>
    <m/>
    <n v="60000000"/>
    <m/>
    <m/>
    <n v="5000000"/>
    <m/>
    <n v="6000000"/>
    <m/>
    <n v="6000000"/>
    <m/>
    <n v="6000000"/>
    <m/>
    <n v="6000000"/>
    <m/>
    <n v="6000000"/>
    <m/>
    <n v="6000000"/>
    <m/>
    <n v="6000000"/>
    <m/>
    <n v="6000000"/>
    <m/>
    <n v="7000000"/>
    <m/>
    <m/>
    <n v="60000000"/>
    <n v="60000000"/>
    <n v="0"/>
    <n v="0"/>
    <n v="25726"/>
    <d v="2026-01-13T00:00:00"/>
    <n v="60000000"/>
    <n v="0"/>
    <n v="49126"/>
    <d v="2026-02-06T00:00:00"/>
    <n v="60000000"/>
    <n v="0"/>
    <n v="0"/>
    <s v="RAMIREZ DURAN ESTHEFANY KATHERINE"/>
    <s v="CO1.PCCNTR.9259604"/>
    <m/>
    <m/>
    <m/>
    <n v="60000000"/>
    <m/>
    <m/>
    <m/>
    <n v="4400000"/>
    <n v="4400000"/>
    <m/>
    <n v="6000000"/>
    <n v="6000000"/>
    <m/>
    <m/>
    <m/>
    <m/>
    <m/>
    <m/>
    <m/>
    <m/>
    <m/>
    <m/>
    <m/>
    <m/>
    <m/>
    <m/>
    <m/>
    <m/>
    <m/>
    <m/>
    <m/>
    <m/>
    <m/>
    <m/>
    <m/>
    <m/>
    <n v="60000000"/>
    <n v="10400000"/>
    <n v="10400000"/>
    <n v="49600000"/>
    <n v="0"/>
    <x v="0"/>
  </r>
  <r>
    <x v="0"/>
    <x v="0"/>
    <s v="Fortalecimiento del levantamiento, gestión y apropiación de la información para la planeación del sector minero energético con enfoque territorial nacional"/>
    <s v="Enfoque Territorial"/>
    <s v="Sí"/>
    <s v="Sí"/>
    <n v="22"/>
    <s v="100-12"/>
    <s v="Incluir el uso de las particularidades propias de cada territorio en la planeación minero energética."/>
    <s v="Documentos Metodológicos"/>
    <s v="Identificar e incorporar variables sociales, ambientales y territoriales en los documentos de planeación minero energética."/>
    <s v="43201800;43233405;43212201"/>
    <s v="C-2106-1900-10-53105E-2106005-02"/>
    <s v="Hardware (Equipos de computo o partes físicas)"/>
    <s v="100-12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65000000"/>
    <n v="65000000"/>
    <s v="N/A"/>
    <s v="N/A"/>
    <s v="Sandra Caballero"/>
    <s v="Asesora Dirección general"/>
    <n v="6012220601"/>
    <s v="sandra.caballero@upme.gov.co"/>
    <n v="0"/>
    <n v="0"/>
    <n v="0"/>
    <n v="0"/>
    <n v="0"/>
    <n v="0"/>
    <n v="0"/>
    <n v="0"/>
    <n v="0"/>
    <n v="0"/>
    <n v="0"/>
    <n v="0"/>
    <n v="65000000"/>
    <n v="0"/>
    <n v="0"/>
    <n v="0"/>
    <n v="0"/>
    <n v="0"/>
    <n v="0"/>
    <n v="0"/>
    <n v="0"/>
    <n v="0"/>
    <n v="0"/>
    <n v="65000000"/>
    <n v="65000000"/>
    <n v="65000000"/>
    <n v="0"/>
    <n v="0"/>
    <s v="Adquirir el licenciamiento por suscripción para Plataforma de virtualización y almacenamiento en nube incluyendo la adquisición del hardware para Computación y Storage que soporta esta solución de Hiperconvergencia."/>
    <m/>
    <m/>
    <m/>
    <m/>
    <m/>
    <m/>
    <m/>
    <m/>
    <m/>
    <m/>
    <m/>
    <m/>
    <n v="65000000"/>
    <m/>
    <m/>
    <m/>
    <m/>
    <m/>
    <m/>
    <m/>
    <m/>
    <m/>
    <m/>
    <n v="65000000"/>
    <m/>
    <m/>
    <n v="65000000"/>
    <n v="65000000"/>
    <n v="0"/>
    <n v="0"/>
    <n v="27926"/>
    <d v="2026-01-14T00:00:00"/>
    <n v="0"/>
    <n v="65000000"/>
    <m/>
    <m/>
    <n v="0"/>
    <n v="65000000"/>
    <n v="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1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2000000"/>
    <n v="72000000"/>
    <s v="N/A"/>
    <s v="N/A"/>
    <s v="Mateo Severino"/>
    <s v="Asesora Dirección general"/>
    <n v="6012220601"/>
    <s v="mateo.severino@upme.gov.co"/>
    <n v="0"/>
    <n v="0"/>
    <n v="72000000"/>
    <n v="0"/>
    <n v="0"/>
    <n v="6480000"/>
    <n v="0"/>
    <n v="7200000"/>
    <n v="0"/>
    <n v="7200000"/>
    <n v="0"/>
    <n v="7200000"/>
    <n v="0"/>
    <n v="7200000"/>
    <n v="0"/>
    <n v="7200000"/>
    <n v="0"/>
    <n v="7200000"/>
    <n v="0"/>
    <n v="7200000"/>
    <n v="0"/>
    <n v="7200000"/>
    <n v="0"/>
    <n v="7920000"/>
    <n v="72000000"/>
    <n v="72000000"/>
    <n v="0"/>
    <n v="0"/>
    <s v="Prestar servicios profesionales para la proyección de documentos de contenido legal y apoyo de los asuntos de tipo jurídico que resulten de las actuaciones administrativas de competencia de la UPME, en el marco de la gestión institucional de la Entidad."/>
    <m/>
    <m/>
    <n v="72000000"/>
    <m/>
    <m/>
    <n v="6480000"/>
    <m/>
    <n v="7200000"/>
    <m/>
    <n v="7200000"/>
    <m/>
    <n v="7200000"/>
    <m/>
    <n v="7200000"/>
    <m/>
    <n v="7200000"/>
    <m/>
    <n v="7200000"/>
    <m/>
    <n v="7200000"/>
    <m/>
    <n v="7200000"/>
    <m/>
    <n v="7920000"/>
    <m/>
    <m/>
    <n v="72000000"/>
    <n v="72000000"/>
    <n v="0"/>
    <n v="0"/>
    <n v="53926"/>
    <d v="2026-01-21T00:00:00"/>
    <n v="72000000"/>
    <n v="0"/>
    <n v="40926"/>
    <d v="2026-02-04T00:00:00"/>
    <n v="72000000"/>
    <n v="0"/>
    <n v="0"/>
    <s v="JATTIN BUVOLI CESAR AUGUSTO"/>
    <s v="CO1.PCCNTR.9248079"/>
    <m/>
    <m/>
    <m/>
    <n v="72000000"/>
    <m/>
    <m/>
    <m/>
    <n v="6240000"/>
    <n v="6240000"/>
    <m/>
    <m/>
    <m/>
    <m/>
    <m/>
    <m/>
    <m/>
    <m/>
    <m/>
    <m/>
    <m/>
    <m/>
    <m/>
    <m/>
    <m/>
    <m/>
    <m/>
    <m/>
    <m/>
    <m/>
    <m/>
    <m/>
    <m/>
    <m/>
    <m/>
    <m/>
    <m/>
    <n v="72000000"/>
    <n v="6240000"/>
    <n v="6240000"/>
    <n v="65760000"/>
    <n v="0"/>
    <x v="0"/>
  </r>
  <r>
    <x v="0"/>
    <x v="0"/>
    <s v="Fortalecimiento del levantamiento, gestión y apropiación de la información para la planeación del sector minero energético con enfoque territorial nacional"/>
    <s v="Enfoque Territorial"/>
    <s v="Sí"/>
    <s v="Sí"/>
    <n v="7"/>
    <s v="100-1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4 Prestar servicios profesionales para apoyar la planeación, coordinación, convocatoria y desarrollo de espacios participativos con entidades nacionales y regionales vinculadas a proyectos energéticos, así como la articulación institucional con comun"/>
    <s v="Enero "/>
    <s v="Enero "/>
    <s v="Enero "/>
    <n v="10"/>
    <s v="Meses"/>
    <s v="Contratación directa - Prestación de servicios profesionales "/>
    <s v="Propios - 20 - Ingresos corrientes"/>
    <n v="72000000"/>
    <n v="72000000"/>
    <s v="N/A"/>
    <s v="N/A"/>
    <s v="Mateo Severino"/>
    <s v="Asesora Dirección general"/>
    <n v="6012220601"/>
    <s v="mateo.severino@upme.gov.co"/>
    <n v="0"/>
    <n v="0"/>
    <n v="72000000"/>
    <n v="0"/>
    <n v="0"/>
    <n v="6480000"/>
    <n v="0"/>
    <n v="7200000"/>
    <n v="0"/>
    <n v="7200000"/>
    <n v="0"/>
    <n v="7200000"/>
    <n v="0"/>
    <n v="7200000"/>
    <n v="0"/>
    <n v="7200000"/>
    <n v="0"/>
    <n v="7200000"/>
    <n v="0"/>
    <n v="7200000"/>
    <n v="0"/>
    <n v="7200000"/>
    <n v="0"/>
    <n v="7920000"/>
    <n v="72000000"/>
    <n v="72000000"/>
    <n v="0"/>
    <n v="0"/>
    <s v="Prestar servicios profesionales para apoyar la planeación, coordinación, convocatoria y desarrollo de espacios participativos con entidades nacionales y regionales vinculadas a proyectos energéticos, así como la articulación institucional con comunidades,"/>
    <m/>
    <m/>
    <n v="72000000"/>
    <m/>
    <m/>
    <n v="6480000"/>
    <m/>
    <n v="7200000"/>
    <m/>
    <n v="7200000"/>
    <m/>
    <n v="7200000"/>
    <m/>
    <n v="7200000"/>
    <m/>
    <n v="7200000"/>
    <m/>
    <n v="7200000"/>
    <m/>
    <n v="7200000"/>
    <m/>
    <n v="7200000"/>
    <m/>
    <n v="7920000"/>
    <m/>
    <m/>
    <n v="72000000"/>
    <n v="72000000"/>
    <n v="0"/>
    <n v="0"/>
    <n v="64126"/>
    <d v="2026-01-24T00:00:00"/>
    <n v="72000000"/>
    <n v="0"/>
    <n v="51326"/>
    <d v="2026-02-09T00:00:00"/>
    <n v="72000000"/>
    <n v="0"/>
    <n v="0"/>
    <s v="GALLARDO ROJAS CARLO DOMINGO"/>
    <s v="CO1.PCCNTR.9259677"/>
    <m/>
    <m/>
    <m/>
    <n v="72000000"/>
    <m/>
    <m/>
    <m/>
    <n v="5040000"/>
    <n v="5040000"/>
    <m/>
    <m/>
    <m/>
    <m/>
    <m/>
    <m/>
    <m/>
    <m/>
    <m/>
    <m/>
    <m/>
    <m/>
    <m/>
    <m/>
    <m/>
    <m/>
    <m/>
    <m/>
    <m/>
    <m/>
    <m/>
    <m/>
    <m/>
    <m/>
    <m/>
    <m/>
    <m/>
    <n v="72000000"/>
    <n v="5040000"/>
    <n v="5040000"/>
    <n v="66960000"/>
    <n v="0"/>
    <x v="0"/>
  </r>
  <r>
    <x v="0"/>
    <x v="0"/>
    <s v="Fortalecimiento del levantamiento, gestión y apropiación de la información para la planeación del sector minero energético con enfoque territorial nacional"/>
    <s v="Enfoque Territorial"/>
    <s v="Sí"/>
    <s v="Sí"/>
    <n v="22"/>
    <s v="100-1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5 Prestar servicios profesionales para el desarrollo del procedimiento de gestión precontractual y contractual de la Unidad de Planeación Minero Energética."/>
    <s v="Enero "/>
    <s v="Enero "/>
    <s v="Enero "/>
    <n v="6"/>
    <s v="Meses"/>
    <s v="Contratación directa - Prestación de servicios profesionales "/>
    <s v="Propios - 20 - Ingresos corrientes"/>
    <n v="25333648"/>
    <n v="25333648"/>
    <s v="N/A"/>
    <s v="N/A"/>
    <s v="Mateo Severino"/>
    <s v="Asesora Dirección general"/>
    <n v="6012220601"/>
    <s v="mateo.severino@upme.gov.co"/>
    <n v="0"/>
    <n v="0"/>
    <n v="0"/>
    <n v="0"/>
    <n v="0"/>
    <n v="0"/>
    <n v="0"/>
    <n v="0"/>
    <n v="0"/>
    <n v="0"/>
    <n v="0"/>
    <n v="0"/>
    <n v="36000000"/>
    <n v="0"/>
    <n v="0"/>
    <n v="0"/>
    <n v="0"/>
    <n v="0"/>
    <n v="0"/>
    <n v="0"/>
    <n v="0"/>
    <n v="0"/>
    <n v="0"/>
    <n v="36000000"/>
    <n v="36000000"/>
    <n v="36000000"/>
    <n v="-10666352"/>
    <n v="-10666352"/>
    <s v="Prestar servicios profesionales para el desarrollo del procedimiento de gestión precontractual y contractual de la Unidad de Planeación Minero Energética."/>
    <n v="0"/>
    <n v="0"/>
    <n v="0"/>
    <n v="0"/>
    <n v="0"/>
    <n v="0"/>
    <n v="10666352"/>
    <n v="0"/>
    <n v="0"/>
    <n v="0"/>
    <n v="0"/>
    <n v="0"/>
    <n v="36000000"/>
    <n v="0"/>
    <n v="0"/>
    <n v="0"/>
    <n v="0"/>
    <n v="0"/>
    <n v="0"/>
    <n v="0"/>
    <n v="0"/>
    <n v="0"/>
    <n v="0"/>
    <n v="25333648"/>
    <m/>
    <m/>
    <n v="46666352"/>
    <n v="25333648"/>
    <n v="-21332704"/>
    <n v="0"/>
    <n v="67926"/>
    <d v="2026-01-30T00:00:00"/>
    <n v="36000000"/>
    <n v="-10666352"/>
    <m/>
    <m/>
    <n v="0"/>
    <n v="25333648"/>
    <n v="360000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1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6 Prestar servicios profesionales para la articulación del análisis técnico, la construcción conceptual y operativa, y la implementación de las mesas técnicas, así como el desarrollo de recomendaciones de política pública, metodologías y herramientas"/>
    <s v="Enero "/>
    <s v="Enero "/>
    <s v="Enero "/>
    <n v="10"/>
    <s v="Meses"/>
    <s v="Contratación directa - Prestación de servicios profesionales "/>
    <s v="Propios - 20 - Ingresos corrientes"/>
    <n v="55000000"/>
    <n v="55000000"/>
    <s v="N/A"/>
    <s v="N/A"/>
    <s v="Sandra Caballero"/>
    <s v="Asesora Dirección general"/>
    <n v="6012220601"/>
    <s v="sandra.caballero@upme.gov.co"/>
    <n v="0"/>
    <n v="0"/>
    <n v="55000000"/>
    <n v="0"/>
    <n v="0"/>
    <n v="3463460"/>
    <n v="0"/>
    <n v="3996300"/>
    <n v="0"/>
    <n v="3996300"/>
    <n v="0"/>
    <n v="3996300"/>
    <n v="0"/>
    <n v="3996300"/>
    <n v="0"/>
    <n v="3996300"/>
    <n v="0"/>
    <n v="3996300"/>
    <n v="0"/>
    <n v="3996300"/>
    <n v="0"/>
    <n v="3996300"/>
    <n v="0"/>
    <n v="19566140"/>
    <n v="55000000"/>
    <n v="55000000"/>
    <n v="0"/>
    <n v="0"/>
    <s v="Prestar servicios profesionales para la articulación del análisis técnico, la construcción conceptual y operativa, y la implementación de las mesas técnicas, así como el desarrollo de recomendaciones de política pública, metodologías y herramientas para l"/>
    <m/>
    <m/>
    <n v="55000000"/>
    <m/>
    <m/>
    <n v="3463460"/>
    <m/>
    <n v="3996300"/>
    <m/>
    <n v="3996300"/>
    <m/>
    <n v="3996300"/>
    <m/>
    <n v="3996300"/>
    <m/>
    <n v="3996300"/>
    <m/>
    <n v="3996300"/>
    <m/>
    <n v="3996300"/>
    <m/>
    <n v="3996300"/>
    <m/>
    <n v="19566140"/>
    <m/>
    <m/>
    <n v="55000000"/>
    <n v="55000000"/>
    <n v="0"/>
    <n v="0"/>
    <n v="28126"/>
    <d v="2026-01-14T00:00:00"/>
    <n v="55000000"/>
    <n v="0"/>
    <n v="41126"/>
    <d v="2026-02-04T00:00:00"/>
    <n v="39963000"/>
    <n v="15037000"/>
    <n v="15037000"/>
    <s v="ARDILA ARCINIEGAS JUAN SEBASTIAN"/>
    <s v="CO1.PCCNTR.9266307"/>
    <m/>
    <m/>
    <m/>
    <n v="39963000"/>
    <m/>
    <m/>
    <m/>
    <n v="3463460"/>
    <n v="3463460"/>
    <m/>
    <n v="3996300"/>
    <n v="3996300"/>
    <m/>
    <m/>
    <m/>
    <m/>
    <m/>
    <m/>
    <m/>
    <m/>
    <m/>
    <m/>
    <m/>
    <m/>
    <m/>
    <m/>
    <m/>
    <m/>
    <m/>
    <m/>
    <m/>
    <m/>
    <m/>
    <m/>
    <m/>
    <m/>
    <n v="39963000"/>
    <n v="7459760"/>
    <n v="7459760"/>
    <n v="32503240"/>
    <n v="0"/>
    <x v="0"/>
  </r>
  <r>
    <x v="0"/>
    <x v="0"/>
    <s v="Fortalecimiento del levantamiento, gestión y apropiación de la información para la planeación del sector minero energético con enfoque territorial nacional"/>
    <s v="Enfoque Territorial"/>
    <s v="Sí"/>
    <s v="Sí"/>
    <n v="68"/>
    <s v="100-1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7 Prestar servicios profesionales para el diseño, implementación y seguimiento de estrategias de educación comunitaria y participación ciudadana, con un enfoque de derechos humanos y diferencial, para el fortalecimiento de la relación entre la UPME y"/>
    <s v="Enero "/>
    <s v="Enero "/>
    <s v="Enero "/>
    <n v="10"/>
    <s v="Meses"/>
    <s v="Contratación directa - Prestación de servicios profesionales "/>
    <s v="Propios - 20 - Ingresos corrientes"/>
    <n v="39939900"/>
    <n v="39939900"/>
    <s v="N/A"/>
    <s v="N/A"/>
    <s v="Sandra Caballero"/>
    <s v="Asesora Dirección general"/>
    <n v="6012220601"/>
    <s v="sandra.caballero@upme.gov.co"/>
    <n v="0"/>
    <n v="0"/>
    <n v="0"/>
    <n v="0"/>
    <n v="0"/>
    <n v="0"/>
    <n v="0"/>
    <n v="0"/>
    <n v="0"/>
    <n v="0"/>
    <n v="0"/>
    <n v="0"/>
    <n v="39939900"/>
    <n v="0"/>
    <n v="0"/>
    <n v="0"/>
    <n v="0"/>
    <n v="0"/>
    <n v="0"/>
    <n v="0"/>
    <n v="0"/>
    <n v="0"/>
    <n v="0"/>
    <n v="39939900"/>
    <n v="39939900"/>
    <n v="39939900"/>
    <n v="0"/>
    <n v="0"/>
    <s v="Prestar servicios profesionales para el diseño, implementación y seguimiento de estrategias de educación comunitaria y participación ciudadana, con un enfoque de derechos humanos y diferencial, para el fortalecimiento de la relación entre la UPME y las co"/>
    <m/>
    <m/>
    <m/>
    <m/>
    <m/>
    <m/>
    <m/>
    <m/>
    <m/>
    <m/>
    <m/>
    <m/>
    <n v="39939900"/>
    <m/>
    <m/>
    <m/>
    <m/>
    <m/>
    <m/>
    <m/>
    <m/>
    <m/>
    <m/>
    <n v="39939900"/>
    <m/>
    <m/>
    <n v="39939900"/>
    <n v="39939900"/>
    <n v="0"/>
    <n v="0"/>
    <n v="43926"/>
    <d v="2026-01-17T00:00:00"/>
    <n v="17336450"/>
    <n v="22603450"/>
    <n v="50026"/>
    <d v="2026-02-09T00:00:00"/>
    <n v="14627975"/>
    <n v="25311925"/>
    <n v="2708475"/>
    <s v="BERNAL OLAYA SANDRA BIBIANA"/>
    <s v="CO1.PCCNTR.9296056"/>
    <m/>
    <m/>
    <m/>
    <n v="14627975"/>
    <m/>
    <m/>
    <m/>
    <n v="3791865"/>
    <n v="3791865"/>
    <m/>
    <m/>
    <m/>
    <m/>
    <m/>
    <m/>
    <m/>
    <m/>
    <m/>
    <m/>
    <m/>
    <m/>
    <m/>
    <m/>
    <m/>
    <m/>
    <m/>
    <m/>
    <m/>
    <m/>
    <m/>
    <m/>
    <m/>
    <m/>
    <m/>
    <m/>
    <m/>
    <n v="14627975"/>
    <n v="3791865"/>
    <n v="3791865"/>
    <n v="10836110"/>
    <n v="0"/>
    <x v="0"/>
  </r>
  <r>
    <x v="0"/>
    <x v="0"/>
    <s v="Fortalecimiento del levantamiento, gestión y apropiación de la información para la planeación del sector minero energético con enfoque territorial nacional"/>
    <s v="Enfoque Territorial"/>
    <s v="Sí"/>
    <s v="Sí"/>
    <n v="1"/>
    <s v="100-1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8 Prestar servicios profesionales para articular el seguimiento de la planeación estratégica y la ejecución presupuestal del proyecto de Enfoque Territorial de la Dirección General, garantizando el cumplimiento efectivo de sus metas y su adecuada int"/>
    <s v="Enero "/>
    <s v="Enero "/>
    <s v="Enero "/>
    <n v="11.5"/>
    <s v="Meses"/>
    <s v="Contratación directa - Prestación de servicios profesionales "/>
    <s v="Propios - 20 - Ingresos corrientes"/>
    <n v="60000000"/>
    <n v="60000000"/>
    <s v="N/A"/>
    <s v="N/A"/>
    <s v="Sandra Caballero"/>
    <s v="Asesora Dirección general"/>
    <n v="6012220601"/>
    <s v="sandra.caballero@upme.gov.co"/>
    <n v="60000000"/>
    <n v="0"/>
    <n v="0"/>
    <n v="3200000"/>
    <n v="0"/>
    <n v="8000000"/>
    <n v="0"/>
    <n v="8000000"/>
    <n v="0"/>
    <n v="8000000"/>
    <n v="0"/>
    <n v="8000000"/>
    <n v="0"/>
    <n v="8000000"/>
    <n v="0"/>
    <n v="8000000"/>
    <n v="0"/>
    <n v="8000000"/>
    <n v="0"/>
    <n v="800000"/>
    <n v="0"/>
    <n v="0"/>
    <n v="0"/>
    <n v="0"/>
    <n v="60000000"/>
    <n v="60000000"/>
    <n v="0"/>
    <n v="0"/>
    <s v="Prestar servicios profesionales para articular el seguimiento de la planeación estratégica y la ejecución presupuestal del proyecto de Enfoque Territorial de la Dirección General, garantizando el cumplimiento efectivo de sus metas y su adecuada integració"/>
    <n v="60000000"/>
    <m/>
    <m/>
    <n v="3200000"/>
    <m/>
    <n v="8000000"/>
    <m/>
    <n v="8000000"/>
    <m/>
    <n v="8000000"/>
    <m/>
    <n v="8000000"/>
    <m/>
    <n v="8000000"/>
    <m/>
    <n v="8000000"/>
    <m/>
    <n v="8000000"/>
    <m/>
    <n v="800000"/>
    <m/>
    <n v="0"/>
    <m/>
    <n v="0"/>
    <m/>
    <m/>
    <n v="60000000"/>
    <n v="60000000"/>
    <n v="0"/>
    <n v="0"/>
    <n v="13526"/>
    <d v="2026-01-08T00:00:00"/>
    <n v="60000000"/>
    <n v="0"/>
    <n v="11926"/>
    <d v="2026-01-20T00:00:00"/>
    <n v="60000000"/>
    <n v="0"/>
    <n v="0"/>
    <s v="CARRANZA MOLINA OLGA LUCIA"/>
    <s v="CO1.PCCNTR.8914684"/>
    <n v="60000000"/>
    <m/>
    <m/>
    <m/>
    <m/>
    <m/>
    <m/>
    <n v="10666667"/>
    <n v="10666667"/>
    <m/>
    <n v="8000000"/>
    <n v="8000000"/>
    <m/>
    <m/>
    <m/>
    <m/>
    <m/>
    <m/>
    <m/>
    <m/>
    <m/>
    <m/>
    <m/>
    <m/>
    <m/>
    <m/>
    <m/>
    <m/>
    <m/>
    <m/>
    <m/>
    <m/>
    <m/>
    <m/>
    <m/>
    <m/>
    <n v="60000000"/>
    <n v="18666667"/>
    <n v="18666667"/>
    <n v="41333333"/>
    <n v="0"/>
    <x v="0"/>
  </r>
  <r>
    <x v="0"/>
    <x v="0"/>
    <s v="Fortalecimiento del levantamiento, gestión y apropiación de la información para la planeación del sector minero energético con enfoque territorial nacional"/>
    <s v="Enfoque Territorial"/>
    <s v="Sí"/>
    <s v="Sí"/>
    <n v="68"/>
    <s v="100-19"/>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19 Prestar servicios profesionales para apoyar a la UPME en la identificación, evaluación y mitigación de impactos ambientales derivados de sus actividades rutinarias, garantizando el cumplimiento de la normativa ambiental, la gestión adecuada de resi"/>
    <s v="Enero "/>
    <s v="Enero "/>
    <s v="Enero "/>
    <n v="10"/>
    <s v="Meses"/>
    <s v="Contratación directa - Prestación de servicios profesionales "/>
    <s v="Propios - 20 - Ingresos corrientes"/>
    <n v="65900000"/>
    <n v="65900000"/>
    <s v="N/A"/>
    <s v="N/A"/>
    <s v="Sandra Caballero"/>
    <s v="Asesora Dirección general"/>
    <n v="6012220601"/>
    <s v="jenny.pena@upme.gov.co"/>
    <n v="65900000"/>
    <n v="0"/>
    <n v="0"/>
    <n v="2196666"/>
    <n v="0"/>
    <n v="6590000"/>
    <n v="0"/>
    <n v="6590000"/>
    <n v="0"/>
    <n v="6590000"/>
    <n v="0"/>
    <n v="6590000"/>
    <n v="0"/>
    <n v="6590000"/>
    <n v="0"/>
    <n v="6590000"/>
    <n v="0"/>
    <n v="6590000"/>
    <n v="0"/>
    <n v="6590000"/>
    <n v="0"/>
    <n v="6590000"/>
    <n v="0"/>
    <n v="4393334"/>
    <n v="65900000"/>
    <n v="65900000"/>
    <n v="0"/>
    <n v="0"/>
    <s v="Prestar servicios profesionales para apoyar a la UPME en la identificación, evaluación y mitigación de impactos ambientales derivados de sus actividades rutinarias, garantizando el cumplimiento de la normativa ambiental, la gestión adecuada de residuos, y"/>
    <n v="65900000"/>
    <m/>
    <m/>
    <n v="2196666"/>
    <m/>
    <n v="6590000"/>
    <m/>
    <n v="6590000"/>
    <m/>
    <n v="6590000"/>
    <m/>
    <n v="6590000"/>
    <m/>
    <n v="6590000"/>
    <m/>
    <n v="6590000"/>
    <m/>
    <n v="6590000"/>
    <m/>
    <n v="6590000"/>
    <m/>
    <n v="6590000"/>
    <m/>
    <n v="4393334"/>
    <m/>
    <m/>
    <n v="65900000"/>
    <n v="65900000"/>
    <n v="0"/>
    <n v="0"/>
    <n v="13726"/>
    <d v="2026-01-08T00:00:00"/>
    <n v="65900000"/>
    <n v="0"/>
    <n v="15026"/>
    <d v="2026-01-21T00:00:00"/>
    <n v="65900000"/>
    <n v="0"/>
    <n v="0"/>
    <s v="GOMEZ BUITRAGO DANIEL RICARDO"/>
    <s v="CO1.PCCNTR.8938023"/>
    <n v="65900000"/>
    <m/>
    <m/>
    <m/>
    <n v="1977000"/>
    <n v="1977000"/>
    <m/>
    <n v="6590000"/>
    <n v="6590000"/>
    <m/>
    <n v="6590000"/>
    <n v="6590000"/>
    <m/>
    <m/>
    <m/>
    <m/>
    <m/>
    <m/>
    <m/>
    <m/>
    <m/>
    <m/>
    <m/>
    <m/>
    <m/>
    <m/>
    <m/>
    <m/>
    <m/>
    <m/>
    <m/>
    <m/>
    <m/>
    <m/>
    <m/>
    <m/>
    <n v="65900000"/>
    <n v="15157000"/>
    <n v="15157000"/>
    <n v="50743000"/>
    <n v="0"/>
    <x v="0"/>
  </r>
  <r>
    <x v="0"/>
    <x v="0"/>
    <s v="Fortalecimiento del levantamiento, gestión y apropiación de la información para la planeación del sector minero energético con enfoque territorial nacional"/>
    <s v="Enfoque Territorial"/>
    <s v="Sí"/>
    <s v="Sí"/>
    <n v="68"/>
    <s v="100-2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0 Prestar servicios profesionales para apoyar la formulación, actualización, articulación, monitoreo y mejora de los Planes Institucionales y el Sistema de Gestión Institucional de la UPME, garantizando su alineación con el Marco Estratégico Instituc"/>
    <s v="Enero "/>
    <s v="Enero "/>
    <s v="Enero "/>
    <n v="10"/>
    <s v="Meses"/>
    <s v="Contratación directa - Prestación de servicios profesionales "/>
    <s v="Propios - 20 - Ingresos corrientes"/>
    <n v="75000000"/>
    <n v="75000000"/>
    <s v="N/A"/>
    <s v="N/A"/>
    <s v="Veronica Tabares"/>
    <s v="Asesora Dirección general"/>
    <n v="6012220601"/>
    <s v="katherin.perez@upme.gov.co"/>
    <n v="75000000"/>
    <n v="0"/>
    <n v="0"/>
    <n v="3750000"/>
    <n v="0"/>
    <n v="7500000"/>
    <n v="0"/>
    <n v="7500000"/>
    <n v="0"/>
    <n v="7500000"/>
    <n v="0"/>
    <n v="7500000"/>
    <n v="0"/>
    <n v="7500000"/>
    <n v="0"/>
    <n v="7500000"/>
    <n v="0"/>
    <n v="7500000"/>
    <n v="0"/>
    <n v="7500000"/>
    <n v="0"/>
    <n v="7500000"/>
    <n v="0"/>
    <n v="3750000"/>
    <n v="75000000"/>
    <n v="75000000"/>
    <n v="0"/>
    <n v="0"/>
    <s v="Prestar servicios profesionales para apoyar la formulación, actualización, articulación, monitoreo y mejora de los Planes Institucionales y el Sistema de Gestión Institucional de la UPME, garantizando su alineación con el Marco Estratégico Institucional y"/>
    <n v="75000000"/>
    <m/>
    <m/>
    <n v="3750000"/>
    <m/>
    <n v="7500000"/>
    <m/>
    <n v="7500000"/>
    <m/>
    <n v="7500000"/>
    <m/>
    <n v="7500000"/>
    <m/>
    <n v="7500000"/>
    <m/>
    <n v="7500000"/>
    <m/>
    <n v="7500000"/>
    <m/>
    <n v="7500000"/>
    <m/>
    <n v="7500000"/>
    <m/>
    <n v="3750000"/>
    <m/>
    <m/>
    <n v="75000000"/>
    <n v="75000000"/>
    <n v="0"/>
    <n v="0"/>
    <n v="37526"/>
    <d v="2026-01-15T00:00:00"/>
    <n v="75000000"/>
    <n v="0"/>
    <n v="33326.646260000001"/>
    <s v="29/01/2026,19/03/2026"/>
    <n v="75000000"/>
    <n v="0"/>
    <n v="0"/>
    <s v="PRECIADO GUTIERREZ EDWAR HERNANDO,CAMACHO RIAÑO MICHAEL YESID_x000a_"/>
    <s v="CO1.PCCNTR.9098872"/>
    <n v="75000000"/>
    <m/>
    <m/>
    <m/>
    <n v="250000"/>
    <n v="250000"/>
    <m/>
    <n v="7500000"/>
    <n v="7500000"/>
    <m/>
    <n v="2750000"/>
    <n v="2750000"/>
    <m/>
    <m/>
    <m/>
    <m/>
    <m/>
    <m/>
    <m/>
    <m/>
    <m/>
    <m/>
    <m/>
    <m/>
    <m/>
    <m/>
    <m/>
    <m/>
    <m/>
    <m/>
    <m/>
    <m/>
    <m/>
    <m/>
    <m/>
    <m/>
    <n v="75000000"/>
    <n v="10500000"/>
    <n v="10500000"/>
    <n v="64500000"/>
    <n v="0"/>
    <x v="0"/>
  </r>
  <r>
    <x v="0"/>
    <x v="0"/>
    <s v="Fortalecimiento del levantamiento, gestión y apropiación de la información para la planeación del sector minero energético con enfoque territorial nacional"/>
    <s v="Enfoque Territorial"/>
    <s v="Sí"/>
    <s v="Sí"/>
    <n v="68"/>
    <s v="100-2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1 Prestar los servicios profesionales de enlace legislativo y asesoría jurídica del Proyecto Enfoque Territorial, mediante la elaboración de conceptos, análisis y seguimiento normativo, mediante el monitoreo de la normativa vigente de los proyectos y"/>
    <s v="Enero "/>
    <s v="Enero "/>
    <s v="Enero "/>
    <n v="10"/>
    <s v="Meses"/>
    <s v="Contratación directa - Prestación de servicios profesionales "/>
    <s v="Propios - 20 - Ingresos corrientes"/>
    <n v="94000000"/>
    <n v="94000000"/>
    <s v="N/A"/>
    <s v="N/A"/>
    <s v="Sandra Caballero"/>
    <s v="Asesora Dirección general"/>
    <n v="6012220601"/>
    <s v="jenny.pena@upme.gov.co"/>
    <n v="94000000"/>
    <n v="0"/>
    <n v="0"/>
    <n v="4700000"/>
    <n v="0"/>
    <n v="9400000"/>
    <n v="0"/>
    <n v="9400000"/>
    <n v="0"/>
    <n v="9400000"/>
    <n v="0"/>
    <n v="9400000"/>
    <n v="0"/>
    <n v="9400000"/>
    <n v="0"/>
    <n v="9400000"/>
    <n v="0"/>
    <n v="9400000"/>
    <n v="0"/>
    <n v="9400000"/>
    <n v="0"/>
    <n v="9400000"/>
    <n v="0"/>
    <n v="4700000"/>
    <n v="94000000"/>
    <n v="94000000"/>
    <n v="0"/>
    <n v="0"/>
    <s v="Prestar los servicios profesionales de enlace legislativo y asesoría jurídica del Proyecto Enfoque Territorial, mediante la elaboración de conceptos, análisis y seguimiento normativo, mediante el monitoreo de la normativa vigente de los proyectos y del se"/>
    <n v="94000000"/>
    <m/>
    <m/>
    <n v="4700000"/>
    <m/>
    <n v="9400000"/>
    <m/>
    <n v="9400000"/>
    <m/>
    <n v="9400000"/>
    <m/>
    <n v="9400000"/>
    <m/>
    <n v="9400000"/>
    <m/>
    <n v="9400000"/>
    <m/>
    <n v="9400000"/>
    <m/>
    <n v="9400000"/>
    <m/>
    <n v="9400000"/>
    <m/>
    <n v="4700000"/>
    <m/>
    <m/>
    <n v="94000000"/>
    <n v="94000000"/>
    <n v="0"/>
    <n v="0"/>
    <n v="7626"/>
    <d v="2026-01-06T00:00:00"/>
    <n v="94000000"/>
    <n v="0"/>
    <n v="11126"/>
    <d v="2026-01-17T00:00:00"/>
    <n v="94000000"/>
    <n v="0"/>
    <n v="0"/>
    <s v="CHAPARRO RODRIGUEZ JULIO CESAR"/>
    <s v="CO1.PCCNTR.8897590"/>
    <n v="94000000"/>
    <m/>
    <m/>
    <m/>
    <n v="3760000"/>
    <n v="3760000"/>
    <m/>
    <n v="9400000"/>
    <n v="9400000"/>
    <m/>
    <n v="9400000"/>
    <n v="9400000"/>
    <m/>
    <m/>
    <m/>
    <m/>
    <m/>
    <m/>
    <m/>
    <m/>
    <m/>
    <m/>
    <m/>
    <m/>
    <m/>
    <m/>
    <m/>
    <m/>
    <m/>
    <m/>
    <m/>
    <m/>
    <m/>
    <m/>
    <m/>
    <m/>
    <n v="94000000"/>
    <n v="22560000"/>
    <n v="22560000"/>
    <n v="71440000"/>
    <n v="0"/>
    <x v="0"/>
  </r>
  <r>
    <x v="0"/>
    <x v="0"/>
    <s v="Fortalecimiento del levantamiento, gestión y apropiación de la información para la planeación del sector minero energético con enfoque territorial nacional"/>
    <s v="Enfoque Territorial"/>
    <s v="Sí"/>
    <s v="Sí"/>
    <n v="2"/>
    <s v="100-22"/>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2 Prestar servicios profesionales para el diseño e implementación de una estrategia psicopedagógica y de transferencia de conocimiento, con análisis de política pública minero-energética, en el marco del Proyecto de Enfoque Territorial de la UPME."/>
    <s v="Enero "/>
    <s v="Enero "/>
    <s v="Enero "/>
    <n v="10"/>
    <s v="Meses"/>
    <s v="Contratación directa - Prestación de servicios profesionales "/>
    <s v="Propios - 20 - Ingresos corrientes"/>
    <n v="90000000"/>
    <n v="90000000"/>
    <s v="N/A"/>
    <s v="N/A"/>
    <s v="Sandra Caballero"/>
    <s v="Asesora Dirección general"/>
    <n v="6012220601"/>
    <s v="sandra.caballero@upme.gov.co"/>
    <n v="90000000"/>
    <n v="0"/>
    <n v="0"/>
    <n v="900000"/>
    <n v="0"/>
    <n v="9000000"/>
    <n v="0"/>
    <n v="9000000"/>
    <n v="0"/>
    <n v="9000000"/>
    <n v="0"/>
    <n v="9000000"/>
    <n v="0"/>
    <n v="9000000"/>
    <n v="0"/>
    <n v="9000000"/>
    <n v="0"/>
    <n v="9000000"/>
    <n v="0"/>
    <n v="9000000"/>
    <n v="0"/>
    <n v="9000000"/>
    <n v="0"/>
    <n v="8100000"/>
    <n v="90000000"/>
    <n v="90000000"/>
    <n v="0"/>
    <n v="0"/>
    <s v="Prestar servicios profesionales para el diseño e implementación de una estrategia psicopedagógica y de transferencia de conocimiento, con análisis de política pública minero-energética, en el marco del Proyecto de Enfoque Territorial de la UPME."/>
    <n v="90000000"/>
    <m/>
    <m/>
    <n v="900000"/>
    <m/>
    <n v="9000000"/>
    <m/>
    <n v="9000000"/>
    <m/>
    <n v="9000000"/>
    <m/>
    <n v="9000000"/>
    <m/>
    <n v="9000000"/>
    <m/>
    <n v="9000000"/>
    <m/>
    <n v="9000000"/>
    <m/>
    <n v="9000000"/>
    <m/>
    <n v="9000000"/>
    <m/>
    <n v="8100000"/>
    <m/>
    <m/>
    <n v="90000000"/>
    <n v="90000000"/>
    <n v="0"/>
    <n v="0"/>
    <n v="41126"/>
    <d v="2026-01-08T00:00:00"/>
    <n v="90000000"/>
    <n v="0"/>
    <n v="25326"/>
    <d v="2026-01-28T00:00:00"/>
    <n v="90000000"/>
    <n v="0"/>
    <n v="0"/>
    <s v="CAMACHO LEON ADRIANA DEL PILAR"/>
    <s v="CO1.PCCNTR.9099281"/>
    <n v="90000000"/>
    <m/>
    <m/>
    <m/>
    <m/>
    <m/>
    <m/>
    <n v="9600000"/>
    <n v="9600000"/>
    <m/>
    <n v="9000000"/>
    <n v="9000000"/>
    <m/>
    <m/>
    <m/>
    <m/>
    <m/>
    <m/>
    <m/>
    <m/>
    <m/>
    <m/>
    <m/>
    <m/>
    <m/>
    <m/>
    <m/>
    <m/>
    <m/>
    <m/>
    <m/>
    <m/>
    <m/>
    <m/>
    <m/>
    <m/>
    <n v="90000000"/>
    <n v="18600000"/>
    <n v="18600000"/>
    <n v="71400000"/>
    <n v="0"/>
    <x v="0"/>
  </r>
  <r>
    <x v="0"/>
    <x v="0"/>
    <s v="Fortalecimiento del levantamiento, gestión y apropiación de la información para la planeación del sector minero energético con enfoque territorial nacional"/>
    <s v="Enfoque Territorial"/>
    <s v="Sí"/>
    <s v="Sí"/>
    <n v="1"/>
    <s v="100-2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3 Prestar servicios profesionales para apoyo administrativo en la ejecución de actividades del proyecto enfoque territorial, incluyendo la organización de información, control de entregables, consolidación de reportes en coordinación con la Dirección"/>
    <s v="Enero "/>
    <s v="Enero "/>
    <s v="Enero "/>
    <n v="11.5"/>
    <s v="Meses"/>
    <s v="Contratación directa - Prestación de servicios profesionales "/>
    <s v="Propios - 20 - Ingresos corrientes"/>
    <n v="37782675"/>
    <n v="37782675"/>
    <s v="N/A"/>
    <s v="N/A"/>
    <s v="Sandra Caballero"/>
    <s v="Asesora Dirección general"/>
    <n v="6012220601"/>
    <s v="sandra.caballero@upme.gov.co"/>
    <n v="37782675"/>
    <n v="0"/>
    <n v="0"/>
    <n v="328545"/>
    <n v="0"/>
    <n v="3285450"/>
    <n v="0"/>
    <n v="3285450"/>
    <n v="0"/>
    <n v="3285450"/>
    <n v="0"/>
    <n v="3285450"/>
    <n v="0"/>
    <n v="3285450"/>
    <n v="0"/>
    <n v="3285450"/>
    <n v="0"/>
    <n v="3285450"/>
    <n v="0"/>
    <n v="3285450"/>
    <n v="0"/>
    <n v="3285450"/>
    <n v="0"/>
    <n v="7885080"/>
    <n v="37782675"/>
    <n v="37782675"/>
    <n v="0"/>
    <n v="0"/>
    <s v="Prestar servicios profesionales para apoyo administrativo en la ejecución de actividades del proyecto enfoque territorial, incluyendo la organización de información, control de entregables, consolidación de reportes en coordinación con la Dirección Genera"/>
    <n v="37782675"/>
    <m/>
    <m/>
    <n v="328545"/>
    <m/>
    <n v="3285450"/>
    <m/>
    <n v="3285450"/>
    <m/>
    <n v="3285450"/>
    <m/>
    <n v="3285450"/>
    <m/>
    <n v="3285450"/>
    <m/>
    <n v="3285450"/>
    <m/>
    <n v="3285450"/>
    <m/>
    <n v="3285450"/>
    <m/>
    <n v="3285450"/>
    <m/>
    <n v="7885080"/>
    <m/>
    <m/>
    <n v="37782675"/>
    <n v="37782675"/>
    <n v="0"/>
    <n v="0"/>
    <n v="9826"/>
    <d v="2026-01-07T00:00:00"/>
    <n v="37782675"/>
    <n v="0"/>
    <n v="30226"/>
    <d v="2026-01-28T00:00:00"/>
    <n v="37782675"/>
    <n v="0"/>
    <n v="0"/>
    <s v="RAMIREZ PORRES DANIEL"/>
    <s v="CO1.PCCNTR.8871444"/>
    <n v="37782675"/>
    <m/>
    <m/>
    <m/>
    <n v="109515"/>
    <n v="109515"/>
    <m/>
    <n v="3285450"/>
    <n v="3285450"/>
    <m/>
    <n v="3285450"/>
    <n v="3285450"/>
    <m/>
    <m/>
    <m/>
    <m/>
    <m/>
    <m/>
    <m/>
    <m/>
    <m/>
    <m/>
    <m/>
    <m/>
    <m/>
    <m/>
    <m/>
    <m/>
    <m/>
    <m/>
    <m/>
    <m/>
    <m/>
    <m/>
    <m/>
    <m/>
    <n v="37782675"/>
    <n v="6680415"/>
    <n v="6680415"/>
    <n v="31102260"/>
    <n v="0"/>
    <x v="0"/>
  </r>
  <r>
    <x v="0"/>
    <x v="0"/>
    <s v="Fortalecimiento del levantamiento, gestión y apropiación de la información para la planeación del sector minero energético con enfoque territorial nacional"/>
    <s v="Enfoque Territorial"/>
    <s v="Sí"/>
    <s v="Sí"/>
    <n v="68"/>
    <s v="100-2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4 Prestar servicios profesionales para apoyar técnica y estratégicamente a la Unidad de Planeación Minero-Energética – UPME en el desarrollo de la planeación sectorial con enfoque territorial, mediante el análisis político-institucional y socio-terri"/>
    <s v="Enero "/>
    <s v="Enero "/>
    <s v="Enero "/>
    <n v="10"/>
    <s v="Meses"/>
    <s v="Contratación directa - Prestación de servicios profesionales "/>
    <s v="Propios - 20 - Ingresos corrientes"/>
    <n v="100000000"/>
    <n v="100000000"/>
    <s v="N/A"/>
    <s v="N/A"/>
    <s v="Sandra Caballero"/>
    <s v="Asesora Dirección general"/>
    <n v="6012220601"/>
    <s v="sandra.caballero@upme.gov.co"/>
    <n v="100000000"/>
    <n v="0"/>
    <n v="0"/>
    <n v="3333333"/>
    <n v="0"/>
    <n v="10000000"/>
    <n v="0"/>
    <n v="10000000"/>
    <n v="0"/>
    <n v="10000000"/>
    <n v="0"/>
    <n v="10000000"/>
    <n v="0"/>
    <n v="10000000"/>
    <n v="0"/>
    <n v="10000000"/>
    <n v="0"/>
    <n v="10000000"/>
    <n v="0"/>
    <n v="10000000"/>
    <n v="0"/>
    <n v="10000000"/>
    <n v="0"/>
    <n v="6666667"/>
    <n v="100000000"/>
    <n v="100000000"/>
    <n v="0"/>
    <n v="0"/>
    <s v="Prestar servicios profesionales para apoyar técnica y estratégicamente a la Unidad de Planeación Minero-Energética – UPME en el desarrollo de la planeación sectorial con enfoque territorial, mediante el análisis político-institucional y socio-territorial,"/>
    <n v="100000000"/>
    <m/>
    <m/>
    <n v="3333333"/>
    <m/>
    <n v="10000000"/>
    <m/>
    <n v="10000000"/>
    <m/>
    <n v="10000000"/>
    <m/>
    <n v="10000000"/>
    <m/>
    <n v="10000000"/>
    <m/>
    <n v="10000000"/>
    <m/>
    <n v="10000000"/>
    <m/>
    <n v="10000000"/>
    <m/>
    <n v="10000000"/>
    <m/>
    <n v="6666667"/>
    <m/>
    <m/>
    <n v="100000000"/>
    <n v="100000000"/>
    <n v="0"/>
    <n v="0"/>
    <n v="11426"/>
    <d v="2026-01-08T00:00:00"/>
    <n v="100000000"/>
    <n v="0"/>
    <n v="13526"/>
    <d v="2026-01-20T00:00:00"/>
    <n v="100000000"/>
    <n v="0"/>
    <n v="0"/>
    <s v="LENTI ATTILA"/>
    <s v="CO1.PCCNTR.8954980"/>
    <n v="100000000"/>
    <m/>
    <m/>
    <m/>
    <m/>
    <m/>
    <m/>
    <n v="13333333"/>
    <n v="13333333"/>
    <m/>
    <n v="10000000"/>
    <n v="10000000"/>
    <m/>
    <m/>
    <m/>
    <m/>
    <m/>
    <m/>
    <m/>
    <m/>
    <m/>
    <m/>
    <m/>
    <m/>
    <m/>
    <m/>
    <m/>
    <m/>
    <m/>
    <m/>
    <m/>
    <m/>
    <m/>
    <m/>
    <m/>
    <m/>
    <n v="100000000"/>
    <n v="23333333"/>
    <n v="23333333"/>
    <n v="76666667"/>
    <n v="0"/>
    <x v="0"/>
  </r>
  <r>
    <x v="0"/>
    <x v="0"/>
    <s v="Fortalecimiento del levantamiento, gestión y apropiación de la información para la planeación del sector minero energético con enfoque territorial nacional"/>
    <s v="Enfoque Territorial"/>
    <s v="Sí"/>
    <s v="Sí"/>
    <s v="Radicado 20261000008453"/>
    <s v="100-2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5 Prestar servicios profesionales para la creación, desarrollo, producción y entrega de contenidos comunicacionales para las actividades de la UPME."/>
    <s v="Enero "/>
    <s v="Enero "/>
    <s v="Enero "/>
    <n v="10"/>
    <s v="Meses"/>
    <s v="Contratación directa - Prestación de servicios profesionales "/>
    <s v="Propios - 20 - Ingresos corrientes"/>
    <n v="40000000"/>
    <n v="40000000"/>
    <s v="N/A"/>
    <s v="N/A"/>
    <s v="Sandra Caballero"/>
    <s v="Asesora Dirección general"/>
    <n v="6012220601"/>
    <s v="sandra.caballero@upme.gov.co"/>
    <n v="0"/>
    <n v="0"/>
    <n v="0"/>
    <n v="0"/>
    <n v="0"/>
    <n v="0"/>
    <n v="0"/>
    <n v="0"/>
    <n v="0"/>
    <n v="0"/>
    <n v="0"/>
    <n v="0"/>
    <n v="40000000"/>
    <n v="0"/>
    <n v="0"/>
    <n v="6666666"/>
    <n v="0"/>
    <n v="6666666"/>
    <n v="0"/>
    <n v="6666666"/>
    <n v="0"/>
    <n v="6666666"/>
    <n v="0"/>
    <n v="13333336"/>
    <n v="40000000"/>
    <n v="40000000"/>
    <n v="0"/>
    <n v="0"/>
    <s v="Prestar servicios profesionales para la creación, desarrollo, producción y entrega de contenidos comunicacionales para las actividades de la UPME."/>
    <m/>
    <m/>
    <m/>
    <m/>
    <m/>
    <m/>
    <m/>
    <m/>
    <m/>
    <m/>
    <m/>
    <m/>
    <n v="40000000"/>
    <m/>
    <m/>
    <n v="6666666"/>
    <m/>
    <n v="6666666"/>
    <m/>
    <n v="6666666"/>
    <m/>
    <n v="6666666"/>
    <m/>
    <n v="13333336"/>
    <m/>
    <m/>
    <n v="40000000"/>
    <n v="40000000"/>
    <n v="0"/>
    <n v="0"/>
    <n v="28226"/>
    <d v="2026-01-14T00:00:00"/>
    <n v="40000000"/>
    <n v="0"/>
    <m/>
    <m/>
    <n v="0"/>
    <n v="40000000"/>
    <n v="400000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2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6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 la Dimensión de Control Interno mediante la ejecución del Plan Anual de Auditorías Internas Independientes, con énfasis en la evaluación de la gestión administrativa de la UPME."/>
    <m/>
    <m/>
    <m/>
    <m/>
    <m/>
    <m/>
    <m/>
    <m/>
    <m/>
    <m/>
    <m/>
    <m/>
    <m/>
    <m/>
    <m/>
    <m/>
    <m/>
    <m/>
    <m/>
    <m/>
    <m/>
    <m/>
    <m/>
    <m/>
    <m/>
    <m/>
    <n v="0"/>
    <n v="0"/>
    <n v="0"/>
    <n v="0"/>
    <m/>
    <m/>
    <m/>
    <n v="0"/>
    <m/>
    <m/>
    <n v="0"/>
    <n v="0"/>
    <n v="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2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7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m/>
    <m/>
    <m/>
    <m/>
    <m/>
    <m/>
    <m/>
    <m/>
    <m/>
    <m/>
    <m/>
    <m/>
    <m/>
    <m/>
    <n v="0"/>
    <n v="0"/>
    <n v="0"/>
    <n v="0"/>
    <m/>
    <m/>
    <m/>
    <n v="0"/>
    <m/>
    <m/>
    <n v="0"/>
    <n v="0"/>
    <n v="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2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8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m/>
    <m/>
    <m/>
    <m/>
    <m/>
    <m/>
    <m/>
    <m/>
    <m/>
    <m/>
    <m/>
    <m/>
    <m/>
    <m/>
    <n v="0"/>
    <n v="0"/>
    <n v="0"/>
    <n v="0"/>
    <m/>
    <m/>
    <m/>
    <n v="0"/>
    <m/>
    <m/>
    <n v="0"/>
    <n v="0"/>
    <n v="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3"/>
    <s v="100-29"/>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29 Prestar servicios profesionales a la Unidad de Planeación Minero-Energética (UPME) para apoyar la gestión y articulación interinstitucional e intersectorial, a través del ejercicio de la secretaría técnica de comités, el fortalecimiento de los proc"/>
    <s v="Enero "/>
    <s v="Enero "/>
    <s v="Enero "/>
    <n v="10"/>
    <s v="Meses"/>
    <s v="Contratación directa - Prestación de servicios profesionales "/>
    <s v="Propios - 20 - Ingresos corrientes"/>
    <n v="110000000"/>
    <n v="110000000"/>
    <s v="N/A"/>
    <s v="N/A"/>
    <s v="Sandra Caballero"/>
    <s v="Asesora Dirección general"/>
    <n v="6012220601"/>
    <s v="sandra.caballero@upme.gov.co"/>
    <n v="110000000"/>
    <n v="0"/>
    <n v="0"/>
    <n v="1466666"/>
    <n v="0"/>
    <n v="11000000"/>
    <n v="0"/>
    <n v="11000000"/>
    <n v="0"/>
    <n v="11000000"/>
    <n v="0"/>
    <n v="11000000"/>
    <n v="0"/>
    <n v="11000000"/>
    <n v="0"/>
    <n v="11000000"/>
    <n v="0"/>
    <n v="11000000"/>
    <n v="0"/>
    <n v="11000000"/>
    <n v="0"/>
    <n v="11000000"/>
    <n v="0"/>
    <n v="9533334"/>
    <n v="110000000"/>
    <n v="110000000"/>
    <n v="0"/>
    <n v="0"/>
    <s v="Prestar servicios profesionales a la Unidad de Planeación Minero-Energética (UPME) para apoyar la gestión y articulación interinstitucional e intersectorial, a través del ejercicio de la secretaría técnica de comités, el fortalecimiento de los procesos de"/>
    <n v="110000000"/>
    <m/>
    <m/>
    <n v="1466666"/>
    <m/>
    <n v="11000000"/>
    <m/>
    <n v="11000000"/>
    <m/>
    <n v="11000000"/>
    <m/>
    <n v="11000000"/>
    <m/>
    <n v="11000000"/>
    <m/>
    <n v="11000000"/>
    <m/>
    <n v="11000000"/>
    <m/>
    <n v="11000000"/>
    <m/>
    <n v="11000000"/>
    <m/>
    <n v="9533334"/>
    <m/>
    <m/>
    <n v="110000000"/>
    <n v="110000000"/>
    <n v="0"/>
    <n v="0"/>
    <n v="10126"/>
    <d v="2026-01-07T00:00:00"/>
    <n v="110000000"/>
    <n v="0"/>
    <n v="23526"/>
    <d v="2026-01-27T00:00:00"/>
    <n v="110000000"/>
    <n v="0"/>
    <n v="0"/>
    <s v="MORENO MENA YUDY SAMIRA"/>
    <s v="CO1.PCCNTR.9088734"/>
    <n v="110000000"/>
    <m/>
    <m/>
    <m/>
    <m/>
    <m/>
    <m/>
    <n v="12466667"/>
    <n v="12466667"/>
    <m/>
    <n v="11000000"/>
    <n v="11000000"/>
    <m/>
    <m/>
    <m/>
    <m/>
    <m/>
    <m/>
    <m/>
    <m/>
    <m/>
    <m/>
    <m/>
    <m/>
    <m/>
    <m/>
    <m/>
    <m/>
    <m/>
    <m/>
    <m/>
    <m/>
    <m/>
    <m/>
    <m/>
    <m/>
    <n v="110000000"/>
    <n v="23466667"/>
    <n v="23466667"/>
    <n v="86533333"/>
    <n v="0"/>
    <x v="0"/>
  </r>
  <r>
    <x v="0"/>
    <x v="0"/>
    <s v="Fortalecimiento del levantamiento, gestión y apropiación de la información para la planeación del sector minero energético con enfoque territorial nacional"/>
    <s v="Enfoque Territorial"/>
    <s v="Sí"/>
    <s v="Sí"/>
    <n v="68"/>
    <s v="100-3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30 Prestación de servicios profesionales para apoyar la sistematización de experiencias del proyecto de enfoque territorial, identificando buenas prácticas, cuellos de botella y dificultades en la articulación territorial programados por la UPME."/>
    <s v="Enero "/>
    <s v="Enero "/>
    <s v="Enero "/>
    <n v="10"/>
    <s v="Meses"/>
    <s v="Contratación directa - Prestación de servicios profesionales "/>
    <s v="Propios - 20 - Ingresos corrientes"/>
    <n v="32854500"/>
    <n v="32854500"/>
    <s v="N/A"/>
    <s v="N/A"/>
    <s v="Sandra Caballero"/>
    <s v="Asesora Dirección general"/>
    <n v="6012220601"/>
    <s v="sandra.caballero@upme.gov.co"/>
    <n v="0"/>
    <n v="0"/>
    <n v="0"/>
    <n v="0"/>
    <n v="0"/>
    <n v="0"/>
    <n v="0"/>
    <n v="0"/>
    <n v="0"/>
    <n v="0"/>
    <n v="0"/>
    <n v="0"/>
    <n v="32854500"/>
    <n v="0"/>
    <n v="0"/>
    <n v="0"/>
    <n v="0"/>
    <n v="0"/>
    <n v="0"/>
    <n v="0"/>
    <n v="0"/>
    <n v="0"/>
    <n v="0"/>
    <n v="32854500"/>
    <n v="32854500"/>
    <n v="32854500"/>
    <n v="0"/>
    <n v="0"/>
    <s v="Prestación de servicios profesionales para apoyar la sistematización de experiencias del proyecto de enfoque territorial, identificando buenas prácticas, cuellos de botella y dificultades en la articulación territorial programados por la UPME."/>
    <m/>
    <m/>
    <m/>
    <m/>
    <m/>
    <m/>
    <m/>
    <m/>
    <m/>
    <m/>
    <m/>
    <m/>
    <n v="32854500"/>
    <m/>
    <m/>
    <m/>
    <m/>
    <m/>
    <m/>
    <m/>
    <m/>
    <m/>
    <m/>
    <n v="32854500"/>
    <m/>
    <m/>
    <n v="32854500"/>
    <n v="32854500"/>
    <n v="0"/>
    <n v="0"/>
    <n v="36026"/>
    <d v="2026-01-15T00:00:00"/>
    <n v="32854500"/>
    <n v="0"/>
    <m/>
    <m/>
    <n v="0"/>
    <n v="32854500"/>
    <n v="328545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
    <s v="100-3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31 Prestar servicios de apoyo en la creación y diseño de productos gráficos innovadores para contenido digital e impreso, con el fin de contribuir a la gestión de comunicación interna y externa de la UPME."/>
    <s v="Enero "/>
    <s v="Enero "/>
    <s v="Enero "/>
    <n v="10"/>
    <s v="Meses"/>
    <s v="Contratación directa - Prestación de servicios profesionales "/>
    <s v="Propios - 20 - Ingresos corrientes"/>
    <n v="40000000"/>
    <n v="40000000"/>
    <s v="N/A"/>
    <s v="N/A"/>
    <s v="Sandra Caballero"/>
    <s v="Asesora Dirección general"/>
    <n v="6012220601"/>
    <s v="sandra.caballero@upme.gov.co"/>
    <n v="0"/>
    <n v="0"/>
    <n v="40000000"/>
    <n v="0"/>
    <n v="0"/>
    <n v="2547090"/>
    <n v="0"/>
    <n v="2938950"/>
    <n v="0"/>
    <n v="2938950"/>
    <n v="0"/>
    <n v="2938950"/>
    <n v="0"/>
    <n v="2938950"/>
    <n v="0"/>
    <n v="2938950"/>
    <n v="0"/>
    <n v="2938950"/>
    <n v="0"/>
    <n v="2938950"/>
    <n v="0"/>
    <n v="2938950"/>
    <n v="0"/>
    <n v="13941310"/>
    <n v="40000000"/>
    <n v="40000000"/>
    <n v="0"/>
    <n v="0"/>
    <s v="Prestar servicios de apoyo en la creación y diseño de productos gráficos innovadores para contenido digital e impreso, con el fin de contribuir a la gestión de comunicación interna y externa de la UPME."/>
    <m/>
    <m/>
    <n v="40000000"/>
    <m/>
    <m/>
    <n v="2547090"/>
    <m/>
    <n v="2938950"/>
    <m/>
    <n v="2938950"/>
    <m/>
    <n v="2938950"/>
    <m/>
    <n v="2938950"/>
    <m/>
    <n v="2938950"/>
    <m/>
    <n v="2938950"/>
    <m/>
    <n v="2938950"/>
    <m/>
    <n v="2938950"/>
    <m/>
    <n v="13941310"/>
    <m/>
    <m/>
    <n v="40000000"/>
    <n v="40000000"/>
    <n v="0"/>
    <n v="0"/>
    <n v="59626"/>
    <d v="2026-01-23T00:00:00"/>
    <n v="40000000"/>
    <n v="0"/>
    <n v="50726"/>
    <d v="2026-02-09T00:00:00"/>
    <n v="29389500"/>
    <n v="10610500"/>
    <n v="10610500"/>
    <s v="AVILA SANTAMARIA JUAN ANGEL"/>
    <s v="CO1.PCCNTR.9288243"/>
    <m/>
    <m/>
    <m/>
    <n v="29389500"/>
    <m/>
    <m/>
    <m/>
    <n v="2057265"/>
    <n v="2057265"/>
    <m/>
    <n v="2938950"/>
    <n v="2938950"/>
    <m/>
    <m/>
    <m/>
    <m/>
    <m/>
    <m/>
    <m/>
    <m/>
    <m/>
    <m/>
    <m/>
    <m/>
    <m/>
    <m/>
    <m/>
    <m/>
    <m/>
    <m/>
    <m/>
    <m/>
    <m/>
    <m/>
    <m/>
    <m/>
    <n v="29389500"/>
    <n v="4996215"/>
    <n v="4996215"/>
    <n v="24393285"/>
    <n v="0"/>
    <x v="0"/>
  </r>
  <r>
    <x v="0"/>
    <x v="0"/>
    <s v="Fortalecimiento del levantamiento, gestión y apropiación de la información para la planeación del sector minero energético con enfoque territorial nacional"/>
    <s v="Enfoque Territorial"/>
    <s v="Sí"/>
    <s v="Sí"/>
    <s v="Radicado 20261110012353"/>
    <s v="100-32"/>
    <s v="Incluir el uso de las particularidades propias de cada territorio en la planeación minero energética."/>
    <s v="Documentos Metodológicos"/>
    <s v="Identificar e incorporar variables sociales, ambientales y territoriales en los documentos de planeación minero energética."/>
    <n v="78111502"/>
    <s v="C-2106-1900-10-53105E-2106005-02"/>
    <s v="Tiquetes"/>
    <s v="100-32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77196710"/>
    <n v="77196710"/>
    <s v="N/A"/>
    <s v="N/A"/>
    <s v="Sandra Caballero"/>
    <s v="Asesora Dirección general"/>
    <n v="6012220601"/>
    <s v="sandra.caballero@upme.gov.co"/>
    <n v="77196710"/>
    <n v="0"/>
    <n v="0"/>
    <n v="7719671"/>
    <n v="0"/>
    <n v="7719671"/>
    <n v="0"/>
    <n v="7719671"/>
    <n v="0"/>
    <n v="7719671"/>
    <n v="0"/>
    <n v="7719671"/>
    <n v="0"/>
    <n v="7719671"/>
    <n v="0"/>
    <n v="7719671"/>
    <n v="0"/>
    <n v="7719671"/>
    <n v="0"/>
    <n v="7719671"/>
    <n v="0"/>
    <n v="7719671"/>
    <n v="0"/>
    <n v="0"/>
    <n v="77196710"/>
    <n v="77196710"/>
    <n v="0"/>
    <n v="0"/>
    <s v="Adquirir los servicios necesarios para garantizar el desplazamiento de servidores públicos y contratistas de la UPME a los eventos y espacios institucionales de planeación minero energética."/>
    <n v="77196710"/>
    <m/>
    <m/>
    <n v="7719671"/>
    <m/>
    <n v="7719671"/>
    <m/>
    <n v="7719671"/>
    <m/>
    <n v="7719671"/>
    <m/>
    <n v="7719671"/>
    <m/>
    <n v="7719671"/>
    <m/>
    <n v="7719671"/>
    <m/>
    <n v="7719671"/>
    <m/>
    <n v="7719671"/>
    <m/>
    <n v="7719671"/>
    <m/>
    <m/>
    <m/>
    <m/>
    <n v="77196710"/>
    <n v="77196710"/>
    <n v="0"/>
    <n v="0"/>
    <n v="38826"/>
    <d v="2026-01-15T00:00:00"/>
    <n v="77196710"/>
    <n v="0"/>
    <n v="20326"/>
    <d v="2026-01-26T00:00:00"/>
    <n v="77196710"/>
    <n v="0"/>
    <n v="0"/>
    <s v="FESTIVAL TOURS S.A.S"/>
    <s v="CO1.PCCNTR.9020125"/>
    <n v="77196710"/>
    <m/>
    <m/>
    <m/>
    <m/>
    <m/>
    <m/>
    <n v="6354375"/>
    <n v="6354375"/>
    <m/>
    <n v="17911849"/>
    <n v="17911849"/>
    <m/>
    <m/>
    <m/>
    <m/>
    <m/>
    <m/>
    <m/>
    <m/>
    <m/>
    <m/>
    <m/>
    <m/>
    <m/>
    <m/>
    <m/>
    <m/>
    <m/>
    <m/>
    <m/>
    <m/>
    <m/>
    <m/>
    <m/>
    <m/>
    <n v="77196710"/>
    <n v="24266224"/>
    <n v="24266224"/>
    <n v="52930486"/>
    <n v="0"/>
    <x v="0"/>
  </r>
  <r>
    <x v="0"/>
    <x v="0"/>
    <s v="Fortalecimiento del levantamiento, gestión y apropiación de la información para la planeación del sector minero energético con enfoque territorial nacional"/>
    <s v="Enfoque Territorial"/>
    <s v="No"/>
    <s v="Sí"/>
    <n v="68"/>
    <s v="100-33"/>
    <s v="Incluir el uso de las particularidades propias de cada territorio en la planeación minero energética."/>
    <s v="Documentos Metodológicos"/>
    <s v="Identificar e incorporar variables sociales, ambientales y territoriales en los documentos de planeación minero energética."/>
    <s v="N/A"/>
    <s v="C-2106-1900-10-53105E-2106005-02"/>
    <s v="Viáticos o gastos de desplazamiento"/>
    <s v="100-33 Viáticos o gastos de desplazamiento"/>
    <s v="N/A"/>
    <s v="N/A"/>
    <s v="N/A"/>
    <s v="N/A"/>
    <s v="N/A"/>
    <s v="N/A"/>
    <s v="Propios - 20 - Ingresos corrientes"/>
    <n v="14153641"/>
    <n v="14153641"/>
    <s v="N/A"/>
    <s v="N/A"/>
    <s v="Sandra Caballero"/>
    <s v="Asesora Dirección general"/>
    <n v="6012220601"/>
    <s v="sandra.caballero@upme.gov.co"/>
    <n v="0"/>
    <n v="0"/>
    <n v="0"/>
    <n v="0"/>
    <n v="14153641"/>
    <n v="1489857"/>
    <n v="0"/>
    <n v="1489857"/>
    <n v="0"/>
    <n v="1489857"/>
    <n v="0"/>
    <n v="1489857"/>
    <n v="0"/>
    <n v="1489857"/>
    <n v="0"/>
    <n v="1489857"/>
    <n v="0"/>
    <n v="1489857"/>
    <n v="0"/>
    <n v="1489857"/>
    <n v="0"/>
    <n v="1489857"/>
    <n v="0"/>
    <n v="744928"/>
    <n v="14153641"/>
    <n v="14153641"/>
    <n v="0"/>
    <n v="0"/>
    <s v="Viáticos o gastos de desplazamiento"/>
    <m/>
    <m/>
    <m/>
    <m/>
    <n v="14153641"/>
    <n v="1489857"/>
    <m/>
    <n v="1489857"/>
    <m/>
    <n v="1489857"/>
    <m/>
    <n v="1489857"/>
    <m/>
    <n v="1489857"/>
    <m/>
    <n v="1489857"/>
    <m/>
    <n v="1489857"/>
    <m/>
    <n v="1489857"/>
    <m/>
    <n v="1489857"/>
    <m/>
    <n v="744928"/>
    <m/>
    <m/>
    <n v="14153641"/>
    <n v="14153641"/>
    <n v="0"/>
    <n v="0"/>
    <n v="37426"/>
    <d v="2026-01-15T00:00:00"/>
    <n v="14153641"/>
    <n v="0"/>
    <n v="67726.737259999994"/>
    <d v="2026-04-07T00:00:00"/>
    <n v="1108840"/>
    <n v="13044801"/>
    <n v="13044801"/>
    <s v="CASTILLA ACEVEDO JOSE FERNANDO"/>
    <m/>
    <m/>
    <m/>
    <m/>
    <m/>
    <m/>
    <m/>
    <m/>
    <m/>
    <m/>
    <n v="1108840"/>
    <m/>
    <m/>
    <m/>
    <m/>
    <m/>
    <m/>
    <m/>
    <m/>
    <m/>
    <m/>
    <m/>
    <m/>
    <m/>
    <m/>
    <m/>
    <m/>
    <m/>
    <m/>
    <m/>
    <m/>
    <m/>
    <m/>
    <m/>
    <m/>
    <m/>
    <m/>
    <n v="1108840"/>
    <n v="0"/>
    <n v="0"/>
    <n v="1108840"/>
    <n v="0"/>
    <x v="0"/>
  </r>
  <r>
    <x v="0"/>
    <x v="0"/>
    <s v="Fortalecimiento del levantamiento, gestión y apropiación de la información para la planeación del sector minero energético con enfoque territorial nacional"/>
    <s v="Enfoque Territorial"/>
    <s v="No"/>
    <s v="Sí"/>
    <n v="68"/>
    <s v="100-34"/>
    <s v="Incluir el uso de las particularidades propias de cada territorio en la planeación minero energética."/>
    <s v="Documentos Metodológicos"/>
    <s v="Definir e implementar lineamientos articulados de gestión institucional con enfoque territorial ambiental y social."/>
    <s v="N/A"/>
    <s v="C-2106-1900-10-53105E-2106005-02"/>
    <s v="Viáticos o gastos de desplazamiento"/>
    <s v="100-34 Viáticos o gastos de desplazamiento"/>
    <s v="N/A"/>
    <s v="N/A"/>
    <s v="N/A"/>
    <s v="N/A"/>
    <s v="N/A"/>
    <s v="N/A"/>
    <s v="Propios - 20 - Ingresos corrientes"/>
    <n v="16600000"/>
    <n v="16600000"/>
    <s v="N/A"/>
    <s v="N/A"/>
    <s v="Sandra Caballero"/>
    <s v="Asesora Dirección general"/>
    <n v="6012220601"/>
    <s v="sandra.caballero@upme.gov.co"/>
    <n v="0"/>
    <n v="0"/>
    <n v="0"/>
    <n v="0"/>
    <n v="16600000"/>
    <n v="1660000"/>
    <n v="0"/>
    <n v="1660000"/>
    <n v="0"/>
    <n v="1660000"/>
    <n v="0"/>
    <n v="1660000"/>
    <n v="0"/>
    <n v="1660000"/>
    <n v="0"/>
    <n v="1660000"/>
    <n v="0"/>
    <n v="1660000"/>
    <n v="0"/>
    <n v="1660000"/>
    <n v="0"/>
    <n v="1660000"/>
    <n v="0"/>
    <n v="1660000"/>
    <n v="16600000"/>
    <n v="16600000"/>
    <n v="0"/>
    <n v="0"/>
    <s v="Viáticos o gastos de desplazamiento"/>
    <m/>
    <m/>
    <m/>
    <m/>
    <n v="16600000"/>
    <n v="1660000"/>
    <m/>
    <n v="1660000"/>
    <m/>
    <n v="1660000"/>
    <m/>
    <n v="1660000"/>
    <m/>
    <n v="1660000"/>
    <m/>
    <n v="1660000"/>
    <m/>
    <n v="1660000"/>
    <m/>
    <n v="1660000"/>
    <m/>
    <n v="1660000"/>
    <m/>
    <n v="1660000"/>
    <m/>
    <m/>
    <n v="16600000"/>
    <n v="16600000"/>
    <n v="0"/>
    <n v="0"/>
    <n v="37426"/>
    <d v="2026-01-15T00:00:00"/>
    <n v="16600000"/>
    <n v="0"/>
    <m/>
    <m/>
    <n v="0"/>
    <n v="16600000"/>
    <n v="166000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35"/>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35 Prestar servicios profesionales para el diseño, implementación y seguimiento de estrategias de educación comunitaria y participación ciudadana, con un enfoque de derechos humanos y diferencial, para el fortalecimiento de la relación entre la UPME y"/>
    <s v="Enero "/>
    <s v="Enero "/>
    <s v="Enero "/>
    <n v="10.5"/>
    <s v="Meses"/>
    <s v="Contratación régimen especial (con ofertas)  - Régimen especial"/>
    <s v="Propios - 20 - Ingresos corrientes"/>
    <n v="42250000"/>
    <n v="42250000"/>
    <s v="N/A"/>
    <s v="N/A"/>
    <s v="Sandra Caballero"/>
    <s v="Asesora Dirección general"/>
    <n v="6012220601"/>
    <s v="sandra.caballero@upme.gov.co"/>
    <n v="0"/>
    <n v="0"/>
    <n v="42250000"/>
    <n v="0"/>
    <n v="0"/>
    <n v="4514125"/>
    <n v="0"/>
    <n v="5416950"/>
    <n v="0"/>
    <n v="5416950"/>
    <n v="0"/>
    <n v="5416950"/>
    <n v="0"/>
    <n v="5416950"/>
    <n v="0"/>
    <n v="5416950"/>
    <n v="0"/>
    <n v="5416950"/>
    <n v="0"/>
    <n v="5234175"/>
    <n v="0"/>
    <n v="0"/>
    <n v="0"/>
    <n v="0"/>
    <n v="42250000"/>
    <n v="42250000"/>
    <n v="0"/>
    <n v="0"/>
    <s v="Prestar servicios profesionales para el diseño, implementación y seguimiento de estrategias de educación comunitaria y participación ciudadana, con un enfoque de derechos humanos y diferencial, para el fortalecimiento de la relación entre la UPME y las co"/>
    <m/>
    <m/>
    <n v="42250000"/>
    <m/>
    <m/>
    <n v="4514125"/>
    <m/>
    <n v="5416950"/>
    <m/>
    <n v="5416950"/>
    <m/>
    <n v="5416950"/>
    <m/>
    <n v="5416950"/>
    <m/>
    <n v="5416950"/>
    <m/>
    <n v="5416950"/>
    <m/>
    <n v="5234175"/>
    <m/>
    <m/>
    <m/>
    <m/>
    <m/>
    <m/>
    <n v="42250000"/>
    <n v="42250000"/>
    <n v="0"/>
    <n v="0"/>
    <n v="43926"/>
    <d v="2026-01-17T00:00:00"/>
    <n v="42250000"/>
    <n v="0"/>
    <n v="50026"/>
    <d v="2026-02-09T00:00:00"/>
    <n v="42250000"/>
    <n v="0"/>
    <n v="0"/>
    <s v="BERNAL OLAYA SANDRA BIBIANA"/>
    <s v="CO1.PCCNTR.9296056"/>
    <m/>
    <m/>
    <m/>
    <n v="42250000"/>
    <m/>
    <m/>
    <m/>
    <m/>
    <m/>
    <m/>
    <n v="5416950"/>
    <n v="5416950"/>
    <m/>
    <m/>
    <m/>
    <m/>
    <m/>
    <m/>
    <m/>
    <m/>
    <m/>
    <m/>
    <m/>
    <m/>
    <m/>
    <m/>
    <m/>
    <m/>
    <m/>
    <m/>
    <m/>
    <m/>
    <m/>
    <m/>
    <m/>
    <m/>
    <n v="42250000"/>
    <n v="5416950"/>
    <n v="5416950"/>
    <n v="36833050"/>
    <n v="0"/>
    <x v="0"/>
  </r>
  <r>
    <x v="0"/>
    <x v="0"/>
    <s v="Fortalecimiento del levantamiento, gestión y apropiación de la información para la planeación del sector minero energético con enfoque territorial nacional"/>
    <s v="Enfoque Territorial"/>
    <s v="Sí"/>
    <s v="Sí"/>
    <n v="4"/>
    <s v="100-36"/>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36 Prestar servicios profesionales para analizar la información ambiental vinculada a proyectos de energía renovable, identificando factores críticos y oportunidades de mejora en la gestión institucional, formular recomendaciones técnicas y la elabora"/>
    <s v="Enero "/>
    <s v="Enero "/>
    <s v="Enero "/>
    <n v="10"/>
    <s v="Meses"/>
    <s v="Contratación directa - Prestación de servicios profesionales "/>
    <s v="Propios - 20 - Ingresos corrientes"/>
    <n v="67000000"/>
    <n v="67000000"/>
    <s v="N/A"/>
    <s v="N/A"/>
    <s v="Sandra Caballero"/>
    <s v="Asesora Dirección general"/>
    <n v="6012220601"/>
    <s v="sandra.caballero@upme.gov.co"/>
    <n v="0"/>
    <n v="0"/>
    <n v="67000000"/>
    <n v="0"/>
    <n v="0"/>
    <n v="2737875"/>
    <n v="0"/>
    <n v="3285450"/>
    <n v="0"/>
    <n v="3285450"/>
    <n v="0"/>
    <n v="3285450"/>
    <n v="0"/>
    <n v="3285450"/>
    <n v="0"/>
    <n v="3285450"/>
    <n v="0"/>
    <n v="3285450"/>
    <n v="0"/>
    <n v="3285450"/>
    <n v="0"/>
    <n v="3285450"/>
    <n v="0"/>
    <n v="37978525"/>
    <n v="67000000"/>
    <n v="67000000"/>
    <n v="0"/>
    <n v="0"/>
    <s v="Prestar servicios profesionales para analizar la información ambiental vinculada a proyectos de energía renovable, identificando factores críticos y oportunidades de mejora en la gestión institucional, formular recomendaciones técnicas y la elaboración de"/>
    <m/>
    <m/>
    <n v="67000000"/>
    <m/>
    <m/>
    <n v="2737875"/>
    <m/>
    <n v="3285450"/>
    <m/>
    <n v="3285450"/>
    <m/>
    <n v="3285450"/>
    <m/>
    <n v="3285450"/>
    <m/>
    <n v="3285450"/>
    <m/>
    <n v="3285450"/>
    <m/>
    <n v="3285450"/>
    <m/>
    <n v="3285450"/>
    <m/>
    <n v="37978525"/>
    <m/>
    <m/>
    <n v="67000000"/>
    <n v="67000000"/>
    <n v="0"/>
    <n v="0"/>
    <n v="50826"/>
    <d v="2026-01-20T00:00:00"/>
    <n v="67000000"/>
    <n v="0"/>
    <n v="57626"/>
    <d v="2026-02-10T00:00:00"/>
    <n v="32854500"/>
    <n v="34145500"/>
    <n v="34145500"/>
    <s v="JIMENEZ SANCHEZ MILEIDY JULIETH"/>
    <s v="CO1.PCCNTR.9309609"/>
    <m/>
    <m/>
    <m/>
    <n v="32854500"/>
    <m/>
    <m/>
    <m/>
    <n v="2190300"/>
    <n v="2190300"/>
    <m/>
    <n v="3285450"/>
    <n v="3285450"/>
    <m/>
    <m/>
    <m/>
    <m/>
    <m/>
    <m/>
    <m/>
    <m/>
    <m/>
    <m/>
    <m/>
    <m/>
    <m/>
    <m/>
    <m/>
    <m/>
    <m/>
    <m/>
    <m/>
    <m/>
    <m/>
    <m/>
    <m/>
    <m/>
    <n v="32854500"/>
    <n v="5475750"/>
    <n v="5475750"/>
    <n v="27378750"/>
    <n v="0"/>
    <x v="0"/>
  </r>
  <r>
    <x v="0"/>
    <x v="0"/>
    <s v="Fortalecimiento del levantamiento, gestión y apropiación de la información para la planeación del sector minero energético con enfoque territorial nacional"/>
    <s v="Enfoque Territorial"/>
    <s v="Sí"/>
    <s v="Sí"/>
    <n v="68"/>
    <s v="100-3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37 Prestar servicios profesionales para apoyar la identificación, análisis y aplicabilidad de variables ambientales, territoriales y de riesgo socioambiental para la planeación minero energética en los territorios priorizados. Adicionalmente, contribu"/>
    <s v="Enero "/>
    <s v="Enero "/>
    <s v="Enero "/>
    <n v="11"/>
    <s v="Meses"/>
    <s v="Contratación directa - Prestación de servicios profesionales "/>
    <s v="Propios - 20 - Ingresos corrientes"/>
    <n v="81400000"/>
    <n v="81400000"/>
    <s v="N/A"/>
    <s v="N/A"/>
    <s v="Sandra Caballero"/>
    <s v="Asesora Dirección general"/>
    <n v="6012220601"/>
    <s v="sandra.caballero@upme.gov.co"/>
    <n v="0"/>
    <n v="0"/>
    <n v="55000000"/>
    <n v="0"/>
    <n v="0"/>
    <n v="7200000"/>
    <n v="0"/>
    <n v="8000000"/>
    <n v="0"/>
    <n v="8000000"/>
    <n v="26400000"/>
    <n v="8000000"/>
    <n v="0"/>
    <n v="8000000"/>
    <n v="0"/>
    <n v="8000000"/>
    <n v="0"/>
    <n v="7800000"/>
    <n v="0"/>
    <n v="0"/>
    <n v="0"/>
    <n v="0"/>
    <n v="0"/>
    <n v="26400000"/>
    <n v="81400000"/>
    <n v="81400000"/>
    <n v="0"/>
    <n v="0"/>
    <s v="Prestar servicios profesionales para apoyar la identificación, análisis y aplicabilidad de variables ambientales, territoriales y de riesgo socioambiental para la planeación minero energética en los territorios priorizados. Adicionalmente, contribuir en l"/>
    <m/>
    <m/>
    <n v="55000000"/>
    <m/>
    <m/>
    <n v="7200000"/>
    <m/>
    <n v="8000000"/>
    <m/>
    <n v="8000000"/>
    <n v="26400000"/>
    <n v="8000000"/>
    <m/>
    <n v="8000000"/>
    <m/>
    <n v="8000000"/>
    <m/>
    <n v="7800000"/>
    <m/>
    <m/>
    <m/>
    <m/>
    <m/>
    <n v="26400000"/>
    <m/>
    <m/>
    <n v="81400000"/>
    <n v="81400000"/>
    <n v="0"/>
    <n v="0"/>
    <n v="38426"/>
    <d v="2026-01-15T00:00:00"/>
    <n v="81400000"/>
    <n v="0"/>
    <n v="52626"/>
    <d v="2026-02-10T00:00:00"/>
    <n v="81400000"/>
    <n v="0"/>
    <n v="0"/>
    <s v="SANABRIA HERNANDEZ SANDRA PATRICIA"/>
    <s v="CO1.PCCNTR.9259628"/>
    <m/>
    <m/>
    <m/>
    <n v="81400000"/>
    <m/>
    <m/>
    <m/>
    <m/>
    <m/>
    <m/>
    <n v="13333333"/>
    <n v="13333333"/>
    <m/>
    <m/>
    <m/>
    <m/>
    <m/>
    <m/>
    <m/>
    <m/>
    <m/>
    <m/>
    <m/>
    <m/>
    <m/>
    <m/>
    <m/>
    <m/>
    <m/>
    <m/>
    <m/>
    <m/>
    <m/>
    <m/>
    <m/>
    <m/>
    <n v="81400000"/>
    <n v="13333333"/>
    <n v="13333333"/>
    <n v="68066667"/>
    <n v="0"/>
    <x v="0"/>
  </r>
  <r>
    <x v="0"/>
    <x v="0"/>
    <s v="Fortalecimiento del levantamiento, gestión y apropiación de la información para la planeación del sector minero energético con enfoque territorial nacional"/>
    <s v="Enfoque Territorial"/>
    <s v="Sí"/>
    <s v="Sí"/>
    <n v="68"/>
    <s v="100-3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38 Prestar servicios profesionales para apoyar la evaluación, identificación y estructuración de acciones técnicas validadas para el acompañamiento permanente a entidades del orden nacional y regional, en zonas priorizadas con conflictos sociales para"/>
    <s v="Enero "/>
    <s v="Enero "/>
    <s v="Enero "/>
    <n v="10"/>
    <s v="Meses"/>
    <s v="Contratación directa - Prestación de servicios profesionales "/>
    <s v="Propios - 20 - Ingresos corrientes"/>
    <n v="55000000"/>
    <n v="55000000"/>
    <s v="N/A"/>
    <s v="N/A"/>
    <s v="Sandra Caballero"/>
    <s v="Asesora Dirección general"/>
    <n v="6012220601"/>
    <s v="sandra.caballero@upme.gov.co"/>
    <n v="0"/>
    <n v="0"/>
    <n v="55000000"/>
    <n v="0"/>
    <n v="0"/>
    <n v="4583333"/>
    <n v="0"/>
    <n v="5500000"/>
    <n v="0"/>
    <n v="5500000"/>
    <n v="0"/>
    <n v="5500000"/>
    <n v="0"/>
    <n v="5500000"/>
    <n v="0"/>
    <n v="5500000"/>
    <n v="0"/>
    <n v="5500000"/>
    <n v="0"/>
    <n v="5500000"/>
    <n v="0"/>
    <n v="5500000"/>
    <n v="0"/>
    <n v="6416667"/>
    <n v="55000000"/>
    <n v="55000000"/>
    <n v="0"/>
    <n v="0"/>
    <s v="Prestar servicios profesionales para apoyar la evaluación, identificación y estructuración de acciones técnicas validadas para el acompañamiento permanente a entidades del orden nacional y regional, en zonas priorizadas con conflictos sociales para la con"/>
    <m/>
    <m/>
    <n v="55000000"/>
    <m/>
    <m/>
    <n v="4583333"/>
    <m/>
    <n v="5500000"/>
    <m/>
    <n v="5500000"/>
    <m/>
    <n v="5500000"/>
    <m/>
    <n v="5500000"/>
    <m/>
    <n v="5500000"/>
    <m/>
    <n v="5500000"/>
    <m/>
    <n v="5500000"/>
    <m/>
    <n v="5500000"/>
    <m/>
    <n v="6416667"/>
    <m/>
    <m/>
    <n v="55000000"/>
    <n v="55000000"/>
    <n v="0"/>
    <n v="0"/>
    <n v="38226"/>
    <d v="2026-01-15T00:00:00"/>
    <n v="55000000"/>
    <n v="0"/>
    <n v="46526"/>
    <d v="2026-02-05T00:00:00"/>
    <n v="55000000"/>
    <n v="0"/>
    <n v="0"/>
    <s v="CASTILLO RINCON NICOLAS ALONSO"/>
    <s v="CO1.PCCNTR.9255056"/>
    <m/>
    <m/>
    <m/>
    <n v="55000000"/>
    <m/>
    <m/>
    <m/>
    <n v="4583333"/>
    <n v="4583333"/>
    <m/>
    <n v="5500000"/>
    <n v="5500000"/>
    <m/>
    <m/>
    <m/>
    <m/>
    <m/>
    <m/>
    <m/>
    <m/>
    <m/>
    <m/>
    <m/>
    <m/>
    <m/>
    <m/>
    <m/>
    <m/>
    <m/>
    <m/>
    <m/>
    <m/>
    <m/>
    <m/>
    <m/>
    <m/>
    <n v="55000000"/>
    <n v="10083333"/>
    <n v="10083333"/>
    <n v="44916667"/>
    <n v="0"/>
    <x v="0"/>
  </r>
  <r>
    <x v="0"/>
    <x v="0"/>
    <s v="Fortalecimiento del levantamiento, gestión y apropiación de la información para la planeación del sector minero energético con enfoque territorial nacional"/>
    <s v="Enfoque Territorial"/>
    <s v="Sí"/>
    <s v="Sí"/>
    <n v="2"/>
    <s v="100-3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39 Prestar servicios profesionales para apoyar las convocatorias, socializaciones, análisis de información y la elaboración de informes técnicos requeridos, que contribuyan a la gestión y al fortalecimiento de la ejecución del proyecto de Enfoque Terr"/>
    <s v="Enero "/>
    <s v="Enero "/>
    <s v="Enero "/>
    <n v="11"/>
    <s v="Meses"/>
    <s v="Contratación directa - Prestación de servicios profesionales "/>
    <s v="Propios - 20 - Ingresos corrientes"/>
    <n v="42406220"/>
    <n v="42406220"/>
    <s v="N/A"/>
    <s v="N/A"/>
    <s v="Sandra Caballero"/>
    <s v="Asesora Dirección general"/>
    <n v="6012220601"/>
    <s v="sandra.caballero@upme.gov.co"/>
    <n v="0"/>
    <n v="0"/>
    <n v="42406220"/>
    <n v="0"/>
    <n v="0"/>
    <n v="5000000"/>
    <n v="0"/>
    <n v="6000000"/>
    <n v="0"/>
    <n v="6000000"/>
    <n v="0"/>
    <n v="6000000"/>
    <n v="0"/>
    <n v="6000000"/>
    <n v="0"/>
    <n v="6000000"/>
    <n v="0"/>
    <n v="6000000"/>
    <n v="0"/>
    <n v="1406220"/>
    <n v="0"/>
    <n v="0"/>
    <n v="0"/>
    <n v="0"/>
    <n v="42406220"/>
    <n v="42406220"/>
    <n v="0"/>
    <n v="0"/>
    <s v="Prestar servicios profesionales para apoyar las convocatorias, socializaciones, análisis de información y la elaboración de informes técnicos requeridos, que contribuyan a la gestión y al fortalecimiento de la ejecución del proyecto de Enfoque Territorial"/>
    <m/>
    <m/>
    <n v="42406220"/>
    <m/>
    <m/>
    <n v="5000000"/>
    <m/>
    <n v="6000000"/>
    <m/>
    <n v="6000000"/>
    <m/>
    <n v="6000000"/>
    <m/>
    <n v="6000000"/>
    <m/>
    <n v="6000000"/>
    <m/>
    <n v="6000000"/>
    <m/>
    <n v="1406220"/>
    <m/>
    <m/>
    <m/>
    <m/>
    <m/>
    <m/>
    <n v="42406220"/>
    <n v="42406220"/>
    <n v="0"/>
    <n v="0"/>
    <n v="27026"/>
    <d v="2026-01-14T00:00:00"/>
    <n v="42406220"/>
    <n v="0"/>
    <n v="60326"/>
    <d v="2026-02-17T00:00:00"/>
    <n v="42406220"/>
    <n v="0"/>
    <n v="0"/>
    <s v="GARZON VILLEGAS NATALIA ANDREA"/>
    <s v="CO1.PCCNTR.9214784"/>
    <m/>
    <m/>
    <m/>
    <n v="42406220"/>
    <m/>
    <m/>
    <m/>
    <m/>
    <m/>
    <m/>
    <n v="6000000"/>
    <n v="6000000"/>
    <m/>
    <m/>
    <m/>
    <m/>
    <m/>
    <m/>
    <m/>
    <m/>
    <m/>
    <m/>
    <m/>
    <m/>
    <m/>
    <m/>
    <m/>
    <m/>
    <m/>
    <m/>
    <m/>
    <m/>
    <m/>
    <m/>
    <m/>
    <m/>
    <n v="42406220"/>
    <n v="6000000"/>
    <n v="6000000"/>
    <n v="36406220"/>
    <n v="0"/>
    <x v="0"/>
  </r>
  <r>
    <x v="0"/>
    <x v="0"/>
    <s v="Fortalecimiento del levantamiento, gestión y apropiación de la información para la planeación del sector minero energético con enfoque territorial nacional"/>
    <s v="Enfoque Territorial"/>
    <s v="Sí"/>
    <s v="Sí"/>
    <n v="68"/>
    <s v="100-40"/>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0 Prestación de servicios profesionales para la identificación y evaluación de variables ambientales que inciden en la planeación y ejecución de proyectos de energías renovables que tengan relación con entidades nacionales y regionales."/>
    <s v="Enero "/>
    <s v="Enero "/>
    <s v="Enero "/>
    <n v="10"/>
    <s v="Meses"/>
    <s v="Contratación régimen especial (con ofertas)  - Régimen especial"/>
    <s v="Propios - 20 - Ingresos corrientes"/>
    <n v="55000000"/>
    <n v="55000000"/>
    <s v="N/A"/>
    <s v="N/A"/>
    <s v="Sandra Caballero"/>
    <s v="Asesora Dirección general"/>
    <n v="6012220601"/>
    <s v="sandra.caballero@upme.gov.co"/>
    <n v="0"/>
    <n v="0"/>
    <n v="55000000"/>
    <n v="0"/>
    <n v="0"/>
    <n v="4583333"/>
    <n v="0"/>
    <n v="5500000"/>
    <n v="0"/>
    <n v="5500000"/>
    <n v="0"/>
    <n v="5500000"/>
    <n v="0"/>
    <n v="5500000"/>
    <n v="0"/>
    <n v="5500000"/>
    <n v="0"/>
    <n v="5500000"/>
    <n v="0"/>
    <n v="5500000"/>
    <n v="0"/>
    <n v="5500000"/>
    <n v="0"/>
    <n v="6416667"/>
    <n v="55000000"/>
    <n v="55000000"/>
    <n v="0"/>
    <n v="0"/>
    <s v="Prestación de servicios profesionales para la identificación y evaluación de variables ambientales que inciden en la planeación y ejecución de proyectos de energías renovables que tengan relación con entidades nacionales y regionales."/>
    <m/>
    <m/>
    <n v="55000000"/>
    <m/>
    <m/>
    <n v="4583333"/>
    <m/>
    <n v="5500000"/>
    <m/>
    <n v="5500000"/>
    <m/>
    <n v="5500000"/>
    <m/>
    <n v="5500000"/>
    <m/>
    <n v="5500000"/>
    <m/>
    <n v="5500000"/>
    <m/>
    <n v="5500000"/>
    <m/>
    <n v="5500000"/>
    <m/>
    <n v="6416667"/>
    <m/>
    <m/>
    <n v="55000000"/>
    <n v="55000000"/>
    <n v="0"/>
    <n v="0"/>
    <n v="37726"/>
    <d v="2026-01-15T00:00:00"/>
    <n v="55000000"/>
    <n v="0"/>
    <m/>
    <m/>
    <n v="0"/>
    <n v="55000000"/>
    <n v="550000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41"/>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1 Prestar los servicios profesionales para apoyar las convocatorias, socializaciones y mesas de trabajo de los proyectos de energías renovables y convencionales, con enfoque social territorial."/>
    <s v="Enero "/>
    <s v="Enero "/>
    <s v="Enero "/>
    <n v="10"/>
    <s v="Meses"/>
    <s v="Contratación régimen especial (con ofertas)  - Régimen especial"/>
    <s v="Propios - 20 - Ingresos corrientes"/>
    <n v="50000000"/>
    <n v="50000000"/>
    <s v="N/A"/>
    <s v="N/A"/>
    <s v="Sandra Caballero"/>
    <s v="Asesora Dirección general"/>
    <n v="6012220601"/>
    <s v="sandra.caballero@upme.gov.co"/>
    <n v="0"/>
    <n v="0"/>
    <n v="50000000"/>
    <n v="0"/>
    <n v="0"/>
    <n v="2956905"/>
    <n v="0"/>
    <n v="3285450"/>
    <n v="0"/>
    <n v="3285450"/>
    <n v="0"/>
    <n v="3285450"/>
    <n v="0"/>
    <n v="3285450"/>
    <n v="0"/>
    <n v="3285450"/>
    <n v="0"/>
    <n v="3285450"/>
    <n v="0"/>
    <n v="3285450"/>
    <n v="0"/>
    <n v="3285450"/>
    <n v="0"/>
    <n v="20759495"/>
    <n v="50000000"/>
    <n v="50000000"/>
    <n v="0"/>
    <n v="0"/>
    <s v="Prestar los servicios profesionales para apoyar las convocatorias, socializaciones y mesas de trabajo de los proyectos de energías renovables y convencionales, con enfoque social territorial."/>
    <m/>
    <m/>
    <n v="50000000"/>
    <m/>
    <m/>
    <n v="2956905"/>
    <m/>
    <n v="3285450"/>
    <m/>
    <n v="3285450"/>
    <m/>
    <n v="3285450"/>
    <m/>
    <n v="3285450"/>
    <m/>
    <n v="3285450"/>
    <m/>
    <n v="3285450"/>
    <m/>
    <n v="3285450"/>
    <m/>
    <n v="3285450"/>
    <m/>
    <n v="20759495"/>
    <m/>
    <m/>
    <n v="50000000"/>
    <n v="50000000"/>
    <n v="0"/>
    <n v="0"/>
    <n v="33926"/>
    <d v="2026-01-15T00:00:00"/>
    <n v="50000000"/>
    <n v="0"/>
    <n v="60126"/>
    <d v="2026-02-16T00:00:00"/>
    <n v="32854500"/>
    <n v="17145500"/>
    <n v="17145500"/>
    <s v="HURTADO CACERES ERIKA LORENA"/>
    <s v="CO1.PCCNTR.9298684"/>
    <m/>
    <m/>
    <m/>
    <n v="32854500"/>
    <m/>
    <m/>
    <m/>
    <n v="1533210"/>
    <n v="1533210"/>
    <m/>
    <n v="3285450"/>
    <n v="3285450"/>
    <m/>
    <m/>
    <m/>
    <m/>
    <m/>
    <m/>
    <m/>
    <m/>
    <m/>
    <m/>
    <m/>
    <m/>
    <m/>
    <m/>
    <m/>
    <m/>
    <m/>
    <m/>
    <m/>
    <m/>
    <m/>
    <m/>
    <m/>
    <m/>
    <n v="32854500"/>
    <n v="4818660"/>
    <n v="4818660"/>
    <n v="28035840"/>
    <n v="0"/>
    <x v="0"/>
  </r>
  <r>
    <x v="0"/>
    <x v="0"/>
    <s v="Fortalecimiento del levantamiento, gestión y apropiación de la información para la planeación del sector minero energético con enfoque territorial nacional"/>
    <s v="Enfoque Territorial"/>
    <s v="No"/>
    <s v="Sí"/>
    <n v="1"/>
    <s v="100-42"/>
    <s v="Incluir el uso de las particularidades propias de cada territorio en la planeación minero energética."/>
    <s v="Documentos Metodológicos"/>
    <s v="Definir e implementar lineamientos articulados de gestión institucional con enfoque territorial ambiental y social."/>
    <s v="N/A"/>
    <s v="C-2106-1900-10-53105E-2106005-02"/>
    <s v="Viáticos o gastos de desplazamiento"/>
    <s v="100-42 Viáticos o gastos de desplazamiento"/>
    <s v="N/A"/>
    <s v="N/A"/>
    <s v="N/A"/>
    <s v="N/A"/>
    <s v="N/A"/>
    <s v="N/A"/>
    <s v="Propios - 20 - Ingresos corrientes"/>
    <n v="75774936"/>
    <n v="75774936"/>
    <s v="N/A"/>
    <s v="N/A"/>
    <s v="Sandra Caballero"/>
    <s v="Asesora Dirección general"/>
    <n v="6012220601"/>
    <s v="sandra.caballero@upme.gov.co"/>
    <n v="0"/>
    <n v="0"/>
    <n v="5000000"/>
    <n v="5000000"/>
    <n v="5000000"/>
    <n v="5000000"/>
    <n v="5000000"/>
    <n v="5000000"/>
    <n v="5000000"/>
    <n v="5000000"/>
    <n v="5000000"/>
    <n v="5000000"/>
    <n v="5000000"/>
    <n v="5000000"/>
    <n v="10000000"/>
    <n v="10000000"/>
    <n v="10000000"/>
    <n v="10000000"/>
    <n v="10000000"/>
    <n v="10000000"/>
    <n v="10000000"/>
    <n v="10000000"/>
    <n v="5774936"/>
    <n v="5774936"/>
    <n v="75774936"/>
    <n v="75774936"/>
    <n v="0"/>
    <n v="0"/>
    <s v="Viáticos o gastos de desplazamiento"/>
    <m/>
    <m/>
    <n v="5000000"/>
    <n v="5000000"/>
    <n v="5000000"/>
    <n v="5000000"/>
    <n v="5000000"/>
    <n v="5000000"/>
    <n v="5000000"/>
    <n v="5000000"/>
    <n v="5000000"/>
    <n v="5000000"/>
    <n v="5000000"/>
    <n v="5000000"/>
    <n v="10000000"/>
    <n v="10000000"/>
    <n v="10000000"/>
    <n v="10000000"/>
    <n v="10000000"/>
    <n v="10000000"/>
    <n v="10000000"/>
    <n v="10000000"/>
    <n v="5774936"/>
    <n v="5774936"/>
    <m/>
    <m/>
    <n v="75774936"/>
    <n v="75774936"/>
    <n v="0"/>
    <n v="0"/>
    <n v="68826"/>
    <d v="2026-02-02T00:00:00"/>
    <n v="75774936"/>
    <n v="0"/>
    <s v="45526, 55826, 56026, 56326, 56426, 56526, 57926, 45926, 61026, 61526, 61726, 62226,64326,67326,67426,69426,69526,69626,70326,70826,71626,71726,72126,72226,72926,73226,73526,73926"/>
    <s v="05/02/2026, 10/02/2026, 25/02/2026, 26/02/2026, 27/02/2026,01/04/2026"/>
    <n v="30019433"/>
    <n v="45755503"/>
    <n v="45755503"/>
    <s v="MORENO PLATA KAREN JULIETH,PORTOCARRERO OSPINA INDIRA CRISTINA,GALVIS FAYAD JOSHUA CALEM,QUINTERO CAMACHO WILSON, LARRARTE ARANGO MOISES RAFAEL,MORENO PLATA KAREN JULIETH,PORTOCARRERO OSPINA INDIRA CRISTINA,GOMEZ CHINCHILLA NATHALIA,PORTOCARRERO OSPINA IN"/>
    <m/>
    <m/>
    <m/>
    <m/>
    <n v="16374908"/>
    <n v="11908431"/>
    <n v="11908431"/>
    <n v="931157"/>
    <n v="3310736"/>
    <n v="3310736"/>
    <n v="12713368"/>
    <n v="7558198"/>
    <n v="7558198"/>
    <m/>
    <m/>
    <m/>
    <m/>
    <m/>
    <m/>
    <m/>
    <m/>
    <m/>
    <m/>
    <m/>
    <m/>
    <m/>
    <m/>
    <m/>
    <m/>
    <m/>
    <m/>
    <m/>
    <m/>
    <m/>
    <m/>
    <m/>
    <m/>
    <n v="30019433"/>
    <n v="22777365"/>
    <n v="22777365"/>
    <n v="7242068"/>
    <n v="0"/>
    <x v="0"/>
  </r>
  <r>
    <x v="0"/>
    <x v="0"/>
    <s v="Fortalecimiento del levantamiento, gestión y apropiación de la información para la planeación del sector minero energético con enfoque territorial nacional"/>
    <s v="Enfoque Territorial"/>
    <s v="Sí"/>
    <s v="Sí"/>
    <n v="68"/>
    <s v="100-43"/>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3 Prestar servicios profesionales para apoyar la planeación, convocatoria y desarrollo de espacios participativos con entidades nacionales y regionales vinculadas a proyectos energéticos, incluyendo la articulación con comunidades, contribuyendo a la"/>
    <s v="Enero "/>
    <s v="Enero "/>
    <s v="Enero "/>
    <n v="10"/>
    <s v="Meses"/>
    <s v="Contratación directa - Prestación de servicios profesionales "/>
    <s v="Propios - 20 - Ingresos corrientes"/>
    <n v="60000000"/>
    <n v="60000000"/>
    <s v="N/A"/>
    <s v="N/A"/>
    <s v="Sandra Caballero"/>
    <s v="Asesora Dirección general"/>
    <n v="6012220601"/>
    <s v="sandra.caballero@upme.gov.co"/>
    <n v="0"/>
    <n v="0"/>
    <n v="60000000"/>
    <n v="0"/>
    <n v="0"/>
    <n v="5000000"/>
    <n v="0"/>
    <n v="6000000"/>
    <n v="0"/>
    <n v="6000000"/>
    <n v="0"/>
    <n v="6000000"/>
    <n v="0"/>
    <n v="6000000"/>
    <n v="0"/>
    <n v="6000000"/>
    <n v="0"/>
    <n v="6000000"/>
    <n v="0"/>
    <n v="6000000"/>
    <n v="0"/>
    <n v="6000000"/>
    <n v="0"/>
    <n v="7000000"/>
    <n v="60000000"/>
    <n v="60000000"/>
    <n v="0"/>
    <n v="0"/>
    <s v="Prestar servicios profesionales para apoyar la planeación, convocatoria y desarrollo de espacios participativos con entidades nacionales y regionales vinculadas a proyectos energéticos, incluyendo la articulación con comunidades, contribuyendo a la sistem"/>
    <m/>
    <m/>
    <n v="60000000"/>
    <m/>
    <m/>
    <n v="5000000"/>
    <m/>
    <n v="6000000"/>
    <m/>
    <n v="6000000"/>
    <m/>
    <n v="6000000"/>
    <m/>
    <n v="6000000"/>
    <m/>
    <n v="6000000"/>
    <m/>
    <n v="6000000"/>
    <m/>
    <n v="6000000"/>
    <m/>
    <n v="6000000"/>
    <m/>
    <n v="7000000"/>
    <m/>
    <m/>
    <n v="60000000"/>
    <n v="60000000"/>
    <n v="0"/>
    <n v="0"/>
    <n v="37326"/>
    <d v="2026-01-15T00:00:00"/>
    <n v="60000000"/>
    <n v="0"/>
    <n v="42626"/>
    <d v="2026-02-05T00:00:00"/>
    <n v="60000000"/>
    <n v="0"/>
    <n v="0"/>
    <s v="TEJEDOR CASSIANI NORABIS ESTHER"/>
    <s v="CO1.PCCNTR.9267401"/>
    <m/>
    <m/>
    <m/>
    <n v="60000000"/>
    <m/>
    <m/>
    <m/>
    <n v="5200000"/>
    <n v="5200000"/>
    <m/>
    <n v="6000000"/>
    <n v="6000000"/>
    <m/>
    <m/>
    <m/>
    <m/>
    <m/>
    <m/>
    <m/>
    <m/>
    <m/>
    <m/>
    <m/>
    <m/>
    <m/>
    <m/>
    <m/>
    <m/>
    <m/>
    <m/>
    <m/>
    <m/>
    <m/>
    <m/>
    <m/>
    <m/>
    <n v="60000000"/>
    <n v="11200000"/>
    <n v="11200000"/>
    <n v="48800000"/>
    <n v="0"/>
    <x v="0"/>
  </r>
  <r>
    <x v="0"/>
    <x v="0"/>
    <s v="Fortalecimiento del levantamiento, gestión y apropiación de la información para la planeación del sector minero energético con enfoque territorial nacional"/>
    <s v="Enfoque Territorial"/>
    <s v="Sí"/>
    <s v="Sí"/>
    <n v="68"/>
    <s v="100-44"/>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4 Prestar servicios profesionales para el apoyo logístico, metodológico y de seguimiento a las convocatorias y talleres participativos con entidades del orden nacional y territorial, orientados a la construcción de rutas de acompañamiento institucion"/>
    <s v="Enero "/>
    <s v="Enero "/>
    <s v="Enero "/>
    <s v="10.5"/>
    <s v="Meses"/>
    <s v="Contratación directa - Prestación de servicios profesionales "/>
    <s v="Propios - 20 - Ingresos corrientes"/>
    <n v="55000000"/>
    <n v="55000000"/>
    <s v="N/A"/>
    <s v="N/A"/>
    <s v="Sandra Caballero"/>
    <s v="Asesora Dirección general"/>
    <n v="6012220601"/>
    <s v="sandra.caballero@upme.gov.co"/>
    <n v="52500000"/>
    <n v="0"/>
    <n v="0"/>
    <n v="1666666"/>
    <n v="0"/>
    <n v="5000000"/>
    <n v="0"/>
    <n v="5000000"/>
    <n v="0"/>
    <n v="5000000"/>
    <n v="0"/>
    <n v="5000000"/>
    <n v="2500000"/>
    <n v="5000000"/>
    <n v="0"/>
    <n v="5000000"/>
    <n v="0"/>
    <n v="5000000"/>
    <n v="0"/>
    <n v="5000000"/>
    <n v="0"/>
    <n v="5000000"/>
    <n v="0"/>
    <n v="8333334"/>
    <n v="55000000"/>
    <n v="55000000"/>
    <n v="0"/>
    <n v="0"/>
    <s v="Prestar servicios profesionales para el apoyo logístico, metodológico y de seguimiento a las convocatorias y talleres participativos con entidades del orden nacional y territorial, orientados a la construcción de rutas de acompañamiento institucional, la "/>
    <n v="52500000"/>
    <m/>
    <m/>
    <n v="1666666"/>
    <m/>
    <n v="5000000"/>
    <m/>
    <n v="5000000"/>
    <m/>
    <n v="5000000"/>
    <m/>
    <n v="5000000"/>
    <n v="2500000"/>
    <n v="5000000"/>
    <m/>
    <n v="5000000"/>
    <m/>
    <n v="5000000"/>
    <m/>
    <n v="5000000"/>
    <m/>
    <n v="5000000"/>
    <m/>
    <n v="8333334"/>
    <m/>
    <m/>
    <n v="55000000"/>
    <n v="55000000"/>
    <n v="0"/>
    <n v="0"/>
    <n v="7826"/>
    <d v="2026-01-06T00:00:00"/>
    <n v="55000000"/>
    <n v="0"/>
    <n v="14826"/>
    <d v="2026-01-21T00:00:00"/>
    <n v="52500000"/>
    <n v="2500000"/>
    <n v="2500000"/>
    <s v="CARMONA GIRALDO NATALI"/>
    <s v="CO1.PCCNTR.8946959"/>
    <n v="52500000"/>
    <m/>
    <m/>
    <m/>
    <m/>
    <m/>
    <m/>
    <n v="6500000"/>
    <n v="6500000"/>
    <m/>
    <n v="5000000"/>
    <n v="5000000"/>
    <m/>
    <m/>
    <m/>
    <m/>
    <m/>
    <m/>
    <m/>
    <m/>
    <m/>
    <m/>
    <m/>
    <m/>
    <m/>
    <m/>
    <m/>
    <m/>
    <m/>
    <m/>
    <m/>
    <m/>
    <m/>
    <m/>
    <m/>
    <m/>
    <n v="52500000"/>
    <n v="11500000"/>
    <n v="11500000"/>
    <n v="41000000"/>
    <n v="0"/>
    <x v="0"/>
  </r>
  <r>
    <x v="0"/>
    <x v="0"/>
    <s v="Fortalecimiento del levantamiento, gestión y apropiación de la información para la planeación del sector minero energético con enfoque territorial nacional"/>
    <s v="Enfoque Territorial"/>
    <s v="Sí"/>
    <s v="Sí"/>
    <n v="4"/>
    <s v="100-45"/>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5 Prestar servicios profesionales para el desarrollo del procedimiento de gestión contractual de la Unidad de Planeación Minero Energética con énfasis en el proyecto “Fortalecimiento del Levantamiento, Gestión y Apropiación de la Información Para La "/>
    <s v="Enero "/>
    <s v="Enero "/>
    <s v="Enero "/>
    <n v="6"/>
    <s v="Meses"/>
    <s v="Contratación directa - Prestación de servicios profesionales "/>
    <s v="Propios - 20 - Ingresos corrientes"/>
    <n v="36000000"/>
    <n v="36000000"/>
    <s v="N/A"/>
    <s v="N/A"/>
    <s v="Sandra Caballero"/>
    <s v="Asesora Dirección general"/>
    <n v="6012220601"/>
    <s v="edith.chavez@upme.gov.co"/>
    <n v="36000000"/>
    <n v="0"/>
    <n v="0"/>
    <n v="1400000"/>
    <n v="0"/>
    <n v="6000000"/>
    <n v="0"/>
    <n v="6000000"/>
    <n v="0"/>
    <n v="6000000"/>
    <n v="0"/>
    <n v="6000000"/>
    <n v="0"/>
    <n v="6000000"/>
    <n v="0"/>
    <n v="4600000"/>
    <n v="0"/>
    <n v="0"/>
    <n v="0"/>
    <n v="0"/>
    <n v="0"/>
    <n v="0"/>
    <n v="0"/>
    <n v="0"/>
    <n v="36000000"/>
    <n v="36000000"/>
    <n v="0"/>
    <n v="0"/>
    <s v="Prestar servicios profesionales para el desarrollo del procedimiento de gestión contractual de la Unidad de Planeación Minero Energética con énfasis en el proyecto “Fortalecimiento del Levantamiento, Gestión y Apropiación de la Información Para La Planeac"/>
    <n v="36000000"/>
    <m/>
    <m/>
    <n v="1400000"/>
    <m/>
    <n v="6000000"/>
    <m/>
    <n v="6000000"/>
    <m/>
    <n v="6000000"/>
    <m/>
    <n v="6000000"/>
    <m/>
    <n v="6000000"/>
    <m/>
    <n v="4600000"/>
    <m/>
    <m/>
    <m/>
    <m/>
    <m/>
    <m/>
    <m/>
    <m/>
    <m/>
    <m/>
    <n v="36000000"/>
    <n v="36000000"/>
    <n v="0"/>
    <n v="0"/>
    <n v="45226"/>
    <d v="2026-01-17T00:00:00"/>
    <n v="36000000"/>
    <n v="0"/>
    <n v="19026"/>
    <d v="2026-01-24T00:00:00"/>
    <n v="36000000"/>
    <n v="0"/>
    <n v="0"/>
    <s v="VERA ARGUELLES SANTOS ELIECER"/>
    <s v="CO1.PCCNTR.9013514"/>
    <n v="36000000"/>
    <m/>
    <m/>
    <m/>
    <n v="1000000"/>
    <n v="1000000"/>
    <m/>
    <n v="6000000"/>
    <n v="6000000"/>
    <m/>
    <n v="6000000"/>
    <n v="6000000"/>
    <m/>
    <m/>
    <m/>
    <m/>
    <m/>
    <m/>
    <m/>
    <m/>
    <m/>
    <m/>
    <m/>
    <m/>
    <m/>
    <m/>
    <m/>
    <m/>
    <m/>
    <m/>
    <m/>
    <m/>
    <m/>
    <m/>
    <m/>
    <m/>
    <n v="36000000"/>
    <n v="13000000"/>
    <n v="13000000"/>
    <n v="23000000"/>
    <n v="0"/>
    <x v="0"/>
  </r>
  <r>
    <x v="0"/>
    <x v="0"/>
    <s v="Fortalecimiento del levantamiento, gestión y apropiación de la información para la planeación del sector minero energético con enfoque territorial nacional"/>
    <s v="Enfoque Territorial"/>
    <s v="Sí"/>
    <s v="Sí"/>
    <n v="68"/>
    <s v="100-46"/>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6 Prestar los servicios profesionales para apoyar de manera integral el proceso de liquidación y gestión de la nómina de la UPME, incluyendo la elaboración de retroactivos, seguridad social, consolidación de la información, pago de acreencias laboral"/>
    <s v="Enero "/>
    <s v="Enero "/>
    <s v="Enero "/>
    <n v="11"/>
    <s v="Meses"/>
    <s v="Contratación directa - Prestación de servicios profesionales "/>
    <s v="Propios - 20 - Ingresos corrientes"/>
    <n v="88000000"/>
    <n v="88000000"/>
    <s v="N/A"/>
    <s v="N/A"/>
    <s v="Sandra Caballero"/>
    <s v="Asesora Dirección general"/>
    <n v="6012220601"/>
    <s v="katherin.perez@upme.gov.co"/>
    <n v="88000000"/>
    <n v="0"/>
    <n v="0"/>
    <n v="800000"/>
    <n v="0"/>
    <n v="8000000"/>
    <n v="0"/>
    <n v="8000000"/>
    <n v="0"/>
    <n v="8000000"/>
    <n v="0"/>
    <n v="8000000"/>
    <n v="0"/>
    <n v="8000000"/>
    <n v="0"/>
    <n v="8000000"/>
    <n v="0"/>
    <n v="8000000"/>
    <n v="0"/>
    <n v="8000000"/>
    <n v="0"/>
    <n v="8000000"/>
    <n v="0"/>
    <n v="15200000"/>
    <n v="88000000"/>
    <n v="88000000"/>
    <n v="0"/>
    <n v="0"/>
    <s v="Prestar los servicios profesionales para apoyar de manera integral el proceso de liquidación y gestión de la nómina de la UPME, incluyendo la elaboración de retroactivos, seguridad social, consolidación de la información, pago de acreencias laborales y de"/>
    <n v="88000000"/>
    <m/>
    <m/>
    <n v="800000"/>
    <m/>
    <n v="8000000"/>
    <m/>
    <n v="8000000"/>
    <m/>
    <n v="8000000"/>
    <m/>
    <n v="8000000"/>
    <m/>
    <n v="8000000"/>
    <m/>
    <n v="8000000"/>
    <m/>
    <n v="8000000"/>
    <m/>
    <n v="8000000"/>
    <m/>
    <n v="8000000"/>
    <m/>
    <n v="15200000"/>
    <m/>
    <m/>
    <n v="88000000"/>
    <n v="88000000"/>
    <n v="0"/>
    <n v="0"/>
    <n v="13326"/>
    <d v="2026-01-08T00:00:00"/>
    <n v="88000000"/>
    <n v="0"/>
    <n v="25926"/>
    <d v="2026-01-28T00:00:00"/>
    <n v="88000000"/>
    <n v="0"/>
    <n v="0"/>
    <s v="BOJACA BARRETO NELSON ALEJANDRO"/>
    <s v="CO1.PCCNTR.9108450"/>
    <n v="88000000"/>
    <m/>
    <m/>
    <m/>
    <m/>
    <m/>
    <m/>
    <n v="8533333"/>
    <n v="8533333"/>
    <m/>
    <n v="8000000"/>
    <n v="8000000"/>
    <m/>
    <m/>
    <m/>
    <m/>
    <m/>
    <m/>
    <m/>
    <m/>
    <m/>
    <m/>
    <m/>
    <m/>
    <m/>
    <m/>
    <m/>
    <m/>
    <m/>
    <m/>
    <m/>
    <m/>
    <m/>
    <m/>
    <m/>
    <m/>
    <n v="88000000"/>
    <n v="16533333"/>
    <n v="16533333"/>
    <n v="71466667"/>
    <n v="0"/>
    <x v="0"/>
  </r>
  <r>
    <x v="0"/>
    <x v="0"/>
    <s v="Fortalecimiento del levantamiento, gestión y apropiación de la información para la planeación del sector minero energético con enfoque territorial nacional"/>
    <s v="Enfoque Territorial"/>
    <s v="Sí"/>
    <s v="Sí"/>
    <n v="68"/>
    <s v="100-4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7 Prestar servicios profesionales para apoyar la evaluación, identificación y estructuración de acciones técnicas validadas para el acompañamiento permanente a entidades del orden nacional y regional con incidencia en la puesta en operación de proyec"/>
    <s v="Enero "/>
    <s v="Enero "/>
    <s v="Enero "/>
    <n v="11"/>
    <s v="Meses"/>
    <s v="Contratación directa - Prestación de servicios profesionales "/>
    <s v="Propios - 20 - Ingresos corrientes"/>
    <n v="50000000"/>
    <n v="50000000"/>
    <s v="N/A"/>
    <s v="N/A"/>
    <s v="Sandra Caballero"/>
    <s v="Asesora Dirección general"/>
    <n v="6012220601"/>
    <s v="sandra.caballero@upme.gov.co"/>
    <n v="0"/>
    <n v="0"/>
    <n v="50000000"/>
    <n v="0"/>
    <n v="0"/>
    <n v="4166666"/>
    <n v="0"/>
    <n v="5000000"/>
    <n v="0"/>
    <n v="5000000"/>
    <n v="0"/>
    <n v="5000000"/>
    <n v="0"/>
    <n v="5000000"/>
    <n v="0"/>
    <n v="5000000"/>
    <n v="0"/>
    <n v="5000000"/>
    <n v="0"/>
    <n v="5000000"/>
    <n v="0"/>
    <n v="5000000"/>
    <n v="0"/>
    <n v="5833334"/>
    <n v="50000000"/>
    <n v="50000000"/>
    <n v="0"/>
    <n v="0"/>
    <s v="Prestar servicios profesionales para apoyar la evaluación, identificación y estructuración de acciones técnicas validadas para el acompañamiento permanente a entidades del orden nacional y regional con incidencia en la puesta en operación de proyectos de "/>
    <m/>
    <m/>
    <n v="50000000"/>
    <m/>
    <m/>
    <n v="4166666"/>
    <m/>
    <n v="5000000"/>
    <m/>
    <n v="5000000"/>
    <m/>
    <n v="5000000"/>
    <m/>
    <n v="5000000"/>
    <m/>
    <n v="5000000"/>
    <m/>
    <n v="5000000"/>
    <m/>
    <n v="5000000"/>
    <m/>
    <n v="5000000"/>
    <m/>
    <n v="5833334"/>
    <m/>
    <m/>
    <n v="50000000"/>
    <n v="50000000"/>
    <n v="0"/>
    <n v="0"/>
    <n v="37226"/>
    <d v="2026-01-15T00:00:00"/>
    <n v="50000000"/>
    <n v="0"/>
    <n v="44626"/>
    <d v="2026-02-05T00:00:00"/>
    <n v="50000000"/>
    <n v="0"/>
    <n v="0"/>
    <s v="ROMERO SERRANO DIEGO RAUL"/>
    <s v="CO1.PCCNTR.9225376"/>
    <m/>
    <m/>
    <m/>
    <n v="50000000"/>
    <m/>
    <m/>
    <m/>
    <n v="4166667"/>
    <n v="4166667"/>
    <m/>
    <n v="5000000"/>
    <n v="5000000"/>
    <m/>
    <m/>
    <m/>
    <m/>
    <m/>
    <m/>
    <m/>
    <m/>
    <m/>
    <m/>
    <m/>
    <m/>
    <m/>
    <m/>
    <m/>
    <m/>
    <m/>
    <m/>
    <m/>
    <m/>
    <m/>
    <m/>
    <m/>
    <m/>
    <n v="50000000"/>
    <n v="9166667"/>
    <n v="9166667"/>
    <n v="40833333"/>
    <n v="0"/>
    <x v="0"/>
  </r>
  <r>
    <x v="0"/>
    <x v="0"/>
    <s v="Fortalecimiento del levantamiento, gestión y apropiación de la información para la planeación del sector minero energético con enfoque territorial nacional"/>
    <s v="Enfoque Territorial"/>
    <s v="Sí"/>
    <s v="Sí"/>
    <n v="68"/>
    <s v="100-4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8 Prestar servicios profesionales para apoyar al equipo de Enfoque Territorial en actividades técnicas y administrativas relacionadas con la articulación intra e intersectorial para la planeación minero-energética, así como el análisis institucional,"/>
    <s v="Enero "/>
    <s v="Enero "/>
    <s v="Enero "/>
    <n v="11"/>
    <s v="Meses"/>
    <s v="Contratación directa - Prestación de servicios profesionales "/>
    <s v="Propios - 20 - Ingresos corrientes"/>
    <n v="55000000"/>
    <n v="55000000"/>
    <s v="N/A"/>
    <s v="N/A"/>
    <s v="Sandra Caballero"/>
    <s v="Asesora Dirección general"/>
    <n v="6012220601"/>
    <s v="sandra.caballero@upme.gov.co"/>
    <n v="0"/>
    <n v="0"/>
    <n v="55000000"/>
    <n v="0"/>
    <n v="0"/>
    <n v="3791060"/>
    <n v="0"/>
    <n v="4374300"/>
    <n v="0"/>
    <n v="4374300"/>
    <n v="0"/>
    <n v="4374300"/>
    <n v="0"/>
    <n v="4374300"/>
    <n v="0"/>
    <n v="4374300"/>
    <n v="0"/>
    <n v="4374300"/>
    <n v="0"/>
    <n v="4374300"/>
    <n v="0"/>
    <n v="4374300"/>
    <n v="0"/>
    <n v="16214540"/>
    <n v="55000000"/>
    <n v="55000000"/>
    <n v="0"/>
    <n v="0"/>
    <s v="Prestar servicios profesionales para apoyar al equipo de Enfoque Territorial en actividades técnicas y administrativas relacionadas con la articulación intra e intersectorial para la planeación minero-energética, así como el análisis institucional, sistem"/>
    <m/>
    <m/>
    <n v="55000000"/>
    <m/>
    <m/>
    <n v="3791060"/>
    <m/>
    <n v="4374300"/>
    <m/>
    <n v="4374300"/>
    <m/>
    <n v="4374300"/>
    <m/>
    <n v="4374300"/>
    <m/>
    <n v="4374300"/>
    <m/>
    <n v="4374300"/>
    <m/>
    <n v="4374300"/>
    <m/>
    <n v="4374300"/>
    <m/>
    <n v="16214540"/>
    <m/>
    <m/>
    <n v="55000000"/>
    <n v="55000000"/>
    <n v="0"/>
    <n v="0"/>
    <n v="37026"/>
    <d v="2026-01-15T00:00:00"/>
    <n v="55000000"/>
    <n v="0"/>
    <n v="55626"/>
    <d v="2026-02-10T00:00:00"/>
    <n v="48117300"/>
    <n v="6882700"/>
    <n v="6882700"/>
    <s v="ACOSTA VERGARA JUAN MANUEL"/>
    <s v="CO1.PCCNTR.9277453"/>
    <m/>
    <m/>
    <m/>
    <n v="48117300"/>
    <m/>
    <m/>
    <m/>
    <n v="3062010"/>
    <n v="3062010"/>
    <m/>
    <m/>
    <m/>
    <m/>
    <m/>
    <m/>
    <m/>
    <m/>
    <m/>
    <m/>
    <m/>
    <m/>
    <m/>
    <m/>
    <m/>
    <m/>
    <m/>
    <m/>
    <m/>
    <m/>
    <m/>
    <m/>
    <m/>
    <m/>
    <m/>
    <m/>
    <m/>
    <n v="48117300"/>
    <n v="3062010"/>
    <n v="3062010"/>
    <n v="45055290"/>
    <n v="0"/>
    <x v="0"/>
  </r>
  <r>
    <x v="0"/>
    <x v="0"/>
    <s v="Fortalecimiento del levantamiento, gestión y apropiación de la información para la planeación del sector minero energético con enfoque territorial nacional"/>
    <s v="Enfoque Territorial"/>
    <s v="Sí"/>
    <s v="Sí"/>
    <n v="68"/>
    <s v="100-4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49 Prestar servicios profesionales de apoyo al seguimiento y análisis de los indicadores operativos del Plan Estratégico Institucional, orientados al cumplimiento de los objetivos del Proyecto Enfoque Territorial, así como en la consolidación de infor"/>
    <s v="Enero "/>
    <s v="Enero "/>
    <s v="Enero "/>
    <n v="11"/>
    <s v="Meses"/>
    <s v="Contratación directa - Prestación de servicios profesionales "/>
    <s v="Propios - 20 - Ingresos corrientes"/>
    <n v="49500000"/>
    <n v="49500000"/>
    <s v="N/A"/>
    <s v="N/A"/>
    <s v="Sandra Caballero"/>
    <s v="Asesora Dirección general"/>
    <n v="6012220601"/>
    <s v="sandra.caballero@upme.gov.co"/>
    <n v="0"/>
    <n v="0"/>
    <n v="49500000"/>
    <n v="0"/>
    <n v="0"/>
    <n v="3146730"/>
    <n v="0"/>
    <n v="3630900"/>
    <n v="0"/>
    <n v="3630900"/>
    <n v="0"/>
    <n v="3630900"/>
    <n v="0"/>
    <n v="3630900"/>
    <n v="0"/>
    <n v="3630900"/>
    <n v="0"/>
    <n v="3630900"/>
    <n v="0"/>
    <n v="3630900"/>
    <n v="0"/>
    <n v="3630900"/>
    <n v="0"/>
    <n v="17306070"/>
    <n v="49500000"/>
    <n v="49500000"/>
    <n v="0"/>
    <n v="0"/>
    <s v="Prestar servicios profesionales de apoyo al seguimiento y análisis de los indicadores operativos del Plan Estratégico Institucional, orientados al cumplimiento de los objetivos del Proyecto Enfoque Territorial, así como en la consolidación de informes téc"/>
    <m/>
    <m/>
    <n v="49500000"/>
    <m/>
    <m/>
    <n v="3146730"/>
    <m/>
    <n v="3630900"/>
    <m/>
    <n v="3630900"/>
    <m/>
    <n v="3630900"/>
    <m/>
    <n v="3630900"/>
    <m/>
    <n v="3630900"/>
    <m/>
    <n v="3630900"/>
    <m/>
    <n v="3630900"/>
    <m/>
    <n v="3630900"/>
    <m/>
    <n v="17306070"/>
    <m/>
    <m/>
    <n v="49500000"/>
    <n v="49500000"/>
    <n v="0"/>
    <n v="0"/>
    <n v="36826"/>
    <d v="2026-01-15T00:00:00"/>
    <n v="49500000"/>
    <n v="0"/>
    <n v="41226"/>
    <d v="2026-02-04T00:00:00"/>
    <n v="39939900"/>
    <n v="9560100"/>
    <n v="9560100"/>
    <s v="ROA PAEZ JUAN PABLO"/>
    <s v="CO1.PCCNTR.9281317"/>
    <m/>
    <m/>
    <m/>
    <n v="39939900"/>
    <m/>
    <m/>
    <m/>
    <n v="3146780"/>
    <n v="3146780"/>
    <m/>
    <n v="3630900"/>
    <n v="3630900"/>
    <m/>
    <m/>
    <m/>
    <m/>
    <m/>
    <m/>
    <m/>
    <m/>
    <m/>
    <m/>
    <m/>
    <m/>
    <m/>
    <m/>
    <m/>
    <m/>
    <m/>
    <m/>
    <m/>
    <m/>
    <m/>
    <m/>
    <m/>
    <m/>
    <n v="39939900"/>
    <n v="6777680"/>
    <n v="6777680"/>
    <n v="33162220"/>
    <n v="0"/>
    <x v="0"/>
  </r>
  <r>
    <x v="0"/>
    <x v="0"/>
    <s v="Fortalecimiento del levantamiento, gestión y apropiación de la información para la planeación del sector minero energético con enfoque territorial nacional"/>
    <s v="Enfoque Territorial"/>
    <s v="Sí"/>
    <s v="Sí"/>
    <n v="22"/>
    <s v="100-50"/>
    <s v="Incluir el uso de las particularidades propias de cada territorio en la planeación minero energética."/>
    <s v="Documentos Metodológicos"/>
    <s v="Definir e implementar lineamientos articulados de gestión institucional con enfoque territorial ambiental y social."/>
    <s v="43201800;43233405;43212201"/>
    <s v="C-2106-1900-10-53105E-2106005-02"/>
    <s v="Hardware (Equipos de computo o partes físicas)"/>
    <s v="100-50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55000000"/>
    <n v="55000000"/>
    <s v="N/A"/>
    <s v="N/A"/>
    <s v="Sandra Caballero"/>
    <s v="Asesora Dirección general"/>
    <n v="6012220601"/>
    <s v="sandra.caballero@upme.gov.co"/>
    <n v="0"/>
    <n v="0"/>
    <n v="0"/>
    <n v="0"/>
    <n v="0"/>
    <n v="0"/>
    <n v="0"/>
    <n v="0"/>
    <n v="0"/>
    <n v="0"/>
    <n v="0"/>
    <n v="0"/>
    <n v="55000000"/>
    <n v="0"/>
    <n v="0"/>
    <n v="0"/>
    <n v="0"/>
    <n v="0"/>
    <n v="0"/>
    <n v="0"/>
    <n v="0"/>
    <n v="0"/>
    <n v="0"/>
    <n v="55000000"/>
    <n v="55000000"/>
    <n v="55000000"/>
    <n v="0"/>
    <n v="0"/>
    <s v="Adquirir el licenciamiento por suscripción para Plataforma de virtualización y almacenamiento en nube incluyendo la adquisición del hardware para Computación y Storage que soporta esta solución de Hiperconvergencia."/>
    <m/>
    <m/>
    <m/>
    <m/>
    <m/>
    <m/>
    <m/>
    <m/>
    <m/>
    <m/>
    <m/>
    <m/>
    <n v="55000000"/>
    <m/>
    <m/>
    <m/>
    <m/>
    <m/>
    <m/>
    <m/>
    <m/>
    <n v="0"/>
    <m/>
    <n v="55000000"/>
    <m/>
    <m/>
    <n v="55000000"/>
    <n v="55000000"/>
    <n v="0"/>
    <n v="0"/>
    <n v="35526"/>
    <d v="2026-01-15T00:00:00"/>
    <n v="55000000"/>
    <n v="0"/>
    <m/>
    <m/>
    <n v="0"/>
    <n v="55000000"/>
    <n v="550000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51"/>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s v="Prestación de servicios profesionales y/o de apoyo a la gestión"/>
    <s v="100-51 Prestar servicios profesionales para apoyar, desde una perspectiva jurídica básica, la integración de variables ambientales, territoriales y etnográficas en las herramientas de planeación minero-energética, con énfasis en escenarios de análisis ene"/>
    <s v="Enero "/>
    <s v="Enero "/>
    <s v="Enero "/>
    <n v="9"/>
    <s v="Meses"/>
    <s v="Contratación directa - Prestación de servicios profesionales "/>
    <s v="Propios - 20 - Ingresos corrientes"/>
    <n v="36000000"/>
    <n v="36000000"/>
    <s v="N/A"/>
    <s v="N/A"/>
    <s v="Sandra Caballero"/>
    <s v="Asesora Dirección general"/>
    <n v="6012220601"/>
    <s v="sandra.caballero@upme.gov.co"/>
    <n v="0"/>
    <n v="0"/>
    <n v="36000000"/>
    <n v="0"/>
    <n v="0"/>
    <n v="3600000"/>
    <n v="0"/>
    <n v="4000000"/>
    <n v="0"/>
    <n v="4000000"/>
    <n v="0"/>
    <n v="4000000"/>
    <n v="0"/>
    <n v="4000000"/>
    <n v="0"/>
    <n v="4000000"/>
    <n v="0"/>
    <n v="4000000"/>
    <n v="0"/>
    <n v="4000000"/>
    <n v="0"/>
    <n v="4000000"/>
    <n v="0"/>
    <n v="400000"/>
    <n v="36000000"/>
    <n v="36000000"/>
    <n v="0"/>
    <n v="0"/>
    <s v="Prestar servicios profesionales para apoyar, desde una perspectiva jurídica básica, la integración de variables ambientales, territoriales y etnográficas en las herramientas de planeación minero-energética, con énfasis en escenarios de análisis energético"/>
    <m/>
    <m/>
    <n v="36000000"/>
    <m/>
    <m/>
    <n v="3600000"/>
    <m/>
    <n v="4000000"/>
    <m/>
    <n v="4000000"/>
    <m/>
    <n v="4000000"/>
    <m/>
    <n v="4000000"/>
    <m/>
    <n v="4000000"/>
    <m/>
    <n v="4000000"/>
    <m/>
    <n v="4000000"/>
    <m/>
    <n v="4000000"/>
    <m/>
    <n v="400000"/>
    <m/>
    <m/>
    <n v="36000000"/>
    <n v="36000000"/>
    <n v="0"/>
    <n v="0"/>
    <n v="35326"/>
    <d v="2026-01-15T00:00:00"/>
    <n v="36000000"/>
    <n v="0"/>
    <n v="47626"/>
    <d v="2026-02-06T00:00:00"/>
    <n v="34152300"/>
    <n v="1847700"/>
    <n v="1847700"/>
    <s v="SANTIESTEBAN MOSQUERA LUISA FERNANDA"/>
    <s v="CO1.PCCNTR.9266493"/>
    <m/>
    <m/>
    <m/>
    <n v="34152300"/>
    <m/>
    <m/>
    <m/>
    <n v="2782780"/>
    <n v="2782780"/>
    <m/>
    <n v="3794700"/>
    <n v="3794700"/>
    <m/>
    <m/>
    <m/>
    <m/>
    <m/>
    <m/>
    <m/>
    <m/>
    <m/>
    <m/>
    <m/>
    <m/>
    <m/>
    <m/>
    <m/>
    <m/>
    <m/>
    <m/>
    <m/>
    <m/>
    <m/>
    <m/>
    <m/>
    <m/>
    <n v="34152300"/>
    <n v="6577480"/>
    <n v="6577480"/>
    <n v="27574820"/>
    <n v="0"/>
    <x v="0"/>
  </r>
  <r>
    <x v="0"/>
    <x v="0"/>
    <s v="Fortalecimiento del levantamiento, gestión y apropiación de la información para la planeación del sector minero energético con enfoque territorial nacional"/>
    <s v="Enfoque Territorial"/>
    <s v="Sí"/>
    <s v="Sí"/>
    <n v="4"/>
    <s v="100-52"/>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s v="Prestación de servicios profesionales y/o de apoyo a la gestión"/>
    <s v="100-52 Prestar servicios de apoyo  en la realización audiovisual a cargo del grupo de comunicaciones y prensa, orientados a visibilizar la implementación del proyecto de Enfoque Territorial dirigido a los diversos actores del territorio y la ciudadanía en"/>
    <s v="Enero "/>
    <s v="Enero "/>
    <s v="Enero "/>
    <n v="11"/>
    <s v="Meses"/>
    <s v="Contratación directa - Prestación de servicios profesionales "/>
    <s v="Propios - 20 - Ingresos corrientes"/>
    <n v="15878175"/>
    <n v="15878175"/>
    <s v="N/A"/>
    <s v="N/A"/>
    <s v="Sandra Caballero"/>
    <s v="Asesora Dirección general"/>
    <n v="6012220601"/>
    <s v="edith.chavez@upme.gov.co"/>
    <n v="0"/>
    <n v="0"/>
    <n v="15878175"/>
    <n v="0"/>
    <n v="0"/>
    <n v="0"/>
    <n v="0"/>
    <n v="0"/>
    <n v="0"/>
    <n v="0"/>
    <n v="0"/>
    <n v="0"/>
    <n v="0"/>
    <n v="0"/>
    <n v="0"/>
    <n v="0"/>
    <n v="0"/>
    <n v="0"/>
    <n v="0"/>
    <n v="0"/>
    <n v="0"/>
    <n v="1845110"/>
    <n v="0"/>
    <n v="14033065"/>
    <n v="15878175"/>
    <n v="15878175"/>
    <n v="0"/>
    <n v="0"/>
    <s v="Prestar servicios de apoyo  en la realización audiovisual a cargo del grupo de comunicaciones y prensa, orientados a visibilizar la implementación del proyecto de Enfoque Territorial dirigido a los diversos actores del territorio y la ciudadanía en genera"/>
    <m/>
    <m/>
    <n v="15878175"/>
    <m/>
    <m/>
    <m/>
    <m/>
    <m/>
    <m/>
    <m/>
    <m/>
    <m/>
    <m/>
    <m/>
    <m/>
    <m/>
    <m/>
    <m/>
    <m/>
    <m/>
    <m/>
    <n v="1845110"/>
    <m/>
    <n v="14033065"/>
    <m/>
    <m/>
    <n v="15878175"/>
    <n v="15878175"/>
    <n v="0"/>
    <n v="0"/>
    <n v="64826"/>
    <d v="2026-01-25T00:00:00"/>
    <n v="15878175"/>
    <n v="0"/>
    <n v="49526"/>
    <d v="2026-02-09T00:00:00"/>
    <n v="5814950"/>
    <n v="10063225"/>
    <n v="10063225"/>
    <s v="DURAN MEZA NELSON MAURICIO"/>
    <s v="CO1.PCCNTR.9297578"/>
    <m/>
    <m/>
    <m/>
    <n v="5814950"/>
    <m/>
    <m/>
    <m/>
    <n v="2451960"/>
    <n v="2451960"/>
    <m/>
    <m/>
    <m/>
    <m/>
    <m/>
    <m/>
    <m/>
    <m/>
    <m/>
    <m/>
    <m/>
    <m/>
    <m/>
    <m/>
    <m/>
    <m/>
    <m/>
    <m/>
    <m/>
    <m/>
    <m/>
    <m/>
    <m/>
    <m/>
    <m/>
    <m/>
    <m/>
    <n v="5814950"/>
    <n v="2451960"/>
    <n v="2451960"/>
    <n v="3362990"/>
    <n v="0"/>
    <x v="0"/>
  </r>
  <r>
    <x v="0"/>
    <x v="0"/>
    <s v="Fortalecimiento del levantamiento, gestión y apropiación de la información para la planeación del sector minero energético con enfoque territorial nacional"/>
    <s v="Enfoque Territorial"/>
    <s v="Sí"/>
    <s v="Sí"/>
    <n v="68"/>
    <s v="100-53"/>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s v="Prestación de servicios profesionales y/o de apoyo a la gestión"/>
    <s v="100-53 Prestar servicios profesionales para apoyar el diseño y la implementación de la estrategia de comunicación y participación con actores sectoriales y territoriales, orientada a mejorar el relacionamiento institucional bajo el Enfoque Territorial. In"/>
    <s v="Enero "/>
    <s v="Enero "/>
    <s v="Enero "/>
    <n v="9"/>
    <s v="Meses"/>
    <s v="Contratación directa - Prestación de servicios profesionales "/>
    <s v="Propios - 20 - Ingresos corrientes"/>
    <n v="29700000"/>
    <n v="29700000"/>
    <s v="N/A"/>
    <s v="N/A"/>
    <s v="Sandra Caballero"/>
    <s v="Asesora Dirección general"/>
    <n v="6012220601"/>
    <s v="sandra.caballero@upme.gov.co"/>
    <n v="0"/>
    <n v="0"/>
    <n v="29700000"/>
    <n v="0"/>
    <n v="0"/>
    <n v="2847230"/>
    <n v="0"/>
    <n v="3285450"/>
    <n v="0"/>
    <n v="3285450"/>
    <n v="0"/>
    <n v="3285450"/>
    <n v="0"/>
    <n v="3285450"/>
    <n v="0"/>
    <n v="3285450"/>
    <n v="0"/>
    <n v="3285450"/>
    <n v="0"/>
    <n v="3285450"/>
    <n v="0"/>
    <n v="3285450"/>
    <n v="0"/>
    <n v="569170"/>
    <n v="29700000"/>
    <n v="29700000"/>
    <n v="0"/>
    <n v="0"/>
    <s v="Prestar servicios profesionales para apoyar el diseño y la implementación de la estrategia de comunicación y participación con actores sectoriales y territoriales, orientada a mejorar el relacionamiento institucional bajo el Enfoque Territorial. Incluyend"/>
    <m/>
    <m/>
    <n v="29700000"/>
    <m/>
    <m/>
    <n v="2847230"/>
    <m/>
    <n v="3285450"/>
    <m/>
    <n v="3285450"/>
    <m/>
    <n v="3285450"/>
    <m/>
    <n v="3285450"/>
    <m/>
    <n v="3285450"/>
    <m/>
    <n v="3285450"/>
    <m/>
    <n v="3285450"/>
    <m/>
    <n v="3285450"/>
    <m/>
    <n v="569170"/>
    <m/>
    <m/>
    <n v="29700000"/>
    <n v="29700000"/>
    <n v="0"/>
    <n v="0"/>
    <n v="35126"/>
    <d v="2026-01-15T00:00:00"/>
    <n v="29700000"/>
    <n v="0"/>
    <n v="42426"/>
    <d v="2026-02-05T00:00:00"/>
    <n v="29569050"/>
    <n v="130950"/>
    <n v="130950"/>
    <s v="MENDOZA BENITEZ HAELY"/>
    <s v="CO1.PCCNTR.9232375"/>
    <m/>
    <m/>
    <m/>
    <n v="29569050"/>
    <m/>
    <m/>
    <m/>
    <m/>
    <m/>
    <m/>
    <n v="6132840"/>
    <n v="6132840"/>
    <m/>
    <m/>
    <m/>
    <m/>
    <m/>
    <m/>
    <m/>
    <m/>
    <m/>
    <m/>
    <m/>
    <m/>
    <m/>
    <m/>
    <m/>
    <m/>
    <m/>
    <m/>
    <m/>
    <m/>
    <m/>
    <m/>
    <m/>
    <m/>
    <n v="29569050"/>
    <n v="6132840"/>
    <n v="6132840"/>
    <n v="23436210"/>
    <n v="0"/>
    <x v="0"/>
  </r>
  <r>
    <x v="0"/>
    <x v="0"/>
    <s v="Fortalecimiento del levantamiento, gestión y apropiación de la información para la planeación del sector minero energético con enfoque territorial nacional"/>
    <s v="Enfoque Territorial"/>
    <s v="Sí"/>
    <s v="Sí"/>
    <n v="7"/>
    <s v="100-54"/>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s v="Prestación de servicios profesionales y/o de apoyo a la gestión"/>
    <s v="100-54 Prestar servicios profesionales para apoyar las convocatorias, socializaciones, análisis de información y la elaboración de informes técnicos requeridos, que contribuyan a la gestión y al fortalecimiento de la ejecución del proyecto de Enfoque Terr"/>
    <s v="Enero "/>
    <s v="Enero "/>
    <s v="Enero "/>
    <n v="10"/>
    <s v="Meses"/>
    <s v="Contratación directa - Prestación de servicios profesionales "/>
    <s v="Propios - 20 - Ingresos corrientes"/>
    <n v="31652775"/>
    <n v="31652775"/>
    <s v="N/A"/>
    <s v="N/A"/>
    <s v="Sandra Caballero"/>
    <s v="Asesora Dirección general"/>
    <n v="6012220601"/>
    <s v="sandra.caballero@upme.gov.co"/>
    <n v="0"/>
    <n v="0"/>
    <n v="31652775"/>
    <n v="0"/>
    <n v="0"/>
    <n v="0"/>
    <n v="0"/>
    <n v="0"/>
    <n v="0"/>
    <n v="0"/>
    <n v="0"/>
    <n v="0"/>
    <n v="0"/>
    <n v="0"/>
    <n v="0"/>
    <n v="4593780"/>
    <n v="0"/>
    <n v="6000000"/>
    <n v="0"/>
    <n v="6000000"/>
    <n v="0"/>
    <n v="6000000"/>
    <n v="0"/>
    <n v="9058995"/>
    <n v="31652775"/>
    <n v="31652775"/>
    <n v="0"/>
    <n v="0"/>
    <s v="Prestar servicios profesionales para apoyar las convocatorias, socializaciones, análisis de información y la elaboración de informes técnicos requeridos, que contribuyan a la gestión y al fortalecimiento de la ejecución del proyecto de Enfoque Territorial"/>
    <m/>
    <m/>
    <n v="31652775"/>
    <m/>
    <m/>
    <m/>
    <m/>
    <m/>
    <m/>
    <m/>
    <m/>
    <m/>
    <m/>
    <m/>
    <m/>
    <n v="4593780"/>
    <m/>
    <n v="6000000"/>
    <m/>
    <n v="6000000"/>
    <m/>
    <n v="6000000"/>
    <m/>
    <n v="9058995"/>
    <m/>
    <m/>
    <n v="31652775"/>
    <n v="31652775"/>
    <n v="0"/>
    <n v="0"/>
    <n v="48526"/>
    <d v="2026-01-15T00:00:00"/>
    <n v="31652775"/>
    <n v="0"/>
    <n v="60426"/>
    <d v="2026-02-18T00:00:00"/>
    <n v="21593780"/>
    <n v="10058995"/>
    <n v="10058995"/>
    <s v="GARZON VILLEGAS NATALIA ANDREA"/>
    <s v="CO1.PCCNTR.9214784"/>
    <m/>
    <m/>
    <m/>
    <n v="21593780"/>
    <m/>
    <m/>
    <m/>
    <n v="2600000"/>
    <n v="2600000"/>
    <m/>
    <m/>
    <m/>
    <m/>
    <m/>
    <m/>
    <m/>
    <m/>
    <m/>
    <m/>
    <m/>
    <m/>
    <m/>
    <m/>
    <m/>
    <m/>
    <m/>
    <m/>
    <m/>
    <m/>
    <m/>
    <m/>
    <m/>
    <m/>
    <m/>
    <m/>
    <m/>
    <n v="21593780"/>
    <n v="2600000"/>
    <n v="2600000"/>
    <n v="18993780"/>
    <n v="0"/>
    <x v="0"/>
  </r>
  <r>
    <x v="0"/>
    <x v="0"/>
    <s v="Fortalecimiento del levantamiento, gestión y apropiación de la información para la planeación del sector minero energético con enfoque territorial nacional"/>
    <s v="Enfoque Territorial"/>
    <s v="Sí"/>
    <s v="Sí"/>
    <n v="68"/>
    <s v="100-55"/>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s v="Prestación de servicios profesionales y/o de apoyo a la gestión"/>
    <s v="100-55 Prestación de servicios profesionales para la implementación de la estrategia de comunicación y participación de la UPME mediante acciones de diálogo social y territorial, incorporando enfoques de género, cuidado, análisis territorial y gobernanza."/>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847390"/>
    <n v="0"/>
    <n v="3285450"/>
    <n v="0"/>
    <n v="3285450"/>
    <n v="0"/>
    <n v="3285450"/>
    <n v="0"/>
    <n v="3285450"/>
    <n v="0"/>
    <n v="3285450"/>
    <n v="0"/>
    <n v="3285450"/>
    <n v="0"/>
    <n v="3285450"/>
    <n v="0"/>
    <n v="3285450"/>
    <n v="0"/>
    <n v="438060"/>
    <n v="29569050"/>
    <n v="29569050"/>
    <n v="0"/>
    <n v="0"/>
    <s v="Prestación de servicios profesionales para la implementación de la estrategia de comunicación y participación de la UPME mediante acciones de diálogo social y territorial, incorporando enfoques de género, cuidado, análisis territorial y gobernanza."/>
    <m/>
    <m/>
    <n v="29569050"/>
    <m/>
    <m/>
    <n v="2847390"/>
    <m/>
    <n v="3285450"/>
    <m/>
    <n v="3285450"/>
    <m/>
    <n v="3285450"/>
    <m/>
    <n v="3285450"/>
    <m/>
    <n v="3285450"/>
    <m/>
    <n v="3285450"/>
    <m/>
    <n v="3285450"/>
    <m/>
    <n v="3285450"/>
    <m/>
    <n v="438060"/>
    <m/>
    <m/>
    <n v="29569050"/>
    <n v="29569050"/>
    <n v="0"/>
    <n v="0"/>
    <n v="34626"/>
    <d v="2026-01-15T00:00:00"/>
    <n v="29569050"/>
    <n v="0"/>
    <n v="49926"/>
    <d v="2026-02-09T00:00:00"/>
    <n v="29569050"/>
    <n v="0"/>
    <n v="0"/>
    <s v="SIAUCHO ACEVEDO CESAR ALBERTO"/>
    <s v="CO1.PCCNTR.9296297"/>
    <m/>
    <m/>
    <m/>
    <n v="29569050"/>
    <m/>
    <m/>
    <m/>
    <n v="2299815"/>
    <n v="2299815"/>
    <m/>
    <m/>
    <m/>
    <m/>
    <m/>
    <m/>
    <m/>
    <m/>
    <m/>
    <m/>
    <m/>
    <m/>
    <m/>
    <m/>
    <m/>
    <m/>
    <m/>
    <m/>
    <m/>
    <m/>
    <m/>
    <m/>
    <m/>
    <m/>
    <m/>
    <m/>
    <m/>
    <n v="29569050"/>
    <n v="2299815"/>
    <n v="2299815"/>
    <n v="27269235"/>
    <n v="0"/>
    <x v="0"/>
  </r>
  <r>
    <x v="0"/>
    <x v="0"/>
    <s v="Fortalecimiento del levantamiento, gestión y apropiación de la información para la planeación del sector minero energético con enfoque territorial nacional"/>
    <s v="Enfoque Territorial"/>
    <s v="Sí"/>
    <s v="Sí"/>
    <n v="68"/>
    <s v="100-56"/>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56 Prestar los servicios profesionales para la implementación de la estrategia de comunicación y participación del dialogo social, territorial e interinstitucional con el fin de incorporar las variables de género y perspectiva del cuidado en la planea"/>
    <s v="Enero "/>
    <s v="Enero "/>
    <s v="Enero "/>
    <n v="9"/>
    <s v="Meses"/>
    <s v="Contratación directa - Prestación de servicios profesionales "/>
    <s v="Propios - 20 - Ingresos corrientes"/>
    <n v="49500000"/>
    <n v="49500000"/>
    <s v="N/A"/>
    <s v="N/A"/>
    <s v="Sandra Caballero"/>
    <s v="Asesora Dirección general"/>
    <n v="6012220601"/>
    <s v="sandra.caballero@upme.gov.co"/>
    <n v="49500000"/>
    <n v="0"/>
    <n v="0"/>
    <n v="183333"/>
    <n v="0"/>
    <n v="5500000"/>
    <n v="0"/>
    <n v="5500000"/>
    <n v="0"/>
    <n v="5500000"/>
    <n v="0"/>
    <n v="5500000"/>
    <n v="0"/>
    <n v="5500000"/>
    <n v="0"/>
    <n v="5500000"/>
    <n v="0"/>
    <n v="5500000"/>
    <n v="0"/>
    <n v="5500000"/>
    <n v="0"/>
    <n v="5316667"/>
    <n v="0"/>
    <n v="0"/>
    <n v="49500000"/>
    <n v="49500000"/>
    <n v="0"/>
    <n v="0"/>
    <s v="Prestar los servicios profesionales para la implementación de la estrategia de comunicación y participación del dialogo social, territorial e interinstitucional con el fin de incorporar las variables de género y perspectiva del cuidado en la planeación mi"/>
    <n v="49500000"/>
    <m/>
    <m/>
    <n v="183333"/>
    <m/>
    <n v="5500000"/>
    <m/>
    <n v="5500000"/>
    <m/>
    <n v="5500000"/>
    <m/>
    <n v="5500000"/>
    <m/>
    <n v="5500000"/>
    <m/>
    <n v="5500000"/>
    <m/>
    <n v="5500000"/>
    <m/>
    <n v="5500000"/>
    <m/>
    <n v="5316667"/>
    <m/>
    <m/>
    <m/>
    <m/>
    <n v="49500000"/>
    <n v="49500000"/>
    <n v="0"/>
    <n v="0"/>
    <n v="34226"/>
    <d v="2026-01-15T00:00:00"/>
    <n v="49500000"/>
    <n v="0"/>
    <n v="36726"/>
    <d v="2026-01-30T00:00:00"/>
    <n v="49500000"/>
    <n v="0"/>
    <n v="0"/>
    <s v="ROMERO VELASQUEZ CAMILO EDUARDO"/>
    <s v="CO1.PCCNTR.9147176"/>
    <n v="49500000"/>
    <m/>
    <m/>
    <m/>
    <m/>
    <m/>
    <m/>
    <n v="5316667"/>
    <n v="5316667"/>
    <m/>
    <n v="5500000"/>
    <n v="5500000"/>
    <m/>
    <m/>
    <m/>
    <m/>
    <m/>
    <m/>
    <m/>
    <m/>
    <m/>
    <m/>
    <m/>
    <m/>
    <m/>
    <m/>
    <m/>
    <m/>
    <m/>
    <m/>
    <m/>
    <m/>
    <m/>
    <m/>
    <m/>
    <m/>
    <n v="49500000"/>
    <n v="10816667"/>
    <n v="10816667"/>
    <n v="38683333"/>
    <n v="0"/>
    <x v="0"/>
  </r>
  <r>
    <x v="0"/>
    <x v="0"/>
    <s v="Fortalecimiento del levantamiento, gestión y apropiación de la información para la planeación del sector minero energético con enfoque territorial nacional"/>
    <s v="Enfoque Territorial"/>
    <s v="Sí"/>
    <s v="Sí"/>
    <n v="7"/>
    <s v="100-57"/>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57 Prestación de servicios profesionales para la conceptualización, diseño e implementación de estrategias pedagógicas innovadoras y metodologías efectivas de transferencia de conocimiento, con el propósito de fortalecer el diálogo, la apropiación soc"/>
    <s v="Enero "/>
    <s v="Enero "/>
    <s v="Enero "/>
    <n v="10"/>
    <s v="Meses"/>
    <s v="Contratación directa - Prestación de servicios profesionales "/>
    <s v="Propios - 20 - Ingresos corrientes"/>
    <n v="122462550"/>
    <n v="122462550"/>
    <s v="N/A"/>
    <s v="N/A"/>
    <s v="Sandra Caballero"/>
    <s v="Asesora Dirección general"/>
    <n v="6012220601"/>
    <s v="sandra.caballero@upme.gov.co"/>
    <n v="122462550"/>
    <n v="0"/>
    <n v="0"/>
    <n v="1360695"/>
    <n v="0"/>
    <n v="13606950"/>
    <n v="0"/>
    <n v="13606950"/>
    <n v="0"/>
    <n v="13606950"/>
    <n v="0"/>
    <n v="13606950"/>
    <n v="0"/>
    <n v="13606950"/>
    <n v="0"/>
    <n v="13606950"/>
    <n v="0"/>
    <n v="13606950"/>
    <n v="0"/>
    <n v="13606950"/>
    <n v="0"/>
    <n v="12246255"/>
    <n v="0"/>
    <n v="0"/>
    <n v="122462550"/>
    <n v="122462550"/>
    <n v="0"/>
    <n v="0"/>
    <s v="Prestación de servicios profesionales para la conceptualización, diseño e implementación de estrategias pedagógicas innovadoras y metodologías efectivas de transferencia de conocimiento, con el propósito de fortalecer el diálogo, la apropiación social y l"/>
    <n v="122462550"/>
    <m/>
    <m/>
    <n v="1360695"/>
    <m/>
    <n v="13606950"/>
    <m/>
    <n v="13606950"/>
    <m/>
    <n v="13606950"/>
    <m/>
    <n v="13606950"/>
    <m/>
    <n v="13606950"/>
    <m/>
    <n v="13606950"/>
    <m/>
    <n v="13606950"/>
    <m/>
    <n v="13606950"/>
    <m/>
    <n v="12246255"/>
    <m/>
    <m/>
    <m/>
    <m/>
    <n v="122462550"/>
    <n v="122462550"/>
    <n v="0"/>
    <n v="0"/>
    <n v="61426"/>
    <d v="2026-01-23T00:00:00"/>
    <n v="122462550"/>
    <n v="0"/>
    <n v="27926"/>
    <d v="2026-01-28T00:00:00"/>
    <n v="122462550"/>
    <n v="0"/>
    <n v="0"/>
    <s v="CUBILLOS OCAMPO JULIAN ALBERTO"/>
    <s v="CO1.PCCNTR.9139101"/>
    <n v="122462550"/>
    <m/>
    <m/>
    <m/>
    <m/>
    <m/>
    <m/>
    <n v="14060515"/>
    <n v="14060515"/>
    <m/>
    <n v="13606950"/>
    <n v="13606950"/>
    <m/>
    <m/>
    <m/>
    <m/>
    <m/>
    <m/>
    <m/>
    <m/>
    <m/>
    <m/>
    <m/>
    <m/>
    <m/>
    <m/>
    <m/>
    <m/>
    <m/>
    <m/>
    <m/>
    <m/>
    <m/>
    <m/>
    <m/>
    <m/>
    <n v="122462550"/>
    <n v="27667465"/>
    <n v="27667465"/>
    <n v="94795085"/>
    <n v="0"/>
    <x v="0"/>
  </r>
  <r>
    <x v="0"/>
    <x v="0"/>
    <s v="Fortalecimiento del levantamiento, gestión y apropiación de la información para la planeación del sector minero energético con enfoque territorial nacional"/>
    <s v="Enfoque Territorial"/>
    <s v="Sí"/>
    <s v="Sí"/>
    <n v="22"/>
    <s v="100-58"/>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58 Prestar servicios profesionales para el seguimiento a la implementación de los proyectos de generación con conexión aprobada por la Unidad de Planeación Minero Energética, en aras de identificar y gestionar soluciones a desafíos ambientales, social"/>
    <s v="Enero "/>
    <s v="Enero "/>
    <s v="Enero "/>
    <n v="9"/>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29569050"/>
    <n v="0"/>
    <n v="0"/>
    <n v="0"/>
    <n v="0"/>
    <n v="0"/>
    <n v="0"/>
    <n v="0"/>
    <n v="0"/>
    <n v="0"/>
    <n v="0"/>
    <n v="29569050"/>
    <n v="29569050"/>
    <n v="29569050"/>
    <n v="-29569050"/>
    <n v="-29569050"/>
    <s v="Prestar servicios profesionales para el seguimiento a la implementación de los proyectos de generación con conexión aprobada por la Unidad de Planeación Minero Energética, en aras de identificar y gestionar soluciones a desafíos ambientales, sociales, ter"/>
    <m/>
    <m/>
    <m/>
    <m/>
    <m/>
    <m/>
    <m/>
    <m/>
    <m/>
    <m/>
    <m/>
    <m/>
    <m/>
    <m/>
    <m/>
    <m/>
    <m/>
    <m/>
    <m/>
    <m/>
    <m/>
    <m/>
    <m/>
    <m/>
    <m/>
    <m/>
    <n v="0"/>
    <n v="0"/>
    <n v="0"/>
    <n v="0"/>
    <n v="34126"/>
    <d v="2026-01-15T00:00:00"/>
    <n v="0"/>
    <n v="0"/>
    <m/>
    <m/>
    <n v="0"/>
    <n v="0"/>
    <n v="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8"/>
    <s v="100-59"/>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59 Prestar servicios profesionales de asesoría jurídica y apoyo orientados a la incorporación transversal del enfoque social y de género en la gestión institucional, mediante la emisión de conceptos y estrategias jurídicas que promuevan y fortalezcan "/>
    <s v="Enero "/>
    <s v="Enero "/>
    <s v="Enero "/>
    <n v="9"/>
    <s v="Meses"/>
    <s v="Contratación directa - Prestación de servicios profesionales "/>
    <s v="Propios - 20 - Ingresos corrientes"/>
    <n v="48600000"/>
    <n v="48600000"/>
    <s v="N/A"/>
    <s v="N/A"/>
    <s v="Sandra Caballero"/>
    <s v="Asesora Dirección general"/>
    <n v="6012220601"/>
    <s v="sandra.caballero@upme.gov.co"/>
    <n v="0"/>
    <n v="0"/>
    <n v="48600000"/>
    <n v="0"/>
    <n v="0"/>
    <n v="4860000"/>
    <n v="0"/>
    <n v="5400000"/>
    <n v="0"/>
    <n v="5400000"/>
    <n v="0"/>
    <n v="5400000"/>
    <n v="0"/>
    <n v="5400000"/>
    <n v="0"/>
    <n v="5400000"/>
    <n v="0"/>
    <n v="5400000"/>
    <n v="0"/>
    <n v="5400000"/>
    <n v="0"/>
    <n v="5400000"/>
    <n v="0"/>
    <n v="540000"/>
    <n v="48600000"/>
    <n v="48600000"/>
    <n v="0"/>
    <n v="0"/>
    <s v="Prestar servicios profesionales de asesoría jurídica y apoyo orientados a la incorporación transversal del enfoque social y de género en la gestión institucional, mediante la emisión de conceptos y estrategias jurídicas que promuevan y fortalezcan la incl"/>
    <m/>
    <m/>
    <n v="48600000"/>
    <m/>
    <m/>
    <n v="4860000"/>
    <m/>
    <n v="5400000"/>
    <m/>
    <n v="5400000"/>
    <m/>
    <n v="5400000"/>
    <m/>
    <n v="5400000"/>
    <m/>
    <n v="5400000"/>
    <m/>
    <n v="5400000"/>
    <m/>
    <n v="5400000"/>
    <m/>
    <n v="5400000"/>
    <m/>
    <n v="540000"/>
    <m/>
    <m/>
    <n v="48600000"/>
    <n v="48600000"/>
    <n v="0"/>
    <n v="0"/>
    <n v="31626"/>
    <d v="2026-01-14T00:00:00"/>
    <n v="48600000"/>
    <n v="0"/>
    <n v="42826"/>
    <d v="2026-02-05T00:00:00"/>
    <n v="48600000"/>
    <n v="0"/>
    <n v="0"/>
    <s v="AGAMEZ RODRÍGUEZ ALFREDO ADOLFO"/>
    <s v="CO1.PCCNTR.9264669"/>
    <m/>
    <m/>
    <m/>
    <n v="48600000"/>
    <m/>
    <m/>
    <m/>
    <n v="4680000"/>
    <n v="4680000"/>
    <m/>
    <n v="5400000"/>
    <n v="5400000"/>
    <m/>
    <m/>
    <m/>
    <m/>
    <m/>
    <m/>
    <m/>
    <m/>
    <m/>
    <m/>
    <m/>
    <m/>
    <m/>
    <m/>
    <m/>
    <m/>
    <m/>
    <m/>
    <m/>
    <m/>
    <m/>
    <m/>
    <m/>
    <m/>
    <n v="48600000"/>
    <n v="10080000"/>
    <n v="10080000"/>
    <n v="38520000"/>
    <n v="0"/>
    <x v="0"/>
  </r>
  <r>
    <x v="0"/>
    <x v="0"/>
    <s v="Fortalecimiento del levantamiento, gestión y apropiación de la información para la planeación del sector minero energético con enfoque territorial nacional"/>
    <s v="Enfoque Territorial"/>
    <s v="Sí"/>
    <s v="Sí"/>
    <n v="22"/>
    <s v="100-60"/>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41607"/>
    <s v="C-2106-1900-10-53105E-2106022-02"/>
    <s v="Operador Logístico"/>
    <s v="100-60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66974271"/>
    <n v="66974271"/>
    <s v="N/A"/>
    <s v="N/A"/>
    <s v="Sandra Caballero"/>
    <s v="Asesora Dirección general"/>
    <n v="6012220601"/>
    <s v="sandra.caballero@upme.gov.co"/>
    <n v="66974271"/>
    <n v="0"/>
    <n v="0"/>
    <n v="0"/>
    <n v="0"/>
    <n v="0"/>
    <n v="0"/>
    <n v="0"/>
    <n v="0"/>
    <n v="0"/>
    <n v="0"/>
    <n v="0"/>
    <n v="0"/>
    <n v="0"/>
    <n v="0"/>
    <n v="0"/>
    <n v="0"/>
    <n v="0"/>
    <n v="0"/>
    <n v="0"/>
    <n v="0"/>
    <n v="20000000"/>
    <n v="0"/>
    <n v="46974271"/>
    <n v="66974271"/>
    <n v="66974271"/>
    <n v="0"/>
    <n v="0"/>
    <s v="Prestación de los servicios de apoyo logístico para el desarrollo de la estrategia de comunicación y participación con actores nacionales y territoriales, así como para otros espacios interinstitucionales en el marco de la misionalidad de la entidad y el "/>
    <n v="66974271"/>
    <n v="0"/>
    <n v="0"/>
    <n v="0"/>
    <n v="0"/>
    <n v="0"/>
    <n v="0"/>
    <n v="0"/>
    <n v="74569050"/>
    <n v="0"/>
    <n v="0"/>
    <n v="10000000"/>
    <n v="0"/>
    <n v="20000000"/>
    <n v="0"/>
    <n v="10000000"/>
    <n v="0"/>
    <n v="10000000"/>
    <n v="0"/>
    <n v="24569050"/>
    <n v="0"/>
    <n v="20000000"/>
    <n v="0"/>
    <n v="46974271"/>
    <m/>
    <m/>
    <n v="141543321"/>
    <n v="141543321"/>
    <n v="-74569050"/>
    <n v="-74569050"/>
    <n v="15126"/>
    <d v="2026-01-09T00:00:00"/>
    <n v="66974271"/>
    <n v="0"/>
    <n v="26226"/>
    <d v="2026-01-28T00:00:00"/>
    <n v="66974271"/>
    <n v="0"/>
    <n v="0"/>
    <s v="M2C ESTRATEGIAS SAS"/>
    <s v="CO1.PCCNTR.9130164"/>
    <n v="66974271"/>
    <m/>
    <m/>
    <m/>
    <m/>
    <m/>
    <m/>
    <m/>
    <m/>
    <m/>
    <n v="66974271"/>
    <n v="66974271"/>
    <m/>
    <m/>
    <m/>
    <m/>
    <m/>
    <m/>
    <m/>
    <m/>
    <m/>
    <m/>
    <m/>
    <m/>
    <m/>
    <m/>
    <m/>
    <m/>
    <m/>
    <m/>
    <m/>
    <m/>
    <m/>
    <m/>
    <m/>
    <m/>
    <n v="66974271"/>
    <n v="66974271"/>
    <n v="66974271"/>
    <n v="0"/>
    <n v="0"/>
    <x v="0"/>
  </r>
  <r>
    <x v="0"/>
    <x v="0"/>
    <s v="Fortalecimiento del levantamiento, gestión y apropiación de la información para la planeación del sector minero energético con enfoque territorial nacional"/>
    <s v="Enfoque Territorial"/>
    <s v="Sí"/>
    <s v="Sí"/>
    <s v="Radicado 20261000002293"/>
    <s v="100-61"/>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41607"/>
    <s v="C-2106-1900-10-53105E-2106022-02"/>
    <s v="Operador Logístico"/>
    <s v="100-61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147912029"/>
    <n v="147912029"/>
    <s v="N/A"/>
    <s v="N/A"/>
    <s v="Sandra Caballero"/>
    <s v="Asesora Dirección general"/>
    <n v="6012220601"/>
    <s v="sandra.caballero@upme.gov.co"/>
    <n v="73342979"/>
    <n v="0"/>
    <n v="0"/>
    <n v="0"/>
    <n v="0"/>
    <n v="15000000"/>
    <n v="0"/>
    <n v="0"/>
    <n v="0"/>
    <n v="15000000"/>
    <n v="0"/>
    <n v="15000000"/>
    <n v="0"/>
    <n v="15000000"/>
    <n v="0"/>
    <n v="0"/>
    <n v="0"/>
    <n v="13342979"/>
    <n v="0"/>
    <n v="0"/>
    <n v="0"/>
    <n v="0"/>
    <n v="0"/>
    <n v="0"/>
    <n v="73342979"/>
    <n v="73342979"/>
    <n v="74569050"/>
    <n v="74569050"/>
    <s v="Prestación de los servicios de apoyo logístico para el desarrollo de la estrategia de comunicación y participación con actores nacionales y territoriales, así como para otros espacios interinstitucionales en el marco de la misionalidad de la entidad y el "/>
    <n v="73342979"/>
    <m/>
    <m/>
    <m/>
    <m/>
    <n v="15000000"/>
    <m/>
    <m/>
    <m/>
    <n v="15000000"/>
    <m/>
    <n v="15000000"/>
    <m/>
    <n v="15000000"/>
    <m/>
    <m/>
    <m/>
    <n v="13342979"/>
    <m/>
    <m/>
    <m/>
    <m/>
    <m/>
    <m/>
    <m/>
    <m/>
    <n v="73342979"/>
    <n v="73342979"/>
    <n v="74569050"/>
    <n v="74569050"/>
    <n v="15126"/>
    <d v="2026-01-09T00:00:00"/>
    <n v="73342979"/>
    <n v="74569050"/>
    <n v="26226"/>
    <d v="2026-01-28T00:00:00"/>
    <n v="73342979"/>
    <n v="74569050"/>
    <n v="0"/>
    <s v="M2C ESTRATEGIAS SAS"/>
    <s v="CO1.PCCNTR.9130164"/>
    <n v="73342979"/>
    <m/>
    <m/>
    <m/>
    <m/>
    <m/>
    <m/>
    <m/>
    <m/>
    <m/>
    <n v="73342979"/>
    <n v="73342979"/>
    <m/>
    <m/>
    <m/>
    <m/>
    <m/>
    <m/>
    <m/>
    <m/>
    <m/>
    <m/>
    <m/>
    <m/>
    <m/>
    <m/>
    <m/>
    <m/>
    <m/>
    <m/>
    <m/>
    <m/>
    <m/>
    <m/>
    <m/>
    <m/>
    <n v="73342979"/>
    <n v="73342979"/>
    <n v="73342979"/>
    <n v="0"/>
    <n v="0"/>
    <x v="0"/>
  </r>
  <r>
    <x v="0"/>
    <x v="0"/>
    <s v="Fortalecimiento del levantamiento, gestión y apropiación de la información para la planeación del sector minero energético con enfoque territorial nacional"/>
    <s v="Enfoque Territorial"/>
    <s v="Sí"/>
    <s v="Sí"/>
    <n v="68"/>
    <s v="100-62"/>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62 Prestar servicios profesionales en la incorporación de enfoque de prevención de violencias basadas en género (VBG), la aplicación del protocolo institucional en comisiones nacionales y actividades de trabajo territorial, en concordancia con la Polí"/>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956905"/>
    <n v="0"/>
    <n v="3285450"/>
    <n v="0"/>
    <n v="3285450"/>
    <n v="0"/>
    <n v="3285450"/>
    <n v="0"/>
    <n v="3285450"/>
    <n v="0"/>
    <n v="3285450"/>
    <n v="0"/>
    <n v="3285450"/>
    <n v="0"/>
    <n v="3285450"/>
    <n v="0"/>
    <n v="3285450"/>
    <n v="0"/>
    <n v="328545"/>
    <n v="29569050"/>
    <n v="29569050"/>
    <n v="0"/>
    <n v="0"/>
    <s v="Prestar servicios profesionales en la incorporación de enfoque de prevención de violencias basadas en género (VBG), la aplicación del protocolo institucional en comisiones nacionales y actividades de trabajo territorial, en concordancia con la Política de"/>
    <m/>
    <m/>
    <n v="29569050"/>
    <m/>
    <m/>
    <n v="2956905"/>
    <m/>
    <n v="3285450"/>
    <m/>
    <n v="3285450"/>
    <m/>
    <n v="3285450"/>
    <m/>
    <n v="3285450"/>
    <m/>
    <n v="3285450"/>
    <m/>
    <n v="3285450"/>
    <m/>
    <n v="3285450"/>
    <m/>
    <n v="3285450"/>
    <m/>
    <n v="328545"/>
    <m/>
    <m/>
    <n v="29569050"/>
    <n v="29569050"/>
    <n v="0"/>
    <n v="0"/>
    <n v="31826"/>
    <d v="2026-01-14T00:00:00"/>
    <n v="29569050"/>
    <n v="0"/>
    <n v="57326"/>
    <d v="2026-02-10T00:00:00"/>
    <n v="29569050"/>
    <n v="0"/>
    <n v="0"/>
    <s v="BOTTO LUBO BAYRON JOSE"/>
    <s v="CO1.PCCNTR.9307142"/>
    <m/>
    <m/>
    <m/>
    <n v="29569050"/>
    <m/>
    <m/>
    <m/>
    <n v="2190300"/>
    <n v="2190300"/>
    <m/>
    <n v="3285450"/>
    <n v="3285450"/>
    <m/>
    <m/>
    <m/>
    <m/>
    <m/>
    <m/>
    <m/>
    <m/>
    <m/>
    <m/>
    <m/>
    <m/>
    <m/>
    <m/>
    <m/>
    <m/>
    <m/>
    <m/>
    <m/>
    <m/>
    <m/>
    <m/>
    <m/>
    <m/>
    <n v="29569050"/>
    <n v="5475750"/>
    <n v="5475750"/>
    <n v="24093300"/>
    <n v="0"/>
    <x v="0"/>
  </r>
  <r>
    <x v="0"/>
    <x v="0"/>
    <s v="Fortalecimiento del levantamiento, gestión y apropiación de la información para la planeación del sector minero energético con enfoque territorial nacional"/>
    <s v="Enfoque Territorial"/>
    <s v="Sí"/>
    <s v="Sí"/>
    <n v="68"/>
    <s v="100-63"/>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63 Prestar los servicios profesionales en la implementación y articulación de análisis técnico para la inclusión de variables sociales en los documentos de la entidad, y apoyar los procesos relacionados con víctimas de conflictividad social en las zon"/>
    <s v="Enero "/>
    <s v="Enero "/>
    <s v="Enero "/>
    <n v="9"/>
    <s v="Meses"/>
    <s v="Contratación directa - Prestación de servicios profesionales "/>
    <s v="Propios - 20 - Ingresos corrientes"/>
    <n v="64800000"/>
    <n v="64800000"/>
    <s v="N/A"/>
    <s v="N/A"/>
    <s v="Sandra Caballero"/>
    <s v="Asesora Dirección general"/>
    <n v="6012220601"/>
    <s v="sandra.caballero@upme.gov.co"/>
    <n v="0"/>
    <n v="0"/>
    <n v="64800000"/>
    <n v="0"/>
    <n v="0"/>
    <n v="6240000"/>
    <n v="0"/>
    <n v="7200000"/>
    <n v="0"/>
    <n v="7200000"/>
    <n v="0"/>
    <n v="7200000"/>
    <n v="0"/>
    <n v="7200000"/>
    <n v="0"/>
    <n v="7200000"/>
    <n v="0"/>
    <n v="7200000"/>
    <n v="0"/>
    <n v="7200000"/>
    <n v="0"/>
    <n v="7200000"/>
    <n v="0"/>
    <n v="960000"/>
    <n v="64800000"/>
    <n v="64800000"/>
    <n v="0"/>
    <n v="0"/>
    <s v="Prestar los servicios profesionales en la implementación y articulación de análisis técnico para la inclusión de variables sociales en los documentos de la entidad, y apoyar los procesos relacionados con víctimas de conflictividad social en las zonas prio"/>
    <m/>
    <m/>
    <n v="64800000"/>
    <m/>
    <m/>
    <n v="6240000"/>
    <m/>
    <n v="7200000"/>
    <m/>
    <n v="7200000"/>
    <m/>
    <n v="7200000"/>
    <m/>
    <n v="7200000"/>
    <m/>
    <n v="7200000"/>
    <m/>
    <n v="7200000"/>
    <m/>
    <n v="7200000"/>
    <m/>
    <n v="7200000"/>
    <m/>
    <n v="960000"/>
    <m/>
    <m/>
    <n v="64800000"/>
    <n v="64800000"/>
    <n v="0"/>
    <n v="0"/>
    <n v="33826"/>
    <d v="2026-01-15T00:00:00"/>
    <n v="64800000"/>
    <n v="0"/>
    <n v="46126"/>
    <d v="2026-02-05T00:00:00"/>
    <n v="64800000"/>
    <n v="0"/>
    <n v="0"/>
    <s v="COLMENARES RINCON NATALIA"/>
    <s v="CO1.PCCNTR.9280151"/>
    <m/>
    <m/>
    <m/>
    <n v="64800000"/>
    <m/>
    <m/>
    <m/>
    <n v="6720000"/>
    <n v="6720000"/>
    <m/>
    <n v="7200000"/>
    <n v="7200000"/>
    <m/>
    <m/>
    <m/>
    <m/>
    <m/>
    <m/>
    <m/>
    <m/>
    <m/>
    <m/>
    <m/>
    <m/>
    <m/>
    <m/>
    <m/>
    <m/>
    <m/>
    <m/>
    <m/>
    <m/>
    <m/>
    <m/>
    <m/>
    <m/>
    <n v="64800000"/>
    <n v="13920000"/>
    <n v="13920000"/>
    <n v="50880000"/>
    <n v="0"/>
    <x v="0"/>
  </r>
  <r>
    <x v="0"/>
    <x v="0"/>
    <s v="Fortalecimiento del levantamiento, gestión y apropiación de la información para la planeación del sector minero energético con enfoque territorial nacional"/>
    <s v="Enfoque Territorial"/>
    <s v="Sí"/>
    <s v="Sí"/>
    <n v="68"/>
    <s v="100-64"/>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64 Prestación de servicios profesionales para apoyar la planeación, convocatorias y jornadas pedagógicas presenciales y virtuales dirigida a actores locales, organizaciones comunitarias con entidades nacionales y regionales vinculadas a proyectos ener"/>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956905"/>
    <n v="0"/>
    <n v="3285450"/>
    <n v="0"/>
    <n v="3285450"/>
    <n v="0"/>
    <n v="3285450"/>
    <n v="0"/>
    <n v="3285450"/>
    <n v="0"/>
    <n v="3285450"/>
    <n v="0"/>
    <n v="3285450"/>
    <n v="0"/>
    <n v="3285450"/>
    <n v="0"/>
    <n v="3285450"/>
    <n v="0"/>
    <n v="328545"/>
    <n v="29569050"/>
    <n v="29569050"/>
    <n v="0"/>
    <n v="0"/>
    <s v="Prestación de servicios profesionales para apoyar la planeación, convocatorias y jornadas pedagógicas presenciales y virtuales dirigida a actores locales, organizaciones comunitarias con entidades nacionales y regionales vinculadas a proyectos energéticos"/>
    <m/>
    <m/>
    <n v="29569050"/>
    <m/>
    <m/>
    <n v="2956905"/>
    <m/>
    <n v="3285450"/>
    <m/>
    <n v="3285450"/>
    <m/>
    <n v="3285450"/>
    <m/>
    <n v="3285450"/>
    <m/>
    <n v="3285450"/>
    <m/>
    <n v="3285450"/>
    <m/>
    <n v="3285450"/>
    <m/>
    <n v="3285450"/>
    <m/>
    <n v="328545"/>
    <m/>
    <m/>
    <n v="29569050"/>
    <n v="29569050"/>
    <n v="0"/>
    <n v="0"/>
    <n v="32626"/>
    <d v="2026-01-14T00:00:00"/>
    <n v="29569050"/>
    <n v="0"/>
    <n v="47726"/>
    <d v="2026-02-06T00:00:00"/>
    <n v="29569050"/>
    <n v="0"/>
    <n v="0"/>
    <s v="PALLARES MEJIA CEDELSI"/>
    <s v="CO1.PCCNTR.9288309"/>
    <m/>
    <m/>
    <m/>
    <n v="29569050"/>
    <m/>
    <m/>
    <m/>
    <n v="2737875"/>
    <n v="2737875"/>
    <m/>
    <n v="3285450"/>
    <n v="3285450"/>
    <m/>
    <m/>
    <m/>
    <m/>
    <m/>
    <m/>
    <m/>
    <m/>
    <m/>
    <m/>
    <m/>
    <m/>
    <m/>
    <m/>
    <m/>
    <m/>
    <m/>
    <m/>
    <m/>
    <m/>
    <m/>
    <m/>
    <m/>
    <m/>
    <n v="29569050"/>
    <n v="6023325"/>
    <n v="6023325"/>
    <n v="23545725"/>
    <n v="0"/>
    <x v="0"/>
  </r>
  <r>
    <x v="0"/>
    <x v="0"/>
    <s v="Fortalecimiento del levantamiento, gestión y apropiación de la información para la planeación del sector minero energético con enfoque territorial nacional"/>
    <s v="Enfoque Territorial"/>
    <s v="Sí"/>
    <s v="Sí"/>
    <n v="22"/>
    <s v="100-65"/>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65 Prestar servicios profesionales especializados para la formulación, articulación e implementación de acciones de incidencia política y formación pedagógica en derechos humanos, orientadas al fortalecimiento de la gobernanza territorial y la gestión"/>
    <s v="Enero "/>
    <s v="Enero "/>
    <s v="Enero "/>
    <n v="9"/>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45000000"/>
    <n v="0"/>
    <n v="0"/>
    <n v="0"/>
    <n v="0"/>
    <n v="0"/>
    <n v="0"/>
    <n v="0"/>
    <n v="0"/>
    <n v="0"/>
    <n v="0"/>
    <n v="45000000"/>
    <n v="45000000"/>
    <n v="45000000"/>
    <n v="-45000000"/>
    <n v="-45000000"/>
    <s v="Prestar servicios profesionales especializados para la formulación, articulación e implementación de acciones de incidencia política y formación pedagógica en derechos humanos, orientadas al fortalecimiento de la gobernanza territorial y la gestión del en"/>
    <m/>
    <m/>
    <m/>
    <m/>
    <m/>
    <m/>
    <m/>
    <m/>
    <m/>
    <m/>
    <m/>
    <m/>
    <m/>
    <m/>
    <m/>
    <m/>
    <m/>
    <m/>
    <m/>
    <m/>
    <m/>
    <m/>
    <m/>
    <m/>
    <m/>
    <m/>
    <n v="0"/>
    <n v="0"/>
    <n v="0"/>
    <n v="0"/>
    <n v="40926"/>
    <d v="2026-01-01T00:00:00"/>
    <n v="45000000"/>
    <n v="-45000000"/>
    <m/>
    <m/>
    <n v="0"/>
    <n v="0"/>
    <n v="4500000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4"/>
    <s v="100-66"/>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s v="Prestación de servicios profesionales y/o de apoyo a la gestión"/>
    <s v="100-66 Prestar servicios de apoyo  en la realización audiovisual a cargo del grupo de comunicaciones y prensa, orientados a visibilizar la implementación del proyecto de Enfoque Territorial dirigidas a los diversos actores del territorio y la ciudadanía e"/>
    <s v="Enero "/>
    <s v="Enero "/>
    <s v="Enero "/>
    <n v="11"/>
    <s v="Meses"/>
    <s v="Contratación directa - Prestación de servicios profesionales "/>
    <s v="Propios - 20 - Ingresos corrientes"/>
    <n v="29213050"/>
    <n v="29213050"/>
    <s v="N/A"/>
    <s v="N/A"/>
    <s v="Sandra Caballero"/>
    <s v="Asesora Dirección general"/>
    <n v="6012220601"/>
    <s v="sandra.caballero@upme.gov.co"/>
    <n v="0"/>
    <n v="0"/>
    <n v="29213050"/>
    <n v="0"/>
    <n v="0"/>
    <n v="3035760"/>
    <n v="0"/>
    <n v="3502800"/>
    <n v="0"/>
    <n v="3502800"/>
    <n v="0"/>
    <n v="3502800"/>
    <n v="0"/>
    <n v="3502800"/>
    <n v="0"/>
    <n v="3502800"/>
    <n v="0"/>
    <n v="3502800"/>
    <n v="0"/>
    <n v="3502800"/>
    <n v="0"/>
    <n v="1657690"/>
    <n v="0"/>
    <n v="0"/>
    <n v="29213050"/>
    <n v="29213050"/>
    <n v="0"/>
    <n v="0"/>
    <s v="Prestar servicios de apoyo  en la realización audiovisual a cargo del grupo de comunicaciones y prensa, orientados a visibilizar la implementación del proyecto de Enfoque Territorial dirigidas a los diversos actores del territorio y la ciudadanía en gener"/>
    <m/>
    <m/>
    <n v="29213050"/>
    <m/>
    <m/>
    <n v="3035760"/>
    <m/>
    <n v="3502800"/>
    <m/>
    <n v="3502800"/>
    <m/>
    <n v="3502800"/>
    <m/>
    <n v="3502800"/>
    <m/>
    <n v="3502800"/>
    <m/>
    <n v="3502800"/>
    <m/>
    <n v="3502800"/>
    <m/>
    <n v="1657690"/>
    <m/>
    <m/>
    <m/>
    <m/>
    <n v="29213050"/>
    <n v="29213050"/>
    <n v="0"/>
    <n v="0"/>
    <n v="64826"/>
    <d v="2026-01-25T00:00:00"/>
    <n v="29213050"/>
    <n v="0"/>
    <n v="49526"/>
    <d v="2026-02-09T00:00:00"/>
    <n v="29213050"/>
    <n v="0"/>
    <n v="0"/>
    <s v="DURAN MEZA NELSON MAURICIO"/>
    <s v="CO1.PCCNTR.9297578"/>
    <m/>
    <m/>
    <m/>
    <n v="29213050"/>
    <m/>
    <m/>
    <m/>
    <m/>
    <m/>
    <m/>
    <n v="3502800"/>
    <n v="3502800"/>
    <m/>
    <m/>
    <m/>
    <m/>
    <m/>
    <m/>
    <m/>
    <m/>
    <m/>
    <m/>
    <m/>
    <m/>
    <m/>
    <m/>
    <m/>
    <m/>
    <m/>
    <m/>
    <m/>
    <m/>
    <m/>
    <m/>
    <m/>
    <m/>
    <n v="29213050"/>
    <n v="3502800"/>
    <n v="3502800"/>
    <n v="25710250"/>
    <n v="0"/>
    <x v="0"/>
  </r>
  <r>
    <x v="0"/>
    <x v="0"/>
    <s v="Fortalecimiento del levantamiento, gestión y apropiación de la información para la planeación del sector minero energético con enfoque territorial nacional"/>
    <s v="Enfoque Territorial"/>
    <s v="Sí"/>
    <s v="Sí"/>
    <n v="1"/>
    <s v="100-6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6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
    <s v="Meses"/>
    <s v="Contratación directa - Prestación de servicios profesionales "/>
    <s v="Propios - 20 - Ingresos corrientes"/>
    <n v="16668844"/>
    <n v="16668844"/>
    <s v="N/A"/>
    <s v="N/A"/>
    <s v="Sandra Caballero"/>
    <s v="Asesora Dirección general"/>
    <n v="6012220601"/>
    <s v="sandra.caballero@upme.gov.co"/>
    <n v="0"/>
    <n v="0"/>
    <n v="16668844"/>
    <n v="0"/>
    <n v="0"/>
    <n v="7000000"/>
    <n v="0"/>
    <n v="8500000"/>
    <n v="0"/>
    <n v="1168844"/>
    <n v="0"/>
    <n v="0"/>
    <n v="0"/>
    <n v="0"/>
    <n v="0"/>
    <n v="0"/>
    <n v="0"/>
    <n v="0"/>
    <n v="0"/>
    <n v="0"/>
    <n v="0"/>
    <n v="0"/>
    <n v="0"/>
    <n v="0"/>
    <n v="16668844"/>
    <n v="16668844"/>
    <n v="0"/>
    <n v="0"/>
    <s v="Prestar servicios profesionales orientados al fortalecimiento de la Dimensión de Control Interno mediante la ejecución del Plan Anual de Auditorías Internas Independientes, con énfasis en la evaluación de la gestión administrativa de la UPME."/>
    <m/>
    <m/>
    <n v="16668844"/>
    <m/>
    <m/>
    <n v="7000000"/>
    <m/>
    <n v="8500000"/>
    <m/>
    <n v="1168844"/>
    <m/>
    <m/>
    <m/>
    <m/>
    <m/>
    <m/>
    <m/>
    <m/>
    <m/>
    <m/>
    <m/>
    <m/>
    <m/>
    <m/>
    <m/>
    <m/>
    <n v="16668844"/>
    <n v="16668844"/>
    <n v="0"/>
    <n v="0"/>
    <n v="64026"/>
    <d v="2026-01-23T00:00:00"/>
    <n v="16668844"/>
    <n v="0"/>
    <n v="59726"/>
    <d v="2026-02-12T00:00:00"/>
    <n v="16668844"/>
    <n v="0"/>
    <n v="0"/>
    <s v="NUÑEZ GANTIVA NATALIA ELIANA"/>
    <s v="CO1.PCCNTR.9306722"/>
    <m/>
    <m/>
    <m/>
    <n v="16668844"/>
    <m/>
    <m/>
    <m/>
    <n v="5100000"/>
    <n v="5100000"/>
    <m/>
    <m/>
    <m/>
    <m/>
    <m/>
    <m/>
    <m/>
    <m/>
    <m/>
    <m/>
    <m/>
    <m/>
    <m/>
    <m/>
    <m/>
    <m/>
    <m/>
    <m/>
    <m/>
    <m/>
    <m/>
    <m/>
    <m/>
    <m/>
    <m/>
    <m/>
    <m/>
    <n v="16668844"/>
    <n v="5100000"/>
    <n v="5100000"/>
    <n v="11568844"/>
    <n v="0"/>
    <x v="0"/>
  </r>
  <r>
    <x v="0"/>
    <x v="0"/>
    <s v="Fortalecimiento del levantamiento, gestión y apropiación de la información para la planeación del sector minero energético con enfoque territorial nacional"/>
    <s v="Enfoque Territorial"/>
    <s v="Sí"/>
    <s v="Sí"/>
    <n v="1"/>
    <s v="100-6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68 Prestar servicios profesionales para articular el seguimiento de la planeación estratégica y la ejecución presupuestal del proyecto de Enfoque Territorial de la Dirección General, garantizando el cumplimiento efectivo de sus metas y su adecuada int"/>
    <s v="Enero "/>
    <s v="Enero "/>
    <s v="Enero "/>
    <n v="11.5"/>
    <s v="Meses"/>
    <s v="Contratación directa - Prestación de servicios profesionales "/>
    <s v="Propios - 20 - Ingresos corrientes"/>
    <n v="32000000"/>
    <n v="32000000"/>
    <s v="N/A"/>
    <s v="N/A"/>
    <s v="Sandra Caballero"/>
    <s v="Asesora Dirección general"/>
    <n v="6012220601"/>
    <s v="sandra.caballero@upme.gov.co"/>
    <n v="32000000"/>
    <n v="0"/>
    <n v="0"/>
    <n v="0"/>
    <n v="0"/>
    <n v="0"/>
    <n v="0"/>
    <n v="0"/>
    <n v="0"/>
    <n v="0"/>
    <n v="0"/>
    <n v="0"/>
    <n v="0"/>
    <n v="0"/>
    <n v="0"/>
    <n v="0"/>
    <n v="0"/>
    <n v="0"/>
    <n v="0"/>
    <n v="7200000"/>
    <n v="0"/>
    <n v="8000000"/>
    <n v="0"/>
    <n v="16800000"/>
    <n v="32000000"/>
    <n v="32000000"/>
    <n v="0"/>
    <n v="0"/>
    <s v="Prestar servicios profesionales para articular el seguimiento de la planeación estratégica y la ejecución presupuestal del proyecto de Enfoque Territorial de la Dirección General, garantizando el cumplimiento efectivo de sus metas y su adecuada integració"/>
    <n v="32000000"/>
    <m/>
    <m/>
    <m/>
    <m/>
    <m/>
    <m/>
    <m/>
    <m/>
    <m/>
    <m/>
    <m/>
    <m/>
    <m/>
    <m/>
    <m/>
    <m/>
    <m/>
    <m/>
    <n v="7200000"/>
    <m/>
    <n v="8000000"/>
    <m/>
    <n v="16800000"/>
    <m/>
    <m/>
    <n v="32000000"/>
    <n v="32000000"/>
    <n v="0"/>
    <n v="0"/>
    <n v="13526"/>
    <d v="2026-01-08T00:00:00"/>
    <n v="30666667"/>
    <n v="1333333"/>
    <n v="11926"/>
    <d v="2026-01-20T00:00:00"/>
    <n v="30666667"/>
    <n v="1333333"/>
    <n v="0"/>
    <s v="CARRANZA MOLINA OLGA LUCIA"/>
    <s v="CO1.PCCNTR.8914684"/>
    <n v="32000000"/>
    <m/>
    <m/>
    <m/>
    <m/>
    <m/>
    <n v="-1333333"/>
    <m/>
    <m/>
    <m/>
    <m/>
    <m/>
    <m/>
    <m/>
    <m/>
    <m/>
    <m/>
    <m/>
    <m/>
    <m/>
    <m/>
    <m/>
    <m/>
    <m/>
    <m/>
    <m/>
    <m/>
    <m/>
    <m/>
    <m/>
    <m/>
    <m/>
    <m/>
    <m/>
    <m/>
    <m/>
    <n v="30666667"/>
    <n v="0"/>
    <n v="0"/>
    <n v="30666667"/>
    <n v="0"/>
    <x v="0"/>
  </r>
  <r>
    <x v="0"/>
    <x v="0"/>
    <s v="Fortalecimiento del levantamiento, gestión y apropiación de la información para la planeación del sector minero energético con enfoque territorial nacional"/>
    <s v="Enfoque Territorial"/>
    <s v="Sí"/>
    <s v="Sí"/>
    <n v="4"/>
    <s v="100-6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s v="Prestación de servicios profesionales y/o de apoyo a la gestión"/>
    <s v="100-69 Prestación de servicios profesionales para la proyección oportuna y eficiente de los procedimientos contractuales de la entidad así como atender las PQRS y gestionar las actuaciones administrativas derivadas de las metas institucionales, en especia"/>
    <s v="Enero "/>
    <s v="Enero "/>
    <s v="Enero "/>
    <n v="9"/>
    <s v="Meses"/>
    <s v="Contratación directa - Prestación de servicios profesionales "/>
    <s v="Propios - 20 - Ingresos corrientes"/>
    <n v="36000000"/>
    <n v="36000000"/>
    <s v="N/A"/>
    <s v="N/A"/>
    <s v="Sandra Caballero"/>
    <s v="Asesora Dirección general"/>
    <n v="6012220601"/>
    <s v="sandra.caballero@upme.gov.co"/>
    <n v="0"/>
    <n v="0"/>
    <n v="0"/>
    <n v="0"/>
    <n v="0"/>
    <n v="0"/>
    <n v="0"/>
    <n v="0"/>
    <n v="0"/>
    <n v="0"/>
    <n v="0"/>
    <n v="0"/>
    <n v="36000000"/>
    <n v="0"/>
    <n v="0"/>
    <n v="0"/>
    <n v="0"/>
    <n v="0"/>
    <n v="0"/>
    <n v="0"/>
    <n v="0"/>
    <n v="0"/>
    <n v="0"/>
    <n v="36000000"/>
    <n v="36000000"/>
    <n v="36000000"/>
    <n v="0"/>
    <n v="0"/>
    <s v="Prestación de servicios profesionales para la proyección oportuna y eficiente de los procedimientos contractuales de la entidad así como atender las PQRS y gestionar las actuaciones administrativas derivadas de las metas institucionales, en especial lo re"/>
    <m/>
    <m/>
    <m/>
    <m/>
    <m/>
    <m/>
    <m/>
    <m/>
    <m/>
    <m/>
    <m/>
    <m/>
    <n v="36000000"/>
    <m/>
    <m/>
    <m/>
    <m/>
    <m/>
    <m/>
    <m/>
    <m/>
    <m/>
    <m/>
    <n v="36000000"/>
    <m/>
    <m/>
    <n v="36000000"/>
    <n v="36000000"/>
    <n v="0"/>
    <n v="0"/>
    <m/>
    <m/>
    <m/>
    <n v="36000000"/>
    <m/>
    <m/>
    <n v="0"/>
    <n v="36000000"/>
    <n v="0"/>
    <m/>
    <m/>
    <m/>
    <m/>
    <m/>
    <m/>
    <m/>
    <m/>
    <m/>
    <m/>
    <m/>
    <m/>
    <m/>
    <m/>
    <m/>
    <m/>
    <m/>
    <m/>
    <m/>
    <m/>
    <m/>
    <m/>
    <m/>
    <m/>
    <m/>
    <m/>
    <m/>
    <m/>
    <m/>
    <m/>
    <m/>
    <m/>
    <m/>
    <m/>
    <m/>
    <m/>
    <m/>
    <m/>
    <n v="0"/>
    <n v="0"/>
    <n v="0"/>
    <n v="0"/>
    <n v="0"/>
    <x v="0"/>
  </r>
  <r>
    <x v="0"/>
    <x v="0"/>
    <s v="Fortalecimiento del levantamiento, gestión y apropiación de la información para la planeación del sector minero energético con enfoque territorial nacional"/>
    <s v="Enfoque Territorial"/>
    <s v="Sí"/>
    <s v="Sí"/>
    <n v="6"/>
    <s v="100-7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s v="Prestación de servicios profesionales y/o de apoyo a la gestión"/>
    <s v="100-70 Prestar servicios profesionales para apoyar la identificación, análisis y aplicabilidad de variables ambientales, territoriales y de riesgo socioambiental para la planeación minero energética en los territorios priorizados. Adicionalmente, contribu"/>
    <s v="Enero "/>
    <s v="Enero "/>
    <s v="Enero "/>
    <n v="11"/>
    <s v="Meses"/>
    <s v="Contratación directa - Prestación de servicios profesionales "/>
    <s v="Propios - 20 - Ingresos corrientes"/>
    <n v="16500000"/>
    <n v="16500000"/>
    <s v="N/A"/>
    <s v="N/A"/>
    <s v="Wilson Quintero"/>
    <s v="Asesor Dirección general"/>
    <n v="6012220601"/>
    <s v="wilson.quintero@upme.gov.co"/>
    <n v="0"/>
    <n v="0"/>
    <n v="16500000"/>
    <n v="0"/>
    <n v="0"/>
    <n v="0"/>
    <n v="0"/>
    <n v="0"/>
    <n v="0"/>
    <n v="0"/>
    <n v="0"/>
    <n v="0"/>
    <n v="0"/>
    <n v="0"/>
    <n v="0"/>
    <n v="0"/>
    <n v="0"/>
    <n v="200000"/>
    <n v="0"/>
    <n v="8000000"/>
    <n v="0"/>
    <n v="8000000"/>
    <n v="0"/>
    <n v="300000"/>
    <n v="16500000"/>
    <n v="16500000"/>
    <n v="0"/>
    <n v="0"/>
    <s v="Prestar servicios profesionales para apoyar la identificación, análisis y aplicabilidad de variables ambientales, territoriales y de riesgo socioambiental para la planeación minero energética en los territorios priorizados. Adicionalmente, contribuir en l"/>
    <m/>
    <m/>
    <n v="16500000"/>
    <m/>
    <m/>
    <m/>
    <m/>
    <m/>
    <m/>
    <m/>
    <m/>
    <m/>
    <m/>
    <m/>
    <m/>
    <m/>
    <m/>
    <n v="200000"/>
    <m/>
    <n v="8000000"/>
    <m/>
    <n v="8000000"/>
    <m/>
    <n v="300000"/>
    <m/>
    <m/>
    <n v="16500000"/>
    <n v="16500000"/>
    <n v="0"/>
    <n v="0"/>
    <n v="38426"/>
    <d v="2026-01-15T00:00:00"/>
    <n v="16500000"/>
    <n v="0"/>
    <n v="52626"/>
    <d v="2026-02-10T00:00:00"/>
    <n v="6600000"/>
    <n v="9900000"/>
    <n v="9900000"/>
    <s v="SANABRIA HERNANDEZ SANDRA PATRICIA"/>
    <s v="CO1.PCCNTR.9259628"/>
    <m/>
    <m/>
    <m/>
    <n v="6600000"/>
    <m/>
    <m/>
    <m/>
    <m/>
    <m/>
    <m/>
    <m/>
    <m/>
    <m/>
    <m/>
    <m/>
    <m/>
    <m/>
    <m/>
    <m/>
    <m/>
    <m/>
    <m/>
    <m/>
    <m/>
    <m/>
    <m/>
    <m/>
    <m/>
    <m/>
    <m/>
    <m/>
    <m/>
    <m/>
    <m/>
    <m/>
    <m/>
    <n v="6600000"/>
    <n v="0"/>
    <n v="0"/>
    <n v="6600000"/>
    <n v="0"/>
    <x v="0"/>
  </r>
  <r>
    <x v="0"/>
    <x v="0"/>
    <s v="Fortalecimiento del levantamiento, gestión y apropiación de la información para la planeación del sector minero energético con enfoque territorial nacional"/>
    <s v="Enfoque Territorial"/>
    <s v="Sí"/>
    <s v="Sí"/>
    <n v="22"/>
    <s v="100-71"/>
    <s v="Incluir el uso de las particularidades propias de cada territorio en la planeación minero energética."/>
    <s v="Documentos Metodológicos"/>
    <s v="Identificar e incorporar variables sociales, ambientales y territoriales en los documentos de planeación minero energética."/>
    <s v="43201800;43233405;43212201"/>
    <s v="C-2106-1900-10-53105E-2106005-02"/>
    <s v="Hardware (Equipos de computo o partes físicas)"/>
    <s v="100-71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36000000"/>
    <n v="36000000"/>
    <s v="N/A"/>
    <s v="N/A"/>
    <s v="Sandra Caballero"/>
    <s v="Asesora Dirección general"/>
    <n v="6012220601"/>
    <s v="sandra.caballero@upme.gov.co"/>
    <n v="0"/>
    <n v="0"/>
    <n v="0"/>
    <n v="0"/>
    <n v="0"/>
    <n v="0"/>
    <n v="0"/>
    <n v="0"/>
    <n v="0"/>
    <n v="0"/>
    <n v="0"/>
    <n v="0"/>
    <n v="36000000"/>
    <n v="0"/>
    <n v="0"/>
    <n v="0"/>
    <n v="0"/>
    <n v="0"/>
    <n v="0"/>
    <n v="0"/>
    <n v="0"/>
    <n v="0"/>
    <n v="0"/>
    <n v="36000000"/>
    <n v="36000000"/>
    <n v="36000000"/>
    <n v="0"/>
    <n v="0"/>
    <s v="Adquirir el licenciamiento por suscripción para Plataforma de virtualización y almacenamiento en nube incluyendo la adquisición del hardware para Computación y Storage que soporta esta solución de Hiperconvergencia."/>
    <m/>
    <m/>
    <m/>
    <m/>
    <m/>
    <m/>
    <m/>
    <m/>
    <m/>
    <m/>
    <m/>
    <m/>
    <n v="36000000"/>
    <m/>
    <m/>
    <m/>
    <m/>
    <m/>
    <m/>
    <m/>
    <m/>
    <m/>
    <m/>
    <n v="36000000"/>
    <m/>
    <m/>
    <n v="36000000"/>
    <n v="36000000"/>
    <n v="0"/>
    <n v="0"/>
    <n v="67626"/>
    <d v="2026-01-30T00:00:00"/>
    <n v="0"/>
    <n v="36000000"/>
    <m/>
    <m/>
    <n v="0"/>
    <n v="36000000"/>
    <n v="0"/>
    <m/>
    <m/>
    <m/>
    <m/>
    <m/>
    <m/>
    <m/>
    <m/>
    <m/>
    <m/>
    <m/>
    <m/>
    <m/>
    <m/>
    <m/>
    <m/>
    <m/>
    <m/>
    <m/>
    <m/>
    <m/>
    <m/>
    <m/>
    <m/>
    <m/>
    <m/>
    <m/>
    <m/>
    <m/>
    <m/>
    <m/>
    <m/>
    <m/>
    <m/>
    <m/>
    <m/>
    <m/>
    <m/>
    <n v="0"/>
    <n v="0"/>
    <n v="0"/>
    <n v="0"/>
    <n v="0"/>
    <x v="0"/>
  </r>
  <r>
    <x v="0"/>
    <x v="1"/>
    <s v="Fortalecimiento de la percepción de la ciudadanía frente a los productos y servicios prestados por la UPME nacional"/>
    <s v="Transversal"/>
    <s v="Sí"/>
    <s v="Sí"/>
    <n v="68"/>
    <s v="101-1"/>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s v="Prestación de servicios profesionales y/o de apoyo a la gestión"/>
    <s v="101-1 Prestar los servicios profesionales especializados para el desarrollo de los componentes de planeación, gestión de recursos y ejecución del ciclo de los proyectos de inversión pública, así como en la elaboración, actualización y mejora de las herram"/>
    <s v="Enero "/>
    <s v="Enero "/>
    <s v="Enero "/>
    <n v="345"/>
    <s v="Días"/>
    <s v="Contratación directa - Prestación de servicios profesionales "/>
    <s v="Propios - 20 - Ingresos corrientes"/>
    <n v="68357300"/>
    <n v="68357300"/>
    <s v="No"/>
    <s v="N/A"/>
    <s v="Verónica Tabares Muñoz"/>
    <s v="Jefe de Oficina Asesora de Planeación"/>
    <n v="6012220601"/>
    <s v="veronica.tabares@upme.gov.co"/>
    <n v="68357300"/>
    <n v="0"/>
    <n v="0"/>
    <n v="7333333"/>
    <n v="0"/>
    <n v="11000000"/>
    <n v="0"/>
    <n v="11000000"/>
    <n v="0"/>
    <n v="11000000"/>
    <n v="0"/>
    <n v="11000000"/>
    <n v="0"/>
    <n v="11000000"/>
    <n v="0"/>
    <n v="6023967"/>
    <n v="0"/>
    <n v="0"/>
    <n v="0"/>
    <n v="0"/>
    <n v="0"/>
    <n v="0"/>
    <n v="0"/>
    <n v="0"/>
    <n v="68357300"/>
    <n v="68357300"/>
    <n v="0"/>
    <n v="0"/>
    <s v="Prestar los servicios profesionales especializados para el desarrollo de los componentes de planeación, gestión de recursos y ejecución del ciclo de los proyectos de inversión pública, así como en la elaboración, actualización y mejora de las herramientas"/>
    <n v="68357300"/>
    <m/>
    <m/>
    <n v="7333333"/>
    <m/>
    <n v="11000000"/>
    <m/>
    <n v="11000000"/>
    <m/>
    <n v="11000000"/>
    <m/>
    <n v="11000000"/>
    <m/>
    <n v="11000000"/>
    <m/>
    <n v="6023967"/>
    <m/>
    <m/>
    <m/>
    <m/>
    <m/>
    <m/>
    <m/>
    <m/>
    <m/>
    <m/>
    <n v="68357300"/>
    <n v="68357300"/>
    <n v="0"/>
    <n v="0"/>
    <n v="2426"/>
    <d v="2026-01-05T00:00:00"/>
    <n v="67990633"/>
    <n v="366667"/>
    <n v="9926"/>
    <d v="2026-01-16T00:00:00"/>
    <n v="67990633"/>
    <n v="366667"/>
    <n v="0"/>
    <s v="FERNANDEZ GALVIS JENNYFER ROCIO"/>
    <s v="CO1.PCCNTR.8875400"/>
    <n v="68357300"/>
    <m/>
    <m/>
    <n v="-366667"/>
    <n v="5133333"/>
    <n v="5133333"/>
    <m/>
    <n v="11000000"/>
    <n v="11000000"/>
    <m/>
    <n v="11000000"/>
    <n v="11000000"/>
    <m/>
    <m/>
    <m/>
    <m/>
    <m/>
    <m/>
    <m/>
    <m/>
    <m/>
    <m/>
    <m/>
    <m/>
    <m/>
    <m/>
    <m/>
    <m/>
    <m/>
    <m/>
    <m/>
    <m/>
    <m/>
    <m/>
    <m/>
    <m/>
    <n v="67990633"/>
    <n v="27133333"/>
    <n v="27133333"/>
    <n v="40857300"/>
    <n v="0"/>
    <x v="0"/>
  </r>
  <r>
    <x v="0"/>
    <x v="1"/>
    <s v="Fortalecimiento de la percepción de la ciudadanía frente a los productos y servicios prestados por la UPME nacional"/>
    <s v="Transversal"/>
    <s v="Sí"/>
    <s v="Sí"/>
    <n v="68"/>
    <s v="101-2"/>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s v="Prestación de servicios profesionales y/o de apoyo a la gestión"/>
    <s v="101-2 Prestar servicios profesionales para implementar, monitorear y realizar seguimiento al Plan de ejecución y monitoreo 2026 del Programa de Transparencia y Ética Pública (PTEP) 2026 - 2029 de la UPME, brindando orientación y apoyo metodológico para la"/>
    <s v="Enero "/>
    <s v="Enero "/>
    <s v="Enero "/>
    <n v="340"/>
    <s v="Días"/>
    <s v="Contratación directa - Prestación de servicios profesionales "/>
    <s v="Propios - 20 - Ingresos corrientes"/>
    <n v="30000000"/>
    <n v="30000000"/>
    <s v="No"/>
    <s v="N/A"/>
    <s v="Verónica Tabares Muñoz"/>
    <s v="Jefe de Oficina Asesora de Planeación"/>
    <n v="6012220601"/>
    <s v="veronica.tabares@upme.gov.co"/>
    <n v="0"/>
    <n v="0"/>
    <n v="30000000"/>
    <n v="0"/>
    <n v="0"/>
    <n v="5333333"/>
    <n v="0"/>
    <n v="8000000"/>
    <n v="0"/>
    <n v="8000000"/>
    <n v="0"/>
    <n v="8000000"/>
    <n v="0"/>
    <n v="666667"/>
    <n v="0"/>
    <n v="0"/>
    <n v="0"/>
    <n v="0"/>
    <n v="0"/>
    <n v="0"/>
    <n v="0"/>
    <n v="0"/>
    <n v="0"/>
    <n v="0"/>
    <n v="30000000"/>
    <n v="30000000"/>
    <n v="0"/>
    <n v="0"/>
    <s v="Prestar servicios profesionales para implementar, monitorear y realizar seguimiento al Plan de ejecución y monitoreo 2026 del Programa de Transparencia y Ética Pública (PTEP) 2026 - 2029 de la UPME, brindando orientación y apoyo metodológico para la adopc"/>
    <m/>
    <m/>
    <n v="30000000"/>
    <m/>
    <m/>
    <n v="5333333"/>
    <m/>
    <n v="8000000"/>
    <m/>
    <n v="8000000"/>
    <m/>
    <n v="8000000"/>
    <m/>
    <n v="666667"/>
    <m/>
    <m/>
    <m/>
    <m/>
    <m/>
    <m/>
    <m/>
    <m/>
    <m/>
    <m/>
    <m/>
    <m/>
    <n v="30000000"/>
    <n v="30000000"/>
    <n v="0"/>
    <n v="0"/>
    <n v="54426"/>
    <d v="2026-01-21T00:00:00"/>
    <n v="26000000"/>
    <n v="4000000"/>
    <n v="46026"/>
    <d v="2026-02-05T00:00:00"/>
    <n v="26000000"/>
    <n v="4000000"/>
    <n v="0"/>
    <s v="MURCIA VANEGAS JESSICA LORENA"/>
    <s v="CO1.PCCNTR.9249984"/>
    <m/>
    <m/>
    <m/>
    <n v="27333333"/>
    <m/>
    <m/>
    <n v="-1333333"/>
    <n v="6666667"/>
    <n v="6666667"/>
    <m/>
    <n v="8000000"/>
    <n v="8000000"/>
    <m/>
    <m/>
    <m/>
    <m/>
    <m/>
    <m/>
    <m/>
    <m/>
    <m/>
    <m/>
    <m/>
    <m/>
    <m/>
    <m/>
    <m/>
    <m/>
    <m/>
    <m/>
    <m/>
    <m/>
    <m/>
    <m/>
    <m/>
    <m/>
    <n v="26000000"/>
    <n v="14666667"/>
    <n v="14666667"/>
    <n v="11333333"/>
    <n v="0"/>
    <x v="0"/>
  </r>
  <r>
    <x v="0"/>
    <x v="1"/>
    <s v="Fortalecimiento de la percepción de la ciudadanía frente a los productos y servicios prestados por la UPME nacional"/>
    <s v="Transversal"/>
    <s v="Sí"/>
    <s v="Sí"/>
    <n v="68"/>
    <s v="101-3"/>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s v="Prestación de servicios profesionales y/o de apoyo a la gestión"/>
    <s v="101-3 Prestar servicios profesionales para apoyar las acciones de formulación y seguimiento de los proyectos de inversión de la entidad; así como el registro, análisis y consolidación de información en las herramientas y sistemas de información definidos "/>
    <s v="Enero "/>
    <s v="Enero "/>
    <s v="Enero "/>
    <n v="340"/>
    <s v="Días"/>
    <s v="Contratación directa - Prestación de servicios profesionales "/>
    <s v="Propios - 20 - Ingresos corrientes"/>
    <n v="43006600"/>
    <n v="43006600"/>
    <s v="No"/>
    <s v="N/A"/>
    <s v="Verónica Tabares Muñoz"/>
    <s v="Jefe de Oficina Asesora de Planeación"/>
    <n v="6012220601"/>
    <s v="veronica.tabares@upme.gov.co"/>
    <n v="43006600"/>
    <n v="0"/>
    <n v="0"/>
    <n v="2529800"/>
    <n v="0"/>
    <n v="3794700"/>
    <n v="0"/>
    <n v="3794700"/>
    <n v="0"/>
    <n v="3794700"/>
    <n v="0"/>
    <n v="3794700"/>
    <n v="0"/>
    <n v="3794700"/>
    <n v="0"/>
    <n v="3794700"/>
    <n v="0"/>
    <n v="3794700"/>
    <n v="0"/>
    <n v="3794700"/>
    <n v="0"/>
    <n v="3794700"/>
    <n v="0"/>
    <n v="6324500"/>
    <n v="43006600"/>
    <n v="43006600"/>
    <n v="0"/>
    <n v="0"/>
    <s v="Prestar servicios profesionales para apoyar las acciones de formulación y seguimiento de los proyectos de inversión de la entidad; así como el registro, análisis y consolidación de información en las herramientas y sistemas de información definidos por la"/>
    <n v="43006600"/>
    <m/>
    <m/>
    <n v="2529800"/>
    <m/>
    <n v="3794700"/>
    <m/>
    <n v="3794700"/>
    <m/>
    <n v="3794700"/>
    <m/>
    <n v="3794700"/>
    <m/>
    <n v="3794700"/>
    <m/>
    <n v="3794700"/>
    <m/>
    <n v="3794700"/>
    <m/>
    <n v="3794700"/>
    <m/>
    <n v="3794700"/>
    <m/>
    <n v="6324500"/>
    <m/>
    <m/>
    <n v="43006600"/>
    <n v="43006600"/>
    <n v="0"/>
    <n v="0"/>
    <n v="2626"/>
    <d v="2026-01-05T00:00:00"/>
    <n v="43006600"/>
    <n v="0"/>
    <n v="10126"/>
    <d v="2026-01-16T00:00:00"/>
    <n v="43006600"/>
    <n v="0"/>
    <n v="0"/>
    <s v="PATIÑO GUTIERREZ MARIA JOSE"/>
    <s v="CO1.PCCNTR.8859914"/>
    <n v="43006600"/>
    <m/>
    <m/>
    <m/>
    <n v="1770860"/>
    <n v="1770860"/>
    <m/>
    <n v="3794700"/>
    <n v="3794700"/>
    <m/>
    <n v="3794700"/>
    <n v="3794700"/>
    <m/>
    <m/>
    <m/>
    <m/>
    <m/>
    <m/>
    <m/>
    <m/>
    <m/>
    <m/>
    <m/>
    <m/>
    <m/>
    <m/>
    <m/>
    <m/>
    <m/>
    <m/>
    <m/>
    <m/>
    <m/>
    <m/>
    <m/>
    <m/>
    <n v="43006600"/>
    <n v="9360260"/>
    <n v="9360260"/>
    <n v="33646340"/>
    <n v="0"/>
    <x v="0"/>
  </r>
  <r>
    <x v="0"/>
    <x v="1"/>
    <s v="Fortalecimiento de la percepción de la ciudadanía frente a los productos y servicios prestados por la UPME nacional"/>
    <s v="Transversal"/>
    <s v="Sí"/>
    <s v="Sí"/>
    <n v="68"/>
    <s v="101-4"/>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s v="Prestación de servicios profesionales y/o de apoyo a la gestión"/>
    <s v="101-4 Prestar servicios profesionales para apoyar las actividades de seguimiento, evaluación y mejora del Sistema de Gestión Institucional, en articulación con el Modelo Integrado de Planeación y Gestión (MIPG)."/>
    <s v="Enero "/>
    <s v="Enero "/>
    <s v="Enero "/>
    <n v="330"/>
    <s v="Días"/>
    <s v="Contratación directa - Prestación de servicios profesionales "/>
    <s v="Propios - 20 - Ingresos corrientes"/>
    <n v="23923293"/>
    <n v="23923293"/>
    <s v="No"/>
    <s v="N/A"/>
    <s v="Verónica Tabares Muñoz"/>
    <s v="Jefe de Oficina Asesora de Planeación"/>
    <n v="6012220601"/>
    <s v="veronica.tabares@upme.gov.co"/>
    <n v="0"/>
    <n v="0"/>
    <n v="23923293"/>
    <n v="0"/>
    <n v="0"/>
    <n v="3500000"/>
    <n v="0"/>
    <n v="3500000"/>
    <n v="0"/>
    <n v="3500000"/>
    <n v="0"/>
    <n v="3500000"/>
    <n v="0"/>
    <n v="3500000"/>
    <n v="0"/>
    <n v="3500000"/>
    <n v="0"/>
    <n v="2923293"/>
    <n v="0"/>
    <n v="0"/>
    <n v="0"/>
    <n v="0"/>
    <n v="0"/>
    <n v="0"/>
    <n v="23923293"/>
    <n v="23923293"/>
    <n v="0"/>
    <n v="0"/>
    <s v="Prestar servicios profesionales para apoyar las actividades de seguimiento, evaluación y mejora del Sistema de Gestión Institucional, en articulación con el Modelo Integrado de Planeación y Gestión (MIPG)."/>
    <m/>
    <m/>
    <n v="23923293"/>
    <m/>
    <m/>
    <n v="3500000"/>
    <m/>
    <n v="3500000"/>
    <m/>
    <n v="3500000"/>
    <m/>
    <n v="3500000"/>
    <m/>
    <n v="3500000"/>
    <m/>
    <n v="3500000"/>
    <m/>
    <n v="2923293"/>
    <m/>
    <m/>
    <m/>
    <m/>
    <m/>
    <m/>
    <m/>
    <m/>
    <n v="23923293"/>
    <n v="23923293"/>
    <n v="0"/>
    <n v="0"/>
    <n v="54226"/>
    <d v="2026-01-21T00:00:00"/>
    <n v="22639960"/>
    <n v="1283333"/>
    <n v="58526"/>
    <d v="2026-02-11T00:00:00"/>
    <n v="22639960"/>
    <n v="1283333"/>
    <n v="0"/>
    <s v="AGUILERA MAYORGA FERNANDO"/>
    <s v="CO1.PCCNTR.9286588"/>
    <m/>
    <m/>
    <m/>
    <n v="23923293"/>
    <m/>
    <m/>
    <n v="-1283333"/>
    <n v="2216667"/>
    <n v="2216667"/>
    <m/>
    <n v="3500000"/>
    <n v="3500000"/>
    <m/>
    <m/>
    <m/>
    <m/>
    <m/>
    <m/>
    <m/>
    <m/>
    <m/>
    <m/>
    <m/>
    <m/>
    <m/>
    <m/>
    <m/>
    <m/>
    <m/>
    <m/>
    <m/>
    <m/>
    <m/>
    <m/>
    <m/>
    <m/>
    <n v="22639960"/>
    <n v="5716667"/>
    <n v="5716667"/>
    <n v="16923293"/>
    <n v="0"/>
    <x v="0"/>
  </r>
  <r>
    <x v="0"/>
    <x v="1"/>
    <s v="Fortalecimiento de la percepción de la ciudadanía frente a los productos y servicios prestados por la UPME nacional"/>
    <s v="Transversal"/>
    <s v="Sí"/>
    <s v="Sí"/>
    <n v="68"/>
    <s v="101-5"/>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s v="Prestación de servicios profesionales y/o de apoyo a la gestión"/>
    <s v="101-5 Prestar servicios profesionales para acompañar el desarrollo de las actividades asociadas a la ejecución, seguimiento y organización de las acciones de cooperación internacional y demás tareas operativas asignadas a la Oficina Asesora de Planeación."/>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0"/>
    <n v="0"/>
    <n v="36139950"/>
    <n v="0"/>
    <n v="0"/>
    <n v="3285450"/>
    <n v="0"/>
    <n v="3285450"/>
    <n v="0"/>
    <n v="3285450"/>
    <n v="0"/>
    <n v="3285450"/>
    <n v="0"/>
    <n v="3285450"/>
    <n v="0"/>
    <n v="3285450"/>
    <n v="0"/>
    <n v="3285450"/>
    <n v="0"/>
    <n v="3285450"/>
    <n v="0"/>
    <n v="3285450"/>
    <n v="0"/>
    <n v="6570900"/>
    <n v="36139950"/>
    <n v="36139950"/>
    <n v="0"/>
    <n v="0"/>
    <s v="Prestar servicios profesionales para acompañar el desarrollo de las actividades asociadas a la ejecución, seguimiento y organización de las acciones de cooperación internacional y demás tareas operativas asignadas a la Oficina Asesora de Planeación."/>
    <m/>
    <m/>
    <n v="36139950"/>
    <m/>
    <m/>
    <n v="3285450"/>
    <m/>
    <n v="3285450"/>
    <m/>
    <n v="3285450"/>
    <m/>
    <n v="3285450"/>
    <m/>
    <n v="3285450"/>
    <m/>
    <n v="3285450"/>
    <m/>
    <n v="3285450"/>
    <m/>
    <n v="3285450"/>
    <m/>
    <n v="3285450"/>
    <m/>
    <n v="6570900"/>
    <m/>
    <m/>
    <n v="36139950"/>
    <n v="36139950"/>
    <n v="0"/>
    <n v="0"/>
    <n v="54326"/>
    <d v="2026-01-21T00:00:00"/>
    <n v="36139950"/>
    <n v="0"/>
    <n v="51426"/>
    <d v="2026-02-09T00:00:00"/>
    <n v="36139950"/>
    <n v="0"/>
    <n v="0"/>
    <s v="RODRIGUEZ QUINTERO JOHN ALEXANDER"/>
    <s v="CO1.PCCNTR.9284209"/>
    <m/>
    <m/>
    <m/>
    <n v="36139950"/>
    <m/>
    <m/>
    <m/>
    <m/>
    <m/>
    <m/>
    <n v="5585265"/>
    <n v="5585265"/>
    <m/>
    <m/>
    <m/>
    <m/>
    <m/>
    <m/>
    <m/>
    <m/>
    <m/>
    <m/>
    <m/>
    <m/>
    <m/>
    <m/>
    <m/>
    <m/>
    <m/>
    <m/>
    <m/>
    <m/>
    <m/>
    <m/>
    <m/>
    <m/>
    <n v="36139950"/>
    <n v="5585265"/>
    <n v="5585265"/>
    <n v="30554685"/>
    <n v="0"/>
    <x v="0"/>
  </r>
  <r>
    <x v="0"/>
    <x v="1"/>
    <s v="Fortalecimiento de la percepción de la ciudadanía frente a los productos y servicios prestados por la UPME nacional"/>
    <s v="Transversal"/>
    <s v="Sí"/>
    <s v="Sí"/>
    <n v="68"/>
    <s v="101-6"/>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s v="Prestación de servicios profesionales y/o de apoyo a la gestión"/>
    <s v="101-6 Prestar los servicios profesionales especializados para el desarrollo de los componentes de planeación, gestión de recursos y ejecución del ciclo de los proyectos de inversión pública, así como en la elaboración, actualización y mejora de las herram"/>
    <s v="Enero "/>
    <s v="Enero "/>
    <s v="Enero "/>
    <n v="345"/>
    <s v="Días"/>
    <s v="Contratación directa - Prestación de servicios profesionales "/>
    <s v="Propios - 20 - Ingresos corrientes"/>
    <n v="58142700"/>
    <n v="58142700"/>
    <s v="No"/>
    <s v="N/A"/>
    <s v="Verónica Tabares Muñoz"/>
    <s v="Jefe de Oficina Asesora de Planeación"/>
    <n v="6012220601"/>
    <s v="veronica.tabares@upme.gov.co"/>
    <n v="58142700"/>
    <n v="0"/>
    <n v="0"/>
    <n v="0"/>
    <n v="0"/>
    <n v="0"/>
    <n v="0"/>
    <n v="0"/>
    <n v="0"/>
    <n v="0"/>
    <n v="0"/>
    <n v="0"/>
    <n v="0"/>
    <n v="0"/>
    <n v="0"/>
    <n v="4976033"/>
    <n v="0"/>
    <n v="11000000"/>
    <n v="0"/>
    <n v="11000000"/>
    <n v="0"/>
    <n v="11000000"/>
    <n v="0"/>
    <n v="20166667"/>
    <n v="58142700"/>
    <n v="58142700"/>
    <n v="0"/>
    <n v="0"/>
    <s v="Prestar los servicios profesionales especializados para el desarrollo de los componentes de planeación, gestión de recursos y ejecución del ciclo de los proyectos de inversión pública, así como en la elaboración, actualización y mejora de las herramientas"/>
    <n v="58142700"/>
    <m/>
    <m/>
    <m/>
    <m/>
    <m/>
    <m/>
    <m/>
    <m/>
    <m/>
    <m/>
    <m/>
    <m/>
    <m/>
    <m/>
    <n v="4976033"/>
    <m/>
    <n v="11000000"/>
    <m/>
    <n v="11000000"/>
    <m/>
    <n v="11000000"/>
    <m/>
    <n v="20166667"/>
    <m/>
    <m/>
    <n v="58142700"/>
    <n v="58142700"/>
    <n v="0"/>
    <n v="0"/>
    <n v="2426"/>
    <d v="2026-01-05T00:00:00"/>
    <n v="58142700"/>
    <n v="0"/>
    <n v="9926"/>
    <d v="2026-01-16T00:00:00"/>
    <n v="58142700"/>
    <n v="0"/>
    <n v="0"/>
    <s v="FERNANDEZ GALVIS JENNYFER ROCIO"/>
    <s v="CO1.PCCNTR.8875400"/>
    <n v="58142700"/>
    <m/>
    <m/>
    <m/>
    <m/>
    <m/>
    <m/>
    <m/>
    <m/>
    <m/>
    <m/>
    <m/>
    <m/>
    <m/>
    <m/>
    <m/>
    <m/>
    <m/>
    <m/>
    <m/>
    <m/>
    <m/>
    <m/>
    <m/>
    <m/>
    <m/>
    <m/>
    <m/>
    <m/>
    <m/>
    <m/>
    <m/>
    <m/>
    <m/>
    <m/>
    <m/>
    <n v="58142700"/>
    <n v="0"/>
    <n v="0"/>
    <n v="58142700"/>
    <n v="0"/>
    <x v="0"/>
  </r>
  <r>
    <x v="0"/>
    <x v="1"/>
    <s v="Fortalecimiento de la percepción de la ciudadanía frente a los productos y servicios prestados por la UPME nacional"/>
    <s v="Transversal"/>
    <s v="Sí"/>
    <s v="Sí"/>
    <n v="68"/>
    <s v="101-7"/>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s v="Prestación de servicios profesionales y/o de apoyo a la gestión"/>
    <s v="101-7 Prestar servicios profesionales para implementar, monitorear y realizar seguimiento al Plan de ejecución y monitoreo 2026 del Programa de Transparencia y Ética Pública (PTEP) 2026 - 2029 de la UPME, brindando orientación y apoyo metodológico para la"/>
    <s v="Enero "/>
    <s v="Enero "/>
    <s v="Enero "/>
    <n v="340"/>
    <s v="Días"/>
    <s v="Contratación directa - Prestación de servicios profesionales "/>
    <s v="Propios - 20 - Ingresos corrientes"/>
    <n v="60666667"/>
    <n v="60666667"/>
    <s v="No"/>
    <s v="N/A"/>
    <s v="Verónica Tabares Muñoz"/>
    <s v="Jefe de Oficina Asesora de Planeación"/>
    <n v="6012220601"/>
    <s v="veronica.tabares@upme.gov.co"/>
    <n v="0"/>
    <n v="0"/>
    <n v="60666667"/>
    <n v="0"/>
    <n v="0"/>
    <n v="0"/>
    <n v="0"/>
    <n v="0"/>
    <n v="0"/>
    <n v="0"/>
    <n v="0"/>
    <n v="0"/>
    <n v="0"/>
    <n v="7333333"/>
    <n v="0"/>
    <n v="8000000"/>
    <n v="0"/>
    <n v="8000000"/>
    <n v="0"/>
    <n v="8000000"/>
    <n v="0"/>
    <n v="8000000"/>
    <n v="0"/>
    <n v="21333334"/>
    <n v="60666667"/>
    <n v="60666667"/>
    <n v="0"/>
    <n v="0"/>
    <s v="Prestar servicios profesionales para implementar, monitorear y realizar seguimiento al Plan de ejecución y monitoreo 2026 del Programa de Transparencia y Ética Pública (PTEP) 2026 - 2029 de la UPME, brindando orientación y apoyo metodológico para la adopc"/>
    <m/>
    <m/>
    <n v="60666667"/>
    <m/>
    <m/>
    <m/>
    <m/>
    <m/>
    <m/>
    <m/>
    <m/>
    <m/>
    <m/>
    <n v="7333333"/>
    <m/>
    <n v="8000000"/>
    <m/>
    <n v="8000000"/>
    <m/>
    <n v="8000000"/>
    <m/>
    <n v="8000000"/>
    <m/>
    <n v="21333334"/>
    <m/>
    <m/>
    <n v="60666667"/>
    <n v="60666667"/>
    <n v="0"/>
    <n v="0"/>
    <n v="54426"/>
    <d v="2026-01-21T00:00:00"/>
    <n v="60666667"/>
    <n v="0"/>
    <n v="46026"/>
    <d v="2026-02-05T00:00:00"/>
    <n v="60666667"/>
    <n v="0"/>
    <n v="0"/>
    <s v="MURCIA VANEGAS JESSICA LORENA"/>
    <s v="CO1.PCCNTR.9249984"/>
    <m/>
    <m/>
    <m/>
    <n v="60666667"/>
    <m/>
    <m/>
    <m/>
    <m/>
    <m/>
    <m/>
    <m/>
    <m/>
    <m/>
    <m/>
    <m/>
    <m/>
    <m/>
    <m/>
    <m/>
    <m/>
    <m/>
    <m/>
    <m/>
    <m/>
    <m/>
    <m/>
    <m/>
    <m/>
    <m/>
    <m/>
    <m/>
    <m/>
    <m/>
    <m/>
    <m/>
    <m/>
    <n v="60666667"/>
    <n v="0"/>
    <n v="0"/>
    <n v="60666667"/>
    <n v="0"/>
    <x v="0"/>
  </r>
  <r>
    <x v="0"/>
    <x v="1"/>
    <s v="Fortalecimiento de la percepción de la ciudadanía frente a los productos y servicios prestados por la UPME nacional"/>
    <s v="Transversal"/>
    <s v="Sí"/>
    <s v="Sí"/>
    <n v="4"/>
    <s v="101-8"/>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s v="Prestación de servicios profesionales y/o de apoyo a la gestión"/>
    <s v="101-8 Prestar servicios profesionales para alinear, implementar y mejorar el Sistema de Administración del Riesgo de la Unidad de Planeación Minero Energética, en concordancia con la Política Integral de la Administración del Riesgo, conforme a las tipolo"/>
    <s v="Enero "/>
    <s v="Enero "/>
    <s v="Enero "/>
    <n v="330"/>
    <s v="Días"/>
    <s v="Contratación directa - Prestación de servicios profesionales "/>
    <s v="Propios - 20 - Ingresos corrientes"/>
    <n v="80000000"/>
    <n v="80000000"/>
    <s v="No"/>
    <s v="N/A"/>
    <s v="Verónica Tabares Muñoz"/>
    <s v="Jefe de Oficina Asesora de Planeación"/>
    <n v="6012220601"/>
    <s v="veronica.tabares@upme.gov.co"/>
    <n v="0"/>
    <n v="0"/>
    <n v="80000000"/>
    <n v="0"/>
    <n v="0"/>
    <n v="8000000"/>
    <n v="0"/>
    <n v="8000000"/>
    <n v="0"/>
    <n v="8000000"/>
    <n v="0"/>
    <n v="8000000"/>
    <n v="0"/>
    <n v="8000000"/>
    <n v="0"/>
    <n v="8000000"/>
    <n v="0"/>
    <n v="8000000"/>
    <n v="0"/>
    <n v="8000000"/>
    <n v="0"/>
    <n v="8000000"/>
    <n v="0"/>
    <n v="8000000"/>
    <n v="80000000"/>
    <n v="80000000"/>
    <n v="0"/>
    <n v="0"/>
    <s v="Prestar servicios profesionales para alinear, implementar y mejorar el Sistema de Administración del Riesgo de la Unidad de Planeación Minero Energética, en concordancia con la Política Integral de la Administración del Riesgo, conforme a las tipologías y"/>
    <m/>
    <m/>
    <n v="80000000"/>
    <m/>
    <m/>
    <n v="8000000"/>
    <m/>
    <n v="8000000"/>
    <m/>
    <n v="8000000"/>
    <m/>
    <n v="8000000"/>
    <m/>
    <n v="8000000"/>
    <m/>
    <n v="8000000"/>
    <m/>
    <n v="8000000"/>
    <m/>
    <n v="8000000"/>
    <m/>
    <n v="8000000"/>
    <m/>
    <n v="8000000"/>
    <m/>
    <m/>
    <n v="80000000"/>
    <n v="80000000"/>
    <n v="0"/>
    <n v="0"/>
    <n v="54626"/>
    <d v="2026-01-21T00:00:00"/>
    <n v="80000000"/>
    <n v="0"/>
    <n v="44326"/>
    <d v="2026-02-05T00:00:00"/>
    <n v="80000000"/>
    <n v="0"/>
    <n v="0"/>
    <s v="SANCHEZ GOMEZ LUISA FERNANDA"/>
    <s v="CO1.PCCNTR.9272478"/>
    <m/>
    <m/>
    <m/>
    <n v="80000000"/>
    <m/>
    <m/>
    <m/>
    <n v="6666667"/>
    <n v="6666667"/>
    <m/>
    <n v="8000000"/>
    <n v="8000000"/>
    <m/>
    <m/>
    <m/>
    <m/>
    <m/>
    <m/>
    <m/>
    <m/>
    <m/>
    <m/>
    <m/>
    <m/>
    <m/>
    <m/>
    <m/>
    <m/>
    <m/>
    <m/>
    <m/>
    <m/>
    <m/>
    <m/>
    <m/>
    <m/>
    <n v="80000000"/>
    <n v="14666667"/>
    <n v="14666667"/>
    <n v="65333333"/>
    <n v="0"/>
    <x v="0"/>
  </r>
  <r>
    <x v="0"/>
    <x v="1"/>
    <s v="Fortalecimiento de la percepción de la ciudadanía frente a los productos y servicios prestados por la UPME nacional"/>
    <s v="Transversal"/>
    <s v="Sí"/>
    <s v="Sí"/>
    <n v="7"/>
    <s v="101-9"/>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s v="Prestación de servicios profesionales y/o de apoyo a la gestión"/>
    <s v="101-9 Prestar servicios profesionales para apoyar la implementación de la estrategia de cooperación internacional de la Unidad de Planeación Minero Energética"/>
    <s v="Enero "/>
    <s v="Enero "/>
    <s v="Enero "/>
    <n v="170"/>
    <s v="Días"/>
    <s v="Contratación directa - Prestación de servicios profesionales "/>
    <s v="Propios - 20 - Ingresos corrientes"/>
    <n v="3494869"/>
    <n v="3494869"/>
    <s v="No"/>
    <s v="N/A"/>
    <s v="Verónica Tabares Muñoz"/>
    <s v="Jefe de Oficina Asesora de Planeación"/>
    <n v="6012220601"/>
    <s v="veronica.tabares@upme.gov.co"/>
    <n v="0"/>
    <n v="0"/>
    <n v="3494869"/>
    <n v="0"/>
    <n v="0"/>
    <n v="0"/>
    <n v="0"/>
    <n v="0"/>
    <n v="0"/>
    <n v="0"/>
    <n v="0"/>
    <n v="0"/>
    <n v="0"/>
    <n v="0"/>
    <n v="0"/>
    <n v="3494869"/>
    <n v="0"/>
    <n v="0"/>
    <n v="0"/>
    <n v="0"/>
    <n v="0"/>
    <n v="0"/>
    <n v="0"/>
    <n v="0"/>
    <n v="3494869"/>
    <n v="3494869"/>
    <n v="0"/>
    <n v="0"/>
    <s v="Prestar servicios profesionales para apoyar la implementación de la estrategia de cooperación internacional de la Unidad de Planeación Minero Energética"/>
    <m/>
    <m/>
    <n v="3494869"/>
    <m/>
    <m/>
    <m/>
    <m/>
    <m/>
    <m/>
    <m/>
    <m/>
    <m/>
    <m/>
    <m/>
    <m/>
    <n v="3494869"/>
    <m/>
    <m/>
    <m/>
    <m/>
    <m/>
    <m/>
    <m/>
    <m/>
    <m/>
    <m/>
    <n v="3494869"/>
    <n v="3494869"/>
    <n v="0"/>
    <n v="0"/>
    <n v="63626"/>
    <d v="2026-01-23T00:00:00"/>
    <n v="3494869"/>
    <n v="0"/>
    <n v="38226"/>
    <d v="2026-02-03T00:00:00"/>
    <n v="3494869"/>
    <n v="0"/>
    <n v="0"/>
    <s v="OTERO LLANOS CAMILA ANDREA"/>
    <s v="CO1.PCCNTR.9239194"/>
    <m/>
    <m/>
    <m/>
    <n v="3494869"/>
    <m/>
    <m/>
    <m/>
    <n v="3494869"/>
    <n v="3494869"/>
    <m/>
    <m/>
    <m/>
    <m/>
    <m/>
    <m/>
    <m/>
    <m/>
    <m/>
    <m/>
    <m/>
    <m/>
    <m/>
    <m/>
    <m/>
    <m/>
    <m/>
    <m/>
    <m/>
    <m/>
    <m/>
    <m/>
    <m/>
    <m/>
    <m/>
    <m/>
    <m/>
    <n v="3494869"/>
    <n v="3494869"/>
    <n v="3494869"/>
    <n v="0"/>
    <n v="0"/>
    <x v="0"/>
  </r>
  <r>
    <x v="0"/>
    <x v="1"/>
    <s v="Fortalecimiento de la percepción de la ciudadanía frente a los productos y servicios prestados por la UPME nacional"/>
    <s v="Transversal"/>
    <s v="Sí"/>
    <s v="Sí"/>
    <n v="68"/>
    <s v="101-10"/>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s v="Prestación de servicios profesionales y/o de apoyo a la gestión"/>
    <s v="101-10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330"/>
    <s v="Días"/>
    <s v="Contratación directa - Prestación de servicios profesionales "/>
    <s v="Propios - 20 - Ingresos corrientes"/>
    <n v="20596643"/>
    <n v="20596643"/>
    <s v="No"/>
    <s v="N/A"/>
    <s v="Verónica Tabares Muñoz"/>
    <s v="Jefe de Oficina Asesora de Planeación"/>
    <n v="6012220601"/>
    <s v="veronica.tabares@upme.gov.co"/>
    <n v="20596643"/>
    <n v="0"/>
    <n v="0"/>
    <n v="0"/>
    <n v="0"/>
    <n v="7000000"/>
    <n v="0"/>
    <n v="7000000"/>
    <n v="0"/>
    <n v="6596643"/>
    <n v="0"/>
    <n v="0"/>
    <n v="0"/>
    <n v="0"/>
    <n v="0"/>
    <n v="0"/>
    <n v="0"/>
    <n v="0"/>
    <n v="0"/>
    <n v="0"/>
    <n v="0"/>
    <n v="0"/>
    <n v="0"/>
    <n v="0"/>
    <n v="20596643"/>
    <n v="20596643"/>
    <n v="0"/>
    <n v="0"/>
    <s v="Prestar servicios profesionales para apoyar las actividades de fortalecimiento de la Política de Rendición de Cuentas, la Política de Participación Ciudadana en la Gestión y la Política de Servicio al Ciudadano de la UPME, en el marco del Modelo Integrado"/>
    <n v="20596643"/>
    <m/>
    <m/>
    <m/>
    <m/>
    <n v="7000000"/>
    <m/>
    <n v="7000000"/>
    <m/>
    <n v="6596643"/>
    <m/>
    <m/>
    <m/>
    <m/>
    <m/>
    <m/>
    <m/>
    <m/>
    <m/>
    <m/>
    <m/>
    <m/>
    <m/>
    <m/>
    <m/>
    <m/>
    <n v="20596643"/>
    <n v="20596643"/>
    <n v="0"/>
    <n v="0"/>
    <n v="3426"/>
    <d v="2026-01-05T00:00:00"/>
    <n v="20596643"/>
    <n v="0"/>
    <n v="14726"/>
    <d v="2026-01-21T00:00:00"/>
    <n v="20596643"/>
    <n v="0"/>
    <n v="0"/>
    <s v="ESPINOSA URIBE ADRIANA MILENA"/>
    <s v="CO1.PCCNTR.8898816"/>
    <n v="20596643"/>
    <m/>
    <m/>
    <m/>
    <m/>
    <m/>
    <m/>
    <n v="9100000"/>
    <n v="9100000"/>
    <m/>
    <n v="7000000"/>
    <n v="7000000"/>
    <m/>
    <m/>
    <m/>
    <m/>
    <m/>
    <m/>
    <m/>
    <m/>
    <m/>
    <m/>
    <m/>
    <m/>
    <m/>
    <m/>
    <m/>
    <m/>
    <m/>
    <m/>
    <m/>
    <m/>
    <m/>
    <m/>
    <m/>
    <m/>
    <n v="20596643"/>
    <n v="16100000"/>
    <n v="16100000"/>
    <n v="4496643"/>
    <n v="0"/>
    <x v="0"/>
  </r>
  <r>
    <x v="0"/>
    <x v="1"/>
    <s v="Fortalecimiento de la percepción de la ciudadanía frente a los productos y servicios prestados por la UPME nacional"/>
    <s v="Transversal"/>
    <s v="Sí"/>
    <s v="Sí"/>
    <n v="4"/>
    <s v="101-11"/>
    <s v="Mejorar el direccionamiento estratégico y la gestión de los procesos frente a la ciudadanía."/>
    <s v="Servicio de Implementación Sistemas de Gestión"/>
    <s v="Planificar y coordinar la apropiación e implementación del MIPG."/>
    <n v="80111620"/>
    <s v="C-2199-1900-4-53105B-2199062-02"/>
    <s v="Prestación de servicios profesionales y/o de apoyo a la gestión"/>
    <s v="101-11 Prestar servicios profesionales para la finalización del rediseño de los procesos definidos en el nuevo modelo operativo de la UPME y los elementos que los integran, así como los ajustes que sean requeridos en la implementación y mantenimiento del "/>
    <s v="Enero "/>
    <s v="Enero "/>
    <s v="Enero "/>
    <n v="330"/>
    <s v="Días"/>
    <s v="Contratación directa - Prestación de servicios profesionales "/>
    <s v="Propios - 20 - Ingresos corrientes"/>
    <n v="94500000"/>
    <n v="94500000"/>
    <s v="No"/>
    <s v="N/A"/>
    <s v="Verónica Tabares Muñoz"/>
    <s v="Jefe de Oficina Asesora de Planeación"/>
    <n v="6012220601"/>
    <s v="veronica.tabares@upme.gov.co"/>
    <n v="0"/>
    <n v="0"/>
    <n v="94500000"/>
    <n v="0"/>
    <n v="0"/>
    <n v="9000000"/>
    <n v="0"/>
    <n v="9000000"/>
    <n v="0"/>
    <n v="9000000"/>
    <n v="0"/>
    <n v="9000000"/>
    <n v="0"/>
    <n v="9000000"/>
    <n v="0"/>
    <n v="9000000"/>
    <n v="0"/>
    <n v="9000000"/>
    <n v="0"/>
    <n v="9000000"/>
    <n v="0"/>
    <n v="9000000"/>
    <n v="0"/>
    <n v="13500000"/>
    <n v="94500000"/>
    <n v="94500000"/>
    <n v="0"/>
    <n v="0"/>
    <s v="Prestar servicios profesionales para la finalización del rediseño de los procesos definidos en el nuevo modelo operativo de la UPME y los elementos que los integran, así como los ajustes que sean requeridos en la implementación y mantenimiento del Sistema"/>
    <m/>
    <m/>
    <n v="94500000"/>
    <m/>
    <m/>
    <n v="9000000"/>
    <m/>
    <n v="9000000"/>
    <m/>
    <n v="9000000"/>
    <m/>
    <n v="9000000"/>
    <m/>
    <n v="9000000"/>
    <m/>
    <n v="9000000"/>
    <m/>
    <n v="9000000"/>
    <m/>
    <n v="9000000"/>
    <m/>
    <n v="9000000"/>
    <m/>
    <n v="13500000"/>
    <m/>
    <m/>
    <n v="94500000"/>
    <n v="94500000"/>
    <n v="0"/>
    <n v="0"/>
    <n v="54926"/>
    <d v="2026-01-22T00:00:00"/>
    <n v="94500000"/>
    <n v="0"/>
    <n v="50626"/>
    <d v="2026-02-09T00:00:00"/>
    <n v="94500000"/>
    <n v="0"/>
    <n v="0"/>
    <s v="FERNANDEZ CUBIDES CLAUDIA"/>
    <s v="CO1.PCCNTR.9255339"/>
    <m/>
    <m/>
    <m/>
    <n v="94500000"/>
    <m/>
    <m/>
    <m/>
    <n v="6300000"/>
    <n v="6300000"/>
    <m/>
    <n v="9000000"/>
    <n v="9000000"/>
    <m/>
    <m/>
    <m/>
    <m/>
    <m/>
    <m/>
    <m/>
    <m/>
    <m/>
    <m/>
    <m/>
    <m/>
    <m/>
    <m/>
    <m/>
    <m/>
    <m/>
    <m/>
    <m/>
    <m/>
    <m/>
    <m/>
    <m/>
    <m/>
    <n v="94500000"/>
    <n v="15300000"/>
    <n v="15300000"/>
    <n v="79200000"/>
    <n v="0"/>
    <x v="0"/>
  </r>
  <r>
    <x v="0"/>
    <x v="1"/>
    <s v="Fortalecimiento de la percepción de la ciudadanía frente a los productos y servicios prestados por la UPME nacional"/>
    <s v="Transversal"/>
    <s v="Sí"/>
    <s v="Sí"/>
    <n v="7"/>
    <s v="101-12"/>
    <s v="Mejorar el direccionamiento estratégico y la gestión de los procesos frente a la ciudadanía."/>
    <s v="Servicio de Implementación Sistemas de Gestión"/>
    <s v="Planificar y coordinar la apropiación e implementación del MIPG."/>
    <n v="80111620"/>
    <s v="C-2199-1900-4-53105B-2199062-02"/>
    <s v="Prestación de servicios profesionales y/o de apoyo a la gestión"/>
    <s v="101-12 Prestar servicios profesionales para el desarrollo de actividades relacionadas con la gestión de la planeación institucional de la entidad, mediante el acompañamiento, seguimiento, monitoreo, análisis y elaboración de informes de avance de los plan"/>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0"/>
    <n v="0"/>
    <n v="36139950"/>
    <n v="0"/>
    <n v="0"/>
    <n v="3285450"/>
    <n v="0"/>
    <n v="3285450"/>
    <n v="0"/>
    <n v="3285450"/>
    <n v="0"/>
    <n v="3285450"/>
    <n v="0"/>
    <n v="3285450"/>
    <n v="0"/>
    <n v="3285450"/>
    <n v="0"/>
    <n v="3285450"/>
    <n v="0"/>
    <n v="3285450"/>
    <n v="0"/>
    <n v="3285450"/>
    <n v="0"/>
    <n v="6570900"/>
    <n v="36139950"/>
    <n v="36139950"/>
    <n v="0"/>
    <n v="0"/>
    <s v="Prestar servicios profesionales para el desarrollo de actividades relacionadas con la gestión de la planeación institucional de la entidad, mediante el acompañamiento, seguimiento, monitoreo, análisis y elaboración de informes de avance de los planes inst"/>
    <m/>
    <m/>
    <n v="36139950"/>
    <m/>
    <m/>
    <n v="3285450"/>
    <m/>
    <n v="3285450"/>
    <m/>
    <n v="3285450"/>
    <m/>
    <n v="3285450"/>
    <m/>
    <n v="3285450"/>
    <m/>
    <n v="3285450"/>
    <m/>
    <n v="3285450"/>
    <m/>
    <n v="3285450"/>
    <m/>
    <n v="3285450"/>
    <m/>
    <n v="6570900"/>
    <m/>
    <m/>
    <n v="36139950"/>
    <n v="36139950"/>
    <n v="0"/>
    <n v="0"/>
    <n v="60926"/>
    <d v="2026-01-23T00:00:00"/>
    <n v="36139950"/>
    <n v="0"/>
    <n v="49826"/>
    <d v="2026-02-09T00:00:00"/>
    <n v="36139950"/>
    <n v="0"/>
    <n v="0"/>
    <s v="GORDILLO GOMEZ JUAN DAVID"/>
    <s v="CO1.PCCNTR.9296691"/>
    <m/>
    <m/>
    <m/>
    <n v="36139950"/>
    <m/>
    <m/>
    <m/>
    <n v="2299815"/>
    <n v="2299815"/>
    <m/>
    <n v="3285450"/>
    <n v="3285450"/>
    <m/>
    <m/>
    <m/>
    <m/>
    <m/>
    <m/>
    <m/>
    <m/>
    <m/>
    <m/>
    <m/>
    <m/>
    <m/>
    <m/>
    <m/>
    <m/>
    <m/>
    <m/>
    <m/>
    <m/>
    <m/>
    <m/>
    <m/>
    <m/>
    <n v="36139950"/>
    <n v="5585265"/>
    <n v="5585265"/>
    <n v="30554685"/>
    <n v="0"/>
    <x v="0"/>
  </r>
  <r>
    <x v="0"/>
    <x v="1"/>
    <s v="Fortalecimiento de la percepción de la ciudadanía frente a los productos y servicios prestados por la UPME nacional"/>
    <s v="Transversal"/>
    <s v="Sí"/>
    <s v="Sí"/>
    <n v="68"/>
    <s v="101-13"/>
    <s v="Mejorar el direccionamiento estratégico y la gestión de los procesos frente a la ciudadanía."/>
    <s v="Servicio de Implementación Sistemas de Gestión"/>
    <s v="Planificar y coordinar la apropiación e implementación del MIPG."/>
    <n v="80111620"/>
    <s v="C-2199-1900-4-53105B-2199062-02"/>
    <s v="Prestación de servicios profesionales y/o de apoyo a la gestión"/>
    <s v="101-13 Prestar servicios profesionales para la implementación, seguimiento y reporte de las políticas de gestión y desempeño institucional en materia de defensa jurídica, mejora normativa y fortalecimiento del Sistema de Gestión Institucional, conforme a "/>
    <s v="Enero "/>
    <s v="Enero "/>
    <s v="Enero "/>
    <n v="330"/>
    <s v="Días"/>
    <s v="Contratación directa - Prestación de servicios profesionales "/>
    <s v="Propios - 20 - Ingresos corrientes"/>
    <n v="37273665"/>
    <n v="37273665"/>
    <s v="No"/>
    <s v="N/A"/>
    <s v="Verónica Tabares Muñoz"/>
    <s v="Jefe de Oficina Asesora de Planeación"/>
    <n v="6012220601"/>
    <s v="veronica.tabares@upme.gov.co"/>
    <n v="34273665"/>
    <n v="0"/>
    <n v="0"/>
    <n v="3000000"/>
    <n v="0"/>
    <n v="6000000"/>
    <n v="0"/>
    <n v="6000000"/>
    <n v="0"/>
    <n v="6000000"/>
    <n v="0"/>
    <n v="6000000"/>
    <n v="0"/>
    <n v="6000000"/>
    <n v="0"/>
    <n v="4273665"/>
    <n v="3000000"/>
    <n v="0"/>
    <n v="0"/>
    <n v="0"/>
    <n v="0"/>
    <n v="0"/>
    <n v="0"/>
    <n v="0"/>
    <n v="37273665"/>
    <n v="37273665"/>
    <n v="0"/>
    <n v="0"/>
    <s v="Prestar servicios profesionales para la implementación, seguimiento y reporte de las políticas de gestión y desempeño institucional en materia de defensa jurídica, mejora normativa y fortalecimiento del Sistema de Gestión Institucional, conforme a los lin"/>
    <n v="34273665"/>
    <m/>
    <m/>
    <n v="3000000"/>
    <m/>
    <n v="6000000"/>
    <m/>
    <n v="6000000"/>
    <m/>
    <n v="6000000"/>
    <m/>
    <n v="6000000"/>
    <m/>
    <n v="6000000"/>
    <m/>
    <n v="4273665"/>
    <n v="3000000"/>
    <m/>
    <m/>
    <m/>
    <m/>
    <m/>
    <m/>
    <m/>
    <m/>
    <m/>
    <n v="37273665"/>
    <n v="37273665"/>
    <n v="0"/>
    <n v="0"/>
    <n v="3326"/>
    <d v="2026-01-05T00:00:00"/>
    <n v="34273665"/>
    <n v="3000000"/>
    <n v="10626"/>
    <d v="2026-01-16T00:00:00"/>
    <n v="34273665"/>
    <n v="3000000"/>
    <n v="0"/>
    <s v="CACERES HERRERA DIANA MARCELA"/>
    <s v="CO1.PCCNTR.8875153"/>
    <n v="34273665"/>
    <m/>
    <m/>
    <m/>
    <m/>
    <m/>
    <m/>
    <m/>
    <m/>
    <m/>
    <m/>
    <m/>
    <m/>
    <m/>
    <m/>
    <m/>
    <m/>
    <m/>
    <m/>
    <m/>
    <m/>
    <m/>
    <m/>
    <m/>
    <m/>
    <m/>
    <m/>
    <m/>
    <m/>
    <m/>
    <m/>
    <m/>
    <m/>
    <m/>
    <m/>
    <m/>
    <n v="34273665"/>
    <n v="0"/>
    <n v="0"/>
    <n v="34273665"/>
    <n v="0"/>
    <x v="0"/>
  </r>
  <r>
    <x v="0"/>
    <x v="1"/>
    <s v="Fortalecimiento de la percepción de la ciudadanía frente a los productos y servicios prestados por la UPME nacional"/>
    <s v="Transversal"/>
    <s v="Sí"/>
    <s v="Sí"/>
    <n v="68"/>
    <s v="101-14"/>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s v="Prestación de servicios profesionales y/o de apoyo a la gestión"/>
    <s v="101-14 Prestar servicios profesionales para apoyar las actividades de seguimiento, evaluación y mejora del Sistema de Gestión Institucional, en articulación con el Modelo Integrado de Planeación y Gestión (MIPG)."/>
    <s v="Enero "/>
    <s v="Enero "/>
    <s v="Enero "/>
    <n v="330"/>
    <s v="Días"/>
    <s v="Contratación directa - Prestación de servicios profesionales "/>
    <s v="Propios - 20 - Ingresos corrientes"/>
    <n v="14576707"/>
    <n v="14576707"/>
    <s v="No"/>
    <s v="N/A"/>
    <s v="Verónica Tabares Muñoz"/>
    <s v="Jefe de Oficina Asesora de Planeación"/>
    <n v="6012220601"/>
    <s v="veronica.tabares@upme.gov.co"/>
    <n v="0"/>
    <n v="0"/>
    <n v="14576707"/>
    <n v="0"/>
    <n v="0"/>
    <n v="0"/>
    <n v="0"/>
    <n v="0"/>
    <n v="0"/>
    <n v="0"/>
    <n v="0"/>
    <n v="0"/>
    <n v="0"/>
    <n v="0"/>
    <n v="0"/>
    <n v="0"/>
    <n v="0"/>
    <n v="576707"/>
    <n v="0"/>
    <n v="3500000"/>
    <n v="0"/>
    <n v="3500000"/>
    <n v="0"/>
    <n v="7000000"/>
    <n v="14576707"/>
    <n v="14576707"/>
    <n v="0"/>
    <n v="0"/>
    <s v="Prestar servicios profesionales para apoyar las actividades de seguimiento, evaluación y mejora del Sistema de Gestión Institucional, en articulación con el Modelo Integrado de Planeación y Gestión (MIPG)."/>
    <m/>
    <m/>
    <n v="14576707"/>
    <m/>
    <m/>
    <m/>
    <m/>
    <m/>
    <m/>
    <m/>
    <m/>
    <m/>
    <m/>
    <m/>
    <m/>
    <m/>
    <m/>
    <n v="576707"/>
    <m/>
    <n v="3500000"/>
    <m/>
    <n v="3500000"/>
    <m/>
    <n v="7000000"/>
    <m/>
    <m/>
    <n v="14576707"/>
    <n v="14576707"/>
    <n v="0"/>
    <n v="0"/>
    <n v="54226"/>
    <d v="2026-01-21T00:00:00"/>
    <n v="14576707"/>
    <n v="0"/>
    <n v="58526"/>
    <d v="2026-02-11T00:00:00"/>
    <n v="14576707"/>
    <n v="0"/>
    <n v="0"/>
    <s v="AGUILERA MAYORGA FERNANDO"/>
    <s v="CO1.PCCNTR.9286588"/>
    <m/>
    <m/>
    <m/>
    <n v="14576707"/>
    <m/>
    <m/>
    <m/>
    <m/>
    <m/>
    <m/>
    <m/>
    <m/>
    <m/>
    <m/>
    <m/>
    <m/>
    <m/>
    <m/>
    <m/>
    <m/>
    <m/>
    <m/>
    <m/>
    <m/>
    <m/>
    <m/>
    <m/>
    <m/>
    <m/>
    <m/>
    <m/>
    <m/>
    <m/>
    <m/>
    <m/>
    <m/>
    <n v="14576707"/>
    <n v="0"/>
    <n v="0"/>
    <n v="14576707"/>
    <n v="0"/>
    <x v="0"/>
  </r>
  <r>
    <x v="0"/>
    <x v="1"/>
    <s v="Fortalecimiento de la percepción de la ciudadanía frente a los productos y servicios prestados por la UPME nacional"/>
    <s v="Transversal"/>
    <s v="Sí"/>
    <s v="Sí"/>
    <n v="7"/>
    <s v="101-15"/>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s v="Prestación de servicios profesionales y/o de apoyo a la gestión"/>
    <s v="101-15 Prestar servicios profesionales para apoyar la documentación y actualización de los procesos y procedimientos de la Unidad de Planeación Minero Energética, así como la gestión documental que se genere en el marco de la implementación y seguimiento "/>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36139950"/>
    <n v="0"/>
    <n v="0"/>
    <n v="0"/>
    <n v="0"/>
    <n v="3285450"/>
    <n v="0"/>
    <n v="3285450"/>
    <n v="0"/>
    <n v="3285450"/>
    <n v="0"/>
    <n v="3285450"/>
    <n v="0"/>
    <n v="3285450"/>
    <n v="0"/>
    <n v="3285450"/>
    <n v="0"/>
    <n v="3285450"/>
    <n v="0"/>
    <n v="3285450"/>
    <n v="0"/>
    <n v="3285450"/>
    <n v="0"/>
    <n v="6570900"/>
    <n v="36139950"/>
    <n v="36139950"/>
    <n v="0"/>
    <n v="0"/>
    <s v="Prestar servicios profesionales para apoyar la documentación y actualización de los procesos y procedimientos de la Unidad de Planeación Minero Energética, así como la gestión documental que se genere en el marco de la implementación y seguimiento del Sis"/>
    <n v="36139950"/>
    <m/>
    <m/>
    <m/>
    <m/>
    <n v="3285450"/>
    <m/>
    <n v="3285450"/>
    <m/>
    <n v="3285450"/>
    <m/>
    <n v="3285450"/>
    <m/>
    <n v="3285450"/>
    <m/>
    <n v="3285450"/>
    <m/>
    <n v="3285450"/>
    <m/>
    <n v="3285450"/>
    <m/>
    <n v="3285450"/>
    <m/>
    <n v="6570900"/>
    <m/>
    <m/>
    <n v="36139950"/>
    <n v="36139950"/>
    <n v="0"/>
    <n v="0"/>
    <n v="35226"/>
    <d v="2026-01-15T00:00:00"/>
    <n v="36139950"/>
    <n v="0"/>
    <n v="32426"/>
    <d v="2026-01-29T00:00:00"/>
    <n v="36139950"/>
    <n v="0"/>
    <n v="0"/>
    <s v="PITALNA BELEÑO SHIRLEY PAOLA"/>
    <s v="CO1.PCCNTR.9103881"/>
    <n v="36139950"/>
    <m/>
    <m/>
    <m/>
    <n v="109515"/>
    <n v="109515"/>
    <m/>
    <n v="3285450"/>
    <n v="3285450"/>
    <m/>
    <n v="3285450"/>
    <n v="3285450"/>
    <m/>
    <m/>
    <m/>
    <m/>
    <m/>
    <m/>
    <m/>
    <m/>
    <m/>
    <m/>
    <m/>
    <m/>
    <m/>
    <m/>
    <m/>
    <m/>
    <m/>
    <m/>
    <m/>
    <m/>
    <m/>
    <m/>
    <m/>
    <m/>
    <n v="36139950"/>
    <n v="6680415"/>
    <n v="6680415"/>
    <n v="29459535"/>
    <n v="0"/>
    <x v="0"/>
  </r>
  <r>
    <x v="0"/>
    <x v="1"/>
    <s v="Fortalecimiento de la percepción de la ciudadanía frente a los productos y servicios prestados por la UPME nacional"/>
    <s v="Transversal"/>
    <s v="Sí"/>
    <s v="Sí"/>
    <n v="68"/>
    <s v="101-16"/>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s v="Prestación de servicios profesionales y/o de apoyo a la gestión"/>
    <s v="101-16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330"/>
    <s v="Días"/>
    <s v="Contratación directa - Prestación de servicios profesionales "/>
    <s v="Propios - 20 - Ingresos corrientes"/>
    <n v="26403357"/>
    <n v="26403357"/>
    <s v="No"/>
    <s v="N/A"/>
    <s v="Verónica Tabares Muñoz"/>
    <s v="Jefe de Oficina Asesora de Planeación"/>
    <n v="6012220601"/>
    <s v="veronica.tabares@upme.gov.co"/>
    <n v="26403357"/>
    <n v="0"/>
    <n v="0"/>
    <n v="0"/>
    <n v="0"/>
    <n v="0"/>
    <n v="0"/>
    <n v="0"/>
    <n v="0"/>
    <n v="403357"/>
    <n v="0"/>
    <n v="7000000"/>
    <n v="0"/>
    <n v="7000000"/>
    <n v="0"/>
    <n v="7000000"/>
    <n v="0"/>
    <n v="5000000"/>
    <n v="0"/>
    <n v="0"/>
    <n v="0"/>
    <n v="0"/>
    <n v="0"/>
    <n v="0"/>
    <n v="26403357"/>
    <n v="26403357"/>
    <n v="0"/>
    <n v="0"/>
    <s v="Prestar servicios profesionales para apoyar las actividades de fortalecimiento de la Política de Rendición de Cuentas, la Política de Participación Ciudadana en la Gestión y la Política de Servicio al Ciudadano de la UPME, en el marco del Modelo Integrado"/>
    <n v="26403357"/>
    <m/>
    <m/>
    <m/>
    <m/>
    <m/>
    <m/>
    <m/>
    <m/>
    <n v="403357"/>
    <m/>
    <n v="7000000"/>
    <m/>
    <n v="7000000"/>
    <m/>
    <n v="7000000"/>
    <m/>
    <n v="5000000"/>
    <m/>
    <m/>
    <m/>
    <m/>
    <m/>
    <m/>
    <m/>
    <m/>
    <n v="26403357"/>
    <n v="26403357"/>
    <n v="0"/>
    <n v="0"/>
    <n v="3426"/>
    <d v="2026-01-05T00:00:00"/>
    <n v="26403357"/>
    <n v="0"/>
    <n v="14726"/>
    <d v="2026-01-21T00:00:00"/>
    <n v="26403357"/>
    <n v="0"/>
    <n v="0"/>
    <s v="ESPINOSA URIBE ADRIANA MILENA"/>
    <s v="CO1.PCCNTR.8898816"/>
    <n v="26403357"/>
    <m/>
    <m/>
    <m/>
    <m/>
    <m/>
    <m/>
    <m/>
    <m/>
    <m/>
    <m/>
    <m/>
    <m/>
    <m/>
    <m/>
    <m/>
    <m/>
    <m/>
    <m/>
    <m/>
    <m/>
    <m/>
    <m/>
    <m/>
    <m/>
    <m/>
    <m/>
    <m/>
    <m/>
    <m/>
    <m/>
    <m/>
    <m/>
    <m/>
    <m/>
    <m/>
    <n v="26403357"/>
    <n v="0"/>
    <n v="0"/>
    <n v="26403357"/>
    <n v="0"/>
    <x v="0"/>
  </r>
  <r>
    <x v="0"/>
    <x v="1"/>
    <s v="Fortalecimiento de la percepción de la ciudadanía frente a los productos y servicios prestados por la UPME nacional"/>
    <s v="Transversal"/>
    <s v="Sí"/>
    <s v="Sí"/>
    <n v="68"/>
    <s v="101-17"/>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43233701"/>
    <s v="C-2199-1900-4-53105B-2199062-02"/>
    <s v="Software - Nube pública o privada"/>
    <s v="101-17 Renovar la suscripción del sistema de información para la integración y administración de la planeación institucional y de los sistemas de gestión de la Unidad de Planeación Minero Energética."/>
    <s v="Noviembre"/>
    <s v="Noviembre"/>
    <s v="Noviembre"/>
    <n v="365"/>
    <s v="Días"/>
    <s v="Contratación directa - único oferente"/>
    <s v="Propios - 20 - Ingresos corrientes"/>
    <n v="127210300"/>
    <n v="127210300"/>
    <s v="No"/>
    <s v="N/A"/>
    <s v="Verónica Tabares Muñoz"/>
    <s v="Jefe de Oficina Asesora de Planeación"/>
    <n v="6012220601"/>
    <s v="veronica.tabares@upme.gov.co"/>
    <n v="0"/>
    <n v="0"/>
    <n v="0"/>
    <n v="0"/>
    <n v="0"/>
    <n v="0"/>
    <n v="0"/>
    <n v="0"/>
    <n v="0"/>
    <n v="0"/>
    <n v="0"/>
    <n v="0"/>
    <n v="0"/>
    <n v="0"/>
    <n v="0"/>
    <n v="0"/>
    <n v="0"/>
    <n v="0"/>
    <n v="0"/>
    <n v="0"/>
    <n v="127210300"/>
    <n v="0"/>
    <n v="0"/>
    <n v="127210300"/>
    <n v="127210300"/>
    <n v="127210300"/>
    <n v="0"/>
    <n v="0"/>
    <s v="Renovar la suscripción del sistema de información para la integración y administración de la planeación institucional y de los sistemas de gestión de la Unidad de Planeación Minero Energética."/>
    <m/>
    <m/>
    <m/>
    <m/>
    <m/>
    <m/>
    <m/>
    <m/>
    <m/>
    <m/>
    <m/>
    <m/>
    <m/>
    <m/>
    <m/>
    <m/>
    <m/>
    <m/>
    <m/>
    <m/>
    <n v="127210300"/>
    <m/>
    <m/>
    <n v="127210300"/>
    <m/>
    <m/>
    <n v="127210300"/>
    <n v="127210300"/>
    <n v="0"/>
    <n v="0"/>
    <m/>
    <m/>
    <m/>
    <n v="127210300"/>
    <m/>
    <m/>
    <n v="0"/>
    <n v="127210300"/>
    <n v="0"/>
    <m/>
    <m/>
    <m/>
    <m/>
    <m/>
    <m/>
    <m/>
    <m/>
    <m/>
    <m/>
    <m/>
    <m/>
    <m/>
    <m/>
    <m/>
    <m/>
    <m/>
    <m/>
    <m/>
    <m/>
    <m/>
    <m/>
    <m/>
    <m/>
    <m/>
    <m/>
    <m/>
    <m/>
    <m/>
    <m/>
    <m/>
    <m/>
    <m/>
    <m/>
    <m/>
    <m/>
    <m/>
    <m/>
    <n v="0"/>
    <n v="0"/>
    <n v="0"/>
    <n v="0"/>
    <n v="0"/>
    <x v="0"/>
  </r>
  <r>
    <x v="0"/>
    <x v="1"/>
    <s v="Fortalecimiento de la percepción de la ciudadanía frente a los productos y servicios prestados por la UPME nacional"/>
    <s v="Transversal"/>
    <s v="Sí"/>
    <s v="Sí"/>
    <n v="68"/>
    <s v="101-18"/>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4111603"/>
    <s v="C-2199-1900-4-53105B-2199062-02"/>
    <s v="Estudios"/>
    <s v="101-18 Realizar la auditoría interna al Sistema de Gestión Institucional de la UPME, con el propósito de validar el grado de cumplimiento de los requisitos establecidos en la Norma Técnica Colombiana NTC ISO 9001:2015."/>
    <s v="Octubre"/>
    <s v="Octubre"/>
    <s v="Octubre"/>
    <n v="1"/>
    <s v="Meses"/>
    <s v="Contratación directa - Contratos menor cuantía"/>
    <s v="Propios - 20 - Ingresos corrientes"/>
    <n v="15000000"/>
    <n v="15000000"/>
    <s v="No"/>
    <s v="N/A"/>
    <s v="Verónica Tabares Muñoz"/>
    <s v="Jefe de Oficina Asesora de Planeación"/>
    <n v="6012220601"/>
    <s v="veronica.tabares@upme.gov.co"/>
    <n v="0"/>
    <n v="0"/>
    <n v="0"/>
    <n v="0"/>
    <n v="0"/>
    <n v="0"/>
    <n v="0"/>
    <n v="0"/>
    <n v="0"/>
    <n v="0"/>
    <n v="0"/>
    <n v="0"/>
    <n v="0"/>
    <n v="0"/>
    <n v="0"/>
    <n v="0"/>
    <n v="0"/>
    <n v="0"/>
    <n v="15000000"/>
    <n v="0"/>
    <n v="0"/>
    <n v="15000000"/>
    <n v="0"/>
    <n v="0"/>
    <n v="15000000"/>
    <n v="15000000"/>
    <n v="0"/>
    <n v="0"/>
    <s v="Realizar la auditoría interna al Sistema de Gestión Institucional de la UPME, con el propósito de validar el grado de cumplimiento de los requisitos establecidos en la Norma Técnica Colombiana NTC ISO 9001:2015."/>
    <m/>
    <m/>
    <m/>
    <m/>
    <m/>
    <m/>
    <m/>
    <m/>
    <m/>
    <m/>
    <m/>
    <m/>
    <m/>
    <m/>
    <m/>
    <m/>
    <m/>
    <m/>
    <n v="15000000"/>
    <m/>
    <m/>
    <n v="15000000"/>
    <m/>
    <m/>
    <m/>
    <m/>
    <n v="15000000"/>
    <n v="15000000"/>
    <n v="0"/>
    <n v="0"/>
    <m/>
    <m/>
    <m/>
    <n v="15000000"/>
    <m/>
    <m/>
    <n v="0"/>
    <n v="15000000"/>
    <n v="0"/>
    <m/>
    <m/>
    <m/>
    <m/>
    <m/>
    <m/>
    <m/>
    <m/>
    <m/>
    <m/>
    <m/>
    <m/>
    <m/>
    <m/>
    <m/>
    <m/>
    <m/>
    <m/>
    <m/>
    <m/>
    <m/>
    <m/>
    <m/>
    <m/>
    <m/>
    <m/>
    <m/>
    <m/>
    <m/>
    <m/>
    <m/>
    <m/>
    <m/>
    <m/>
    <m/>
    <m/>
    <m/>
    <m/>
    <n v="0"/>
    <n v="0"/>
    <n v="0"/>
    <n v="0"/>
    <n v="0"/>
    <x v="0"/>
  </r>
  <r>
    <x v="0"/>
    <x v="1"/>
    <s v="Fortalecimiento de la percepción de la ciudadanía frente a los productos y servicios prestados por la UPME nacional"/>
    <s v="Transversal"/>
    <s v="Sí"/>
    <s v="Sí"/>
    <n v="68"/>
    <s v="101-19"/>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4111603"/>
    <s v="C-2199-1900-4-53105B-2199062-02"/>
    <s v="Estudios"/>
    <s v="101-19 Realizar la auditoría de certificación del Sistema de Gestión Institucional bajo la NTC ISO 9001:2015 en la UPME."/>
    <s v="Mayo"/>
    <s v="Mayo"/>
    <s v="Junio"/>
    <n v="1"/>
    <s v="Meses"/>
    <s v="Contratación directa - Contratos menor cuantía"/>
    <s v="Propios - 20 - Ingresos corrientes"/>
    <n v="15700751"/>
    <n v="15700751"/>
    <s v="No"/>
    <s v="N/A"/>
    <s v="Verónica Tabares Muñoz"/>
    <s v="Jefe de Oficina Asesora de Planeación"/>
    <n v="6012220601"/>
    <s v="veronica.tabares@upme.gov.co"/>
    <n v="0"/>
    <n v="0"/>
    <n v="0"/>
    <n v="0"/>
    <n v="0"/>
    <n v="0"/>
    <n v="0"/>
    <n v="0"/>
    <n v="0"/>
    <n v="0"/>
    <n v="15700751"/>
    <n v="0"/>
    <n v="0"/>
    <n v="0"/>
    <n v="0"/>
    <n v="0"/>
    <n v="0"/>
    <n v="15700751"/>
    <n v="0"/>
    <n v="0"/>
    <n v="0"/>
    <n v="0"/>
    <n v="0"/>
    <n v="0"/>
    <n v="15700751"/>
    <n v="15700751"/>
    <n v="0"/>
    <n v="0"/>
    <s v="Realizar la auditoría de certificación del Sistema de Gestión Institucional bajo la NTC ISO 9001:2015 en la UPME."/>
    <m/>
    <m/>
    <m/>
    <m/>
    <m/>
    <m/>
    <m/>
    <m/>
    <m/>
    <m/>
    <n v="15700751"/>
    <m/>
    <m/>
    <m/>
    <m/>
    <m/>
    <m/>
    <n v="15700751"/>
    <m/>
    <m/>
    <m/>
    <m/>
    <m/>
    <m/>
    <m/>
    <m/>
    <n v="15700751"/>
    <n v="15700751"/>
    <n v="0"/>
    <n v="0"/>
    <m/>
    <m/>
    <m/>
    <n v="15700751"/>
    <m/>
    <m/>
    <n v="0"/>
    <n v="15700751"/>
    <n v="0"/>
    <m/>
    <m/>
    <m/>
    <m/>
    <m/>
    <m/>
    <m/>
    <m/>
    <m/>
    <m/>
    <m/>
    <m/>
    <m/>
    <m/>
    <m/>
    <m/>
    <m/>
    <m/>
    <m/>
    <m/>
    <m/>
    <m/>
    <m/>
    <m/>
    <m/>
    <m/>
    <m/>
    <m/>
    <m/>
    <m/>
    <m/>
    <m/>
    <m/>
    <m/>
    <m/>
    <m/>
    <m/>
    <m/>
    <n v="0"/>
    <n v="0"/>
    <n v="0"/>
    <n v="0"/>
    <n v="0"/>
    <x v="0"/>
  </r>
  <r>
    <x v="0"/>
    <x v="1"/>
    <s v="Fortalecimiento de la percepción de la ciudadanía frente a los productos y servicios prestados por la UPME nacional"/>
    <s v="Transversal"/>
    <s v="Sí"/>
    <s v="Sí"/>
    <n v="7"/>
    <s v="101-20"/>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0 Prestar servicios profesionales en la coordinación de la implementación de la Política y Modelo de Gestión del Conocimiento e Innovación (Gesco+i) de la Entidad, para fortalecer la adopción, seguimiento y consolidación de las actividades establecid"/>
    <s v="Enero "/>
    <s v="Enero "/>
    <s v="Enero "/>
    <n v="330"/>
    <s v="Días"/>
    <s v="Contratación directa - Prestación de servicios profesionales "/>
    <s v="Propios - 20 - Ingresos corrientes"/>
    <n v="110000000"/>
    <n v="110000000"/>
    <s v="No"/>
    <s v="N/A"/>
    <s v="Verónica Tabares Muñoz"/>
    <s v="Jefe de Oficina Asesora de Planeación"/>
    <n v="6012220601"/>
    <s v="veronica.tabares@upme.gov.co"/>
    <n v="0"/>
    <n v="0"/>
    <n v="110000000"/>
    <n v="0"/>
    <n v="0"/>
    <n v="10000000"/>
    <n v="0"/>
    <n v="10000000"/>
    <n v="0"/>
    <n v="10000000"/>
    <n v="0"/>
    <n v="10000000"/>
    <n v="0"/>
    <n v="10000000"/>
    <n v="0"/>
    <n v="10000000"/>
    <n v="0"/>
    <n v="10000000"/>
    <n v="0"/>
    <n v="10000000"/>
    <n v="0"/>
    <n v="10000000"/>
    <n v="0"/>
    <n v="20000000"/>
    <n v="110000000"/>
    <n v="110000000"/>
    <n v="0"/>
    <n v="0"/>
    <s v="Prestar servicios profesionales en la coordinación de la implementación de la Política y Modelo de Gestión del Conocimiento e Innovación (Gesco+i) de la Entidad, para fortalecer la adopción, seguimiento y consolidación de las actividades establecidas en l"/>
    <m/>
    <m/>
    <n v="110000000"/>
    <m/>
    <m/>
    <n v="10000000"/>
    <m/>
    <n v="10000000"/>
    <m/>
    <n v="10000000"/>
    <m/>
    <n v="10000000"/>
    <m/>
    <n v="10000000"/>
    <m/>
    <n v="10000000"/>
    <m/>
    <n v="10000000"/>
    <m/>
    <n v="10000000"/>
    <m/>
    <n v="10000000"/>
    <m/>
    <n v="20000000"/>
    <m/>
    <m/>
    <n v="110000000"/>
    <n v="110000000"/>
    <n v="0"/>
    <n v="0"/>
    <n v="55026"/>
    <d v="2026-01-22T00:00:00"/>
    <n v="110000000"/>
    <n v="0"/>
    <n v="45826"/>
    <d v="2026-02-05T00:00:00"/>
    <n v="110000000"/>
    <n v="0"/>
    <n v="0"/>
    <s v="BOHORQUEZ GIL DIANA CAROLINA"/>
    <s v="CO1.PCCNTR.9200374"/>
    <m/>
    <m/>
    <m/>
    <n v="110000000"/>
    <m/>
    <m/>
    <m/>
    <n v="8333333"/>
    <n v="8333333"/>
    <m/>
    <n v="10000000"/>
    <n v="10000000"/>
    <m/>
    <m/>
    <m/>
    <m/>
    <m/>
    <m/>
    <m/>
    <m/>
    <m/>
    <m/>
    <m/>
    <m/>
    <m/>
    <m/>
    <m/>
    <m/>
    <m/>
    <m/>
    <m/>
    <m/>
    <m/>
    <m/>
    <m/>
    <m/>
    <n v="110000000"/>
    <n v="18333333"/>
    <n v="18333333"/>
    <n v="91666667"/>
    <n v="0"/>
    <x v="0"/>
  </r>
  <r>
    <x v="0"/>
    <x v="1"/>
    <s v="Fortalecimiento de la percepción de la ciudadanía frente a los productos y servicios prestados por la UPME nacional"/>
    <s v="Transversal"/>
    <s v="Sí"/>
    <s v="Sí"/>
    <n v="68"/>
    <s v="101-21"/>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1 Prestar servicios profesionales para la implementación del Modelo Gestión del Conocimiento e Innovación – Gesco+i de la Entidad, para fortalecer la adopción, seguimiento y consolidación de las actividades establecidas en la Política Institucional y"/>
    <s v="Enero "/>
    <s v="Enero "/>
    <s v="Enero "/>
    <n v="330"/>
    <s v="Días"/>
    <s v="Contratación directa - Prestación de servicios profesionales "/>
    <s v="Propios - 20 - Ingresos corrientes"/>
    <n v="38185934"/>
    <n v="38185934"/>
    <s v="No"/>
    <s v="N/A"/>
    <s v="Verónica Tabares Muñoz"/>
    <s v="Jefe de Oficina Asesora de Planeación"/>
    <n v="6012220601"/>
    <s v="veronica.tabares@upme.gov.co"/>
    <n v="38185934"/>
    <n v="0"/>
    <n v="0"/>
    <n v="3333333"/>
    <n v="0"/>
    <n v="10000000"/>
    <n v="0"/>
    <n v="10000000"/>
    <n v="0"/>
    <n v="10000000"/>
    <n v="0"/>
    <n v="4852601"/>
    <n v="0"/>
    <n v="0"/>
    <n v="0"/>
    <n v="0"/>
    <n v="0"/>
    <n v="0"/>
    <n v="0"/>
    <n v="0"/>
    <n v="0"/>
    <n v="0"/>
    <n v="0"/>
    <n v="0"/>
    <n v="38185934"/>
    <n v="38185934"/>
    <n v="0"/>
    <n v="0"/>
    <s v="Prestar servicios profesionales para la implementación del Modelo Gestión del Conocimiento e Innovación – Gesco+i de la Entidad, para fortalecer la adopción, seguimiento y consolidación de las actividades establecidas en la Política Institucional y la Hoj"/>
    <n v="38185934"/>
    <m/>
    <m/>
    <n v="3333333"/>
    <m/>
    <n v="10000000"/>
    <m/>
    <n v="10000000"/>
    <m/>
    <n v="10000000"/>
    <m/>
    <n v="4852601"/>
    <m/>
    <m/>
    <m/>
    <m/>
    <m/>
    <m/>
    <m/>
    <m/>
    <m/>
    <m/>
    <m/>
    <m/>
    <m/>
    <m/>
    <n v="38185934"/>
    <n v="38185934"/>
    <n v="0"/>
    <n v="0"/>
    <n v="36226"/>
    <d v="2026-01-15T00:00:00"/>
    <n v="38185934"/>
    <n v="0"/>
    <n v="28226"/>
    <d v="2026-01-28T00:00:00"/>
    <n v="38185934"/>
    <n v="0"/>
    <n v="0"/>
    <s v="JARAMILLO RINCON RICARDO ALFREDO"/>
    <s v="CO1.PCCNTR.9142145"/>
    <n v="38185934"/>
    <m/>
    <m/>
    <m/>
    <n v="666667"/>
    <n v="666667"/>
    <m/>
    <n v="10000000"/>
    <n v="10000000"/>
    <m/>
    <n v="10000000"/>
    <n v="10000000"/>
    <m/>
    <m/>
    <m/>
    <m/>
    <m/>
    <m/>
    <m/>
    <m/>
    <m/>
    <m/>
    <m/>
    <m/>
    <m/>
    <m/>
    <m/>
    <m/>
    <m/>
    <m/>
    <m/>
    <m/>
    <m/>
    <m/>
    <m/>
    <m/>
    <n v="38185934"/>
    <n v="20666667"/>
    <n v="20666667"/>
    <n v="17519267"/>
    <n v="0"/>
    <x v="0"/>
  </r>
  <r>
    <x v="0"/>
    <x v="1"/>
    <s v="Fortalecimiento de la percepción de la ciudadanía frente a los productos y servicios prestados por la UPME nacional"/>
    <s v="Transversal"/>
    <s v="Sí"/>
    <s v="Sí"/>
    <n v="68"/>
    <s v="101-22"/>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2 Prestar servicios profesionales para la implementación del Modelo Gestión del Conocimiento e Innovación – Gesco+i de la Entidad, para fortalecer la adopción, seguimiento y consolidación de las actividades establecidas en la Política Institucional y"/>
    <s v="Enero "/>
    <s v="Enero "/>
    <s v="Enero "/>
    <n v="330"/>
    <s v="Días"/>
    <s v="Contratación directa - Prestación de servicios profesionales "/>
    <s v="Propios - 21 - Otros recursos de tesorería"/>
    <n v="71814066"/>
    <n v="71814066"/>
    <s v="No"/>
    <s v="N/A"/>
    <s v="Verónica Tabares Muñoz"/>
    <s v="Jefe de Oficina Asesora de Planeación"/>
    <n v="6012220601"/>
    <s v="veronica.tabares@upme.gov.co"/>
    <n v="71814066"/>
    <n v="0"/>
    <n v="0"/>
    <n v="0"/>
    <n v="0"/>
    <n v="0"/>
    <n v="0"/>
    <n v="0"/>
    <n v="0"/>
    <n v="0"/>
    <n v="0"/>
    <n v="5147399"/>
    <n v="0"/>
    <n v="10000000"/>
    <n v="0"/>
    <n v="10000000"/>
    <n v="0"/>
    <n v="10000000"/>
    <n v="0"/>
    <n v="10000000"/>
    <n v="0"/>
    <n v="10000000"/>
    <n v="0"/>
    <n v="16666667"/>
    <n v="71814066"/>
    <n v="71814066"/>
    <n v="0"/>
    <n v="0"/>
    <s v="Prestar servicios profesionales para la implementación del Modelo Gestión del Conocimiento e Innovación – Gesco+i de la Entidad, para fortalecer la adopción, seguimiento y consolidación de las actividades establecidas en la Política Institucional y la Hoj"/>
    <n v="71814066"/>
    <m/>
    <m/>
    <m/>
    <m/>
    <m/>
    <m/>
    <m/>
    <m/>
    <m/>
    <m/>
    <n v="5147399"/>
    <m/>
    <n v="10000000"/>
    <m/>
    <n v="10000000"/>
    <m/>
    <n v="10000000"/>
    <m/>
    <n v="10000000"/>
    <m/>
    <n v="10000000"/>
    <m/>
    <n v="16666667"/>
    <m/>
    <m/>
    <n v="71814066"/>
    <n v="71814066"/>
    <n v="0"/>
    <n v="0"/>
    <n v="36226"/>
    <d v="2026-01-15T00:00:00"/>
    <n v="71814066"/>
    <n v="0"/>
    <n v="28226"/>
    <d v="2026-01-28T00:00:00"/>
    <n v="71814066"/>
    <n v="0"/>
    <n v="0"/>
    <s v="JARAMILLO RINCON RICARDO ALFREDO"/>
    <s v="CO1.PCCNTR.9142145"/>
    <n v="71814066"/>
    <m/>
    <m/>
    <m/>
    <m/>
    <m/>
    <m/>
    <m/>
    <m/>
    <m/>
    <m/>
    <m/>
    <m/>
    <m/>
    <m/>
    <m/>
    <m/>
    <m/>
    <m/>
    <m/>
    <m/>
    <m/>
    <m/>
    <m/>
    <m/>
    <m/>
    <m/>
    <m/>
    <m/>
    <m/>
    <m/>
    <m/>
    <m/>
    <m/>
    <m/>
    <m/>
    <n v="71814066"/>
    <n v="0"/>
    <n v="0"/>
    <n v="71814066"/>
    <n v="0"/>
    <x v="0"/>
  </r>
  <r>
    <x v="0"/>
    <x v="1"/>
    <s v="Fortalecimiento de la percepción de la ciudadanía frente a los productos y servicios prestados por la UPME nacional"/>
    <s v="Transversal"/>
    <s v="Sí"/>
    <s v="Sí"/>
    <n v="68"/>
    <s v="101-23"/>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3 Prestar servicios profesionales para apoyar el fortalecimiento técnico, metodológico y operativo de las actividades establecidas en Política y Modelo de Gestión del Conocimiento e Innovación (Gesco+i) en el marco de la implementación del Modelo Int"/>
    <s v="Enero "/>
    <s v="Enero "/>
    <s v="Enero "/>
    <n v="330"/>
    <s v="Días"/>
    <s v="Contratación directa - Prestación de servicios profesionales "/>
    <s v="Propios - 21 - Otros recursos de tesorería"/>
    <n v="36139950"/>
    <n v="36139950"/>
    <s v="No"/>
    <s v="N/A"/>
    <s v="Verónica Tabares Muñoz"/>
    <s v="Jefe de Oficina Asesora de Planeación"/>
    <n v="6012220601"/>
    <s v="veronica.tabares@upme.gov.co"/>
    <n v="0"/>
    <n v="0"/>
    <n v="36139950"/>
    <n v="0"/>
    <n v="0"/>
    <n v="1095150"/>
    <n v="0"/>
    <n v="3285450"/>
    <n v="0"/>
    <n v="3285450"/>
    <n v="0"/>
    <n v="3285450"/>
    <n v="0"/>
    <n v="3285450"/>
    <n v="0"/>
    <n v="3285450"/>
    <n v="0"/>
    <n v="3285450"/>
    <n v="0"/>
    <n v="3285450"/>
    <n v="0"/>
    <n v="3285450"/>
    <n v="0"/>
    <n v="8761200"/>
    <n v="36139950"/>
    <n v="36139950"/>
    <n v="0"/>
    <n v="0"/>
    <s v="Prestar servicios profesionales para apoyar el fortalecimiento técnico, metodológico y operativo de las actividades establecidas en Política y Modelo de Gestión del Conocimiento e Innovación (Gesco+i) en el marco de la implementación del Modelo Integrado "/>
    <m/>
    <m/>
    <n v="36139950"/>
    <m/>
    <m/>
    <n v="1095150"/>
    <m/>
    <n v="3285450"/>
    <m/>
    <n v="3285450"/>
    <m/>
    <n v="3285450"/>
    <m/>
    <n v="3285450"/>
    <m/>
    <n v="3285450"/>
    <m/>
    <n v="3285450"/>
    <m/>
    <n v="3285450"/>
    <m/>
    <n v="3285450"/>
    <m/>
    <n v="8761200"/>
    <m/>
    <m/>
    <n v="36139950"/>
    <n v="36139950"/>
    <n v="0"/>
    <n v="0"/>
    <n v="53826"/>
    <d v="2026-01-21T00:00:00"/>
    <n v="36139950"/>
    <n v="0"/>
    <n v="54726"/>
    <d v="2026-02-10T00:00:00"/>
    <n v="36139950"/>
    <n v="0"/>
    <n v="0"/>
    <s v="TORRIJOS OSPINA YOSSIE ESTEBAN"/>
    <s v="CO1.PCCNTR.9280946"/>
    <m/>
    <m/>
    <m/>
    <n v="36139950"/>
    <m/>
    <m/>
    <m/>
    <n v="1642725"/>
    <n v="1642725"/>
    <m/>
    <m/>
    <m/>
    <m/>
    <m/>
    <m/>
    <m/>
    <m/>
    <m/>
    <m/>
    <m/>
    <m/>
    <m/>
    <m/>
    <m/>
    <m/>
    <m/>
    <m/>
    <m/>
    <m/>
    <m/>
    <m/>
    <m/>
    <m/>
    <m/>
    <m/>
    <m/>
    <n v="36139950"/>
    <n v="1642725"/>
    <n v="1642725"/>
    <n v="34497225"/>
    <n v="0"/>
    <x v="0"/>
  </r>
  <r>
    <x v="0"/>
    <x v="1"/>
    <s v="Fortalecimiento de la percepción de la ciudadanía frente a los productos y servicios prestados por la UPME nacional"/>
    <s v="Transversal"/>
    <s v="Sí"/>
    <s v="Sí"/>
    <n v="68"/>
    <s v="101-24"/>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4 Prestar servicios profesionales para realizar el análisis, procesamiento y visualización de datos relacionados con la ejecución presupuestal de los proyectos de inversión, el Sistema de Gestión Institucional, los planes institucionales y las políti"/>
    <s v="Enero "/>
    <s v="Enero "/>
    <s v="Enero "/>
    <n v="330"/>
    <s v="Días"/>
    <s v="Contratación directa - Prestación de servicios profesionales "/>
    <s v="Propios - 21 - Otros recursos de tesorería"/>
    <n v="66000000"/>
    <n v="66000000"/>
    <s v="No"/>
    <s v="N/A"/>
    <s v="Verónica Tabares Muñoz"/>
    <s v="Jefe de Oficina Asesora de Planeación"/>
    <n v="6012220601"/>
    <s v="veronica.tabares@upme.gov.co"/>
    <n v="66000000"/>
    <n v="0"/>
    <n v="0"/>
    <n v="0"/>
    <n v="0"/>
    <n v="6000000"/>
    <n v="0"/>
    <n v="6000000"/>
    <n v="0"/>
    <n v="6000000"/>
    <n v="0"/>
    <n v="6000000"/>
    <n v="0"/>
    <n v="6000000"/>
    <n v="0"/>
    <n v="6000000"/>
    <n v="0"/>
    <n v="6000000"/>
    <n v="0"/>
    <n v="6000000"/>
    <n v="0"/>
    <n v="6000000"/>
    <n v="0"/>
    <n v="12000000"/>
    <n v="66000000"/>
    <n v="66000000"/>
    <n v="0"/>
    <n v="0"/>
    <s v="Prestar servicios profesionales para realizar el análisis, procesamiento y visualización de datos relacionados con la ejecución presupuestal de los proyectos de inversión, el Sistema de Gestión Institucional, los planes institucionales y las políticas del"/>
    <n v="66000000"/>
    <m/>
    <m/>
    <m/>
    <m/>
    <n v="6000000"/>
    <m/>
    <n v="6000000"/>
    <m/>
    <n v="6000000"/>
    <m/>
    <n v="6000000"/>
    <m/>
    <n v="6000000"/>
    <m/>
    <n v="6000000"/>
    <m/>
    <n v="6000000"/>
    <m/>
    <n v="6000000"/>
    <m/>
    <n v="6000000"/>
    <m/>
    <n v="12000000"/>
    <m/>
    <m/>
    <n v="66000000"/>
    <n v="66000000"/>
    <n v="0"/>
    <n v="0"/>
    <n v="35426"/>
    <d v="2026-01-15T00:00:00"/>
    <n v="66000000"/>
    <n v="0"/>
    <n v="33626"/>
    <d v="2026-01-29T00:00:00"/>
    <n v="66000000"/>
    <n v="0"/>
    <n v="0"/>
    <s v="PINZON GOMEZ MARIA FERNANDA"/>
    <s v="CO1.PCCNTR.9142164"/>
    <n v="66000000"/>
    <m/>
    <m/>
    <m/>
    <m/>
    <m/>
    <m/>
    <n v="6200000"/>
    <n v="6200000"/>
    <m/>
    <n v="6000000"/>
    <n v="6000000"/>
    <m/>
    <m/>
    <m/>
    <m/>
    <m/>
    <m/>
    <m/>
    <m/>
    <m/>
    <m/>
    <m/>
    <m/>
    <m/>
    <m/>
    <m/>
    <m/>
    <m/>
    <m/>
    <m/>
    <m/>
    <m/>
    <m/>
    <m/>
    <m/>
    <n v="66000000"/>
    <n v="12200000"/>
    <n v="12200000"/>
    <n v="53800000"/>
    <n v="0"/>
    <x v="0"/>
  </r>
  <r>
    <x v="0"/>
    <x v="1"/>
    <s v="Fortalecimiento de la percepción de la ciudadanía frente a los productos y servicios prestados por la UPME nacional"/>
    <s v="Transversal"/>
    <s v="Sí"/>
    <s v="Sí"/>
    <n v="68"/>
    <s v="101-25"/>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5 Prestar servicios profesionales para apoyar el diligenciamiento, administración y actualización de bases de datos institucionales, relacionadas con la ejecución presupuestal de los proyectos de inversión, el Sistema de Gestión Institucional y el se"/>
    <s v="Enero "/>
    <s v="Enero "/>
    <s v="Enero "/>
    <n v="330"/>
    <s v="Días"/>
    <s v="Contratación directa - Prestación de servicios profesionales "/>
    <s v="Propios - 21 - Otros recursos de tesorería"/>
    <n v="38500000"/>
    <n v="38500000"/>
    <s v="No"/>
    <s v="N/A"/>
    <s v="Verónica Tabares Muñoz"/>
    <s v="Jefe de Oficina Asesora de Planeación"/>
    <n v="6012220601"/>
    <s v="veronica.tabares@upme.gov.co"/>
    <n v="0"/>
    <n v="0"/>
    <n v="38500000"/>
    <n v="0"/>
    <n v="0"/>
    <n v="3500000"/>
    <n v="0"/>
    <n v="3500000"/>
    <n v="0"/>
    <n v="3500000"/>
    <n v="0"/>
    <n v="3500000"/>
    <n v="0"/>
    <n v="3500000"/>
    <n v="0"/>
    <n v="3500000"/>
    <n v="0"/>
    <n v="3500000"/>
    <n v="0"/>
    <n v="3500000"/>
    <n v="0"/>
    <n v="3500000"/>
    <n v="0"/>
    <n v="7000000"/>
    <n v="38500000"/>
    <n v="38500000"/>
    <n v="0"/>
    <n v="0"/>
    <s v="Prestar servicios profesionales para apoyar el diligenciamiento, administración y actualización de bases de datos institucionales, relacionadas con la ejecución presupuestal de los proyectos de inversión, el Sistema de Gestión Institucional y el seguimien"/>
    <m/>
    <m/>
    <n v="38500000"/>
    <m/>
    <m/>
    <n v="3500000"/>
    <m/>
    <n v="3500000"/>
    <m/>
    <n v="3500000"/>
    <m/>
    <n v="3500000"/>
    <m/>
    <n v="3500000"/>
    <m/>
    <n v="3500000"/>
    <m/>
    <n v="3500000"/>
    <m/>
    <n v="3500000"/>
    <m/>
    <n v="3500000"/>
    <m/>
    <n v="7000000"/>
    <m/>
    <m/>
    <n v="38500000"/>
    <n v="38500000"/>
    <n v="0"/>
    <n v="0"/>
    <n v="54026"/>
    <d v="2026-01-21T00:00:00"/>
    <n v="37916667"/>
    <n v="583333"/>
    <n v="46426"/>
    <d v="2026-02-05T00:00:00"/>
    <n v="37916667"/>
    <n v="583333"/>
    <n v="0"/>
    <s v="ARROYO MORALES SERGIO LUIS"/>
    <s v="CO1.PCCNTR.9202720"/>
    <m/>
    <m/>
    <m/>
    <n v="38500000"/>
    <m/>
    <m/>
    <n v="-583333"/>
    <n v="2916667"/>
    <n v="2916667"/>
    <m/>
    <n v="3500000"/>
    <n v="3500000"/>
    <m/>
    <m/>
    <m/>
    <m/>
    <m/>
    <m/>
    <m/>
    <m/>
    <m/>
    <m/>
    <m/>
    <m/>
    <m/>
    <m/>
    <m/>
    <m/>
    <m/>
    <m/>
    <m/>
    <m/>
    <m/>
    <m/>
    <m/>
    <m/>
    <n v="37916667"/>
    <n v="6416667"/>
    <n v="6416667"/>
    <n v="31500000"/>
    <n v="0"/>
    <x v="0"/>
  </r>
  <r>
    <x v="0"/>
    <x v="1"/>
    <s v="Fortalecimiento de la percepción de la ciudadanía frente a los productos y servicios prestados por la UPME nacional"/>
    <s v="Transversal"/>
    <s v="Sí"/>
    <s v="Sí"/>
    <n v="68"/>
    <s v="101-26"/>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6 Prestar servicios profesionales para la implementación, seguimiento y reporte de las políticas de gestión y desempeño institucional en materia de defensa jurídica, mejora normativa y fortalecimiento del Sistema de Gestión Institucional, conforme a "/>
    <s v="Enero "/>
    <s v="Enero "/>
    <s v="Enero "/>
    <n v="330"/>
    <s v="Días"/>
    <s v="Contratación directa - Prestación de servicios profesionales "/>
    <s v="Propios - 21 - Otros recursos de tesorería"/>
    <n v="31726335"/>
    <n v="31726335"/>
    <s v="No"/>
    <s v="N/A"/>
    <s v="Verónica Tabares Muñoz"/>
    <s v="Jefe de Oficina Asesora de Planeación"/>
    <n v="6012220601"/>
    <s v="veronica.tabares@upme.gov.co"/>
    <n v="31726335"/>
    <n v="0"/>
    <n v="0"/>
    <n v="0"/>
    <n v="0"/>
    <n v="0"/>
    <n v="0"/>
    <n v="0"/>
    <n v="0"/>
    <n v="0"/>
    <n v="0"/>
    <n v="0"/>
    <n v="0"/>
    <n v="0"/>
    <n v="0"/>
    <n v="1726335"/>
    <n v="0"/>
    <n v="6000000"/>
    <n v="0"/>
    <n v="6000000"/>
    <n v="0"/>
    <n v="6000000"/>
    <n v="0"/>
    <n v="12000000"/>
    <n v="31726335"/>
    <n v="31726335"/>
    <n v="0"/>
    <n v="0"/>
    <s v="Prestar servicios profesionales para la implementación, seguimiento y reporte de las políticas de gestión y desempeño institucional en materia de defensa jurídica, mejora normativa y fortalecimiento del Sistema de Gestión Institucional, conforme a los lin"/>
    <n v="31726335"/>
    <m/>
    <m/>
    <m/>
    <m/>
    <m/>
    <m/>
    <m/>
    <m/>
    <m/>
    <m/>
    <m/>
    <m/>
    <m/>
    <m/>
    <n v="1726335"/>
    <m/>
    <n v="6000000"/>
    <m/>
    <n v="6000000"/>
    <m/>
    <n v="6000000"/>
    <m/>
    <n v="12000000"/>
    <m/>
    <m/>
    <n v="31726335"/>
    <n v="31726335"/>
    <n v="0"/>
    <n v="0"/>
    <n v="3326"/>
    <d v="2026-01-05T00:00:00"/>
    <n v="31726335"/>
    <n v="0"/>
    <n v="10626"/>
    <d v="2026-01-16T00:00:00"/>
    <n v="31726335"/>
    <n v="0"/>
    <n v="0"/>
    <s v="CACERES HERRERA DIANA MARCELA"/>
    <s v="CO1.PCCNTR.8875153"/>
    <n v="31726335"/>
    <m/>
    <m/>
    <m/>
    <n v="2800000"/>
    <n v="2800000"/>
    <m/>
    <n v="6000000"/>
    <n v="6000000"/>
    <m/>
    <n v="6000000"/>
    <n v="6000000"/>
    <m/>
    <m/>
    <m/>
    <m/>
    <m/>
    <m/>
    <m/>
    <m/>
    <m/>
    <m/>
    <m/>
    <m/>
    <m/>
    <m/>
    <m/>
    <m/>
    <m/>
    <m/>
    <m/>
    <m/>
    <m/>
    <m/>
    <m/>
    <m/>
    <n v="31726335"/>
    <n v="14800000"/>
    <n v="14800000"/>
    <n v="16926335"/>
    <n v="0"/>
    <x v="0"/>
  </r>
  <r>
    <x v="0"/>
    <x v="1"/>
    <s v="Fortalecimiento de la percepción de la ciudadanía frente a los productos y servicios prestados por la UPME nacional"/>
    <s v="Transversal"/>
    <s v="Sí"/>
    <s v="Sí"/>
    <n v="4"/>
    <s v="101-27"/>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7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330"/>
    <s v="Días"/>
    <s v="Contratación directa - Prestación de servicios profesionales "/>
    <s v="Propios - 21 - Otros recursos de tesorería"/>
    <n v="55000000"/>
    <n v="55000000"/>
    <s v="No"/>
    <s v="N/A"/>
    <s v="Verónica Tabares Muñoz"/>
    <s v="Jefe de Oficina Asesora de Planeación"/>
    <n v="6012220601"/>
    <s v="veronica.tabares@upme.gov.co"/>
    <n v="0"/>
    <n v="0"/>
    <n v="55000000"/>
    <n v="0"/>
    <n v="0"/>
    <n v="5000000"/>
    <n v="0"/>
    <n v="5000000"/>
    <n v="0"/>
    <n v="5000000"/>
    <n v="0"/>
    <n v="5000000"/>
    <n v="0"/>
    <n v="5000000"/>
    <n v="0"/>
    <n v="5000000"/>
    <n v="0"/>
    <n v="5000000"/>
    <n v="0"/>
    <n v="5000000"/>
    <n v="0"/>
    <n v="5000000"/>
    <n v="0"/>
    <n v="10000000"/>
    <n v="55000000"/>
    <n v="550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55000000"/>
    <m/>
    <m/>
    <n v="5000000"/>
    <m/>
    <n v="5000000"/>
    <m/>
    <n v="5000000"/>
    <m/>
    <n v="5000000"/>
    <m/>
    <n v="5000000"/>
    <m/>
    <n v="5000000"/>
    <m/>
    <n v="5000000"/>
    <m/>
    <n v="5000000"/>
    <m/>
    <n v="5000000"/>
    <m/>
    <n v="10000000"/>
    <m/>
    <m/>
    <n v="55000000"/>
    <n v="55000000"/>
    <n v="0"/>
    <n v="0"/>
    <n v="52826"/>
    <d v="2026-01-20T00:00:00"/>
    <n v="55000000"/>
    <n v="0"/>
    <n v="45026"/>
    <d v="2026-02-05T00:00:00"/>
    <n v="55000000"/>
    <n v="0"/>
    <n v="0"/>
    <s v="PULIDO RINCON JENNY"/>
    <s v="CO1.PCCNTR.9253728"/>
    <m/>
    <m/>
    <m/>
    <n v="55000000"/>
    <m/>
    <m/>
    <m/>
    <m/>
    <m/>
    <m/>
    <n v="6000000"/>
    <n v="6000000"/>
    <m/>
    <m/>
    <m/>
    <m/>
    <m/>
    <m/>
    <m/>
    <m/>
    <m/>
    <m/>
    <m/>
    <m/>
    <m/>
    <m/>
    <m/>
    <m/>
    <m/>
    <m/>
    <m/>
    <m/>
    <m/>
    <m/>
    <m/>
    <m/>
    <n v="55000000"/>
    <n v="6000000"/>
    <n v="6000000"/>
    <n v="49000000"/>
    <n v="0"/>
    <x v="0"/>
  </r>
  <r>
    <x v="0"/>
    <x v="1"/>
    <s v="Fortalecimiento de la percepción de la ciudadanía frente a los productos y servicios prestados por la UPME nacional"/>
    <s v="Transversal"/>
    <s v="Sí"/>
    <s v="Sí"/>
    <n v="68"/>
    <s v="101-28"/>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28 Prestar servicios profesionales para el seguimiento como segunda línea de defensa de la política de Seguridad y Salud en el Trabajo, así como, articular las diferentes áreas de la entidad para la elaboración y actualización del Plan de Continuidad "/>
    <s v="Enero "/>
    <s v="Enero "/>
    <s v="Enero "/>
    <n v="330"/>
    <s v="Días"/>
    <s v="Contratación directa - Prestación de servicios profesionales "/>
    <s v="Propios - 21 - Otros recursos de tesorería"/>
    <n v="44000000"/>
    <n v="44000000"/>
    <s v="No"/>
    <s v="N/A"/>
    <s v="Verónica Tabares Muñoz"/>
    <s v="Jefe de Oficina Asesora de Planeación"/>
    <n v="6012220601"/>
    <s v="veronica.tabares@upme.gov.co"/>
    <n v="0"/>
    <n v="0"/>
    <n v="44000000"/>
    <n v="0"/>
    <n v="0"/>
    <n v="4000000"/>
    <n v="0"/>
    <n v="4000000"/>
    <n v="0"/>
    <n v="4000000"/>
    <n v="0"/>
    <n v="4000000"/>
    <n v="0"/>
    <n v="4000000"/>
    <n v="0"/>
    <n v="4000000"/>
    <n v="0"/>
    <n v="4000000"/>
    <n v="0"/>
    <n v="4000000"/>
    <n v="0"/>
    <n v="4000000"/>
    <n v="0"/>
    <n v="8000000"/>
    <n v="44000000"/>
    <n v="44000000"/>
    <n v="0"/>
    <n v="0"/>
    <s v="Prestar servicios profesionales para el seguimiento como segunda línea de defensa de la política de Seguridad y Salud en el Trabajo, así como, articular las diferentes áreas de la entidad para la elaboración y actualización del Plan de Continuidad del Neg"/>
    <m/>
    <m/>
    <n v="44000000"/>
    <m/>
    <m/>
    <n v="4000000"/>
    <m/>
    <n v="4000000"/>
    <m/>
    <n v="4000000"/>
    <m/>
    <n v="4000000"/>
    <m/>
    <n v="4000000"/>
    <m/>
    <n v="4000000"/>
    <m/>
    <n v="4000000"/>
    <m/>
    <n v="4000000"/>
    <m/>
    <n v="4000000"/>
    <m/>
    <n v="8000000"/>
    <m/>
    <m/>
    <n v="44000000"/>
    <n v="44000000"/>
    <n v="0"/>
    <n v="0"/>
    <n v="52526"/>
    <d v="2026-01-20T00:00:00"/>
    <n v="44000000"/>
    <n v="0"/>
    <n v="48126"/>
    <d v="2026-02-06T00:00:00"/>
    <n v="44000000"/>
    <n v="0"/>
    <n v="0"/>
    <s v="CHAVERRA CORDOBA BISMARK ALEXANDER"/>
    <s v="CO1.PCCNTR.9282223"/>
    <m/>
    <m/>
    <m/>
    <n v="44000000"/>
    <m/>
    <m/>
    <m/>
    <n v="2933333"/>
    <n v="2933333"/>
    <m/>
    <n v="4000000"/>
    <n v="4000000"/>
    <m/>
    <m/>
    <m/>
    <m/>
    <m/>
    <m/>
    <m/>
    <m/>
    <m/>
    <m/>
    <m/>
    <m/>
    <m/>
    <m/>
    <m/>
    <m/>
    <m/>
    <m/>
    <m/>
    <m/>
    <m/>
    <m/>
    <m/>
    <m/>
    <n v="44000000"/>
    <n v="6933333"/>
    <n v="6933333"/>
    <n v="37066667"/>
    <n v="0"/>
    <x v="0"/>
  </r>
  <r>
    <x v="0"/>
    <x v="1"/>
    <s v="Fortalecimiento de la percepción de la ciudadanía frente a los productos y servicios prestados por la UPME nacional"/>
    <s v="Transversal"/>
    <s v="Sí"/>
    <s v="Sí"/>
    <n v="68"/>
    <s v="101-29"/>
    <s v="Fortalecer la gestión de conocimiento para la planeación minero energética."/>
    <s v="Documentos Metodológicos"/>
    <s v="Realizar la implementación de un esquema organizativo y de gobernabilidad para la gestión del conocimiento"/>
    <n v="84111603"/>
    <s v="C-2199-1900-4-53105B-2199057-02"/>
    <s v="Estudios"/>
    <s v="101-29 Realizar la auditoría de certificación del Sistema de Gestión Institucional bajo la NTC ISO 9001:2015 en la UPME."/>
    <s v="Mayo"/>
    <s v="Mayo"/>
    <s v="Junio"/>
    <n v="1"/>
    <s v="Meses"/>
    <s v="Contratación directa - Contratos menor cuantía"/>
    <s v="Propios - 21 - Otros recursos de tesorería"/>
    <n v="1000000"/>
    <n v="1000000"/>
    <s v="No"/>
    <s v="N/A"/>
    <s v="Verónica Tabares Muñoz"/>
    <s v="Jefe de Oficina Asesora de Planeación"/>
    <n v="6012220601"/>
    <s v="veronica.tabares@upme.gov.co"/>
    <n v="0"/>
    <n v="0"/>
    <n v="0"/>
    <n v="0"/>
    <n v="0"/>
    <n v="0"/>
    <n v="0"/>
    <n v="0"/>
    <n v="0"/>
    <n v="0"/>
    <n v="1000000"/>
    <n v="0"/>
    <n v="0"/>
    <n v="0"/>
    <n v="0"/>
    <n v="0"/>
    <n v="0"/>
    <n v="1000000"/>
    <n v="0"/>
    <n v="0"/>
    <n v="0"/>
    <n v="0"/>
    <n v="0"/>
    <n v="0"/>
    <n v="1000000"/>
    <n v="1000000"/>
    <n v="0"/>
    <n v="0"/>
    <s v="Realizar la auditoría de certificación del Sistema de Gestión Institucional bajo la NTC ISO 9001:2015 en la UPME."/>
    <m/>
    <m/>
    <m/>
    <m/>
    <m/>
    <m/>
    <m/>
    <m/>
    <m/>
    <m/>
    <n v="1000000"/>
    <m/>
    <m/>
    <m/>
    <m/>
    <m/>
    <m/>
    <n v="1000000"/>
    <m/>
    <m/>
    <m/>
    <m/>
    <m/>
    <m/>
    <m/>
    <m/>
    <n v="1000000"/>
    <n v="1000000"/>
    <n v="0"/>
    <n v="0"/>
    <m/>
    <m/>
    <m/>
    <n v="1000000"/>
    <m/>
    <m/>
    <n v="0"/>
    <n v="1000000"/>
    <n v="0"/>
    <m/>
    <m/>
    <m/>
    <m/>
    <m/>
    <m/>
    <m/>
    <m/>
    <m/>
    <m/>
    <m/>
    <m/>
    <m/>
    <m/>
    <m/>
    <m/>
    <m/>
    <m/>
    <m/>
    <m/>
    <m/>
    <m/>
    <m/>
    <m/>
    <m/>
    <m/>
    <m/>
    <m/>
    <m/>
    <m/>
    <m/>
    <m/>
    <m/>
    <m/>
    <m/>
    <m/>
    <m/>
    <m/>
    <n v="0"/>
    <n v="0"/>
    <n v="0"/>
    <n v="0"/>
    <n v="0"/>
    <x v="0"/>
  </r>
  <r>
    <x v="0"/>
    <x v="1"/>
    <s v="Fortalecimiento de la percepción de la ciudadanía frente a los productos y servicios prestados por la UPME nacional"/>
    <s v="Transversal"/>
    <s v="Sí"/>
    <s v="Sí"/>
    <n v="68"/>
    <s v="101-30"/>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3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61009"/>
    <n v="61009"/>
    <s v="No"/>
    <s v="N/A"/>
    <s v="Verónica Tabares Muñoz"/>
    <s v="Jefe de Oficina Asesora de Planeación"/>
    <n v="6012220601"/>
    <s v="veronica.tabares@upme.gov.co"/>
    <n v="0"/>
    <n v="0"/>
    <n v="61009"/>
    <n v="0"/>
    <n v="0"/>
    <n v="0"/>
    <n v="0"/>
    <n v="0"/>
    <n v="0"/>
    <n v="61009"/>
    <n v="0"/>
    <n v="0"/>
    <n v="0"/>
    <n v="0"/>
    <n v="0"/>
    <n v="0"/>
    <n v="0"/>
    <n v="0"/>
    <n v="0"/>
    <n v="0"/>
    <n v="0"/>
    <n v="0"/>
    <n v="0"/>
    <n v="0"/>
    <n v="61009"/>
    <n v="61009"/>
    <n v="0"/>
    <n v="0"/>
    <s v="Prestar servicios profesionales orientados al fortalecimiento de la Dimensión de Control Interno mediante la ejecución del Plan Anual de Auditorías Internas Independientes, con énfasis en la evaluación de la gestión administrativa de la UPME."/>
    <m/>
    <m/>
    <n v="61009"/>
    <m/>
    <m/>
    <m/>
    <m/>
    <m/>
    <m/>
    <n v="61009"/>
    <m/>
    <m/>
    <m/>
    <m/>
    <m/>
    <m/>
    <m/>
    <m/>
    <m/>
    <m/>
    <m/>
    <m/>
    <m/>
    <m/>
    <m/>
    <m/>
    <n v="61009"/>
    <n v="61009"/>
    <n v="0"/>
    <n v="0"/>
    <n v="64026"/>
    <d v="2026-01-23T00:00:00"/>
    <n v="61009"/>
    <n v="0"/>
    <n v="59726"/>
    <d v="2026-02-12T00:00:00"/>
    <n v="61009"/>
    <n v="0"/>
    <n v="0"/>
    <s v="NUÑEZ GANTIVA NATALIA ELIANA"/>
    <s v="CO1.PCCNTR.9306722"/>
    <m/>
    <m/>
    <m/>
    <n v="61009"/>
    <m/>
    <m/>
    <m/>
    <m/>
    <m/>
    <m/>
    <m/>
    <m/>
    <m/>
    <m/>
    <m/>
    <m/>
    <m/>
    <m/>
    <m/>
    <m/>
    <m/>
    <m/>
    <m/>
    <m/>
    <m/>
    <m/>
    <m/>
    <m/>
    <m/>
    <m/>
    <m/>
    <m/>
    <m/>
    <m/>
    <m/>
    <m/>
    <n v="61009"/>
    <n v="0"/>
    <n v="0"/>
    <n v="61009"/>
    <n v="0"/>
    <x v="0"/>
  </r>
  <r>
    <x v="0"/>
    <x v="1"/>
    <s v="Fortalecimiento de la percepción de la ciudadanía frente a los productos y servicios prestados por la UPME nacional"/>
    <s v="Transversal"/>
    <s v="Sí"/>
    <s v="Sí"/>
    <n v="68"/>
    <s v="101-31"/>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31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3075304"/>
    <n v="3075304"/>
    <s v="No"/>
    <s v="N/A"/>
    <s v="Verónica Tabares Muñoz"/>
    <s v="Jefe de Oficina Asesora de Planeación"/>
    <n v="6012220601"/>
    <s v="veronica.tabares@upme.gov.co"/>
    <n v="0"/>
    <n v="0"/>
    <n v="0"/>
    <n v="0"/>
    <n v="0"/>
    <n v="0"/>
    <n v="0"/>
    <n v="0"/>
    <n v="0"/>
    <n v="0"/>
    <n v="0"/>
    <n v="0"/>
    <n v="3075304"/>
    <n v="0"/>
    <n v="0"/>
    <n v="0"/>
    <n v="0"/>
    <n v="0"/>
    <n v="0"/>
    <n v="1000000"/>
    <n v="0"/>
    <n v="1000000"/>
    <n v="0"/>
    <n v="1075304"/>
    <n v="3075304"/>
    <n v="3075304"/>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3075304"/>
    <m/>
    <m/>
    <m/>
    <m/>
    <m/>
    <m/>
    <n v="1000000"/>
    <m/>
    <n v="1000000"/>
    <m/>
    <n v="1075304"/>
    <m/>
    <m/>
    <n v="3075304"/>
    <n v="3075304"/>
    <n v="0"/>
    <n v="0"/>
    <m/>
    <m/>
    <m/>
    <n v="3075304"/>
    <m/>
    <m/>
    <n v="0"/>
    <n v="3075304"/>
    <n v="0"/>
    <m/>
    <m/>
    <m/>
    <m/>
    <m/>
    <m/>
    <m/>
    <m/>
    <m/>
    <m/>
    <m/>
    <m/>
    <m/>
    <m/>
    <m/>
    <m/>
    <m/>
    <m/>
    <m/>
    <m/>
    <m/>
    <m/>
    <m/>
    <m/>
    <m/>
    <m/>
    <m/>
    <m/>
    <m/>
    <m/>
    <m/>
    <m/>
    <m/>
    <m/>
    <m/>
    <m/>
    <m/>
    <m/>
    <n v="0"/>
    <n v="0"/>
    <n v="0"/>
    <n v="0"/>
    <n v="0"/>
    <x v="0"/>
  </r>
  <r>
    <x v="0"/>
    <x v="1"/>
    <s v="Fortalecimiento de la percepción de la ciudadanía frente a los productos y servicios prestados por la UPME nacional"/>
    <s v="Transversal"/>
    <s v="Sí"/>
    <s v="Sí"/>
    <n v="68"/>
    <s v="101-32"/>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32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1 - Otros recursos de tesorería"/>
    <n v="3075304"/>
    <n v="3075304"/>
    <s v="No"/>
    <s v="N/A"/>
    <s v="Verónica Tabares Muñoz"/>
    <s v="Jefe de Oficina Asesora de Planeación"/>
    <n v="6012220601"/>
    <s v="veronica.tabares@upme.gov.co"/>
    <n v="0"/>
    <n v="0"/>
    <n v="0"/>
    <n v="0"/>
    <n v="0"/>
    <n v="0"/>
    <n v="0"/>
    <n v="0"/>
    <n v="0"/>
    <n v="0"/>
    <n v="0"/>
    <n v="0"/>
    <n v="3075304"/>
    <n v="0"/>
    <n v="0"/>
    <n v="0"/>
    <n v="0"/>
    <n v="0"/>
    <n v="0"/>
    <n v="1000000"/>
    <n v="0"/>
    <n v="1000000"/>
    <n v="0"/>
    <n v="1075304"/>
    <n v="3075304"/>
    <n v="3075304"/>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3075304"/>
    <m/>
    <m/>
    <m/>
    <m/>
    <m/>
    <m/>
    <n v="1000000"/>
    <m/>
    <n v="1000000"/>
    <m/>
    <n v="1075304"/>
    <m/>
    <m/>
    <n v="3075304"/>
    <n v="3075304"/>
    <n v="0"/>
    <n v="0"/>
    <m/>
    <m/>
    <m/>
    <n v="3075304"/>
    <m/>
    <m/>
    <n v="0"/>
    <n v="3075304"/>
    <n v="0"/>
    <m/>
    <m/>
    <m/>
    <m/>
    <m/>
    <m/>
    <m/>
    <m/>
    <m/>
    <m/>
    <m/>
    <m/>
    <m/>
    <m/>
    <m/>
    <m/>
    <m/>
    <m/>
    <m/>
    <m/>
    <m/>
    <m/>
    <m/>
    <m/>
    <m/>
    <m/>
    <m/>
    <m/>
    <m/>
    <m/>
    <m/>
    <m/>
    <m/>
    <m/>
    <m/>
    <m/>
    <m/>
    <m/>
    <n v="0"/>
    <n v="0"/>
    <n v="0"/>
    <n v="0"/>
    <n v="0"/>
    <x v="0"/>
  </r>
  <r>
    <x v="0"/>
    <x v="1"/>
    <s v="Fortalecimiento de la percepción de la ciudadanía frente a los productos y servicios prestados por la UPME nacional"/>
    <s v="Transversal"/>
    <s v="Sí"/>
    <s v="Sí"/>
    <n v="4"/>
    <s v="101-33"/>
    <s v="Mejorar el direccionamiento estratégico y la gestión de los procesos frente a la ciudadanía."/>
    <s v="Servicio de Implementación Sistemas de Gestión"/>
    <s v="Planificar y coordinar la apropiación e implementación del MIPG."/>
    <n v="80111620"/>
    <s v="C-2199-1900-4-53105B-2199062-02"/>
    <s v="Prestación de servicios profesionales y/o de apoyo a la gestión"/>
    <s v="101-33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11"/>
    <s v="Meses"/>
    <s v="Contratación directa - Prestación de servicios profesionales "/>
    <s v="Propios - 20 - Ingresos corrientes"/>
    <n v="4500000"/>
    <n v="4500000"/>
    <s v="No"/>
    <s v="N/A"/>
    <s v="Verónica Tabares Muñoz"/>
    <s v="Jefe de Oficina Asesora de Planeación"/>
    <n v="6012220601"/>
    <s v="veronica.tabares@upme.gov.co"/>
    <n v="0"/>
    <n v="0"/>
    <n v="4500000"/>
    <n v="0"/>
    <n v="0"/>
    <n v="0"/>
    <n v="0"/>
    <n v="0"/>
    <n v="0"/>
    <n v="0"/>
    <n v="0"/>
    <n v="0"/>
    <n v="0"/>
    <n v="0"/>
    <n v="0"/>
    <n v="0"/>
    <n v="0"/>
    <n v="0"/>
    <n v="0"/>
    <n v="0"/>
    <n v="0"/>
    <n v="1000000"/>
    <n v="0"/>
    <n v="3500000"/>
    <n v="4500000"/>
    <n v="45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4500000"/>
    <m/>
    <m/>
    <m/>
    <m/>
    <m/>
    <m/>
    <m/>
    <m/>
    <m/>
    <m/>
    <m/>
    <m/>
    <m/>
    <m/>
    <m/>
    <m/>
    <m/>
    <m/>
    <n v="1000000"/>
    <m/>
    <n v="3500000"/>
    <m/>
    <m/>
    <n v="4500000"/>
    <n v="4500000"/>
    <n v="0"/>
    <n v="0"/>
    <n v="52826"/>
    <d v="2026-01-20T00:00:00"/>
    <n v="4500000"/>
    <n v="0"/>
    <n v="45026"/>
    <d v="2026-02-05T00:00:00"/>
    <n v="4500000"/>
    <n v="0"/>
    <n v="0"/>
    <s v="PULIDO RINCON JENNY"/>
    <s v="CO1.PCCNTR.9253728"/>
    <m/>
    <m/>
    <m/>
    <n v="4500000"/>
    <m/>
    <m/>
    <m/>
    <m/>
    <m/>
    <m/>
    <m/>
    <m/>
    <m/>
    <m/>
    <m/>
    <m/>
    <m/>
    <m/>
    <m/>
    <m/>
    <m/>
    <m/>
    <m/>
    <m/>
    <m/>
    <m/>
    <m/>
    <m/>
    <m/>
    <m/>
    <m/>
    <m/>
    <m/>
    <m/>
    <m/>
    <m/>
    <n v="4500000"/>
    <n v="0"/>
    <n v="0"/>
    <n v="4500000"/>
    <n v="0"/>
    <x v="0"/>
  </r>
  <r>
    <x v="0"/>
    <x v="1"/>
    <s v="Fortalecimiento de la percepción de la ciudadanía frente a los productos y servicios prestados por la UPME nacional"/>
    <s v="Transversal"/>
    <s v="Sí"/>
    <s v="Sí"/>
    <n v="4"/>
    <s v="101-34"/>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s v="Prestación de servicios profesionales y/o de apoyo a la gestión"/>
    <s v="101-34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11"/>
    <s v="Meses"/>
    <s v="Contratación directa - Prestación de servicios profesionales "/>
    <s v="Propios - 20 - Ingresos corrientes"/>
    <n v="6500000"/>
    <n v="6500000"/>
    <s v="No"/>
    <s v="N/A"/>
    <s v="Verónica Tabares Muñoz"/>
    <s v="Jefe de Oficina Asesora de Planeación"/>
    <n v="6012220601"/>
    <s v="veronica.tabares@upme.gov.co"/>
    <n v="0"/>
    <n v="0"/>
    <n v="6500000"/>
    <n v="0"/>
    <n v="0"/>
    <n v="0"/>
    <n v="0"/>
    <n v="0"/>
    <n v="0"/>
    <n v="0"/>
    <n v="0"/>
    <n v="0"/>
    <n v="0"/>
    <n v="0"/>
    <n v="0"/>
    <n v="0"/>
    <n v="0"/>
    <n v="0"/>
    <n v="0"/>
    <n v="0"/>
    <n v="0"/>
    <n v="0"/>
    <n v="0"/>
    <n v="6500000"/>
    <n v="6500000"/>
    <n v="65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6500000"/>
    <m/>
    <m/>
    <m/>
    <m/>
    <m/>
    <m/>
    <m/>
    <m/>
    <m/>
    <m/>
    <m/>
    <m/>
    <m/>
    <m/>
    <m/>
    <m/>
    <m/>
    <m/>
    <m/>
    <m/>
    <n v="6500000"/>
    <m/>
    <m/>
    <n v="6500000"/>
    <n v="6500000"/>
    <n v="0"/>
    <n v="0"/>
    <n v="52826"/>
    <d v="2026-01-20T00:00:00"/>
    <n v="6500000"/>
    <n v="0"/>
    <n v="45026"/>
    <d v="2026-02-05T00:00:00"/>
    <n v="6500000"/>
    <n v="0"/>
    <n v="0"/>
    <s v="PULIDO RINCON JENNY"/>
    <s v="CO1.PCCNTR.9253728"/>
    <m/>
    <m/>
    <m/>
    <n v="6500000"/>
    <m/>
    <m/>
    <m/>
    <n v="5000000"/>
    <n v="5000000"/>
    <m/>
    <m/>
    <m/>
    <m/>
    <m/>
    <m/>
    <m/>
    <m/>
    <m/>
    <m/>
    <m/>
    <m/>
    <m/>
    <m/>
    <m/>
    <m/>
    <m/>
    <m/>
    <m/>
    <m/>
    <m/>
    <m/>
    <m/>
    <m/>
    <m/>
    <m/>
    <m/>
    <n v="6500000"/>
    <n v="5000000"/>
    <n v="5000000"/>
    <n v="1500000"/>
    <n v="0"/>
    <x v="0"/>
  </r>
  <r>
    <x v="0"/>
    <x v="1"/>
    <s v="Fortalecimiento de la percepción de la ciudadanía frente a los productos y servicios prestados por la UPME nacional"/>
    <s v="Transversal"/>
    <s v="Sí"/>
    <s v="Sí"/>
    <n v="4"/>
    <s v="101-35"/>
    <s v="Mejorar el direccionamiento estratégico y la gestión de los procesos frente a la ciudadanía."/>
    <s v="Documentos de Planeación"/>
    <s v="Realizar la programación y seguimiento a la ejecución de las políticas, estrategias, los planes y proyectos institucionales."/>
    <n v="84111603"/>
    <s v="C-2199-1900-4-53105B-2199056-02"/>
    <s v="Estudios"/>
    <s v="101-35 Realizar la auditoría de certificación del Sistema de Gestión Institucional bajo la NTC ISO 9001:2015 en la UPME."/>
    <s v="Mayo"/>
    <s v="Mayo"/>
    <s v="Junio"/>
    <n v="3"/>
    <s v="Meses"/>
    <s v="Contratación directa "/>
    <s v="Propios - 20 - Ingresos corrientes"/>
    <n v="1500000"/>
    <n v="1500000"/>
    <s v="No"/>
    <s v="N/A"/>
    <s v="Verónica Tabares Muñoz"/>
    <s v="Jefe de Oficina Asesora de Planeación"/>
    <n v="6012220601"/>
    <s v="veronica.tabares@upme.gov.co"/>
    <n v="0"/>
    <n v="0"/>
    <n v="0"/>
    <n v="0"/>
    <n v="0"/>
    <n v="0"/>
    <n v="0"/>
    <n v="0"/>
    <n v="0"/>
    <n v="0"/>
    <n v="1500000"/>
    <n v="0"/>
    <n v="0"/>
    <n v="0"/>
    <n v="0"/>
    <n v="0"/>
    <n v="0"/>
    <n v="1500000"/>
    <n v="0"/>
    <n v="0"/>
    <n v="0"/>
    <n v="0"/>
    <n v="0"/>
    <n v="0"/>
    <n v="1500000"/>
    <n v="1500000"/>
    <n v="0"/>
    <n v="0"/>
    <s v="Realizar la auditoría de certificación del Sistema de Gestión Institucional bajo la NTC ISO 9001:2015 en la UPME."/>
    <m/>
    <m/>
    <m/>
    <m/>
    <m/>
    <m/>
    <m/>
    <m/>
    <m/>
    <m/>
    <n v="1500000"/>
    <m/>
    <m/>
    <m/>
    <m/>
    <m/>
    <m/>
    <n v="1500000"/>
    <m/>
    <m/>
    <m/>
    <m/>
    <m/>
    <m/>
    <m/>
    <m/>
    <n v="1500000"/>
    <n v="1500000"/>
    <n v="0"/>
    <n v="0"/>
    <m/>
    <m/>
    <m/>
    <n v="1500000"/>
    <m/>
    <m/>
    <n v="0"/>
    <n v="1500000"/>
    <n v="0"/>
    <m/>
    <m/>
    <m/>
    <m/>
    <m/>
    <m/>
    <m/>
    <m/>
    <m/>
    <m/>
    <m/>
    <m/>
    <m/>
    <m/>
    <m/>
    <m/>
    <m/>
    <m/>
    <m/>
    <m/>
    <m/>
    <m/>
    <m/>
    <m/>
    <m/>
    <m/>
    <m/>
    <m/>
    <m/>
    <m/>
    <m/>
    <m/>
    <m/>
    <m/>
    <m/>
    <m/>
    <m/>
    <m/>
    <n v="0"/>
    <n v="0"/>
    <n v="0"/>
    <n v="0"/>
    <n v="0"/>
    <x v="0"/>
  </r>
  <r>
    <x v="0"/>
    <x v="1"/>
    <s v="Fortalecimiento de la percepción de la ciudadanía frente a los productos y servicios prestados por la UPME nacional"/>
    <s v="Transversal"/>
    <s v="Sí"/>
    <s v="Sí"/>
    <n v="7"/>
    <s v="101-36"/>
    <s v="Mejorar el direccionamiento estratégico y la gestión de los procesos frente a la ciudadanía."/>
    <s v="Servicio de Implementación Sistemas de Gestión"/>
    <s v="Planificar y coordinar la apropiación e implementación del MIPG."/>
    <n v="80111620"/>
    <s v="C-2199-1900-4-53105B-2199062-02"/>
    <s v="Prestación de servicios profesionales y/o de apoyo a la gestión"/>
    <s v="101-36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20865181"/>
    <n v="20865181"/>
    <s v="No"/>
    <s v="N/A"/>
    <s v="Verónica Tabares Muñoz"/>
    <s v="Jefe de Oficina Asesora de Planeación"/>
    <n v="6012220601"/>
    <s v="veronica.tabares@upme.gov.co"/>
    <n v="0"/>
    <n v="0"/>
    <n v="20865181"/>
    <n v="0"/>
    <n v="0"/>
    <n v="5500000"/>
    <n v="0"/>
    <n v="5500000"/>
    <n v="0"/>
    <n v="5500000"/>
    <n v="0"/>
    <n v="4365181"/>
    <n v="0"/>
    <n v="0"/>
    <n v="0"/>
    <n v="0"/>
    <n v="0"/>
    <n v="0"/>
    <n v="0"/>
    <n v="0"/>
    <n v="0"/>
    <n v="0"/>
    <n v="0"/>
    <n v="0"/>
    <n v="20865181"/>
    <n v="20865181"/>
    <n v="0"/>
    <n v="0"/>
    <s v="Prestar servicios profesionales para apoyar la implementación de la estrategia de cooperación internacional de la Unidad de Planeación Minero Energética"/>
    <m/>
    <m/>
    <n v="20865181"/>
    <m/>
    <m/>
    <n v="5500000"/>
    <m/>
    <n v="5500000"/>
    <m/>
    <n v="5500000"/>
    <m/>
    <n v="4365181"/>
    <m/>
    <m/>
    <m/>
    <m/>
    <m/>
    <m/>
    <m/>
    <m/>
    <m/>
    <m/>
    <m/>
    <m/>
    <m/>
    <m/>
    <n v="20865181"/>
    <n v="20865181"/>
    <n v="0"/>
    <n v="0"/>
    <n v="63626"/>
    <d v="2026-01-23T00:00:00"/>
    <n v="20865181"/>
    <n v="0"/>
    <n v="38226"/>
    <d v="2026-02-03T00:00:00"/>
    <n v="20865181"/>
    <n v="0"/>
    <n v="0"/>
    <s v="OTERO LLANOS CAMILA ANDREA"/>
    <s v="CO1.PCCNTR.9239194"/>
    <m/>
    <m/>
    <m/>
    <n v="20865181"/>
    <m/>
    <m/>
    <m/>
    <m/>
    <m/>
    <m/>
    <n v="5500000"/>
    <n v="5500000"/>
    <m/>
    <m/>
    <m/>
    <m/>
    <m/>
    <m/>
    <m/>
    <m/>
    <m/>
    <m/>
    <m/>
    <m/>
    <m/>
    <m/>
    <m/>
    <m/>
    <m/>
    <m/>
    <m/>
    <m/>
    <m/>
    <m/>
    <m/>
    <m/>
    <n v="20865181"/>
    <n v="5500000"/>
    <n v="5500000"/>
    <n v="15365181"/>
    <n v="0"/>
    <x v="0"/>
  </r>
  <r>
    <x v="0"/>
    <x v="1"/>
    <s v="Fortalecimiento de la percepción de la ciudadanía frente a los productos y servicios prestados por la UPME nacional"/>
    <s v="Transversal"/>
    <s v="Sí"/>
    <s v="Sí"/>
    <n v="7"/>
    <s v="101-37"/>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s v="Prestación de servicios profesionales y/o de apoyo a la gestión"/>
    <s v="101-37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2360050"/>
    <n v="2360050"/>
    <s v="No"/>
    <s v="N/A"/>
    <s v="Verónica Tabares Muñoz"/>
    <s v="Jefe de Oficina Asesora de Planeación"/>
    <n v="6012220601"/>
    <s v="veronica.tabares@upme.gov.co"/>
    <n v="0"/>
    <n v="0"/>
    <n v="2360050"/>
    <n v="0"/>
    <n v="0"/>
    <n v="0"/>
    <n v="0"/>
    <n v="0"/>
    <n v="0"/>
    <n v="0"/>
    <n v="0"/>
    <n v="1134819"/>
    <n v="0"/>
    <n v="1225231"/>
    <n v="0"/>
    <n v="0"/>
    <n v="0"/>
    <n v="0"/>
    <n v="0"/>
    <n v="0"/>
    <n v="0"/>
    <n v="0"/>
    <n v="0"/>
    <n v="0"/>
    <n v="2360050"/>
    <n v="2360050"/>
    <n v="0"/>
    <n v="0"/>
    <s v="Prestar servicios profesionales para apoyar la implementación de la estrategia de cooperación internacional de la Unidad de Planeación Minero Energética"/>
    <m/>
    <m/>
    <n v="2360050"/>
    <m/>
    <m/>
    <m/>
    <m/>
    <m/>
    <m/>
    <m/>
    <m/>
    <n v="1134819"/>
    <m/>
    <n v="1225231"/>
    <m/>
    <m/>
    <m/>
    <m/>
    <m/>
    <m/>
    <m/>
    <m/>
    <m/>
    <m/>
    <m/>
    <m/>
    <n v="2360050"/>
    <n v="2360050"/>
    <n v="0"/>
    <n v="0"/>
    <n v="63626"/>
    <d v="2026-01-23T00:00:00"/>
    <n v="2360050"/>
    <n v="0"/>
    <n v="38226"/>
    <d v="2026-02-03T00:00:00"/>
    <n v="2360050"/>
    <n v="0"/>
    <n v="0"/>
    <s v="OTERO LLANOS CAMILA ANDREA"/>
    <s v="CO1.PCCNTR.9239194"/>
    <m/>
    <m/>
    <m/>
    <n v="2360050"/>
    <m/>
    <m/>
    <m/>
    <m/>
    <m/>
    <m/>
    <m/>
    <m/>
    <m/>
    <m/>
    <m/>
    <m/>
    <m/>
    <m/>
    <m/>
    <m/>
    <m/>
    <m/>
    <m/>
    <m/>
    <m/>
    <m/>
    <m/>
    <m/>
    <m/>
    <m/>
    <m/>
    <m/>
    <m/>
    <m/>
    <m/>
    <m/>
    <n v="2360050"/>
    <n v="0"/>
    <n v="0"/>
    <n v="2360050"/>
    <n v="0"/>
    <x v="0"/>
  </r>
  <r>
    <x v="0"/>
    <x v="1"/>
    <s v="Fortalecimiento de la percepción de la ciudadanía frente a los productos y servicios prestados por la UPME nacional"/>
    <s v="Transversal"/>
    <s v="Sí"/>
    <s v="Sí"/>
    <n v="7"/>
    <s v="101-38"/>
    <s v="Fortalecer la gestión de conocimiento para la planeación minero energética."/>
    <s v="Documentos Metodológicos"/>
    <s v="Realizar la implementación de un esquema organizativo y de gobernabilidad para la gestión del conocimiento"/>
    <n v="80111620"/>
    <s v="C-2199-1900-4-53105B-2199057-02"/>
    <s v="Prestación de servicios profesionales y/o de apoyo a la gestión"/>
    <s v="101-38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5000000"/>
    <n v="5000000"/>
    <s v="No"/>
    <s v="N/A"/>
    <s v="Verónica Tabares Muñoz"/>
    <s v="Jefe de Oficina Asesora de Planeación"/>
    <n v="6012220601"/>
    <s v="veronica.tabares@upme.gov.co"/>
    <n v="0"/>
    <n v="0"/>
    <n v="4446567"/>
    <n v="0"/>
    <n v="0"/>
    <n v="0"/>
    <n v="0"/>
    <n v="0"/>
    <n v="0"/>
    <n v="0"/>
    <n v="0"/>
    <n v="0"/>
    <n v="553433"/>
    <n v="4274769"/>
    <n v="0"/>
    <n v="725231"/>
    <n v="0"/>
    <n v="0"/>
    <n v="0"/>
    <n v="0"/>
    <n v="0"/>
    <n v="0"/>
    <n v="0"/>
    <n v="0"/>
    <n v="5000000"/>
    <n v="5000000"/>
    <n v="0"/>
    <n v="0"/>
    <s v="Prestar servicios profesionales para apoyar la implementación de la estrategia de cooperación internacional de la Unidad de Planeación Minero Energética"/>
    <m/>
    <m/>
    <n v="4446567"/>
    <m/>
    <m/>
    <m/>
    <m/>
    <m/>
    <m/>
    <m/>
    <m/>
    <m/>
    <n v="553433"/>
    <n v="4274769"/>
    <m/>
    <n v="725231"/>
    <m/>
    <m/>
    <m/>
    <m/>
    <m/>
    <m/>
    <m/>
    <m/>
    <m/>
    <m/>
    <n v="5000000"/>
    <n v="5000000"/>
    <n v="0"/>
    <n v="0"/>
    <n v="63626"/>
    <d v="2026-01-23T00:00:00"/>
    <n v="4446567"/>
    <n v="553433"/>
    <n v="38226"/>
    <d v="2026-02-03T00:00:00"/>
    <n v="4446567"/>
    <n v="553433"/>
    <n v="0"/>
    <s v="OTERO LLANOS CAMILA ANDREA"/>
    <s v="CO1.PCCNTR.9239194"/>
    <m/>
    <m/>
    <m/>
    <n v="4446567"/>
    <m/>
    <m/>
    <m/>
    <n v="1455131"/>
    <n v="1455131"/>
    <m/>
    <m/>
    <m/>
    <m/>
    <m/>
    <m/>
    <m/>
    <m/>
    <m/>
    <m/>
    <m/>
    <m/>
    <m/>
    <m/>
    <m/>
    <m/>
    <m/>
    <m/>
    <m/>
    <m/>
    <m/>
    <m/>
    <m/>
    <m/>
    <m/>
    <m/>
    <m/>
    <n v="4446567"/>
    <n v="1455131"/>
    <n v="1455131"/>
    <n v="2991436"/>
    <n v="0"/>
    <x v="0"/>
  </r>
  <r>
    <x v="0"/>
    <x v="2"/>
    <s v="Mejoramiento de la participación ciudadana en el modelo energético y de infraestructura energética, en el marco de la transición energética justa a nivel  nacional"/>
    <s v="Fondos"/>
    <s v="No"/>
    <s v="Sí"/>
    <n v="68"/>
    <s v="180-1"/>
    <s v="Mejorar la capacidad de los interesados en formular proyectos de inversión en el sector energético."/>
    <s v="Servicio de Asistencia Técnica"/>
    <s v="Capacitar interesados en la presentación de proyectos de inversión."/>
    <s v="N/A"/>
    <s v="C-2102-1900-5-53106A-2102071-02"/>
    <s v="Viáticos o gastos de desplazamiento"/>
    <s v="180-1 Viáticos o gastos de desplazamiento"/>
    <s v="N/A"/>
    <s v="N/A"/>
    <s v="N/A"/>
    <s v="N/A"/>
    <s v="N/A"/>
    <s v="N/A"/>
    <s v="Propios - 20 - Ingresos corrientes"/>
    <n v="45967360"/>
    <n v="45967360"/>
    <s v="No"/>
    <s v="N/A"/>
    <s v="Manuel Peña Suarez"/>
    <s v="Jefe Oficina Gestión de Proyectos de Fondos"/>
    <n v="6012220601"/>
    <s v="manuel.pena@upme.govco"/>
    <n v="0"/>
    <n v="0"/>
    <n v="0"/>
    <n v="0"/>
    <n v="5000000"/>
    <n v="5000000"/>
    <n v="5000000"/>
    <n v="5000000"/>
    <n v="5000000"/>
    <n v="5000000"/>
    <n v="5000000"/>
    <n v="5000000"/>
    <n v="5000000"/>
    <n v="5000000"/>
    <n v="5000000"/>
    <n v="5000000"/>
    <n v="5000000"/>
    <n v="5000000"/>
    <n v="5000000"/>
    <n v="5000000"/>
    <n v="5967360"/>
    <n v="5967360"/>
    <n v="0"/>
    <n v="0"/>
    <n v="45967360"/>
    <n v="45967360"/>
    <n v="0"/>
    <n v="0"/>
    <s v="Viáticos o gastos de desplazamiento"/>
    <m/>
    <m/>
    <m/>
    <m/>
    <n v="5000000"/>
    <n v="5000000"/>
    <n v="5000000"/>
    <n v="5000000"/>
    <n v="5000000"/>
    <n v="5000000"/>
    <n v="5000000"/>
    <n v="5000000"/>
    <n v="5000000"/>
    <n v="5000000"/>
    <n v="5000000"/>
    <n v="5000000"/>
    <n v="5000000"/>
    <n v="5000000"/>
    <n v="5000000"/>
    <n v="5000000"/>
    <n v="5967360"/>
    <n v="5967360"/>
    <m/>
    <m/>
    <m/>
    <m/>
    <n v="45967360"/>
    <n v="45967360"/>
    <n v="0"/>
    <n v="0"/>
    <n v="69426"/>
    <d v="2026-03-05T00:00:00"/>
    <n v="45967360"/>
    <n v="0"/>
    <s v="62726,65226,68426,68526,69726,71926,72426,73826"/>
    <s v="10/03/2026,24/03/2026,10/04/2026"/>
    <n v="6504881"/>
    <n v="39462479"/>
    <n v="39462479"/>
    <s v="TELLEZ GUTIERREZ SANDRA MILENA,PRIETO MATEUS LUIS ANDRES,GOMEZ ALVAREZ IVAN DARIO_x000a_"/>
    <m/>
    <m/>
    <m/>
    <m/>
    <m/>
    <m/>
    <m/>
    <n v="1635470"/>
    <n v="1332303"/>
    <n v="1332303"/>
    <n v="4869411"/>
    <n v="3046073"/>
    <n v="3046073"/>
    <m/>
    <m/>
    <m/>
    <m/>
    <m/>
    <m/>
    <m/>
    <m/>
    <m/>
    <m/>
    <m/>
    <m/>
    <m/>
    <m/>
    <m/>
    <m/>
    <m/>
    <m/>
    <m/>
    <m/>
    <m/>
    <m/>
    <m/>
    <m/>
    <n v="6504881"/>
    <n v="4378376"/>
    <n v="4378376"/>
    <n v="2126505"/>
    <n v="0"/>
    <x v="0"/>
  </r>
  <r>
    <x v="0"/>
    <x v="2"/>
    <s v="Mejoramiento de la participación ciudadana en el modelo energético y de infraestructura energética, en el marco de la transición energética justa a nivel  nacional"/>
    <s v="Fondos"/>
    <s v="Sí"/>
    <s v="Sí"/>
    <s v="Radicado 20261110012353"/>
    <s v="180-2"/>
    <s v="Mejorar la capacidad de los interesados en formular proyectos de inversión en el sector energético."/>
    <s v="Servicio de Asistencia Técnica"/>
    <s v="Capacitar organizaciones y usuarios en general en las regiones."/>
    <n v="78111502"/>
    <s v="C-2102-1900-5-53106A-2102071-02"/>
    <s v="Tiquetes"/>
    <s v="180-2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6640212"/>
    <n v="56640212"/>
    <s v="No"/>
    <s v="N/A"/>
    <s v="Manuel Peña Suarez"/>
    <s v="Jefe Oficina Gestión de Proyectos de Fondos"/>
    <n v="6012220601"/>
    <s v="manuel.pena@upme.govco"/>
    <n v="0"/>
    <n v="0"/>
    <n v="0"/>
    <n v="0"/>
    <n v="0"/>
    <n v="0"/>
    <n v="0"/>
    <n v="0"/>
    <n v="0"/>
    <n v="0"/>
    <n v="0"/>
    <n v="0"/>
    <n v="0"/>
    <n v="0"/>
    <n v="0"/>
    <n v="0"/>
    <n v="56640212"/>
    <n v="12000000"/>
    <n v="0"/>
    <n v="15000000"/>
    <n v="0"/>
    <n v="18000000"/>
    <n v="0"/>
    <n v="11640212"/>
    <n v="56640212"/>
    <n v="56640212"/>
    <n v="0"/>
    <n v="0"/>
    <s v="Adquirir los servicios necesarios para garantizar el desplazamiento de servidores públicos y contratistas de la UPME a los eventos y espacios institucionales de planeación minero energética."/>
    <m/>
    <m/>
    <m/>
    <m/>
    <m/>
    <m/>
    <m/>
    <m/>
    <m/>
    <m/>
    <m/>
    <m/>
    <m/>
    <m/>
    <m/>
    <m/>
    <n v="56640212"/>
    <n v="12000000"/>
    <m/>
    <n v="15000000"/>
    <m/>
    <n v="18000000"/>
    <m/>
    <n v="11640212"/>
    <m/>
    <m/>
    <n v="56640212"/>
    <n v="56640212"/>
    <n v="0"/>
    <n v="0"/>
    <m/>
    <m/>
    <m/>
    <n v="56640212"/>
    <m/>
    <m/>
    <n v="0"/>
    <n v="56640212"/>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3"/>
    <s v="180-3"/>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3 Prestar los servicios profesionales para realizar el seguimiento y reporte de las actividades relacionadas con la planeación estratégica y el sistema de gestión de calidad de la Oficina de Gestión de Proyectos de Fondos de la UPME."/>
    <s v="Enero "/>
    <s v="Enero "/>
    <s v="Enero "/>
    <n v="6"/>
    <s v="Meses"/>
    <s v="Contratación directa - Prestación de servicios profesionales "/>
    <s v="Propios - 20 - Ingresos corrientes"/>
    <n v="34479900"/>
    <n v="34479900"/>
    <s v="No"/>
    <s v="N/A"/>
    <s v="Oscar Zabaleta"/>
    <s v="Jefe Oficina Gestión de Proyectos de Fondos"/>
    <n v="6012220607"/>
    <s v="oscar.zabaleta@upme.gov.co"/>
    <n v="0"/>
    <n v="0"/>
    <n v="34479900"/>
    <n v="0"/>
    <n v="0"/>
    <n v="5746650"/>
    <n v="0"/>
    <n v="5746650"/>
    <n v="0"/>
    <n v="5746650"/>
    <n v="0"/>
    <n v="5746650"/>
    <n v="0"/>
    <n v="5746650"/>
    <n v="0"/>
    <n v="0"/>
    <n v="0"/>
    <n v="5746650"/>
    <n v="0"/>
    <n v="0"/>
    <n v="0"/>
    <n v="0"/>
    <n v="0"/>
    <n v="0"/>
    <n v="34479900"/>
    <n v="34479900"/>
    <n v="0"/>
    <n v="0"/>
    <s v="Prestar los servicios profesionales para realizar el seguimiento y reporte de las actividades relacionadas con la planeación estratégica y el sistema de gestión de calidad de la Oficina de Gestión de Proyectos de Fondos de la UPME."/>
    <m/>
    <m/>
    <n v="34479900"/>
    <m/>
    <m/>
    <n v="5746650"/>
    <m/>
    <n v="5746650"/>
    <m/>
    <n v="5746650"/>
    <m/>
    <n v="5746650"/>
    <m/>
    <n v="5746650"/>
    <m/>
    <m/>
    <m/>
    <n v="5746650"/>
    <m/>
    <m/>
    <m/>
    <m/>
    <m/>
    <m/>
    <m/>
    <m/>
    <n v="34479900"/>
    <n v="34479900"/>
    <n v="0"/>
    <n v="0"/>
    <n v="45726"/>
    <d v="2026-01-19T00:00:00"/>
    <n v="34479900"/>
    <n v="0"/>
    <n v="46326"/>
    <d v="2026-02-06T00:00:00"/>
    <n v="34479900"/>
    <n v="0"/>
    <n v="0"/>
    <s v="PEÑA GONZALEZ DAVID LEONARDO"/>
    <s v="CO1.PCCNTR.9201104"/>
    <m/>
    <m/>
    <m/>
    <n v="34479900"/>
    <m/>
    <m/>
    <m/>
    <n v="4788875"/>
    <n v="4788875"/>
    <m/>
    <n v="5746650"/>
    <n v="5746650"/>
    <m/>
    <m/>
    <m/>
    <m/>
    <m/>
    <m/>
    <m/>
    <m/>
    <m/>
    <m/>
    <m/>
    <m/>
    <m/>
    <m/>
    <m/>
    <m/>
    <m/>
    <m/>
    <m/>
    <m/>
    <m/>
    <m/>
    <m/>
    <m/>
    <n v="34479900"/>
    <n v="10535525"/>
    <n v="10535525"/>
    <n v="23944375"/>
    <n v="0"/>
    <x v="0"/>
  </r>
  <r>
    <x v="0"/>
    <x v="2"/>
    <s v="Mejoramiento de la participación ciudadana en el modelo energético y de infraestructura energética, en el marco de la transición energética justa a nivel  nacional"/>
    <s v="Fondos"/>
    <s v="Sí"/>
    <s v="Sí"/>
    <n v="68"/>
    <s v="180-4"/>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4 Prestar servicios profesionales para realizar la atención de PQRS, capacitación externa e interna, levantamiento de requerimientos de la plataforma SUU en marco del proceso de emisión de conceptos de la oficina de gestión de proyectos de fondos de l"/>
    <s v="Enero "/>
    <s v="Enero "/>
    <s v="Enero "/>
    <n v="11.5"/>
    <s v="Meses"/>
    <s v="Contratación directa - Prestación de servicios profesionales "/>
    <s v="Propios - 20 - Ingresos corrientes"/>
    <n v="66086475"/>
    <n v="66086475"/>
    <s v="No"/>
    <s v="N/A"/>
    <s v="Manuel Peña Suarez"/>
    <s v="Jefe Oficina Gestión de Proyectos de Fondos"/>
    <n v="6012220603"/>
    <s v="manuel.pena@upme.govco"/>
    <n v="63213150"/>
    <n v="0"/>
    <n v="0"/>
    <n v="2873325"/>
    <n v="0"/>
    <n v="5746650"/>
    <n v="0"/>
    <n v="5746650"/>
    <n v="0"/>
    <n v="5746650"/>
    <n v="0"/>
    <n v="5746650"/>
    <n v="0"/>
    <n v="5746650"/>
    <n v="0"/>
    <n v="5746650"/>
    <n v="0"/>
    <n v="5746650"/>
    <n v="0"/>
    <n v="5746650"/>
    <n v="0"/>
    <n v="5746650"/>
    <n v="2873325"/>
    <n v="11493300"/>
    <n v="66086475"/>
    <n v="66086475"/>
    <n v="0"/>
    <n v="0"/>
    <s v="Prestar servicios profesionales para realizar la atención de PQRS, capacitación externa e interna, levantamiento de requerimientos de la plataforma SUU en marco del proceso de emisión de conceptos de la oficina de gestión de proyectos de fondos de la UPME"/>
    <n v="63213150"/>
    <m/>
    <m/>
    <n v="2873325"/>
    <m/>
    <n v="5746650"/>
    <m/>
    <n v="5746650"/>
    <m/>
    <n v="5746650"/>
    <m/>
    <n v="5746650"/>
    <m/>
    <n v="5746650"/>
    <m/>
    <n v="5746650"/>
    <m/>
    <n v="5746650"/>
    <m/>
    <n v="5746650"/>
    <m/>
    <n v="5746650"/>
    <n v="2873325"/>
    <n v="11493300"/>
    <m/>
    <m/>
    <n v="66086475"/>
    <n v="66086475"/>
    <n v="0"/>
    <n v="0"/>
    <n v="32926"/>
    <d v="2026-01-14T00:00:00"/>
    <n v="66086475"/>
    <n v="0"/>
    <n v="28426"/>
    <d v="2026-01-28T00:00:00"/>
    <n v="63213150"/>
    <n v="2873325"/>
    <n v="2873325"/>
    <s v="MYERSTON VEGA LISETH CAROLINA"/>
    <s v="CO1.PCCNTR.9142127"/>
    <n v="63213150"/>
    <m/>
    <m/>
    <m/>
    <n v="383110"/>
    <n v="383110"/>
    <m/>
    <n v="5746650"/>
    <n v="5746650"/>
    <m/>
    <n v="5746650"/>
    <n v="5746650"/>
    <m/>
    <m/>
    <m/>
    <m/>
    <m/>
    <m/>
    <m/>
    <m/>
    <m/>
    <m/>
    <m/>
    <m/>
    <m/>
    <m/>
    <m/>
    <m/>
    <m/>
    <m/>
    <m/>
    <m/>
    <m/>
    <m/>
    <m/>
    <m/>
    <n v="63213150"/>
    <n v="11876410"/>
    <n v="11876410"/>
    <n v="51336740"/>
    <n v="0"/>
    <x v="0"/>
  </r>
  <r>
    <x v="0"/>
    <x v="2"/>
    <s v="Mejoramiento de la participación ciudadana en el modelo energético y de infraestructura energética, en el marco de la transición energética justa a nivel  nacional"/>
    <s v="Fondos"/>
    <s v="Sí"/>
    <s v="Sí"/>
    <n v="20"/>
    <s v="180-5"/>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5 Prestar servicios profesionales especializados en el desarrollo, implementación y mantenimiento de soluciones tecnológicas para la Oficina de Gestión de Proyectos de Fondos (OGPF) de la UPME."/>
    <s v="Enero "/>
    <s v="Enero "/>
    <s v="Enero "/>
    <n v="2.1"/>
    <s v="Meses"/>
    <s v="Contratación directa - Prestación de servicios profesionales "/>
    <s v="Propios - 20 - Ingresos corrientes"/>
    <n v="46670167"/>
    <n v="46670167"/>
    <s v="No"/>
    <s v="N/A"/>
    <s v="Manuel Peña Suarez"/>
    <s v="Jefe Oficina Gestión de Proyectos de Fondos"/>
    <n v="6012220604"/>
    <s v="manuel.pena@upme.govco"/>
    <n v="81034800"/>
    <n v="0"/>
    <n v="0"/>
    <n v="3683400"/>
    <n v="0"/>
    <n v="7366800"/>
    <n v="0"/>
    <n v="7366800"/>
    <n v="0"/>
    <n v="7366800"/>
    <n v="0"/>
    <n v="7366800"/>
    <n v="0"/>
    <n v="7366800"/>
    <n v="0"/>
    <n v="7366800"/>
    <n v="0"/>
    <n v="7366800"/>
    <n v="0"/>
    <n v="7366800"/>
    <n v="0"/>
    <n v="7366800"/>
    <n v="3683400"/>
    <n v="14733600"/>
    <n v="84718200"/>
    <n v="84718200"/>
    <n v="-38048033"/>
    <n v="-38048033"/>
    <s v="Prestar servicios profesionales especializados en el desarrollo, implementación y mantenimiento de soluciones tecnológicas para la Oficina de Gestión de Proyectos de Fondos (OGPF) de la UPME."/>
    <n v="84718200"/>
    <n v="0"/>
    <n v="0"/>
    <n v="982240"/>
    <n v="0"/>
    <n v="7366800"/>
    <n v="-38048033"/>
    <n v="7366800"/>
    <n v="0"/>
    <n v="0"/>
    <n v="0"/>
    <n v="0"/>
    <n v="0"/>
    <n v="30954327"/>
    <n v="0"/>
    <n v="0"/>
    <n v="0"/>
    <n v="0"/>
    <n v="0"/>
    <n v="0"/>
    <n v="0"/>
    <n v="0"/>
    <n v="0"/>
    <n v="0"/>
    <m/>
    <m/>
    <n v="46670167"/>
    <n v="46670167"/>
    <n v="0"/>
    <n v="0"/>
    <n v="40326"/>
    <d v="2026-01-16T00:00:00"/>
    <n v="15715840"/>
    <n v="30954327"/>
    <n v="20626"/>
    <d v="2026-01-26T00:00:00"/>
    <n v="15715840"/>
    <n v="30954327"/>
    <n v="0"/>
    <s v="LOPEZ TIMANA JORGE ENRIQUE"/>
    <s v="CO1.PCCNTR.9067508"/>
    <n v="81034800"/>
    <m/>
    <m/>
    <m/>
    <m/>
    <m/>
    <m/>
    <n v="982240"/>
    <n v="982240"/>
    <n v="-65318960"/>
    <m/>
    <m/>
    <m/>
    <m/>
    <m/>
    <m/>
    <m/>
    <m/>
    <m/>
    <m/>
    <m/>
    <m/>
    <m/>
    <m/>
    <m/>
    <m/>
    <m/>
    <m/>
    <m/>
    <m/>
    <m/>
    <m/>
    <m/>
    <m/>
    <m/>
    <m/>
    <n v="15715840"/>
    <n v="982240"/>
    <n v="982240"/>
    <n v="14733600"/>
    <n v="0"/>
    <x v="0"/>
  </r>
  <r>
    <x v="0"/>
    <x v="2"/>
    <s v="Mejoramiento de la participación ciudadana en el modelo energético y de infraestructura energética, en el marco de la transición energética justa a nivel  nacional"/>
    <s v="Fondos"/>
    <s v="Sí"/>
    <s v="Sí"/>
    <n v="68"/>
    <s v="180-6"/>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6 Prestar servicios profesionales para realizar la evaluación técnica y financiera de los proyectos energéticos que solicitan recursos a los diferentes fondos y mecanismos de financiación del Ministerio de Minas y Energía (MME) evaluados por la UPME, "/>
    <s v="Enero "/>
    <s v="Enero "/>
    <s v="Enero "/>
    <n v="11.5"/>
    <s v="Meses"/>
    <s v="Contratación directa - Prestación de servicios profesionales "/>
    <s v="Propios - 20 - Ingresos corrientes"/>
    <n v="71604750"/>
    <n v="71604750"/>
    <s v="No"/>
    <s v="N/A"/>
    <s v="Manuel Peña Suarez"/>
    <s v="Jefe Oficina Gestión de Proyectos de Fondos"/>
    <n v="6012220605"/>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n v="35826"/>
    <d v="2026-01-15T00:00:00"/>
    <n v="68491500"/>
    <n v="3113250"/>
    <n v="19326"/>
    <d v="2026-01-24T00:00:00"/>
    <n v="68491500"/>
    <n v="3113250"/>
    <n v="0"/>
    <s v="RAMOS HERNANDEZ KEVIN ENRIQUE"/>
    <s v="CO1.PCCNTR.9066483"/>
    <n v="68491500"/>
    <m/>
    <m/>
    <m/>
    <n v="1037750"/>
    <n v="1037750"/>
    <m/>
    <n v="6226500"/>
    <n v="6226500"/>
    <m/>
    <n v="6226500"/>
    <n v="6226500"/>
    <m/>
    <m/>
    <m/>
    <m/>
    <m/>
    <m/>
    <m/>
    <m/>
    <m/>
    <m/>
    <m/>
    <m/>
    <m/>
    <m/>
    <m/>
    <m/>
    <m/>
    <m/>
    <m/>
    <m/>
    <m/>
    <m/>
    <m/>
    <m/>
    <n v="68491500"/>
    <n v="13490750"/>
    <n v="13490750"/>
    <n v="55000750"/>
    <n v="0"/>
    <x v="0"/>
  </r>
  <r>
    <x v="0"/>
    <x v="2"/>
    <s v="Mejoramiento de la participación ciudadana en el modelo energético y de infraestructura energética, en el marco de la transición energética justa a nivel  nacional"/>
    <s v="Fondos"/>
    <s v="Sí"/>
    <s v="Sí"/>
    <n v="68"/>
    <s v="180-7"/>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6009896"/>
    <n v="0"/>
    <n v="0"/>
    <n v="0"/>
    <n v="0"/>
    <n v="0"/>
    <n v="0"/>
    <n v="0"/>
    <n v="0"/>
    <n v="0"/>
    <n v="0"/>
    <n v="0"/>
    <n v="0"/>
    <n v="0"/>
    <n v="0"/>
    <n v="0"/>
    <n v="0"/>
    <n v="0"/>
    <n v="0"/>
    <n v="0"/>
    <n v="0"/>
    <n v="6009896"/>
    <n v="6009896"/>
    <n v="6009896"/>
    <n v="0"/>
    <n v="0"/>
    <s v="Prestar servicios profesionales orientados al fortalecimiento de la Dimensión de Control Interno mediante la ejecución del Plan Anual de Auditorías Internas Independientes, con énfasis en la evaluación de la gestión administrativa de la UPME."/>
    <m/>
    <m/>
    <n v="6009896"/>
    <m/>
    <m/>
    <m/>
    <m/>
    <m/>
    <m/>
    <m/>
    <m/>
    <m/>
    <m/>
    <m/>
    <m/>
    <m/>
    <m/>
    <m/>
    <m/>
    <m/>
    <m/>
    <m/>
    <m/>
    <n v="6009896"/>
    <m/>
    <m/>
    <n v="6009896"/>
    <n v="6009896"/>
    <n v="0"/>
    <n v="0"/>
    <n v="64026"/>
    <d v="2026-01-23T00:00:00"/>
    <n v="6009896"/>
    <n v="0"/>
    <n v="59726"/>
    <d v="2026-02-12T00:00:00"/>
    <n v="6009896"/>
    <n v="0"/>
    <n v="0"/>
    <s v="NUÑEZ GANTIVA NATALIA ELIANA"/>
    <s v="CO1.PCCNTR.9306722"/>
    <m/>
    <m/>
    <m/>
    <n v="6009896"/>
    <m/>
    <m/>
    <m/>
    <m/>
    <m/>
    <m/>
    <m/>
    <m/>
    <m/>
    <m/>
    <m/>
    <m/>
    <m/>
    <m/>
    <m/>
    <m/>
    <m/>
    <m/>
    <m/>
    <m/>
    <m/>
    <m/>
    <m/>
    <m/>
    <m/>
    <m/>
    <m/>
    <m/>
    <m/>
    <m/>
    <m/>
    <m/>
    <n v="6009896"/>
    <n v="0"/>
    <n v="0"/>
    <n v="6009896"/>
    <n v="0"/>
    <x v="0"/>
  </r>
  <r>
    <x v="0"/>
    <x v="2"/>
    <s v="Mejoramiento de la participación ciudadana en el modelo energético y de infraestructura energética, en el marco de la transición energética justa a nivel  nacional"/>
    <s v="Fondos"/>
    <s v="Sí"/>
    <s v="Sí"/>
    <n v="68"/>
    <s v="180-8"/>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8 Prestar servicios profesionales orientados al fortalecimiento de la Política Institucional de Control Interno a través de la ejecución del Plan Anual de Auditorías Internas Independientes, con énfasis en la evaluación de la gestión financiera de la "/>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0"/>
    <n v="0"/>
    <n v="0"/>
    <n v="0"/>
    <n v="0"/>
    <n v="0"/>
    <n v="0"/>
    <n v="0"/>
    <n v="0"/>
    <n v="0"/>
    <n v="6009896"/>
    <n v="0"/>
    <n v="0"/>
    <n v="0"/>
    <n v="0"/>
    <n v="0"/>
    <n v="0"/>
    <n v="2000000"/>
    <n v="0"/>
    <n v="2000000"/>
    <n v="0"/>
    <n v="2009896"/>
    <n v="6009896"/>
    <n v="6009896"/>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009896"/>
    <m/>
    <m/>
    <m/>
    <m/>
    <m/>
    <m/>
    <n v="2000000"/>
    <m/>
    <n v="2000000"/>
    <m/>
    <n v="2009896"/>
    <m/>
    <m/>
    <n v="6009896"/>
    <n v="6009896"/>
    <n v="0"/>
    <n v="0"/>
    <m/>
    <m/>
    <m/>
    <n v="6009896"/>
    <m/>
    <m/>
    <n v="0"/>
    <n v="6009896"/>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68"/>
    <s v="180-9"/>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9 Prestar servicios profesionales orientados al fortalecimiento del componente de Información y Comunicación del Modelo Estándar de Control Interno (MECI), a través de la ejecución del Plan Anual de Auditorías Internas Independientes, con énfasis en l"/>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0"/>
    <n v="0"/>
    <n v="0"/>
    <n v="0"/>
    <n v="0"/>
    <n v="0"/>
    <n v="0"/>
    <n v="0"/>
    <n v="0"/>
    <n v="0"/>
    <n v="6009896"/>
    <n v="0"/>
    <n v="0"/>
    <n v="0"/>
    <n v="0"/>
    <n v="0"/>
    <n v="0"/>
    <n v="2000000"/>
    <n v="0"/>
    <n v="2000000"/>
    <n v="0"/>
    <n v="2009896"/>
    <n v="6009896"/>
    <n v="6009896"/>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009896"/>
    <m/>
    <m/>
    <m/>
    <m/>
    <m/>
    <m/>
    <n v="2000000"/>
    <m/>
    <n v="2000000"/>
    <m/>
    <n v="2009896"/>
    <m/>
    <m/>
    <n v="6009896"/>
    <n v="6009896"/>
    <n v="0"/>
    <n v="0"/>
    <m/>
    <m/>
    <m/>
    <n v="6009896"/>
    <m/>
    <m/>
    <n v="0"/>
    <n v="6009896"/>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20"/>
    <s v="180-10"/>
    <s v="Mejorar la capacidad de los interesados en formular proyectos de inversión en el sector energético."/>
    <s v="Servicio de Asistencia Técnica"/>
    <s v="Capacitar organizaciones y usuarios en general en las regiones."/>
    <s v="43201800;43233405;43212201"/>
    <s v="C-2102-1900-5-53106A-2102071-02"/>
    <s v="Hardware (Equipos de computo o partes físicas)"/>
    <s v="180-10 Adquirir el licenciamiento por suscripción para Plataforma de virtualización y almacenamiento en nube incluyendo la adquisición del hardware para Computación y Storage que soporta esta solución de Hiperconvergencia."/>
    <s v="Abril"/>
    <s v="Abril"/>
    <s v="Mayo"/>
    <n v="8"/>
    <s v="Meses"/>
    <s v="Contratación régimen especial (con ofertas)  - Régimen especial"/>
    <s v="Propios - 20 - Ingresos corrientes"/>
    <n v="150000000"/>
    <n v="150000000"/>
    <s v="No"/>
    <s v="N/A"/>
    <s v="Manuel Peña Suarez"/>
    <s v="Jefe Oficina Gestión de Proyectos de Fondos"/>
    <n v="6012220607"/>
    <s v="manuel.pena@upme.govco"/>
    <n v="0"/>
    <n v="0"/>
    <n v="0"/>
    <n v="0"/>
    <n v="0"/>
    <n v="0"/>
    <n v="46309367"/>
    <n v="0"/>
    <n v="0"/>
    <n v="0"/>
    <n v="0"/>
    <n v="46309367"/>
    <n v="0"/>
    <n v="0"/>
    <n v="0"/>
    <n v="0"/>
    <n v="0"/>
    <n v="0"/>
    <n v="0"/>
    <n v="0"/>
    <n v="0"/>
    <n v="0"/>
    <n v="0"/>
    <n v="0"/>
    <n v="46309367"/>
    <n v="46309367"/>
    <n v="103690633"/>
    <n v="103690633"/>
    <s v="Adquirir el licenciamiento por suscripción para Plataforma de virtualización y almacenamiento en nube incluyendo la adquisición del hardware para Computación y Storage que soporta esta solución de Hiperconvergencia."/>
    <n v="0"/>
    <n v="0"/>
    <n v="0"/>
    <n v="0"/>
    <n v="0"/>
    <n v="0"/>
    <n v="0"/>
    <n v="0"/>
    <n v="0"/>
    <n v="0"/>
    <n v="150000000"/>
    <n v="0"/>
    <n v="0"/>
    <n v="150000000"/>
    <n v="0"/>
    <n v="0"/>
    <n v="0"/>
    <n v="0"/>
    <n v="0"/>
    <n v="0"/>
    <n v="0"/>
    <n v="0"/>
    <n v="0"/>
    <n v="0"/>
    <m/>
    <m/>
    <n v="150000000"/>
    <n v="150000000"/>
    <n v="0"/>
    <n v="0"/>
    <m/>
    <m/>
    <m/>
    <n v="150000000"/>
    <m/>
    <m/>
    <n v="0"/>
    <n v="150000000"/>
    <n v="0"/>
    <m/>
    <m/>
    <m/>
    <m/>
    <m/>
    <m/>
    <m/>
    <m/>
    <m/>
    <m/>
    <m/>
    <m/>
    <m/>
    <m/>
    <m/>
    <m/>
    <m/>
    <m/>
    <m/>
    <m/>
    <m/>
    <m/>
    <m/>
    <m/>
    <m/>
    <m/>
    <m/>
    <m/>
    <m/>
    <m/>
    <m/>
    <m/>
    <m/>
    <m/>
    <m/>
    <m/>
    <m/>
    <m/>
    <n v="0"/>
    <n v="0"/>
    <n v="0"/>
    <n v="0"/>
    <n v="0"/>
    <x v="1"/>
  </r>
  <r>
    <x v="0"/>
    <x v="2"/>
    <s v="Mejoramiento de la participación ciudadana en el modelo energético y de infraestructura energética, en el marco de la transición energética justa a nivel  nacional"/>
    <s v="Fondos"/>
    <s v="Sí"/>
    <s v="Sí"/>
    <s v="No. Rad 202601300040373"/>
    <s v="180-11"/>
    <s v="Mejorar la capacidad de los interesados en formular proyectos de inversión en el sector energético."/>
    <s v="Servicio de Asistencia Técnica"/>
    <s v="Capacitar organizaciones y usuarios en general en las regiones."/>
    <s v="43201800;43233405;43212201"/>
    <s v="C-2102-1900-5-53106A-2102071-02"/>
    <s v="Hardware (Equipos de computo o partes físicas)"/>
    <s v="180-1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541383"/>
    <n v="541383"/>
    <s v="No"/>
    <s v="N/A"/>
    <s v="Oscar Zabaleta"/>
    <s v="Jefe Oficina Gestión de Proyectos de Fondos"/>
    <n v="6012220607"/>
    <s v="oscar.zabaleta@upme.gov.co"/>
    <n v="0"/>
    <n v="0"/>
    <n v="0"/>
    <n v="0"/>
    <n v="0"/>
    <n v="0"/>
    <n v="541383"/>
    <n v="0"/>
    <n v="0"/>
    <n v="0"/>
    <n v="0"/>
    <n v="541383"/>
    <n v="0"/>
    <n v="0"/>
    <n v="0"/>
    <n v="0"/>
    <n v="0"/>
    <n v="0"/>
    <n v="0"/>
    <n v="0"/>
    <n v="0"/>
    <n v="0"/>
    <n v="0"/>
    <n v="0"/>
    <n v="541383"/>
    <n v="541383"/>
    <n v="0"/>
    <n v="0"/>
    <s v="Adquirir el licenciamiento por suscripción para Plataforma de virtualización y almacenamiento en nube incluyendo la adquisición del hardware para Computación y Storage que soporta esta solución de Hiperconvergencia."/>
    <m/>
    <m/>
    <m/>
    <m/>
    <m/>
    <m/>
    <n v="541383"/>
    <m/>
    <m/>
    <m/>
    <m/>
    <n v="541383"/>
    <m/>
    <m/>
    <m/>
    <m/>
    <m/>
    <m/>
    <m/>
    <m/>
    <m/>
    <m/>
    <m/>
    <m/>
    <m/>
    <m/>
    <n v="541383"/>
    <n v="541383"/>
    <n v="0"/>
    <n v="0"/>
    <m/>
    <m/>
    <m/>
    <n v="541383"/>
    <m/>
    <m/>
    <n v="0"/>
    <n v="541383"/>
    <n v="0"/>
    <m/>
    <m/>
    <m/>
    <m/>
    <m/>
    <m/>
    <m/>
    <m/>
    <m/>
    <m/>
    <m/>
    <m/>
    <m/>
    <m/>
    <m/>
    <m/>
    <m/>
    <m/>
    <m/>
    <m/>
    <m/>
    <m/>
    <m/>
    <m/>
    <m/>
    <m/>
    <m/>
    <m/>
    <m/>
    <m/>
    <m/>
    <m/>
    <m/>
    <m/>
    <m/>
    <m/>
    <m/>
    <m/>
    <n v="0"/>
    <n v="0"/>
    <n v="0"/>
    <n v="0"/>
    <n v="0"/>
    <x v="1"/>
  </r>
  <r>
    <x v="0"/>
    <x v="2"/>
    <s v="Mejoramiento de la participación ciudadana en el modelo energético y de infraestructura energética, en el marco de la transición energética justa a nivel  nacional"/>
    <s v="Fondos"/>
    <s v="Sí"/>
    <s v="Sí"/>
    <n v="20"/>
    <s v="180-12"/>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12 Prestar servicios profesionales en comunicación estratégica para la planeación, desarrollo y ejecución de acciones de free press que promuevan la visibilidad institucional y la articulación intra e intersectorial de la Unidad de Planeación Minero E"/>
    <s v="Enero "/>
    <s v="Enero "/>
    <s v="Enero "/>
    <n v="7"/>
    <s v="Meses"/>
    <s v="Contratación directa - Prestación de servicios profesionales "/>
    <s v="Propios - 20 - Ingresos corrientes"/>
    <n v="84000000"/>
    <n v="84000000"/>
    <s v="No"/>
    <s v="N/A"/>
    <s v="Manuel Peña Suarez"/>
    <s v="Jefe Oficina Gestión de Proyectos de Fondos"/>
    <n v="6012220607"/>
    <s v="manuel.pena@upme.govco"/>
    <n v="0"/>
    <n v="0"/>
    <n v="95450000"/>
    <n v="0"/>
    <n v="0"/>
    <n v="8300000"/>
    <n v="0"/>
    <n v="8300000"/>
    <n v="0"/>
    <n v="8300000"/>
    <n v="0"/>
    <n v="8300000"/>
    <n v="0"/>
    <n v="8300000"/>
    <n v="0"/>
    <n v="8300000"/>
    <n v="0"/>
    <n v="8300000"/>
    <n v="0"/>
    <n v="8300000"/>
    <n v="0"/>
    <n v="8300000"/>
    <n v="0"/>
    <n v="20750000"/>
    <n v="95450000"/>
    <n v="95450000"/>
    <n v="-11450000"/>
    <n v="-11450000"/>
    <s v="Prestar servicios profesionales en comunicación estratégica para la planeación, desarrollo y ejecución de acciones de free press que promuevan la visibilidad institucional y la articulación intra e intersectorial de la Unidad de Planeación Minero Energéti"/>
    <n v="95450000"/>
    <n v="0"/>
    <n v="0"/>
    <n v="12000000"/>
    <n v="0"/>
    <n v="12000000"/>
    <n v="-11450000"/>
    <n v="12000000"/>
    <n v="0"/>
    <n v="12000000"/>
    <n v="0"/>
    <n v="12000000"/>
    <n v="0"/>
    <n v="12000000"/>
    <n v="0"/>
    <n v="12000000"/>
    <n v="0"/>
    <m/>
    <n v="0"/>
    <m/>
    <n v="0"/>
    <n v="0"/>
    <n v="0"/>
    <n v="0"/>
    <m/>
    <m/>
    <n v="84000000"/>
    <n v="84000000"/>
    <n v="0"/>
    <n v="0"/>
    <n v="64626"/>
    <d v="2026-01-24T00:00:00"/>
    <n v="84000000"/>
    <n v="0"/>
    <n v="55126"/>
    <d v="2026-02-10T00:00:00"/>
    <n v="84000000"/>
    <n v="0"/>
    <n v="0"/>
    <s v="BELTRAN FRANCO GERSON STEVEN"/>
    <s v="CO1.PCCNTR.9308638"/>
    <m/>
    <m/>
    <m/>
    <n v="84000000"/>
    <m/>
    <m/>
    <m/>
    <n v="8000000"/>
    <n v="8000000"/>
    <m/>
    <n v="12000000"/>
    <n v="12000000"/>
    <m/>
    <m/>
    <m/>
    <m/>
    <m/>
    <m/>
    <m/>
    <m/>
    <m/>
    <m/>
    <m/>
    <m/>
    <m/>
    <m/>
    <m/>
    <m/>
    <m/>
    <m/>
    <m/>
    <m/>
    <m/>
    <m/>
    <m/>
    <m/>
    <n v="84000000"/>
    <n v="20000000"/>
    <n v="20000000"/>
    <n v="64000000"/>
    <n v="0"/>
    <x v="0"/>
  </r>
  <r>
    <x v="0"/>
    <x v="2"/>
    <s v="Mejoramiento de la participación ciudadana en el modelo energético y de infraestructura energética, en el marco de la transición energética justa a nivel  nacional"/>
    <s v="Fondos"/>
    <s v="Sí"/>
    <s v="Sí"/>
    <n v="68"/>
    <s v="180-13"/>
    <s v="Mejorar la capacidad de los interesados en formular proyectos de inversión en el sector energético."/>
    <s v="Documentos de Lineamientos Técnicos"/>
    <s v="Documento con la descripción de procesos, métodos y herramientas."/>
    <n v="80111620"/>
    <s v="C-2102-1900-5-53106A-2102008-02"/>
    <s v="Prestación de servicios profesionales y/o de apoyo a la gestión"/>
    <s v="180-13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11.5"/>
    <s v="Meses"/>
    <s v="Contratación directa - Prestación de servicios profesionales "/>
    <s v="Propios - 20 - Ingresos corrientes"/>
    <n v="84718200"/>
    <n v="84718200"/>
    <s v="No"/>
    <s v="N/A"/>
    <s v="Manuel Peña Suarez"/>
    <s v="Jefe Oficina Gestión de Proyectos de Fondos"/>
    <n v="6012220607"/>
    <s v="manuel.pena@upme.govco"/>
    <n v="84718200"/>
    <n v="0"/>
    <n v="0"/>
    <n v="3683400"/>
    <n v="0"/>
    <n v="7366800"/>
    <n v="0"/>
    <n v="7366800"/>
    <n v="0"/>
    <n v="7366800"/>
    <n v="0"/>
    <n v="7366800"/>
    <n v="0"/>
    <n v="7366800"/>
    <n v="0"/>
    <n v="7366800"/>
    <n v="0"/>
    <n v="7366800"/>
    <n v="0"/>
    <n v="7366800"/>
    <n v="0"/>
    <n v="7366800"/>
    <n v="0"/>
    <n v="14733600"/>
    <n v="84718200"/>
    <n v="84718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84718200"/>
    <m/>
    <m/>
    <n v="3683400"/>
    <m/>
    <n v="7366800"/>
    <m/>
    <n v="7366800"/>
    <m/>
    <n v="7366800"/>
    <m/>
    <n v="7366800"/>
    <m/>
    <n v="7366800"/>
    <m/>
    <n v="7366800"/>
    <m/>
    <n v="7366800"/>
    <m/>
    <n v="7366800"/>
    <m/>
    <n v="7366800"/>
    <m/>
    <n v="14733600"/>
    <m/>
    <m/>
    <n v="84718200"/>
    <n v="84718200"/>
    <n v="0"/>
    <n v="0"/>
    <n v="19526"/>
    <d v="2026-01-11T00:00:00"/>
    <n v="81771480"/>
    <n v="2946720"/>
    <n v="22926"/>
    <d v="2026-01-27T00:00:00"/>
    <n v="81771480"/>
    <n v="2946720"/>
    <n v="0"/>
    <s v="CORREDOR CALDERON FELIPE HUMBERTO"/>
    <s v="CO1.PCCNTR.8997068"/>
    <n v="84718200"/>
    <m/>
    <m/>
    <m/>
    <n v="736680"/>
    <n v="736680"/>
    <n v="-2946720"/>
    <n v="7366800"/>
    <n v="7366800"/>
    <m/>
    <n v="7366800"/>
    <n v="7366800"/>
    <m/>
    <m/>
    <m/>
    <m/>
    <m/>
    <m/>
    <m/>
    <m/>
    <m/>
    <m/>
    <m/>
    <m/>
    <m/>
    <m/>
    <m/>
    <m/>
    <m/>
    <m/>
    <m/>
    <m/>
    <m/>
    <m/>
    <m/>
    <m/>
    <n v="81771480"/>
    <n v="15470280"/>
    <n v="15470280"/>
    <n v="66301200"/>
    <n v="0"/>
    <x v="0"/>
  </r>
  <r>
    <x v="0"/>
    <x v="2"/>
    <s v="Mejoramiento de la participación ciudadana en el modelo energético y de infraestructura energética, en el marco de la transición energética justa a nivel  nacional"/>
    <s v="Fondos"/>
    <s v="Sí"/>
    <s v="Sí"/>
    <s v="Radicado 20261800004593"/>
    <s v="180-14"/>
    <s v="Mejorar la capacidad de los interesados en formular proyectos de inversión en el sector energético."/>
    <s v="Documentos de Lineamientos Técnicos"/>
    <s v="Documento con la descripción de procesos, métodos y herramientas."/>
    <n v="80141607"/>
    <s v="C-2102-1900-5-53106A-2102008-02"/>
    <s v="Operador Logístico"/>
    <s v="180-14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4918152"/>
    <n v="4918152"/>
    <s v="No"/>
    <s v="N/A"/>
    <s v="Manuel Peña Suarez"/>
    <s v="Jefe Oficina Gestión de Proyectos de Fondos"/>
    <n v="6012220607"/>
    <s v="manuel.pena@upme.govco"/>
    <n v="4918152"/>
    <n v="0"/>
    <n v="0"/>
    <n v="0"/>
    <n v="0"/>
    <n v="0"/>
    <n v="0"/>
    <n v="0"/>
    <n v="0"/>
    <n v="0"/>
    <n v="0"/>
    <n v="0"/>
    <n v="0"/>
    <n v="0"/>
    <n v="0"/>
    <n v="0"/>
    <n v="0"/>
    <n v="0"/>
    <n v="0"/>
    <n v="0"/>
    <n v="0"/>
    <n v="0"/>
    <n v="0"/>
    <n v="4918152"/>
    <n v="4918152"/>
    <n v="4918152"/>
    <n v="0"/>
    <n v="0"/>
    <s v="Prestación de los servicios de apoyo logístico para el desarrollo de la estrategia de comunicación y participación con actores nacionales y territoriales, así como para otros espacios interinstitucionales en el marco de la misionalidad de la entidad y el "/>
    <n v="4918152"/>
    <m/>
    <m/>
    <m/>
    <m/>
    <m/>
    <m/>
    <m/>
    <m/>
    <m/>
    <m/>
    <m/>
    <m/>
    <m/>
    <m/>
    <m/>
    <m/>
    <m/>
    <m/>
    <m/>
    <m/>
    <m/>
    <m/>
    <n v="4918152"/>
    <m/>
    <m/>
    <n v="4918152"/>
    <n v="4918152"/>
    <n v="0"/>
    <n v="0"/>
    <n v="15126"/>
    <d v="2026-01-09T00:00:00"/>
    <n v="4918152"/>
    <n v="0"/>
    <n v="26226"/>
    <d v="2026-01-28T00:00:00"/>
    <n v="4918152"/>
    <n v="0"/>
    <n v="0"/>
    <s v="M2C ESTRATEGIAS SAS"/>
    <s v="CO1.PCCNTR.9130164"/>
    <n v="4918152"/>
    <m/>
    <m/>
    <m/>
    <m/>
    <m/>
    <m/>
    <m/>
    <m/>
    <m/>
    <m/>
    <m/>
    <m/>
    <m/>
    <m/>
    <m/>
    <m/>
    <m/>
    <m/>
    <m/>
    <m/>
    <m/>
    <m/>
    <m/>
    <m/>
    <m/>
    <m/>
    <m/>
    <m/>
    <m/>
    <m/>
    <m/>
    <m/>
    <m/>
    <m/>
    <m/>
    <n v="4918152"/>
    <n v="0"/>
    <n v="0"/>
    <n v="4918152"/>
    <n v="0"/>
    <x v="0"/>
  </r>
  <r>
    <x v="0"/>
    <x v="2"/>
    <s v="Mejoramiento de la participación ciudadana en el modelo energético y de infraestructura energética, en el marco de la transición energética justa a nivel  nacional"/>
    <s v="Fondos"/>
    <s v="Sí"/>
    <s v="Sí"/>
    <n v="68"/>
    <s v="180-15"/>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15 Prestar servicios profesionales para llevar a cabo la evaluación técnica y financiera de los proyectos energéticos que solicitan recursos a los diferentes fondos y mecanismos de financiación evaluados por la UPME, así como, liderar mesas técnicas, "/>
    <s v="Enero "/>
    <s v="Enero "/>
    <s v="Enero "/>
    <n v="11.5"/>
    <s v="Meses"/>
    <s v="Contratación directa - Prestación de servicios profesionales "/>
    <s v="Propios - 20 - Ingresos corrientes"/>
    <n v="96068700"/>
    <n v="96068700"/>
    <s v="No"/>
    <s v="N/A"/>
    <s v="Manuel Peña Suarez"/>
    <s v="Jefe Oficina Gestión de Proyectos de Fondos"/>
    <n v="6012220608"/>
    <s v="manuel.pena@upme.govco"/>
    <n v="96068700"/>
    <n v="0"/>
    <n v="0"/>
    <n v="4176900"/>
    <n v="0"/>
    <n v="8353800"/>
    <n v="0"/>
    <n v="8353800"/>
    <n v="0"/>
    <n v="8353800"/>
    <n v="0"/>
    <n v="8353800"/>
    <n v="0"/>
    <n v="8353800"/>
    <n v="0"/>
    <n v="8353800"/>
    <n v="0"/>
    <n v="8353800"/>
    <n v="0"/>
    <n v="8353800"/>
    <n v="0"/>
    <n v="8353800"/>
    <n v="0"/>
    <n v="16707600"/>
    <n v="96068700"/>
    <n v="96068700"/>
    <n v="0"/>
    <n v="0"/>
    <s v="Prestar servicios profesionales para llevar a cabo la evaluación técnica y financiera de los proyectos energéticos que solicitan recursos a los diferentes fondos y mecanismos de financiación evaluados por la UPME, así como, liderar mesas técnicas, contrib"/>
    <n v="96068700"/>
    <m/>
    <m/>
    <n v="4176900"/>
    <m/>
    <n v="8353800"/>
    <m/>
    <n v="8353800"/>
    <m/>
    <n v="8353800"/>
    <m/>
    <n v="8353800"/>
    <m/>
    <n v="8353800"/>
    <m/>
    <n v="8353800"/>
    <m/>
    <n v="8353800"/>
    <m/>
    <n v="8353800"/>
    <m/>
    <n v="8353800"/>
    <m/>
    <n v="16707600"/>
    <m/>
    <m/>
    <n v="96068700"/>
    <n v="96068700"/>
    <n v="0"/>
    <n v="0"/>
    <n v="19326"/>
    <d v="2026-01-11T00:00:00"/>
    <n v="94397940"/>
    <n v="1670760"/>
    <n v="15726"/>
    <d v="2026-01-21T00:00:00"/>
    <n v="94397940"/>
    <n v="1670760"/>
    <n v="0"/>
    <s v="HERNANDEZ HERNANDEZ MICHAEL ALVARO"/>
    <s v="CO1.PCCNTR.8936740"/>
    <n v="96068700"/>
    <m/>
    <m/>
    <m/>
    <n v="2506140"/>
    <n v="2506140"/>
    <n v="-1670760"/>
    <n v="8353800"/>
    <n v="8353800"/>
    <m/>
    <n v="8353800"/>
    <n v="8353800"/>
    <m/>
    <m/>
    <m/>
    <m/>
    <m/>
    <m/>
    <m/>
    <m/>
    <m/>
    <m/>
    <m/>
    <m/>
    <m/>
    <m/>
    <m/>
    <m/>
    <m/>
    <m/>
    <m/>
    <m/>
    <m/>
    <m/>
    <m/>
    <m/>
    <n v="94397940"/>
    <n v="19213740"/>
    <n v="19213740"/>
    <n v="75184200"/>
    <n v="0"/>
    <x v="0"/>
  </r>
  <r>
    <x v="0"/>
    <x v="2"/>
    <s v="Mejoramiento de la participación ciudadana en el modelo energético y de infraestructura energética, en el marco de la transición energética justa a nivel  nacional"/>
    <s v="Fondos"/>
    <s v="Sí"/>
    <s v="Sí"/>
    <n v="3"/>
    <s v="180-16"/>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16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0 - Ingresos corrientes"/>
    <n v="47653200"/>
    <n v="47653200"/>
    <s v="No"/>
    <s v="N/A"/>
    <s v="Oscar Zabaleta"/>
    <s v="Jefe Oficina Gestión de Proyectos de Fondos"/>
    <n v="6012220607"/>
    <s v="oscar.zabaleta@upme.gov.co"/>
    <n v="47653200"/>
    <n v="0"/>
    <n v="0"/>
    <n v="7942200"/>
    <n v="0"/>
    <n v="7942200"/>
    <n v="0"/>
    <n v="7942200"/>
    <n v="0"/>
    <n v="7942200"/>
    <n v="0"/>
    <n v="7942200"/>
    <n v="0"/>
    <n v="7942200"/>
    <n v="0"/>
    <n v="0"/>
    <n v="0"/>
    <n v="0"/>
    <n v="0"/>
    <n v="0"/>
    <n v="0"/>
    <n v="0"/>
    <n v="0"/>
    <n v="0"/>
    <n v="47653200"/>
    <n v="476532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47653200"/>
    <m/>
    <m/>
    <n v="7942200"/>
    <m/>
    <n v="7942200"/>
    <m/>
    <n v="7942200"/>
    <m/>
    <n v="7942200"/>
    <m/>
    <n v="7942200"/>
    <m/>
    <n v="7942200"/>
    <m/>
    <m/>
    <m/>
    <m/>
    <m/>
    <m/>
    <m/>
    <m/>
    <m/>
    <m/>
    <m/>
    <m/>
    <n v="47653200"/>
    <n v="47653200"/>
    <n v="0"/>
    <n v="0"/>
    <n v="43526"/>
    <d v="2026-01-17T00:00:00"/>
    <n v="39975740"/>
    <n v="7677460"/>
    <n v="33226"/>
    <d v="2026-01-29T00:00:00"/>
    <n v="39975740"/>
    <n v="7677460"/>
    <n v="0"/>
    <s v="ACOSTA SANCHEZ CARLOS ARTURO"/>
    <s v="CO1.PCCNTR.9171327"/>
    <n v="47653200"/>
    <m/>
    <m/>
    <m/>
    <m/>
    <m/>
    <n v="-7677460"/>
    <n v="264740"/>
    <n v="264740"/>
    <m/>
    <n v="15884400"/>
    <n v="15884400"/>
    <m/>
    <m/>
    <m/>
    <m/>
    <m/>
    <m/>
    <m/>
    <m/>
    <m/>
    <m/>
    <m/>
    <m/>
    <m/>
    <m/>
    <m/>
    <m/>
    <m/>
    <m/>
    <m/>
    <m/>
    <m/>
    <m/>
    <m/>
    <m/>
    <n v="39975740"/>
    <n v="16149140"/>
    <n v="16149140"/>
    <n v="23826600"/>
    <n v="0"/>
    <x v="0"/>
  </r>
  <r>
    <x v="0"/>
    <x v="2"/>
    <s v="Mejoramiento de la participación ciudadana en el modelo energético y de infraestructura energética, en el marco de la transición energética justa a nivel  nacional"/>
    <s v="Fondos"/>
    <s v="Sí"/>
    <s v="Sí"/>
    <n v="68"/>
    <s v="180-17"/>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17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11.5"/>
    <s v="Meses"/>
    <s v="Contratación directa - Prestación de servicios profesionales "/>
    <s v="Propios - 20 - Ingresos corrientes"/>
    <n v="84718200"/>
    <n v="84718200"/>
    <s v="No"/>
    <s v="N/A"/>
    <s v="Manuel Peña Suarez"/>
    <s v="Jefe Oficina Gestión de Proyectos de Fondos"/>
    <n v="6012220609"/>
    <s v="manuel.pena@upme.govco"/>
    <n v="84718200"/>
    <n v="0"/>
    <n v="0"/>
    <n v="3683400"/>
    <n v="0"/>
    <n v="7366800"/>
    <n v="0"/>
    <n v="7366800"/>
    <n v="0"/>
    <n v="7366800"/>
    <n v="0"/>
    <n v="7366800"/>
    <n v="0"/>
    <n v="7366800"/>
    <n v="0"/>
    <n v="7366800"/>
    <n v="0"/>
    <n v="7366800"/>
    <n v="0"/>
    <n v="7366800"/>
    <n v="0"/>
    <n v="7366800"/>
    <n v="0"/>
    <n v="14733600"/>
    <n v="84718200"/>
    <n v="84718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84718200"/>
    <m/>
    <m/>
    <n v="3683400"/>
    <m/>
    <n v="7366800"/>
    <m/>
    <n v="7366800"/>
    <m/>
    <n v="7366800"/>
    <m/>
    <n v="7366800"/>
    <m/>
    <n v="7366800"/>
    <m/>
    <n v="7366800"/>
    <m/>
    <n v="7366800"/>
    <m/>
    <n v="7366800"/>
    <m/>
    <n v="7366800"/>
    <m/>
    <n v="14733600"/>
    <m/>
    <m/>
    <n v="84718200"/>
    <n v="84718200"/>
    <n v="0"/>
    <n v="0"/>
    <n v="16826"/>
    <d v="2026-01-09T00:00:00"/>
    <n v="83490400"/>
    <n v="1227800"/>
    <n v="13126"/>
    <d v="2026-01-20T00:00:00"/>
    <n v="83490400"/>
    <n v="1227800"/>
    <n v="0"/>
    <s v="TEJEDOR PEREZ GERARDO"/>
    <s v="CO1.PCCNTR.8918146"/>
    <n v="84718200"/>
    <m/>
    <m/>
    <m/>
    <n v="2455600"/>
    <n v="2455600"/>
    <n v="-1227800"/>
    <n v="7366800"/>
    <n v="7366800"/>
    <m/>
    <n v="7366800"/>
    <n v="7366800"/>
    <m/>
    <m/>
    <m/>
    <m/>
    <m/>
    <m/>
    <m/>
    <m/>
    <m/>
    <m/>
    <m/>
    <m/>
    <m/>
    <m/>
    <m/>
    <m/>
    <m/>
    <m/>
    <m/>
    <m/>
    <m/>
    <m/>
    <m/>
    <m/>
    <n v="83490400"/>
    <n v="17189200"/>
    <n v="17189200"/>
    <n v="66301200"/>
    <n v="0"/>
    <x v="0"/>
  </r>
  <r>
    <x v="0"/>
    <x v="2"/>
    <s v="Mejoramiento de la participación ciudadana en el modelo energético y de infraestructura energética, en el marco de la transición energética justa a nivel  nacional"/>
    <s v="Fondos"/>
    <s v="Sí"/>
    <s v="Sí"/>
    <n v="3"/>
    <s v="180-18"/>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18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6"/>
    <s v="Meses"/>
    <s v="Contratación directa - Prestación de servicios profesionales "/>
    <s v="Propios - 20 - Ingresos corrientes"/>
    <n v="47653200"/>
    <n v="47653200"/>
    <s v="No"/>
    <s v="N/A"/>
    <s v="Oscar Zabaleta"/>
    <s v="Jefe Oficina Gestión de Proyectos de Fondos"/>
    <n v="6012220607"/>
    <s v="oscar.zabaleta@upme.gov.co"/>
    <n v="37359000"/>
    <n v="0"/>
    <n v="0"/>
    <n v="0"/>
    <n v="0"/>
    <n v="5590000"/>
    <n v="0"/>
    <n v="7942200"/>
    <n v="0"/>
    <n v="7942200"/>
    <n v="0"/>
    <n v="7942200"/>
    <n v="0"/>
    <n v="7942200"/>
    <n v="10294200"/>
    <n v="7942200"/>
    <n v="0"/>
    <n v="2352200"/>
    <n v="0"/>
    <n v="0"/>
    <n v="0"/>
    <n v="0"/>
    <n v="0"/>
    <n v="0"/>
    <n v="47653200"/>
    <n v="47653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37359000"/>
    <m/>
    <m/>
    <m/>
    <m/>
    <n v="5590000"/>
    <m/>
    <n v="7942200"/>
    <m/>
    <n v="7942200"/>
    <m/>
    <n v="7942200"/>
    <m/>
    <n v="7942200"/>
    <n v="10294200"/>
    <n v="7942200"/>
    <m/>
    <n v="2352200"/>
    <m/>
    <m/>
    <m/>
    <m/>
    <m/>
    <m/>
    <m/>
    <m/>
    <n v="47653200"/>
    <n v="47653200"/>
    <n v="0"/>
    <n v="0"/>
    <n v="50726"/>
    <d v="2026-01-20T00:00:00"/>
    <n v="47653200"/>
    <n v="0"/>
    <n v="34026"/>
    <d v="2026-01-29T00:00:00"/>
    <n v="37359000"/>
    <n v="10294200"/>
    <n v="10294200"/>
    <s v="PEÑA CACERES ELISBETH VANNESA"/>
    <s v="CO1.PCCNTR.9172594"/>
    <n v="37359000"/>
    <m/>
    <m/>
    <m/>
    <m/>
    <m/>
    <m/>
    <n v="6434050"/>
    <n v="6434050"/>
    <m/>
    <n v="6226500"/>
    <n v="6226500"/>
    <m/>
    <m/>
    <m/>
    <m/>
    <m/>
    <m/>
    <m/>
    <m/>
    <m/>
    <m/>
    <m/>
    <m/>
    <m/>
    <m/>
    <m/>
    <m/>
    <m/>
    <m/>
    <m/>
    <m/>
    <m/>
    <m/>
    <m/>
    <m/>
    <n v="37359000"/>
    <n v="12660550"/>
    <n v="12660550"/>
    <n v="24698450"/>
    <n v="0"/>
    <x v="0"/>
  </r>
  <r>
    <x v="0"/>
    <x v="2"/>
    <s v="Mejoramiento de la participación ciudadana en el modelo energético y de infraestructura energética, en el marco de la transición energética justa a nivel  nacional"/>
    <s v="Fondos"/>
    <s v="Sí"/>
    <s v="Sí"/>
    <n v="68"/>
    <s v="180-19"/>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19 Prestar servicios profesionales para llevar a cabo la evaluación técnica y financiera de proyectos energéticos que solicitan recursos a los fondos y mecanismos de financiación evaluados por la UPME, participar en mesas técnicas y apoyar en la defin"/>
    <s v="Enero "/>
    <s v="Enero "/>
    <s v="Enero "/>
    <n v="11.5"/>
    <s v="Meses"/>
    <s v="Contratación directa - Prestación de servicios profesionales "/>
    <s v="Propios - 20 - Ingresos corrientes"/>
    <n v="76627950"/>
    <n v="76627950"/>
    <s v="No"/>
    <s v="N/A"/>
    <s v="Manuel Peña Suarez"/>
    <s v="Jefe Oficina Gestión de Proyectos de Fondos"/>
    <n v="6012220610"/>
    <s v="manuel.pena@upme.govco"/>
    <n v="76627950"/>
    <n v="0"/>
    <n v="0"/>
    <n v="3331650"/>
    <n v="0"/>
    <n v="6663300"/>
    <n v="0"/>
    <n v="6663300"/>
    <n v="0"/>
    <n v="6663300"/>
    <n v="0"/>
    <n v="6663300"/>
    <n v="0"/>
    <n v="6663300"/>
    <n v="0"/>
    <n v="6663300"/>
    <n v="0"/>
    <n v="6663300"/>
    <n v="0"/>
    <n v="6663300"/>
    <n v="0"/>
    <n v="6663300"/>
    <n v="0"/>
    <n v="13326600"/>
    <n v="76627950"/>
    <n v="76627950"/>
    <n v="0"/>
    <n v="0"/>
    <s v="Prestar servicios profesionales para llevar a cabo la evaluación técnica y financiera de proyectos energéticos que solicitan recursos a los fondos y mecanismos de financiación evaluados por la UPME, participar en mesas técnicas y apoyar en la definición d"/>
    <n v="76627950"/>
    <m/>
    <m/>
    <n v="3331650"/>
    <m/>
    <n v="6663300"/>
    <m/>
    <n v="6663300"/>
    <m/>
    <n v="6663300"/>
    <m/>
    <n v="6663300"/>
    <m/>
    <n v="6663300"/>
    <m/>
    <n v="6663300"/>
    <m/>
    <n v="6663300"/>
    <m/>
    <n v="6663300"/>
    <m/>
    <n v="6663300"/>
    <m/>
    <n v="13326600"/>
    <m/>
    <m/>
    <n v="76627950"/>
    <n v="76627950"/>
    <n v="0"/>
    <n v="0"/>
    <n v="16526"/>
    <d v="2026-01-09T00:00:00"/>
    <n v="75295290"/>
    <n v="1332660"/>
    <n v="13926"/>
    <d v="2026-01-20T00:00:00"/>
    <n v="75295290"/>
    <n v="1332660"/>
    <n v="0"/>
    <s v="LUQUE GONZALEZ RAFAEL ANGELO"/>
    <s v="CO1.PCCNTR.8918263"/>
    <n v="76627950"/>
    <m/>
    <m/>
    <m/>
    <n v="1998990"/>
    <n v="1998990"/>
    <n v="-1332660"/>
    <n v="6663300"/>
    <n v="6663300"/>
    <m/>
    <n v="6663300"/>
    <n v="6663300"/>
    <m/>
    <m/>
    <m/>
    <m/>
    <m/>
    <m/>
    <m/>
    <m/>
    <m/>
    <m/>
    <m/>
    <m/>
    <m/>
    <m/>
    <m/>
    <m/>
    <m/>
    <m/>
    <m/>
    <m/>
    <m/>
    <m/>
    <m/>
    <m/>
    <n v="75295290"/>
    <n v="15325590"/>
    <n v="15325590"/>
    <n v="59969700"/>
    <n v="0"/>
    <x v="0"/>
  </r>
  <r>
    <x v="0"/>
    <x v="2"/>
    <s v="Mejoramiento de la participación ciudadana en el modelo energético y de infraestructura energética, en el marco de la transición energética justa a nivel  nacional"/>
    <s v="Fondos"/>
    <s v="Sí"/>
    <s v="Sí"/>
    <n v="68"/>
    <s v="180-20"/>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0 Prestar servicios profesionales para llevar a cabo la evaluación técnica y financiera de proyectos energéticos que solicitan recursos a los fondos y mecanismos de financiación evaluados por la UPME, participar en mesas técnicas y apoyar en la defin"/>
    <s v="Enero "/>
    <s v="Enero "/>
    <s v="Enero "/>
    <n v="11.5"/>
    <s v="Meses"/>
    <s v="Contratación directa - Prestación de servicios profesionales "/>
    <s v="Propios - 20 - Ingresos corrientes"/>
    <n v="76627950"/>
    <n v="76627950"/>
    <s v="No"/>
    <s v="N/A"/>
    <s v="Manuel Peña Suarez"/>
    <s v="Jefe Oficina Gestión de Proyectos de Fondos"/>
    <n v="6012220611"/>
    <s v="manuel.pena@upme.govco"/>
    <n v="76627950"/>
    <n v="0"/>
    <n v="0"/>
    <n v="3331650"/>
    <n v="0"/>
    <n v="6663300"/>
    <n v="0"/>
    <n v="6663300"/>
    <n v="0"/>
    <n v="6663300"/>
    <n v="0"/>
    <n v="6663300"/>
    <n v="0"/>
    <n v="6663300"/>
    <n v="0"/>
    <n v="6663300"/>
    <n v="0"/>
    <n v="6663300"/>
    <n v="0"/>
    <n v="6663300"/>
    <n v="0"/>
    <n v="6663300"/>
    <n v="0"/>
    <n v="13326600"/>
    <n v="76627950"/>
    <n v="76627950"/>
    <n v="0"/>
    <n v="0"/>
    <s v="Prestar servicios profesionales para llevar a cabo la evaluación técnica y financiera de proyectos energéticos que solicitan recursos a los fondos y mecanismos de financiación evaluados por la UPME, participar en mesas técnicas y apoyar en la definición d"/>
    <n v="76627950"/>
    <m/>
    <m/>
    <n v="3331650"/>
    <m/>
    <n v="6663300"/>
    <m/>
    <n v="6663300"/>
    <m/>
    <n v="6663300"/>
    <m/>
    <n v="6663300"/>
    <m/>
    <n v="6663300"/>
    <m/>
    <n v="6663300"/>
    <m/>
    <n v="6663300"/>
    <m/>
    <n v="6663300"/>
    <m/>
    <n v="6663300"/>
    <m/>
    <n v="13326600"/>
    <m/>
    <m/>
    <n v="76627950"/>
    <n v="76627950"/>
    <n v="0"/>
    <n v="0"/>
    <n v="16426"/>
    <d v="2026-01-09T00:00:00"/>
    <n v="75295290"/>
    <n v="1332660"/>
    <n v="13326"/>
    <d v="2026-01-20T00:00:00"/>
    <n v="75295290"/>
    <n v="1332660"/>
    <n v="0"/>
    <s v="DUQUE POSADA BRAYAN STEVEN"/>
    <s v="CO1.PCCNTR.8939128"/>
    <n v="76627950"/>
    <m/>
    <m/>
    <n v="-1332660"/>
    <n v="1998990"/>
    <n v="1998990"/>
    <m/>
    <n v="6663300"/>
    <n v="6663300"/>
    <m/>
    <n v="6663300"/>
    <n v="6663300"/>
    <m/>
    <m/>
    <m/>
    <m/>
    <m/>
    <m/>
    <m/>
    <m/>
    <m/>
    <m/>
    <m/>
    <m/>
    <m/>
    <m/>
    <m/>
    <m/>
    <m/>
    <m/>
    <m/>
    <m/>
    <m/>
    <m/>
    <m/>
    <m/>
    <n v="75295290"/>
    <n v="15325590"/>
    <n v="15325590"/>
    <n v="59969700"/>
    <n v="0"/>
    <x v="0"/>
  </r>
  <r>
    <x v="0"/>
    <x v="2"/>
    <s v="Mejoramiento de la participación ciudadana en el modelo energético y de infraestructura energética, en el marco de la transición energética justa a nivel  nacional"/>
    <s v="Fondos"/>
    <s v="Sí"/>
    <s v="Sí"/>
    <n v="68"/>
    <s v="180-21"/>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1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11.5"/>
    <s v="Meses"/>
    <s v="Contratación directa - Prestación de servicios profesionales "/>
    <s v="Propios - 20 - Ingresos corrientes"/>
    <n v="71604750"/>
    <n v="71604750"/>
    <s v="No"/>
    <s v="N/A"/>
    <s v="Manuel Peña Suarez"/>
    <s v="Jefe Oficina Gestión de Proyectos de Fondos"/>
    <n v="6012220612"/>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n v="40226"/>
    <d v="2026-01-15T00:00:00"/>
    <n v="68491500"/>
    <n v="3113250"/>
    <n v="21226"/>
    <d v="2026-01-26T00:00:00"/>
    <n v="68491500"/>
    <n v="3113250"/>
    <n v="0"/>
    <s v="SALGADO BENITEZ NELSON ALBERTO"/>
    <s v="CO1.PCCNTR.9063561"/>
    <n v="68491500"/>
    <m/>
    <m/>
    <m/>
    <n v="830200"/>
    <n v="830200"/>
    <m/>
    <n v="6226500"/>
    <n v="6226500"/>
    <m/>
    <n v="6226500"/>
    <n v="6226500"/>
    <m/>
    <m/>
    <m/>
    <m/>
    <m/>
    <m/>
    <m/>
    <m/>
    <m/>
    <m/>
    <m/>
    <m/>
    <m/>
    <m/>
    <m/>
    <m/>
    <m/>
    <m/>
    <m/>
    <m/>
    <m/>
    <m/>
    <m/>
    <m/>
    <n v="68491500"/>
    <n v="13283200"/>
    <n v="13283200"/>
    <n v="55208300"/>
    <n v="0"/>
    <x v="0"/>
  </r>
  <r>
    <x v="0"/>
    <x v="2"/>
    <s v="Mejoramiento de la participación ciudadana en el modelo energético y de infraestructura energética, en el marco de la transición energética justa a nivel  nacional"/>
    <s v="Fondos"/>
    <s v="Sí"/>
    <s v="Sí"/>
    <n v="68"/>
    <s v="180-22"/>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2 Prestar servicios profesionales para realizar la evaluación técnica, financiera y ambiental de los proyectos energéticos que solicitan recursos a los diferentes fondos y mecanismos de financiación del Ministerio de Minas y Energía (MME) evaluados p"/>
    <s v="Enero "/>
    <s v="Enero "/>
    <s v="Enero "/>
    <n v="11.5"/>
    <s v="Meses"/>
    <s v="Contratación directa - Prestación de servicios profesionales "/>
    <s v="Propios - 20 - Ingresos corrientes"/>
    <n v="71604750"/>
    <n v="71604750"/>
    <s v="No"/>
    <s v="N/A"/>
    <s v="Manuel Peña Suarez"/>
    <s v="Jefe Oficina Gestión de Proyectos de Fondos"/>
    <n v="6012220613"/>
    <s v="manuel.pena@upme.govco"/>
    <n v="71604750"/>
    <n v="0"/>
    <n v="0"/>
    <n v="3113250"/>
    <n v="0"/>
    <n v="6226500"/>
    <n v="0"/>
    <n v="6226500"/>
    <n v="0"/>
    <n v="6226500"/>
    <n v="0"/>
    <n v="6226500"/>
    <n v="0"/>
    <n v="6226500"/>
    <n v="0"/>
    <n v="6226500"/>
    <n v="0"/>
    <n v="6226500"/>
    <n v="0"/>
    <n v="6226500"/>
    <n v="0"/>
    <n v="6226500"/>
    <n v="0"/>
    <n v="12453000"/>
    <n v="71604750"/>
    <n v="71604750"/>
    <n v="0"/>
    <n v="0"/>
    <s v="Prestar servicios profesionales para realizar la evaluación técnica, financiera y ambiental de los proyectos energéticos que solicitan recursos a los diferentes fondos y mecanismos de financiación del Ministerio de Minas y Energía (MME) evaluados por la U"/>
    <n v="71604750"/>
    <m/>
    <m/>
    <n v="3113250"/>
    <m/>
    <n v="6226500"/>
    <m/>
    <n v="6226500"/>
    <m/>
    <n v="6226500"/>
    <m/>
    <n v="6226500"/>
    <m/>
    <n v="6226500"/>
    <m/>
    <n v="6226500"/>
    <m/>
    <n v="6226500"/>
    <m/>
    <n v="6226500"/>
    <m/>
    <n v="6226500"/>
    <m/>
    <n v="12453000"/>
    <m/>
    <m/>
    <n v="71604750"/>
    <n v="71604750"/>
    <n v="0"/>
    <n v="0"/>
    <n v="19726"/>
    <d v="2026-01-11T00:00:00"/>
    <n v="70151900"/>
    <n v="1452850"/>
    <n v="16626"/>
    <d v="2026-01-22T00:00:00"/>
    <n v="70151900"/>
    <n v="1452850"/>
    <n v="0"/>
    <s v="ACEVEDO GARAVITO ALIDA YAMILE"/>
    <s v="CO1.PCCNTR.8936092"/>
    <n v="71604750"/>
    <m/>
    <m/>
    <m/>
    <n v="1660400"/>
    <n v="1660400"/>
    <n v="-1452850"/>
    <n v="6226500"/>
    <n v="6226500"/>
    <m/>
    <n v="6226500"/>
    <n v="6226500"/>
    <m/>
    <m/>
    <m/>
    <m/>
    <m/>
    <m/>
    <m/>
    <m/>
    <m/>
    <m/>
    <m/>
    <m/>
    <m/>
    <m/>
    <m/>
    <m/>
    <m/>
    <m/>
    <m/>
    <m/>
    <m/>
    <m/>
    <m/>
    <m/>
    <n v="70151900"/>
    <n v="14113400"/>
    <n v="14113400"/>
    <n v="56038500"/>
    <n v="0"/>
    <x v="0"/>
  </r>
  <r>
    <x v="0"/>
    <x v="2"/>
    <s v="Mejoramiento de la participación ciudadana en el modelo energético y de infraestructura energética, en el marco de la transición energética justa a nivel  nacional"/>
    <s v="Fondos"/>
    <s v="Sí"/>
    <s v="Sí"/>
    <n v="3"/>
    <s v="180-23"/>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3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6"/>
    <s v="Meses"/>
    <s v="Contratación directa - Prestación de servicios profesionales "/>
    <s v="Propios - 20 - Ingresos corrientes"/>
    <n v="37359000"/>
    <n v="37359000"/>
    <s v="No"/>
    <s v="N/A"/>
    <s v="Oscar Zabaleta"/>
    <s v="Jefe Oficina Gestión de Proyectos de Fondos"/>
    <n v="6012220607"/>
    <s v="oscar.zabaleta@upme.gov.co"/>
    <n v="37359000"/>
    <n v="0"/>
    <n v="0"/>
    <n v="6226500"/>
    <n v="0"/>
    <n v="6226500"/>
    <n v="0"/>
    <n v="6226500"/>
    <n v="0"/>
    <n v="6226500"/>
    <n v="0"/>
    <n v="6226500"/>
    <n v="0"/>
    <n v="6226500"/>
    <n v="0"/>
    <n v="0"/>
    <n v="0"/>
    <n v="0"/>
    <n v="0"/>
    <n v="0"/>
    <n v="0"/>
    <n v="0"/>
    <n v="0"/>
    <n v="0"/>
    <n v="37359000"/>
    <n v="37359000"/>
    <n v="0"/>
    <n v="0"/>
    <s v="Prestar servicios profesionales para realizar la evaluación técnica y financiera de los proyectos energéticos que solicitan recursos a los diferentes fondos y mecanismos de financiación del Ministerio de Minas y Energía (MME) evaluados por la UPME, así co"/>
    <n v="37359000"/>
    <m/>
    <m/>
    <n v="6226500"/>
    <m/>
    <n v="6226500"/>
    <m/>
    <n v="6226500"/>
    <m/>
    <n v="6226500"/>
    <m/>
    <n v="6226500"/>
    <m/>
    <n v="6226500"/>
    <m/>
    <m/>
    <m/>
    <m/>
    <m/>
    <m/>
    <m/>
    <m/>
    <m/>
    <m/>
    <m/>
    <m/>
    <n v="37359000"/>
    <n v="37359000"/>
    <n v="0"/>
    <n v="0"/>
    <n v="43726"/>
    <d v="2026-01-17T00:00:00"/>
    <n v="37359000"/>
    <n v="0"/>
    <n v="32026"/>
    <d v="2026-01-29T00:00:00"/>
    <n v="37359000"/>
    <n v="0"/>
    <n v="0"/>
    <s v="SANCHEZ SANCHEZ FABIO"/>
    <s v="CO1.PCCNTR.9170242"/>
    <n v="37359000"/>
    <m/>
    <m/>
    <m/>
    <m/>
    <m/>
    <m/>
    <n v="207550"/>
    <n v="207550"/>
    <m/>
    <n v="12453000"/>
    <n v="12453000"/>
    <m/>
    <m/>
    <m/>
    <m/>
    <m/>
    <m/>
    <m/>
    <m/>
    <m/>
    <m/>
    <m/>
    <m/>
    <m/>
    <m/>
    <m/>
    <m/>
    <m/>
    <m/>
    <m/>
    <m/>
    <m/>
    <m/>
    <m/>
    <m/>
    <n v="37359000"/>
    <n v="12660550"/>
    <n v="12660550"/>
    <n v="24698450"/>
    <n v="0"/>
    <x v="0"/>
  </r>
  <r>
    <x v="0"/>
    <x v="2"/>
    <s v="Mejoramiento de la participación ciudadana en el modelo energético y de infraestructura energética, en el marco de la transición energética justa a nivel  nacional"/>
    <s v="Fondos"/>
    <s v="Sí"/>
    <s v="Sí"/>
    <n v="9"/>
    <s v="180-24"/>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4 Prestar los servicios profesionales en la construcción de herramientas y documentos con criterio social en marcado en procesos de la dirección general de la UPME."/>
    <s v="Enero "/>
    <s v="Enero "/>
    <s v="Enero "/>
    <n v="6"/>
    <s v="Meses"/>
    <s v="Contratación directa - Prestación de servicios profesionales "/>
    <s v="Propios - 20 - Ingresos corrientes"/>
    <n v="53984700"/>
    <n v="53984700"/>
    <s v="No"/>
    <s v="N/A"/>
    <s v="Oscar Zabaleta"/>
    <s v="Jefe Oficina Gestión de Proyectos de Fondos"/>
    <n v="6012220607"/>
    <s v="oscar.zabaleta@upme.gov.co"/>
    <n v="0"/>
    <n v="0"/>
    <n v="53984700"/>
    <n v="0"/>
    <n v="0"/>
    <n v="8997450"/>
    <n v="0"/>
    <n v="8997450"/>
    <n v="0"/>
    <n v="8997450"/>
    <n v="0"/>
    <n v="8997450"/>
    <n v="0"/>
    <n v="8997450"/>
    <n v="0"/>
    <n v="8997450"/>
    <n v="0"/>
    <n v="0"/>
    <n v="0"/>
    <n v="0"/>
    <n v="0"/>
    <n v="0"/>
    <n v="0"/>
    <n v="0"/>
    <n v="53984700"/>
    <n v="53984700"/>
    <n v="0"/>
    <n v="0"/>
    <s v="Prestar los servicios profesionales en la construcción de herramientas y documentos con criterio social en marcado en procesos de la dirección general de la UPME."/>
    <m/>
    <m/>
    <n v="53984700"/>
    <m/>
    <m/>
    <n v="8997450"/>
    <m/>
    <n v="8997450"/>
    <m/>
    <n v="8997450"/>
    <m/>
    <n v="8997450"/>
    <m/>
    <n v="8997450"/>
    <m/>
    <n v="8997450"/>
    <m/>
    <m/>
    <m/>
    <m/>
    <m/>
    <m/>
    <m/>
    <m/>
    <m/>
    <m/>
    <n v="53984700"/>
    <n v="53984700"/>
    <n v="0"/>
    <n v="0"/>
    <n v="66826"/>
    <d v="2026-01-29T00:00:00"/>
    <n v="53984700"/>
    <n v="0"/>
    <n v="50926"/>
    <d v="2026-02-09T00:00:00"/>
    <n v="53984700"/>
    <n v="0"/>
    <n v="0"/>
    <s v="DIAZ CHAVES FELIPE"/>
    <s v=". CO1.PCCNTR.9285780"/>
    <m/>
    <m/>
    <m/>
    <n v="53984700"/>
    <m/>
    <m/>
    <m/>
    <m/>
    <m/>
    <m/>
    <n v="15295665"/>
    <n v="15295665"/>
    <m/>
    <m/>
    <m/>
    <m/>
    <m/>
    <m/>
    <m/>
    <m/>
    <m/>
    <m/>
    <m/>
    <m/>
    <m/>
    <m/>
    <m/>
    <m/>
    <m/>
    <m/>
    <m/>
    <m/>
    <m/>
    <m/>
    <m/>
    <m/>
    <n v="53984700"/>
    <n v="15295665"/>
    <n v="15295665"/>
    <n v="38689035"/>
    <n v="0"/>
    <x v="0"/>
  </r>
  <r>
    <x v="0"/>
    <x v="2"/>
    <s v="Mejoramiento de la participación ciudadana en el modelo energético y de infraestructura energética, en el marco de la transición energética justa a nivel  nacional"/>
    <s v="Fondos"/>
    <s v="Sí"/>
    <s v="Sí"/>
    <n v="68"/>
    <s v="180-25"/>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5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11.5"/>
    <s v="Meses"/>
    <s v="Contratación directa - Prestación de servicios profesionales "/>
    <s v="Propios - 20 - Ingresos corrientes"/>
    <n v="71604750"/>
    <n v="71604750"/>
    <s v="No"/>
    <s v="N/A"/>
    <s v="Manuel Peña Suarez"/>
    <s v="Jefe Oficina Gestión de Proyectos de Fondos"/>
    <n v="6012220616"/>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n v="35926"/>
    <d v="2026-01-15T00:00:00"/>
    <n v="68491500"/>
    <n v="3113250"/>
    <n v="32326"/>
    <d v="2026-01-29T00:00:00"/>
    <n v="68491500"/>
    <n v="3113250"/>
    <n v="0"/>
    <s v="GARCIA ANGARITA JOSE ABRAHAM"/>
    <s v="CO1.PCCNTR.9171227"/>
    <n v="68491500"/>
    <m/>
    <m/>
    <m/>
    <m/>
    <m/>
    <m/>
    <n v="6434050"/>
    <n v="6434050"/>
    <m/>
    <n v="6226500"/>
    <n v="6226500"/>
    <m/>
    <m/>
    <m/>
    <m/>
    <m/>
    <m/>
    <m/>
    <m/>
    <m/>
    <m/>
    <m/>
    <m/>
    <m/>
    <m/>
    <m/>
    <m/>
    <m/>
    <m/>
    <m/>
    <m/>
    <m/>
    <m/>
    <m/>
    <m/>
    <n v="68491500"/>
    <n v="12660550"/>
    <n v="12660550"/>
    <n v="55830950"/>
    <n v="0"/>
    <x v="0"/>
  </r>
  <r>
    <x v="0"/>
    <x v="2"/>
    <s v="Mejoramiento de la participación ciudadana en el modelo energético y de infraestructura energética, en el marco de la transición energética justa a nivel  nacional"/>
    <s v="Fondos"/>
    <s v="Sí"/>
    <s v="Sí"/>
    <n v="68"/>
    <s v="180-26"/>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6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1.5"/>
    <s v="Meses"/>
    <s v="Contratación directa - Prestación de servicios profesionales "/>
    <s v="Propios - 21 - Otros recursos de tesorería"/>
    <n v="48613950"/>
    <n v="48613950"/>
    <s v="No"/>
    <s v="N/A"/>
    <s v="Manuel Peña Suarez"/>
    <s v="Jefe Oficina Gestión de Proyectos de Fondos"/>
    <n v="6012220617"/>
    <s v="manuel.pena@upme.govco"/>
    <n v="46500300"/>
    <n v="0"/>
    <n v="0"/>
    <n v="2113650"/>
    <n v="0"/>
    <n v="4227300"/>
    <n v="0"/>
    <n v="4227300"/>
    <n v="0"/>
    <n v="4227300"/>
    <n v="0"/>
    <n v="4227300"/>
    <n v="0"/>
    <n v="4227300"/>
    <n v="0"/>
    <n v="4227300"/>
    <n v="0"/>
    <n v="4227300"/>
    <n v="0"/>
    <n v="4227300"/>
    <n v="0"/>
    <n v="4227300"/>
    <n v="2113650"/>
    <n v="8454600"/>
    <n v="48613950"/>
    <n v="48613950"/>
    <n v="0"/>
    <n v="0"/>
    <s v="Prestar servicios profesionales para realizar en la evaluación técnica y financiera de proyectos energéticos que solicitan recursos a los fondos y mecanismos de financiación evaluados por la UPME, y apoyar las mesas técnicas en el marco de las actividades"/>
    <n v="46500300"/>
    <m/>
    <m/>
    <n v="2113650"/>
    <m/>
    <n v="4227300"/>
    <m/>
    <n v="4227300"/>
    <m/>
    <n v="4227300"/>
    <m/>
    <n v="4227300"/>
    <m/>
    <n v="4227300"/>
    <m/>
    <n v="4227300"/>
    <m/>
    <n v="4227300"/>
    <m/>
    <n v="4227300"/>
    <m/>
    <n v="4227300"/>
    <n v="2113650"/>
    <n v="8454600"/>
    <m/>
    <m/>
    <n v="48613950"/>
    <n v="48613950"/>
    <n v="0"/>
    <n v="0"/>
    <n v="40526"/>
    <d v="2026-01-16T00:00:00"/>
    <n v="46500300"/>
    <n v="2113650"/>
    <n v="32126"/>
    <d v="2026-01-29T00:00:00"/>
    <n v="46500300"/>
    <n v="2113650"/>
    <n v="0"/>
    <s v="BELTRAN GOMEZ NESTOR EDUARDO"/>
    <s v="CO1.PCCNTR.9103350"/>
    <n v="46500300"/>
    <m/>
    <m/>
    <m/>
    <m/>
    <m/>
    <m/>
    <n v="140910"/>
    <n v="140910"/>
    <m/>
    <n v="8454600"/>
    <n v="8454600"/>
    <m/>
    <m/>
    <m/>
    <m/>
    <m/>
    <m/>
    <m/>
    <m/>
    <m/>
    <m/>
    <m/>
    <m/>
    <m/>
    <m/>
    <m/>
    <m/>
    <m/>
    <m/>
    <m/>
    <m/>
    <m/>
    <m/>
    <m/>
    <m/>
    <n v="46500300"/>
    <n v="8595510"/>
    <n v="8595510"/>
    <n v="37904790"/>
    <n v="0"/>
    <x v="0"/>
  </r>
  <r>
    <x v="0"/>
    <x v="2"/>
    <s v="Mejoramiento de la participación ciudadana en el modelo energético y de infraestructura energética, en el marco de la transición energética justa a nivel  nacional"/>
    <s v="Fondos"/>
    <s v="Sí"/>
    <s v="Sí"/>
    <n v="3"/>
    <s v="180-27"/>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7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0.5"/>
    <s v="Meses"/>
    <s v="Contratación directa - Prestación de servicios profesionales "/>
    <s v="Propios - 21 - Otros recursos de tesorería"/>
    <n v="45647760"/>
    <n v="45647760"/>
    <s v="No"/>
    <s v="N/A"/>
    <s v="Oscar Zabaleta"/>
    <s v="Jefe Oficina Gestión de Proyectos de Fondos"/>
    <n v="6012220607"/>
    <s v="oscar.zabaleta@upme.gov.co"/>
    <n v="44386650"/>
    <n v="0"/>
    <n v="0"/>
    <n v="4227300"/>
    <n v="0"/>
    <n v="4227300"/>
    <n v="0"/>
    <n v="4227300"/>
    <n v="0"/>
    <n v="4227300"/>
    <n v="0"/>
    <n v="4227300"/>
    <n v="0"/>
    <n v="4227300"/>
    <n v="0"/>
    <n v="4227300"/>
    <n v="0"/>
    <n v="4227300"/>
    <n v="0"/>
    <n v="4227300"/>
    <n v="0"/>
    <n v="4227300"/>
    <n v="1261110"/>
    <n v="3374760"/>
    <n v="45647760"/>
    <n v="45647760"/>
    <n v="0"/>
    <n v="0"/>
    <s v="Prestar servicios profesionales para realizar en la evaluación técnica y financiera de proyectos energéticos que solicitan recursos a los fondos y mecanismos de financiación evaluados por la UPME, y apoyar las mesas técnicas en el marco de las actividades"/>
    <n v="44386650"/>
    <m/>
    <m/>
    <n v="4227300"/>
    <m/>
    <n v="4227300"/>
    <m/>
    <n v="4227300"/>
    <m/>
    <n v="4227300"/>
    <m/>
    <n v="4227300"/>
    <m/>
    <n v="4227300"/>
    <m/>
    <n v="4227300"/>
    <m/>
    <n v="4227300"/>
    <m/>
    <n v="4227300"/>
    <m/>
    <n v="4227300"/>
    <n v="1261110"/>
    <n v="3374760"/>
    <m/>
    <m/>
    <n v="45647760"/>
    <n v="45647760"/>
    <n v="0"/>
    <n v="0"/>
    <n v="41726"/>
    <d v="2026-01-16T00:00:00"/>
    <n v="45647760"/>
    <n v="0"/>
    <n v="34726"/>
    <d v="2026-01-29T00:00:00"/>
    <n v="44386650"/>
    <n v="1261110"/>
    <n v="1261110"/>
    <s v="CABALLERO VILLAMIL DIEGO ALEJANDRO"/>
    <s v="CO1.PCCNTR.9173130"/>
    <n v="44386650"/>
    <m/>
    <m/>
    <m/>
    <m/>
    <m/>
    <m/>
    <n v="4086390"/>
    <n v="4086390"/>
    <m/>
    <n v="4227300"/>
    <n v="4227300"/>
    <m/>
    <m/>
    <m/>
    <m/>
    <m/>
    <m/>
    <m/>
    <m/>
    <m/>
    <m/>
    <m/>
    <m/>
    <m/>
    <m/>
    <m/>
    <m/>
    <m/>
    <m/>
    <m/>
    <m/>
    <m/>
    <m/>
    <m/>
    <m/>
    <n v="44386650"/>
    <n v="8313690"/>
    <n v="8313690"/>
    <n v="36072960"/>
    <n v="0"/>
    <x v="0"/>
  </r>
  <r>
    <x v="0"/>
    <x v="2"/>
    <s v="Mejoramiento de la participación ciudadana en el modelo energético y de infraestructura energética, en el marco de la transición energética justa a nivel  nacional"/>
    <s v="Fondos"/>
    <s v="Sí"/>
    <s v="Sí"/>
    <n v="68"/>
    <s v="180-28"/>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8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1.5"/>
    <s v="Meses"/>
    <s v="Contratación directa - Prestación de servicios profesionales "/>
    <s v="Propios - 21 - Otros recursos de tesorería"/>
    <n v="48613950"/>
    <n v="48613950"/>
    <s v="No"/>
    <s v="N/A"/>
    <s v="Manuel Peña Suarez"/>
    <s v="Jefe Oficina Gestión de Proyectos de Fondos"/>
    <n v="6012220619"/>
    <s v="manuel.pena@upme.govco"/>
    <n v="48613950"/>
    <n v="0"/>
    <n v="0"/>
    <n v="2113650"/>
    <n v="0"/>
    <n v="4227300"/>
    <n v="0"/>
    <n v="4227300"/>
    <n v="0"/>
    <n v="4227300"/>
    <n v="0"/>
    <n v="4227300"/>
    <n v="0"/>
    <n v="4227300"/>
    <n v="0"/>
    <n v="4227300"/>
    <n v="0"/>
    <n v="4227300"/>
    <n v="0"/>
    <n v="4227300"/>
    <n v="0"/>
    <n v="4227300"/>
    <n v="0"/>
    <n v="8454600"/>
    <n v="48613950"/>
    <n v="48613950"/>
    <n v="0"/>
    <n v="0"/>
    <s v="Prestar servicios profesionales para realizar en la evaluación técnica y financiera de proyectos energéticos que solicitan recursos a los fondos y mecanismos de financiación evaluados por la UPME, y apoyar las mesas técnicas en el marco de las actividades"/>
    <n v="48613950"/>
    <m/>
    <m/>
    <n v="2113650"/>
    <m/>
    <n v="4227300"/>
    <m/>
    <n v="4227300"/>
    <m/>
    <n v="4227300"/>
    <m/>
    <n v="4227300"/>
    <m/>
    <n v="4227300"/>
    <m/>
    <n v="4227300"/>
    <m/>
    <n v="4227300"/>
    <m/>
    <n v="4227300"/>
    <m/>
    <n v="4227300"/>
    <m/>
    <n v="8454600"/>
    <m/>
    <m/>
    <n v="48613950"/>
    <n v="48613950"/>
    <n v="0"/>
    <n v="0"/>
    <n v="19126"/>
    <d v="2026-01-11T00:00:00"/>
    <n v="47627580"/>
    <n v="986370"/>
    <n v="16326"/>
    <d v="2026-01-22T00:00:00"/>
    <n v="47627580"/>
    <n v="986370"/>
    <n v="0"/>
    <s v="GARCIA MANZANO JESUS DANIEL"/>
    <s v="CO1.PCCNTR.8939338"/>
    <n v="48613950"/>
    <m/>
    <m/>
    <m/>
    <n v="1127280"/>
    <n v="1127280"/>
    <n v="-986370"/>
    <n v="4227300"/>
    <n v="4227300"/>
    <m/>
    <m/>
    <m/>
    <m/>
    <m/>
    <m/>
    <m/>
    <m/>
    <m/>
    <m/>
    <m/>
    <m/>
    <m/>
    <m/>
    <m/>
    <m/>
    <m/>
    <m/>
    <m/>
    <m/>
    <m/>
    <m/>
    <m/>
    <m/>
    <m/>
    <m/>
    <m/>
    <n v="47627580"/>
    <n v="5354580"/>
    <n v="5354580"/>
    <n v="42273000"/>
    <n v="0"/>
    <x v="0"/>
  </r>
  <r>
    <x v="0"/>
    <x v="2"/>
    <s v="Mejoramiento de la participación ciudadana en el modelo energético y de infraestructura energética, en el marco de la transición energética justa a nivel  nacional"/>
    <s v="Fondos"/>
    <s v="Sí"/>
    <s v="Sí"/>
    <n v="68"/>
    <s v="180-29"/>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29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1 - Otros recursos de tesorería"/>
    <n v="19712700"/>
    <n v="19712700"/>
    <s v="No"/>
    <s v="N/A"/>
    <s v="Manuel Peña Suarez"/>
    <s v="Jefe Oficina Gestión de Proyectos de Fondos"/>
    <n v="6012220620"/>
    <s v="manuel.pena@upme.govco"/>
    <n v="19712700"/>
    <n v="0"/>
    <n v="0"/>
    <n v="1642725"/>
    <n v="0"/>
    <n v="3285450"/>
    <n v="0"/>
    <n v="3285450"/>
    <n v="0"/>
    <n v="3285450"/>
    <n v="0"/>
    <n v="3285450"/>
    <n v="0"/>
    <n v="3285450"/>
    <n v="0"/>
    <n v="1642725"/>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1642725"/>
    <m/>
    <n v="3285450"/>
    <m/>
    <n v="3285450"/>
    <m/>
    <n v="3285450"/>
    <m/>
    <n v="3285450"/>
    <m/>
    <n v="3285450"/>
    <m/>
    <n v="1642725"/>
    <m/>
    <m/>
    <m/>
    <m/>
    <m/>
    <m/>
    <m/>
    <m/>
    <m/>
    <m/>
    <n v="19712700"/>
    <n v="19712700"/>
    <n v="0"/>
    <n v="0"/>
    <n v="45526"/>
    <d v="2026-01-19T00:00:00"/>
    <n v="19712700"/>
    <n v="0"/>
    <n v="34226"/>
    <d v="2026-01-29T00:00:00"/>
    <n v="19712700"/>
    <n v="0"/>
    <n v="0"/>
    <s v="CARVAJAL IBARRA MARLENY LIBERTAD"/>
    <s v="CO1.PCCNTR.9172570"/>
    <n v="19712700"/>
    <m/>
    <m/>
    <m/>
    <m/>
    <m/>
    <m/>
    <m/>
    <m/>
    <m/>
    <n v="3394965"/>
    <n v="3394965"/>
    <m/>
    <m/>
    <m/>
    <m/>
    <m/>
    <m/>
    <m/>
    <m/>
    <m/>
    <m/>
    <m/>
    <m/>
    <m/>
    <m/>
    <m/>
    <m/>
    <m/>
    <m/>
    <m/>
    <m/>
    <m/>
    <m/>
    <m/>
    <m/>
    <n v="19712700"/>
    <n v="3394965"/>
    <n v="3394965"/>
    <n v="16317735"/>
    <n v="0"/>
    <x v="0"/>
  </r>
  <r>
    <x v="0"/>
    <x v="2"/>
    <s v="Mejoramiento de la participación ciudadana en el modelo energético y de infraestructura energética, en el marco de la transición energética justa a nivel  nacional"/>
    <s v="Fondos"/>
    <s v="Sí"/>
    <s v="Sí"/>
    <n v="3"/>
    <s v="180-30"/>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30 Prestar servicios profesionales para llevar a cabo la evaluación técnica y financiera de proyectos energéticos que solicitan recursos a los fondos y mecanismos de financiación evaluados por la UPME, liderar en mesas técnicas, contribuir en la defin"/>
    <s v="Enero "/>
    <s v="Enero "/>
    <s v="Enero "/>
    <n v="6"/>
    <s v="Meses"/>
    <s v="Contratación directa - Prestación de servicios profesionales "/>
    <s v="Propios - 21 - Otros recursos de tesorería"/>
    <n v="37359000"/>
    <n v="37359000"/>
    <s v="No"/>
    <s v="N/A"/>
    <s v="Oscar Zabaleta"/>
    <s v="Jefe Oficina Gestión de Proyectos de Fondos"/>
    <n v="6012220607"/>
    <s v="oscar.zabaleta@upme.gov.co"/>
    <n v="0"/>
    <n v="0"/>
    <n v="37359000"/>
    <n v="0"/>
    <n v="0"/>
    <n v="6226500"/>
    <n v="0"/>
    <n v="6226500"/>
    <n v="0"/>
    <n v="6226500"/>
    <n v="0"/>
    <n v="6226500"/>
    <n v="0"/>
    <n v="6226500"/>
    <n v="0"/>
    <n v="6226500"/>
    <n v="0"/>
    <n v="0"/>
    <n v="0"/>
    <n v="0"/>
    <n v="0"/>
    <n v="0"/>
    <n v="0"/>
    <n v="0"/>
    <n v="37359000"/>
    <n v="37359000"/>
    <n v="0"/>
    <n v="0"/>
    <s v="Prestar servicios profesionales para llevar a cabo la evaluación técnica y financiera de proyectos energéticos que solicitan recursos a los fondos y mecanismos de financiación evaluados por la UPME, liderar en mesas técnicas, contribuir en la definición d"/>
    <m/>
    <m/>
    <n v="37359000"/>
    <m/>
    <m/>
    <n v="6226500"/>
    <m/>
    <n v="6226500"/>
    <m/>
    <n v="6226500"/>
    <m/>
    <n v="6226500"/>
    <m/>
    <n v="6226500"/>
    <m/>
    <n v="6226500"/>
    <m/>
    <m/>
    <m/>
    <m/>
    <m/>
    <m/>
    <m/>
    <m/>
    <m/>
    <m/>
    <n v="37359000"/>
    <n v="37359000"/>
    <n v="0"/>
    <n v="0"/>
    <n v="50526"/>
    <d v="2026-01-20T00:00:00"/>
    <n v="37359000"/>
    <n v="0"/>
    <n v="41326"/>
    <d v="2026-02-04T00:00:00"/>
    <n v="37359000"/>
    <n v="0"/>
    <n v="0"/>
    <s v="ANGULO ANGULO ANEIDER"/>
    <s v="CO1.PCCNTR.9254356"/>
    <m/>
    <m/>
    <m/>
    <n v="37359000"/>
    <m/>
    <m/>
    <m/>
    <n v="5396300"/>
    <n v="5396300"/>
    <m/>
    <n v="6226500"/>
    <n v="6226500"/>
    <m/>
    <m/>
    <m/>
    <m/>
    <m/>
    <m/>
    <m/>
    <m/>
    <m/>
    <m/>
    <m/>
    <m/>
    <m/>
    <m/>
    <m/>
    <m/>
    <m/>
    <m/>
    <m/>
    <m/>
    <m/>
    <m/>
    <m/>
    <m/>
    <n v="37359000"/>
    <n v="11622800"/>
    <n v="11622800"/>
    <n v="25736200"/>
    <n v="0"/>
    <x v="0"/>
  </r>
  <r>
    <x v="0"/>
    <x v="2"/>
    <s v="Mejoramiento de la participación ciudadana en el modelo energético y de infraestructura energética, en el marco de la transición energética justa a nivel  nacional"/>
    <s v="Fondos"/>
    <s v="Sí"/>
    <s v="Sí"/>
    <n v="68"/>
    <s v="180-31"/>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31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1 - Otros recursos de tesorería"/>
    <n v="53984700"/>
    <n v="53984700"/>
    <s v="No"/>
    <s v="N/A"/>
    <s v="Manuel Peña Suarez"/>
    <s v="Jefe Oficina Gestión de Proyectos de Fondos"/>
    <n v="6012220621"/>
    <s v="manuel.pena@upme.govco"/>
    <n v="53984700"/>
    <n v="0"/>
    <n v="0"/>
    <n v="4498725"/>
    <n v="0"/>
    <n v="8997450"/>
    <n v="0"/>
    <n v="8997450"/>
    <n v="0"/>
    <n v="8997450"/>
    <n v="0"/>
    <n v="8997450"/>
    <n v="0"/>
    <n v="8997450"/>
    <n v="0"/>
    <n v="4498725"/>
    <n v="0"/>
    <n v="0"/>
    <n v="0"/>
    <n v="0"/>
    <n v="0"/>
    <n v="0"/>
    <n v="0"/>
    <n v="0"/>
    <n v="53984700"/>
    <n v="539847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53984700"/>
    <m/>
    <m/>
    <n v="4498725"/>
    <m/>
    <n v="8997450"/>
    <m/>
    <n v="8997450"/>
    <m/>
    <n v="8997450"/>
    <m/>
    <n v="8997450"/>
    <m/>
    <n v="8997450"/>
    <m/>
    <n v="4498725"/>
    <m/>
    <m/>
    <m/>
    <m/>
    <m/>
    <m/>
    <m/>
    <m/>
    <m/>
    <m/>
    <n v="53984700"/>
    <n v="53984700"/>
    <n v="0"/>
    <n v="0"/>
    <n v="33026"/>
    <d v="2026-01-15T00:00:00"/>
    <n v="53984700"/>
    <n v="0"/>
    <n v="21426"/>
    <d v="2026-01-26T00:00:00"/>
    <n v="53984700"/>
    <n v="0"/>
    <n v="0"/>
    <s v="MERCADO ORTEGA JULIETA ALEXANDRA"/>
    <s v="CO1.PCCNTR.9064351"/>
    <n v="53984700"/>
    <m/>
    <m/>
    <m/>
    <n v="1199660"/>
    <n v="1199660"/>
    <m/>
    <n v="8997450"/>
    <n v="8997450"/>
    <m/>
    <n v="8997450"/>
    <n v="8997450"/>
    <m/>
    <m/>
    <m/>
    <m/>
    <m/>
    <m/>
    <m/>
    <m/>
    <m/>
    <m/>
    <m/>
    <m/>
    <m/>
    <m/>
    <m/>
    <m/>
    <m/>
    <m/>
    <m/>
    <m/>
    <m/>
    <m/>
    <m/>
    <m/>
    <n v="53984700"/>
    <n v="19194560"/>
    <n v="19194560"/>
    <n v="34790140"/>
    <n v="0"/>
    <x v="0"/>
  </r>
  <r>
    <x v="0"/>
    <x v="2"/>
    <s v="Mejoramiento de la participación ciudadana en el modelo energético y de infraestructura energética, en el marco de la transición energética justa a nivel  nacional"/>
    <s v="Fondos"/>
    <s v="Sí"/>
    <s v="Sí"/>
    <n v="68"/>
    <s v="180-32"/>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32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1 - Otros recursos de tesorería"/>
    <n v="47653200"/>
    <n v="47653200"/>
    <s v="No"/>
    <s v="N/A"/>
    <s v="Manuel Peña Suarez"/>
    <s v="Jefe Oficina Gestión de Proyectos de Fondos"/>
    <n v="6012220621"/>
    <s v="manuel.pena@upme.govco"/>
    <n v="47653200"/>
    <n v="0"/>
    <n v="0"/>
    <n v="3971100"/>
    <n v="0"/>
    <n v="7942200"/>
    <n v="0"/>
    <n v="7942200"/>
    <n v="0"/>
    <n v="7942200"/>
    <n v="0"/>
    <n v="7942200"/>
    <n v="0"/>
    <n v="7942200"/>
    <n v="0"/>
    <n v="3971100"/>
    <n v="0"/>
    <n v="0"/>
    <n v="0"/>
    <n v="0"/>
    <n v="0"/>
    <n v="0"/>
    <n v="0"/>
    <n v="0"/>
    <n v="47653200"/>
    <n v="476532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47653200"/>
    <m/>
    <m/>
    <n v="3971100"/>
    <m/>
    <n v="7942200"/>
    <m/>
    <n v="7942200"/>
    <m/>
    <n v="7942200"/>
    <m/>
    <n v="7942200"/>
    <m/>
    <n v="7942200"/>
    <m/>
    <n v="3971100"/>
    <m/>
    <m/>
    <m/>
    <m/>
    <m/>
    <m/>
    <m/>
    <m/>
    <m/>
    <m/>
    <n v="47653200"/>
    <n v="47653200"/>
    <n v="0"/>
    <n v="0"/>
    <n v="35726"/>
    <d v="2026-01-15T00:00:00"/>
    <n v="47653200"/>
    <n v="0"/>
    <n v="32226"/>
    <d v="2026-01-29T00:00:00"/>
    <n v="47653200"/>
    <n v="0"/>
    <n v="0"/>
    <s v="GUAYARA SANCHEZ MARIA CRISTINA"/>
    <s v="CO1.PCCNTR.9170392"/>
    <n v="47653200"/>
    <m/>
    <m/>
    <m/>
    <m/>
    <m/>
    <m/>
    <n v="8206940"/>
    <n v="8206940"/>
    <m/>
    <n v="7942200"/>
    <n v="7942200"/>
    <m/>
    <m/>
    <m/>
    <m/>
    <m/>
    <m/>
    <m/>
    <m/>
    <m/>
    <m/>
    <m/>
    <m/>
    <m/>
    <m/>
    <m/>
    <m/>
    <m/>
    <m/>
    <m/>
    <m/>
    <m/>
    <m/>
    <m/>
    <m/>
    <n v="47653200"/>
    <n v="16149140"/>
    <n v="16149140"/>
    <n v="31504060"/>
    <n v="0"/>
    <x v="0"/>
  </r>
  <r>
    <x v="0"/>
    <x v="2"/>
    <s v="Mejoramiento de la participación ciudadana en el modelo energético y de infraestructura energética, en el marco de la transición energética justa a nivel  nacional"/>
    <s v="Fondos"/>
    <s v="Sí"/>
    <s v="Sí"/>
    <n v="68"/>
    <s v="180-33"/>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33 Prestar servicios profesionales para la evaluación técnica y financiera de proyectos energéticos que solicitan recursos a los fondos y mecanismos de financiación evaluados por la UPME."/>
    <s v="Enero "/>
    <s v="Enero "/>
    <s v="Enero "/>
    <n v="11.5"/>
    <s v="Meses"/>
    <s v="Contratación directa - Prestación de servicios profesionales "/>
    <s v="Propios - 21 - Otros recursos de tesorería"/>
    <n v="37782675"/>
    <n v="37782675"/>
    <s v="No"/>
    <s v="N/A"/>
    <s v="Manuel Peña Suarez"/>
    <s v="Jefe Oficina Gestión de Proyectos de Fondos"/>
    <n v="6012220621"/>
    <s v="manuel.pena@upme.govco"/>
    <n v="36139950"/>
    <n v="0"/>
    <n v="0"/>
    <n v="1642725"/>
    <n v="0"/>
    <n v="3285450"/>
    <n v="0"/>
    <n v="3285450"/>
    <n v="0"/>
    <n v="3285450"/>
    <n v="0"/>
    <n v="3285450"/>
    <n v="0"/>
    <n v="3285450"/>
    <n v="0"/>
    <n v="3285450"/>
    <n v="0"/>
    <n v="3285450"/>
    <n v="0"/>
    <n v="3285450"/>
    <n v="0"/>
    <n v="3285450"/>
    <n v="1642725"/>
    <n v="6570900"/>
    <n v="37782675"/>
    <n v="37782675"/>
    <n v="0"/>
    <n v="0"/>
    <s v="Prestar servicios profesionales para la evaluación técnica y financiera de proyectos energéticos que solicitan recursos a los fondos y mecanismos de financiación evaluados por la UPME."/>
    <n v="36139950"/>
    <m/>
    <m/>
    <n v="1642725"/>
    <m/>
    <n v="3285450"/>
    <m/>
    <n v="3285450"/>
    <m/>
    <n v="3285450"/>
    <m/>
    <n v="3285450"/>
    <m/>
    <n v="3285450"/>
    <m/>
    <n v="3285450"/>
    <m/>
    <n v="3285450"/>
    <m/>
    <n v="3285450"/>
    <m/>
    <n v="3285450"/>
    <n v="1642725"/>
    <n v="6570900"/>
    <m/>
    <m/>
    <n v="37782675"/>
    <n v="37782675"/>
    <n v="0"/>
    <n v="0"/>
    <n v="36326"/>
    <d v="2026-01-15T00:00:00"/>
    <n v="37782675"/>
    <n v="0"/>
    <n v="30026"/>
    <d v="2026-01-28T00:00:00"/>
    <n v="36139950"/>
    <n v="1642725"/>
    <n v="1642725"/>
    <s v="GOMEZ VASQUEZ DIANA MILENA"/>
    <s v="CO1.PCCNTR.9071909"/>
    <n v="36139950"/>
    <m/>
    <m/>
    <m/>
    <m/>
    <m/>
    <m/>
    <n v="3394965"/>
    <n v="3394965"/>
    <m/>
    <n v="3285450"/>
    <n v="3285450"/>
    <m/>
    <m/>
    <m/>
    <m/>
    <m/>
    <m/>
    <m/>
    <m/>
    <m/>
    <m/>
    <m/>
    <m/>
    <m/>
    <m/>
    <m/>
    <m/>
    <m/>
    <m/>
    <m/>
    <m/>
    <m/>
    <m/>
    <m/>
    <m/>
    <n v="36139950"/>
    <n v="6680415"/>
    <n v="6680415"/>
    <n v="29459535"/>
    <n v="0"/>
    <x v="0"/>
  </r>
  <r>
    <x v="0"/>
    <x v="2"/>
    <s v="Mejoramiento de la participación ciudadana en el modelo energético y de infraestructura energética, en el marco de la transición energética justa a nivel  nacional"/>
    <s v="Fondos"/>
    <s v="Sí"/>
    <s v="Sí"/>
    <n v="68"/>
    <s v="180-34"/>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34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1 - Otros recursos de tesorería"/>
    <n v="19712700"/>
    <n v="19712700"/>
    <s v="No"/>
    <s v="N/A"/>
    <s v="Manuel Peña Suarez"/>
    <s v="Jefe Oficina Gestión de Proyectos de Fondos"/>
    <n v="6012220621"/>
    <s v="manuel.pena@upme.govco"/>
    <n v="19712700"/>
    <n v="0"/>
    <n v="0"/>
    <n v="1642725"/>
    <n v="0"/>
    <n v="3285450"/>
    <n v="0"/>
    <n v="3285450"/>
    <n v="0"/>
    <n v="3285450"/>
    <n v="0"/>
    <n v="3285450"/>
    <n v="0"/>
    <n v="3285450"/>
    <n v="0"/>
    <n v="1642725"/>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1642725"/>
    <m/>
    <n v="3285450"/>
    <m/>
    <n v="3285450"/>
    <m/>
    <n v="3285450"/>
    <m/>
    <n v="3285450"/>
    <m/>
    <n v="3285450"/>
    <m/>
    <n v="1642725"/>
    <m/>
    <m/>
    <m/>
    <m/>
    <m/>
    <m/>
    <m/>
    <m/>
    <m/>
    <m/>
    <n v="19712700"/>
    <n v="19712700"/>
    <n v="0"/>
    <n v="0"/>
    <n v="40126"/>
    <d v="2026-01-15T00:00:00"/>
    <n v="19712700"/>
    <n v="0"/>
    <n v="33526"/>
    <d v="2026-01-29T00:00:00"/>
    <n v="19712700"/>
    <n v="0"/>
    <n v="0"/>
    <s v="GARCIA HOYOS JHON JAIRO"/>
    <s v="CO1.PCCNTR.9171493"/>
    <n v="19712700"/>
    <m/>
    <m/>
    <m/>
    <m/>
    <m/>
    <m/>
    <n v="3394965"/>
    <n v="3394965"/>
    <m/>
    <n v="3285450"/>
    <n v="3285450"/>
    <m/>
    <m/>
    <m/>
    <m/>
    <m/>
    <m/>
    <m/>
    <m/>
    <m/>
    <m/>
    <m/>
    <m/>
    <m/>
    <m/>
    <m/>
    <m/>
    <m/>
    <m/>
    <m/>
    <m/>
    <m/>
    <m/>
    <m/>
    <m/>
    <n v="19712700"/>
    <n v="6680415"/>
    <n v="6680415"/>
    <n v="13032285"/>
    <n v="0"/>
    <x v="0"/>
  </r>
  <r>
    <x v="0"/>
    <x v="2"/>
    <s v="Mejoramiento de la participación ciudadana en el modelo energético y de infraestructura energética, en el marco de la transición energética justa a nivel  nacional"/>
    <s v="Fondos"/>
    <s v="Sí"/>
    <s v="Sí"/>
    <n v="7"/>
    <s v="180-35"/>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35 Prestar servicios profesionales para apoyar la evaluación de  proyectos en los componentes constructivos que solicitan recursos a los fondos y mecanismos de financiación evaluados por la UPME, ademas de la consolidación de información de referencia"/>
    <s v="Enero "/>
    <s v="Enero "/>
    <s v="Enero "/>
    <n v="6"/>
    <s v="Meses"/>
    <s v="Contratación directa - Prestación de servicios profesionales "/>
    <s v="Propios - 21 - Otros recursos de tesorería"/>
    <n v="19712700"/>
    <n v="19712700"/>
    <s v="No"/>
    <s v="N/A"/>
    <s v="Manuel Peña Suarez"/>
    <s v="Jefe Oficina Gestión de Proyectos de Fondos"/>
    <n v="6012220622"/>
    <s v="manuel.pena@upme.govco"/>
    <n v="0"/>
    <n v="0"/>
    <n v="0"/>
    <n v="0"/>
    <n v="0"/>
    <n v="0"/>
    <n v="0"/>
    <n v="0"/>
    <n v="0"/>
    <n v="0"/>
    <n v="19712700"/>
    <n v="3285450"/>
    <n v="0"/>
    <n v="3285450"/>
    <n v="0"/>
    <n v="3285450"/>
    <n v="0"/>
    <n v="3285450"/>
    <n v="0"/>
    <n v="3285450"/>
    <n v="0"/>
    <n v="3285450"/>
    <n v="0"/>
    <n v="0"/>
    <n v="19712700"/>
    <n v="19712700"/>
    <n v="0"/>
    <n v="0"/>
    <s v="Prestar servicios profesionales para apoyar la evaluación de  proyectos en los componentes constructivos que solicitan recursos a los fondos y mecanismos de financiación evaluados por la UPME, ademas de la consolidación de información de referencia de los"/>
    <m/>
    <m/>
    <m/>
    <m/>
    <m/>
    <m/>
    <m/>
    <m/>
    <m/>
    <m/>
    <n v="19712700"/>
    <n v="3285450"/>
    <m/>
    <n v="3285450"/>
    <m/>
    <n v="3285450"/>
    <m/>
    <n v="3285450"/>
    <m/>
    <n v="3285450"/>
    <m/>
    <n v="3285450"/>
    <m/>
    <m/>
    <m/>
    <m/>
    <n v="19712700"/>
    <n v="19712700"/>
    <n v="0"/>
    <n v="0"/>
    <n v="40026"/>
    <d v="2026-01-15T00:00:00"/>
    <m/>
    <n v="19712700"/>
    <m/>
    <m/>
    <n v="0"/>
    <n v="19712700"/>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6"/>
    <s v="180-36"/>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36 Prestar servicios profesionales para el desarrollo, implementación y mantenimiento de modelos geoespaciales en SIG basados en Python (scripts, modelos analíticos y flujos automatizados), orientados al análisis espacial requeridos en la Oficina de G"/>
    <s v="Enero "/>
    <s v="Enero "/>
    <s v="Enero "/>
    <n v="10"/>
    <s v="Meses"/>
    <s v="Contratación directa - Prestación de servicios profesionales "/>
    <s v="Propios - 21 - Otros recursos de tesorería"/>
    <n v="60000000"/>
    <n v="60000000"/>
    <s v="No"/>
    <s v="N/A"/>
    <s v="Manuel Peña Suarez"/>
    <s v="Jefe Oficina Gestión de Proyectos de Fondos"/>
    <n v="6012220622"/>
    <s v="manuel.pena@upme.govco"/>
    <n v="0"/>
    <n v="0"/>
    <n v="42273000"/>
    <n v="0"/>
    <n v="0"/>
    <n v="4227300"/>
    <n v="0"/>
    <n v="4227300"/>
    <n v="0"/>
    <n v="4227300"/>
    <n v="0"/>
    <n v="4227300"/>
    <n v="0"/>
    <n v="4227300"/>
    <n v="0"/>
    <n v="4227300"/>
    <n v="0"/>
    <n v="4227300"/>
    <n v="0"/>
    <n v="4227300"/>
    <n v="0"/>
    <n v="4227300"/>
    <n v="17727000"/>
    <n v="21954300"/>
    <n v="60000000"/>
    <n v="60000000"/>
    <n v="0"/>
    <n v="0"/>
    <s v="Prestar servicios profesionales para el desarrollo, implementación y mantenimiento de modelos geoespaciales en SIG basados en Python (scripts, modelos analíticos y flujos automatizados), orientados al análisis espacial requeridos en la Oficina de Gestión "/>
    <m/>
    <m/>
    <n v="42273000"/>
    <m/>
    <m/>
    <n v="4227300"/>
    <m/>
    <n v="4227300"/>
    <m/>
    <n v="4227300"/>
    <m/>
    <n v="4227300"/>
    <m/>
    <n v="4227300"/>
    <m/>
    <n v="4227300"/>
    <m/>
    <n v="4227300"/>
    <m/>
    <n v="4227300"/>
    <m/>
    <n v="4227300"/>
    <n v="17727000"/>
    <n v="21954300"/>
    <m/>
    <m/>
    <n v="60000000"/>
    <n v="60000000"/>
    <n v="0"/>
    <n v="0"/>
    <n v="57626"/>
    <d v="2026-01-23T00:00:00"/>
    <n v="60000000"/>
    <n v="0"/>
    <n v="42226"/>
    <d v="2026-02-05T00:00:00"/>
    <n v="42273000"/>
    <n v="17727000"/>
    <n v="17727000"/>
    <s v="CASALLAS CHAVEZ ANGIE NATALIA"/>
    <s v="CO1.PCCNTR.9233349"/>
    <m/>
    <m/>
    <m/>
    <n v="42273000"/>
    <m/>
    <m/>
    <m/>
    <n v="3663660"/>
    <n v="3663660"/>
    <m/>
    <n v="4227300"/>
    <n v="4227300"/>
    <m/>
    <m/>
    <m/>
    <m/>
    <m/>
    <m/>
    <m/>
    <m/>
    <m/>
    <m/>
    <m/>
    <m/>
    <m/>
    <m/>
    <m/>
    <m/>
    <m/>
    <m/>
    <m/>
    <m/>
    <m/>
    <m/>
    <m/>
    <m/>
    <n v="42273000"/>
    <n v="7890960"/>
    <n v="7890960"/>
    <n v="34382040"/>
    <n v="0"/>
    <x v="0"/>
  </r>
  <r>
    <x v="0"/>
    <x v="2"/>
    <s v="Mejoramiento de la participación ciudadana en el modelo energético y de infraestructura energética, en el marco de la transición energética justa a nivel  nacional"/>
    <s v="Fondos"/>
    <s v="No"/>
    <s v="Sí"/>
    <n v="68"/>
    <s v="180-37"/>
    <s v="Mejorar la capacidad de los interesados en formular proyectos de inversión en el sector energético."/>
    <s v="Documentos de Lineamientos Técnicos"/>
    <s v="Documento con los resultados de las validaciones."/>
    <s v="N/A"/>
    <s v="C-2102-1900-5-53106A-2102008-02"/>
    <s v="Planta Temporal"/>
    <s v="180-37 Gastos de personal de los empleos de la planta temporal"/>
    <s v="N/A"/>
    <s v="N/A"/>
    <s v="N/A"/>
    <s v="N/A"/>
    <s v="N/A"/>
    <s v="N/A"/>
    <s v="Propios - 21 - Otros recursos de tesorería"/>
    <n v="464024227"/>
    <n v="464024227"/>
    <s v="No"/>
    <s v="N/A"/>
    <s v="Manuel Peña Suarez"/>
    <s v="Jefe Oficina Gestión de Proyectos de Fondos"/>
    <n v="6012220622"/>
    <s v="manuel.pena@upme.govco"/>
    <n v="0"/>
    <n v="0"/>
    <n v="0"/>
    <n v="0"/>
    <n v="0"/>
    <n v="0"/>
    <n v="0"/>
    <n v="0"/>
    <n v="0"/>
    <n v="0"/>
    <n v="0"/>
    <n v="0"/>
    <n v="76975384"/>
    <n v="76975384"/>
    <n v="76975384"/>
    <n v="76975384"/>
    <n v="76975384"/>
    <n v="76975384"/>
    <n v="76975384"/>
    <n v="76975384"/>
    <n v="76975384"/>
    <n v="76975384"/>
    <n v="79147307"/>
    <n v="79147307"/>
    <n v="464024227"/>
    <n v="464024227"/>
    <n v="0"/>
    <n v="0"/>
    <s v="Gastos de personal de los empleos de la planta temporal"/>
    <m/>
    <m/>
    <m/>
    <m/>
    <m/>
    <m/>
    <m/>
    <m/>
    <m/>
    <m/>
    <m/>
    <m/>
    <n v="76975384"/>
    <n v="76975384"/>
    <n v="76975384"/>
    <n v="76975384"/>
    <n v="76975384"/>
    <n v="76975384"/>
    <n v="76975384"/>
    <n v="76975384"/>
    <n v="76975384"/>
    <n v="76975384"/>
    <n v="79147307"/>
    <n v="79147307"/>
    <m/>
    <m/>
    <n v="464024227"/>
    <n v="464024227"/>
    <n v="0"/>
    <n v="0"/>
    <m/>
    <m/>
    <m/>
    <n v="464024227"/>
    <m/>
    <m/>
    <n v="0"/>
    <n v="464024227"/>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No"/>
    <s v="Sí"/>
    <n v="68"/>
    <s v="180-38"/>
    <s v="Mejorar la capacidad de los interesados en formular proyectos de inversión en el sector energético."/>
    <s v="Documentos de Lineamientos Técnicos"/>
    <s v="Documento con los resultados de las validaciones."/>
    <s v="N/A"/>
    <s v="C-2102-1900-5-53106A-2102008-02"/>
    <s v="Planta Temporal"/>
    <s v="180-38 Gastos administrativos por puestos de trabajo empleos de la planta temporal"/>
    <s v="N/A"/>
    <s v="N/A"/>
    <s v="N/A"/>
    <s v="N/A"/>
    <s v="N/A"/>
    <s v="N/A"/>
    <s v="Propios - 21 - Otros recursos de tesorería"/>
    <n v="95793924"/>
    <n v="95793924"/>
    <s v="No"/>
    <s v="N/A"/>
    <s v="Manuel Peña Suarez"/>
    <s v="Jefe Oficina Gestión de Proyectos de Fondos"/>
    <n v="6012220622"/>
    <s v="manuel.pena@upme.govco"/>
    <n v="0"/>
    <n v="0"/>
    <n v="0"/>
    <n v="0"/>
    <n v="0"/>
    <n v="0"/>
    <n v="0"/>
    <n v="0"/>
    <n v="0"/>
    <n v="0"/>
    <n v="0"/>
    <n v="0"/>
    <n v="15965654"/>
    <n v="15965654"/>
    <n v="15965654"/>
    <n v="15965654"/>
    <n v="15965654"/>
    <n v="15965654"/>
    <n v="15965654"/>
    <n v="15965654"/>
    <n v="15965654"/>
    <n v="15965654"/>
    <n v="15965654"/>
    <n v="15965654"/>
    <n v="95793924"/>
    <n v="95793924"/>
    <n v="0"/>
    <n v="0"/>
    <s v="Gastos administrativos por puestos de trabajo empleos de la planta temporal"/>
    <m/>
    <m/>
    <m/>
    <m/>
    <m/>
    <m/>
    <m/>
    <m/>
    <m/>
    <m/>
    <m/>
    <m/>
    <n v="15965654"/>
    <n v="15965654"/>
    <n v="15965654"/>
    <n v="15965654"/>
    <n v="15965654"/>
    <n v="15965654"/>
    <n v="15965654"/>
    <n v="15965654"/>
    <n v="15965654"/>
    <n v="15965654"/>
    <n v="15965654"/>
    <n v="15965654"/>
    <m/>
    <m/>
    <n v="95793924"/>
    <n v="95793924"/>
    <n v="0"/>
    <n v="0"/>
    <m/>
    <m/>
    <m/>
    <n v="95793924"/>
    <m/>
    <m/>
    <n v="0"/>
    <n v="95793924"/>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68"/>
    <s v="180-39"/>
    <s v="Mejorar caracterización socio económica de los territorios en su desarrollo energético."/>
    <s v="Documentos de Planeación"/>
    <s v="Plan de trabajo."/>
    <n v="80111620"/>
    <s v="C-2102-1900-5-53106A-2102009-02"/>
    <s v="Prestación de servicios profesionales y/o de apoyo a la gestión"/>
    <s v="180-39 Prestar los servicios profesionales para asesorar la Oficina de Gestión de Proyectos de Fondos en el diseño, desarrollo y seguimiento de procesos de planeación energética y ampliación de cobertura de gas combustible y apoyo en definición de criteri"/>
    <s v="Enero "/>
    <s v="Enero "/>
    <s v="Enero "/>
    <n v="11.5"/>
    <s v="Meses"/>
    <s v="Contratación directa - Prestación de servicios profesionales "/>
    <s v="Propios - 21 - Otros recursos de tesorería"/>
    <n v="103470675"/>
    <n v="103470675"/>
    <s v="No"/>
    <s v="N/A"/>
    <s v="Manuel Peña Suarez"/>
    <s v="Jefe Oficina Gestión de Proyectos de Fondos"/>
    <n v="6012220622"/>
    <s v="manuel.pena@upme.govco"/>
    <n v="103470675"/>
    <n v="0"/>
    <n v="0"/>
    <n v="4498725"/>
    <n v="0"/>
    <n v="8997450"/>
    <n v="0"/>
    <n v="8997450"/>
    <n v="0"/>
    <n v="8997450"/>
    <n v="0"/>
    <n v="8997450"/>
    <n v="0"/>
    <n v="8997450"/>
    <n v="0"/>
    <n v="8997450"/>
    <n v="0"/>
    <n v="8997450"/>
    <n v="0"/>
    <n v="8997450"/>
    <n v="0"/>
    <n v="8997450"/>
    <n v="0"/>
    <n v="17994900"/>
    <n v="103470675"/>
    <n v="103470675"/>
    <n v="0"/>
    <n v="0"/>
    <s v="Prestar los servicios profesionales para asesorar la Oficina de Gestión de Proyectos de Fondos en el diseño, desarrollo y seguimiento de procesos de planeación energética y ampliación de cobertura de gas combustible y apoyo en definición de criterios acor"/>
    <n v="103470675"/>
    <m/>
    <m/>
    <n v="4498725"/>
    <m/>
    <n v="8997450"/>
    <m/>
    <n v="8997450"/>
    <m/>
    <n v="8997450"/>
    <m/>
    <n v="8997450"/>
    <m/>
    <n v="8997450"/>
    <m/>
    <n v="8997450"/>
    <m/>
    <n v="8997450"/>
    <m/>
    <n v="8997450"/>
    <m/>
    <n v="8997450"/>
    <m/>
    <n v="17994900"/>
    <m/>
    <m/>
    <n v="103470675"/>
    <n v="103470675"/>
    <n v="0"/>
    <n v="0"/>
    <n v="17026"/>
    <d v="2026-01-09T00:00:00"/>
    <n v="101971100"/>
    <n v="1499575"/>
    <n v="13626"/>
    <d v="2026-01-20T00:00:00"/>
    <n v="101971100"/>
    <n v="1499575"/>
    <n v="0"/>
    <s v="SOTELO SANCHEZ CESAR HERNAN"/>
    <s v="CO1.PCCNTR.8918270"/>
    <n v="103470675"/>
    <m/>
    <m/>
    <m/>
    <n v="2999150"/>
    <n v="2999150"/>
    <n v="-1499575"/>
    <n v="8997450"/>
    <n v="8997450"/>
    <m/>
    <n v="8997450"/>
    <n v="8997450"/>
    <m/>
    <m/>
    <m/>
    <m/>
    <m/>
    <m/>
    <m/>
    <m/>
    <m/>
    <m/>
    <m/>
    <m/>
    <m/>
    <m/>
    <m/>
    <m/>
    <m/>
    <m/>
    <m/>
    <m/>
    <m/>
    <m/>
    <m/>
    <m/>
    <n v="101971100"/>
    <n v="20994050"/>
    <n v="20994050"/>
    <n v="80977050"/>
    <n v="0"/>
    <x v="0"/>
  </r>
  <r>
    <x v="0"/>
    <x v="2"/>
    <s v="Mejoramiento de la participación ciudadana en el modelo energético y de infraestructura energética, en el marco de la transición energética justa a nivel  nacional"/>
    <s v="Fondos"/>
    <s v="Sí"/>
    <s v="Sí"/>
    <n v="68"/>
    <s v="180-40"/>
    <s v="Mejorar caracterización socio económica de los territorios en su desarrollo energético."/>
    <s v="Documentos de Planeación"/>
    <s v="Plan de trabajo."/>
    <n v="80111620"/>
    <s v="C-2102-1900-5-53106A-2102009-02"/>
    <s v="Prestación de servicios profesionales y/o de apoyo a la gestión"/>
    <s v="180-40 Prestar los servicios profesionales para asesorar a la Oficina de Gestión de Proyectos de Fondos en el diseño, desarrollo y seguimiento de procesos de planeación energética y definición de estrategias de energización de las regiones del país, apoya"/>
    <s v="Enero "/>
    <s v="Enero "/>
    <s v="Enero "/>
    <n v="11.5"/>
    <s v="Meses"/>
    <s v="Contratación directa - Prestación de servicios profesionales "/>
    <s v="Propios - 21 - Otros recursos de tesorería"/>
    <n v="103470675"/>
    <n v="103470675"/>
    <s v="No"/>
    <s v="N/A"/>
    <s v="Manuel Peña Suarez"/>
    <s v="Jefe Oficina Gestión de Proyectos de Fondos"/>
    <n v="6012220622"/>
    <s v="manuel.pena@upme.govco"/>
    <n v="103470675"/>
    <n v="0"/>
    <n v="0"/>
    <n v="4498725"/>
    <n v="0"/>
    <n v="8997450"/>
    <n v="0"/>
    <n v="8997450"/>
    <n v="0"/>
    <n v="8997450"/>
    <n v="0"/>
    <n v="8997450"/>
    <n v="0"/>
    <n v="8997450"/>
    <n v="0"/>
    <n v="8997450"/>
    <n v="0"/>
    <n v="8997450"/>
    <n v="0"/>
    <n v="8997450"/>
    <n v="0"/>
    <n v="8997450"/>
    <n v="0"/>
    <n v="17994900"/>
    <n v="103470675"/>
    <n v="103470675"/>
    <n v="0"/>
    <n v="0"/>
    <s v="Prestar los servicios profesionales para asesorar a la Oficina de Gestión de Proyectos de Fondos en el diseño, desarrollo y seguimiento de procesos de planeación energética y definición de estrategias de energización de las regiones del país, apoyando la "/>
    <n v="103470675"/>
    <m/>
    <m/>
    <n v="4498725"/>
    <m/>
    <n v="8997450"/>
    <m/>
    <n v="8997450"/>
    <m/>
    <n v="8997450"/>
    <m/>
    <n v="8997450"/>
    <m/>
    <n v="8997450"/>
    <m/>
    <n v="8997450"/>
    <m/>
    <n v="8997450"/>
    <m/>
    <n v="8997450"/>
    <m/>
    <n v="8997450"/>
    <m/>
    <n v="17994900"/>
    <m/>
    <m/>
    <n v="103470675"/>
    <n v="103470675"/>
    <n v="0"/>
    <n v="0"/>
    <n v="16326"/>
    <d v="2026-01-09T00:00:00"/>
    <n v="101071355"/>
    <n v="2399320"/>
    <n v="18326"/>
    <d v="2026-01-23T00:00:00"/>
    <n v="101071355"/>
    <n v="2399320"/>
    <n v="0"/>
    <s v="RAMIREZ YAIMA OLGA ESTELLA"/>
    <s v="CO1.PCCNTR.8996675"/>
    <n v="103470675"/>
    <m/>
    <m/>
    <m/>
    <m/>
    <m/>
    <n v="-2399320"/>
    <n v="11096855"/>
    <n v="11096855"/>
    <m/>
    <n v="8997450"/>
    <n v="8997450"/>
    <m/>
    <m/>
    <m/>
    <m/>
    <m/>
    <m/>
    <m/>
    <m/>
    <m/>
    <m/>
    <m/>
    <m/>
    <m/>
    <m/>
    <m/>
    <m/>
    <m/>
    <m/>
    <m/>
    <m/>
    <m/>
    <m/>
    <m/>
    <m/>
    <n v="101071355"/>
    <n v="20094305"/>
    <n v="20094305"/>
    <n v="80977050"/>
    <n v="0"/>
    <x v="0"/>
  </r>
  <r>
    <x v="0"/>
    <x v="2"/>
    <s v="Mejoramiento de la participación ciudadana en el modelo energético y de infraestructura energética, en el marco de la transición energética justa a nivel  nacional"/>
    <s v="Fondos"/>
    <s v="Sí"/>
    <s v="Sí"/>
    <n v="68"/>
    <s v="180-41"/>
    <s v="Mejorar caracterización socio económica de los territorios en su desarrollo energético."/>
    <s v="Documentos de Planeación"/>
    <s v="Plan de trabajo."/>
    <n v="81101516"/>
    <s v="C-2102-1900-5-53106A-2102009-02"/>
    <s v="Consultoría"/>
    <s v="180-41 Desarrollar estrategias de energización en la región como insumo para la planeación territorial"/>
    <s v="Junio"/>
    <s v="Junio"/>
    <s v="Julio"/>
    <n v="6"/>
    <s v="Meses"/>
    <s v="Contratación régimen especial (con ofertas)  - Régimen especial"/>
    <s v="Propios - 21 - Otros recursos de tesorería"/>
    <n v="195273050"/>
    <n v="195273050"/>
    <s v="No"/>
    <s v="N/A"/>
    <s v="Manuel Peña Suarez"/>
    <s v="Jefe Oficina Gestión de Proyectos de Fondos"/>
    <n v="6012220607"/>
    <s v="manuel.pena@upme.govco"/>
    <n v="0"/>
    <n v="0"/>
    <n v="0"/>
    <n v="0"/>
    <n v="0"/>
    <n v="0"/>
    <n v="0"/>
    <n v="0"/>
    <n v="0"/>
    <n v="0"/>
    <n v="0"/>
    <n v="0"/>
    <n v="195273050"/>
    <n v="0"/>
    <n v="0"/>
    <n v="100000000"/>
    <n v="0"/>
    <n v="50000000"/>
    <n v="0"/>
    <n v="45273050"/>
    <n v="0"/>
    <n v="0"/>
    <n v="0"/>
    <n v="0"/>
    <n v="195273050"/>
    <n v="195273050"/>
    <n v="0"/>
    <n v="0"/>
    <s v="Desarrollar estrategias de energización en la región como insumo para la planeación territorial"/>
    <m/>
    <m/>
    <m/>
    <m/>
    <m/>
    <m/>
    <m/>
    <m/>
    <m/>
    <m/>
    <m/>
    <m/>
    <n v="195273050"/>
    <m/>
    <m/>
    <n v="100000000"/>
    <m/>
    <n v="50000000"/>
    <m/>
    <n v="45273050"/>
    <m/>
    <m/>
    <m/>
    <m/>
    <m/>
    <m/>
    <n v="195273050"/>
    <n v="195273050"/>
    <n v="0"/>
    <n v="0"/>
    <m/>
    <m/>
    <m/>
    <n v="195273050"/>
    <m/>
    <m/>
    <n v="0"/>
    <n v="195273050"/>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68"/>
    <s v="180-42"/>
    <s v="Mejorar caracterización socio económica de los territorios en su desarrollo energético."/>
    <s v="Documentos de Planeación"/>
    <s v="Documento de planeación validado."/>
    <n v="81101516"/>
    <s v="C-2102-1900-5-53106A-2102009-02"/>
    <s v="Consultoría"/>
    <s v="180-42 Desarrollar estrategias de energización en la región como insumo para la planeación territorial"/>
    <s v="Junio"/>
    <s v="Junio"/>
    <s v="Julio"/>
    <n v="6"/>
    <s v="Meses"/>
    <s v="Contratación régimen especial (con ofertas)  - Régimen especial"/>
    <s v="Propios - 21 - Otros recursos de tesorería"/>
    <n v="605317665"/>
    <n v="605317665"/>
    <s v="No"/>
    <s v="N/A"/>
    <s v="Manuel Peña Suarez"/>
    <s v="Jefe Oficina Gestión de Proyectos de Fondos"/>
    <n v="6012220607"/>
    <s v="manuel.pena@upme.govco"/>
    <n v="0"/>
    <n v="0"/>
    <n v="0"/>
    <n v="0"/>
    <n v="0"/>
    <n v="0"/>
    <n v="0"/>
    <n v="0"/>
    <n v="0"/>
    <n v="0"/>
    <n v="0"/>
    <n v="0"/>
    <n v="605317665"/>
    <n v="0"/>
    <n v="0"/>
    <n v="200000000"/>
    <n v="0"/>
    <n v="200000000"/>
    <n v="0"/>
    <n v="205317665"/>
    <n v="0"/>
    <n v="0"/>
    <n v="0"/>
    <n v="0"/>
    <n v="605317665"/>
    <n v="605317665"/>
    <n v="0"/>
    <n v="0"/>
    <s v="Desarrollar estrategias de energización en la región como insumo para la planeación territorial"/>
    <m/>
    <m/>
    <m/>
    <m/>
    <m/>
    <m/>
    <m/>
    <m/>
    <m/>
    <m/>
    <m/>
    <m/>
    <n v="605317665"/>
    <m/>
    <m/>
    <n v="200000000"/>
    <m/>
    <n v="200000000"/>
    <m/>
    <n v="205317665"/>
    <m/>
    <m/>
    <m/>
    <m/>
    <m/>
    <m/>
    <n v="605317665"/>
    <n v="605317665"/>
    <n v="0"/>
    <n v="0"/>
    <m/>
    <m/>
    <m/>
    <n v="605317665"/>
    <m/>
    <m/>
    <n v="0"/>
    <n v="605317665"/>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3"/>
    <s v="180-43"/>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43 Prestar los servicios profesionales especializados a la Dirección General en los asuntos técnicos del sector energético, con énfasis en la planeación y la eficiencia energética."/>
    <s v="Enero "/>
    <s v="Enero "/>
    <s v="Enero "/>
    <n v="7"/>
    <s v="Meses"/>
    <s v="Contratación directa - Prestación de servicios profesionales "/>
    <s v="Propios - 21 - Otros recursos de tesorería"/>
    <n v="84000000"/>
    <n v="84000000"/>
    <s v="No"/>
    <s v="N/A"/>
    <s v="Oscar Zabaleta"/>
    <s v="Jefe Oficina Gestión de Proyectos de Fondos"/>
    <n v="6012220607"/>
    <s v="oscar.zabaleta@upme.gov.co"/>
    <n v="0"/>
    <n v="0"/>
    <n v="49000000"/>
    <n v="0"/>
    <n v="0"/>
    <n v="7000000"/>
    <n v="0"/>
    <n v="7000000"/>
    <n v="0"/>
    <n v="7000000"/>
    <n v="0"/>
    <n v="7000000"/>
    <n v="0"/>
    <n v="7000000"/>
    <n v="0"/>
    <n v="7000000"/>
    <n v="0"/>
    <n v="7000000"/>
    <n v="35000000"/>
    <n v="35000000"/>
    <n v="0"/>
    <n v="0"/>
    <n v="0"/>
    <n v="0"/>
    <n v="84000000"/>
    <n v="84000000"/>
    <n v="0"/>
    <n v="0"/>
    <s v="Prestar los servicios profesionales especializados a la Dirección General en los asuntos técnicos del sector energético, con énfasis en la planeación y la eficiencia energética."/>
    <m/>
    <m/>
    <n v="49000000"/>
    <m/>
    <m/>
    <n v="7000000"/>
    <m/>
    <n v="7000000"/>
    <m/>
    <n v="7000000"/>
    <m/>
    <n v="7000000"/>
    <m/>
    <n v="7000000"/>
    <m/>
    <n v="7000000"/>
    <m/>
    <n v="7000000"/>
    <n v="35000000"/>
    <n v="35000000"/>
    <m/>
    <m/>
    <m/>
    <m/>
    <m/>
    <m/>
    <n v="84000000"/>
    <n v="84000000"/>
    <n v="0"/>
    <n v="0"/>
    <n v="45626"/>
    <d v="2026-01-19T00:00:00"/>
    <n v="84000000"/>
    <n v="0"/>
    <n v="54826"/>
    <d v="2026-02-10T00:00:00"/>
    <n v="49000000"/>
    <n v="35000000"/>
    <n v="35000000"/>
    <s v="CHARRY VELASQUEZ ARLEYN"/>
    <s v="CO1.PCCNTR.9308593"/>
    <m/>
    <m/>
    <m/>
    <n v="49000000"/>
    <m/>
    <m/>
    <m/>
    <m/>
    <m/>
    <m/>
    <n v="11666667"/>
    <n v="11666667"/>
    <m/>
    <m/>
    <m/>
    <m/>
    <m/>
    <m/>
    <m/>
    <m/>
    <m/>
    <m/>
    <m/>
    <m/>
    <m/>
    <m/>
    <m/>
    <m/>
    <m/>
    <m/>
    <m/>
    <m/>
    <m/>
    <m/>
    <m/>
    <m/>
    <n v="49000000"/>
    <n v="11666667"/>
    <n v="11666667"/>
    <n v="37333333"/>
    <n v="0"/>
    <x v="0"/>
  </r>
  <r>
    <x v="0"/>
    <x v="2"/>
    <s v="Mejoramiento de la participación ciudadana en el modelo energético y de infraestructura energética, en el marco de la transición energética justa a nivel  nacional"/>
    <s v="Fondos"/>
    <s v="Sí"/>
    <s v="Sí"/>
    <n v="68"/>
    <s v="180-44"/>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44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6"/>
    <s v="Meses"/>
    <s v="Contratación régimen especial - Régimen especial"/>
    <s v="Propios - 21 - Otros recursos de tesorería"/>
    <n v="25363800"/>
    <n v="25363800"/>
    <s v="No"/>
    <s v="N/A"/>
    <s v="Manuel Peña Suarez"/>
    <s v="Jefe Oficina Gestión de Proyectos de Fondos"/>
    <n v="6012220607"/>
    <s v="manuel.pena@upme.govco"/>
    <n v="25363800"/>
    <n v="0"/>
    <n v="0"/>
    <n v="2113650"/>
    <n v="0"/>
    <n v="4227300"/>
    <n v="0"/>
    <n v="4227300"/>
    <n v="0"/>
    <n v="4227300"/>
    <n v="0"/>
    <n v="4227300"/>
    <n v="0"/>
    <n v="4227300"/>
    <n v="0"/>
    <n v="2113650"/>
    <n v="0"/>
    <n v="0"/>
    <n v="0"/>
    <n v="0"/>
    <n v="0"/>
    <n v="0"/>
    <n v="0"/>
    <n v="0"/>
    <n v="25363800"/>
    <n v="25363800"/>
    <n v="0"/>
    <n v="0"/>
    <s v="Prestar servicios profesionales para realizar en la evaluación técnica y financiera de proyectos energéticos que solicitan recursos a los fondos y mecanismos de financiación evaluados por la UPME, y apoyar las mesas técnicas en el marco de las actividades"/>
    <n v="25363800"/>
    <m/>
    <m/>
    <n v="2113650"/>
    <m/>
    <n v="4227300"/>
    <m/>
    <n v="4227300"/>
    <m/>
    <n v="4227300"/>
    <m/>
    <n v="4227300"/>
    <m/>
    <n v="4227300"/>
    <m/>
    <n v="2113650"/>
    <m/>
    <m/>
    <m/>
    <m/>
    <m/>
    <m/>
    <m/>
    <m/>
    <m/>
    <m/>
    <n v="25363800"/>
    <n v="25363800"/>
    <n v="0"/>
    <n v="0"/>
    <n v="45326"/>
    <d v="2026-01-17T00:00:00"/>
    <n v="25363800"/>
    <n v="0"/>
    <n v="33926"/>
    <d v="2026-01-29T00:00:00"/>
    <n v="25363800"/>
    <n v="0"/>
    <n v="0"/>
    <s v="PALACIOS MORENO JUAN CARLOS"/>
    <s v="CO1.PCCNTR.9172375"/>
    <n v="25363800"/>
    <m/>
    <m/>
    <m/>
    <m/>
    <m/>
    <m/>
    <n v="4368210"/>
    <n v="4368210"/>
    <m/>
    <n v="4227300"/>
    <n v="4227300"/>
    <m/>
    <m/>
    <m/>
    <m/>
    <m/>
    <m/>
    <m/>
    <m/>
    <m/>
    <m/>
    <m/>
    <m/>
    <m/>
    <m/>
    <m/>
    <m/>
    <m/>
    <m/>
    <m/>
    <m/>
    <m/>
    <m/>
    <m/>
    <m/>
    <n v="25363800"/>
    <n v="8595510"/>
    <n v="8595510"/>
    <n v="16768290"/>
    <n v="0"/>
    <x v="0"/>
  </r>
  <r>
    <x v="0"/>
    <x v="2"/>
    <s v="Mejoramiento de la participación ciudadana en el modelo energético y de infraestructura energética, en el marco de la transición energética justa a nivel  nacional"/>
    <s v="Fondos"/>
    <s v="Sí"/>
    <s v="Sí"/>
    <n v="3"/>
    <s v="180-45"/>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45  Prestar los servicios profesionales en la construcción de herramientas y documentos en el carácter social y político como mecanismo de unificación de criterios en la evaluación y estrategias de energización en los procesos de la Oficina de Gestión"/>
    <s v="Enero "/>
    <s v="Enero "/>
    <s v="Enero "/>
    <n v="6"/>
    <s v="Meses"/>
    <s v="Contratación directa - Prestación de servicios profesionales "/>
    <s v="Propios - 21 - Otros recursos de tesorería"/>
    <n v="37359000"/>
    <n v="37359000"/>
    <s v="No"/>
    <s v="N/A"/>
    <s v="Oscar Zabaleta"/>
    <s v="Jefe Oficina Gestión de Proyectos de Fondos"/>
    <n v="6012220607"/>
    <s v="oscar.zabaleta@upme.gov.co"/>
    <n v="0"/>
    <n v="0"/>
    <n v="37359000"/>
    <n v="3113250"/>
    <n v="0"/>
    <n v="6226500"/>
    <n v="0"/>
    <n v="6226500"/>
    <n v="0"/>
    <n v="6226500"/>
    <n v="0"/>
    <n v="6226500"/>
    <n v="0"/>
    <n v="6226500"/>
    <n v="0"/>
    <n v="3113250"/>
    <n v="0"/>
    <n v="0"/>
    <n v="0"/>
    <n v="0"/>
    <n v="0"/>
    <n v="0"/>
    <n v="0"/>
    <n v="0"/>
    <n v="37359000"/>
    <n v="37359000"/>
    <n v="0"/>
    <n v="0"/>
    <s v=" Prestar los servicios profesionales en la construcción de herramientas y documentos en el carácter social y político como mecanismo de unificación de criterios en la evaluación y estrategias de energización en los procesos de la Oficina de Gestión de Pro"/>
    <m/>
    <m/>
    <n v="37359000"/>
    <n v="3113250"/>
    <m/>
    <n v="6226500"/>
    <m/>
    <n v="6226500"/>
    <m/>
    <n v="6226500"/>
    <m/>
    <n v="6226500"/>
    <m/>
    <n v="6226500"/>
    <m/>
    <n v="3113250"/>
    <m/>
    <m/>
    <m/>
    <m/>
    <m/>
    <m/>
    <m/>
    <m/>
    <m/>
    <m/>
    <n v="37359000"/>
    <n v="37359000"/>
    <n v="0"/>
    <n v="0"/>
    <n v="45426"/>
    <d v="2026-01-17T00:00:00"/>
    <n v="37359000"/>
    <n v="0"/>
    <n v="43926"/>
    <d v="2026-02-05T00:00:00"/>
    <n v="37359000"/>
    <n v="0"/>
    <n v="0"/>
    <s v="MONTAÑO MORA AVINADAD"/>
    <s v="CO1.PCCNTR.9253051"/>
    <m/>
    <m/>
    <m/>
    <n v="37359000"/>
    <m/>
    <m/>
    <m/>
    <n v="5188750"/>
    <n v="5188750"/>
    <m/>
    <n v="6226500"/>
    <n v="6226500"/>
    <m/>
    <m/>
    <m/>
    <m/>
    <m/>
    <m/>
    <m/>
    <m/>
    <m/>
    <m/>
    <m/>
    <m/>
    <m/>
    <m/>
    <m/>
    <m/>
    <m/>
    <m/>
    <m/>
    <m/>
    <m/>
    <m/>
    <m/>
    <m/>
    <n v="37359000"/>
    <n v="11415250"/>
    <n v="11415250"/>
    <n v="25943750"/>
    <n v="0"/>
    <x v="0"/>
  </r>
  <r>
    <x v="0"/>
    <x v="2"/>
    <s v="Mejoramiento de la participación ciudadana en el modelo energético y de infraestructura energética, en el marco de la transición energética justa a nivel  nacional"/>
    <s v="Fondos"/>
    <s v="Sí"/>
    <s v="Sí"/>
    <n v="3"/>
    <s v="180-46"/>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46 Prestar los servicios profesionales para realizar el seguimiento y reporte de las actividades relacionadas con el proyecto de inversión y contractual de la Oficina de Gestión de Proyectos de Fondos de la UPME."/>
    <s v="Enero "/>
    <s v="Enero "/>
    <s v="Enero "/>
    <n v="6"/>
    <s v="Meses"/>
    <s v="Contratación directa - Prestación de servicios profesionales "/>
    <s v="Propios - 20 - Ingresos corrientes"/>
    <n v="34495387"/>
    <n v="34495387"/>
    <s v="No"/>
    <s v="N/A"/>
    <s v="Oscar Zabaleta"/>
    <s v="Jefe Oficina Gestión de Proyectos de Fondos"/>
    <n v="6012220607"/>
    <s v="oscar.zabaleta@upme.gov.co"/>
    <n v="34479900"/>
    <n v="0"/>
    <n v="0"/>
    <n v="5746650"/>
    <n v="0"/>
    <n v="5746650"/>
    <n v="0"/>
    <n v="5746650"/>
    <n v="0"/>
    <n v="5746650"/>
    <n v="0"/>
    <n v="5762137"/>
    <n v="0"/>
    <n v="5746650"/>
    <n v="0"/>
    <n v="0"/>
    <n v="0"/>
    <n v="0"/>
    <n v="0"/>
    <n v="0"/>
    <n v="0"/>
    <n v="0"/>
    <n v="15487"/>
    <n v="0"/>
    <n v="34495387"/>
    <n v="34495387"/>
    <n v="0"/>
    <n v="0"/>
    <s v="Prestar los servicios profesionales para realizar el seguimiento y reporte de las actividades relacionadas con el proyecto de inversión y contractual de la Oficina de Gestión de Proyectos de Fondos de la UPME."/>
    <n v="34479900"/>
    <m/>
    <m/>
    <n v="5746650"/>
    <m/>
    <n v="5746650"/>
    <m/>
    <n v="5746650"/>
    <m/>
    <n v="5746650"/>
    <m/>
    <n v="5762137"/>
    <m/>
    <n v="5746650"/>
    <m/>
    <m/>
    <m/>
    <m/>
    <m/>
    <m/>
    <m/>
    <m/>
    <n v="15487"/>
    <m/>
    <m/>
    <m/>
    <n v="34495387"/>
    <n v="34495387"/>
    <n v="0"/>
    <n v="0"/>
    <n v="62726"/>
    <d v="2026-01-23T00:00:00"/>
    <n v="34495387"/>
    <n v="0"/>
    <n v="34126"/>
    <d v="2026-01-29T00:00:00"/>
    <n v="34479900"/>
    <n v="15487"/>
    <n v="15487"/>
    <s v="CADENA SERRANO YECENIA"/>
    <s v="CO1.PCCNTR.9172561"/>
    <n v="34479900"/>
    <m/>
    <m/>
    <m/>
    <m/>
    <m/>
    <m/>
    <n v="5938205"/>
    <n v="5938205"/>
    <m/>
    <n v="5746650"/>
    <n v="5746650"/>
    <m/>
    <m/>
    <m/>
    <m/>
    <m/>
    <m/>
    <m/>
    <m/>
    <m/>
    <m/>
    <m/>
    <m/>
    <m/>
    <m/>
    <m/>
    <m/>
    <m/>
    <m/>
    <m/>
    <m/>
    <m/>
    <m/>
    <m/>
    <m/>
    <n v="34479900"/>
    <n v="11684855"/>
    <n v="11684855"/>
    <n v="22795045"/>
    <n v="0"/>
    <x v="0"/>
  </r>
  <r>
    <x v="0"/>
    <x v="2"/>
    <s v="Mejoramiento de la participación ciudadana en el modelo energético y de infraestructura energética, en el marco de la transición energética justa a nivel  nacional"/>
    <s v="Fondos"/>
    <s v="Sí"/>
    <s v="Sí"/>
    <n v="3"/>
    <s v="180-47"/>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 - 47 Prestar servicios profesionales para realizar la evaluación técnica y financiera de proyectos energéticos que solicitan recursos a los fondos y mecanismos de financiación evaluados por la UPME, y participar en mesas técnicas."/>
    <s v="Enero "/>
    <s v="Enero "/>
    <s v="Enero "/>
    <n v="6"/>
    <s v="Meses"/>
    <s v="Contratación directa - Prestación de servicios profesionales "/>
    <s v="Propios - 20 - Ingresos corrientes"/>
    <n v="34495388"/>
    <n v="34495388"/>
    <s v="No"/>
    <s v="N/A"/>
    <s v="Oscar Zabaleta"/>
    <s v="Jefe Oficina Gestión de Proyectos de Fondos (E)"/>
    <n v="6012220607"/>
    <s v="oscar.zabaleta@upme.gov.co"/>
    <n v="0"/>
    <n v="0"/>
    <n v="34495388"/>
    <n v="5746650"/>
    <n v="0"/>
    <n v="5746650"/>
    <n v="0"/>
    <n v="5746650"/>
    <n v="0"/>
    <n v="5746650"/>
    <n v="0"/>
    <n v="5762138"/>
    <n v="0"/>
    <n v="5746650"/>
    <n v="0"/>
    <n v="0"/>
    <n v="0"/>
    <n v="0"/>
    <n v="0"/>
    <n v="0"/>
    <n v="0"/>
    <n v="0"/>
    <n v="0"/>
    <n v="0"/>
    <n v="34495388"/>
    <n v="34495388"/>
    <n v="0"/>
    <n v="0"/>
    <s v="- 47 Prestar servicios profesionales para realizar la evaluación técnica y financiera de proyectos energéticos que solicitan recursos a los fondos y mecanismos de financiación evaluados por la UPME, y participar en mesas técnicas."/>
    <m/>
    <m/>
    <n v="34495388"/>
    <n v="5746650"/>
    <m/>
    <n v="5746650"/>
    <m/>
    <n v="5746650"/>
    <m/>
    <n v="5746650"/>
    <m/>
    <n v="5762138"/>
    <m/>
    <n v="5746650"/>
    <m/>
    <m/>
    <m/>
    <m/>
    <m/>
    <m/>
    <m/>
    <m/>
    <m/>
    <m/>
    <m/>
    <m/>
    <n v="34495388"/>
    <n v="34495388"/>
    <n v="0"/>
    <n v="0"/>
    <n v="45926"/>
    <d v="2026-01-19T00:00:00"/>
    <n v="34495388"/>
    <n v="0"/>
    <n v="41026"/>
    <d v="2026-02-04T00:00:00"/>
    <n v="34479900"/>
    <n v="15488"/>
    <n v="15488"/>
    <s v="GUZMAN HERAZO JAQUELINE DEL CARMEN"/>
    <s v="CO1.PCCNTR.9254811"/>
    <m/>
    <m/>
    <m/>
    <n v="34479900"/>
    <m/>
    <m/>
    <m/>
    <m/>
    <m/>
    <m/>
    <n v="10727080"/>
    <n v="10727080"/>
    <m/>
    <m/>
    <m/>
    <m/>
    <m/>
    <m/>
    <m/>
    <m/>
    <m/>
    <m/>
    <m/>
    <m/>
    <m/>
    <m/>
    <m/>
    <m/>
    <m/>
    <m/>
    <m/>
    <m/>
    <m/>
    <m/>
    <m/>
    <m/>
    <n v="34479900"/>
    <n v="10727080"/>
    <n v="10727080"/>
    <n v="23752820"/>
    <n v="0"/>
    <x v="0"/>
  </r>
  <r>
    <x v="0"/>
    <x v="2"/>
    <s v="Mejoramiento de la participación ciudadana en el modelo energético y de infraestructura energética, en el marco de la transición energética justa a nivel  nacional"/>
    <s v="Fondos"/>
    <s v="Sí"/>
    <s v="Sí"/>
    <n v="3"/>
    <s v="180-48"/>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48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19712700"/>
    <n v="0"/>
    <n v="0"/>
    <n v="3942540"/>
    <n v="0"/>
    <n v="3942540"/>
    <n v="0"/>
    <n v="3942540"/>
    <n v="0"/>
    <n v="3942540"/>
    <n v="0"/>
    <n v="3942540"/>
    <n v="0"/>
    <n v="0"/>
    <n v="0"/>
    <n v="0"/>
    <n v="0"/>
    <n v="0"/>
    <n v="0"/>
    <n v="0"/>
    <n v="0"/>
    <n v="0"/>
    <n v="19712700"/>
    <n v="19712700"/>
    <n v="0"/>
    <n v="0"/>
    <s v="Prestar servicios profesionales para la evaluación técnica y financiera de proyectos energéticos que solicitan recursos a los fondos y mecanismos de financiación evaluados por la UPME."/>
    <m/>
    <m/>
    <n v="19712700"/>
    <m/>
    <m/>
    <n v="3942540"/>
    <m/>
    <n v="3942540"/>
    <m/>
    <n v="3942540"/>
    <m/>
    <n v="3942540"/>
    <m/>
    <n v="3942540"/>
    <m/>
    <m/>
    <m/>
    <m/>
    <m/>
    <m/>
    <m/>
    <m/>
    <m/>
    <m/>
    <m/>
    <m/>
    <n v="19712700"/>
    <n v="19712700"/>
    <n v="0"/>
    <n v="0"/>
    <n v="63826"/>
    <d v="2026-01-23T00:00:00"/>
    <n v="19712700"/>
    <n v="0"/>
    <n v="54926"/>
    <d v="2026-02-10T00:00:00"/>
    <n v="19712700"/>
    <n v="0"/>
    <n v="0"/>
    <s v="QUINONES VALENTIERRA JOHN EDINSON"/>
    <s v="CO1.PCCNTR.9285323"/>
    <m/>
    <m/>
    <m/>
    <n v="19712700"/>
    <m/>
    <m/>
    <m/>
    <n v="2190300"/>
    <n v="2190300"/>
    <m/>
    <m/>
    <m/>
    <m/>
    <m/>
    <m/>
    <m/>
    <m/>
    <m/>
    <m/>
    <m/>
    <m/>
    <m/>
    <m/>
    <m/>
    <m/>
    <m/>
    <m/>
    <m/>
    <m/>
    <m/>
    <m/>
    <m/>
    <m/>
    <m/>
    <m/>
    <m/>
    <n v="19712700"/>
    <n v="2190300"/>
    <n v="2190300"/>
    <n v="17522400"/>
    <n v="0"/>
    <x v="0"/>
  </r>
  <r>
    <x v="0"/>
    <x v="2"/>
    <s v="Mejoramiento de la participación ciudadana en el modelo energético y de infraestructura energética, en el marco de la transición energética justa a nivel  nacional"/>
    <s v="Fondos"/>
    <s v="Sí"/>
    <s v="Sí"/>
    <n v="3"/>
    <s v="180-49"/>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49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0"/>
    <n v="0"/>
    <n v="0"/>
    <n v="0"/>
    <n v="0"/>
    <n v="0"/>
    <n v="0"/>
    <n v="0"/>
    <n v="19712700"/>
    <n v="0"/>
    <n v="0"/>
    <n v="3285450"/>
    <n v="0"/>
    <n v="3285450"/>
    <n v="0"/>
    <n v="3285450"/>
    <n v="0"/>
    <n v="3285450"/>
    <n v="0"/>
    <n v="3285450"/>
    <n v="0"/>
    <n v="3285450"/>
    <n v="19712700"/>
    <n v="19712700"/>
    <n v="0"/>
    <n v="0"/>
    <s v="Prestar servicios profesionales para la evaluación técnica y financiera de proyectos energéticos que solicitan recursos a los fondos y mecanismos de financiación evaluados por la UPME."/>
    <m/>
    <m/>
    <m/>
    <m/>
    <m/>
    <m/>
    <m/>
    <m/>
    <m/>
    <m/>
    <n v="19712700"/>
    <m/>
    <m/>
    <n v="3285450"/>
    <m/>
    <n v="3285450"/>
    <m/>
    <n v="3285450"/>
    <m/>
    <n v="3285450"/>
    <m/>
    <n v="3285450"/>
    <m/>
    <n v="3285450"/>
    <m/>
    <m/>
    <n v="19712700"/>
    <n v="19712700"/>
    <n v="0"/>
    <n v="0"/>
    <m/>
    <m/>
    <m/>
    <n v="19712700"/>
    <m/>
    <m/>
    <n v="0"/>
    <n v="19712700"/>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3"/>
    <s v="180-50"/>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50 Prestar los servicios profesionales como enlace en la Region Pacifico en la implementación de la estrategia de comunicación de la UPME al Territorio, orientada a fortalecer la transparencia de los procesos de planeación minero-energética mediante 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19712700"/>
    <n v="0"/>
    <n v="0"/>
    <n v="3285450"/>
    <n v="0"/>
    <n v="3285450"/>
    <n v="0"/>
    <n v="3285450"/>
    <n v="0"/>
    <n v="3285450"/>
    <n v="0"/>
    <n v="3285450"/>
    <n v="0"/>
    <n v="3285450"/>
    <n v="0"/>
    <n v="0"/>
    <n v="0"/>
    <n v="0"/>
    <n v="0"/>
    <n v="0"/>
    <n v="0"/>
    <n v="0"/>
    <n v="19712700"/>
    <n v="19712700"/>
    <n v="0"/>
    <n v="0"/>
    <s v="Prestar los servicios profesionales como enlace en la Region Pacifico en la implementación de la estrategia de comunicación de la UPME al Territorio, orientada a fortalecer la transparencia de los procesos de planeación minero-energética mediante el desar"/>
    <m/>
    <m/>
    <n v="19712700"/>
    <m/>
    <m/>
    <n v="3285450"/>
    <m/>
    <n v="3285450"/>
    <m/>
    <n v="3285450"/>
    <m/>
    <n v="3285450"/>
    <m/>
    <n v="3285450"/>
    <m/>
    <n v="3285450"/>
    <m/>
    <m/>
    <m/>
    <m/>
    <m/>
    <m/>
    <m/>
    <m/>
    <m/>
    <m/>
    <n v="19712700"/>
    <n v="19712700"/>
    <n v="0"/>
    <n v="0"/>
    <n v="55426"/>
    <d v="2026-01-22T00:00:00"/>
    <n v="19712700"/>
    <n v="0"/>
    <n v="46926"/>
    <d v="2026-02-06T00:00:00"/>
    <n v="19605950"/>
    <n v="106750"/>
    <n v="106750"/>
    <s v="ORTEGA OSPINA JUAN DAVID"/>
    <s v="CO1.PCCNTR.9268554"/>
    <m/>
    <m/>
    <m/>
    <n v="19605950"/>
    <m/>
    <m/>
    <m/>
    <n v="2782780"/>
    <n v="2782780"/>
    <m/>
    <n v="3794700"/>
    <n v="3794700"/>
    <m/>
    <m/>
    <m/>
    <m/>
    <m/>
    <m/>
    <m/>
    <m/>
    <m/>
    <m/>
    <m/>
    <m/>
    <m/>
    <m/>
    <m/>
    <m/>
    <m/>
    <m/>
    <m/>
    <m/>
    <m/>
    <m/>
    <m/>
    <m/>
    <n v="19605950"/>
    <n v="6577480"/>
    <n v="6577480"/>
    <n v="13028470"/>
    <n v="0"/>
    <x v="0"/>
  </r>
  <r>
    <x v="0"/>
    <x v="2"/>
    <s v="Mejoramiento de la participación ciudadana en el modelo energético y de infraestructura energética, en el marco de la transición energética justa a nivel  nacional"/>
    <s v="Fondos"/>
    <s v="Sí"/>
    <s v="Sí"/>
    <n v="3"/>
    <s v="180-51"/>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51 Prestar sus servicios profesionales especializados a la Dirección General en asuntos técnicos del sector energético, con énfasis en la planeación eléctrica y/o la integración territorial de variables energéticas."/>
    <s v="Enero "/>
    <s v="Enero "/>
    <s v="Enero "/>
    <n v="6"/>
    <s v="Meses"/>
    <s v="Contratación directa - Prestación de servicios profesionales "/>
    <s v="Propios - 20 - Ingresos corrientes"/>
    <n v="53762100"/>
    <n v="53762100"/>
    <s v="No"/>
    <s v="N/A"/>
    <s v="Oscar Zabaleta"/>
    <s v="Jefe Oficina Gestión de Proyectos de Fondos (E)"/>
    <n v="6012220607"/>
    <s v="oscar.zabaleta@upme.gov.co"/>
    <n v="0"/>
    <n v="0"/>
    <n v="53762100"/>
    <n v="0"/>
    <n v="0"/>
    <n v="8997450"/>
    <n v="0"/>
    <n v="8997450"/>
    <n v="0"/>
    <n v="8997450"/>
    <n v="0"/>
    <n v="8774850"/>
    <n v="0"/>
    <n v="8997450"/>
    <n v="0"/>
    <n v="8997450"/>
    <n v="0"/>
    <n v="0"/>
    <n v="0"/>
    <n v="0"/>
    <n v="0"/>
    <n v="0"/>
    <n v="0"/>
    <n v="0"/>
    <n v="53762100"/>
    <n v="53762100"/>
    <n v="0"/>
    <n v="0"/>
    <s v="Prestar sus servicios profesionales especializados a la Dirección General en asuntos técnicos del sector energético, con énfasis en la planeación eléctrica y/o la integración territorial de variables energéticas."/>
    <m/>
    <m/>
    <n v="53762100"/>
    <m/>
    <m/>
    <n v="8997450"/>
    <m/>
    <n v="8997450"/>
    <m/>
    <n v="8997450"/>
    <m/>
    <n v="8774850"/>
    <m/>
    <n v="8997450"/>
    <m/>
    <n v="8997450"/>
    <m/>
    <m/>
    <m/>
    <m/>
    <m/>
    <m/>
    <m/>
    <m/>
    <m/>
    <m/>
    <n v="53762100"/>
    <n v="53762100"/>
    <n v="0"/>
    <n v="0"/>
    <n v="50626"/>
    <d v="2026-01-20T00:00:00"/>
    <n v="53762100"/>
    <n v="0"/>
    <n v="51826"/>
    <d v="2026-02-09T00:00:00"/>
    <n v="53762100"/>
    <n v="0"/>
    <n v="0"/>
    <s v="ORJUELA LOPEZ LUIS ALBERTO"/>
    <s v="CO1.PCCNTR.9171620"/>
    <m/>
    <m/>
    <m/>
    <n v="53762100"/>
    <m/>
    <m/>
    <m/>
    <m/>
    <m/>
    <m/>
    <n v="15295665"/>
    <n v="15295665"/>
    <m/>
    <m/>
    <m/>
    <m/>
    <m/>
    <m/>
    <m/>
    <m/>
    <m/>
    <m/>
    <m/>
    <m/>
    <m/>
    <m/>
    <m/>
    <m/>
    <m/>
    <m/>
    <m/>
    <m/>
    <m/>
    <m/>
    <m/>
    <m/>
    <n v="53762100"/>
    <n v="15295665"/>
    <n v="15295665"/>
    <n v="38466435"/>
    <n v="0"/>
    <x v="0"/>
  </r>
  <r>
    <x v="0"/>
    <x v="2"/>
    <s v="Mejoramiento de la participación ciudadana en el modelo energético y de infraestructura energética, en el marco de la transición energética justa a nivel  nacional"/>
    <s v="Fondos"/>
    <s v="Sí"/>
    <s v="Sí"/>
    <n v="3"/>
    <s v="180-52"/>
    <s v="Mejorar la capacidad de los interesados en formular proyectos de inversión en el sector energético."/>
    <s v="Documentos de Lineamientos Técnicos"/>
    <s v="Documento con los resultados de las validaciones."/>
    <n v="80111620"/>
    <s v="C-2102-1900-5-53106A-2102008-02"/>
    <s v="Prestación de servicios profesionales y/o de apoyo a la gestión"/>
    <s v="180-52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19712700"/>
    <n v="0"/>
    <n v="0"/>
    <n v="3285450"/>
    <n v="0"/>
    <n v="3285450"/>
    <n v="0"/>
    <n v="3285450"/>
    <n v="0"/>
    <n v="3285450"/>
    <n v="0"/>
    <n v="3285450"/>
    <n v="0"/>
    <n v="3285450"/>
    <n v="0"/>
    <n v="0"/>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3285450"/>
    <m/>
    <n v="3285450"/>
    <m/>
    <n v="3285450"/>
    <m/>
    <n v="3285450"/>
    <m/>
    <n v="3285450"/>
    <m/>
    <n v="3285450"/>
    <m/>
    <m/>
    <m/>
    <m/>
    <m/>
    <m/>
    <m/>
    <m/>
    <m/>
    <m/>
    <m/>
    <m/>
    <n v="19712700"/>
    <n v="19712700"/>
    <n v="0"/>
    <n v="0"/>
    <n v="46426"/>
    <d v="2026-01-19T00:00:00"/>
    <n v="19712700"/>
    <n v="0"/>
    <n v="34326"/>
    <d v="2026-01-29T00:00:00"/>
    <n v="19712700"/>
    <n v="0"/>
    <n v="0"/>
    <s v="SALAZAR CHAVEZ DAVID GUSTAVO"/>
    <s v="CO1.PCCNTR.9173013"/>
    <n v="19712700"/>
    <m/>
    <m/>
    <m/>
    <m/>
    <m/>
    <m/>
    <n v="3175935"/>
    <n v="3175935"/>
    <m/>
    <n v="3285450"/>
    <n v="3285450"/>
    <m/>
    <m/>
    <m/>
    <m/>
    <m/>
    <m/>
    <m/>
    <m/>
    <m/>
    <m/>
    <m/>
    <m/>
    <m/>
    <m/>
    <m/>
    <m/>
    <m/>
    <m/>
    <m/>
    <m/>
    <m/>
    <m/>
    <m/>
    <m/>
    <n v="19712700"/>
    <n v="6461385"/>
    <n v="6461385"/>
    <n v="13251315"/>
    <n v="0"/>
    <x v="0"/>
  </r>
  <r>
    <x v="0"/>
    <x v="2"/>
    <s v="Mejoramiento de la participación ciudadana en el modelo energético y de infraestructura energética, en el marco de la transición energética justa a nivel  nacional"/>
    <s v="Fondos"/>
    <s v="Sí"/>
    <s v="Sí"/>
    <n v="3"/>
    <s v="180-53"/>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53 Prestar sus servicios profesionales especializados a la Dirección General en asuntos técnicos del sector energético, con énfasis en la planeación eléctrica y/o la integración territorial de variables energéticas."/>
    <s v="Enero "/>
    <s v="Enero "/>
    <s v="Enero "/>
    <n v="4"/>
    <s v="Meses"/>
    <s v="Contratación directa - Prestación de servicios profesionales "/>
    <s v="Propios - 21 - Otros recursos de tesorería"/>
    <n v="44987250"/>
    <n v="44987250"/>
    <s v="No"/>
    <s v="N/A"/>
    <s v="Oscar Zabaleta"/>
    <s v="Jefe Oficina Gestión de Proyectos de Fondos (E)"/>
    <n v="6012220607"/>
    <s v="oscar.zabaleta@upme.gov.co"/>
    <n v="0"/>
    <n v="0"/>
    <n v="44987250"/>
    <n v="0"/>
    <n v="0"/>
    <n v="0"/>
    <n v="0"/>
    <n v="0"/>
    <n v="0"/>
    <n v="0"/>
    <n v="0"/>
    <n v="0"/>
    <n v="0"/>
    <n v="0"/>
    <n v="0"/>
    <n v="0"/>
    <n v="0"/>
    <n v="8997450"/>
    <n v="0"/>
    <n v="8997450"/>
    <n v="0"/>
    <n v="8997450"/>
    <n v="0"/>
    <n v="17994900"/>
    <n v="44987250"/>
    <n v="44987250"/>
    <n v="0"/>
    <n v="0"/>
    <s v="Prestar sus servicios profesionales especializados a la Dirección General en asuntos técnicos del sector energético, con énfasis en la planeación eléctrica y/o la integración territorial de variables energéticas."/>
    <m/>
    <m/>
    <n v="44987250"/>
    <m/>
    <m/>
    <m/>
    <m/>
    <m/>
    <m/>
    <m/>
    <m/>
    <m/>
    <m/>
    <m/>
    <m/>
    <m/>
    <m/>
    <n v="8997450"/>
    <m/>
    <n v="8997450"/>
    <m/>
    <n v="8997450"/>
    <m/>
    <n v="17994900"/>
    <m/>
    <m/>
    <n v="44987250"/>
    <n v="44987250"/>
    <n v="0"/>
    <n v="0"/>
    <n v="50626"/>
    <d v="2026-01-20T00:00:00"/>
    <n v="44987250"/>
    <n v="0"/>
    <n v="51826"/>
    <d v="2026-02-09T00:00:00"/>
    <n v="44909935"/>
    <n v="77315"/>
    <n v="77315"/>
    <s v="ORJUELA LOPEZ LUIS ALBERTO"/>
    <s v="CO1.PCCNTR.9171620"/>
    <m/>
    <m/>
    <m/>
    <n v="44909935"/>
    <m/>
    <m/>
    <m/>
    <m/>
    <m/>
    <m/>
    <m/>
    <m/>
    <m/>
    <m/>
    <m/>
    <m/>
    <m/>
    <m/>
    <m/>
    <m/>
    <m/>
    <m/>
    <m/>
    <m/>
    <m/>
    <m/>
    <m/>
    <m/>
    <m/>
    <m/>
    <m/>
    <m/>
    <m/>
    <m/>
    <m/>
    <m/>
    <n v="44909935"/>
    <n v="0"/>
    <n v="0"/>
    <n v="44909935"/>
    <n v="0"/>
    <x v="0"/>
  </r>
  <r>
    <x v="0"/>
    <x v="2"/>
    <s v="Mejoramiento de la participación ciudadana en el modelo energético y de infraestructura energética, en el marco de la transición energética justa a nivel  nacional"/>
    <s v="Fondos"/>
    <s v="Sí"/>
    <s v="Sí"/>
    <n v="4"/>
    <s v="180-54"/>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54 Prestar servicios profesionales para llevar a cabo la evaluación técnica y financiera de proyectos del sector de energia electrica que solicitan recursos a los fondos y mecanismos de financiación evaluados por la UPME, así como liderar las mesas té"/>
    <s v="Enero "/>
    <s v="Enero "/>
    <s v="Enero "/>
    <n v="6"/>
    <s v="Meses"/>
    <s v="Contratación directa - Prestación de servicios profesionales "/>
    <s v="Propios - 21 - Otros recursos de tesorería"/>
    <n v="53984700"/>
    <n v="53984700"/>
    <s v="No"/>
    <s v="N/A"/>
    <s v="Oscar Zabaleta"/>
    <s v="Jefe Oficina Gestión de Proyectos de Fondos (E)"/>
    <n v="6012220607"/>
    <s v="oscar.zabaleta@upme.gov.co"/>
    <n v="0"/>
    <n v="0"/>
    <n v="53984700"/>
    <n v="0"/>
    <n v="0"/>
    <n v="8997450"/>
    <n v="0"/>
    <n v="8997450"/>
    <n v="0"/>
    <n v="8997450"/>
    <n v="0"/>
    <n v="8997450"/>
    <n v="0"/>
    <n v="8997450"/>
    <n v="0"/>
    <n v="8997450"/>
    <n v="0"/>
    <n v="0"/>
    <n v="0"/>
    <n v="0"/>
    <n v="0"/>
    <n v="0"/>
    <n v="0"/>
    <n v="0"/>
    <n v="53984700"/>
    <n v="53984700"/>
    <n v="0"/>
    <n v="0"/>
    <s v="Prestar servicios profesionales para llevar a cabo la evaluación técnica y financiera de proyectos del sector de energia electrica que solicitan recursos a los fondos y mecanismos de financiación evaluados por la UPME, así como liderar las mesas técnicas "/>
    <m/>
    <m/>
    <n v="53984700"/>
    <m/>
    <m/>
    <n v="8997450"/>
    <m/>
    <n v="8997450"/>
    <m/>
    <n v="8997450"/>
    <m/>
    <n v="8997450"/>
    <m/>
    <n v="8997450"/>
    <m/>
    <n v="8997450"/>
    <m/>
    <m/>
    <m/>
    <m/>
    <m/>
    <m/>
    <m/>
    <m/>
    <m/>
    <m/>
    <n v="53984700"/>
    <n v="53984700"/>
    <n v="0"/>
    <n v="0"/>
    <n v="46526"/>
    <d v="2026-01-19T00:00:00"/>
    <n v="53984700"/>
    <n v="0"/>
    <n v="44226"/>
    <d v="2026-02-05T00:00:00"/>
    <n v="53984700"/>
    <n v="0"/>
    <n v="0"/>
    <s v="PEDRAZA GARCIA ANGELA RUTH"/>
    <s v="CO1.PCCNTR.9219941"/>
    <m/>
    <m/>
    <m/>
    <n v="53984700"/>
    <m/>
    <m/>
    <m/>
    <m/>
    <m/>
    <m/>
    <m/>
    <m/>
    <m/>
    <m/>
    <m/>
    <m/>
    <m/>
    <m/>
    <m/>
    <m/>
    <m/>
    <m/>
    <m/>
    <m/>
    <m/>
    <m/>
    <m/>
    <m/>
    <m/>
    <m/>
    <m/>
    <m/>
    <m/>
    <m/>
    <m/>
    <m/>
    <n v="53984700"/>
    <n v="0"/>
    <n v="0"/>
    <n v="53984700"/>
    <n v="0"/>
    <x v="0"/>
  </r>
  <r>
    <x v="0"/>
    <x v="2"/>
    <s v="Mejoramiento de la participación ciudadana en el modelo energético y de infraestructura energética, en el marco de la transición energética justa a nivel  nacional"/>
    <s v="Fondos"/>
    <s v="Sí"/>
    <s v="Sí"/>
    <n v="4"/>
    <s v="180-55"/>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55 Prestar servicios profesionales para llevar a cabo la evaluación técnica y financiera de proyectos del sector de gas combustible que solicitan recursos a los fondos y mecanismos de financiación evaluados por la UPME, así como liderar las mesas técn"/>
    <s v="Enero "/>
    <s v="Enero "/>
    <s v="Enero "/>
    <n v="6"/>
    <s v="Meses"/>
    <s v="Contratación directa - Prestación de servicios profesionales "/>
    <s v="Propios - 21 - Otros recursos de tesorería"/>
    <n v="53984700"/>
    <n v="53984700"/>
    <s v="No"/>
    <s v="N/A"/>
    <s v="Oscar Zabaleta"/>
    <s v="Jefe Oficina Gestión de Proyectos de Fondos (E)"/>
    <n v="6012220607"/>
    <s v="oscar.zabaleta@upme.gov.co"/>
    <n v="0"/>
    <n v="0"/>
    <n v="53984700"/>
    <n v="0"/>
    <n v="0"/>
    <n v="8997450"/>
    <n v="0"/>
    <n v="8997450"/>
    <n v="0"/>
    <n v="8997450"/>
    <n v="0"/>
    <n v="8997450"/>
    <n v="0"/>
    <n v="8997450"/>
    <n v="0"/>
    <n v="8997450"/>
    <n v="0"/>
    <n v="0"/>
    <n v="0"/>
    <n v="0"/>
    <n v="0"/>
    <n v="0"/>
    <n v="0"/>
    <n v="0"/>
    <n v="53984700"/>
    <n v="53984700"/>
    <n v="0"/>
    <n v="0"/>
    <s v="Prestar servicios profesionales para llevar a cabo la evaluación técnica y financiera de proyectos del sector de gas combustible que solicitan recursos a los fondos y mecanismos de financiación evaluados por la UPME, así como liderar las mesas técnicas, c"/>
    <m/>
    <m/>
    <n v="53984700"/>
    <m/>
    <m/>
    <n v="8997450"/>
    <m/>
    <n v="8997450"/>
    <m/>
    <n v="8997450"/>
    <m/>
    <n v="8997450"/>
    <m/>
    <n v="8997450"/>
    <m/>
    <n v="8997450"/>
    <m/>
    <m/>
    <m/>
    <m/>
    <m/>
    <m/>
    <m/>
    <m/>
    <m/>
    <m/>
    <n v="53984700"/>
    <n v="53984700"/>
    <n v="0"/>
    <n v="0"/>
    <n v="46626"/>
    <d v="2026-01-19T00:00:00"/>
    <n v="53984700"/>
    <n v="0"/>
    <n v="39626"/>
    <d v="2026-02-03T00:00:00"/>
    <n v="53984700"/>
    <n v="0"/>
    <n v="0"/>
    <s v="ENRIQUEZ YAGUE JULIAN OSWALDO"/>
    <s v="CO1.PCCNTR.9191484"/>
    <m/>
    <m/>
    <m/>
    <n v="53984700"/>
    <m/>
    <m/>
    <m/>
    <n v="8097705"/>
    <n v="8097705"/>
    <m/>
    <n v="8997450"/>
    <n v="8997450"/>
    <m/>
    <m/>
    <m/>
    <m/>
    <m/>
    <m/>
    <m/>
    <m/>
    <m/>
    <m/>
    <m/>
    <m/>
    <m/>
    <m/>
    <m/>
    <m/>
    <m/>
    <m/>
    <m/>
    <m/>
    <m/>
    <m/>
    <m/>
    <m/>
    <n v="53984700"/>
    <n v="17095155"/>
    <n v="17095155"/>
    <n v="36889545"/>
    <n v="0"/>
    <x v="0"/>
  </r>
  <r>
    <x v="0"/>
    <x v="2"/>
    <s v="Mejoramiento de la participación ciudadana en el modelo energético y de infraestructura energética, en el marco de la transición energética justa a nivel  nacional"/>
    <s v="Fondos"/>
    <s v="Sí"/>
    <s v="Sí"/>
    <n v="7"/>
    <s v="180-56"/>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56 Prestar servicios profesionales para liderar, planificar, implementar, gestionar y supervisar el Sistema de Gestión de Seguridad de la Información (SGSI) de la UPME y asegurar el cumplimiento de las políticas, normativas internas y legislación vige"/>
    <s v="Enero "/>
    <s v="Enero "/>
    <s v="Enero "/>
    <n v="6"/>
    <s v="Meses"/>
    <s v="Contratación directa - Prestación de servicios profesionales "/>
    <s v="Propios - 21 - Otros recursos de tesorería"/>
    <n v="60000000"/>
    <n v="60000000"/>
    <s v="No"/>
    <s v="N/A"/>
    <s v="Oscar Zabaleta"/>
    <s v="Jefe Oficina Gestión de Proyectos de Fondos (E)"/>
    <n v="6012220607"/>
    <s v="oscar.zabaleta@upme.gov.co"/>
    <n v="0"/>
    <n v="0"/>
    <n v="0"/>
    <n v="0"/>
    <n v="0"/>
    <n v="0"/>
    <n v="0"/>
    <n v="0"/>
    <n v="0"/>
    <n v="0"/>
    <n v="0"/>
    <n v="0"/>
    <n v="60000000"/>
    <n v="0"/>
    <n v="0"/>
    <n v="10000000"/>
    <n v="0"/>
    <n v="10000000"/>
    <n v="0"/>
    <n v="10000000"/>
    <n v="0"/>
    <n v="10000000"/>
    <n v="0"/>
    <n v="20000000"/>
    <n v="60000000"/>
    <n v="60000000"/>
    <n v="0"/>
    <n v="0"/>
    <s v="Prestar servicios profesionales para liderar, planificar, implementar, gestionar y supervisar el Sistema de Gestión de Seguridad de la Información (SGSI) de la UPME y asegurar el cumplimiento de las políticas, normativas internas y legislación vigente en "/>
    <m/>
    <m/>
    <m/>
    <m/>
    <m/>
    <m/>
    <m/>
    <m/>
    <m/>
    <m/>
    <m/>
    <m/>
    <n v="60000000"/>
    <m/>
    <m/>
    <n v="10000000"/>
    <m/>
    <n v="10000000"/>
    <m/>
    <n v="10000000"/>
    <m/>
    <n v="10000000"/>
    <m/>
    <n v="20000000"/>
    <m/>
    <m/>
    <n v="60000000"/>
    <n v="60000000"/>
    <n v="0"/>
    <n v="0"/>
    <m/>
    <m/>
    <m/>
    <n v="60000000"/>
    <m/>
    <m/>
    <n v="0"/>
    <n v="60000000"/>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20"/>
    <s v="180-57"/>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57 Prestar servicios profesionales para llevar a cabo la evaluación técnica y ambiental de proyectos que solicitan recursos a los fondos y mecanismos de financiación evaluados por la UPME, así como liderar las mesas técnicas, contribuir en la definici"/>
    <s v="Enero "/>
    <s v="Enero "/>
    <s v="Enero "/>
    <n v="6"/>
    <s v="Meses"/>
    <s v="Contratación directa - Prestación de servicios profesionales "/>
    <s v="Propios - 20 - Ingresos corrientes"/>
    <n v="0"/>
    <n v="0"/>
    <s v="No"/>
    <s v="N/A"/>
    <s v="Oscar Zabaleta"/>
    <s v="Jefe Oficina Gestión de Proyectos de Fondos (E)"/>
    <n v="6012220607"/>
    <s v="oscar.zabaleta@upme.gov.co"/>
    <n v="0"/>
    <n v="0"/>
    <n v="0"/>
    <n v="0"/>
    <n v="0"/>
    <n v="0"/>
    <n v="0"/>
    <n v="0"/>
    <n v="0"/>
    <n v="0"/>
    <n v="0"/>
    <n v="0"/>
    <n v="34479900"/>
    <n v="0"/>
    <n v="0"/>
    <n v="5746650"/>
    <n v="0"/>
    <n v="5746650"/>
    <n v="0"/>
    <n v="5746650"/>
    <n v="0"/>
    <n v="5746650"/>
    <n v="0"/>
    <n v="11493300"/>
    <n v="34479900"/>
    <n v="34479900"/>
    <n v="-34479900"/>
    <n v="-34479900"/>
    <s v="Prestar servicios profesionales para llevar a cabo la evaluación técnica y ambiental de proyectos que solicitan recursos a los fondos y mecanismos de financiación evaluados por la UPME, así como liderar las mesas técnicas, contribuir en la definición de c"/>
    <m/>
    <m/>
    <m/>
    <m/>
    <m/>
    <m/>
    <m/>
    <m/>
    <m/>
    <m/>
    <m/>
    <m/>
    <m/>
    <m/>
    <m/>
    <m/>
    <m/>
    <m/>
    <m/>
    <m/>
    <m/>
    <m/>
    <m/>
    <m/>
    <m/>
    <m/>
    <n v="0"/>
    <n v="0"/>
    <n v="0"/>
    <n v="0"/>
    <n v="64726"/>
    <d v="2026-01-24T00:00:00"/>
    <n v="0"/>
    <n v="0"/>
    <m/>
    <m/>
    <n v="0"/>
    <n v="0"/>
    <n v="0"/>
    <m/>
    <m/>
    <m/>
    <m/>
    <m/>
    <m/>
    <m/>
    <m/>
    <m/>
    <m/>
    <m/>
    <m/>
    <m/>
    <m/>
    <m/>
    <m/>
    <m/>
    <m/>
    <m/>
    <m/>
    <m/>
    <m/>
    <m/>
    <m/>
    <m/>
    <m/>
    <m/>
    <m/>
    <m/>
    <m/>
    <m/>
    <m/>
    <m/>
    <m/>
    <m/>
    <m/>
    <m/>
    <m/>
    <n v="0"/>
    <n v="0"/>
    <n v="0"/>
    <n v="0"/>
    <n v="0"/>
    <x v="0"/>
  </r>
  <r>
    <x v="0"/>
    <x v="2"/>
    <s v="Mejoramiento de la participación ciudadana en el modelo energético y de infraestructura energética, en el marco de la transición energética justa a nivel  nacional"/>
    <s v="Fondos"/>
    <s v="Sí"/>
    <s v="Sí"/>
    <n v="20"/>
    <s v="180-58"/>
    <s v="Mejorar la capacidad de los interesados en formular proyectos de inversión en el sector energético."/>
    <s v="Servicio de Asistencia Técnica"/>
    <s v="Capacitar organizaciones y usuarios en general en las regiones."/>
    <n v="80111620"/>
    <s v="C-2102-1900-5-53106A-2102071-02"/>
    <s v="Prestación de servicios profesionales y/o de apoyo a la gestión"/>
    <s v="180-58 Prestar los servicios profesionales en la definición de variable sociales en apoyo al area de enfoque territorial de la direccion general de la unidad. "/>
    <s v="Enero "/>
    <s v="Enero "/>
    <s v="Enero "/>
    <n v="6"/>
    <s v="Meses"/>
    <s v="Contratación directa - Prestación de servicios profesionales "/>
    <s v="Propios - 20 - Ingresos corrientes"/>
    <n v="0"/>
    <n v="0"/>
    <s v="No"/>
    <s v="N/A"/>
    <s v="Oscar Zabaleta"/>
    <s v="Jefe Oficina Gestión de Proyectos de Fondos (E)"/>
    <n v="6012220607"/>
    <s v="oscar.zabaleta@upme.gov.co"/>
    <n v="0"/>
    <n v="0"/>
    <n v="0"/>
    <n v="0"/>
    <n v="0"/>
    <n v="0"/>
    <n v="0"/>
    <n v="0"/>
    <n v="0"/>
    <n v="0"/>
    <n v="0"/>
    <n v="0"/>
    <n v="19712700"/>
    <n v="0"/>
    <n v="0"/>
    <n v="3285450"/>
    <n v="0"/>
    <n v="3285450"/>
    <n v="0"/>
    <n v="3285450"/>
    <n v="0"/>
    <n v="3285450"/>
    <n v="0"/>
    <n v="6570900"/>
    <n v="19712700"/>
    <n v="19712700"/>
    <n v="-19712700"/>
    <n v="-19712700"/>
    <s v="Prestar los servicios profesionales en la definición de variable sociales en apoyo al area de enfoque territorial de la direccion general de la unidad. "/>
    <m/>
    <m/>
    <m/>
    <m/>
    <m/>
    <m/>
    <m/>
    <m/>
    <m/>
    <m/>
    <m/>
    <m/>
    <m/>
    <m/>
    <m/>
    <m/>
    <m/>
    <m/>
    <m/>
    <m/>
    <m/>
    <m/>
    <m/>
    <m/>
    <m/>
    <m/>
    <n v="0"/>
    <n v="0"/>
    <n v="0"/>
    <n v="0"/>
    <m/>
    <m/>
    <m/>
    <n v="0"/>
    <m/>
    <m/>
    <n v="0"/>
    <n v="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1"/>
    <s v="Mejorar la implementación del modelo de Gestión de Información Institucional."/>
    <s v="Servicios de Información Implementados"/>
    <s v="Identificar y apropiar soluciones de TI."/>
    <n v="80111620"/>
    <s v="C-2199-1900-5-53105B-2199065-02"/>
    <s v="Prestación de servicios profesionales y/o de apoyo a la gestión"/>
    <s v="130-1 Prestar servicios profesionales de gestión y soporte especializado para el mantenimiento de los procesos automatizados en la plataforma de gestión de procesos de negocio (BPMS) de la UPME, asegurando la continuidad operativa y la correcta prestación"/>
    <s v="Enero "/>
    <s v="Enero "/>
    <s v="Enero "/>
    <n v="11"/>
    <s v="Meses"/>
    <s v="Contratación directa - Prestación de servicios profesionales "/>
    <s v="Propios - 20 - Ingresos corrientes"/>
    <n v="77000000"/>
    <n v="77000000"/>
    <s v="No"/>
    <s v="N/A"/>
    <s v="Paola del Pilar Puerta Peña"/>
    <s v="Jefe Oficina de Tecnologías de la Información"/>
    <n v="6012220601"/>
    <s v="pilar.puerta@upme.gov.co"/>
    <n v="77000000"/>
    <n v="0"/>
    <n v="0"/>
    <n v="0"/>
    <n v="0"/>
    <n v="7000000"/>
    <n v="0"/>
    <n v="7000000"/>
    <n v="0"/>
    <n v="7000000"/>
    <n v="0"/>
    <n v="7000000"/>
    <n v="0"/>
    <n v="7000000"/>
    <n v="0"/>
    <n v="7000000"/>
    <n v="0"/>
    <n v="7000000"/>
    <n v="0"/>
    <n v="7000000"/>
    <n v="0"/>
    <n v="7000000"/>
    <n v="0"/>
    <n v="14000000"/>
    <n v="77000000"/>
    <n v="77000000"/>
    <n v="0"/>
    <n v="0"/>
    <s v="Prestar servicios profesionales de gestión y soporte especializado para el mantenimiento de los procesos automatizados en la plataforma de gestión de procesos de negocio (BPMS) de la UPME, asegurando la continuidad operativa y la correcta prestación de lo"/>
    <n v="77000000"/>
    <m/>
    <m/>
    <m/>
    <m/>
    <n v="7000000"/>
    <m/>
    <n v="7000000"/>
    <m/>
    <n v="7000000"/>
    <m/>
    <n v="7000000"/>
    <m/>
    <n v="7000000"/>
    <m/>
    <n v="7000000"/>
    <m/>
    <n v="7000000"/>
    <m/>
    <n v="7000000"/>
    <m/>
    <n v="7000000"/>
    <m/>
    <n v="14000000"/>
    <m/>
    <m/>
    <n v="77000000"/>
    <n v="77000000"/>
    <n v="0"/>
    <n v="0"/>
    <n v="28626"/>
    <d v="2026-01-14T00:00:00"/>
    <n v="77000000"/>
    <n v="0"/>
    <n v="21826"/>
    <d v="2026-01-26T00:00:00"/>
    <n v="77000000"/>
    <n v="0"/>
    <n v="0"/>
    <s v="CIFUENTES CORTES JEHISON DAVID"/>
    <s v="CO1.PCCNTR. 9065563"/>
    <n v="77000000"/>
    <m/>
    <m/>
    <m/>
    <n v="933333.33"/>
    <n v="933333.33"/>
    <m/>
    <n v="7000000"/>
    <n v="7000000"/>
    <m/>
    <n v="7000000"/>
    <n v="7000000"/>
    <m/>
    <m/>
    <m/>
    <m/>
    <m/>
    <m/>
    <m/>
    <m/>
    <m/>
    <m/>
    <m/>
    <m/>
    <m/>
    <m/>
    <m/>
    <m/>
    <m/>
    <m/>
    <m/>
    <m/>
    <m/>
    <m/>
    <m/>
    <m/>
    <n v="77000000"/>
    <n v="14933333.33"/>
    <n v="14933333.33"/>
    <n v="62066666.670000002"/>
    <n v="0"/>
    <x v="0"/>
  </r>
  <r>
    <x v="0"/>
    <x v="3"/>
    <s v="Fortalecimiento de los servicios digitales aumentando la capacidad para la transformación digital e interacción con el ciudadano"/>
    <s v="TIC"/>
    <s v="Sí"/>
    <s v="Sí"/>
    <n v="20"/>
    <s v="130-2"/>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2 Prestar servicios profesionales como analista y documentador para proyectos de sistemas de información en la Unidad de Planeación Minero Energética (UPME), documentando los requisitos funcionales y técnicos de las iniciativas de desarrollo de softwa"/>
    <s v="Enero "/>
    <s v="Enero "/>
    <s v="Enero "/>
    <n v="11"/>
    <s v="Meses"/>
    <s v="Contratación directa - Prestación de servicios profesionales "/>
    <s v="Propios - 20 - Ingresos corrientes"/>
    <n v="58680000"/>
    <n v="58680000"/>
    <s v="No"/>
    <s v="N/A"/>
    <s v="Paola del Pilar Puerta Peña"/>
    <s v="Jefe Oficina de Tecnologías de la Información"/>
    <n v="6012220601"/>
    <s v="pilar.puerta@upme.gov.co"/>
    <n v="0"/>
    <n v="0"/>
    <n v="59400000"/>
    <n v="0"/>
    <n v="0"/>
    <n v="5400000"/>
    <n v="0"/>
    <n v="5400000"/>
    <n v="0"/>
    <n v="5400000"/>
    <n v="0"/>
    <n v="5400000"/>
    <n v="0"/>
    <n v="5400000"/>
    <n v="0"/>
    <n v="5400000"/>
    <n v="0"/>
    <n v="5400000"/>
    <n v="0"/>
    <n v="5400000"/>
    <n v="0"/>
    <n v="5400000"/>
    <n v="0"/>
    <n v="10800000"/>
    <n v="59400000"/>
    <n v="59400000"/>
    <n v="-720000"/>
    <n v="-720000"/>
    <s v="Prestar servicios profesionales como analista y documentador para proyectos de sistemas de información en la Unidad de Planeación Minero Energética (UPME), documentando los requisitos funcionales y técnicos de las iniciativas de desarrollo de software, as"/>
    <n v="0"/>
    <n v="0"/>
    <n v="59400000"/>
    <n v="0"/>
    <n v="0"/>
    <n v="4680000"/>
    <n v="-720000"/>
    <n v="5400000"/>
    <n v="0"/>
    <n v="5400000"/>
    <n v="0"/>
    <n v="5400000"/>
    <n v="0"/>
    <n v="5400000"/>
    <n v="0"/>
    <n v="5400000"/>
    <n v="0"/>
    <n v="5400000"/>
    <n v="0"/>
    <n v="5400000"/>
    <n v="0"/>
    <n v="5400000"/>
    <n v="0"/>
    <n v="10800000"/>
    <m/>
    <m/>
    <n v="58680000"/>
    <n v="58680000"/>
    <n v="0"/>
    <n v="0"/>
    <n v="26626"/>
    <d v="2026-01-14T00:00:00"/>
    <n v="58680000"/>
    <n v="0"/>
    <n v="38426"/>
    <d v="2026-02-03T00:00:00"/>
    <n v="58680000"/>
    <n v="0"/>
    <n v="0"/>
    <s v="ARRIETA DIAZ ALVARO JAVIER"/>
    <s v="CO1.PCCNTR.9181880"/>
    <m/>
    <m/>
    <m/>
    <n v="59400000"/>
    <m/>
    <m/>
    <m/>
    <n v="4680000"/>
    <n v="4680000"/>
    <n v="-720000"/>
    <n v="5400000"/>
    <n v="5400000"/>
    <m/>
    <m/>
    <m/>
    <m/>
    <m/>
    <m/>
    <m/>
    <m/>
    <m/>
    <m/>
    <m/>
    <m/>
    <m/>
    <m/>
    <m/>
    <m/>
    <m/>
    <m/>
    <m/>
    <m/>
    <m/>
    <m/>
    <m/>
    <m/>
    <n v="58680000"/>
    <n v="10080000"/>
    <n v="10080000"/>
    <n v="48600000"/>
    <n v="0"/>
    <x v="0"/>
  </r>
  <r>
    <x v="0"/>
    <x v="3"/>
    <s v="Fortalecimiento de los servicios digitales aumentando la capacidad para la transformación digital e interacción con el ciudadano"/>
    <s v="TIC"/>
    <s v="Sí"/>
    <s v="Sí"/>
    <n v="20"/>
    <s v="130-3"/>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3 Prestar servicios profesionales de diseño y diagramación de planes, productos, piezas de diseño y diversos formatos para su publicación los distintos canales de la UPME y necesidades del plan de comunicaciones."/>
    <s v="Enero "/>
    <s v="Enero "/>
    <s v="Enero "/>
    <n v="11"/>
    <s v="Meses"/>
    <s v="Contratación directa - Prestación de servicios profesionales "/>
    <s v="Propios - 20 - Ingresos corrientes"/>
    <n v="54570000"/>
    <n v="54570000"/>
    <s v="No"/>
    <s v="N/A"/>
    <s v="Paola del Pilar Puerta Peña"/>
    <s v="Jefe Oficina de Tecnologías de la Información"/>
    <n v="6012220601"/>
    <s v="pilar.puerta@upme.gov.co"/>
    <n v="0"/>
    <n v="0"/>
    <n v="56100000"/>
    <n v="0"/>
    <n v="0"/>
    <n v="5100000"/>
    <n v="0"/>
    <n v="5100000"/>
    <n v="0"/>
    <n v="5100000"/>
    <n v="0"/>
    <n v="5100000"/>
    <n v="0"/>
    <n v="5100000"/>
    <n v="0"/>
    <n v="5100000"/>
    <n v="0"/>
    <n v="5100000"/>
    <n v="0"/>
    <n v="5100000"/>
    <n v="0"/>
    <n v="5100000"/>
    <n v="0"/>
    <n v="10200000"/>
    <n v="56100000"/>
    <n v="56100000"/>
    <n v="-1530000"/>
    <n v="-1530000"/>
    <s v="Prestar servicios profesionales de diseño y diagramación de planes, productos, piezas de diseño y diversos formatos para su publicación los distintos canales de la UPME y necesidades del plan de comunicaciones."/>
    <n v="0"/>
    <n v="0"/>
    <n v="56100000"/>
    <n v="0"/>
    <n v="0"/>
    <n v="3570000"/>
    <n v="-1530000"/>
    <n v="5100000"/>
    <n v="0"/>
    <n v="5100000"/>
    <n v="0"/>
    <n v="5100000"/>
    <n v="0"/>
    <n v="5100000"/>
    <n v="0"/>
    <n v="5100000"/>
    <n v="0"/>
    <n v="5100000"/>
    <n v="0"/>
    <n v="5100000"/>
    <n v="0"/>
    <n v="5100000"/>
    <n v="0"/>
    <n v="10200000"/>
    <m/>
    <m/>
    <n v="54570000"/>
    <n v="54570000"/>
    <n v="0"/>
    <n v="0"/>
    <n v="48126"/>
    <d v="2026-01-19T00:00:00"/>
    <n v="56100000"/>
    <n v="-1530000"/>
    <n v="49626"/>
    <d v="2026-02-09T00:00:00"/>
    <n v="56100000"/>
    <n v="-1530000"/>
    <n v="0"/>
    <s v="CASTRO LUENGAS LUISA FERNANDA"/>
    <s v="CO1.PCCNTR.9286515"/>
    <m/>
    <m/>
    <m/>
    <n v="56100000"/>
    <m/>
    <m/>
    <m/>
    <n v="3570000"/>
    <n v="3570000"/>
    <m/>
    <n v="5100000"/>
    <n v="5100000"/>
    <m/>
    <m/>
    <m/>
    <m/>
    <m/>
    <m/>
    <m/>
    <m/>
    <m/>
    <m/>
    <m/>
    <m/>
    <m/>
    <m/>
    <m/>
    <m/>
    <m/>
    <m/>
    <m/>
    <m/>
    <m/>
    <m/>
    <m/>
    <m/>
    <n v="56100000"/>
    <n v="8670000"/>
    <n v="8670000"/>
    <n v="47430000"/>
    <n v="0"/>
    <x v="0"/>
  </r>
  <r>
    <x v="0"/>
    <x v="3"/>
    <s v="Fortalecimiento de los servicios digitales aumentando la capacidad para la transformación digital e interacción con el ciudadano"/>
    <s v="TIC"/>
    <s v="Sí"/>
    <s v="Sí"/>
    <n v="20"/>
    <s v="130-4"/>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4 Prestar servicios profesionales especializados para el fortalecimiento de la gestión de la seguridad perimetral de la Unidad de Planeación Minero Energética (UPME), blindando la infraestructura tecnológica a través de procesos óptimos sobre las herr"/>
    <s v="Enero "/>
    <s v="Enero "/>
    <s v="Enero "/>
    <n v="11"/>
    <s v="Meses"/>
    <s v="Contratación directa - Prestación de servicios profesionales "/>
    <s v="Propios - 20 - Ingresos corrientes"/>
    <n v="99542000"/>
    <n v="99542000"/>
    <s v="No"/>
    <s v="N/A"/>
    <s v="Paola del Pilar Puerta Peña"/>
    <s v="Jefe Oficina de Tecnologías de la Información"/>
    <n v="6012220601"/>
    <s v="pilar.puerta@upme.gov.co"/>
    <n v="99000000"/>
    <n v="0"/>
    <n v="0"/>
    <n v="3000000"/>
    <n v="0"/>
    <n v="9000000"/>
    <n v="0"/>
    <n v="9000000"/>
    <n v="0"/>
    <n v="9000000"/>
    <n v="0"/>
    <n v="9000000"/>
    <n v="0"/>
    <n v="9000000"/>
    <n v="0"/>
    <n v="9000000"/>
    <n v="0"/>
    <n v="9000000"/>
    <n v="0"/>
    <n v="9000000"/>
    <n v="0"/>
    <n v="9000000"/>
    <n v="0"/>
    <n v="15000000"/>
    <n v="99000000"/>
    <n v="99000000"/>
    <n v="542000"/>
    <n v="542000"/>
    <s v="Prestar servicios profesionales especializados para el fortalecimiento de la gestión de la seguridad perimetral de la Unidad de Planeación Minero Energética (UPME), blindando la infraestructura tecnológica a través de procesos óptimos sobre las herramient"/>
    <n v="99000000"/>
    <n v="0"/>
    <n v="0"/>
    <n v="3000000"/>
    <n v="0"/>
    <n v="9000000"/>
    <n v="0"/>
    <n v="9000000"/>
    <n v="542000"/>
    <n v="9000000"/>
    <n v="0"/>
    <n v="9000000"/>
    <n v="0"/>
    <n v="9000000"/>
    <n v="0"/>
    <n v="9000000"/>
    <n v="0"/>
    <n v="9000000"/>
    <n v="0"/>
    <n v="9000000"/>
    <n v="0"/>
    <n v="9000000"/>
    <n v="0"/>
    <n v="15542000"/>
    <m/>
    <m/>
    <n v="99542000"/>
    <n v="99542000"/>
    <n v="0"/>
    <n v="0"/>
    <n v="25826"/>
    <d v="2026-01-13T00:00:00"/>
    <n v="99000000"/>
    <n v="542000"/>
    <n v="13826"/>
    <d v="2026-01-20T00:00:00"/>
    <n v="99000000"/>
    <n v="542000"/>
    <n v="0"/>
    <s v="SUAREZ CARDENAS HENDRIX"/>
    <s v="CO1.PCCNTR.8920313"/>
    <n v="99000000"/>
    <m/>
    <m/>
    <m/>
    <n v="3000000"/>
    <n v="3000000"/>
    <m/>
    <n v="9000000"/>
    <n v="9000000"/>
    <m/>
    <n v="9000000"/>
    <n v="9000000"/>
    <m/>
    <m/>
    <m/>
    <m/>
    <m/>
    <m/>
    <m/>
    <m/>
    <m/>
    <m/>
    <m/>
    <m/>
    <m/>
    <m/>
    <m/>
    <m/>
    <m/>
    <m/>
    <m/>
    <m/>
    <m/>
    <m/>
    <m/>
    <m/>
    <n v="99000000"/>
    <n v="21000000"/>
    <n v="21000000"/>
    <n v="78000000"/>
    <n v="0"/>
    <x v="0"/>
  </r>
  <r>
    <x v="0"/>
    <x v="3"/>
    <s v="Fortalecimiento de los servicios digitales aumentando la capacidad para la transformación digital e interacción con el ciudadano"/>
    <s v="TIC"/>
    <s v="Sí"/>
    <s v="Sí"/>
    <n v="20"/>
    <s v="130-5"/>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5 Prestar servicios profesionales para apoyar las diferentes labores que se desprendan de la administración de las herramientas de seguridad perimetral de la UPME y en la elaboración de documentación, relacionada con el Dominio de Seguridad Digital pa"/>
    <s v="Enero "/>
    <s v="Enero "/>
    <s v="Enero "/>
    <n v="11"/>
    <s v="Meses"/>
    <s v="Contratación directa - Prestación de servicios profesionales "/>
    <s v="Propios - 20 - Ingresos corrientes"/>
    <n v="35811405"/>
    <n v="35811405"/>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328545"/>
    <n v="-328545"/>
    <s v="Prestar servicios profesionales para apoyar las diferentes labores que se desprendan de la administración de las herramientas de seguridad perimetral de la UPME y en la elaboración de documentación, relacionada con el Dominio de Seguridad Digital para la "/>
    <n v="0"/>
    <n v="0"/>
    <n v="36139950"/>
    <n v="0"/>
    <n v="0"/>
    <n v="2956905"/>
    <n v="-328545"/>
    <n v="3285450"/>
    <n v="0"/>
    <n v="3285450"/>
    <n v="0"/>
    <n v="3285450"/>
    <n v="0"/>
    <n v="3285450"/>
    <n v="0"/>
    <n v="3285450"/>
    <n v="0"/>
    <n v="3285450"/>
    <n v="0"/>
    <n v="3285450"/>
    <n v="0"/>
    <n v="3285450"/>
    <n v="0"/>
    <n v="6570900"/>
    <m/>
    <m/>
    <n v="35811405"/>
    <n v="35811405"/>
    <n v="0"/>
    <n v="0"/>
    <n v="39826"/>
    <d v="2026-01-15T00:00:00"/>
    <n v="36139950"/>
    <n v="-328545"/>
    <n v="39326"/>
    <d v="2026-02-03T00:00:00"/>
    <n v="36139950"/>
    <n v="-328545"/>
    <n v="0"/>
    <s v="GARZON POLOCHE JUAN CARLOS"/>
    <s v="CO1.PCCNTR.9196560"/>
    <m/>
    <m/>
    <m/>
    <n v="36139950"/>
    <m/>
    <m/>
    <m/>
    <n v="2956905"/>
    <n v="2956905"/>
    <m/>
    <n v="3285450"/>
    <n v="3285450"/>
    <m/>
    <m/>
    <m/>
    <m/>
    <m/>
    <m/>
    <m/>
    <m/>
    <m/>
    <m/>
    <m/>
    <m/>
    <m/>
    <m/>
    <m/>
    <m/>
    <m/>
    <m/>
    <m/>
    <m/>
    <m/>
    <m/>
    <m/>
    <m/>
    <n v="36139950"/>
    <n v="6242355"/>
    <n v="6242355"/>
    <n v="29897595"/>
    <n v="0"/>
    <x v="0"/>
  </r>
  <r>
    <x v="0"/>
    <x v="3"/>
    <s v="Fortalecimiento de los servicios digitales aumentando la capacidad para la transformación digital e interacción con el ciudadano"/>
    <s v="TIC"/>
    <s v="Sí"/>
    <s v="Sí"/>
    <n v="68"/>
    <s v="130-6"/>
    <s v="Mejorar la implementación del modelo de Gestión de Información Institucional."/>
    <s v="Servicios de Información Implementados"/>
    <s v="Identificar y apropiar soluciones de TI."/>
    <n v="80111620"/>
    <s v="C-2199-1900-5-53105B-2199065-02"/>
    <s v="Prestación de servicios profesionales y/o de apoyo a la gestión"/>
    <s v="130-6 Prestar servicios profesionales de desarrollo y ajuste de software para fortalecer la interoperabilidad y sincronización de los sistemas de información de la entidad incluyendo la creación y modificación de aplicaciones web, servicios web y/o Apis m"/>
    <s v="Enero "/>
    <s v="Enero "/>
    <s v="Enero "/>
    <n v="11"/>
    <s v="Meses"/>
    <s v="Contratación directa - Prestación de servicios profesionales "/>
    <s v="Propios - 20 - Ingresos corrientes"/>
    <n v="66000000"/>
    <n v="66000000"/>
    <s v="No"/>
    <s v="N/A"/>
    <s v="Paola del Pilar Puerta Peña"/>
    <s v="Jefe Oficina de Tecnologías de la Información"/>
    <n v="6012220601"/>
    <s v="pilar.puerta@upme.gov.co"/>
    <n v="66000000"/>
    <n v="0"/>
    <n v="0"/>
    <n v="0"/>
    <n v="0"/>
    <n v="6000000"/>
    <n v="0"/>
    <n v="6000000"/>
    <n v="0"/>
    <n v="6000000"/>
    <n v="0"/>
    <n v="6000000"/>
    <n v="0"/>
    <n v="6000000"/>
    <n v="0"/>
    <n v="6000000"/>
    <n v="0"/>
    <n v="6000000"/>
    <n v="0"/>
    <n v="6000000"/>
    <n v="0"/>
    <n v="6000000"/>
    <n v="0"/>
    <n v="12000000"/>
    <n v="66000000"/>
    <n v="66000000"/>
    <n v="0"/>
    <n v="0"/>
    <s v="Prestar servicios profesionales de desarrollo y ajuste de software para fortalecer la interoperabilidad y sincronización de los sistemas de información de la entidad incluyendo la creación y modificación de aplicaciones web, servicios web y/o Apis mejoran"/>
    <n v="66000000"/>
    <m/>
    <m/>
    <m/>
    <m/>
    <n v="6000000"/>
    <m/>
    <n v="6000000"/>
    <m/>
    <n v="6000000"/>
    <m/>
    <n v="6000000"/>
    <m/>
    <n v="6000000"/>
    <m/>
    <n v="6000000"/>
    <m/>
    <n v="6000000"/>
    <m/>
    <n v="6000000"/>
    <m/>
    <n v="6000000"/>
    <m/>
    <n v="12000000"/>
    <m/>
    <m/>
    <n v="66000000"/>
    <n v="66000000"/>
    <n v="0"/>
    <n v="0"/>
    <n v="39426"/>
    <d v="2026-01-15T00:00:00"/>
    <n v="66000000"/>
    <n v="0"/>
    <n v="30326"/>
    <d v="2026-01-28T00:00:00"/>
    <n v="66000000"/>
    <n v="0"/>
    <n v="0"/>
    <s v="BAUTISTA HERNANDEZ EDWIN ALEXANDER"/>
    <s v="CO1.PCCNTR.9133615"/>
    <n v="66000000"/>
    <m/>
    <m/>
    <m/>
    <m/>
    <m/>
    <m/>
    <n v="6200000"/>
    <n v="6200000"/>
    <m/>
    <n v="6000000"/>
    <n v="6000000"/>
    <m/>
    <m/>
    <m/>
    <m/>
    <m/>
    <m/>
    <m/>
    <m/>
    <m/>
    <m/>
    <m/>
    <m/>
    <m/>
    <m/>
    <m/>
    <m/>
    <m/>
    <m/>
    <m/>
    <m/>
    <m/>
    <m/>
    <m/>
    <m/>
    <n v="66000000"/>
    <n v="12200000"/>
    <n v="12200000"/>
    <n v="53800000"/>
    <n v="0"/>
    <x v="0"/>
  </r>
  <r>
    <x v="0"/>
    <x v="3"/>
    <s v="Fortalecimiento de los servicios digitales aumentando la capacidad para la transformación digital e interacción con el ciudadano"/>
    <s v="TIC"/>
    <s v="Sí"/>
    <s v="Sí"/>
    <n v="68"/>
    <s v="130-7"/>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7 Prestación de servicios profesionales en la Oficina de Tecnologías de la Información para la aplicación de gestión de proyectos de TI, que contribuyan a la implementación de la política de gobierno digital en la Entidad, de conformidad con la Metodo"/>
    <s v="Enero "/>
    <s v="Enero "/>
    <s v="Enero "/>
    <n v="11"/>
    <s v="Meses"/>
    <s v="Contratación directa - Prestación de servicios profesionales "/>
    <s v="Propios - 20 - Ingresos corrientes"/>
    <n v="99000000"/>
    <n v="99000000"/>
    <s v="No"/>
    <s v="N/A"/>
    <s v="Paola del Pilar Puerta Peña"/>
    <s v="Jefe Oficina de Tecnologías de la Información"/>
    <n v="6012220601"/>
    <s v="pilar.puerta@upme.gov.co"/>
    <n v="99000000"/>
    <n v="0"/>
    <n v="0"/>
    <n v="0"/>
    <n v="0"/>
    <n v="9000000"/>
    <n v="0"/>
    <n v="9000000"/>
    <n v="0"/>
    <n v="9000000"/>
    <n v="0"/>
    <n v="9000000"/>
    <n v="0"/>
    <n v="9000000"/>
    <n v="0"/>
    <n v="9000000"/>
    <n v="0"/>
    <n v="9000000"/>
    <n v="0"/>
    <n v="9000000"/>
    <n v="0"/>
    <n v="9000000"/>
    <n v="0"/>
    <n v="18000000"/>
    <n v="99000000"/>
    <n v="99000000"/>
    <n v="0"/>
    <n v="0"/>
    <s v="Prestación de servicios profesionales en la Oficina de Tecnologías de la Información para la aplicación de gestión de proyectos de TI, que contribuyan a la implementación de la política de gobierno digital en la Entidad, de conformidad con la Metodología "/>
    <n v="99000000"/>
    <m/>
    <m/>
    <m/>
    <m/>
    <n v="9000000"/>
    <m/>
    <n v="9000000"/>
    <m/>
    <n v="9000000"/>
    <m/>
    <n v="9000000"/>
    <m/>
    <n v="9000000"/>
    <m/>
    <n v="9000000"/>
    <m/>
    <n v="9000000"/>
    <m/>
    <n v="9000000"/>
    <m/>
    <n v="9000000"/>
    <m/>
    <n v="18000000"/>
    <m/>
    <m/>
    <n v="99000000"/>
    <n v="99000000"/>
    <n v="0"/>
    <n v="0"/>
    <n v="25126"/>
    <d v="2026-01-13T00:00:00"/>
    <n v="99000000"/>
    <n v="0"/>
    <n v="29626.669259999999"/>
    <d v="2026-01-28T00:00:00"/>
    <n v="99000000"/>
    <n v="0"/>
    <n v="0"/>
    <s v="ROJAS ORTIZ ADRIANA YASMILI,RAMIREZ ESPITIA JONNATHAN RICARDO_x000a_"/>
    <s v="CO1.PCCNTR.9132421"/>
    <n v="99000000"/>
    <m/>
    <m/>
    <m/>
    <n v="600000"/>
    <n v="600000"/>
    <m/>
    <n v="9000000"/>
    <n v="9000000"/>
    <m/>
    <m/>
    <m/>
    <m/>
    <m/>
    <m/>
    <m/>
    <m/>
    <m/>
    <m/>
    <m/>
    <m/>
    <m/>
    <m/>
    <m/>
    <m/>
    <m/>
    <m/>
    <m/>
    <m/>
    <m/>
    <m/>
    <m/>
    <m/>
    <m/>
    <m/>
    <m/>
    <n v="99000000"/>
    <n v="9600000"/>
    <n v="9600000"/>
    <n v="89400000"/>
    <n v="0"/>
    <x v="0"/>
  </r>
  <r>
    <x v="0"/>
    <x v="3"/>
    <s v="Fortalecimiento de los servicios digitales aumentando la capacidad para la transformación digital e interacción con el ciudadano"/>
    <s v="TIC"/>
    <s v="Sí"/>
    <s v="Sí"/>
    <n v="16"/>
    <s v="130-8"/>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8 Prestar servicios profesionales para la proyección de documentos de contenido legal y apoyo de los asuntos de tipo jurídico que resulten de las actuaciones administrativas de competencia de la UPME, en el marco de la gestión institucional de la Enti"/>
    <s v="Enero "/>
    <s v="Enero "/>
    <s v="Enero "/>
    <n v="11.5"/>
    <s v="Meses"/>
    <s v="Contratación directa - Prestación de servicios profesionales "/>
    <s v="Propios - 20 - Ingresos corrientes"/>
    <n v="79200000"/>
    <n v="79200000"/>
    <s v="No"/>
    <s v="N/A"/>
    <s v="Paola del Pilar Puerta Peña"/>
    <s v="Jefe Oficina de Tecnologías de la Información"/>
    <n v="6012220601"/>
    <s v="pilar.puerta@upme.gov.co"/>
    <n v="79200000"/>
    <n v="0"/>
    <n v="0"/>
    <n v="1200000"/>
    <n v="0"/>
    <n v="7200000"/>
    <n v="0"/>
    <n v="7200000"/>
    <n v="0"/>
    <n v="7200000"/>
    <n v="0"/>
    <n v="7200000"/>
    <n v="0"/>
    <n v="7200000"/>
    <n v="0"/>
    <n v="7200000"/>
    <n v="0"/>
    <n v="7200000"/>
    <n v="0"/>
    <n v="7200000"/>
    <n v="0"/>
    <n v="7200000"/>
    <n v="3600000"/>
    <n v="16800000"/>
    <n v="82800000"/>
    <n v="82800000"/>
    <n v="-3600000"/>
    <n v="-3600000"/>
    <s v="Prestar servicios profesionales para la proyección de documentos de contenido legal y apoyo de los asuntos de tipo jurídico que resulten de las actuaciones administrativas de competencia de la UPME, en el marco de la gestión institucional de la Entidad."/>
    <n v="79200000"/>
    <n v="0"/>
    <n v="0"/>
    <n v="1200000"/>
    <n v="0"/>
    <n v="7200000"/>
    <n v="0"/>
    <n v="7200000"/>
    <n v="0"/>
    <n v="7200000"/>
    <n v="0"/>
    <n v="7200000"/>
    <n v="0"/>
    <n v="7200000"/>
    <n v="0"/>
    <n v="7200000"/>
    <n v="0"/>
    <n v="7200000"/>
    <n v="0"/>
    <n v="7200000"/>
    <n v="0"/>
    <n v="7200000"/>
    <n v="0"/>
    <n v="13200000"/>
    <m/>
    <m/>
    <n v="79200000"/>
    <n v="79200000"/>
    <n v="0"/>
    <n v="0"/>
    <n v="44326"/>
    <d v="2026-01-17T00:00:00"/>
    <n v="79200000"/>
    <n v="0"/>
    <n v="19426"/>
    <d v="2026-01-24T00:00:00"/>
    <n v="79200000"/>
    <n v="0"/>
    <n v="0"/>
    <s v="GOMEZ RAMIREZ LUISA MARIA"/>
    <s v="CO1.PCCNTR.9066372"/>
    <n v="79200000"/>
    <m/>
    <m/>
    <m/>
    <n v="1200000"/>
    <n v="1200000"/>
    <m/>
    <n v="7200000"/>
    <n v="7200000"/>
    <m/>
    <n v="7200000"/>
    <n v="7200000"/>
    <m/>
    <m/>
    <m/>
    <m/>
    <m/>
    <m/>
    <m/>
    <m/>
    <m/>
    <m/>
    <m/>
    <m/>
    <m/>
    <m/>
    <m/>
    <m/>
    <m/>
    <m/>
    <m/>
    <m/>
    <m/>
    <m/>
    <m/>
    <m/>
    <n v="79200000"/>
    <n v="15600000"/>
    <n v="15600000"/>
    <n v="63600000"/>
    <n v="0"/>
    <x v="0"/>
  </r>
  <r>
    <x v="0"/>
    <x v="3"/>
    <s v="Fortalecimiento de los servicios digitales aumentando la capacidad para la transformación digital e interacción con el ciudadano"/>
    <s v="TIC"/>
    <s v="Sí"/>
    <s v="Sí"/>
    <n v="68"/>
    <s v="130-9"/>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9 Prestar servicios profesionales para la revisión, diagnóstico, evaluación y definición de lineamientos en materia de infraestructura tecnológica, servicios tecnológicos, telecomunicaciones y ciberseguridad, con el fin de orientar y garantizar que se"/>
    <s v="Enero "/>
    <s v="Enero "/>
    <s v="Enero "/>
    <n v="11"/>
    <s v="Meses"/>
    <s v="Contratación directa - Prestación de servicios profesionales "/>
    <s v="Propios - 20 - Ingresos corrientes"/>
    <n v="88000000"/>
    <n v="88000000"/>
    <s v="No"/>
    <s v="N/A"/>
    <s v="Paola del Pilar Puerta Peña"/>
    <s v="Jefe Oficina de Tecnologías de la Información"/>
    <n v="6012220601"/>
    <s v="pilar.puerta@upme.gov.co"/>
    <n v="0"/>
    <n v="0"/>
    <n v="88000000"/>
    <n v="0"/>
    <n v="0"/>
    <n v="9000000"/>
    <n v="0"/>
    <n v="9000000"/>
    <n v="0"/>
    <n v="9000000"/>
    <n v="0"/>
    <n v="9000000"/>
    <n v="0"/>
    <n v="9000000"/>
    <n v="0"/>
    <n v="9000000"/>
    <n v="0"/>
    <n v="9000000"/>
    <n v="0"/>
    <n v="9000000"/>
    <n v="0"/>
    <n v="9000000"/>
    <n v="0"/>
    <n v="7000000"/>
    <n v="88000000"/>
    <n v="88000000"/>
    <n v="0"/>
    <n v="0"/>
    <s v="Prestar servicios profesionales para la revisión, diagnóstico, evaluación y definición de lineamientos en materia de infraestructura tecnológica, servicios tecnológicos, telecomunicaciones y ciberseguridad, con el fin de orientar y garantizar que se cumpl"/>
    <m/>
    <m/>
    <n v="88000000"/>
    <m/>
    <m/>
    <n v="9000000"/>
    <m/>
    <n v="9000000"/>
    <m/>
    <n v="9000000"/>
    <m/>
    <n v="9000000"/>
    <m/>
    <n v="9000000"/>
    <m/>
    <n v="9000000"/>
    <m/>
    <n v="9000000"/>
    <m/>
    <n v="9000000"/>
    <m/>
    <n v="9000000"/>
    <m/>
    <n v="7000000"/>
    <m/>
    <m/>
    <n v="88000000"/>
    <n v="88000000"/>
    <n v="0"/>
    <n v="0"/>
    <n v="29126"/>
    <d v="2026-01-14T00:00:00"/>
    <n v="88000000"/>
    <n v="0"/>
    <n v="51126"/>
    <d v="2026-02-09T00:00:00"/>
    <n v="88000000"/>
    <n v="0"/>
    <n v="0"/>
    <s v="CARVAJAL RAMIREZ JOAN RENE"/>
    <s v="CO1.PCCNTR.9268464"/>
    <m/>
    <m/>
    <m/>
    <n v="88000000"/>
    <m/>
    <m/>
    <m/>
    <n v="6300000"/>
    <n v="6300000"/>
    <m/>
    <n v="9000000"/>
    <n v="9000000"/>
    <m/>
    <m/>
    <m/>
    <m/>
    <m/>
    <m/>
    <m/>
    <m/>
    <m/>
    <m/>
    <m/>
    <m/>
    <m/>
    <m/>
    <m/>
    <m/>
    <m/>
    <m/>
    <m/>
    <m/>
    <m/>
    <m/>
    <m/>
    <m/>
    <n v="88000000"/>
    <n v="15300000"/>
    <n v="15300000"/>
    <n v="72700000"/>
    <n v="0"/>
    <x v="0"/>
  </r>
  <r>
    <x v="0"/>
    <x v="3"/>
    <s v="Fortalecimiento de los servicios digitales aumentando la capacidad para la transformación digital e interacción con el ciudadano"/>
    <s v="TIC"/>
    <s v="Sí"/>
    <s v="Sí"/>
    <n v="20"/>
    <s v="130-1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10 Prestar servicios profesionales para apoyar en los proyectos de tecnología en todas sus fases y ciclos de proceso, especialmente, en aquellos enfocados en la transformación digital a la Oficina de Tecnología de la Información de la UPME"/>
    <s v="Enero "/>
    <s v="Enero "/>
    <s v="Enero "/>
    <n v="11"/>
    <s v="Meses"/>
    <s v="Contratación directa - Prestación de servicios profesionales "/>
    <s v="Propios - 20 - Ingresos corrientes"/>
    <n v="87200000"/>
    <n v="87200000"/>
    <s v="No"/>
    <s v="N/A"/>
    <s v="Paola del Pilar Puerta Peña"/>
    <s v="Jefe Oficina de Tecnologías de la Información"/>
    <n v="6012220601"/>
    <s v="pilar.puerta@upme.gov.co"/>
    <n v="0"/>
    <n v="0"/>
    <n v="88000000"/>
    <n v="0"/>
    <n v="0"/>
    <n v="8000000"/>
    <n v="0"/>
    <n v="8000000"/>
    <n v="0"/>
    <n v="8000000"/>
    <n v="0"/>
    <n v="8000000"/>
    <n v="0"/>
    <n v="8000000"/>
    <n v="0"/>
    <n v="8000000"/>
    <n v="0"/>
    <n v="8000000"/>
    <n v="0"/>
    <n v="8000000"/>
    <n v="0"/>
    <n v="8000000"/>
    <n v="0"/>
    <n v="16000000"/>
    <n v="88000000"/>
    <n v="88000000"/>
    <n v="-800000"/>
    <n v="-800000"/>
    <s v="Prestar servicios profesionales para apoyar en los proyectos de tecnología en todas sus fases y ciclos de proceso, especialmente, en aquellos enfocados en la transformación digital a la Oficina de Tecnología de la Información de la UPME"/>
    <n v="0"/>
    <n v="0"/>
    <n v="88000000"/>
    <n v="0"/>
    <n v="0"/>
    <n v="7200000"/>
    <n v="-800000"/>
    <n v="8000000"/>
    <n v="0"/>
    <n v="8000000"/>
    <n v="0"/>
    <n v="8000000"/>
    <n v="0"/>
    <n v="8000000"/>
    <n v="0"/>
    <n v="8000000"/>
    <n v="0"/>
    <n v="8000000"/>
    <n v="0"/>
    <n v="8000000"/>
    <n v="0"/>
    <n v="8000000"/>
    <n v="0"/>
    <n v="16000000"/>
    <m/>
    <m/>
    <n v="87200000"/>
    <n v="87200000"/>
    <n v="0"/>
    <n v="0"/>
    <n v="39226"/>
    <d v="2026-01-15T00:00:00"/>
    <n v="88000000"/>
    <n v="-800000"/>
    <n v="39926"/>
    <d v="2026-02-03T00:00:00"/>
    <n v="88000000"/>
    <n v="-800000"/>
    <n v="0"/>
    <s v="REVUELTAS VIDES ELKIN"/>
    <s v="CO1.PCCNTR.9195627"/>
    <m/>
    <m/>
    <m/>
    <n v="88000000"/>
    <m/>
    <m/>
    <m/>
    <n v="7200000"/>
    <n v="7200000"/>
    <m/>
    <n v="8000000"/>
    <n v="8000000"/>
    <m/>
    <m/>
    <m/>
    <m/>
    <m/>
    <m/>
    <m/>
    <m/>
    <m/>
    <m/>
    <m/>
    <m/>
    <m/>
    <m/>
    <m/>
    <m/>
    <m/>
    <m/>
    <m/>
    <m/>
    <m/>
    <m/>
    <m/>
    <m/>
    <n v="88000000"/>
    <n v="15200000"/>
    <n v="15200000"/>
    <n v="72800000"/>
    <n v="0"/>
    <x v="0"/>
  </r>
  <r>
    <x v="0"/>
    <x v="3"/>
    <s v="Fortalecimiento de los servicios digitales aumentando la capacidad para la transformación digital e interacción con el ciudadano"/>
    <s v="TIC"/>
    <s v="Sí"/>
    <s v="Sí"/>
    <n v="2"/>
    <s v="130-11"/>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11 Prestación de servicios profesionales especializados para la ingeniería, configuración y puesta en marcha de una infraestructura de red convergente y escalable para la UPME, así como la administración de soluciones de conectividad híbrida, la segme"/>
    <s v="Enero "/>
    <s v="Enero "/>
    <s v="Enero "/>
    <n v="11"/>
    <s v="Meses"/>
    <s v="Contratación directa - Prestación de servicios profesionales "/>
    <s v="Propios - 20 - Ingresos corrientes"/>
    <n v="99000000"/>
    <n v="99000000"/>
    <s v="No"/>
    <s v="N/A"/>
    <s v="Paola del Pilar Puerta Peña"/>
    <s v="Jefe Oficina de Tecnologías de la Información"/>
    <n v="6012220601"/>
    <s v="pilar.puerta@upme.gov.co"/>
    <n v="0"/>
    <n v="0"/>
    <n v="99000000"/>
    <n v="0"/>
    <n v="0"/>
    <n v="9000000"/>
    <n v="0"/>
    <n v="9000000"/>
    <n v="0"/>
    <n v="9000000"/>
    <n v="0"/>
    <n v="9000000"/>
    <n v="0"/>
    <n v="9000000"/>
    <n v="0"/>
    <n v="9000000"/>
    <n v="0"/>
    <n v="9000000"/>
    <n v="0"/>
    <n v="9000000"/>
    <n v="0"/>
    <n v="9000000"/>
    <n v="0"/>
    <n v="18000000"/>
    <n v="99000000"/>
    <n v="99000000"/>
    <n v="0"/>
    <n v="0"/>
    <s v="Prestación de servicios profesionales especializados para la ingeniería, configuración y puesta en marcha de una infraestructura de red convergente y escalable para la UPME, así como la administración de soluciones de conectividad híbrida, la segmentación"/>
    <m/>
    <m/>
    <n v="99000000"/>
    <m/>
    <m/>
    <n v="9000000"/>
    <m/>
    <n v="9000000"/>
    <m/>
    <n v="9000000"/>
    <m/>
    <n v="9000000"/>
    <m/>
    <n v="9000000"/>
    <m/>
    <n v="9000000"/>
    <m/>
    <n v="9000000"/>
    <m/>
    <n v="9000000"/>
    <m/>
    <n v="9000000"/>
    <m/>
    <n v="18000000"/>
    <m/>
    <m/>
    <n v="99000000"/>
    <n v="99000000"/>
    <n v="0"/>
    <n v="0"/>
    <n v="36126"/>
    <d v="2026-01-15T00:00:00"/>
    <n v="99000000"/>
    <n v="0"/>
    <n v="47326"/>
    <d v="2026-02-06T00:00:00"/>
    <n v="96600000"/>
    <n v="2400000"/>
    <n v="2400000"/>
    <s v="MENDEZ MARTIN EDUARD ALBEIRO"/>
    <s v="CO1.PCCNTR.9248184"/>
    <m/>
    <m/>
    <m/>
    <n v="99000000"/>
    <m/>
    <m/>
    <m/>
    <m/>
    <m/>
    <n v="-2400000"/>
    <n v="15300000"/>
    <n v="15300000"/>
    <m/>
    <m/>
    <m/>
    <m/>
    <m/>
    <m/>
    <m/>
    <m/>
    <m/>
    <m/>
    <m/>
    <m/>
    <m/>
    <m/>
    <m/>
    <m/>
    <m/>
    <m/>
    <m/>
    <m/>
    <m/>
    <m/>
    <m/>
    <m/>
    <n v="96600000"/>
    <n v="15300000"/>
    <n v="15300000"/>
    <n v="81300000"/>
    <n v="0"/>
    <x v="0"/>
  </r>
  <r>
    <x v="0"/>
    <x v="3"/>
    <s v="Fortalecimiento de los servicios digitales aumentando la capacidad para la transformación digital e interacción con el ciudadano"/>
    <s v="TIC"/>
    <s v="Sí"/>
    <s v="Sí"/>
    <n v="20"/>
    <s v="130-12"/>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12 Prestar servicios de apoyo a la gestión para la operatividad de los sistemas de información y de Infraestructura de la Unidad de Planeación Minero-Energética – UPME, así como en las actividades asociadas al soporte y monitoreo en las respectivas he"/>
    <s v="Enero "/>
    <s v="Enero "/>
    <s v="Enero "/>
    <n v="11"/>
    <s v="Meses"/>
    <s v="Contratación directa - Prestación de servicios profesionales "/>
    <s v="Propios - 20 - Ingresos corrientes"/>
    <n v="52944920"/>
    <n v="52944920"/>
    <s v="No"/>
    <s v="N/A"/>
    <s v="Paola del Pilar Puerta Peña"/>
    <s v="Jefe Oficina de Tecnologías de la Información"/>
    <n v="6012220601"/>
    <s v="pilar.puerta@upme.gov.co"/>
    <n v="50496600"/>
    <n v="0"/>
    <n v="0"/>
    <n v="2601340"/>
    <n v="0"/>
    <n v="4590600"/>
    <n v="0"/>
    <n v="4590600"/>
    <n v="0"/>
    <n v="4590600"/>
    <n v="0"/>
    <n v="4590600"/>
    <n v="0"/>
    <n v="4590600"/>
    <n v="0"/>
    <n v="4590600"/>
    <n v="0"/>
    <n v="4590600"/>
    <n v="0"/>
    <n v="4590600"/>
    <n v="0"/>
    <n v="4590600"/>
    <n v="0"/>
    <n v="6579860"/>
    <n v="50496600"/>
    <n v="50496600"/>
    <n v="2448320"/>
    <n v="2448320"/>
    <s v="Prestar servicios de apoyo a la gestión para la operatividad de los sistemas de información y de Infraestructura de la Unidad de Planeación Minero-Energética – UPME, así como en las actividades asociadas al soporte y monitoreo en las respectivas herramien"/>
    <n v="50496600"/>
    <n v="0"/>
    <n v="0"/>
    <n v="2448320"/>
    <n v="0"/>
    <n v="4590600"/>
    <n v="0"/>
    <n v="4590600"/>
    <n v="2448320"/>
    <n v="4590600"/>
    <n v="0"/>
    <n v="4590600"/>
    <n v="0"/>
    <n v="4590600"/>
    <n v="0"/>
    <n v="4590600"/>
    <n v="0"/>
    <n v="4590600"/>
    <n v="0"/>
    <n v="4590600"/>
    <n v="0"/>
    <n v="4590600"/>
    <n v="0"/>
    <n v="9181200"/>
    <m/>
    <m/>
    <n v="52944920"/>
    <n v="52944920"/>
    <n v="0"/>
    <n v="0"/>
    <n v="3226"/>
    <d v="2026-01-05T00:00:00"/>
    <n v="50496600"/>
    <n v="2448320"/>
    <n v="8626"/>
    <d v="2026-01-13T00:00:00"/>
    <n v="50496600"/>
    <n v="2448320"/>
    <n v="0"/>
    <s v="VELASQUEZ RIVERA EDISSON"/>
    <s v="CO1.PCCNTR.8804681"/>
    <n v="50496600"/>
    <m/>
    <m/>
    <m/>
    <n v="2448320"/>
    <n v="2448320"/>
    <m/>
    <n v="4590600"/>
    <n v="4590600"/>
    <m/>
    <n v="4590600"/>
    <n v="4590600"/>
    <m/>
    <m/>
    <m/>
    <m/>
    <m/>
    <m/>
    <m/>
    <m/>
    <m/>
    <m/>
    <m/>
    <m/>
    <m/>
    <m/>
    <m/>
    <m/>
    <m/>
    <m/>
    <m/>
    <m/>
    <m/>
    <m/>
    <m/>
    <m/>
    <n v="50496600"/>
    <n v="11629520"/>
    <n v="11629520"/>
    <n v="38867080"/>
    <n v="0"/>
    <x v="0"/>
  </r>
  <r>
    <x v="0"/>
    <x v="3"/>
    <s v="Fortalecimiento de los servicios digitales aumentando la capacidad para la transformación digital e interacción con el ciudadano"/>
    <s v="TIC"/>
    <s v="Sí"/>
    <s v="Sí"/>
    <n v="20"/>
    <s v="130-13"/>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13 Prestar servicios de apoyo a la gestión como analista de sistemas de TI en Gestión de Servicios, para liderar proyectos orientados a la implementación, ajuste y mejora del servicio al cliente interno y externo, asegurando la alineación de la mesa d"/>
    <s v="Enero "/>
    <s v="Enero "/>
    <s v="Enero "/>
    <n v="11.5"/>
    <s v="Meses"/>
    <s v="Contratación directa - Prestación de servicios profesionales "/>
    <s v="Propios - 20 - Ingresos corrientes"/>
    <n v="53097940"/>
    <n v="53097940"/>
    <s v="No"/>
    <s v="N/A"/>
    <s v="Paola del Pilar Puerta Peña"/>
    <s v="Jefe Oficina de Tecnologías de la Información"/>
    <n v="6012220601"/>
    <s v="pilar.puerta@upme.gov.co"/>
    <n v="52791900"/>
    <n v="0"/>
    <n v="0"/>
    <n v="2601340"/>
    <n v="0"/>
    <n v="4590600"/>
    <n v="0"/>
    <n v="4590600"/>
    <n v="0"/>
    <n v="4590600"/>
    <n v="0"/>
    <n v="4590600"/>
    <n v="0"/>
    <n v="4590600"/>
    <n v="0"/>
    <n v="4590600"/>
    <n v="0"/>
    <n v="4590600"/>
    <n v="0"/>
    <n v="4590600"/>
    <n v="0"/>
    <n v="4590600"/>
    <n v="0"/>
    <n v="8875160"/>
    <n v="52791900"/>
    <n v="52791900"/>
    <n v="306040"/>
    <n v="306040"/>
    <s v="Prestar servicios de apoyo a la gestión como analista de sistemas de TI en Gestión de Servicios, para liderar proyectos orientados a la implementación, ajuste y mejora del servicio al cliente interno y externo, asegurando la alineación de la mesa de servi"/>
    <n v="52791900"/>
    <n v="0"/>
    <n v="0"/>
    <n v="2601340"/>
    <n v="0"/>
    <n v="4590600"/>
    <n v="0"/>
    <n v="4590600"/>
    <n v="306040"/>
    <n v="4590600"/>
    <n v="0"/>
    <n v="4590600"/>
    <n v="0"/>
    <n v="4590600"/>
    <n v="0"/>
    <n v="4590600"/>
    <n v="0"/>
    <n v="4590600"/>
    <n v="0"/>
    <n v="4590600"/>
    <n v="0"/>
    <n v="4590600"/>
    <n v="0"/>
    <n v="9181200"/>
    <m/>
    <m/>
    <n v="53097940"/>
    <n v="53097940"/>
    <n v="0"/>
    <n v="0"/>
    <n v="2226"/>
    <d v="2026-01-05T00:00:00"/>
    <n v="52791900"/>
    <n v="306040"/>
    <n v="3326"/>
    <d v="2026-01-09T00:00:00"/>
    <n v="52791900"/>
    <n v="306040"/>
    <n v="0"/>
    <s v="FLOREZ AVILA JEFERSON"/>
    <s v="CO1.PCCNTR8791266"/>
    <n v="52791900"/>
    <m/>
    <m/>
    <m/>
    <n v="2601340"/>
    <n v="2601340"/>
    <m/>
    <n v="4590600"/>
    <n v="4590600"/>
    <m/>
    <n v="4590600"/>
    <n v="4590600"/>
    <m/>
    <m/>
    <m/>
    <m/>
    <m/>
    <m/>
    <m/>
    <m/>
    <m/>
    <m/>
    <m/>
    <m/>
    <m/>
    <m/>
    <m/>
    <m/>
    <m/>
    <m/>
    <m/>
    <m/>
    <m/>
    <m/>
    <m/>
    <m/>
    <n v="52791900"/>
    <n v="11782540"/>
    <n v="11782540"/>
    <n v="41009360"/>
    <n v="0"/>
    <x v="0"/>
  </r>
  <r>
    <x v="0"/>
    <x v="3"/>
    <s v="Fortalecimiento de los servicios digitales aumentando la capacidad para la transformación digital e interacción con el ciudadano"/>
    <s v="TIC"/>
    <s v="Sí"/>
    <s v="Sí"/>
    <n v="20"/>
    <s v="130-14"/>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14 Prestar servicios de apoyo a la gestión en la mesa de servicio para atender, registrar, clasificar y dar solución de primer nivel a los requerimientos tecnológicos, bajo las buenas prácticas ITIL y los procedimientos establecidos para la gestión de"/>
    <s v="Enero "/>
    <s v="Enero "/>
    <s v="Enero "/>
    <n v="11.5"/>
    <s v="Meses"/>
    <s v="Contratación directa - Prestación de servicios profesionales "/>
    <s v="Propios - 20 - Ingresos corrientes"/>
    <n v="52050000"/>
    <n v="52050000"/>
    <s v="No"/>
    <s v="N/A"/>
    <s v="Paola del Pilar Puerta Peña"/>
    <s v="Jefe Oficina de Tecnologías de la Información"/>
    <n v="6012220601"/>
    <s v="pilar.puerta@upme.gov.co"/>
    <n v="51750000"/>
    <n v="0"/>
    <n v="0"/>
    <n v="2550000"/>
    <n v="0"/>
    <n v="4500000"/>
    <n v="0"/>
    <n v="4500000"/>
    <n v="0"/>
    <n v="4500000"/>
    <n v="0"/>
    <n v="4500000"/>
    <n v="0"/>
    <n v="4500000"/>
    <n v="0"/>
    <n v="4500000"/>
    <n v="0"/>
    <n v="4500000"/>
    <n v="0"/>
    <n v="4500000"/>
    <n v="0"/>
    <n v="4500000"/>
    <n v="0"/>
    <n v="8700000"/>
    <n v="51750000"/>
    <n v="51750000"/>
    <n v="300000"/>
    <n v="300000"/>
    <s v="Prestar servicios de apoyo a la gestión en la mesa de servicio para atender, registrar, clasificar y dar solución de primer nivel a los requerimientos tecnológicos, bajo las buenas prácticas ITIL y los procedimientos establecidos para la gestión de servic"/>
    <n v="51750000"/>
    <n v="0"/>
    <n v="0"/>
    <n v="2550000"/>
    <n v="0"/>
    <n v="4500000"/>
    <n v="0"/>
    <n v="4500000"/>
    <n v="300000"/>
    <n v="4500000"/>
    <n v="0"/>
    <n v="4500000"/>
    <n v="0"/>
    <n v="4500000"/>
    <n v="0"/>
    <n v="4500000"/>
    <n v="0"/>
    <n v="4500000"/>
    <n v="0"/>
    <n v="4500000"/>
    <n v="0"/>
    <n v="4500000"/>
    <n v="0"/>
    <n v="9000000"/>
    <m/>
    <m/>
    <n v="52050000"/>
    <n v="52050000"/>
    <n v="0"/>
    <n v="0"/>
    <n v="2326"/>
    <d v="2026-01-05T00:00:00"/>
    <n v="51750000"/>
    <n v="300000"/>
    <n v="3126"/>
    <d v="2026-01-09T00:00:00"/>
    <n v="51750000"/>
    <n v="300000"/>
    <n v="0"/>
    <s v="CAJAMARCA MARTINEZ ESTEFANY LIZETTE"/>
    <s v="CO1.PCCNTR.8787186"/>
    <n v="51750000"/>
    <m/>
    <m/>
    <m/>
    <n v="2550000"/>
    <n v="2550000"/>
    <m/>
    <n v="4500000"/>
    <n v="4500000"/>
    <m/>
    <n v="4500000"/>
    <n v="4500000"/>
    <m/>
    <m/>
    <m/>
    <m/>
    <m/>
    <m/>
    <m/>
    <m/>
    <m/>
    <m/>
    <m/>
    <m/>
    <m/>
    <m/>
    <m/>
    <m/>
    <m/>
    <m/>
    <m/>
    <m/>
    <m/>
    <m/>
    <m/>
    <m/>
    <n v="51750000"/>
    <n v="11550000"/>
    <n v="11550000"/>
    <n v="40200000"/>
    <n v="0"/>
    <x v="0"/>
  </r>
  <r>
    <x v="0"/>
    <x v="3"/>
    <s v="Fortalecimiento de los servicios digitales aumentando la capacidad para la transformación digital e interacción con el ciudadano"/>
    <s v="TIC"/>
    <s v="Sí"/>
    <s v="Sí"/>
    <n v="20"/>
    <s v="130-15"/>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15 Prestar servicios de apoyo a la gestión para la atención de solicitudes de los servicios tecnológicos, apoyar en la gestión de la mesa de servicio y medición de indicadores de TI de la UPME."/>
    <s v="Enero "/>
    <s v="Enero "/>
    <s v="Enero "/>
    <n v="11.5"/>
    <s v="Meses"/>
    <s v="Contratación directa - Prestación de servicios profesionales "/>
    <s v="Propios - 20 - Ingresos corrientes"/>
    <n v="52200000"/>
    <n v="52200000"/>
    <s v="No"/>
    <s v="N/A"/>
    <s v="Paola del Pilar Puerta Peña"/>
    <s v="Jefe Oficina de Tecnologías de la Información"/>
    <n v="6012220601"/>
    <s v="pilar.puerta@upme.gov.co"/>
    <n v="51750000"/>
    <n v="0"/>
    <n v="0"/>
    <n v="2700000"/>
    <n v="0"/>
    <n v="4500000"/>
    <n v="0"/>
    <n v="4500000"/>
    <n v="0"/>
    <n v="4500000"/>
    <n v="0"/>
    <n v="4500000"/>
    <n v="0"/>
    <n v="4500000"/>
    <n v="0"/>
    <n v="4500000"/>
    <n v="0"/>
    <n v="4500000"/>
    <n v="0"/>
    <n v="4500000"/>
    <n v="0"/>
    <n v="4500000"/>
    <n v="0"/>
    <n v="8550000"/>
    <n v="51750000"/>
    <n v="51750000"/>
    <n v="450000"/>
    <n v="450000"/>
    <s v="Prestar servicios de apoyo a la gestión para la atención de solicitudes de los servicios tecnológicos, apoyar en la gestión de la mesa de servicio y medición de indicadores de TI de la UPME."/>
    <n v="51750000"/>
    <n v="0"/>
    <n v="0"/>
    <n v="2700000"/>
    <n v="0"/>
    <n v="4500000"/>
    <n v="0"/>
    <n v="4500000"/>
    <n v="450000"/>
    <n v="4500000"/>
    <n v="0"/>
    <n v="4500000"/>
    <n v="0"/>
    <n v="4500000"/>
    <n v="0"/>
    <n v="4500000"/>
    <n v="0"/>
    <n v="4500000"/>
    <n v="0"/>
    <n v="4500000"/>
    <n v="0"/>
    <n v="4500000"/>
    <n v="0"/>
    <n v="9000000"/>
    <m/>
    <m/>
    <n v="52200000"/>
    <n v="52200000"/>
    <n v="0"/>
    <n v="0"/>
    <n v="2526"/>
    <d v="2026-01-05T00:00:00"/>
    <n v="51750000"/>
    <n v="450000"/>
    <n v="4126"/>
    <d v="2026-01-09T00:00:00"/>
    <n v="51750000"/>
    <n v="450000"/>
    <n v="0"/>
    <s v="AMARILES SANCHEZ JOSE LEONEL"/>
    <s v="CO1.PCCNTR.8785486"/>
    <n v="51750000"/>
    <m/>
    <m/>
    <m/>
    <n v="2700000"/>
    <n v="2700000"/>
    <m/>
    <n v="4500000"/>
    <n v="4500000"/>
    <m/>
    <n v="4500000"/>
    <n v="4500000"/>
    <m/>
    <m/>
    <m/>
    <m/>
    <m/>
    <m/>
    <m/>
    <m/>
    <m/>
    <m/>
    <m/>
    <m/>
    <m/>
    <m/>
    <m/>
    <m/>
    <m/>
    <m/>
    <m/>
    <m/>
    <m/>
    <m/>
    <m/>
    <m/>
    <n v="51750000"/>
    <n v="11700000"/>
    <n v="11700000"/>
    <n v="40050000"/>
    <n v="0"/>
    <x v="0"/>
  </r>
  <r>
    <x v="0"/>
    <x v="3"/>
    <s v="Fortalecimiento de los servicios digitales aumentando la capacidad para la transformación digital e interacción con el ciudadano"/>
    <s v="TIC"/>
    <s v="Sí"/>
    <s v="Sí"/>
    <n v="68"/>
    <s v="130-16"/>
    <s v="Mejorar la implementación del modelo de Gestión de Información Institucional."/>
    <s v="Servicios de Información Implementados"/>
    <s v="Identificar y apropiar soluciones de TI."/>
    <n v="80111620"/>
    <s v="C-2199-1900-5-53105B-2199065-02"/>
    <s v="Prestación de servicios profesionales y/o de apoyo a la gestión"/>
    <s v="130-16 Prestar servicios profesionales especializados orientados a la atención, análisis y resolución de incidentes o requerimientos que afecten los sistemas de información implementados en la UPME, así como la plataforma tecnológica necesaria para su ope"/>
    <s v="Enero "/>
    <s v="Enero "/>
    <s v="Enero "/>
    <n v="11"/>
    <s v="Meses"/>
    <s v="Contratación directa - Prestación de servicios profesionales "/>
    <s v="Propios - 20 - Ingresos corrientes"/>
    <n v="93500000"/>
    <n v="93500000"/>
    <s v="No"/>
    <s v="N/A"/>
    <s v="Paola del Pilar Puerta Peña"/>
    <s v="Jefe Oficina de Tecnologías de la Información"/>
    <n v="6012220601"/>
    <s v="pilar.puerta@upme.gov.co"/>
    <n v="93500000"/>
    <n v="0"/>
    <n v="0"/>
    <n v="2400000"/>
    <n v="0"/>
    <n v="9000000"/>
    <n v="0"/>
    <n v="9000000"/>
    <n v="0"/>
    <n v="9000000"/>
    <n v="0"/>
    <n v="9000000"/>
    <n v="0"/>
    <n v="9000000"/>
    <n v="0"/>
    <n v="9000000"/>
    <n v="0"/>
    <n v="9000000"/>
    <n v="0"/>
    <n v="9000000"/>
    <n v="0"/>
    <n v="9000000"/>
    <n v="0"/>
    <n v="10100000"/>
    <n v="93500000"/>
    <n v="93500000"/>
    <n v="0"/>
    <n v="0"/>
    <s v="Prestar servicios profesionales especializados orientados a la atención, análisis y resolución de incidentes o requerimientos que afecten los sistemas de información implementados en la UPME, así como la plataforma tecnológica necesaria para su operación."/>
    <n v="93500000"/>
    <m/>
    <m/>
    <n v="2400000"/>
    <m/>
    <n v="9000000"/>
    <m/>
    <n v="9000000"/>
    <m/>
    <n v="9000000"/>
    <m/>
    <n v="9000000"/>
    <m/>
    <n v="9000000"/>
    <m/>
    <n v="9000000"/>
    <m/>
    <n v="9000000"/>
    <m/>
    <n v="9000000"/>
    <m/>
    <n v="9000000"/>
    <m/>
    <n v="10100000"/>
    <m/>
    <m/>
    <n v="93500000"/>
    <n v="93500000"/>
    <n v="0"/>
    <n v="0"/>
    <n v="29426"/>
    <d v="2026-01-14T00:00:00"/>
    <n v="93500000"/>
    <n v="0"/>
    <n v="16526"/>
    <d v="2026-01-22T00:00:00"/>
    <n v="93500000"/>
    <n v="0"/>
    <n v="0"/>
    <s v="ESPINOSA MUÑOZ NINROTH"/>
    <s v="CO1.PCCNTR 8899609"/>
    <n v="93500000"/>
    <m/>
    <m/>
    <m/>
    <m/>
    <m/>
    <m/>
    <n v="9000000"/>
    <n v="9000000"/>
    <m/>
    <n v="9000000"/>
    <n v="9000000"/>
    <m/>
    <m/>
    <m/>
    <m/>
    <m/>
    <m/>
    <m/>
    <m/>
    <m/>
    <m/>
    <m/>
    <m/>
    <m/>
    <m/>
    <m/>
    <m/>
    <m/>
    <m/>
    <m/>
    <m/>
    <m/>
    <m/>
    <m/>
    <m/>
    <n v="93500000"/>
    <n v="18000000"/>
    <n v="18000000"/>
    <n v="75500000"/>
    <n v="0"/>
    <x v="0"/>
  </r>
  <r>
    <x v="0"/>
    <x v="3"/>
    <s v="Fortalecimiento de los servicios digitales aumentando la capacidad para la transformación digital e interacción con el ciudadano"/>
    <s v="TIC"/>
    <s v="Sí"/>
    <s v="Sí"/>
    <n v="20"/>
    <s v="130-17"/>
    <s v="Mejorar la implementación del modelo de Gestión de Información Institucional."/>
    <s v="Servicios de Información Implementados"/>
    <s v="Identificar y apropiar soluciones de TI."/>
    <n v="80111620"/>
    <s v="C-2199-1900-5-53105B-2199065-02"/>
    <s v="Prestación de servicios profesionales y/o de apoyo a la gestión"/>
    <s v="130-17 Prestar servicios profesionales especializados en la administración y gestión integral de bases de datos, con el fin de asegurar la correcta implementación, mantenimiento, y optimización de las bases de datos que soportan las aplicaciones y portale"/>
    <s v="Enero "/>
    <s v="Enero "/>
    <s v="Enero "/>
    <n v="11"/>
    <s v="Meses"/>
    <s v="Contratación directa - Prestación de servicios profesionales "/>
    <s v="Propios - 20 - Ingresos corrientes"/>
    <n v="88233333"/>
    <n v="88233333"/>
    <s v="No"/>
    <s v="N/A"/>
    <s v="Paola del Pilar Puerta Peña"/>
    <s v="Jefe Oficina de Tecnologías de la Información"/>
    <n v="6012220601"/>
    <s v="pilar.puerta@upme.gov.co"/>
    <n v="88000000"/>
    <n v="0"/>
    <n v="0"/>
    <n v="1066667"/>
    <n v="0"/>
    <n v="8000000"/>
    <n v="0"/>
    <n v="8000000"/>
    <n v="0"/>
    <n v="8000000"/>
    <n v="0"/>
    <n v="8000000"/>
    <n v="0"/>
    <n v="8000000"/>
    <n v="0"/>
    <n v="8000000"/>
    <n v="0"/>
    <n v="8000000"/>
    <n v="0"/>
    <n v="8000000"/>
    <n v="0"/>
    <n v="8000000"/>
    <n v="0"/>
    <n v="14933333"/>
    <n v="88000000"/>
    <n v="88000000"/>
    <n v="233333"/>
    <n v="233333"/>
    <s v="Prestar servicios profesionales especializados en la administración y gestión integral de bases de datos, con el fin de asegurar la correcta implementación, mantenimiento, y optimización de las bases de datos que soportan las aplicaciones y portales web d"/>
    <n v="88000000"/>
    <n v="0"/>
    <n v="0"/>
    <n v="1066667"/>
    <n v="0"/>
    <n v="8000000"/>
    <n v="0"/>
    <n v="8000000"/>
    <n v="233333"/>
    <n v="8000000"/>
    <n v="0"/>
    <n v="8000000"/>
    <n v="0"/>
    <n v="8000000"/>
    <n v="0"/>
    <n v="8000000"/>
    <n v="0"/>
    <n v="8000000"/>
    <n v="0"/>
    <n v="8000000"/>
    <n v="0"/>
    <n v="8000000"/>
    <n v="0"/>
    <n v="15166666"/>
    <m/>
    <m/>
    <n v="88233333"/>
    <n v="88233333"/>
    <n v="0"/>
    <n v="0"/>
    <n v="25426"/>
    <d v="2026-01-13T00:00:00"/>
    <n v="88000000"/>
    <n v="233333"/>
    <n v="20226"/>
    <d v="2026-01-26T00:00:00"/>
    <n v="88000000"/>
    <n v="233333"/>
    <n v="0"/>
    <s v="VARGAS ACUÑA GILDARDO ANDRES"/>
    <s v="CO1.PCCNTR.9013312"/>
    <n v="88000000"/>
    <m/>
    <m/>
    <m/>
    <n v="1066667"/>
    <n v="1066667"/>
    <m/>
    <n v="8000000"/>
    <n v="8000000"/>
    <m/>
    <n v="8000000"/>
    <n v="8000000"/>
    <m/>
    <m/>
    <m/>
    <m/>
    <m/>
    <m/>
    <m/>
    <m/>
    <m/>
    <m/>
    <m/>
    <m/>
    <m/>
    <m/>
    <m/>
    <m/>
    <m/>
    <m/>
    <m/>
    <m/>
    <m/>
    <m/>
    <m/>
    <m/>
    <n v="88000000"/>
    <n v="17066667"/>
    <n v="17066667"/>
    <n v="70933333"/>
    <n v="0"/>
    <x v="0"/>
  </r>
  <r>
    <x v="0"/>
    <x v="3"/>
    <s v="Fortalecimiento de los servicios digitales aumentando la capacidad para la transformación digital e interacción con el ciudadano"/>
    <s v="TIC"/>
    <s v="Sí"/>
    <s v="Sí"/>
    <n v="20"/>
    <s v="130-18"/>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18 Prestar servicios profesionales especializados para apoyar el seguimiento y control de los instrumentos de planeación institucional y del Proyecto de Inversión de la Oficina de Tecnologías de la Información, comprendiendo el acompañamiento en la ej"/>
    <s v="Enero "/>
    <s v="Enero "/>
    <s v="Enero "/>
    <n v="11.5"/>
    <s v="Meses"/>
    <s v="Contratación directa - Prestación de servicios profesionales "/>
    <s v="Propios - 20 - Ingresos corrientes"/>
    <n v="105600000"/>
    <n v="105600000"/>
    <s v="No"/>
    <s v="N/A"/>
    <s v="Paola del Pilar Puerta Peña"/>
    <s v="Jefe Oficina de Tecnologías de la Información"/>
    <n v="6012220601"/>
    <s v="pilar.puerta@upme.gov.co"/>
    <n v="103500000"/>
    <n v="0"/>
    <n v="0"/>
    <n v="6600000"/>
    <n v="0"/>
    <n v="9000000"/>
    <n v="0"/>
    <n v="9000000"/>
    <n v="0"/>
    <n v="9000000"/>
    <n v="0"/>
    <n v="9000000"/>
    <n v="0"/>
    <n v="9000000"/>
    <n v="0"/>
    <n v="9000000"/>
    <n v="0"/>
    <n v="9000000"/>
    <n v="0"/>
    <n v="9000000"/>
    <n v="0"/>
    <n v="9000000"/>
    <n v="0"/>
    <n v="15900000"/>
    <n v="103500000"/>
    <n v="103500000"/>
    <n v="2100000"/>
    <n v="2100000"/>
    <s v="Prestar servicios profesionales especializados para apoyar el seguimiento y control de los instrumentos de planeación institucional y del Proyecto de Inversión de la Oficina de Tecnologías de la Información, comprendiendo el acompañamiento en la ejecución"/>
    <n v="103500000"/>
    <n v="0"/>
    <n v="0"/>
    <n v="6600000"/>
    <n v="0"/>
    <n v="9000000"/>
    <n v="0"/>
    <n v="9000000"/>
    <n v="2100000"/>
    <n v="9000000"/>
    <n v="0"/>
    <n v="9000000"/>
    <n v="0"/>
    <n v="9000000"/>
    <n v="0"/>
    <n v="9000000"/>
    <n v="0"/>
    <n v="9000000"/>
    <n v="0"/>
    <n v="9000000"/>
    <n v="0"/>
    <n v="9000000"/>
    <n v="0"/>
    <n v="18000000"/>
    <m/>
    <m/>
    <n v="105600000"/>
    <n v="105600000"/>
    <n v="0"/>
    <n v="0"/>
    <n v="2726"/>
    <d v="2026-01-05T00:00:00"/>
    <n v="103500000"/>
    <n v="2100000"/>
    <n v="2926"/>
    <d v="2026-01-08T00:00:00"/>
    <n v="103500000"/>
    <n v="2100000"/>
    <n v="0"/>
    <s v="AVILA MONTENEGRO DANIELA ALEJANDRA"/>
    <s v="CO1.PCCNTR.8782596"/>
    <n v="103500000"/>
    <m/>
    <m/>
    <m/>
    <n v="6600000"/>
    <n v="6600000"/>
    <m/>
    <n v="9000000"/>
    <n v="9000000"/>
    <m/>
    <n v="9000000"/>
    <n v="9000000"/>
    <m/>
    <m/>
    <m/>
    <m/>
    <m/>
    <m/>
    <m/>
    <m/>
    <m/>
    <m/>
    <m/>
    <m/>
    <m/>
    <m/>
    <m/>
    <m/>
    <m/>
    <m/>
    <m/>
    <m/>
    <m/>
    <m/>
    <m/>
    <m/>
    <n v="103500000"/>
    <n v="24600000"/>
    <n v="24600000"/>
    <n v="78900000"/>
    <n v="0"/>
    <x v="0"/>
  </r>
  <r>
    <x v="0"/>
    <x v="3"/>
    <s v="Fortalecimiento de los servicios digitales aumentando la capacidad para la transformación digital e interacción con el ciudadano"/>
    <s v="TIC"/>
    <s v="Sí"/>
    <s v="Sí"/>
    <n v="2"/>
    <s v="130-19"/>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19 Prestar servicios profesionales para apoyar en los proyectos de tecnología en todas sus fases y ciclos de proceso, especialmente, en aquellos enfocados en infraestructura tecnológica a la Oficina de Tecnología de la Información de la UPME."/>
    <s v="Enero "/>
    <s v="Enero "/>
    <s v="Enero "/>
    <n v="11"/>
    <s v="Meses"/>
    <s v="Contratación directa - Prestación de servicios profesionales "/>
    <s v="Propios - 20 - Ingresos corrientes"/>
    <n v="41741700"/>
    <n v="41741700"/>
    <s v="No"/>
    <s v="N/A"/>
    <s v="Paola del Pilar Puerta Peña"/>
    <s v="Jefe Oficina de Tecnologías de la Información"/>
    <n v="6012220601"/>
    <s v="pilar.puerta@upme.gov.co"/>
    <n v="41741700"/>
    <n v="0"/>
    <n v="0"/>
    <n v="0"/>
    <n v="0"/>
    <n v="3794700"/>
    <n v="0"/>
    <n v="3794700"/>
    <n v="0"/>
    <n v="3794700"/>
    <n v="0"/>
    <n v="3794700"/>
    <n v="0"/>
    <n v="3794700"/>
    <n v="0"/>
    <n v="3794700"/>
    <n v="0"/>
    <n v="3794700"/>
    <n v="0"/>
    <n v="3794700"/>
    <n v="0"/>
    <n v="3794700"/>
    <n v="0"/>
    <n v="7589400"/>
    <n v="41741700"/>
    <n v="41741700"/>
    <n v="0"/>
    <n v="0"/>
    <s v="Prestar servicios profesionales para apoyar en los proyectos de tecnología en todas sus fases y ciclos de proceso, especialmente, en aquellos enfocados en infraestructura tecnológica a la Oficina de Tecnología de la Información de la UPME."/>
    <n v="41741700"/>
    <m/>
    <m/>
    <m/>
    <m/>
    <n v="3794700"/>
    <m/>
    <n v="3794700"/>
    <m/>
    <n v="3794700"/>
    <m/>
    <n v="3794700"/>
    <m/>
    <n v="3794700"/>
    <m/>
    <n v="3794700"/>
    <m/>
    <n v="3794700"/>
    <m/>
    <n v="3794700"/>
    <m/>
    <n v="3794700"/>
    <m/>
    <n v="7589400"/>
    <m/>
    <m/>
    <n v="41741700"/>
    <n v="41741700"/>
    <n v="0"/>
    <n v="0"/>
    <n v="39726"/>
    <d v="2026-01-15T00:00:00"/>
    <n v="41741700"/>
    <n v="0"/>
    <n v="27826"/>
    <d v="2026-01-28T00:00:00"/>
    <n v="41741700"/>
    <n v="0"/>
    <n v="0"/>
    <s v="ANGULO ANGULO HUGO HAIDER"/>
    <s v="CO1. PCCNTR.9133157"/>
    <n v="41741700"/>
    <m/>
    <m/>
    <m/>
    <n v="252980"/>
    <n v="252980"/>
    <m/>
    <n v="3794700"/>
    <n v="3794700"/>
    <m/>
    <n v="3794700"/>
    <n v="3794700"/>
    <m/>
    <m/>
    <m/>
    <m/>
    <m/>
    <m/>
    <m/>
    <m/>
    <m/>
    <m/>
    <m/>
    <m/>
    <m/>
    <m/>
    <m/>
    <m/>
    <m/>
    <m/>
    <m/>
    <m/>
    <m/>
    <m/>
    <m/>
    <m/>
    <n v="41741700"/>
    <n v="7842380"/>
    <n v="7842380"/>
    <n v="33899320"/>
    <n v="0"/>
    <x v="0"/>
  </r>
  <r>
    <x v="0"/>
    <x v="3"/>
    <s v="Fortalecimiento de los servicios digitales aumentando la capacidad para la transformación digital e interacción con el ciudadano"/>
    <s v="TIC"/>
    <s v="Sí"/>
    <s v="Sí"/>
    <n v="20"/>
    <s v="130-2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20 Prestar servicios profesionales para apoyar la administración y el mejoramiento continuo del Sistema de Gestión de Seguridad y Privacidad de la Información – SGSI, en el marco del Modelo de Seguridad y Privacidad de la Información – MSPI, orientado"/>
    <s v="Enero "/>
    <s v="Enero "/>
    <s v="Enero "/>
    <n v="11"/>
    <s v="Meses"/>
    <s v="Contratación directa - Prestación de servicios profesionales "/>
    <s v="Propios - 20 - Ingresos corrientes"/>
    <n v="87200000"/>
    <n v="87200000"/>
    <s v="No"/>
    <s v="N/A"/>
    <s v="Paola del Pilar Puerta Peña"/>
    <s v="Jefe Oficina de Tecnologías de la Información"/>
    <n v="6012220601"/>
    <s v="pilar.puerta@upme.gov.co"/>
    <n v="0"/>
    <n v="0"/>
    <n v="88000000"/>
    <n v="0"/>
    <n v="0"/>
    <n v="8000000"/>
    <n v="0"/>
    <n v="8000000"/>
    <n v="0"/>
    <n v="8000000"/>
    <n v="0"/>
    <n v="8000000"/>
    <n v="0"/>
    <n v="8000000"/>
    <n v="0"/>
    <n v="8000000"/>
    <n v="0"/>
    <n v="8000000"/>
    <n v="0"/>
    <n v="8000000"/>
    <n v="0"/>
    <n v="8000000"/>
    <n v="0"/>
    <n v="16000000"/>
    <n v="88000000"/>
    <n v="88000000"/>
    <n v="-800000"/>
    <n v="-800000"/>
    <s v="Prestar servicios profesionales para apoyar la administración y el mejoramiento continuo del Sistema de Gestión de Seguridad y Privacidad de la Información – SGSI, en el marco del Modelo de Seguridad y Privacidad de la Información – MSPI, orientado a los "/>
    <n v="0"/>
    <n v="0"/>
    <n v="88000000"/>
    <n v="0"/>
    <n v="0"/>
    <n v="7200000"/>
    <n v="-800000"/>
    <n v="8000000"/>
    <n v="0"/>
    <n v="8000000"/>
    <n v="0"/>
    <n v="8000000"/>
    <n v="0"/>
    <n v="8000000"/>
    <n v="0"/>
    <n v="8000000"/>
    <n v="0"/>
    <n v="8000000"/>
    <n v="0"/>
    <n v="8000000"/>
    <n v="0"/>
    <n v="8000000"/>
    <n v="0"/>
    <n v="16000000"/>
    <m/>
    <m/>
    <n v="87200000"/>
    <n v="87200000"/>
    <n v="0"/>
    <n v="0"/>
    <n v="27826"/>
    <d v="2026-01-14T00:00:00"/>
    <n v="88000000"/>
    <n v="-800000"/>
    <n v="39226"/>
    <d v="2026-02-03T00:00:00"/>
    <n v="88000000"/>
    <n v="-800000"/>
    <n v="0"/>
    <s v="ROJAS ROA JAVIER ELKIN"/>
    <s v="CO1.PCCNTR. 9180090"/>
    <m/>
    <m/>
    <m/>
    <n v="88000000"/>
    <m/>
    <m/>
    <m/>
    <n v="7200000"/>
    <n v="7200000"/>
    <m/>
    <n v="8000000"/>
    <n v="8000000"/>
    <m/>
    <m/>
    <m/>
    <m/>
    <m/>
    <m/>
    <m/>
    <m/>
    <m/>
    <m/>
    <m/>
    <m/>
    <m/>
    <m/>
    <m/>
    <m/>
    <m/>
    <m/>
    <m/>
    <m/>
    <m/>
    <m/>
    <m/>
    <m/>
    <n v="88000000"/>
    <n v="15200000"/>
    <n v="15200000"/>
    <n v="72800000"/>
    <n v="0"/>
    <x v="0"/>
  </r>
  <r>
    <x v="0"/>
    <x v="3"/>
    <s v="Fortalecimiento de los servicios digitales aumentando la capacidad para la transformación digital e interacción con el ciudadano"/>
    <s v="TIC"/>
    <s v="Sí"/>
    <s v="Sí"/>
    <n v="20"/>
    <s v="130-21"/>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21 Prestar servicios profesionales para gestionar y alinear la Arquitectura Empresarial de sistemas de información de la UPME, garantizando el gobierno de datos y apoyar de manera eficiente la misión y los objetivos estratégicos de la entidad."/>
    <s v="Enero "/>
    <s v="Enero "/>
    <s v="Enero "/>
    <n v="11"/>
    <s v="Meses"/>
    <s v="Contratación directa - Prestación de servicios profesionales "/>
    <s v="Propios - 20 - Ingresos corrientes"/>
    <n v="82250000"/>
    <n v="82250000"/>
    <s v="No"/>
    <s v="N/A"/>
    <s v="Paola del Pilar Puerta Peña"/>
    <s v="Jefe Oficina de Tecnologías de la Información"/>
    <n v="6012220601"/>
    <s v="pilar.puerta@upme.gov.co"/>
    <n v="82500000"/>
    <n v="0"/>
    <n v="0"/>
    <n v="0"/>
    <n v="0"/>
    <n v="7500000"/>
    <n v="0"/>
    <n v="7500000"/>
    <n v="0"/>
    <n v="7500000"/>
    <n v="0"/>
    <n v="7500000"/>
    <n v="0"/>
    <n v="7500000"/>
    <n v="0"/>
    <n v="7500000"/>
    <n v="0"/>
    <n v="7500000"/>
    <n v="0"/>
    <n v="7500000"/>
    <n v="0"/>
    <n v="7500000"/>
    <n v="0"/>
    <n v="15000000"/>
    <n v="82500000"/>
    <n v="82500000"/>
    <n v="-250000"/>
    <n v="-250000"/>
    <s v="Prestar servicios profesionales para gestionar y alinear la Arquitectura Empresarial de sistemas de información de la UPME, garantizando el gobierno de datos y apoyar de manera eficiente la misión y los objetivos estratégicos de la entidad."/>
    <n v="0"/>
    <n v="0"/>
    <n v="82500000"/>
    <n v="0"/>
    <n v="0"/>
    <n v="7250000"/>
    <n v="-250000"/>
    <n v="7500000"/>
    <n v="0"/>
    <n v="7500000"/>
    <n v="0"/>
    <n v="7500000"/>
    <n v="0"/>
    <n v="7500000"/>
    <n v="0"/>
    <n v="7500000"/>
    <n v="0"/>
    <n v="7500000"/>
    <n v="0"/>
    <n v="7500000"/>
    <n v="0"/>
    <n v="7500000"/>
    <n v="0"/>
    <n v="15000000"/>
    <m/>
    <m/>
    <n v="82250000"/>
    <n v="82250000"/>
    <n v="0"/>
    <n v="0"/>
    <n v="27226"/>
    <d v="2026-01-14T00:00:00"/>
    <n v="82500000"/>
    <n v="-250000"/>
    <n v="36926"/>
    <d v="2026-01-30T00:00:00"/>
    <n v="82500000"/>
    <n v="-250000"/>
    <n v="0"/>
    <s v="FONSECA REYES WILLIAM FERNANDO"/>
    <s v="CO1.PCCNTR.9133814"/>
    <n v="82500000"/>
    <m/>
    <m/>
    <m/>
    <m/>
    <m/>
    <m/>
    <n v="7250000"/>
    <n v="7250000"/>
    <m/>
    <n v="7500000"/>
    <n v="7500000"/>
    <m/>
    <m/>
    <m/>
    <m/>
    <m/>
    <m/>
    <m/>
    <m/>
    <m/>
    <m/>
    <m/>
    <m/>
    <m/>
    <m/>
    <m/>
    <m/>
    <m/>
    <m/>
    <m/>
    <m/>
    <m/>
    <m/>
    <m/>
    <m/>
    <n v="82500000"/>
    <n v="14750000"/>
    <n v="14750000"/>
    <n v="67750000"/>
    <n v="0"/>
    <x v="0"/>
  </r>
  <r>
    <x v="0"/>
    <x v="3"/>
    <s v="Fortalecimiento de los servicios digitales aumentando la capacidad para la transformación digital e interacción con el ciudadano"/>
    <s v="TIC"/>
    <s v="Sí"/>
    <s v="Sí"/>
    <n v="20"/>
    <s v="130-22"/>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22 Prestar servicios profesionales para fortalecer la gestión estratégica de tecnología y la transformación digital de la entidad; mediante el diseño, alineación y gestión de la implementación de la Arquitectura Empresarial de la UPME, asegurando la r"/>
    <s v="Enero "/>
    <s v="Enero "/>
    <s v="Enero "/>
    <n v="11"/>
    <s v="Meses"/>
    <s v="Contratación directa - Prestación de servicios profesionales "/>
    <s v="Propios - 20 - Ingresos corrientes"/>
    <n v="75133333"/>
    <n v="75133333"/>
    <s v="No"/>
    <s v="N/A"/>
    <s v="Paola del Pilar Puerta Peña"/>
    <s v="Jefe Oficina de Tecnologías de la Información"/>
    <n v="6012220601"/>
    <s v="pilar.puerta@upme.gov.co"/>
    <n v="0"/>
    <n v="0"/>
    <n v="77000000"/>
    <n v="0"/>
    <n v="0"/>
    <n v="7000000"/>
    <n v="0"/>
    <n v="7000000"/>
    <n v="0"/>
    <n v="7000000"/>
    <n v="0"/>
    <n v="7000000"/>
    <n v="0"/>
    <n v="7000000"/>
    <n v="0"/>
    <n v="7000000"/>
    <n v="0"/>
    <n v="7000000"/>
    <n v="0"/>
    <n v="7000000"/>
    <n v="0"/>
    <n v="7000000"/>
    <n v="0"/>
    <n v="14000000"/>
    <n v="77000000"/>
    <n v="77000000"/>
    <n v="-1866667"/>
    <n v="-1866667"/>
    <s v="Prestar servicios profesionales para fortalecer la gestión estratégica de tecnología y la transformación digital de la entidad; mediante el diseño, alineación y gestión de la implementación de la Arquitectura Empresarial de la UPME, asegurando la relación"/>
    <n v="0"/>
    <n v="0"/>
    <n v="77000000"/>
    <n v="0"/>
    <n v="0"/>
    <n v="5133333"/>
    <n v="-1866667"/>
    <n v="7000000"/>
    <n v="0"/>
    <n v="7000000"/>
    <n v="0"/>
    <n v="7000000"/>
    <n v="0"/>
    <n v="7000000"/>
    <n v="0"/>
    <n v="7000000"/>
    <n v="0"/>
    <n v="7000000"/>
    <n v="0"/>
    <n v="7000000"/>
    <n v="0"/>
    <n v="7000000"/>
    <n v="0"/>
    <n v="14000000"/>
    <m/>
    <m/>
    <n v="75133333"/>
    <n v="75133333"/>
    <n v="0"/>
    <n v="0"/>
    <n v="26126"/>
    <d v="2026-01-13T00:00:00"/>
    <n v="77000000"/>
    <n v="-1866667"/>
    <n v="47926"/>
    <d v="2026-02-06T00:00:00"/>
    <n v="77000000"/>
    <n v="-1866667"/>
    <n v="0"/>
    <s v="RODRIGUEZ VALBUENA JOSE MANUEL"/>
    <s v="CO1.PCCNTR. 9259612"/>
    <m/>
    <m/>
    <m/>
    <n v="77000000"/>
    <m/>
    <m/>
    <m/>
    <n v="5133333"/>
    <n v="5133333"/>
    <m/>
    <n v="7000000"/>
    <n v="7000000"/>
    <m/>
    <m/>
    <m/>
    <m/>
    <m/>
    <m/>
    <m/>
    <m/>
    <m/>
    <m/>
    <m/>
    <m/>
    <m/>
    <m/>
    <m/>
    <m/>
    <m/>
    <m/>
    <m/>
    <m/>
    <m/>
    <m/>
    <m/>
    <m/>
    <n v="77000000"/>
    <n v="12133333"/>
    <n v="12133333"/>
    <n v="64866667"/>
    <n v="0"/>
    <x v="0"/>
  </r>
  <r>
    <x v="0"/>
    <x v="3"/>
    <s v="Fortalecimiento de los servicios digitales aumentando la capacidad para la transformación digital e interacción con el ciudadano"/>
    <s v="TIC"/>
    <s v="Sí"/>
    <s v="Sí"/>
    <n v="7"/>
    <s v="130-23"/>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23 Prestar servicios de apoyo a la gestión para la comunicación estratégica de la entidad, orientados a la divulgación, socialización y posicionamiento de sus planes, programas, proyectos, procesos y resultados, así como a la articulación de estos con"/>
    <s v="Enero "/>
    <s v="Enero "/>
    <s v="Enero "/>
    <n v="9"/>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36139950"/>
    <n v="0"/>
    <n v="0"/>
    <n v="5000000"/>
    <n v="0"/>
    <n v="5000000"/>
    <n v="0"/>
    <n v="5000000"/>
    <n v="0"/>
    <n v="5000000"/>
    <n v="0"/>
    <n v="5000000"/>
    <n v="0"/>
    <n v="5000000"/>
    <n v="0"/>
    <n v="5000000"/>
    <n v="0"/>
    <n v="1139950"/>
    <n v="0"/>
    <n v="0"/>
    <n v="0"/>
    <n v="0"/>
    <n v="36139950"/>
    <n v="36139950"/>
    <n v="0"/>
    <n v="0"/>
    <s v="Prestar servicios de apoyo a la gestión para la comunicación estratégica de la entidad, orientados a la divulgación, socialización y posicionamiento de sus planes, programas, proyectos, procesos y resultados, así como a la articulación de estos con las es"/>
    <m/>
    <m/>
    <n v="36139950"/>
    <m/>
    <m/>
    <n v="5000000"/>
    <m/>
    <n v="5000000"/>
    <m/>
    <n v="5000000"/>
    <m/>
    <n v="5000000"/>
    <m/>
    <n v="5000000"/>
    <m/>
    <n v="5000000"/>
    <m/>
    <n v="5000000"/>
    <m/>
    <n v="1139950"/>
    <m/>
    <m/>
    <m/>
    <m/>
    <m/>
    <m/>
    <n v="36139950"/>
    <n v="36139950"/>
    <n v="0"/>
    <n v="0"/>
    <n v="64226"/>
    <d v="2026-01-24T00:00:00"/>
    <n v="36139950"/>
    <n v="0"/>
    <n v="46826"/>
    <d v="2026-02-06T00:00:00"/>
    <n v="36139950"/>
    <n v="0"/>
    <n v="0"/>
    <s v="FLOREZ MENDEZ JERLY PAOLA"/>
    <s v="CO1.PCCNTR.9268748"/>
    <m/>
    <m/>
    <m/>
    <n v="36139950"/>
    <m/>
    <m/>
    <m/>
    <n v="3666667"/>
    <n v="3666667"/>
    <m/>
    <n v="5000000"/>
    <n v="5000000"/>
    <m/>
    <m/>
    <m/>
    <m/>
    <m/>
    <m/>
    <m/>
    <m/>
    <m/>
    <m/>
    <m/>
    <m/>
    <m/>
    <m/>
    <m/>
    <m/>
    <m/>
    <m/>
    <m/>
    <m/>
    <m/>
    <m/>
    <m/>
    <m/>
    <n v="36139950"/>
    <n v="8666667"/>
    <n v="8666667"/>
    <n v="27473283"/>
    <n v="0"/>
    <x v="0"/>
  </r>
  <r>
    <x v="0"/>
    <x v="3"/>
    <s v="Fortalecimiento de los servicios digitales aumentando la capacidad para la transformación digital e interacción con el ciudadano"/>
    <s v="TIC"/>
    <s v="Sí"/>
    <s v="Sí"/>
    <n v="20"/>
    <s v="130-24"/>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24 Prestar servicios profesionales en la Oficina de Tecnologías de la Información para apoyar actividades administrativas, como la proyección, seguimiento y actualización de los documentos, procesos, procedimientos, guías, instructivos y demás documen"/>
    <s v="Enero "/>
    <s v="Enero "/>
    <s v="Enero "/>
    <n v="11"/>
    <s v="Meses"/>
    <s v="Contratación directa - Prestación de servicios profesionales "/>
    <s v="Propios - 20 - Ingresos corrientes"/>
    <n v="63800000"/>
    <n v="63800000"/>
    <s v="No"/>
    <s v="N/A"/>
    <s v="Paola del Pilar Puerta Peña"/>
    <s v="Jefe Oficina de Tecnologías de la Información"/>
    <n v="6012220601"/>
    <s v="pilar.puerta@upme.gov.co"/>
    <n v="0"/>
    <n v="0"/>
    <n v="66000000"/>
    <n v="0"/>
    <n v="0"/>
    <n v="6000000"/>
    <n v="0"/>
    <n v="6000000"/>
    <n v="0"/>
    <n v="6000000"/>
    <n v="0"/>
    <n v="6000000"/>
    <n v="0"/>
    <n v="6000000"/>
    <n v="0"/>
    <n v="6000000"/>
    <n v="0"/>
    <n v="6000000"/>
    <n v="0"/>
    <n v="6000000"/>
    <n v="0"/>
    <n v="6000000"/>
    <n v="0"/>
    <n v="12000000"/>
    <n v="66000000"/>
    <n v="66000000"/>
    <n v="-2200000"/>
    <n v="-2200000"/>
    <s v="Prestar servicios profesionales en la Oficina de Tecnologías de la Información para apoyar actividades administrativas, como la proyección, seguimiento y actualización de los documentos, procesos, procedimientos, guías, instructivos y demás documentos req"/>
    <n v="0"/>
    <n v="0"/>
    <n v="66000000"/>
    <n v="0"/>
    <n v="0"/>
    <n v="3800000"/>
    <n v="-2200000"/>
    <n v="6000000"/>
    <n v="0"/>
    <n v="6000000"/>
    <n v="0"/>
    <n v="6000000"/>
    <n v="0"/>
    <n v="6000000"/>
    <n v="0"/>
    <n v="6000000"/>
    <n v="0"/>
    <n v="6000000"/>
    <n v="0"/>
    <n v="6000000"/>
    <n v="0"/>
    <n v="6000000"/>
    <n v="0"/>
    <n v="12000000"/>
    <m/>
    <m/>
    <n v="63800000"/>
    <n v="63800000"/>
    <n v="0"/>
    <n v="0"/>
    <n v="26326"/>
    <d v="2026-01-13T00:00:00"/>
    <n v="63800000"/>
    <n v="0"/>
    <n v="58626"/>
    <d v="2026-02-11T00:00:00"/>
    <n v="63800000"/>
    <n v="0"/>
    <n v="0"/>
    <s v="HERNANDEZ TORRES AURA ELENA"/>
    <s v="CO1.PCCNTR.9257064"/>
    <m/>
    <m/>
    <m/>
    <n v="66000000"/>
    <m/>
    <m/>
    <m/>
    <n v="3800000"/>
    <n v="3800000"/>
    <n v="-2200000"/>
    <n v="6000000"/>
    <n v="6000000"/>
    <m/>
    <m/>
    <m/>
    <m/>
    <m/>
    <m/>
    <m/>
    <m/>
    <m/>
    <m/>
    <m/>
    <m/>
    <m/>
    <m/>
    <m/>
    <m/>
    <m/>
    <m/>
    <m/>
    <m/>
    <m/>
    <m/>
    <m/>
    <m/>
    <n v="63800000"/>
    <n v="9800000"/>
    <n v="9800000"/>
    <n v="54000000"/>
    <n v="0"/>
    <x v="0"/>
  </r>
  <r>
    <x v="0"/>
    <x v="3"/>
    <s v="Fortalecimiento de los servicios digitales aumentando la capacidad para la transformación digital e interacción con el ciudadano"/>
    <s v="TIC"/>
    <s v="Sí"/>
    <s v="Sí"/>
    <n v="20"/>
    <s v="130-25"/>
    <s v="Mejorar la implementación del modelo de Gestión de Información Institucional."/>
    <s v="Servicios de Información Implementados"/>
    <s v="Identificar y apropiar soluciones de TI."/>
    <n v="80111620"/>
    <s v="C-2199-1900-5-53105B-2199065-02"/>
    <s v="Prestación de servicios profesionales y/o de apoyo a la gestión"/>
    <s v="130-25 Prestar servicios profesionales para apoyar en los proyectos de tecnología en todas sus fases y ciclos de proceso, especialmente, en aquellos enfocados en la calidad de los sistemas de información a la Oficina de Tecnología de la Información de la "/>
    <s v="Enero "/>
    <s v="Enero "/>
    <s v="Enero "/>
    <n v="11"/>
    <s v="Meses"/>
    <s v="Contratación directa - Prestación de servicios profesionales "/>
    <s v="Propios - 20 - Ingresos corrientes"/>
    <n v="76766667"/>
    <n v="76766667"/>
    <s v="No"/>
    <s v="N/A"/>
    <s v="Paola del Pilar Puerta Peña"/>
    <s v="Jefe Oficina de Tecnologías de la Información"/>
    <n v="6012220601"/>
    <s v="pilar.puerta@upme.gov.co"/>
    <n v="77000000"/>
    <n v="0"/>
    <n v="0"/>
    <n v="0"/>
    <n v="0"/>
    <n v="7000000"/>
    <n v="0"/>
    <n v="7000000"/>
    <n v="0"/>
    <n v="7000000"/>
    <n v="0"/>
    <n v="7000000"/>
    <n v="0"/>
    <n v="7000000"/>
    <n v="0"/>
    <n v="7000000"/>
    <n v="0"/>
    <n v="7000000"/>
    <n v="0"/>
    <n v="7000000"/>
    <n v="0"/>
    <n v="7000000"/>
    <n v="0"/>
    <n v="14000000"/>
    <n v="77000000"/>
    <n v="77000000"/>
    <n v="-233333"/>
    <n v="-233333"/>
    <s v="Prestar servicios profesionales para apoyar en los proyectos de tecnología en todas sus fases y ciclos de proceso, especialmente, en aquellos enfocados en la calidad de los sistemas de información a la Oficina de Tecnología de la Información de la UPME"/>
    <n v="77000000"/>
    <n v="0"/>
    <n v="0"/>
    <n v="0"/>
    <n v="0"/>
    <n v="6766667"/>
    <n v="-233333"/>
    <n v="7000000"/>
    <n v="0"/>
    <n v="7000000"/>
    <n v="0"/>
    <n v="7000000"/>
    <n v="0"/>
    <n v="7000000"/>
    <n v="0"/>
    <n v="7000000"/>
    <n v="0"/>
    <n v="7000000"/>
    <n v="0"/>
    <n v="7000000"/>
    <n v="0"/>
    <n v="7000000"/>
    <n v="0"/>
    <n v="14000000"/>
    <m/>
    <m/>
    <n v="76766667"/>
    <n v="76766667"/>
    <n v="0"/>
    <n v="0"/>
    <n v="27426"/>
    <d v="2026-01-14T00:00:00"/>
    <n v="77000000"/>
    <n v="-233333"/>
    <n v="36326"/>
    <d v="2026-01-30T00:00:00"/>
    <n v="77000000"/>
    <n v="-233333"/>
    <n v="0"/>
    <s v="CARO SILVA JUAN SEBASTIAN"/>
    <s v="CO1.PCCNTR.9178571"/>
    <n v="77000000"/>
    <m/>
    <m/>
    <m/>
    <m/>
    <m/>
    <m/>
    <n v="6766667"/>
    <n v="6766667"/>
    <m/>
    <n v="7000000"/>
    <n v="7000000"/>
    <m/>
    <m/>
    <m/>
    <m/>
    <m/>
    <m/>
    <m/>
    <m/>
    <m/>
    <m/>
    <m/>
    <m/>
    <m/>
    <m/>
    <m/>
    <m/>
    <m/>
    <m/>
    <m/>
    <m/>
    <m/>
    <m/>
    <m/>
    <m/>
    <n v="77000000"/>
    <n v="13766667"/>
    <n v="13766667"/>
    <n v="63233333"/>
    <n v="0"/>
    <x v="0"/>
  </r>
  <r>
    <x v="0"/>
    <x v="3"/>
    <s v="Fortalecimiento de los servicios digitales aumentando la capacidad para la transformación digital e interacción con el ciudadano"/>
    <s v="TIC"/>
    <s v="Sí"/>
    <s v="Sí"/>
    <n v="20"/>
    <s v="130-26"/>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26 Prestar servicios profesionales especializados para la administración y supervisión integral del entorno tecnológico, abarcando redes, servidores, sistemas y plataformas en la nube, lo que incluye la gestión eficiente de los recursos de TI, la opti"/>
    <s v="Enero "/>
    <s v="Enero "/>
    <s v="Enero "/>
    <n v="11.5"/>
    <s v="Meses"/>
    <s v="Contratación directa - Prestación de servicios profesionales "/>
    <s v="Propios - 20 - Ingresos corrientes"/>
    <n v="115666667"/>
    <n v="115666667"/>
    <s v="No"/>
    <s v="N/A"/>
    <s v="Paola del Pilar Puerta Peña"/>
    <s v="Jefe Oficina de Tecnologías de la Información"/>
    <n v="6012220601"/>
    <s v="pilar.puerta@upme.gov.co"/>
    <n v="115000000"/>
    <n v="0"/>
    <n v="0"/>
    <n v="5333333"/>
    <n v="0"/>
    <n v="10000000"/>
    <n v="0"/>
    <n v="10000000"/>
    <n v="0"/>
    <n v="10000000"/>
    <n v="0"/>
    <n v="10000000"/>
    <n v="0"/>
    <n v="10000000"/>
    <n v="0"/>
    <n v="10000000"/>
    <n v="0"/>
    <n v="10000000"/>
    <n v="0"/>
    <n v="10000000"/>
    <n v="0"/>
    <n v="10000000"/>
    <n v="0"/>
    <n v="19666667"/>
    <n v="115000000"/>
    <n v="115000000"/>
    <n v="666667"/>
    <n v="666667"/>
    <s v="Prestar servicios profesionales especializados para la administración y supervisión integral del entorno tecnológico, abarcando redes, servidores, sistemas y plataformas en la nube, lo que incluye la gestión eficiente de los recursos de TI, la optimizació"/>
    <n v="115000000"/>
    <n v="0"/>
    <n v="0"/>
    <n v="5666667"/>
    <n v="0"/>
    <n v="10000000"/>
    <n v="0"/>
    <n v="10000000"/>
    <n v="666667"/>
    <n v="10000000"/>
    <n v="0"/>
    <n v="10000000"/>
    <n v="0"/>
    <n v="10000000"/>
    <n v="0"/>
    <n v="10000000"/>
    <n v="0"/>
    <n v="10000000"/>
    <n v="0"/>
    <n v="10000000"/>
    <n v="0"/>
    <n v="10000000"/>
    <n v="0"/>
    <n v="20000000"/>
    <m/>
    <m/>
    <n v="115666667"/>
    <n v="115666667"/>
    <n v="0"/>
    <n v="0"/>
    <n v="2926"/>
    <d v="2026-01-05T00:00:00"/>
    <n v="115000000"/>
    <n v="666667"/>
    <n v="6126"/>
    <d v="2026-01-13T00:00:00"/>
    <n v="115000000"/>
    <n v="666667"/>
    <n v="0"/>
    <s v="SIERRA HUERTAS TANIA"/>
    <s v="CO1.PCCNTR.8818891"/>
    <n v="115000000"/>
    <m/>
    <m/>
    <m/>
    <n v="5666666"/>
    <n v="5666666"/>
    <m/>
    <n v="10000000"/>
    <n v="10000000"/>
    <m/>
    <n v="10000000"/>
    <n v="10000000"/>
    <m/>
    <m/>
    <m/>
    <m/>
    <m/>
    <m/>
    <m/>
    <m/>
    <m/>
    <m/>
    <m/>
    <m/>
    <m/>
    <m/>
    <m/>
    <m/>
    <m/>
    <m/>
    <m/>
    <m/>
    <m/>
    <m/>
    <m/>
    <m/>
    <n v="115000000"/>
    <n v="25666666"/>
    <n v="25666666"/>
    <n v="89333334"/>
    <n v="0"/>
    <x v="0"/>
  </r>
  <r>
    <x v="0"/>
    <x v="3"/>
    <s v="Fortalecimiento de los servicios digitales aumentando la capacidad para la transformación digital e interacción con el ciudadano"/>
    <s v="TIC"/>
    <s v="Sí"/>
    <s v="Sí"/>
    <n v="20"/>
    <s v="130-27"/>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27 Prestar servicios profesionales para realizar actividades de mantenimiento preventivo y correctivo de equipos de cómputo, diagnóstico y reparación de fallas de hardware y software, así como el diseño, instalación, configuración y puesta en funciona"/>
    <s v="Enero "/>
    <s v="Enero "/>
    <s v="Enero "/>
    <n v="11"/>
    <s v="Meses"/>
    <s v="Contratación directa - Prestación de servicios profesionales "/>
    <s v="Propios - 20 - Ingresos corrientes"/>
    <n v="57200000"/>
    <n v="57200000"/>
    <s v="No"/>
    <s v="N/A"/>
    <s v="Paola del Pilar Puerta Peña"/>
    <s v="Jefe Oficina de Tecnologías de la Información"/>
    <n v="6012220601"/>
    <s v="pilar.puerta@upme.gov.co"/>
    <n v="0"/>
    <n v="0"/>
    <n v="59400000"/>
    <n v="0"/>
    <n v="0"/>
    <n v="5400000"/>
    <n v="0"/>
    <n v="5400000"/>
    <n v="0"/>
    <n v="5400000"/>
    <n v="0"/>
    <n v="5400000"/>
    <n v="0"/>
    <n v="5400000"/>
    <n v="0"/>
    <n v="5400000"/>
    <n v="0"/>
    <n v="5400000"/>
    <n v="0"/>
    <n v="5400000"/>
    <n v="0"/>
    <n v="5400000"/>
    <n v="0"/>
    <n v="10800000"/>
    <n v="59400000"/>
    <n v="59400000"/>
    <n v="-2200000"/>
    <n v="-2200000"/>
    <s v="Prestar servicios profesionales para realizar actividades de mantenimiento preventivo y correctivo de equipos de cómputo, diagnóstico y reparación de fallas de hardware y software, así como el diseño, instalación, configuración y puesta en funcionamiento "/>
    <n v="0"/>
    <n v="0"/>
    <n v="59400000"/>
    <n v="0"/>
    <n v="0"/>
    <n v="3800000"/>
    <n v="-2200000"/>
    <n v="6000000"/>
    <n v="0"/>
    <n v="6000000"/>
    <n v="0"/>
    <n v="6000000"/>
    <n v="0"/>
    <n v="6000000"/>
    <n v="0"/>
    <n v="6000000"/>
    <n v="0"/>
    <n v="6000000"/>
    <n v="0"/>
    <n v="6000000"/>
    <n v="0"/>
    <n v="6000000"/>
    <n v="0"/>
    <n v="5400000"/>
    <m/>
    <m/>
    <n v="57200000"/>
    <n v="57200000"/>
    <n v="0"/>
    <n v="0"/>
    <n v="26226"/>
    <d v="2026-01-13T00:00:00"/>
    <n v="59400000"/>
    <n v="-2200000"/>
    <n v="48226"/>
    <d v="2026-02-06T00:00:00"/>
    <n v="59400000"/>
    <n v="-2200000"/>
    <n v="0"/>
    <s v="RUIZ HERNANDEZ EDWIN JOSE"/>
    <s v="CO1.PCCNTR.9261191"/>
    <m/>
    <m/>
    <m/>
    <n v="59400000"/>
    <m/>
    <m/>
    <m/>
    <n v="3800000"/>
    <n v="3800000"/>
    <m/>
    <n v="6000000"/>
    <n v="6000000"/>
    <m/>
    <m/>
    <m/>
    <m/>
    <m/>
    <m/>
    <m/>
    <m/>
    <m/>
    <m/>
    <m/>
    <m/>
    <m/>
    <m/>
    <m/>
    <m/>
    <m/>
    <m/>
    <m/>
    <m/>
    <m/>
    <m/>
    <m/>
    <m/>
    <n v="59400000"/>
    <n v="9800000"/>
    <n v="9800000"/>
    <n v="49600000"/>
    <n v="0"/>
    <x v="0"/>
  </r>
  <r>
    <x v="0"/>
    <x v="3"/>
    <s v="Fortalecimiento de los servicios digitales aumentando la capacidad para la transformación digital e interacción con el ciudadano"/>
    <s v="TIC"/>
    <s v="Sí"/>
    <s v="Sí"/>
    <n v="68"/>
    <s v="130-28"/>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28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9640643"/>
    <n v="9640643"/>
    <s v="No"/>
    <s v="N/A"/>
    <s v="Paola del Pilar Puerta Peña"/>
    <s v="Jefe Oficina de Tecnologías de la Información"/>
    <n v="6012220601"/>
    <s v="pilar.puerta@upme.gov.co"/>
    <n v="0"/>
    <n v="0"/>
    <n v="9640643"/>
    <n v="0"/>
    <n v="0"/>
    <n v="0"/>
    <n v="0"/>
    <n v="0"/>
    <n v="0"/>
    <n v="4511963"/>
    <n v="0"/>
    <n v="5128680"/>
    <n v="0"/>
    <n v="0"/>
    <n v="0"/>
    <n v="0"/>
    <n v="0"/>
    <n v="0"/>
    <n v="0"/>
    <n v="0"/>
    <n v="0"/>
    <n v="0"/>
    <n v="0"/>
    <n v="0"/>
    <n v="9640643"/>
    <n v="9640643"/>
    <n v="0"/>
    <n v="0"/>
    <s v="Prestar servicios profesionales orientados al fortalecimiento de la Dimensión de Control Interno mediante la ejecución del Plan Anual de Auditorías Internas Independientes, con énfasis en la evaluación de la gestión administrativa de la UPME."/>
    <m/>
    <m/>
    <n v="9640643"/>
    <m/>
    <m/>
    <m/>
    <m/>
    <m/>
    <m/>
    <n v="4511963"/>
    <m/>
    <n v="5128680"/>
    <m/>
    <m/>
    <m/>
    <m/>
    <m/>
    <m/>
    <m/>
    <m/>
    <m/>
    <m/>
    <m/>
    <m/>
    <m/>
    <m/>
    <n v="9640643"/>
    <n v="9640643"/>
    <n v="0"/>
    <n v="0"/>
    <n v="64026"/>
    <d v="2026-01-23T00:00:00"/>
    <n v="9640643"/>
    <n v="0"/>
    <n v="59726"/>
    <d v="2026-02-12T00:00:00"/>
    <n v="9640643"/>
    <n v="0"/>
    <n v="0"/>
    <s v="NUÑEZ GANTIVA NATALIA ELIANA"/>
    <s v="CO1.PCCNTR.9306722"/>
    <m/>
    <m/>
    <m/>
    <n v="9640643"/>
    <m/>
    <m/>
    <m/>
    <m/>
    <m/>
    <m/>
    <m/>
    <m/>
    <m/>
    <m/>
    <m/>
    <m/>
    <m/>
    <m/>
    <m/>
    <m/>
    <m/>
    <m/>
    <m/>
    <m/>
    <m/>
    <m/>
    <m/>
    <m/>
    <m/>
    <m/>
    <m/>
    <m/>
    <m/>
    <m/>
    <m/>
    <m/>
    <n v="9640643"/>
    <n v="0"/>
    <n v="0"/>
    <n v="9640643"/>
    <n v="0"/>
    <x v="0"/>
  </r>
  <r>
    <x v="0"/>
    <x v="3"/>
    <s v="Fortalecimiento de los servicios digitales aumentando la capacidad para la transformación digital e interacción con el ciudadano"/>
    <s v="TIC"/>
    <s v="Sí"/>
    <s v="Sí"/>
    <n v="68"/>
    <s v="130-29"/>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29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9640643"/>
    <n v="9640643"/>
    <s v="No"/>
    <s v="N/A"/>
    <s v="Paola del Pilar Puerta Peña"/>
    <s v="Jefe Oficina de Tecnologías de la Información"/>
    <n v="6012220601"/>
    <s v="pilar.puerta@upme.gov.co"/>
    <n v="0"/>
    <n v="0"/>
    <n v="0"/>
    <n v="0"/>
    <n v="0"/>
    <n v="0"/>
    <n v="0"/>
    <n v="0"/>
    <n v="0"/>
    <n v="0"/>
    <n v="0"/>
    <n v="0"/>
    <n v="9640643"/>
    <n v="0"/>
    <n v="0"/>
    <n v="0"/>
    <n v="0"/>
    <n v="0"/>
    <n v="0"/>
    <n v="3000000"/>
    <n v="0"/>
    <n v="3000000"/>
    <n v="0"/>
    <n v="3640643"/>
    <n v="9640643"/>
    <n v="9640643"/>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9640643"/>
    <m/>
    <m/>
    <m/>
    <m/>
    <m/>
    <m/>
    <n v="3000000"/>
    <m/>
    <n v="3000000"/>
    <m/>
    <n v="3640643"/>
    <m/>
    <m/>
    <n v="9640643"/>
    <n v="9640643"/>
    <n v="0"/>
    <n v="0"/>
    <m/>
    <m/>
    <m/>
    <n v="9640643"/>
    <m/>
    <m/>
    <n v="0"/>
    <n v="9640643"/>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3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30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9640642"/>
    <n v="9640642"/>
    <s v="No"/>
    <s v="N/A"/>
    <s v="Paola del Pilar Puerta Peña"/>
    <s v="Jefe Oficina de Tecnologías de la Información"/>
    <n v="6012220601"/>
    <s v="pilar.puerta@upme.gov.co"/>
    <n v="0"/>
    <n v="0"/>
    <n v="0"/>
    <n v="0"/>
    <n v="0"/>
    <n v="0"/>
    <n v="0"/>
    <n v="0"/>
    <n v="0"/>
    <n v="0"/>
    <n v="0"/>
    <n v="0"/>
    <n v="9640642"/>
    <n v="0"/>
    <n v="0"/>
    <n v="0"/>
    <n v="0"/>
    <n v="0"/>
    <n v="0"/>
    <n v="3000000"/>
    <n v="0"/>
    <n v="3000000"/>
    <n v="0"/>
    <n v="3640642"/>
    <n v="9640642"/>
    <n v="9640642"/>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9640642"/>
    <m/>
    <m/>
    <m/>
    <m/>
    <m/>
    <m/>
    <n v="3000000"/>
    <m/>
    <n v="3000000"/>
    <m/>
    <n v="3640642"/>
    <m/>
    <m/>
    <n v="9640642"/>
    <n v="9640642"/>
    <n v="0"/>
    <n v="0"/>
    <m/>
    <m/>
    <m/>
    <n v="9640642"/>
    <m/>
    <m/>
    <n v="0"/>
    <n v="9640642"/>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
    <s v="130-31"/>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31 Prestar servicios profesionales para el desarrollo de la gestión contractual de la entidad, desde el Git de Gestión Contractual, en especial, lo relacionado con las actividades derivadas de la Oficina de Tecnologías de la Información."/>
    <s v="Enero "/>
    <s v="Enero "/>
    <s v="Enero "/>
    <n v="6"/>
    <s v="Meses"/>
    <s v="Contratación directa - Prestación de servicios profesionales "/>
    <s v="Propios - 20 - Ingresos corrientes"/>
    <n v="39979800"/>
    <n v="39979800"/>
    <s v="No"/>
    <s v="N/A"/>
    <s v="Paola del Pilar Puerta Peña"/>
    <s v="Jefe Oficina de Tecnologías de la Información"/>
    <n v="6012220601"/>
    <s v="pilar.puerta@upme.gov.co"/>
    <n v="39979800"/>
    <n v="0"/>
    <n v="0"/>
    <n v="4664310"/>
    <n v="0"/>
    <n v="6663300"/>
    <n v="0"/>
    <n v="6663300"/>
    <n v="0"/>
    <n v="6663300"/>
    <n v="0"/>
    <n v="6663300"/>
    <n v="0"/>
    <n v="6663300"/>
    <n v="0"/>
    <n v="1998990"/>
    <n v="0"/>
    <n v="0"/>
    <n v="0"/>
    <n v="0"/>
    <n v="0"/>
    <n v="0"/>
    <n v="0"/>
    <n v="0"/>
    <n v="39979800"/>
    <n v="39979800"/>
    <n v="0"/>
    <n v="0"/>
    <s v="Prestar servicios profesionales para el desarrollo de la gestión contractual de la entidad, desde el Git de Gestión Contractual, en especial, lo relacionado con las actividades derivadas de la Oficina de Tecnologías de la Información."/>
    <n v="39979800"/>
    <m/>
    <m/>
    <n v="4664310"/>
    <m/>
    <n v="6663300"/>
    <m/>
    <n v="6663300"/>
    <m/>
    <n v="6663300"/>
    <m/>
    <n v="6663300"/>
    <m/>
    <n v="6663300"/>
    <m/>
    <n v="1998990"/>
    <m/>
    <m/>
    <m/>
    <m/>
    <m/>
    <m/>
    <m/>
    <m/>
    <m/>
    <m/>
    <n v="39979800"/>
    <n v="39979800"/>
    <n v="0"/>
    <n v="0"/>
    <n v="6626"/>
    <d v="2026-01-06T00:00:00"/>
    <n v="39979800"/>
    <n v="0"/>
    <n v="3226"/>
    <d v="2026-01-09T00:00:00"/>
    <n v="39979800"/>
    <n v="0"/>
    <n v="0"/>
    <s v="CORREDOR ROJAS CLAUDIA PATRICIA"/>
    <s v="CO1.PCCNTR.8788046"/>
    <n v="39979800"/>
    <m/>
    <m/>
    <m/>
    <n v="3997980"/>
    <n v="3997980"/>
    <m/>
    <m/>
    <m/>
    <m/>
    <n v="13326600"/>
    <n v="13326600"/>
    <m/>
    <m/>
    <m/>
    <m/>
    <m/>
    <m/>
    <m/>
    <m/>
    <m/>
    <m/>
    <m/>
    <m/>
    <m/>
    <m/>
    <m/>
    <m/>
    <m/>
    <m/>
    <m/>
    <m/>
    <m/>
    <m/>
    <m/>
    <m/>
    <n v="39979800"/>
    <n v="17324580"/>
    <n v="17324580"/>
    <n v="22655220"/>
    <n v="0"/>
    <x v="0"/>
  </r>
  <r>
    <x v="0"/>
    <x v="3"/>
    <s v="Fortalecimiento de los servicios digitales aumentando la capacidad para la transformación digital e interacción con el ciudadano"/>
    <s v="TIC"/>
    <s v="Sí"/>
    <s v="Sí"/>
    <n v="20"/>
    <s v="130-32"/>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32 Prestar servicios profesionales para apoyar a la oficina de tecnologías de la información en la implementación del Modelo de Gestión y Gobierno de acuerdo a los lineamientos establecidos por el MinTIC."/>
    <s v="Enero "/>
    <s v="Enero "/>
    <s v="Enero "/>
    <n v="11"/>
    <s v="Meses"/>
    <s v="Contratación directa - Prestación de servicios profesionales "/>
    <s v="Propios - 20 - Ingresos corrientes"/>
    <n v="38850630"/>
    <n v="38850630"/>
    <s v="No"/>
    <s v="N/A"/>
    <s v="Paola del Pilar Puerta Peña"/>
    <s v="Jefe Oficina de Tecnologías de la Información"/>
    <n v="6012220601"/>
    <s v="pilar.puerta@upme.gov.co"/>
    <n v="0"/>
    <n v="0"/>
    <n v="39939900"/>
    <n v="0"/>
    <n v="0"/>
    <n v="3630900"/>
    <n v="0"/>
    <n v="3630900"/>
    <n v="0"/>
    <n v="3630900"/>
    <n v="0"/>
    <n v="3630900"/>
    <n v="0"/>
    <n v="3630900"/>
    <n v="0"/>
    <n v="3630900"/>
    <n v="0"/>
    <n v="3630900"/>
    <n v="0"/>
    <n v="3630900"/>
    <n v="0"/>
    <n v="3630900"/>
    <n v="0"/>
    <n v="7261800"/>
    <n v="39939900"/>
    <n v="39939900"/>
    <n v="-1089270"/>
    <n v="-1089270"/>
    <s v="Prestar servicios profesionales para apoyar a la oficina de tecnologías de la información en la implementación del Modelo de Gestión y Gobierno de acuerdo a los lineamientos establecidos por el MinTIC."/>
    <n v="0"/>
    <n v="0"/>
    <n v="39939900"/>
    <n v="0"/>
    <n v="0"/>
    <n v="2541630"/>
    <n v="-1089270"/>
    <n v="3630900"/>
    <n v="0"/>
    <n v="3630900"/>
    <n v="0"/>
    <n v="3630900"/>
    <n v="0"/>
    <n v="3630900"/>
    <n v="0"/>
    <n v="3630900"/>
    <n v="0"/>
    <n v="3630900"/>
    <n v="0"/>
    <n v="3630900"/>
    <n v="0"/>
    <n v="3630900"/>
    <n v="0"/>
    <n v="7261800"/>
    <m/>
    <m/>
    <n v="38850630"/>
    <n v="38850630"/>
    <n v="0"/>
    <n v="0"/>
    <n v="26726"/>
    <d v="2026-01-14T00:00:00"/>
    <n v="39939900"/>
    <n v="-1089270"/>
    <n v="52126"/>
    <d v="2026-02-09T00:00:00"/>
    <n v="39939900"/>
    <n v="-1089270"/>
    <n v="0"/>
    <s v="QUINTERO DAVILA RICARDO"/>
    <s v="CO1.PCCNTR.9272950"/>
    <m/>
    <m/>
    <m/>
    <n v="39939900"/>
    <m/>
    <m/>
    <m/>
    <n v="2541630"/>
    <n v="2541630"/>
    <m/>
    <n v="3630900"/>
    <n v="3630900"/>
    <m/>
    <m/>
    <m/>
    <m/>
    <m/>
    <m/>
    <m/>
    <m/>
    <m/>
    <m/>
    <m/>
    <m/>
    <m/>
    <m/>
    <m/>
    <m/>
    <m/>
    <m/>
    <m/>
    <m/>
    <m/>
    <m/>
    <m/>
    <m/>
    <n v="39939900"/>
    <n v="6172530"/>
    <n v="6172530"/>
    <n v="33767370"/>
    <n v="0"/>
    <x v="0"/>
  </r>
  <r>
    <x v="0"/>
    <x v="3"/>
    <s v="Fortalecimiento de los servicios digitales aumentando la capacidad para la transformación digital e interacción con el ciudadano"/>
    <s v="TIC"/>
    <s v="Sí"/>
    <s v="Sí"/>
    <n v="2"/>
    <s v="130-33"/>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33 Prestar servicios profesionales especializados para el desarrollo de la gestión contractual de la Unidad, brindando especial atención a las necesidades de la Oficina de Tecnologías de la Información, en coordinación del Jit de Gestión Contractual."/>
    <s v="Enero "/>
    <s v="Enero "/>
    <s v="Enero "/>
    <n v="6"/>
    <s v="Meses"/>
    <s v="Contratación directa - Prestación de servicios profesionales "/>
    <s v="Propios - 20 - Ingresos corrientes"/>
    <n v="39000000"/>
    <n v="39000000"/>
    <s v="No"/>
    <s v="N/A"/>
    <s v="Paola del Pilar Puerta Peña"/>
    <s v="Jefe Oficina de Tecnologías de la Información"/>
    <n v="6012220601"/>
    <s v="pilar.puerta@upme.gov.co"/>
    <n v="39000000"/>
    <n v="0"/>
    <n v="0"/>
    <n v="3250000"/>
    <n v="0"/>
    <n v="6500000"/>
    <n v="0"/>
    <n v="6500000"/>
    <n v="0"/>
    <n v="6500000"/>
    <n v="0"/>
    <n v="6500000"/>
    <n v="0"/>
    <n v="6500000"/>
    <n v="0"/>
    <n v="3250000"/>
    <n v="0"/>
    <n v="0"/>
    <n v="0"/>
    <n v="0"/>
    <n v="0"/>
    <n v="0"/>
    <n v="0"/>
    <n v="0"/>
    <n v="39000000"/>
    <n v="39000000"/>
    <n v="0"/>
    <n v="0"/>
    <s v="Prestar servicios profesionales especializados para el desarrollo de la gestión contractual de la Unidad, brindando especial atención a las necesidades de la Oficina de Tecnologías de la Información, en coordinación del Jit de Gestión Contractual."/>
    <n v="39000000"/>
    <m/>
    <m/>
    <n v="3250000"/>
    <m/>
    <n v="6500000"/>
    <m/>
    <n v="6500000"/>
    <m/>
    <n v="6500000"/>
    <m/>
    <n v="6500000"/>
    <m/>
    <n v="6500000"/>
    <m/>
    <n v="3250000"/>
    <m/>
    <m/>
    <m/>
    <m/>
    <m/>
    <m/>
    <m/>
    <m/>
    <m/>
    <m/>
    <n v="39000000"/>
    <n v="39000000"/>
    <n v="0"/>
    <n v="0"/>
    <n v="6226"/>
    <d v="2026-01-06T00:00:00"/>
    <n v="39000000"/>
    <n v="0"/>
    <n v="3526"/>
    <d v="2026-01-09T00:00:00"/>
    <n v="39000000"/>
    <n v="0"/>
    <n v="0"/>
    <s v="HERRERA DE LA HOZ MILENA DEL PILAR"/>
    <s v="CO1.PCCNTR.8786372"/>
    <n v="39000000"/>
    <m/>
    <m/>
    <m/>
    <n v="3900000"/>
    <n v="3900000"/>
    <m/>
    <n v="6500000"/>
    <n v="6500000"/>
    <m/>
    <n v="6500000"/>
    <n v="6500000"/>
    <m/>
    <m/>
    <m/>
    <m/>
    <m/>
    <m/>
    <m/>
    <m/>
    <m/>
    <m/>
    <m/>
    <m/>
    <m/>
    <m/>
    <m/>
    <m/>
    <m/>
    <m/>
    <m/>
    <m/>
    <m/>
    <m/>
    <m/>
    <m/>
    <n v="39000000"/>
    <n v="16900000"/>
    <n v="16900000"/>
    <n v="22100000"/>
    <n v="0"/>
    <x v="0"/>
  </r>
  <r>
    <x v="0"/>
    <x v="3"/>
    <s v="Fortalecimiento de los servicios digitales aumentando la capacidad para la transformación digital e interacción con el ciudadano"/>
    <s v="TIC"/>
    <s v="Sí"/>
    <s v="Sí"/>
    <n v="16"/>
    <s v="130-34"/>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34 Prestar servicios profesionales para el desarrollo de las actividades relacionadas con la gestión contractual de la Oficina de Tecnologías de la Información, y para el apoyo de las mismas de manera transversal en la Entidad."/>
    <s v="Enero "/>
    <s v="Enero "/>
    <s v="Enero "/>
    <n v="6"/>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19712700"/>
    <n v="0"/>
    <n v="0"/>
    <n v="3285450"/>
    <n v="0"/>
    <n v="3285450"/>
    <n v="0"/>
    <n v="3285450"/>
    <n v="0"/>
    <n v="3285450"/>
    <n v="0"/>
    <n v="3285450"/>
    <n v="0"/>
    <n v="3285450"/>
    <n v="0"/>
    <n v="0"/>
    <n v="0"/>
    <n v="0"/>
    <n v="0"/>
    <n v="0"/>
    <n v="19287300"/>
    <n v="19287300"/>
    <n v="39000000"/>
    <n v="39000000"/>
    <n v="-2860050"/>
    <n v="-2860050"/>
    <s v="Prestar servicios profesionales para el desarrollo de las actividades relacionadas con la gestión contractual de la Oficina de Tecnologías de la Información, y para el apoyo de las mismas de manera transversal en la Entidad."/>
    <n v="36139950"/>
    <n v="0"/>
    <n v="0"/>
    <n v="0"/>
    <n v="0"/>
    <n v="3285450"/>
    <n v="0"/>
    <n v="3285450"/>
    <n v="0"/>
    <n v="3285450"/>
    <n v="0"/>
    <n v="3285450"/>
    <n v="0"/>
    <n v="3285450"/>
    <n v="0"/>
    <n v="3285450"/>
    <n v="0"/>
    <n v="0"/>
    <n v="0"/>
    <n v="0"/>
    <n v="0"/>
    <n v="0"/>
    <n v="0"/>
    <n v="16427250"/>
    <m/>
    <m/>
    <n v="36139950"/>
    <n v="36139950"/>
    <n v="0"/>
    <n v="0"/>
    <n v="67426"/>
    <d v="2026-01-30T00:00:00"/>
    <n v="36139950"/>
    <n v="0"/>
    <n v="54126"/>
    <d v="2026-02-10T00:00:00"/>
    <n v="19712700"/>
    <n v="16427250"/>
    <n v="16427250"/>
    <s v="VILLALBA ALVAREZ WILMAN JOSÉ"/>
    <s v="CO1.PCCNTR.9308424"/>
    <m/>
    <m/>
    <m/>
    <n v="19712700"/>
    <m/>
    <m/>
    <m/>
    <n v="2190300"/>
    <n v="2190300"/>
    <m/>
    <n v="3285450"/>
    <n v="3285450"/>
    <m/>
    <m/>
    <m/>
    <m/>
    <m/>
    <m/>
    <m/>
    <m/>
    <m/>
    <m/>
    <m/>
    <m/>
    <m/>
    <m/>
    <m/>
    <m/>
    <m/>
    <m/>
    <m/>
    <m/>
    <m/>
    <m/>
    <m/>
    <m/>
    <n v="19712700"/>
    <n v="5475750"/>
    <n v="5475750"/>
    <n v="14236950"/>
    <n v="0"/>
    <x v="0"/>
  </r>
  <r>
    <x v="0"/>
    <x v="3"/>
    <s v="Fortalecimiento de los servicios digitales aumentando la capacidad para la transformación digital e interacción con el ciudadano"/>
    <s v="TIC"/>
    <s v="Sí"/>
    <s v="Sí"/>
    <n v="16"/>
    <s v="130-35"/>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35 Prestar servicios profesionales especializados para apoyar de manera transversal la gestión del talento humano de la Unidad de Planeación Minero Energética UPME, mediante la implementación, seguimiento y mejora del Sistema de Gestión de Seguridad y"/>
    <s v="Enero "/>
    <s v="Enero "/>
    <s v="Enero "/>
    <n v="11.5"/>
    <s v="Meses"/>
    <s v="Contratación directa - Prestación de servicios profesionales "/>
    <s v="Propios - 20 - Ingresos corrientes"/>
    <n v="60500000"/>
    <n v="60500000"/>
    <s v="No"/>
    <s v="N/A"/>
    <s v="Paola del Pilar Puerta Peña"/>
    <s v="Jefe Oficina de Tecnologías de la Información"/>
    <n v="6012220601"/>
    <s v="pilar.puerta@upme.gov.co"/>
    <n v="60500000"/>
    <n v="0"/>
    <n v="0"/>
    <n v="0"/>
    <n v="0"/>
    <n v="5500000"/>
    <n v="0"/>
    <n v="5500000"/>
    <n v="0"/>
    <n v="5500000"/>
    <n v="0"/>
    <n v="5500000"/>
    <n v="0"/>
    <n v="5500000"/>
    <n v="0"/>
    <n v="5500000"/>
    <n v="0"/>
    <n v="5500000"/>
    <n v="0"/>
    <n v="5500000"/>
    <n v="0"/>
    <n v="5500000"/>
    <n v="2750000"/>
    <n v="13750000"/>
    <n v="63250000"/>
    <n v="63250000"/>
    <n v="-2750000"/>
    <n v="-2750000"/>
    <s v="Prestar servicios profesionales especializados para apoyar de manera transversal la gestión del talento humano de la Unidad de Planeación Minero Energética UPME, mediante la implementación, seguimiento y mejora del Sistema de Gestión de Seguridad y Salud "/>
    <n v="60500000"/>
    <n v="0"/>
    <n v="0"/>
    <n v="0"/>
    <n v="0"/>
    <n v="5500000"/>
    <n v="0"/>
    <n v="5500000"/>
    <n v="0"/>
    <n v="5500000"/>
    <n v="0"/>
    <n v="5500000"/>
    <n v="0"/>
    <n v="5500000"/>
    <n v="0"/>
    <n v="5500000"/>
    <n v="0"/>
    <n v="5500000"/>
    <n v="0"/>
    <n v="5500000"/>
    <n v="0"/>
    <n v="5500000"/>
    <n v="0"/>
    <n v="11000000"/>
    <m/>
    <m/>
    <n v="60500000"/>
    <n v="60500000"/>
    <n v="0"/>
    <n v="0"/>
    <n v="27626"/>
    <d v="2026-01-14T00:00:00"/>
    <n v="60500000"/>
    <n v="0"/>
    <n v="28726"/>
    <d v="2026-01-28T00:00:00"/>
    <n v="60500000"/>
    <n v="0"/>
    <n v="0"/>
    <s v="TAPIA SANCHEZ KATTY CAROLINA"/>
    <s v="CO1.PCCNTR.9141654"/>
    <n v="60500000"/>
    <m/>
    <m/>
    <m/>
    <m/>
    <m/>
    <m/>
    <n v="5866666"/>
    <n v="5866666"/>
    <m/>
    <n v="5500000"/>
    <n v="5500000"/>
    <m/>
    <m/>
    <m/>
    <m/>
    <m/>
    <m/>
    <m/>
    <m/>
    <m/>
    <m/>
    <m/>
    <m/>
    <m/>
    <m/>
    <m/>
    <m/>
    <m/>
    <m/>
    <m/>
    <m/>
    <m/>
    <m/>
    <m/>
    <m/>
    <n v="60500000"/>
    <n v="11366666"/>
    <n v="11366666"/>
    <n v="49133334"/>
    <n v="0"/>
    <x v="0"/>
  </r>
  <r>
    <x v="0"/>
    <x v="3"/>
    <s v="Fortalecimiento de los servicios digitales aumentando la capacidad para la transformación digital e interacción con el ciudadano"/>
    <s v="TIC"/>
    <s v="Sí"/>
    <s v="Sí"/>
    <n v="20"/>
    <s v="130-36"/>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36 Prestar servicios profesionales especializados orientados a la atención, análisis y resolución de incidentes o requerimientos que afecten los sistemas de información implementados en la UPME, así como la plataforma tecnológica necesaria para su ope"/>
    <s v="Enero "/>
    <s v="Enero "/>
    <s v="Enero "/>
    <n v="11"/>
    <s v="Meses"/>
    <s v="Contratación directa - Prestación de servicios profesionales "/>
    <s v="Propios - 20 - Ingresos corrientes"/>
    <n v="7900000"/>
    <n v="7900000"/>
    <s v="No"/>
    <s v="N/A"/>
    <s v="Paola del Pilar Puerta Peña"/>
    <s v="Jefe Oficina de Tecnologías de la Información"/>
    <n v="6012220601"/>
    <s v="pilar.puerta@upme.gov.co"/>
    <n v="5500000"/>
    <n v="0"/>
    <n v="0"/>
    <n v="0"/>
    <n v="0"/>
    <n v="0"/>
    <n v="0"/>
    <n v="0"/>
    <n v="0"/>
    <n v="0"/>
    <n v="0"/>
    <n v="0"/>
    <n v="0"/>
    <n v="0"/>
    <n v="0"/>
    <n v="0"/>
    <n v="0"/>
    <n v="0"/>
    <n v="0"/>
    <n v="0"/>
    <n v="0"/>
    <n v="0"/>
    <n v="0"/>
    <n v="5500000"/>
    <n v="5500000"/>
    <n v="5500000"/>
    <n v="2400000"/>
    <n v="2400000"/>
    <s v="Prestar servicios profesionales especializados orientados a la atención, análisis y resolución de incidentes o requerimientos que afecten los sistemas de información implementados en la UPME, así como la plataforma tecnológica necesaria para su operación."/>
    <n v="5500000"/>
    <n v="0"/>
    <n v="0"/>
    <n v="0"/>
    <n v="0"/>
    <n v="600000"/>
    <n v="0"/>
    <n v="7300000"/>
    <n v="2400000"/>
    <n v="0"/>
    <n v="0"/>
    <n v="0"/>
    <n v="0"/>
    <n v="0"/>
    <n v="0"/>
    <n v="0"/>
    <n v="0"/>
    <n v="0"/>
    <n v="0"/>
    <n v="0"/>
    <n v="0"/>
    <n v="0"/>
    <n v="0"/>
    <n v="0"/>
    <m/>
    <m/>
    <n v="7900000"/>
    <n v="7900000"/>
    <n v="0"/>
    <n v="0"/>
    <n v="29426"/>
    <d v="2026-01-14T00:00:00"/>
    <n v="5500000"/>
    <n v="2400000"/>
    <n v="16526"/>
    <d v="2026-01-22T00:00:00"/>
    <n v="5500000"/>
    <n v="2400000"/>
    <n v="0"/>
    <s v="ESPINOSA MUÑOZ NINROTH"/>
    <s v="CO1.PCCNTR 8899609"/>
    <n v="5500000"/>
    <m/>
    <m/>
    <m/>
    <m/>
    <m/>
    <m/>
    <n v="600000"/>
    <n v="600000"/>
    <m/>
    <m/>
    <m/>
    <m/>
    <m/>
    <m/>
    <m/>
    <m/>
    <m/>
    <m/>
    <m/>
    <m/>
    <m/>
    <m/>
    <m/>
    <m/>
    <m/>
    <m/>
    <m/>
    <m/>
    <m/>
    <m/>
    <m/>
    <m/>
    <m/>
    <m/>
    <m/>
    <n v="5500000"/>
    <n v="600000"/>
    <n v="600000"/>
    <n v="4900000"/>
    <n v="0"/>
    <x v="0"/>
  </r>
  <r>
    <x v="0"/>
    <x v="3"/>
    <s v="Fortalecimiento de los servicios digitales aumentando la capacidad para la transformación digital e interacción con el ciudadano"/>
    <s v="TIC"/>
    <s v="Sí"/>
    <s v="Sí"/>
    <n v="20"/>
    <s v="130-37"/>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37 Prestar los servicios profesionales de acompañamiento jurídico y técnico en los asuntos de gestión precontractual, contractual y pos contractual de la Oficina de Tecnologías de la Información"/>
    <s v="Enero "/>
    <s v="Enero "/>
    <s v="Enero "/>
    <n v="11.5"/>
    <s v="Meses"/>
    <s v="Contratación directa - Prestación de servicios profesionales "/>
    <s v="Propios - 20 - Ingresos corrientes"/>
    <n v="105600000"/>
    <n v="105600000"/>
    <s v="No"/>
    <s v="N/A"/>
    <s v="Paola del Pilar Puerta Peña"/>
    <s v="Jefe Oficina de Tecnologías de la Información"/>
    <n v="6012220601"/>
    <s v="pilar.puerta@upme.gov.co"/>
    <n v="103500000"/>
    <n v="0"/>
    <n v="0"/>
    <n v="6600000"/>
    <n v="0"/>
    <n v="9000000"/>
    <n v="0"/>
    <n v="9000000"/>
    <n v="0"/>
    <n v="9000000"/>
    <n v="0"/>
    <n v="9000000"/>
    <n v="0"/>
    <n v="9000000"/>
    <n v="0"/>
    <n v="9000000"/>
    <n v="0"/>
    <n v="9000000"/>
    <n v="0"/>
    <n v="9000000"/>
    <n v="0"/>
    <n v="9000000"/>
    <n v="0"/>
    <n v="15900000"/>
    <n v="103500000"/>
    <n v="103500000"/>
    <n v="2100000"/>
    <n v="2100000"/>
    <s v="Prestar los servicios profesionales de acompañamiento jurídico y técnico en los asuntos de gestión precontractual, contractual y pos contractual de la Oficina de Tecnologías de la Información"/>
    <n v="103500000"/>
    <n v="0"/>
    <n v="0"/>
    <n v="6600000"/>
    <n v="0"/>
    <n v="9000000"/>
    <n v="0"/>
    <n v="9000000"/>
    <n v="2100000"/>
    <n v="9000000"/>
    <n v="0"/>
    <n v="9000000"/>
    <n v="0"/>
    <n v="9000000"/>
    <n v="0"/>
    <n v="9000000"/>
    <n v="0"/>
    <n v="9000000"/>
    <n v="0"/>
    <n v="9000000"/>
    <n v="0"/>
    <n v="9000000"/>
    <n v="0"/>
    <n v="18000000"/>
    <m/>
    <m/>
    <n v="105600000"/>
    <n v="105600000"/>
    <n v="0"/>
    <n v="0"/>
    <n v="2826"/>
    <d v="2026-01-05T00:00:00"/>
    <n v="103500000"/>
    <n v="2100000"/>
    <n v="2626"/>
    <d v="2026-01-08T00:00:00"/>
    <n v="103500000"/>
    <n v="2100000"/>
    <n v="0"/>
    <s v="DIAZ SOLANO ANDREI ALEXANDER"/>
    <s v="CO1.PCCNTR.8782296"/>
    <n v="103500000"/>
    <m/>
    <m/>
    <m/>
    <n v="6600000"/>
    <n v="6600000"/>
    <m/>
    <n v="9000000"/>
    <n v="9000000"/>
    <m/>
    <n v="9000000"/>
    <n v="9000000"/>
    <m/>
    <m/>
    <m/>
    <m/>
    <m/>
    <m/>
    <m/>
    <m/>
    <m/>
    <m/>
    <m/>
    <m/>
    <m/>
    <m/>
    <m/>
    <m/>
    <m/>
    <m/>
    <m/>
    <m/>
    <m/>
    <m/>
    <m/>
    <m/>
    <n v="103500000"/>
    <n v="24600000"/>
    <n v="24600000"/>
    <n v="78900000"/>
    <n v="0"/>
    <x v="0"/>
  </r>
  <r>
    <x v="0"/>
    <x v="3"/>
    <s v="Fortalecimiento de los servicios digitales aumentando la capacidad para la transformación digital e interacción con el ciudadano"/>
    <s v="TIC"/>
    <s v="Sí"/>
    <s v="Sí"/>
    <n v="20"/>
    <s v="130-38"/>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38 Prestar servicios profesionales para la revisión, diagnóstico, evaluación y definición de lineamientos en materia de infraestructura tecnológica, servicios tecnológicos, telecomunicaciones y ciberseguridad, con el fin de orientar y garantizar que s"/>
    <s v="Enero "/>
    <s v="Enero "/>
    <s v="Enero "/>
    <n v="11"/>
    <s v="Meses"/>
    <s v="Contratación directa - Prestación de servicios profesionales "/>
    <s v="Propios - 20 - Ingresos corrientes"/>
    <n v="8300000"/>
    <n v="8300000"/>
    <s v="No"/>
    <s v="N/A"/>
    <s v="Paola del Pilar Puerta Peña"/>
    <s v="Jefe Oficina de Tecnologías de la Información"/>
    <n v="6012220601"/>
    <s v="pilar.puerta@upme.gov.co"/>
    <n v="0"/>
    <n v="0"/>
    <n v="11000000"/>
    <n v="0"/>
    <n v="0"/>
    <n v="0"/>
    <n v="0"/>
    <n v="0"/>
    <n v="0"/>
    <n v="0"/>
    <n v="0"/>
    <n v="0"/>
    <n v="0"/>
    <n v="0"/>
    <n v="0"/>
    <n v="0"/>
    <n v="0"/>
    <n v="0"/>
    <n v="0"/>
    <n v="0"/>
    <n v="0"/>
    <n v="0"/>
    <n v="0"/>
    <n v="11000000"/>
    <n v="11000000"/>
    <n v="11000000"/>
    <n v="-2700000"/>
    <n v="-2700000"/>
    <s v="Prestar servicios profesionales para la revisión, diagnóstico, evaluación y definición de lineamientos en materia de infraestructura tecnológica, servicios tecnológicos, telecomunicaciones y ciberseguridad, con el fin de orientar y garantizar que se cumpl"/>
    <n v="0"/>
    <n v="0"/>
    <n v="11000000"/>
    <n v="0"/>
    <n v="0"/>
    <n v="0"/>
    <n v="-2700000"/>
    <n v="0"/>
    <n v="0"/>
    <n v="0"/>
    <n v="0"/>
    <n v="0"/>
    <n v="0"/>
    <n v="0"/>
    <n v="0"/>
    <n v="0"/>
    <n v="0"/>
    <n v="0"/>
    <n v="0"/>
    <n v="0"/>
    <n v="0"/>
    <n v="0"/>
    <n v="0"/>
    <n v="8300000"/>
    <m/>
    <m/>
    <n v="8300000"/>
    <n v="8300000"/>
    <n v="0"/>
    <n v="0"/>
    <n v="29126"/>
    <d v="2026-01-14T00:00:00"/>
    <n v="8300000"/>
    <n v="0"/>
    <n v="51126"/>
    <d v="2026-02-09T00:00:00"/>
    <n v="8300000"/>
    <n v="0"/>
    <n v="0"/>
    <s v="CARVAJAL RAMIREZ JOAN RENE"/>
    <s v="CO1.PCCNTR.9268464"/>
    <m/>
    <m/>
    <m/>
    <n v="11000000"/>
    <m/>
    <m/>
    <m/>
    <m/>
    <m/>
    <n v="-2700000"/>
    <m/>
    <m/>
    <m/>
    <m/>
    <m/>
    <m/>
    <m/>
    <m/>
    <m/>
    <m/>
    <m/>
    <m/>
    <m/>
    <m/>
    <m/>
    <m/>
    <m/>
    <m/>
    <m/>
    <m/>
    <m/>
    <m/>
    <m/>
    <m/>
    <m/>
    <m/>
    <n v="8300000"/>
    <n v="0"/>
    <n v="0"/>
    <n v="8300000"/>
    <n v="0"/>
    <x v="0"/>
  </r>
  <r>
    <x v="0"/>
    <x v="3"/>
    <s v="Fortalecimiento de los servicios digitales aumentando la capacidad para la transformación digital e interacción con el ciudadano"/>
    <s v="TIC"/>
    <s v="Sí"/>
    <s v="Sí"/>
    <n v="20"/>
    <s v="130-39"/>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39 Prestar servicios profesionales en la Oficina de Tecnologías de la Información para apoyar la implementación de buenas prácticas en Gestión de Proyectos y en el seguimiento al Plan Estratégico de Tecnologías de la Información."/>
    <s v="Enero "/>
    <s v="Enero "/>
    <s v="Enero "/>
    <n v="11"/>
    <s v="Meses"/>
    <s v="Contratación directa - Prestación de servicios profesionales "/>
    <s v="Propios - 20 - Ingresos corrientes"/>
    <n v="10080000"/>
    <n v="10080000"/>
    <s v="No"/>
    <s v="N/A"/>
    <s v="Paola del Pilar Puerta Peña"/>
    <s v="Jefe Oficina de Tecnologías de la Información"/>
    <n v="6012220601"/>
    <s v="pilar.puerta@upme.gov.co"/>
    <n v="59400000"/>
    <n v="0"/>
    <n v="0"/>
    <n v="1620000"/>
    <n v="0"/>
    <n v="5400000"/>
    <n v="0"/>
    <n v="5400000"/>
    <n v="0"/>
    <n v="5400000"/>
    <n v="0"/>
    <n v="5400000"/>
    <n v="0"/>
    <n v="5400000"/>
    <n v="0"/>
    <n v="5400000"/>
    <n v="0"/>
    <n v="5400000"/>
    <n v="0"/>
    <n v="5400000"/>
    <n v="0"/>
    <n v="5400000"/>
    <n v="0"/>
    <n v="9180000"/>
    <n v="59400000"/>
    <n v="59400000"/>
    <n v="-49320000"/>
    <n v="-49320000"/>
    <s v="Prestar servicios profesionales en la Oficina de Tecnologías de la Información para apoyar la implementación de buenas prácticas en Gestión de Proyectos y en el seguimiento al Plan Estratégico de Tecnologías de la Información."/>
    <n v="59400000"/>
    <n v="0"/>
    <n v="0"/>
    <n v="1620000"/>
    <n v="0"/>
    <n v="5400000"/>
    <n v="-49320000"/>
    <n v="3060000"/>
    <n v="0"/>
    <n v="0"/>
    <n v="0"/>
    <n v="0"/>
    <n v="0"/>
    <n v="0"/>
    <n v="0"/>
    <n v="0"/>
    <n v="0"/>
    <n v="0"/>
    <n v="0"/>
    <n v="0"/>
    <n v="0"/>
    <n v="0"/>
    <n v="0"/>
    <n v="0"/>
    <m/>
    <m/>
    <n v="10080000"/>
    <n v="10080000"/>
    <n v="0"/>
    <n v="0"/>
    <n v="25226"/>
    <d v="2026-01-13T00:00:00"/>
    <n v="10080000"/>
    <n v="0"/>
    <n v="15526"/>
    <d v="2026-01-21T00:00:00"/>
    <n v="10080000"/>
    <n v="0"/>
    <n v="0"/>
    <s v="SIERRA ROMERO ANA MARIA"/>
    <s v="CO1.PCCNTR.8994766"/>
    <n v="59400000"/>
    <m/>
    <m/>
    <m/>
    <n v="1620000"/>
    <n v="1620000"/>
    <n v="-49320000"/>
    <m/>
    <m/>
    <m/>
    <n v="5400000"/>
    <n v="5400000"/>
    <m/>
    <m/>
    <m/>
    <m/>
    <m/>
    <m/>
    <m/>
    <m/>
    <m/>
    <m/>
    <m/>
    <m/>
    <m/>
    <m/>
    <m/>
    <m/>
    <m/>
    <m/>
    <m/>
    <m/>
    <m/>
    <m/>
    <m/>
    <m/>
    <n v="10080000"/>
    <n v="7020000"/>
    <n v="7020000"/>
    <n v="3060000"/>
    <n v="0"/>
    <x v="0"/>
  </r>
  <r>
    <x v="0"/>
    <x v="3"/>
    <s v="Fortalecimiento de los servicios digitales aumentando la capacidad para la transformación digital e interacción con el ciudadano"/>
    <s v="TIC"/>
    <s v="Sí"/>
    <s v="Sí"/>
    <n v="20"/>
    <s v="130-40"/>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40 Prestar servicios profesionales para apoyar actividades tanto operativas como administrativas inherentes al GIT de Arquitectura empresarial y Seguridad de la información."/>
    <s v="Enero "/>
    <s v="Enero "/>
    <s v="Enero "/>
    <n v="11"/>
    <s v="Meses"/>
    <s v="Contratación directa - Prestación de servicios profesionales "/>
    <s v="Propios - 20 - Ingresos corrientes"/>
    <n v="35811405"/>
    <n v="35811405"/>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328545"/>
    <n v="-328545"/>
    <s v="Prestar servicios profesionales para apoyar actividades tanto operativas como administrativas inherentes al GIT de Arquitectura empresarial y Seguridad de la información."/>
    <n v="0"/>
    <n v="0"/>
    <n v="36139950"/>
    <n v="0"/>
    <n v="0"/>
    <n v="2956905"/>
    <n v="-328545"/>
    <n v="3285450"/>
    <n v="0"/>
    <n v="3285450"/>
    <n v="0"/>
    <n v="3285450"/>
    <n v="0"/>
    <n v="3285450"/>
    <n v="0"/>
    <n v="3285450"/>
    <n v="0"/>
    <n v="3285450"/>
    <n v="0"/>
    <n v="3285450"/>
    <n v="0"/>
    <n v="3285450"/>
    <n v="0"/>
    <n v="6570900"/>
    <m/>
    <m/>
    <n v="35811405"/>
    <n v="35811405"/>
    <n v="0"/>
    <n v="0"/>
    <n v="39626"/>
    <d v="2026-01-15T00:00:00"/>
    <n v="36139950"/>
    <n v="-328545"/>
    <n v="38826"/>
    <d v="2026-02-03T00:00:00"/>
    <n v="36139950"/>
    <n v="-328545"/>
    <n v="0"/>
    <s v="HINESTROZA RUIZ JUAN"/>
    <s v="CO1.PCCNTR.9178116"/>
    <m/>
    <m/>
    <m/>
    <n v="36139950"/>
    <m/>
    <m/>
    <m/>
    <n v="2956905"/>
    <n v="2956905"/>
    <m/>
    <n v="3285450"/>
    <n v="3285450"/>
    <m/>
    <m/>
    <m/>
    <m/>
    <m/>
    <m/>
    <m/>
    <m/>
    <m/>
    <m/>
    <m/>
    <m/>
    <m/>
    <m/>
    <m/>
    <m/>
    <m/>
    <m/>
    <m/>
    <m/>
    <m/>
    <m/>
    <m/>
    <m/>
    <n v="36139950"/>
    <n v="6242355"/>
    <n v="6242355"/>
    <n v="29897595"/>
    <n v="0"/>
    <x v="0"/>
  </r>
  <r>
    <x v="0"/>
    <x v="3"/>
    <s v="Fortalecimiento de los servicios digitales aumentando la capacidad para la transformación digital e interacción con el ciudadano"/>
    <s v="TIC"/>
    <s v="Sí"/>
    <s v="Sí"/>
    <n v="68"/>
    <s v="130-41"/>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41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1"/>
    <s v="Meses"/>
    <s v="Contratación directa - Prestación de servicios profesionales "/>
    <s v="Propios - 20 - Ingresos corrientes"/>
    <n v="10363450"/>
    <n v="10363450"/>
    <s v="No"/>
    <s v="N/A"/>
    <s v="Paola del Pilar Puerta Peña"/>
    <s v="Jefe Oficina de Tecnologías de la Información"/>
    <n v="6012220601"/>
    <s v="pilar.puerta@upme.gov.co"/>
    <n v="10363450"/>
    <n v="0"/>
    <n v="0"/>
    <n v="0"/>
    <n v="0"/>
    <n v="0"/>
    <n v="0"/>
    <n v="0"/>
    <n v="0"/>
    <n v="0"/>
    <n v="0"/>
    <n v="0"/>
    <n v="0"/>
    <n v="0"/>
    <n v="0"/>
    <n v="0"/>
    <n v="0"/>
    <n v="0"/>
    <n v="0"/>
    <n v="0"/>
    <n v="0"/>
    <n v="0"/>
    <n v="0"/>
    <n v="10363450"/>
    <n v="10363450"/>
    <n v="10363450"/>
    <n v="0"/>
    <n v="0"/>
    <s v="Prestar servicios profesionales para la proyección de documentos de contenido legal y apoyo de los asuntos de tipo jurídico que resulten de las actuaciones administrativas de competencia de la UPME, en el marco de la gestión institucional de la Entidad."/>
    <n v="10363450"/>
    <m/>
    <m/>
    <m/>
    <m/>
    <m/>
    <m/>
    <m/>
    <m/>
    <m/>
    <m/>
    <m/>
    <m/>
    <m/>
    <m/>
    <m/>
    <m/>
    <m/>
    <m/>
    <m/>
    <m/>
    <m/>
    <m/>
    <n v="10363450"/>
    <m/>
    <m/>
    <n v="10363450"/>
    <n v="10363450"/>
    <n v="0"/>
    <n v="0"/>
    <n v="28926"/>
    <d v="2026-01-14T00:00:00"/>
    <n v="10363450"/>
    <n v="0"/>
    <n v="30726"/>
    <d v="2026-01-29T00:00:00"/>
    <n v="10363450"/>
    <n v="0"/>
    <n v="0"/>
    <s v="PINZON ESTEBAN MARTHA LUCIA"/>
    <s v="CO1.PCCNTR.9138645"/>
    <n v="10363450"/>
    <m/>
    <m/>
    <m/>
    <m/>
    <m/>
    <m/>
    <n v="6200000"/>
    <n v="6200000"/>
    <m/>
    <m/>
    <m/>
    <m/>
    <m/>
    <m/>
    <m/>
    <m/>
    <m/>
    <m/>
    <m/>
    <m/>
    <m/>
    <m/>
    <m/>
    <m/>
    <m/>
    <m/>
    <m/>
    <m/>
    <m/>
    <m/>
    <m/>
    <m/>
    <m/>
    <m/>
    <m/>
    <n v="10363450"/>
    <n v="6200000"/>
    <n v="6200000"/>
    <n v="4163450"/>
    <n v="0"/>
    <x v="0"/>
  </r>
  <r>
    <x v="0"/>
    <x v="3"/>
    <s v="Fortalecimiento de los servicios digitales aumentando la capacidad para la transformación digital e interacción con el ciudadano"/>
    <s v="TIC"/>
    <s v="Sí"/>
    <s v="Sí"/>
    <n v="68"/>
    <s v="130-42"/>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4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1"/>
    <s v="Meses"/>
    <s v="Contratación directa - Prestación de servicios profesionales "/>
    <s v="Propios - 20 - Ingresos corrientes"/>
    <n v="55636550"/>
    <n v="55636550"/>
    <s v="No"/>
    <s v="N/A"/>
    <s v="Paola del Pilar Puerta Peña"/>
    <s v="Jefe Oficina de Tecnologías de la Información"/>
    <n v="6012220601"/>
    <s v="pilar.puerta@upme.gov.co"/>
    <n v="55636550"/>
    <n v="0"/>
    <n v="0"/>
    <n v="0"/>
    <n v="0"/>
    <n v="6000000"/>
    <n v="0"/>
    <n v="6000000"/>
    <n v="0"/>
    <n v="6000000"/>
    <n v="0"/>
    <n v="6000000"/>
    <n v="0"/>
    <n v="6000000"/>
    <n v="0"/>
    <n v="6000000"/>
    <n v="0"/>
    <n v="6000000"/>
    <n v="0"/>
    <n v="6000000"/>
    <n v="0"/>
    <n v="7636550"/>
    <n v="0"/>
    <n v="0"/>
    <n v="55636550"/>
    <n v="55636550"/>
    <n v="0"/>
    <n v="0"/>
    <s v="Prestar servicios profesionales para la proyección de documentos de contenido legal y apoyo de los asuntos de tipo jurídico que resulten de las actuaciones administrativas de competencia de la UPME, en el marco de la gestión institucional de la Entidad."/>
    <n v="55636550"/>
    <m/>
    <m/>
    <m/>
    <m/>
    <n v="6000000"/>
    <m/>
    <n v="6000000"/>
    <m/>
    <n v="6000000"/>
    <m/>
    <n v="6000000"/>
    <m/>
    <n v="6000000"/>
    <m/>
    <n v="6000000"/>
    <m/>
    <n v="6000000"/>
    <m/>
    <n v="6000000"/>
    <m/>
    <n v="7636550"/>
    <m/>
    <m/>
    <m/>
    <m/>
    <n v="55636550"/>
    <n v="55636550"/>
    <n v="0"/>
    <n v="0"/>
    <n v="28926"/>
    <d v="2026-01-14T00:00:00"/>
    <n v="55636550"/>
    <n v="0"/>
    <n v="30726"/>
    <d v="2026-01-29T00:00:00"/>
    <n v="55636550"/>
    <n v="0"/>
    <n v="0"/>
    <s v="PINZON ESTEBAN MARTHA LUCIA"/>
    <s v="CO1.PCCNTR.9138645"/>
    <n v="55636550"/>
    <m/>
    <m/>
    <m/>
    <m/>
    <m/>
    <m/>
    <m/>
    <m/>
    <m/>
    <n v="6000000"/>
    <n v="6000000"/>
    <m/>
    <m/>
    <m/>
    <m/>
    <m/>
    <m/>
    <m/>
    <m/>
    <m/>
    <m/>
    <m/>
    <m/>
    <m/>
    <m/>
    <m/>
    <m/>
    <m/>
    <m/>
    <m/>
    <m/>
    <m/>
    <m/>
    <m/>
    <m/>
    <n v="55636550"/>
    <n v="6000000"/>
    <n v="6000000"/>
    <n v="49636550"/>
    <n v="0"/>
    <x v="0"/>
  </r>
  <r>
    <x v="0"/>
    <x v="3"/>
    <s v="Fortalecimiento de los servicios digitales aumentando la capacidad para la transformación digital e interacción con el ciudadano"/>
    <s v="TIC"/>
    <s v="Sí"/>
    <s v="Sí"/>
    <n v="7"/>
    <s v="130-43"/>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43 Prestar servicios de apoyo a la gestión para la comunicación estratégica de la entidad, orientados a la divulgación, socialización y posicionamiento de sus planes, programas, proyectos, procesos y resultados, así como a la articulación de estos con"/>
    <s v="Enero "/>
    <s v="Enero "/>
    <s v="Enero "/>
    <n v="9"/>
    <s v="Meses"/>
    <s v="Contratación directa - Prestación de servicios profesionales "/>
    <s v="Propios - 20 - Ingresos corrientes"/>
    <n v="7860050"/>
    <n v="7860050"/>
    <s v="No"/>
    <s v="N/A"/>
    <s v="Paola del Pilar Puerta Peña"/>
    <s v="Jefe Oficina de Tecnologías de la Información"/>
    <n v="6012220601"/>
    <s v="pilar.puerta@upme.gov.co"/>
    <n v="0"/>
    <n v="0"/>
    <n v="7360050"/>
    <n v="0"/>
    <n v="0"/>
    <n v="0"/>
    <n v="0"/>
    <n v="0"/>
    <n v="0"/>
    <n v="0"/>
    <n v="0"/>
    <n v="0"/>
    <n v="0"/>
    <n v="0"/>
    <n v="0"/>
    <n v="0"/>
    <n v="0"/>
    <n v="0"/>
    <n v="0"/>
    <n v="3860050"/>
    <n v="0"/>
    <n v="4000000"/>
    <n v="500000"/>
    <n v="0"/>
    <n v="7860050"/>
    <n v="7860050"/>
    <n v="0"/>
    <n v="0"/>
    <s v="Prestar servicios de apoyo a la gestión para la comunicación estratégica de la entidad, orientados a la divulgación, socialización y posicionamiento de sus planes, programas, proyectos, procesos y resultados, así como a la articulación de estos con las es"/>
    <m/>
    <m/>
    <n v="7360050"/>
    <m/>
    <m/>
    <m/>
    <m/>
    <m/>
    <m/>
    <m/>
    <m/>
    <m/>
    <m/>
    <m/>
    <m/>
    <m/>
    <m/>
    <m/>
    <m/>
    <n v="3860050"/>
    <m/>
    <n v="4000000"/>
    <n v="500000"/>
    <m/>
    <m/>
    <m/>
    <n v="7860050"/>
    <n v="7860050"/>
    <n v="0"/>
    <n v="0"/>
    <n v="64226"/>
    <d v="2026-01-24T00:00:00"/>
    <n v="7860050"/>
    <n v="0"/>
    <n v="46826"/>
    <d v="2026-02-06T00:00:00"/>
    <n v="7860050"/>
    <n v="0"/>
    <n v="0"/>
    <s v="FLOREZ MENDEZ JERLY PAOLA"/>
    <s v="CO1.PCCNTR.9268748"/>
    <m/>
    <m/>
    <m/>
    <n v="7860050"/>
    <m/>
    <m/>
    <m/>
    <m/>
    <m/>
    <m/>
    <m/>
    <m/>
    <m/>
    <m/>
    <m/>
    <m/>
    <m/>
    <m/>
    <m/>
    <m/>
    <m/>
    <m/>
    <m/>
    <m/>
    <m/>
    <m/>
    <m/>
    <m/>
    <m/>
    <m/>
    <m/>
    <m/>
    <m/>
    <m/>
    <m/>
    <m/>
    <n v="7860050"/>
    <n v="0"/>
    <n v="0"/>
    <n v="7860050"/>
    <n v="0"/>
    <x v="0"/>
  </r>
  <r>
    <x v="0"/>
    <x v="3"/>
    <s v="Fortalecimiento de los servicios digitales aumentando la capacidad para la transformación digital e interacción con el ciudadano"/>
    <s v="TIC"/>
    <s v="Sí"/>
    <s v="Sí"/>
    <n v="68"/>
    <s v="130-44"/>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44 Prestar servicios profesionales para apoyar a la Oficina de Tecnologías de la Información en la definición y/o actualización del plan estratégico de tecnologías de información y en la gestión de los proyectos de su mapa de ruta"/>
    <s v="Enero "/>
    <s v="Enero "/>
    <s v="Enero "/>
    <n v="11"/>
    <s v="Meses"/>
    <s v="Contratación directa - Prestación de servicios profesionales "/>
    <s v="Propios - 20 - Ingresos corrientes"/>
    <n v="66000000"/>
    <n v="66000000"/>
    <s v="No"/>
    <s v="N/A"/>
    <s v="Paola del Pilar Puerta Peña"/>
    <s v="Jefe Oficina de Tecnologías de la Información"/>
    <n v="6012220601"/>
    <s v="pilar.puerta@upme.gov.co"/>
    <n v="66000000"/>
    <n v="0"/>
    <n v="0"/>
    <n v="1600000"/>
    <n v="0"/>
    <n v="6000000"/>
    <n v="0"/>
    <n v="6000000"/>
    <n v="0"/>
    <n v="6000000"/>
    <n v="0"/>
    <n v="6000000"/>
    <n v="0"/>
    <n v="6000000"/>
    <n v="0"/>
    <n v="6000000"/>
    <n v="0"/>
    <n v="6000000"/>
    <n v="0"/>
    <n v="6000000"/>
    <n v="0"/>
    <n v="6000000"/>
    <n v="0"/>
    <n v="10400000"/>
    <n v="66000000"/>
    <n v="66000000"/>
    <n v="0"/>
    <n v="0"/>
    <s v="Prestar servicios profesionales para apoyar a la Oficina de Tecnologías de la Información en la definición y/o actualización del plan estratégico de tecnologías de información y en la gestión de los proyectos de su mapa de ruta"/>
    <n v="66000000"/>
    <m/>
    <m/>
    <n v="1600000"/>
    <m/>
    <n v="6000000"/>
    <m/>
    <n v="6000000"/>
    <m/>
    <n v="6000000"/>
    <m/>
    <n v="6000000"/>
    <m/>
    <n v="6000000"/>
    <m/>
    <n v="6000000"/>
    <m/>
    <n v="6000000"/>
    <m/>
    <n v="6000000"/>
    <m/>
    <n v="6000000"/>
    <m/>
    <n v="10400000"/>
    <m/>
    <m/>
    <n v="66000000"/>
    <n v="66000000"/>
    <n v="0"/>
    <n v="0"/>
    <n v="28326"/>
    <d v="2026-01-14T00:00:00"/>
    <n v="66000000"/>
    <n v="0"/>
    <n v="17126"/>
    <d v="2026-01-22T00:00:00"/>
    <n v="66000000"/>
    <n v="0"/>
    <n v="0"/>
    <s v="TARAZONA GALINDO HOLLMAN"/>
    <s v="CO1.PCCNTR.8995196"/>
    <n v="66000000"/>
    <m/>
    <m/>
    <m/>
    <n v="1600000"/>
    <n v="1600000"/>
    <m/>
    <n v="6000000"/>
    <n v="6000000"/>
    <m/>
    <n v="6000000"/>
    <n v="6000000"/>
    <m/>
    <m/>
    <m/>
    <m/>
    <m/>
    <m/>
    <m/>
    <m/>
    <m/>
    <m/>
    <m/>
    <m/>
    <m/>
    <m/>
    <m/>
    <m/>
    <m/>
    <m/>
    <m/>
    <m/>
    <m/>
    <m/>
    <m/>
    <m/>
    <n v="66000000"/>
    <n v="13600000"/>
    <n v="13600000"/>
    <n v="52400000"/>
    <n v="0"/>
    <x v="0"/>
  </r>
  <r>
    <x v="0"/>
    <x v="3"/>
    <s v="Fortalecimiento de los servicios digitales aumentando la capacidad para la transformación digital e interacción con el ciudadano"/>
    <s v="TIC"/>
    <s v="Sí"/>
    <s v="Sí"/>
    <n v="20"/>
    <s v="130-45"/>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45 Prestar servicios profesionales para la atención de los requerimientos y PQRs relacionados con la operación de las plataformas tecnológicas de trámites y servicios prestados a la ciudadanía."/>
    <s v="Enero "/>
    <s v="Enero "/>
    <s v="Enero "/>
    <n v="11"/>
    <s v="Meses"/>
    <s v="Contratación directa - Prestación de servicios profesionales "/>
    <s v="Propios - 20 - Ingresos corrientes"/>
    <n v="38971660"/>
    <n v="38971660"/>
    <s v="No"/>
    <s v="N/A"/>
    <s v="Paola del Pilar Puerta Peña"/>
    <s v="Jefe Oficina de Tecnologías de la Información"/>
    <n v="6012220601"/>
    <s v="pilar.puerta@upme.gov.co"/>
    <n v="0"/>
    <n v="0"/>
    <n v="39939900"/>
    <n v="0"/>
    <n v="0"/>
    <n v="3630900"/>
    <n v="0"/>
    <n v="3630900"/>
    <n v="0"/>
    <n v="3630900"/>
    <n v="0"/>
    <n v="3630900"/>
    <n v="0"/>
    <n v="3630900"/>
    <n v="0"/>
    <n v="3630900"/>
    <n v="0"/>
    <n v="3630900"/>
    <n v="0"/>
    <n v="3630900"/>
    <n v="0"/>
    <n v="3630900"/>
    <n v="0"/>
    <n v="7261800"/>
    <n v="39939900"/>
    <n v="39939900"/>
    <n v="-968240"/>
    <n v="-968240"/>
    <s v="Prestar servicios profesionales para la atención de los requerimientos y PQRs relacionados con la operación de las plataformas tecnológicas de trámites y servicios prestados a la ciudadanía."/>
    <n v="0"/>
    <n v="0"/>
    <n v="39939900"/>
    <n v="0"/>
    <n v="0"/>
    <n v="2662660"/>
    <n v="-968240"/>
    <n v="3630900"/>
    <n v="0"/>
    <n v="3630900"/>
    <n v="0"/>
    <n v="3630900"/>
    <n v="0"/>
    <n v="3630900"/>
    <n v="0"/>
    <n v="3630900"/>
    <n v="0"/>
    <n v="3630900"/>
    <n v="0"/>
    <n v="3630900"/>
    <n v="0"/>
    <n v="3630900"/>
    <n v="0"/>
    <n v="7261800"/>
    <m/>
    <m/>
    <n v="38971660"/>
    <n v="38971660"/>
    <n v="0"/>
    <n v="0"/>
    <n v="26426"/>
    <d v="2026-01-13T00:00:00"/>
    <n v="39939900"/>
    <n v="-968240"/>
    <n v="48426"/>
    <d v="2026-02-06T00:00:00"/>
    <n v="39939900"/>
    <n v="-968240"/>
    <n v="0"/>
    <s v="LOPEZ SAYAS CAROLINA"/>
    <s v="CO1.PCCNTR.9262364"/>
    <m/>
    <m/>
    <m/>
    <n v="39939900"/>
    <m/>
    <m/>
    <m/>
    <n v="2662660"/>
    <n v="2662660"/>
    <m/>
    <n v="3630900"/>
    <n v="3630900"/>
    <m/>
    <m/>
    <m/>
    <m/>
    <m/>
    <m/>
    <m/>
    <m/>
    <m/>
    <m/>
    <m/>
    <m/>
    <m/>
    <m/>
    <m/>
    <m/>
    <m/>
    <m/>
    <m/>
    <m/>
    <m/>
    <m/>
    <m/>
    <m/>
    <n v="39939900"/>
    <n v="6293560"/>
    <n v="6293560"/>
    <n v="33646340"/>
    <n v="0"/>
    <x v="0"/>
  </r>
  <r>
    <x v="0"/>
    <x v="3"/>
    <s v="Fortalecimiento de los servicios digitales aumentando la capacidad para la transformación digital e interacción con el ciudadano"/>
    <s v="TIC"/>
    <s v="Sí"/>
    <s v="Sí"/>
    <n v="20"/>
    <s v="130-46"/>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46 Prestar servicios de apoyo a la gestión para el diseño, gestión y administración de las redes de telecomunicaciones de la UPME tanto de redes de área local LAN y redes inalámbricas, garantizando la seguridad y la eficiencia de la información."/>
    <s v="Enero "/>
    <s v="Enero "/>
    <s v="Enero "/>
    <n v="11"/>
    <s v="Meses"/>
    <s v="Contratación directa - Prestación de servicios profesionales "/>
    <s v="Propios - 20 - Ingresos corrientes"/>
    <n v="7800000"/>
    <n v="7800000"/>
    <s v="No"/>
    <s v="N/A"/>
    <s v="Paola del Pilar Puerta Peña"/>
    <s v="Jefe Oficina de Tecnologías de la Información"/>
    <n v="6012220601"/>
    <s v="pilar.puerta@upme.gov.co"/>
    <n v="49500000"/>
    <n v="0"/>
    <n v="0"/>
    <n v="600000"/>
    <n v="0"/>
    <n v="4500000"/>
    <n v="0"/>
    <n v="4500000"/>
    <n v="0"/>
    <n v="4500000"/>
    <n v="0"/>
    <n v="4500000"/>
    <n v="0"/>
    <n v="4500000"/>
    <n v="0"/>
    <n v="4500000"/>
    <n v="0"/>
    <n v="4500000"/>
    <n v="0"/>
    <n v="4500000"/>
    <n v="0"/>
    <n v="4500000"/>
    <n v="0"/>
    <n v="8400000"/>
    <n v="49500000"/>
    <n v="49500000"/>
    <n v="-41700000"/>
    <n v="-41700000"/>
    <s v="Prestar servicios de apoyo a la gestión para el diseño, gestión y administración de las redes de telecomunicaciones de la UPME tanto de redes de área local LAN y redes inalámbricas, garantizando la seguridad y la eficiencia de la información."/>
    <n v="49500000"/>
    <n v="0"/>
    <n v="0"/>
    <n v="750000"/>
    <n v="0"/>
    <n v="4500000"/>
    <n v="-41700000"/>
    <n v="2550000"/>
    <n v="0"/>
    <n v="0"/>
    <n v="0"/>
    <n v="0"/>
    <n v="0"/>
    <n v="0"/>
    <n v="0"/>
    <n v="0"/>
    <n v="0"/>
    <n v="0"/>
    <n v="0"/>
    <n v="0"/>
    <n v="0"/>
    <n v="0"/>
    <n v="0"/>
    <n v="0"/>
    <m/>
    <m/>
    <n v="7800000"/>
    <n v="7800000"/>
    <n v="0"/>
    <n v="0"/>
    <n v="28426"/>
    <d v="2026-01-14T00:00:00"/>
    <n v="7800000"/>
    <n v="0"/>
    <n v="18626"/>
    <d v="2026-01-23T00:00:00"/>
    <n v="7800000"/>
    <n v="0"/>
    <n v="0"/>
    <s v="QUINTERO SERRANO JESUS JAVIER"/>
    <s v="CO1.PCCNTR. 9003686"/>
    <n v="49500000"/>
    <m/>
    <m/>
    <m/>
    <n v="750000"/>
    <n v="750000"/>
    <n v="-41700000"/>
    <n v="4500000"/>
    <n v="4500000"/>
    <m/>
    <n v="2550000"/>
    <n v="2550000"/>
    <m/>
    <m/>
    <m/>
    <m/>
    <m/>
    <m/>
    <m/>
    <m/>
    <m/>
    <m/>
    <m/>
    <m/>
    <m/>
    <m/>
    <m/>
    <m/>
    <m/>
    <m/>
    <m/>
    <m/>
    <m/>
    <m/>
    <m/>
    <m/>
    <n v="7800000"/>
    <n v="7800000"/>
    <n v="7800000"/>
    <n v="0"/>
    <n v="0"/>
    <x v="0"/>
  </r>
  <r>
    <x v="0"/>
    <x v="3"/>
    <s v="Fortalecimiento de los servicios digitales aumentando la capacidad para la transformación digital e interacción con el ciudadano"/>
    <s v="TIC"/>
    <s v="Sí"/>
    <s v="Sí"/>
    <n v="20"/>
    <s v="130-47"/>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47 Prestar servicios profesionales para apoyar en los proyectos de tecnología en todas sus fases y ciclos de proceso, especialmente, en aquellos enfocados en la arquitectura empresarial y seguridad informática a la Oficina de Tecnología de la Informac"/>
    <s v="Enero "/>
    <s v="Enero "/>
    <s v="Enero "/>
    <n v="11"/>
    <s v="Meses"/>
    <s v="Contratación directa - Prestación de servicios profesionales "/>
    <s v="Propios - 20 - Ingresos corrientes"/>
    <n v="60840000"/>
    <n v="60840000"/>
    <s v="No"/>
    <s v="N/A"/>
    <s v="Paola del Pilar Puerta Peña"/>
    <s v="Jefe Oficina de Tecnologías de la Información"/>
    <n v="6012220601"/>
    <s v="pilar.puerta@upme.gov.co"/>
    <n v="59400000"/>
    <n v="0"/>
    <n v="0"/>
    <n v="1440000"/>
    <n v="0"/>
    <n v="5400000"/>
    <n v="0"/>
    <n v="5400000"/>
    <n v="0"/>
    <n v="5400000"/>
    <n v="0"/>
    <n v="5400000"/>
    <n v="0"/>
    <n v="5400000"/>
    <n v="0"/>
    <n v="5400000"/>
    <n v="0"/>
    <n v="5400000"/>
    <n v="0"/>
    <n v="5400000"/>
    <n v="0"/>
    <n v="5400000"/>
    <n v="0"/>
    <n v="9360000"/>
    <n v="59400000"/>
    <n v="59400000"/>
    <n v="1440000"/>
    <n v="1440000"/>
    <s v="Prestar servicios profesionales para apoyar en los proyectos de tecnología en todas sus fases y ciclos de proceso, especialmente, en aquellos enfocados en la arquitectura empresarial y seguridad informática a la Oficina de Tecnología de la Información de "/>
    <n v="59400000"/>
    <n v="0"/>
    <n v="0"/>
    <n v="1440000"/>
    <n v="0"/>
    <n v="5400000"/>
    <n v="0"/>
    <n v="5400000"/>
    <n v="1440000"/>
    <n v="5400000"/>
    <n v="0"/>
    <n v="5400000"/>
    <n v="0"/>
    <n v="5400000"/>
    <n v="0"/>
    <n v="5400000"/>
    <n v="0"/>
    <n v="5400000"/>
    <n v="0"/>
    <n v="5400000"/>
    <n v="0"/>
    <n v="5400000"/>
    <n v="0"/>
    <n v="10800000"/>
    <m/>
    <m/>
    <n v="60840000"/>
    <n v="60840000"/>
    <n v="0"/>
    <n v="0"/>
    <n v="25626"/>
    <d v="2026-01-13T00:00:00"/>
    <n v="59400000"/>
    <n v="1440000"/>
    <n v="15926"/>
    <d v="2026-01-22T00:00:00"/>
    <n v="59400000"/>
    <n v="1440000"/>
    <n v="0"/>
    <s v="PRADA RUEDA PEDRO NEL"/>
    <s v="CO1.PCCNTR. 9005262"/>
    <n v="59400000"/>
    <m/>
    <m/>
    <m/>
    <n v="1440000"/>
    <n v="1440000"/>
    <m/>
    <n v="5400000"/>
    <n v="5400000"/>
    <m/>
    <n v="5400000"/>
    <n v="5400000"/>
    <m/>
    <m/>
    <m/>
    <m/>
    <m/>
    <m/>
    <m/>
    <m/>
    <m/>
    <m/>
    <m/>
    <m/>
    <m/>
    <m/>
    <m/>
    <m/>
    <m/>
    <m/>
    <m/>
    <m/>
    <m/>
    <m/>
    <m/>
    <m/>
    <n v="59400000"/>
    <n v="12240000"/>
    <n v="12240000"/>
    <n v="47160000"/>
    <n v="0"/>
    <x v="0"/>
  </r>
  <r>
    <x v="0"/>
    <x v="3"/>
    <s v="Fortalecimiento de los servicios digitales aumentando la capacidad para la transformación digital e interacción con el ciudadano"/>
    <s v="TIC"/>
    <s v="Sí"/>
    <s v="Sí"/>
    <n v="68"/>
    <s v="130-48"/>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48 Prestar servicios profesionales para realizar actividades de mantenimiento preventivo y correctivo de equipos de cómputo, diagnóstico y reparación de fallas de hardware y software, así como el diseño, instalación, configuración y puesta en funciona"/>
    <s v="Enero "/>
    <s v="Enero "/>
    <s v="Enero "/>
    <n v="11"/>
    <s v="Meses"/>
    <s v="Contratación directa - Prestación de servicios profesionales "/>
    <s v="Propios - 20 - Ingresos corrientes"/>
    <n v="6600000"/>
    <n v="6600000"/>
    <s v="No"/>
    <s v="N/A"/>
    <s v="Paola del Pilar Puerta Peña"/>
    <s v="Jefe Oficina de Tecnologías de la Información"/>
    <n v="6012220601"/>
    <s v="pilar.puerta@upme.gov.co"/>
    <n v="0"/>
    <n v="0"/>
    <n v="6600000"/>
    <n v="0"/>
    <n v="0"/>
    <n v="0"/>
    <n v="0"/>
    <n v="0"/>
    <n v="0"/>
    <n v="0"/>
    <n v="0"/>
    <n v="0"/>
    <n v="0"/>
    <n v="0"/>
    <n v="0"/>
    <n v="0"/>
    <n v="0"/>
    <n v="0"/>
    <n v="0"/>
    <n v="0"/>
    <n v="0"/>
    <n v="0"/>
    <n v="0"/>
    <n v="6600000"/>
    <n v="6600000"/>
    <n v="6600000"/>
    <n v="0"/>
    <n v="0"/>
    <s v="Prestar servicios profesionales para realizar actividades de mantenimiento preventivo y correctivo de equipos de cómputo, diagnóstico y reparación de fallas de hardware y software, así como el diseño, instalación, configuración y puesta en funcionamiento "/>
    <m/>
    <m/>
    <n v="6600000"/>
    <m/>
    <m/>
    <m/>
    <m/>
    <m/>
    <m/>
    <m/>
    <m/>
    <m/>
    <m/>
    <m/>
    <m/>
    <m/>
    <m/>
    <m/>
    <m/>
    <m/>
    <m/>
    <m/>
    <m/>
    <n v="6600000"/>
    <m/>
    <m/>
    <n v="6600000"/>
    <n v="6600000"/>
    <n v="0"/>
    <n v="0"/>
    <n v="26226"/>
    <d v="2026-01-13T00:00:00"/>
    <n v="6600000"/>
    <n v="0"/>
    <n v="48226"/>
    <d v="2026-02-06T00:00:00"/>
    <n v="6600000"/>
    <n v="0"/>
    <n v="0"/>
    <s v="RUIZ HERNANDEZ EDWIN JOSE"/>
    <s v="CO1.PCCNTR.9261191"/>
    <m/>
    <m/>
    <m/>
    <n v="6600000"/>
    <m/>
    <m/>
    <m/>
    <m/>
    <m/>
    <m/>
    <m/>
    <m/>
    <m/>
    <m/>
    <m/>
    <m/>
    <m/>
    <m/>
    <m/>
    <m/>
    <m/>
    <m/>
    <m/>
    <m/>
    <m/>
    <m/>
    <m/>
    <m/>
    <m/>
    <m/>
    <m/>
    <m/>
    <m/>
    <m/>
    <m/>
    <m/>
    <n v="6600000"/>
    <n v="0"/>
    <n v="0"/>
    <n v="6600000"/>
    <n v="0"/>
    <x v="0"/>
  </r>
  <r>
    <x v="0"/>
    <x v="3"/>
    <s v="Fortalecimiento de los servicios digitales aumentando la capacidad para la transformación digital e interacción con el ciudadano"/>
    <s v="TIC"/>
    <s v="Sí"/>
    <s v="Sí"/>
    <n v="20"/>
    <s v="130-49"/>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s v="Prestación de servicios profesionales y/o de apoyo a la gestión"/>
    <s v="130-49 Prestar servicios profesionales en comunicación institucional del sector minero-energético, mediante la revisión, análisis y conceptuación de documentos, la elaboración de insumos comunicacionales y contenidos base para piezas informativas y audiov"/>
    <s v="Enero "/>
    <s v="Enero "/>
    <s v="Enero "/>
    <n v="11"/>
    <s v="Meses"/>
    <s v="Contratación directa - Prestación de servicios profesionales "/>
    <s v="Propios - 21 - Otros recursos de tesorería"/>
    <n v="69766667"/>
    <n v="69766667"/>
    <s v="No"/>
    <s v="N/A"/>
    <s v="Paola del Pilar Puerta Peña"/>
    <s v="Jefe Oficina de Tecnologías de la Información"/>
    <n v="6012220601"/>
    <s v="pilar.puerta@upme.gov.co"/>
    <n v="0"/>
    <n v="0"/>
    <n v="71500000"/>
    <n v="0"/>
    <n v="0"/>
    <n v="6500000"/>
    <n v="0"/>
    <n v="6500000"/>
    <n v="0"/>
    <n v="6500000"/>
    <n v="0"/>
    <n v="6500000"/>
    <n v="0"/>
    <n v="6500000"/>
    <n v="0"/>
    <n v="6500000"/>
    <n v="0"/>
    <n v="6500000"/>
    <n v="0"/>
    <n v="6500000"/>
    <n v="0"/>
    <n v="6500000"/>
    <n v="0"/>
    <n v="13000000"/>
    <n v="71500000"/>
    <n v="71500000"/>
    <n v="-1733333"/>
    <n v="-1733333"/>
    <s v="Prestar servicios profesionales en comunicación institucional del sector minero-energético, mediante la revisión, análisis y conceptuación de documentos, la elaboración de insumos comunicacionales y contenidos base para piezas informativas y audiovisuales"/>
    <n v="0"/>
    <n v="0"/>
    <n v="71500000"/>
    <n v="0"/>
    <n v="0"/>
    <n v="4766667"/>
    <n v="-1733333"/>
    <n v="6500000"/>
    <n v="0"/>
    <n v="6500000"/>
    <n v="0"/>
    <n v="6500000"/>
    <n v="0"/>
    <n v="6500000"/>
    <n v="0"/>
    <n v="6500000"/>
    <n v="0"/>
    <n v="6500000"/>
    <n v="0"/>
    <n v="6500000"/>
    <n v="0"/>
    <n v="6500000"/>
    <n v="0"/>
    <n v="13000000"/>
    <m/>
    <m/>
    <n v="69766667"/>
    <n v="69766667"/>
    <n v="0"/>
    <n v="0"/>
    <n v="53226"/>
    <d v="2026-01-21T00:00:00"/>
    <n v="71500000"/>
    <n v="-1733333"/>
    <n v="48326"/>
    <d v="2026-02-06T00:00:00"/>
    <n v="71500000"/>
    <n v="-1733333"/>
    <n v="0"/>
    <s v="MARTINEZ ROJAS EMERSON"/>
    <s v="CO1.PCCNTR.9266924"/>
    <m/>
    <m/>
    <m/>
    <n v="71500000"/>
    <m/>
    <m/>
    <m/>
    <n v="4766667"/>
    <n v="4766667"/>
    <m/>
    <n v="6500000"/>
    <n v="6500000"/>
    <m/>
    <m/>
    <m/>
    <m/>
    <m/>
    <m/>
    <m/>
    <m/>
    <m/>
    <m/>
    <m/>
    <m/>
    <m/>
    <m/>
    <m/>
    <m/>
    <m/>
    <m/>
    <m/>
    <m/>
    <m/>
    <m/>
    <m/>
    <m/>
    <n v="71500000"/>
    <n v="11266667"/>
    <n v="11266667"/>
    <n v="60233333"/>
    <n v="0"/>
    <x v="0"/>
  </r>
  <r>
    <x v="0"/>
    <x v="3"/>
    <s v="Fortalecimiento de los servicios digitales aumentando la capacidad para la transformación digital e interacción con el ciudadano"/>
    <s v="TIC"/>
    <s v="Sí"/>
    <s v="Sí"/>
    <n v="20"/>
    <s v="130-50"/>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50 Prestar servicios de apoyo a la gestión  de la comunicación digital de la entidad, mediante la creación, administración y dinamización de contenidos en canales digitales y redes sociales, orientados a la divulgación y socialización de los procesos,"/>
    <s v="Enero "/>
    <s v="Enero "/>
    <s v="Enero "/>
    <n v="11"/>
    <s v="Meses"/>
    <s v="Contratación directa - Prestación de servicios profesionales "/>
    <s v="Propios - 20 - Ingresos corrientes"/>
    <n v="49731500"/>
    <n v="49731500"/>
    <s v="No"/>
    <s v="N/A"/>
    <s v="Paola del Pilar Puerta Peña"/>
    <s v="Jefe Oficina de Tecnologías de la Información"/>
    <n v="6012220601"/>
    <s v="pilar.puerta@upme.gov.co"/>
    <n v="0"/>
    <n v="0"/>
    <n v="55000000"/>
    <n v="0"/>
    <n v="0"/>
    <n v="5000000"/>
    <n v="0"/>
    <n v="5000000"/>
    <n v="0"/>
    <n v="5000000"/>
    <n v="0"/>
    <n v="5000000"/>
    <n v="0"/>
    <n v="5000000"/>
    <n v="0"/>
    <n v="5000000"/>
    <n v="0"/>
    <n v="5000000"/>
    <n v="0"/>
    <n v="5000000"/>
    <n v="0"/>
    <n v="5000000"/>
    <n v="0"/>
    <n v="10000000"/>
    <n v="55000000"/>
    <n v="55000000"/>
    <n v="-5268500"/>
    <n v="-5268500"/>
    <s v="Prestar servicios de apoyo a la gestión  de la comunicación digital de la entidad, mediante la creación, administración y dinamización de contenidos en canales digitales y redes sociales, orientados a la divulgación y socialización de los procesos, proyec"/>
    <n v="0"/>
    <n v="0"/>
    <n v="50496600"/>
    <n v="0"/>
    <n v="0"/>
    <n v="3825500"/>
    <n v="-765100"/>
    <n v="5000000"/>
    <n v="0"/>
    <n v="5000000"/>
    <n v="0"/>
    <n v="5000000"/>
    <n v="0"/>
    <n v="5000000"/>
    <n v="0"/>
    <n v="5000000"/>
    <n v="0"/>
    <n v="5000000"/>
    <n v="0"/>
    <n v="5000000"/>
    <n v="0"/>
    <n v="5000000"/>
    <n v="0"/>
    <n v="5906000"/>
    <m/>
    <m/>
    <n v="49731500"/>
    <n v="49731500"/>
    <n v="0"/>
    <n v="0"/>
    <n v="48426"/>
    <d v="2026-01-19T00:00:00"/>
    <n v="50496600"/>
    <n v="-765100"/>
    <n v="44526"/>
    <d v="2026-02-05T00:00:00"/>
    <n v="50496600"/>
    <n v="-765100"/>
    <n v="0"/>
    <s v="MEDINA RAMOS LUIS EDUARDO"/>
    <s v="CO1.PCCNTR.9216444"/>
    <m/>
    <m/>
    <m/>
    <n v="50496600"/>
    <m/>
    <m/>
    <m/>
    <n v="3825500"/>
    <n v="3825500"/>
    <m/>
    <n v="4590600"/>
    <n v="4590600"/>
    <m/>
    <m/>
    <m/>
    <m/>
    <m/>
    <m/>
    <m/>
    <m/>
    <m/>
    <m/>
    <m/>
    <m/>
    <m/>
    <m/>
    <m/>
    <m/>
    <m/>
    <m/>
    <m/>
    <m/>
    <m/>
    <m/>
    <m/>
    <m/>
    <n v="50496600"/>
    <n v="8416100"/>
    <n v="8416100"/>
    <n v="42080500"/>
    <n v="0"/>
    <x v="0"/>
  </r>
  <r>
    <x v="0"/>
    <x v="3"/>
    <s v="Fortalecimiento de los servicios digitales aumentando la capacidad para la transformación digital e interacción con el ciudadano"/>
    <s v="TIC"/>
    <s v="Sí"/>
    <s v="Sí"/>
    <n v="20"/>
    <s v="130-51"/>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51 Prestar servicios de apoyo a la gestión de la comunicación institucional, orientados a la coordinación, articulación y seguimiento de acciones, campañas y contenidos comunicacionales de la entidad, garantizando la coherencia de los mensajes, la per"/>
    <s v="Enero "/>
    <s v="Enero "/>
    <s v="Enero "/>
    <n v="11"/>
    <s v="Meses"/>
    <s v="Contratación directa - Prestación de servicios profesionales "/>
    <s v="Propios - 20 - Ingresos corrientes"/>
    <n v="54333333"/>
    <n v="54333333"/>
    <s v="No"/>
    <s v="N/A"/>
    <s v="Paola del Pilar Puerta Peña"/>
    <s v="Jefe Oficina de Tecnologías de la Información"/>
    <n v="6012220601"/>
    <s v="pilar.puerta@upme.gov.co"/>
    <n v="0"/>
    <n v="0"/>
    <n v="55000000"/>
    <n v="0"/>
    <n v="0"/>
    <n v="5000000"/>
    <n v="0"/>
    <n v="5000000"/>
    <n v="0"/>
    <n v="5000000"/>
    <n v="0"/>
    <n v="5000000"/>
    <n v="0"/>
    <n v="5000000"/>
    <n v="0"/>
    <n v="5000000"/>
    <n v="0"/>
    <n v="5000000"/>
    <n v="0"/>
    <n v="5000000"/>
    <n v="0"/>
    <n v="5000000"/>
    <n v="0"/>
    <n v="10000000"/>
    <n v="55000000"/>
    <n v="55000000"/>
    <n v="-666667"/>
    <n v="-666667"/>
    <s v="Prestar servicios de apoyo a la gestión de la comunicación institucional, orientados a la coordinación, articulación y seguimiento de acciones, campañas y contenidos comunicacionales de la entidad, garantizando la coherencia de los mensajes, la pertinenci"/>
    <n v="0"/>
    <n v="0"/>
    <n v="55000000"/>
    <n v="0"/>
    <n v="0"/>
    <n v="4333333"/>
    <n v="-666667"/>
    <n v="5000000"/>
    <n v="0"/>
    <n v="5000000"/>
    <n v="0"/>
    <n v="5000000"/>
    <n v="0"/>
    <n v="5000000"/>
    <n v="0"/>
    <n v="5000000"/>
    <n v="0"/>
    <n v="5000000"/>
    <n v="0"/>
    <n v="5000000"/>
    <n v="0"/>
    <n v="5000000"/>
    <n v="0"/>
    <n v="10000000"/>
    <m/>
    <m/>
    <n v="54333333"/>
    <n v="54333333"/>
    <n v="0"/>
    <n v="0"/>
    <n v="48326"/>
    <d v="2026-01-19T00:00:00"/>
    <n v="55000000"/>
    <n v="-666667"/>
    <n v="44426"/>
    <d v="2026-02-05T00:00:00"/>
    <n v="55000000"/>
    <n v="-666667"/>
    <n v="0"/>
    <s v="PALMETT ARSANIOS JUAN CARLOS"/>
    <s v="CO1.PCCNTR.9217085"/>
    <m/>
    <m/>
    <m/>
    <n v="55000000"/>
    <m/>
    <m/>
    <m/>
    <n v="4333333"/>
    <n v="4333333"/>
    <m/>
    <n v="5000000"/>
    <n v="5000000"/>
    <m/>
    <m/>
    <m/>
    <m/>
    <m/>
    <m/>
    <m/>
    <m/>
    <m/>
    <m/>
    <m/>
    <m/>
    <m/>
    <m/>
    <m/>
    <m/>
    <m/>
    <m/>
    <m/>
    <m/>
    <m/>
    <m/>
    <m/>
    <m/>
    <n v="55000000"/>
    <n v="9333333"/>
    <n v="9333333"/>
    <n v="45666667"/>
    <n v="0"/>
    <x v="0"/>
  </r>
  <r>
    <x v="0"/>
    <x v="3"/>
    <s v="Fortalecimiento de los servicios digitales aumentando la capacidad para la transformación digital e interacción con el ciudadano"/>
    <s v="TIC"/>
    <s v="Sí"/>
    <s v="Sí"/>
    <n v="68"/>
    <s v="130-52"/>
    <s v="Mejorar la implementación del modelo de Gestión de Información Institucional."/>
    <s v="Servicios de Información Implementados"/>
    <s v="Realizar la adopción del modelo de gestión de Información Institucional."/>
    <n v="80111620"/>
    <s v="C-2199-1900-5-53105B-2199065-02"/>
    <s v="Prestación de servicios profesionales y/o de apoyo a la gestión"/>
    <s v="130-52 Prestar servicios profesionales para el apoyo técnico en la operación y seguimiento del entorno tecnológico de la entidad, así como el mantenimiento y soporte de la infraestructura tecnológica, los servicios tecnológicos y los sistemas de informaci"/>
    <s v="Enero "/>
    <s v="Enero "/>
    <s v="Enero "/>
    <n v="11"/>
    <s v="Meses"/>
    <s v="Contratación directa - Prestación de servicios profesionales "/>
    <s v="Propios - 20 - Ingresos corrientes"/>
    <n v="55000000"/>
    <n v="55000000"/>
    <s v="No"/>
    <s v="N/A"/>
    <s v="Paola del Pilar Puerta Peña"/>
    <s v="Jefe Oficina de Tecnologías de la Información"/>
    <n v="6012220601"/>
    <s v="pilar.puerta@upme.gov.co"/>
    <n v="55000000"/>
    <n v="0"/>
    <n v="0"/>
    <n v="0"/>
    <n v="0"/>
    <n v="5000000"/>
    <n v="0"/>
    <n v="5000000"/>
    <n v="0"/>
    <n v="5000000"/>
    <n v="0"/>
    <n v="5000000"/>
    <n v="0"/>
    <n v="5000000"/>
    <n v="0"/>
    <n v="5000000"/>
    <n v="0"/>
    <n v="5000000"/>
    <n v="0"/>
    <n v="5000000"/>
    <n v="0"/>
    <n v="5000000"/>
    <n v="0"/>
    <n v="10000000"/>
    <n v="55000000"/>
    <n v="55000000"/>
    <n v="0"/>
    <n v="0"/>
    <s v="Prestar servicios profesionales para el apoyo técnico en la operación y seguimiento del entorno tecnológico de la entidad, así como el mantenimiento y soporte de la infraestructura tecnológica, los servicios tecnológicos y los sistemas de información de l"/>
    <n v="55000000"/>
    <m/>
    <m/>
    <m/>
    <m/>
    <n v="5000000"/>
    <m/>
    <n v="5000000"/>
    <m/>
    <n v="5000000"/>
    <m/>
    <n v="5000000"/>
    <m/>
    <n v="5000000"/>
    <m/>
    <n v="5000000"/>
    <m/>
    <n v="5000000"/>
    <m/>
    <n v="5000000"/>
    <m/>
    <n v="5000000"/>
    <m/>
    <n v="10000000"/>
    <m/>
    <m/>
    <n v="55000000"/>
    <n v="55000000"/>
    <n v="0"/>
    <n v="0"/>
    <n v="39926"/>
    <d v="2026-01-15T00:00:00"/>
    <n v="55000000"/>
    <n v="0"/>
    <n v="28126"/>
    <d v="2026-01-28T00:00:00"/>
    <n v="55000000"/>
    <n v="0"/>
    <n v="0"/>
    <s v="VENEGAS GUALTEROS MARY CRUZ"/>
    <s v="CO1.PCCNTR.9132963"/>
    <n v="55000000"/>
    <m/>
    <m/>
    <m/>
    <m/>
    <m/>
    <m/>
    <n v="5333333"/>
    <n v="5333333"/>
    <m/>
    <n v="5000000"/>
    <n v="5000000"/>
    <m/>
    <m/>
    <m/>
    <m/>
    <m/>
    <m/>
    <m/>
    <m/>
    <m/>
    <m/>
    <m/>
    <m/>
    <m/>
    <m/>
    <m/>
    <m/>
    <m/>
    <m/>
    <m/>
    <m/>
    <m/>
    <m/>
    <m/>
    <m/>
    <n v="55000000"/>
    <n v="10333333"/>
    <n v="10333333"/>
    <n v="44666667"/>
    <n v="0"/>
    <x v="0"/>
  </r>
  <r>
    <x v="0"/>
    <x v="3"/>
    <s v="Fortalecimiento de los servicios digitales aumentando la capacidad para la transformación digital e interacción con el ciudadano"/>
    <s v="TIC"/>
    <s v="No"/>
    <s v="Sí"/>
    <n v="68"/>
    <s v="130-53"/>
    <s v="Incrementar el desarrollo de los habilitadores transversales de la política de gobierno digital."/>
    <s v="Documento para la Planeación Estratégica en TI"/>
    <s v="Definir y estructurar las acciones tendientes a la apropiación e implementación de la política de Gobierno Digital."/>
    <s v="N/A"/>
    <s v="C-2199-1900-5-53105B-2199066-02"/>
    <s v="Viáticos o gastos de desplazamiento"/>
    <s v="130-53 Viáticos o gastos de desplazamiento"/>
    <s v="N/A"/>
    <s v="N/A"/>
    <s v="N/A"/>
    <s v="N/A"/>
    <s v="N/A"/>
    <s v="N/A"/>
    <s v="Propios - 20 - Ingresos corrientes"/>
    <n v="30000000"/>
    <n v="30000000"/>
    <s v="No"/>
    <s v="N/A"/>
    <s v="Paola del Pilar Puerta Peña"/>
    <s v="Jefe Oficina de Tecnologías de la Información"/>
    <n v="6012220601"/>
    <s v="pilar.puerta@upme.gov.co"/>
    <n v="0"/>
    <n v="0"/>
    <n v="0"/>
    <n v="0"/>
    <n v="0"/>
    <n v="0"/>
    <n v="0"/>
    <n v="0"/>
    <n v="0"/>
    <n v="0"/>
    <n v="4285700"/>
    <n v="4285700"/>
    <n v="4285700"/>
    <n v="4285700"/>
    <n v="4285700"/>
    <n v="4285700"/>
    <n v="4285700"/>
    <n v="4285700"/>
    <n v="4285700"/>
    <n v="4285700"/>
    <n v="4285700"/>
    <n v="4285700"/>
    <n v="4285800"/>
    <n v="4285800"/>
    <n v="30000000"/>
    <n v="30000000"/>
    <n v="0"/>
    <n v="0"/>
    <s v="Viáticos o gastos de desplazamiento"/>
    <m/>
    <m/>
    <m/>
    <m/>
    <m/>
    <m/>
    <m/>
    <m/>
    <m/>
    <m/>
    <n v="4285700"/>
    <n v="4285700"/>
    <n v="4285700"/>
    <n v="4285700"/>
    <n v="4285700"/>
    <n v="4285700"/>
    <n v="4285700"/>
    <n v="4285700"/>
    <n v="4285700"/>
    <n v="4285700"/>
    <n v="4285700"/>
    <n v="4285700"/>
    <n v="4285800"/>
    <n v="4285800"/>
    <m/>
    <m/>
    <n v="30000000"/>
    <n v="30000000"/>
    <n v="0"/>
    <n v="0"/>
    <m/>
    <m/>
    <m/>
    <n v="30000000"/>
    <m/>
    <m/>
    <n v="0"/>
    <n v="30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s v="Radicado 20261110012353"/>
    <s v="130-54"/>
    <s v="Incrementar el desarrollo de los habilitadores transversales de la política de gobierno digital."/>
    <s v="Documento para la Planeación Estratégica en TI"/>
    <s v="Definir y estructurar las acciones tendientes a la apropiación e implementación de la política de Gobierno Digital."/>
    <n v="78111502"/>
    <s v="C-2199-1900-5-53105B-2199066-02"/>
    <s v="Tiquetes"/>
    <s v="130-5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4200000"/>
    <n v="14200000"/>
    <s v="No"/>
    <s v="N/A"/>
    <s v="Paola del Pilar Puerta Peña"/>
    <s v="Jefe Oficina de Tecnologías de la Información"/>
    <n v="6012220601"/>
    <s v="pilar.puerta@upme.gov.co"/>
    <n v="14200000"/>
    <n v="0"/>
    <n v="0"/>
    <n v="0"/>
    <n v="0"/>
    <n v="0"/>
    <n v="0"/>
    <n v="0"/>
    <n v="0"/>
    <n v="0"/>
    <n v="0"/>
    <n v="2028500"/>
    <n v="0"/>
    <n v="2028500"/>
    <n v="0"/>
    <n v="2028500"/>
    <n v="0"/>
    <n v="2028500"/>
    <n v="0"/>
    <n v="2028500"/>
    <n v="0"/>
    <n v="2028500"/>
    <n v="0"/>
    <n v="2029000"/>
    <n v="14200000"/>
    <n v="14200000"/>
    <n v="0"/>
    <n v="0"/>
    <s v="Adquirir los servicios necesarios para garantizar el desplazamiento de servidores públicos y contratistas de la UPME a los eventos y espacios institucionales de planeación minero energética."/>
    <n v="14200000"/>
    <m/>
    <m/>
    <m/>
    <m/>
    <m/>
    <m/>
    <m/>
    <m/>
    <m/>
    <m/>
    <n v="2028500"/>
    <m/>
    <n v="2028500"/>
    <m/>
    <n v="2028500"/>
    <m/>
    <n v="2028500"/>
    <m/>
    <n v="2028500"/>
    <m/>
    <n v="2028500"/>
    <m/>
    <n v="2029000"/>
    <m/>
    <m/>
    <n v="14200000"/>
    <n v="14200000"/>
    <n v="0"/>
    <n v="0"/>
    <n v="38826"/>
    <d v="2026-01-15T00:00:00"/>
    <n v="14200000"/>
    <n v="0"/>
    <n v="20326"/>
    <d v="2026-01-26T00:00:00"/>
    <n v="14200000"/>
    <n v="0"/>
    <n v="0"/>
    <s v="FESTIVAL TOURS S.A.S"/>
    <s v="CO1.PCCNTR.9020125"/>
    <n v="14200000"/>
    <m/>
    <m/>
    <m/>
    <m/>
    <m/>
    <m/>
    <m/>
    <m/>
    <m/>
    <m/>
    <m/>
    <m/>
    <m/>
    <m/>
    <m/>
    <m/>
    <m/>
    <m/>
    <m/>
    <m/>
    <m/>
    <m/>
    <m/>
    <m/>
    <m/>
    <m/>
    <m/>
    <m/>
    <m/>
    <m/>
    <m/>
    <m/>
    <m/>
    <m/>
    <m/>
    <n v="14200000"/>
    <n v="0"/>
    <n v="0"/>
    <n v="14200000"/>
    <n v="0"/>
    <x v="0"/>
  </r>
  <r>
    <x v="0"/>
    <x v="3"/>
    <s v="Fortalecimiento de los servicios digitales aumentando la capacidad para la transformación digital e interacción con el ciudadano"/>
    <s v="TIC"/>
    <s v="Sí"/>
    <s v="Sí"/>
    <n v="68"/>
    <s v="130-55"/>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1112106"/>
    <s v="C-2199-1900-5-53105B-2199067-02"/>
    <s v="Software - Suscripciones"/>
    <s v="130-55 Adquirir suscripción online de consulta e información jurídica."/>
    <s v="Enero "/>
    <s v="Enero "/>
    <s v="Enero "/>
    <n v="11.5"/>
    <s v="Meses"/>
    <s v="Contratación directa - Contratos menor cuantía"/>
    <s v="Propios - 21 - Otros recursos de tesorería"/>
    <n v="6000000"/>
    <n v="6000000"/>
    <s v="No"/>
    <s v="N/A"/>
    <s v="Paola del Pilar Puerta Peña"/>
    <s v="Jefe Oficina de Tecnologías de la Información"/>
    <n v="6012220601"/>
    <s v="pilar.puerta@upme.gov.co"/>
    <n v="0"/>
    <n v="0"/>
    <n v="0"/>
    <n v="0"/>
    <n v="0"/>
    <n v="0"/>
    <n v="0"/>
    <n v="0"/>
    <n v="0"/>
    <n v="0"/>
    <n v="0"/>
    <n v="0"/>
    <n v="0"/>
    <n v="0"/>
    <n v="6000000"/>
    <n v="0"/>
    <n v="0"/>
    <n v="0"/>
    <n v="0"/>
    <n v="0"/>
    <n v="0"/>
    <n v="0"/>
    <n v="0"/>
    <n v="6000000"/>
    <n v="6000000"/>
    <n v="6000000"/>
    <n v="0"/>
    <n v="0"/>
    <s v="Adquirir suscripción online de consulta e información jurídica."/>
    <m/>
    <m/>
    <m/>
    <m/>
    <m/>
    <m/>
    <m/>
    <m/>
    <m/>
    <m/>
    <m/>
    <m/>
    <m/>
    <m/>
    <n v="6000000"/>
    <m/>
    <m/>
    <m/>
    <m/>
    <m/>
    <m/>
    <m/>
    <m/>
    <n v="6000000"/>
    <m/>
    <m/>
    <n v="6000000"/>
    <n v="6000000"/>
    <n v="0"/>
    <n v="0"/>
    <n v="43126"/>
    <d v="2026-01-17T00:00:00"/>
    <n v="6000000"/>
    <n v="0"/>
    <m/>
    <m/>
    <n v="0"/>
    <n v="6000000"/>
    <n v="600000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56"/>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s v="Software - Licencias"/>
    <s v="130-56 Adquirir Certificado Wildcard SSL Multidominio para los servidores de la Unidad"/>
    <s v="Julio"/>
    <s v="Julio"/>
    <s v="Octubre"/>
    <n v="12"/>
    <s v="Meses"/>
    <s v="Contratación directa - Contratos menor cuantía"/>
    <s v="Propios - 20 - Ingresos corrientes"/>
    <n v="2000000"/>
    <n v="2000000"/>
    <s v="No"/>
    <s v="N/A"/>
    <s v="Paola del Pilar Puerta Peña"/>
    <s v="Jefe Oficina de Tecnologías de la Información"/>
    <n v="6012220601"/>
    <s v="pilar.puerta@upme.gov.co"/>
    <n v="0"/>
    <n v="0"/>
    <n v="0"/>
    <n v="0"/>
    <n v="0"/>
    <n v="0"/>
    <n v="0"/>
    <n v="0"/>
    <n v="0"/>
    <n v="0"/>
    <n v="0"/>
    <n v="0"/>
    <n v="0"/>
    <n v="0"/>
    <n v="0"/>
    <n v="0"/>
    <n v="0"/>
    <n v="0"/>
    <n v="2000000"/>
    <n v="0"/>
    <n v="0"/>
    <n v="2000000"/>
    <n v="0"/>
    <n v="0"/>
    <n v="2000000"/>
    <n v="2000000"/>
    <n v="0"/>
    <n v="0"/>
    <s v="Adquirir Certificado Wildcard SSL Multidominio para los servidores de la Unidad"/>
    <m/>
    <m/>
    <m/>
    <m/>
    <m/>
    <m/>
    <m/>
    <m/>
    <m/>
    <m/>
    <m/>
    <m/>
    <m/>
    <m/>
    <m/>
    <m/>
    <m/>
    <m/>
    <n v="2000000"/>
    <m/>
    <m/>
    <n v="2000000"/>
    <m/>
    <m/>
    <m/>
    <m/>
    <n v="2000000"/>
    <n v="2000000"/>
    <n v="0"/>
    <n v="0"/>
    <m/>
    <m/>
    <m/>
    <n v="2000000"/>
    <m/>
    <m/>
    <n v="0"/>
    <n v="2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57"/>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s v="Software - Licencias"/>
    <s v="130-57 Adquirir el servicio de firmado digital incluyendo certificados de firma digital en el sistema de gestión documental de la UPME y los de función pública SIIF Nación (token) y un certificado de firma digital de persona jurídica para facturación elec"/>
    <s v="Agosto"/>
    <s v="Agosto"/>
    <s v="Noviembre"/>
    <n v="12"/>
    <s v="Meses"/>
    <s v="Contratación directa - Contratos menor cuantía"/>
    <s v="Propios - 20 - Ingresos corrientes"/>
    <n v="26000000"/>
    <n v="26000000"/>
    <s v="No"/>
    <s v="N/A"/>
    <s v="Paola del Pilar Puerta Peña"/>
    <s v="Jefe Oficina de Tecnologías de la Información"/>
    <n v="6012220601"/>
    <s v="pilar.puerta@upme.gov.co"/>
    <n v="0"/>
    <n v="0"/>
    <n v="0"/>
    <n v="0"/>
    <n v="0"/>
    <n v="0"/>
    <n v="0"/>
    <n v="0"/>
    <n v="0"/>
    <n v="0"/>
    <n v="0"/>
    <n v="0"/>
    <n v="0"/>
    <n v="0"/>
    <n v="0"/>
    <n v="0"/>
    <n v="0"/>
    <n v="0"/>
    <n v="0"/>
    <n v="0"/>
    <n v="26000000"/>
    <n v="0"/>
    <n v="0"/>
    <n v="26000000"/>
    <n v="26000000"/>
    <n v="26000000"/>
    <n v="0"/>
    <n v="0"/>
    <s v="Adquirir el servicio de firmado digital incluyendo certificados de firma digital en el sistema de gestión documental de la UPME y los de función pública SIIF Nación (token) y un certificado de firma digital de persona jurídica para facturación electrónica"/>
    <m/>
    <m/>
    <m/>
    <m/>
    <m/>
    <m/>
    <m/>
    <m/>
    <m/>
    <m/>
    <m/>
    <m/>
    <m/>
    <m/>
    <m/>
    <m/>
    <m/>
    <m/>
    <m/>
    <m/>
    <n v="26000000"/>
    <m/>
    <m/>
    <n v="26000000"/>
    <m/>
    <m/>
    <n v="26000000"/>
    <n v="26000000"/>
    <n v="0"/>
    <n v="0"/>
    <m/>
    <m/>
    <m/>
    <n v="26000000"/>
    <m/>
    <m/>
    <n v="0"/>
    <n v="26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58"/>
    <s v="Mejorar la implementación del modelo de Gestión de Información Institucional."/>
    <s v="Servicios de Información Implementados"/>
    <s v="Realizar la adopción del modelo de gestión de Información Institucional."/>
    <s v="43222501;43233205;43222503"/>
    <s v="C-2199-1900-5-53105B-2199065-02"/>
    <s v="Software - Licencias"/>
    <s v="130-58 Adquirir el servicio de ciberseguridad contra ransomware y el licenciamiento de la solución Endpoint con la que cuenta la UPME"/>
    <s v="Agosto"/>
    <s v="Agosto"/>
    <s v="Noviembre"/>
    <n v="12"/>
    <s v="Meses"/>
    <s v="Contratación directa - Contratos menor cuantía"/>
    <s v="Propios - 21 - Otros recursos de tesorería"/>
    <n v="165000000"/>
    <n v="165000000"/>
    <s v="No"/>
    <s v="N/A"/>
    <s v="Paola del Pilar Puerta Peña"/>
    <s v="Jefe Oficina de Tecnologías de la Información"/>
    <n v="6012220601"/>
    <s v="pilar.puerta@upme.gov.co"/>
    <n v="0"/>
    <n v="0"/>
    <n v="0"/>
    <n v="0"/>
    <n v="0"/>
    <n v="0"/>
    <n v="0"/>
    <n v="0"/>
    <n v="0"/>
    <n v="0"/>
    <n v="0"/>
    <n v="0"/>
    <n v="0"/>
    <n v="0"/>
    <n v="0"/>
    <n v="0"/>
    <n v="0"/>
    <n v="0"/>
    <n v="0"/>
    <n v="0"/>
    <n v="165000000"/>
    <n v="0"/>
    <n v="0"/>
    <n v="165000000"/>
    <n v="165000000"/>
    <n v="165000000"/>
    <n v="0"/>
    <n v="0"/>
    <s v="Adquirir el servicio de ciberseguridad contra ransomware y el licenciamiento de la solución Endpoint con la que cuenta la UPME"/>
    <m/>
    <m/>
    <m/>
    <m/>
    <m/>
    <m/>
    <m/>
    <m/>
    <m/>
    <m/>
    <m/>
    <m/>
    <m/>
    <m/>
    <m/>
    <m/>
    <m/>
    <m/>
    <m/>
    <m/>
    <n v="165000000"/>
    <m/>
    <m/>
    <n v="165000000"/>
    <m/>
    <m/>
    <n v="165000000"/>
    <n v="165000000"/>
    <n v="0"/>
    <n v="0"/>
    <m/>
    <m/>
    <m/>
    <n v="165000000"/>
    <m/>
    <m/>
    <n v="0"/>
    <n v="165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8"/>
    <s v="130-59"/>
    <s v="Aumentar la capacidad institucional a nivel de arquitectura tecnológica y de sistemas de información."/>
    <s v="Servicios Tecnológicos"/>
    <s v="Robustecer el nivel de madurez de la estrategia de infraestructura y soluciones en la nube."/>
    <s v="43233415;71151106"/>
    <s v="C-2199-1900-5-53105B-2199067-02"/>
    <s v="Software - Licencias"/>
    <s v="130-59 Renovar el licenciamiento y soporte de solución de backup"/>
    <s v="Octubre"/>
    <s v="Octubre"/>
    <s v="Noviembre"/>
    <n v="12"/>
    <s v="Meses"/>
    <s v="Contratación directa - Contratos menor cuantía"/>
    <s v="Propios - 21 - Otros recursos de tesorería"/>
    <n v="11860050"/>
    <n v="11860050"/>
    <s v="No"/>
    <s v="N/A"/>
    <s v="Paola del Pilar Puerta Peña"/>
    <s v="Jefe Oficina de Tecnologías de la Información"/>
    <n v="6012220601"/>
    <s v="pilar.puerta@upme.gov.co"/>
    <n v="0"/>
    <n v="0"/>
    <n v="0"/>
    <n v="0"/>
    <n v="0"/>
    <n v="0"/>
    <n v="0"/>
    <n v="0"/>
    <n v="0"/>
    <n v="0"/>
    <n v="0"/>
    <n v="0"/>
    <n v="0"/>
    <n v="0"/>
    <n v="0"/>
    <n v="0"/>
    <n v="0"/>
    <n v="0"/>
    <n v="0"/>
    <n v="0"/>
    <n v="11860050"/>
    <n v="0"/>
    <n v="0"/>
    <n v="11860050"/>
    <n v="11860050"/>
    <n v="11860050"/>
    <n v="0"/>
    <n v="0"/>
    <s v="Renovar el licenciamiento y soporte de solución de backup"/>
    <m/>
    <m/>
    <m/>
    <m/>
    <m/>
    <m/>
    <m/>
    <m/>
    <m/>
    <m/>
    <m/>
    <m/>
    <m/>
    <m/>
    <m/>
    <m/>
    <m/>
    <m/>
    <m/>
    <m/>
    <n v="11860050"/>
    <m/>
    <m/>
    <n v="11860050"/>
    <m/>
    <m/>
    <n v="11860050"/>
    <n v="11860050"/>
    <n v="0"/>
    <n v="0"/>
    <m/>
    <m/>
    <m/>
    <n v="11860050"/>
    <m/>
    <m/>
    <n v="0"/>
    <n v="1186005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60"/>
    <s v="Aumentar la capacidad institucional a nivel de arquitectura tecnológica y de sistemas de información."/>
    <s v="Servicios Tecnológicos"/>
    <s v="Robustecer el nivel de madurez de la estrategia de infraestructura y soluciones en la nube."/>
    <s v="43233415;43211501;81112003;71151106"/>
    <s v="C-2199-1900-5-53105B-2199067-02"/>
    <s v="Software - Nube pública o privada"/>
    <s v="130-60 Adquirir el servicio de nube para Backup y DRP"/>
    <s v="Enero "/>
    <s v="Enero "/>
    <s v="Marzo"/>
    <n v="12"/>
    <s v="Meses"/>
    <s v="Seléccion abreviada - acuerdo marco"/>
    <s v="Propios - 21 - Otros recursos de tesorería"/>
    <n v="213000000"/>
    <n v="213000000"/>
    <s v="No"/>
    <s v="N/A"/>
    <s v="Paola del Pilar Puerta Peña"/>
    <s v="Jefe Oficina de Tecnologías de la Información"/>
    <n v="6012220601"/>
    <s v="pilar.puerta@upme.gov.co"/>
    <n v="0"/>
    <n v="0"/>
    <n v="0"/>
    <n v="0"/>
    <n v="213000000"/>
    <n v="0"/>
    <n v="0"/>
    <n v="0"/>
    <n v="0"/>
    <n v="0"/>
    <n v="0"/>
    <n v="0"/>
    <n v="0"/>
    <n v="213000000"/>
    <n v="0"/>
    <n v="0"/>
    <n v="87000000"/>
    <n v="0"/>
    <n v="0"/>
    <n v="0"/>
    <n v="0"/>
    <n v="0"/>
    <n v="0"/>
    <n v="87000000"/>
    <n v="300000000"/>
    <n v="300000000"/>
    <n v="-87000000"/>
    <n v="-87000000"/>
    <s v="Adquirir el servicio de nube para Backup y DRP"/>
    <n v="0"/>
    <n v="0"/>
    <n v="0"/>
    <n v="0"/>
    <n v="300000000"/>
    <n v="0"/>
    <n v="-87000000"/>
    <n v="0"/>
    <n v="0"/>
    <n v="0"/>
    <n v="0"/>
    <n v="0"/>
    <n v="0"/>
    <n v="0"/>
    <n v="0"/>
    <n v="0"/>
    <n v="0"/>
    <n v="0"/>
    <n v="0"/>
    <n v="0"/>
    <n v="0"/>
    <n v="0"/>
    <n v="0"/>
    <n v="213000000"/>
    <m/>
    <m/>
    <n v="213000000"/>
    <n v="213000000"/>
    <n v="0"/>
    <n v="0"/>
    <n v="69026"/>
    <d v="2026-02-26T00:00:00"/>
    <n v="213000000"/>
    <n v="0"/>
    <n v="64726"/>
    <d v="2026-03-19T00:00:00"/>
    <n v="213000000"/>
    <n v="0"/>
    <n v="0"/>
    <s v="TECH AND KNOWLEDGE S.A.S"/>
    <s v="CO1.PCCNTR.8707246"/>
    <m/>
    <m/>
    <m/>
    <m/>
    <m/>
    <m/>
    <n v="213000000"/>
    <m/>
    <m/>
    <m/>
    <m/>
    <m/>
    <m/>
    <m/>
    <m/>
    <m/>
    <m/>
    <m/>
    <m/>
    <m/>
    <m/>
    <m/>
    <m/>
    <m/>
    <m/>
    <m/>
    <m/>
    <m/>
    <m/>
    <m/>
    <m/>
    <m/>
    <m/>
    <m/>
    <m/>
    <m/>
    <n v="213000000"/>
    <n v="0"/>
    <n v="0"/>
    <n v="213000000"/>
    <n v="0"/>
    <x v="0"/>
  </r>
  <r>
    <x v="0"/>
    <x v="3"/>
    <s v="Fortalecimiento de los servicios digitales aumentando la capacidad para la transformación digital e interacción con el ciudadano"/>
    <s v="TIC"/>
    <s v="Sí"/>
    <s v="Sí"/>
    <n v="68"/>
    <s v="130-61"/>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s v="Software - Suscripciones"/>
    <s v="130-61 Actualización y soporte del sistema de gestión documental de la Unidad, basado en ARGO/ORFEOGPL, para la Unidad de Planeación Minero Energética -UPME"/>
    <s v="Mayo"/>
    <s v="Mayo"/>
    <s v="Agosto"/>
    <n v="12"/>
    <s v="Meses"/>
    <s v="Contratación directa - único oferente"/>
    <s v="Propios - 21 - Otros recursos de tesorería"/>
    <n v="76000000"/>
    <n v="76000000"/>
    <s v="No"/>
    <s v="N/A"/>
    <s v="Paola del Pilar Puerta Peña"/>
    <s v="Jefe Oficina de Tecnologías de la Información"/>
    <n v="6012220601"/>
    <s v="pilar.puerta@upme.gov.co"/>
    <n v="0"/>
    <n v="0"/>
    <n v="0"/>
    <n v="0"/>
    <n v="0"/>
    <n v="0"/>
    <n v="0"/>
    <n v="0"/>
    <n v="0"/>
    <n v="0"/>
    <n v="0"/>
    <n v="0"/>
    <n v="0"/>
    <n v="0"/>
    <n v="76000000"/>
    <n v="0"/>
    <n v="0"/>
    <n v="0"/>
    <n v="0"/>
    <n v="0"/>
    <n v="0"/>
    <n v="0"/>
    <n v="0"/>
    <n v="76000000"/>
    <n v="76000000"/>
    <n v="76000000"/>
    <n v="0"/>
    <n v="0"/>
    <s v="Actualización y soporte del sistema de gestión documental de la Unidad, basado en ARGO/ORFEOGPL, para la Unidad de Planeación Minero Energética -UPME"/>
    <m/>
    <m/>
    <m/>
    <m/>
    <m/>
    <m/>
    <m/>
    <m/>
    <m/>
    <m/>
    <m/>
    <m/>
    <m/>
    <m/>
    <n v="76000000"/>
    <m/>
    <m/>
    <m/>
    <m/>
    <m/>
    <m/>
    <m/>
    <m/>
    <n v="76000000"/>
    <m/>
    <m/>
    <n v="76000000"/>
    <n v="76000000"/>
    <n v="0"/>
    <n v="0"/>
    <m/>
    <m/>
    <m/>
    <n v="76000000"/>
    <m/>
    <m/>
    <n v="0"/>
    <n v="76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7"/>
    <s v="130-62"/>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s v="Software - Suscripciones"/>
    <s v="130-62 Contratar el suministro de una solución tecnológica integral en la modalidad de software como servicio (SaaS), que permita la gestión unificada de los procesos de nómina, recursos humanos, administración de contratistas, y el control de bienes y se"/>
    <s v="Agosto"/>
    <s v="Agosto"/>
    <s v="Noviembre"/>
    <n v="12"/>
    <s v="Meses"/>
    <s v="Seléccion abreviada - acuerdo marco"/>
    <s v="Propios - 21 - Otros recursos de tesorería"/>
    <n v="34264600"/>
    <n v="34264600"/>
    <s v="No"/>
    <s v="N/A"/>
    <s v="Paola del Pilar Puerta Peña"/>
    <s v="Jefe Oficina de Tecnologías de la Información"/>
    <n v="6012220601"/>
    <s v="pilar.puerta@upme.gov.co"/>
    <n v="0"/>
    <n v="0"/>
    <n v="0"/>
    <n v="0"/>
    <n v="0"/>
    <n v="0"/>
    <n v="0"/>
    <n v="0"/>
    <n v="0"/>
    <n v="0"/>
    <n v="0"/>
    <n v="0"/>
    <n v="0"/>
    <n v="0"/>
    <n v="0"/>
    <n v="0"/>
    <n v="0"/>
    <n v="0"/>
    <n v="0"/>
    <n v="0"/>
    <n v="34264600"/>
    <n v="0"/>
    <n v="0"/>
    <n v="34264600"/>
    <n v="34264600"/>
    <n v="34264600"/>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34264600"/>
    <m/>
    <m/>
    <n v="34264600"/>
    <m/>
    <m/>
    <n v="34264600"/>
    <n v="34264600"/>
    <n v="0"/>
    <n v="0"/>
    <m/>
    <m/>
    <m/>
    <n v="34264600"/>
    <m/>
    <m/>
    <n v="0"/>
    <n v="342646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1"/>
    <s v="130-63"/>
    <s v="Aumentar la capacidad institucional a nivel de arquitectura tecnológica y de sistemas de información."/>
    <s v="Servicios Tecnológicos"/>
    <s v="Robustecer el nivel de madurez de la estrategia de infraestructura y soluciones en la nube."/>
    <n v="80111713"/>
    <s v="C-2199-1900-5-53105B-2199067-02"/>
    <s v="Software - Licencias"/>
    <s v="130-63 Adquirir el licenciamiento de correo electrónico, junto con las herramientas colaborativas en nube para la UPME"/>
    <s v="Julio"/>
    <s v="Julio"/>
    <s v="Octubre"/>
    <n v="12"/>
    <s v="Meses"/>
    <s v="Seléccion abreviada - acuerdo marco"/>
    <s v="Propios - 20 - Ingresos corrientes"/>
    <n v="58381864"/>
    <n v="58381864"/>
    <s v="No"/>
    <s v="N/A"/>
    <s v="Paola del Pilar Puerta Peña"/>
    <s v="Jefe Oficina de Tecnologías de la Información"/>
    <n v="6012220601"/>
    <s v="pilar.puerta@upme.gov.co"/>
    <n v="0"/>
    <n v="0"/>
    <n v="0"/>
    <n v="0"/>
    <n v="0"/>
    <n v="0"/>
    <n v="0"/>
    <n v="0"/>
    <n v="0"/>
    <n v="0"/>
    <n v="0"/>
    <n v="0"/>
    <n v="0"/>
    <n v="0"/>
    <n v="0"/>
    <n v="0"/>
    <n v="0"/>
    <n v="0"/>
    <n v="58381864"/>
    <n v="0"/>
    <n v="0"/>
    <n v="0"/>
    <n v="0"/>
    <n v="58381864"/>
    <n v="58381864"/>
    <n v="58381864"/>
    <n v="0"/>
    <n v="0"/>
    <s v="Adquirir el licenciamiento de correo electrónico, junto con las herramientas colaborativas en nube para la UPME"/>
    <m/>
    <m/>
    <m/>
    <m/>
    <m/>
    <m/>
    <m/>
    <m/>
    <m/>
    <m/>
    <m/>
    <m/>
    <m/>
    <m/>
    <m/>
    <m/>
    <m/>
    <m/>
    <n v="58381864"/>
    <m/>
    <m/>
    <m/>
    <m/>
    <n v="58381864"/>
    <m/>
    <m/>
    <n v="58381864"/>
    <n v="58381864"/>
    <n v="0"/>
    <n v="0"/>
    <m/>
    <m/>
    <m/>
    <n v="58381864"/>
    <m/>
    <m/>
    <n v="0"/>
    <n v="58381864"/>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64"/>
    <s v="Aumentar la capacidad institucional a nivel de arquitectura tecnológica y de sistemas de información."/>
    <s v="Servicios Tecnológicos"/>
    <s v="Robustecer el nivel de madurez de la estrategia de infraestructura y soluciones en la nube."/>
    <n v="80111713"/>
    <s v="C-2199-1900-5-53105B-2199067-02"/>
    <s v="Software - Licencias"/>
    <s v="130-64 Adquisición de suscripción anual de un sistema de monitoreo de la infraestructura tecnológica de la entidad."/>
    <s v="Mayo"/>
    <s v="Mayo"/>
    <s v="Agosto"/>
    <n v="12"/>
    <s v="Meses"/>
    <s v="Contratación directa - Contratos menor cuantía"/>
    <s v="Propios - 20 - Ingresos corrientes"/>
    <n v="45000000"/>
    <n v="45000000"/>
    <s v="No"/>
    <s v="N/A"/>
    <s v="Paola del Pilar Puerta Peña"/>
    <s v="Jefe Oficina de Tecnologías de la Información"/>
    <n v="6012220601"/>
    <s v="pilar.puerta@upme.gov.co"/>
    <n v="0"/>
    <n v="0"/>
    <n v="0"/>
    <n v="0"/>
    <n v="0"/>
    <n v="0"/>
    <n v="0"/>
    <n v="0"/>
    <n v="0"/>
    <n v="0"/>
    <n v="0"/>
    <n v="0"/>
    <n v="0"/>
    <n v="0"/>
    <n v="45000000"/>
    <n v="0"/>
    <n v="0"/>
    <n v="0"/>
    <n v="0"/>
    <n v="0"/>
    <n v="0"/>
    <n v="0"/>
    <n v="0"/>
    <n v="45000000"/>
    <n v="45000000"/>
    <n v="45000000"/>
    <n v="0"/>
    <n v="0"/>
    <s v="Adquisición de suscripción anual de un sistema de monitoreo de la infraestructura tecnológica de la entidad."/>
    <m/>
    <m/>
    <m/>
    <m/>
    <m/>
    <m/>
    <m/>
    <m/>
    <m/>
    <m/>
    <m/>
    <m/>
    <m/>
    <m/>
    <n v="45000000"/>
    <m/>
    <m/>
    <m/>
    <m/>
    <m/>
    <m/>
    <m/>
    <m/>
    <n v="45000000"/>
    <m/>
    <m/>
    <n v="45000000"/>
    <n v="45000000"/>
    <n v="0"/>
    <n v="0"/>
    <m/>
    <m/>
    <m/>
    <n v="45000000"/>
    <m/>
    <m/>
    <n v="0"/>
    <n v="45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16"/>
    <s v="130-65"/>
    <s v="Aumentar la capacidad institucional a nivel de arquitectura tecnológica y de sistemas de información."/>
    <s v="Servicios Tecnológicos"/>
    <s v="Robustecer el nivel de madurez de la estrategia de infraestructura y soluciones en la nube."/>
    <s v="43222611;43232805"/>
    <s v="C-2199-1900-5-53105B-2199067-02"/>
    <s v="Software - Licencias"/>
    <s v="130-65 Adquirir el canal de backup de internet para la UPME."/>
    <s v="Enero "/>
    <s v="Enero "/>
    <s v="Abril"/>
    <n v="12"/>
    <s v="Meses"/>
    <s v="Seléccion abreviada - acuerdo marco"/>
    <s v="Propios - 21 - Otros recursos de tesorería"/>
    <n v="48639950"/>
    <n v="48639950"/>
    <s v="No"/>
    <s v="N/A"/>
    <s v="Paola del Pilar Puerta Peña"/>
    <s v="Jefe Oficina de Tecnologías de la Información"/>
    <n v="6012220601"/>
    <s v="pilar.puerta@upme.gov.co"/>
    <n v="0"/>
    <n v="0"/>
    <n v="0"/>
    <n v="0"/>
    <n v="0"/>
    <n v="0"/>
    <n v="35000000"/>
    <n v="0"/>
    <n v="0"/>
    <n v="3800000"/>
    <n v="0"/>
    <n v="3800000"/>
    <n v="0"/>
    <n v="3800000"/>
    <n v="0"/>
    <n v="3800000"/>
    <n v="0"/>
    <n v="3800000"/>
    <n v="0"/>
    <n v="3800000"/>
    <n v="0"/>
    <n v="3800000"/>
    <n v="0"/>
    <n v="8400000"/>
    <n v="35000000"/>
    <n v="35000000"/>
    <n v="13639950"/>
    <n v="13639950"/>
    <s v="Adquirir el canal de backup de internet para la UPME."/>
    <n v="0"/>
    <n v="0"/>
    <n v="0"/>
    <n v="0"/>
    <n v="0"/>
    <n v="0"/>
    <n v="48639950"/>
    <n v="0"/>
    <n v="0"/>
    <n v="0"/>
    <n v="0"/>
    <n v="0"/>
    <n v="0"/>
    <n v="0"/>
    <n v="0"/>
    <n v="0"/>
    <n v="0"/>
    <n v="0"/>
    <n v="0"/>
    <n v="0"/>
    <n v="0"/>
    <n v="0"/>
    <n v="0"/>
    <n v="48639950"/>
    <m/>
    <m/>
    <n v="48639950"/>
    <n v="48639950"/>
    <n v="0"/>
    <n v="0"/>
    <n v="71626"/>
    <d v="2026-03-26T00:00:00"/>
    <n v="48326614"/>
    <n v="313336"/>
    <n v="73426"/>
    <d v="2026-04-29T00:00:00"/>
    <n v="11111625"/>
    <n v="37528325"/>
    <n v="37214989"/>
    <s v="EMPRESA DE TELECOMUNICACIONES DE BOGOTA SA ESP PUDIENDO IDENTIFICARSE PARA TODOS LOS EFECTOS CON LA SIGLA ETB S.A. E.S.P."/>
    <n v="163969"/>
    <m/>
    <m/>
    <m/>
    <m/>
    <m/>
    <m/>
    <m/>
    <m/>
    <m/>
    <n v="11111625"/>
    <m/>
    <m/>
    <m/>
    <m/>
    <m/>
    <m/>
    <m/>
    <m/>
    <m/>
    <m/>
    <m/>
    <m/>
    <m/>
    <m/>
    <m/>
    <m/>
    <m/>
    <m/>
    <m/>
    <m/>
    <m/>
    <m/>
    <m/>
    <m/>
    <m/>
    <m/>
    <n v="11111625"/>
    <n v="0"/>
    <n v="0"/>
    <n v="11111625"/>
    <n v="0"/>
    <x v="0"/>
  </r>
  <r>
    <x v="0"/>
    <x v="3"/>
    <s v="Fortalecimiento de los servicios digitales aumentando la capacidad para la transformación digital e interacción con el ciudadano"/>
    <s v="TIC"/>
    <s v="Sí"/>
    <s v="Sí"/>
    <n v="68"/>
    <s v="130-66"/>
    <s v="Aumentar la capacidad institucional a nivel de arquitectura tecnológica y de sistemas de información."/>
    <s v="Servicios Tecnológicos"/>
    <s v="Robustecer el nivel de madurez de la estrategia de infraestructura y soluciones en la nube."/>
    <s v="43222611;43232805"/>
    <s v="C-2199-1900-5-53105B-2199067-02"/>
    <s v="Software - Licencias"/>
    <s v="130-66 Renovación del segmento de prefijo IPV6 ante LACNIC."/>
    <s v="Agosto"/>
    <s v="Agosto"/>
    <s v="Diciembre"/>
    <n v="12"/>
    <s v="Meses"/>
    <s v="Seléccion abreviada - acuerdo marco"/>
    <s v="Propios - 21 - Otros recursos de tesorería"/>
    <n v="5000000"/>
    <n v="5000000"/>
    <s v="No"/>
    <s v="N/A"/>
    <s v="Paola del Pilar Puerta Peña"/>
    <s v="Jefe Oficina de Tecnologías de la Información"/>
    <n v="6012220601"/>
    <s v="pilar.puerta@upme.gov.co"/>
    <n v="0"/>
    <n v="0"/>
    <n v="0"/>
    <n v="0"/>
    <n v="0"/>
    <n v="0"/>
    <n v="0"/>
    <n v="0"/>
    <n v="0"/>
    <n v="0"/>
    <n v="0"/>
    <n v="0"/>
    <n v="0"/>
    <n v="0"/>
    <n v="0"/>
    <n v="0"/>
    <n v="0"/>
    <n v="0"/>
    <n v="0"/>
    <n v="0"/>
    <n v="0"/>
    <n v="0"/>
    <n v="5000000"/>
    <n v="5000000"/>
    <n v="5000000"/>
    <n v="5000000"/>
    <n v="0"/>
    <n v="0"/>
    <s v="Renovación del segmento de prefijo IPV6 ante LACNIC."/>
    <m/>
    <m/>
    <m/>
    <m/>
    <m/>
    <m/>
    <m/>
    <m/>
    <m/>
    <m/>
    <m/>
    <m/>
    <m/>
    <m/>
    <m/>
    <m/>
    <m/>
    <m/>
    <m/>
    <m/>
    <m/>
    <m/>
    <n v="5000000"/>
    <n v="5000000"/>
    <m/>
    <m/>
    <n v="5000000"/>
    <n v="5000000"/>
    <n v="0"/>
    <n v="0"/>
    <m/>
    <m/>
    <m/>
    <n v="5000000"/>
    <m/>
    <m/>
    <n v="0"/>
    <n v="5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67"/>
    <s v="Mejorar la implementación del modelo de Gestión de Información Institucional."/>
    <s v="Servicios de Información Implementados"/>
    <s v="Realizar la adopción del modelo de gestión de Información Institucional."/>
    <n v="80101505"/>
    <s v="C-2199-1900-5-53105B-2199065-02"/>
    <s v="Software - Suscripciones"/>
    <s v="130-67 Contratar el servicio de plataforma cómo servicios PaaS de la herramienta Bizagi, así como la migración de los flujos de procesos de la UPME."/>
    <s v="Mayo"/>
    <s v="Mayo"/>
    <s v="Agosto"/>
    <n v="12"/>
    <s v="Meses"/>
    <s v="Contratación directa - único oferente"/>
    <s v="Propios - 21 - Otros recursos de tesorería"/>
    <n v="500000000"/>
    <n v="500000000"/>
    <s v="No"/>
    <s v="N/A"/>
    <s v="Paola del Pilar Puerta Peña"/>
    <s v="Jefe Oficina de Tecnologías de la Información"/>
    <n v="6012220601"/>
    <s v="pilar.puerta@upme.gov.co"/>
    <n v="0"/>
    <n v="0"/>
    <n v="0"/>
    <n v="0"/>
    <n v="0"/>
    <n v="0"/>
    <n v="0"/>
    <n v="0"/>
    <n v="0"/>
    <n v="0"/>
    <n v="0"/>
    <n v="0"/>
    <n v="0"/>
    <n v="0"/>
    <n v="500000000"/>
    <n v="0"/>
    <n v="0"/>
    <n v="0"/>
    <n v="0"/>
    <n v="0"/>
    <n v="0"/>
    <n v="0"/>
    <n v="0"/>
    <n v="500000000"/>
    <n v="500000000"/>
    <n v="500000000"/>
    <n v="0"/>
    <n v="0"/>
    <s v="Contratar el servicio de plataforma cómo servicios PaaS de la herramienta Bizagi, así como la migración de los flujos de procesos de la UPME."/>
    <m/>
    <m/>
    <m/>
    <m/>
    <m/>
    <m/>
    <m/>
    <m/>
    <m/>
    <m/>
    <m/>
    <m/>
    <m/>
    <m/>
    <n v="500000000"/>
    <m/>
    <m/>
    <m/>
    <m/>
    <m/>
    <m/>
    <m/>
    <m/>
    <n v="500000000"/>
    <m/>
    <m/>
    <n v="500000000"/>
    <n v="500000000"/>
    <n v="0"/>
    <n v="0"/>
    <m/>
    <m/>
    <m/>
    <n v="500000000"/>
    <m/>
    <m/>
    <n v="0"/>
    <n v="500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16"/>
    <s v="130-68"/>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43231513"/>
    <s v="C-2199-1900-5-53105B-2199067-02"/>
    <s v="Software - Licencias"/>
    <s v="130-68 Adquirir el servicio de licenciamiento de Office 365 usado en la entidad"/>
    <s v="Febrero"/>
    <s v="Febrero"/>
    <s v="Mayo"/>
    <n v="12"/>
    <s v="Meses"/>
    <s v="Seléccion abreviada - acuerdo marco"/>
    <s v="Propios - 21 - Otros recursos de tesorería"/>
    <n v="54150000"/>
    <n v="54150000"/>
    <s v="No"/>
    <s v="N/A"/>
    <s v="Paola del Pilar Puerta Peña"/>
    <s v="Jefe Oficina de Tecnologías de la Información"/>
    <n v="6012220601"/>
    <s v="pilar.puerta@upme.gov.co"/>
    <n v="0"/>
    <n v="0"/>
    <n v="0"/>
    <n v="0"/>
    <n v="0"/>
    <n v="0"/>
    <n v="0"/>
    <n v="0"/>
    <n v="47550000"/>
    <n v="0"/>
    <n v="0"/>
    <n v="0"/>
    <n v="0"/>
    <n v="0"/>
    <n v="0"/>
    <n v="47550000"/>
    <n v="0"/>
    <n v="0"/>
    <n v="0"/>
    <n v="0"/>
    <n v="0"/>
    <n v="0"/>
    <n v="0"/>
    <n v="0"/>
    <n v="47550000"/>
    <n v="47550000"/>
    <n v="6600000"/>
    <n v="6600000"/>
    <s v="Adquirir el servicio de licenciamiento de Office 365 usado en la entidad"/>
    <n v="0"/>
    <n v="0"/>
    <n v="0"/>
    <n v="0"/>
    <n v="0"/>
    <n v="0"/>
    <n v="0"/>
    <n v="0"/>
    <n v="54150000"/>
    <n v="0"/>
    <n v="0"/>
    <n v="0"/>
    <n v="0"/>
    <n v="0"/>
    <n v="0"/>
    <n v="54150000"/>
    <n v="0"/>
    <n v="0"/>
    <n v="0"/>
    <n v="0"/>
    <n v="0"/>
    <n v="0"/>
    <n v="0"/>
    <n v="0"/>
    <m/>
    <m/>
    <n v="54150000"/>
    <n v="54150000"/>
    <n v="0"/>
    <n v="0"/>
    <n v="71426"/>
    <d v="2026-03-26T00:00:00"/>
    <n v="54150000"/>
    <n v="0"/>
    <n v="73326"/>
    <d v="2026-04-29T00:00:00"/>
    <n v="47633172"/>
    <n v="6516828"/>
    <n v="6516828"/>
    <s v="COLSOF S.A.S."/>
    <n v="163875"/>
    <m/>
    <m/>
    <m/>
    <m/>
    <m/>
    <m/>
    <m/>
    <m/>
    <m/>
    <n v="47633172"/>
    <m/>
    <m/>
    <m/>
    <m/>
    <m/>
    <m/>
    <m/>
    <m/>
    <m/>
    <m/>
    <m/>
    <m/>
    <m/>
    <m/>
    <m/>
    <m/>
    <m/>
    <m/>
    <m/>
    <m/>
    <m/>
    <m/>
    <m/>
    <m/>
    <m/>
    <m/>
    <n v="47633172"/>
    <n v="0"/>
    <n v="0"/>
    <n v="47633172"/>
    <n v="0"/>
    <x v="0"/>
  </r>
  <r>
    <x v="0"/>
    <x v="3"/>
    <s v="Fortalecimiento de los servicios digitales aumentando la capacidad para la transformación digital e interacción con el ciudadano"/>
    <s v="TIC"/>
    <s v="Sí"/>
    <s v="Sí"/>
    <n v="68"/>
    <s v="130-69"/>
    <s v="Aumentar la capacidad institucional a nivel de arquitectura tecnológica y de sistemas de información."/>
    <s v="Servicios Tecnológicos"/>
    <s v="Robustecer el nivel de madurez de la estrategia de infraestructura y soluciones en la nube."/>
    <s v="43233200;81111800;81111801;81112208, "/>
    <s v="C-2199-1900-5-53105B-2199067-02"/>
    <s v="Software - Licencias"/>
    <s v="130-69 Adquirir el licenciamiento de la solución con la que cuenta la UPME para la protección del correo electrónico, de la red de comunicaciones, y la integración con el Firewall Palo Alto"/>
    <s v="Agosto"/>
    <s v="Agosto"/>
    <s v="Noviembre"/>
    <n v="12"/>
    <s v="Meses"/>
    <s v="Contratación directa - Contratos menor cuantía"/>
    <s v="Propios - 21 - Otros recursos de tesorería"/>
    <n v="182000000"/>
    <n v="182000000"/>
    <s v="No"/>
    <s v="N/A"/>
    <s v="Paola del Pilar Puerta Peña"/>
    <s v="Jefe Oficina de Tecnologías de la Información"/>
    <n v="6012220601"/>
    <s v="pilar.puerta@upme.gov.co"/>
    <n v="0"/>
    <n v="0"/>
    <n v="0"/>
    <n v="0"/>
    <n v="0"/>
    <n v="0"/>
    <n v="0"/>
    <n v="0"/>
    <n v="0"/>
    <n v="0"/>
    <n v="0"/>
    <n v="0"/>
    <n v="0"/>
    <n v="0"/>
    <n v="0"/>
    <n v="0"/>
    <n v="0"/>
    <n v="0"/>
    <n v="0"/>
    <n v="0"/>
    <n v="182000000"/>
    <n v="0"/>
    <n v="0"/>
    <n v="182000000"/>
    <n v="182000000"/>
    <n v="182000000"/>
    <n v="0"/>
    <n v="0"/>
    <s v="Adquirir el licenciamiento de la solución con la que cuenta la UPME para la protección del correo electrónico, de la red de comunicaciones, y la integración con el Firewall Palo Alto"/>
    <m/>
    <m/>
    <m/>
    <m/>
    <m/>
    <m/>
    <m/>
    <m/>
    <m/>
    <m/>
    <m/>
    <m/>
    <m/>
    <m/>
    <m/>
    <m/>
    <m/>
    <m/>
    <m/>
    <m/>
    <n v="182000000"/>
    <m/>
    <m/>
    <n v="182000000"/>
    <m/>
    <m/>
    <n v="182000000"/>
    <n v="182000000"/>
    <n v="0"/>
    <n v="0"/>
    <m/>
    <m/>
    <m/>
    <n v="182000000"/>
    <m/>
    <m/>
    <n v="0"/>
    <n v="182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0"/>
    <s v="Aumentar la capacidad institucional a nivel de arquitectura tecnológica y de sistemas de información."/>
    <s v="Servicios Tecnológicos"/>
    <s v="Robustecer el nivel de madurez de la estrategia de infraestructura y soluciones en la nube."/>
    <s v="43222501;43222503;43222504;43222609;43233205"/>
    <s v="C-2199-1900-5-53105B-2199067-02"/>
    <s v="Software - Licencias"/>
    <s v="130-70 Contratar la solución de Security Gateway Edge para fortalecer la infraestructura de seguridad de la Entidad, con capacidades avanzadas que incluyen balanceo de servicios con DRP, firewall de aplicaciones avanzado, protección antibot, y mecanismos "/>
    <s v="Febrero"/>
    <s v="Febrero"/>
    <s v="Abril"/>
    <n v="12"/>
    <s v="Meses"/>
    <s v="Contratación directa - Contratos menor cuantía"/>
    <s v="Propios - 21 - Otros recursos de tesorería"/>
    <n v="40000000"/>
    <n v="40000000"/>
    <s v="No"/>
    <s v="N/A"/>
    <s v="Paola del Pilar Puerta Peña"/>
    <s v="Jefe Oficina de Tecnologías de la Información"/>
    <n v="6012220601"/>
    <s v="pilar.puerta@upme.gov.co"/>
    <n v="0"/>
    <n v="0"/>
    <n v="0"/>
    <n v="0"/>
    <n v="0"/>
    <n v="0"/>
    <n v="40000000"/>
    <n v="0"/>
    <n v="0"/>
    <n v="0"/>
    <n v="0"/>
    <n v="0"/>
    <n v="0"/>
    <n v="0"/>
    <n v="0"/>
    <n v="0"/>
    <n v="0"/>
    <n v="0"/>
    <n v="0"/>
    <n v="40000000"/>
    <n v="0"/>
    <n v="0"/>
    <n v="0"/>
    <n v="0"/>
    <n v="40000000"/>
    <n v="40000000"/>
    <n v="0"/>
    <n v="0"/>
    <s v="Contratar la solución de Security Gateway Edge para fortalecer la infraestructura de seguridad de la Entidad, con capacidades avanzadas que incluyen balanceo de servicios con DRP, firewall de aplicaciones avanzado, protección antibot, y mecanismos efectiv"/>
    <m/>
    <m/>
    <m/>
    <m/>
    <m/>
    <m/>
    <n v="40000000"/>
    <m/>
    <m/>
    <m/>
    <m/>
    <m/>
    <m/>
    <m/>
    <m/>
    <m/>
    <m/>
    <m/>
    <m/>
    <n v="40000000"/>
    <m/>
    <m/>
    <m/>
    <m/>
    <m/>
    <m/>
    <n v="40000000"/>
    <n v="40000000"/>
    <n v="0"/>
    <n v="0"/>
    <n v="69126"/>
    <d v="2026-02-26T00:00:00"/>
    <n v="39832164"/>
    <n v="167836"/>
    <n v="67826"/>
    <d v="2026-04-07T00:00:00"/>
    <n v="39832164"/>
    <n v="167836"/>
    <n v="0"/>
    <s v="NGEEK SAS"/>
    <s v="CO1.PCCNTR.7714801"/>
    <m/>
    <m/>
    <m/>
    <m/>
    <m/>
    <m/>
    <m/>
    <m/>
    <m/>
    <n v="39832164"/>
    <m/>
    <m/>
    <m/>
    <m/>
    <m/>
    <m/>
    <m/>
    <m/>
    <m/>
    <m/>
    <m/>
    <m/>
    <m/>
    <m/>
    <m/>
    <m/>
    <m/>
    <m/>
    <m/>
    <m/>
    <m/>
    <m/>
    <m/>
    <m/>
    <m/>
    <m/>
    <n v="39832164"/>
    <n v="0"/>
    <n v="0"/>
    <n v="39832164"/>
    <n v="0"/>
    <x v="0"/>
  </r>
  <r>
    <x v="0"/>
    <x v="3"/>
    <s v="Fortalecimiento de los servicios digitales aumentando la capacidad para la transformación digital e interacción con el ciudadano"/>
    <s v="TIC"/>
    <s v="Sí"/>
    <s v="Sí"/>
    <n v="68"/>
    <s v="130-71"/>
    <s v="Mejorar la implementación del modelo de Gestión de Información Institucional."/>
    <s v="Servicios de Información Implementados"/>
    <s v="Realizar la adopción del modelo de gestión de Información Institucional."/>
    <s v="43222501;43222503;43222504;43222609;43233205"/>
    <s v="C-2199-1900-5-53105B-2199065-02"/>
    <s v="Software - Licencias"/>
    <s v="130-71 Contratar la solución de Security Gateway Edge para fortalecer la infraestructura de seguridad de la Entidad, con capacidades avanzadas que incluyen balanceo de servicios con DRP, firewall de aplicaciones avanzado, protección antibot, y mecanismos "/>
    <s v="Febrero"/>
    <s v="Febrero"/>
    <s v="Abril"/>
    <n v="12"/>
    <s v="Meses"/>
    <s v="Contratación directa - Contratos menor cuantía"/>
    <s v="Propios - 21 - Otros recursos de tesorería"/>
    <n v="160000000"/>
    <n v="160000000"/>
    <s v="No"/>
    <s v="N/A"/>
    <s v="Paola del Pilar Puerta Peña"/>
    <s v="Jefe Oficina de Tecnologías de la Información"/>
    <n v="6012220601"/>
    <s v="pilar.puerta@upme.gov.co"/>
    <n v="0"/>
    <n v="0"/>
    <n v="0"/>
    <n v="0"/>
    <n v="0"/>
    <n v="0"/>
    <n v="160000000"/>
    <n v="0"/>
    <n v="0"/>
    <n v="0"/>
    <n v="0"/>
    <n v="0"/>
    <n v="0"/>
    <n v="0"/>
    <n v="0"/>
    <n v="0"/>
    <n v="0"/>
    <n v="0"/>
    <n v="0"/>
    <n v="160000000"/>
    <n v="0"/>
    <n v="0"/>
    <n v="0"/>
    <n v="0"/>
    <n v="160000000"/>
    <n v="160000000"/>
    <n v="0"/>
    <n v="0"/>
    <s v="Contratar la solución de Security Gateway Edge para fortalecer la infraestructura de seguridad de la Entidad, con capacidades avanzadas que incluyen balanceo de servicios con DRP, firewall de aplicaciones avanzado, protección antibot, y mecanismos efectiv"/>
    <m/>
    <m/>
    <m/>
    <m/>
    <m/>
    <m/>
    <n v="160000000"/>
    <m/>
    <m/>
    <m/>
    <m/>
    <m/>
    <m/>
    <m/>
    <m/>
    <m/>
    <m/>
    <m/>
    <m/>
    <n v="160000000"/>
    <m/>
    <m/>
    <m/>
    <m/>
    <m/>
    <m/>
    <n v="160000000"/>
    <n v="160000000"/>
    <n v="0"/>
    <n v="0"/>
    <n v="69126"/>
    <d v="2026-02-26T00:00:00"/>
    <n v="160000000"/>
    <n v="0"/>
    <n v="67826"/>
    <d v="2026-04-07T00:00:00"/>
    <n v="160000000"/>
    <n v="0"/>
    <n v="0"/>
    <s v="NGEEK SAS"/>
    <s v="CO1.PCCNTR.7714801"/>
    <m/>
    <m/>
    <m/>
    <m/>
    <m/>
    <m/>
    <m/>
    <m/>
    <m/>
    <n v="160000000"/>
    <m/>
    <m/>
    <m/>
    <m/>
    <m/>
    <m/>
    <m/>
    <m/>
    <m/>
    <m/>
    <m/>
    <m/>
    <m/>
    <m/>
    <m/>
    <m/>
    <m/>
    <m/>
    <m/>
    <m/>
    <m/>
    <m/>
    <m/>
    <m/>
    <m/>
    <m/>
    <n v="160000000"/>
    <n v="0"/>
    <n v="0"/>
    <n v="160000000"/>
    <n v="0"/>
    <x v="0"/>
  </r>
  <r>
    <x v="0"/>
    <x v="3"/>
    <s v="Fortalecimiento de los servicios digitales aumentando la capacidad para la transformación digital e interacción con el ciudadano"/>
    <s v="TIC"/>
    <s v="Sí"/>
    <s v="Sí"/>
    <n v="20"/>
    <s v="130-72"/>
    <s v="Aumentar la capacidad institucional a nivel de arquitectura tecnológica y de sistemas de información."/>
    <s v="Servicios Tecnológicos"/>
    <s v="Robustecer el nivel de madurez de la estrategia de infraestructura y soluciones en la nube."/>
    <s v="43232304,81112200,81112100"/>
    <s v="C-2199-1900-5-53105B-2199067-02"/>
    <s v="Software - Licencias"/>
    <s v="130-72 Adquirir la suscripción de Power BI para la visualización de datos de la entidad"/>
    <s v="Febrero"/>
    <s v="Febrero"/>
    <s v="Mayo"/>
    <n v="12"/>
    <s v="Meses"/>
    <s v="Seléccion abreviada - acuerdo marco"/>
    <s v="Propios - 21 - Otros recursos de tesorería"/>
    <n v="6300000"/>
    <n v="6300000"/>
    <s v="No"/>
    <s v="N/A"/>
    <s v="Paola del Pilar Puerta Peña"/>
    <s v="Jefe Oficina de Tecnologías de la Información"/>
    <n v="6012220601"/>
    <s v="pilar.puerta@upme.gov.co"/>
    <n v="0"/>
    <n v="0"/>
    <n v="0"/>
    <n v="0"/>
    <n v="0"/>
    <n v="0"/>
    <n v="0"/>
    <n v="0"/>
    <n v="5000000"/>
    <n v="0"/>
    <n v="0"/>
    <n v="0"/>
    <n v="0"/>
    <n v="0"/>
    <n v="0"/>
    <n v="0"/>
    <n v="0"/>
    <n v="5000000"/>
    <n v="0"/>
    <n v="0"/>
    <n v="0"/>
    <n v="0"/>
    <n v="0"/>
    <n v="0"/>
    <n v="5000000"/>
    <n v="5000000"/>
    <n v="1300000"/>
    <n v="1300000"/>
    <s v="Adquirir la suscripción de Power BI para la visualización de datos de la entidad"/>
    <n v="0"/>
    <n v="0"/>
    <n v="0"/>
    <n v="0"/>
    <n v="0"/>
    <n v="0"/>
    <n v="0"/>
    <n v="0"/>
    <n v="6300000"/>
    <n v="0"/>
    <n v="0"/>
    <n v="0"/>
    <n v="0"/>
    <n v="0"/>
    <n v="0"/>
    <n v="0"/>
    <n v="0"/>
    <n v="0"/>
    <n v="0"/>
    <n v="0"/>
    <n v="0"/>
    <n v="0"/>
    <n v="0"/>
    <n v="6300000"/>
    <m/>
    <m/>
    <n v="6300000"/>
    <n v="6300000"/>
    <n v="0"/>
    <n v="0"/>
    <n v="71526"/>
    <d v="2026-03-26T00:00:00"/>
    <n v="5000000"/>
    <n v="1300000"/>
    <m/>
    <m/>
    <n v="0"/>
    <n v="6300000"/>
    <n v="500000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3"/>
    <s v="Aumentar la capacidad institucional a nivel de arquitectura tecnológica y de sistemas de información."/>
    <s v="Servicios Tecnológicos"/>
    <s v="Robustecer el nivel de madurez de la estrategia de infraestructura y soluciones en la nube."/>
    <n v="81111801"/>
    <s v="C-2199-1900-5-53105B-2199067-02"/>
    <s v="Software - Licencias"/>
    <s v="130-73 Adquirir 150 licencias de Vicarius, una solución avanzada de gestión de vulnerabilidades y parches diseñada para mejorar la seguridad y la gestión de riesgos en la infraestructura de TI de la entidad."/>
    <s v="Agosto"/>
    <s v="Agosto"/>
    <s v="Noviembre"/>
    <n v="12"/>
    <s v="Meses"/>
    <s v="Contratación directa - Contratos menor cuantía"/>
    <s v="Propios - 21 - Otros recursos de tesorería"/>
    <n v="35000000"/>
    <n v="35000000"/>
    <s v="No"/>
    <s v="N/A"/>
    <s v="Paola del Pilar Puerta Peña"/>
    <s v="Jefe Oficina de Tecnologías de la Información"/>
    <n v="6012220601"/>
    <s v="pilar.puerta@upme.gov.co"/>
    <n v="0"/>
    <n v="0"/>
    <n v="0"/>
    <n v="0"/>
    <n v="0"/>
    <n v="0"/>
    <n v="0"/>
    <n v="0"/>
    <n v="0"/>
    <n v="0"/>
    <n v="0"/>
    <n v="0"/>
    <n v="0"/>
    <n v="0"/>
    <n v="0"/>
    <n v="0"/>
    <n v="0"/>
    <n v="0"/>
    <n v="0"/>
    <n v="0"/>
    <n v="35000000"/>
    <n v="0"/>
    <n v="0"/>
    <n v="35000000"/>
    <n v="35000000"/>
    <n v="35000000"/>
    <n v="0"/>
    <n v="0"/>
    <s v="Adquirir 150 licencias de Vicarius, una solución avanzada de gestión de vulnerabilidades y parches diseñada para mejorar la seguridad y la gestión de riesgos en la infraestructura de TI de la entidad."/>
    <m/>
    <m/>
    <m/>
    <m/>
    <m/>
    <m/>
    <m/>
    <m/>
    <m/>
    <m/>
    <m/>
    <m/>
    <m/>
    <m/>
    <m/>
    <m/>
    <m/>
    <m/>
    <m/>
    <m/>
    <n v="35000000"/>
    <m/>
    <m/>
    <n v="35000000"/>
    <m/>
    <m/>
    <n v="35000000"/>
    <n v="35000000"/>
    <n v="0"/>
    <n v="0"/>
    <m/>
    <m/>
    <m/>
    <n v="35000000"/>
    <m/>
    <m/>
    <n v="0"/>
    <n v="35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4"/>
    <s v="Mejorar la implementación del modelo de Gestión de Información Institucional."/>
    <s v="Servicios de Información Implementados"/>
    <s v="Realizar la adopción del modelo de gestión de Información Institucional."/>
    <s v="43231500;43232305;43232311"/>
    <s v="C-2199-1900-5-53105B-2199065-02"/>
    <s v="Software - Licencias"/>
    <s v="130-74 Adquirir el licenciamiento de gestión de bases de datos Microsoft SQL Server Standard Edition, para optimizar el rendimiento y la seguridad de la infraestructura de datos de la Unidad de Planeación Minero Energética (UPME)."/>
    <s v="Mayo"/>
    <s v="Mayo"/>
    <s v="Agosto"/>
    <n v="12"/>
    <s v="Meses"/>
    <s v="Contratación directa - Contratos menor cuantía"/>
    <s v="Propios - 20 - Ingresos corrientes"/>
    <n v="150000000"/>
    <n v="150000000"/>
    <s v="No"/>
    <s v="N/A"/>
    <s v="Paola del Pilar Puerta Peña"/>
    <s v="Jefe Oficina de Tecnologías de la Información"/>
    <n v="6012220601"/>
    <s v="pilar.puerta@upme.gov.co"/>
    <n v="0"/>
    <n v="0"/>
    <n v="0"/>
    <n v="0"/>
    <n v="0"/>
    <n v="0"/>
    <n v="0"/>
    <n v="0"/>
    <n v="0"/>
    <n v="0"/>
    <n v="0"/>
    <n v="0"/>
    <n v="0"/>
    <n v="0"/>
    <n v="150000000"/>
    <n v="0"/>
    <n v="0"/>
    <n v="0"/>
    <n v="0"/>
    <n v="0"/>
    <n v="0"/>
    <n v="0"/>
    <n v="0"/>
    <n v="150000000"/>
    <n v="150000000"/>
    <n v="150000000"/>
    <n v="0"/>
    <n v="0"/>
    <s v="Adquirir el licenciamiento de gestión de bases de datos Microsoft SQL Server Standard Edition, para optimizar el rendimiento y la seguridad de la infraestructura de datos de la Unidad de Planeación Minero Energética (UPME)."/>
    <m/>
    <m/>
    <m/>
    <m/>
    <m/>
    <m/>
    <m/>
    <m/>
    <m/>
    <m/>
    <m/>
    <m/>
    <m/>
    <m/>
    <n v="150000000"/>
    <m/>
    <m/>
    <m/>
    <m/>
    <m/>
    <m/>
    <m/>
    <m/>
    <n v="150000000"/>
    <m/>
    <m/>
    <n v="150000000"/>
    <n v="150000000"/>
    <n v="0"/>
    <n v="0"/>
    <m/>
    <m/>
    <m/>
    <n v="150000000"/>
    <m/>
    <m/>
    <n v="0"/>
    <n v="150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5"/>
    <s v="Aumentar la capacidad institucional a nivel de arquitectura tecnológica y de sistemas de información."/>
    <s v="Servicios Tecnológicos"/>
    <s v="Robustecer el nivel de madurez de la estrategia de infraestructura y soluciones en la nube."/>
    <s v="43230000;43232805"/>
    <s v="C-2199-1900-5-53105B-2199067-02"/>
    <s v="Software - Suscripciones"/>
    <s v="130-75 Contratar el servicio para la actualización de ultima versión estable de la plataforma Issabel de telefonía IP, puesta en funcionamiento de servidor redundante y servicio de soporte para toda la plataforma Issabel de la UPME en su arquitectura Acti"/>
    <s v="Mayo"/>
    <s v="Mayo"/>
    <s v="Agosto"/>
    <n v="12"/>
    <s v="Meses"/>
    <s v="Contratación directa - Contratos menor cuantía"/>
    <s v="Propios - 21 - Otros recursos de tesorería"/>
    <n v="10000000"/>
    <n v="10000000"/>
    <s v="No"/>
    <s v="N/A"/>
    <s v="Paola del Pilar Puerta Peña"/>
    <s v="Jefe Oficina de Tecnologías de la Información"/>
    <n v="6012220601"/>
    <s v="pilar.puerta@upme.gov.co"/>
    <n v="0"/>
    <n v="0"/>
    <n v="0"/>
    <n v="0"/>
    <n v="0"/>
    <n v="0"/>
    <n v="0"/>
    <n v="0"/>
    <n v="0"/>
    <n v="0"/>
    <n v="0"/>
    <n v="0"/>
    <n v="0"/>
    <n v="0"/>
    <n v="10000000"/>
    <n v="0"/>
    <n v="0"/>
    <n v="0"/>
    <n v="0"/>
    <n v="0"/>
    <n v="0"/>
    <n v="0"/>
    <n v="0"/>
    <n v="10000000"/>
    <n v="10000000"/>
    <n v="10000000"/>
    <n v="0"/>
    <n v="0"/>
    <s v="Contratar el servicio para la actualización de ultima versión estable de la plataforma Issabel de telefonía IP, puesta en funcionamiento de servidor redundante y servicio de soporte para toda la plataforma Issabel de la UPME en su arquitectura Activo-Pasi"/>
    <m/>
    <m/>
    <m/>
    <m/>
    <m/>
    <m/>
    <m/>
    <m/>
    <m/>
    <m/>
    <m/>
    <m/>
    <m/>
    <m/>
    <n v="10000000"/>
    <m/>
    <m/>
    <m/>
    <m/>
    <m/>
    <m/>
    <m/>
    <m/>
    <n v="10000000"/>
    <m/>
    <m/>
    <n v="10000000"/>
    <n v="10000000"/>
    <n v="0"/>
    <n v="0"/>
    <m/>
    <m/>
    <m/>
    <n v="10000000"/>
    <m/>
    <m/>
    <n v="0"/>
    <n v="10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6"/>
    <s v="Mejorar la implementación del modelo de Gestión de Información Institucional."/>
    <s v="Servicios de Información Implementados"/>
    <s v="Realizar la adopción del modelo de gestión de Información Institucional."/>
    <n v="43231501"/>
    <s v="C-2199-1900-5-53105B-2199065-02"/>
    <s v="Software - Suscripciones"/>
    <s v="130-76 Adquirir el licenciamiento, implementación, y soporte técnico de una plataforma de gestión de servicios de tecnología de la información (ITSM) para la mesa de servicios de la Unidad de Planeación Minero Energética (UPME)"/>
    <s v="Mayo"/>
    <s v="Mayo"/>
    <s v="Agosto"/>
    <n v="12"/>
    <s v="Meses"/>
    <s v="Contratación directa - Contratos menor cuantía"/>
    <s v="Propios - 20 - Ingresos corrientes"/>
    <n v="75000000"/>
    <n v="75000000"/>
    <s v="No"/>
    <s v="N/A"/>
    <s v="Paola del Pilar Puerta Peña"/>
    <s v="Jefe Oficina de Tecnologías de la Información"/>
    <n v="6012220601"/>
    <s v="pilar.puerta@upme.gov.co"/>
    <n v="0"/>
    <n v="0"/>
    <n v="0"/>
    <n v="0"/>
    <n v="0"/>
    <n v="0"/>
    <n v="0"/>
    <n v="0"/>
    <n v="0"/>
    <n v="0"/>
    <n v="0"/>
    <n v="0"/>
    <n v="0"/>
    <n v="0"/>
    <n v="75000000"/>
    <n v="0"/>
    <n v="0"/>
    <n v="0"/>
    <n v="0"/>
    <n v="0"/>
    <n v="0"/>
    <n v="0"/>
    <n v="0"/>
    <n v="75000000"/>
    <n v="75000000"/>
    <n v="75000000"/>
    <n v="0"/>
    <n v="0"/>
    <s v="Adquirir el licenciamiento, implementación, y soporte técnico de una plataforma de gestión de servicios de tecnología de la información (ITSM) para la mesa de servicios de la Unidad de Planeación Minero Energética (UPME)"/>
    <m/>
    <m/>
    <m/>
    <m/>
    <m/>
    <m/>
    <m/>
    <m/>
    <m/>
    <m/>
    <m/>
    <m/>
    <m/>
    <m/>
    <n v="75000000"/>
    <m/>
    <m/>
    <m/>
    <m/>
    <m/>
    <m/>
    <m/>
    <m/>
    <n v="75000000"/>
    <m/>
    <m/>
    <n v="75000000"/>
    <n v="75000000"/>
    <n v="0"/>
    <n v="0"/>
    <m/>
    <m/>
    <m/>
    <n v="75000000"/>
    <m/>
    <m/>
    <n v="0"/>
    <n v="75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7"/>
    <s v="Mejorar la implementación del modelo de Gestión de Información Institucional."/>
    <s v="Servicios de Información Implementados"/>
    <s v="Realizar la adopción del modelo de gestión de Información Institucional."/>
    <s v="43212201;43233405"/>
    <s v="C-2199-1900-5-53105B-2199065-02"/>
    <s v="Software - Licencias"/>
    <s v="130-77 Renovación de licenciamiento y soporte para escritorios virtuales"/>
    <s v="Agosto"/>
    <s v="Agosto"/>
    <s v="Noviembre"/>
    <n v="12"/>
    <s v="Meses"/>
    <s v="Seléccion abreviada - acuerdo marco"/>
    <s v="Propios - 20 - Ingresos corrientes"/>
    <n v="10000000"/>
    <n v="10000000"/>
    <s v="No"/>
    <s v="N/A"/>
    <s v="Paola del Pilar Puerta Peña"/>
    <s v="Jefe Oficina de Tecnologías de la Información"/>
    <n v="6012220601"/>
    <s v="pilar.puerta@upme.gov.co"/>
    <n v="0"/>
    <n v="0"/>
    <n v="0"/>
    <n v="0"/>
    <n v="0"/>
    <n v="0"/>
    <n v="0"/>
    <n v="0"/>
    <n v="0"/>
    <n v="0"/>
    <n v="0"/>
    <n v="0"/>
    <n v="0"/>
    <n v="0"/>
    <n v="0"/>
    <n v="0"/>
    <n v="0"/>
    <n v="0"/>
    <n v="0"/>
    <n v="0"/>
    <n v="10000000"/>
    <n v="0"/>
    <n v="0"/>
    <n v="10000000"/>
    <n v="10000000"/>
    <n v="10000000"/>
    <n v="0"/>
    <n v="0"/>
    <s v="Renovación de licenciamiento y soporte para escritorios virtuales"/>
    <m/>
    <m/>
    <m/>
    <m/>
    <m/>
    <m/>
    <m/>
    <m/>
    <m/>
    <m/>
    <m/>
    <m/>
    <m/>
    <m/>
    <m/>
    <m/>
    <m/>
    <m/>
    <m/>
    <m/>
    <n v="10000000"/>
    <m/>
    <m/>
    <n v="10000000"/>
    <m/>
    <m/>
    <n v="10000000"/>
    <n v="10000000"/>
    <n v="0"/>
    <n v="0"/>
    <m/>
    <m/>
    <m/>
    <n v="10000000"/>
    <m/>
    <m/>
    <n v="0"/>
    <n v="10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8"/>
    <s v="Mejorar la implementación del modelo de Gestión de Información Institucional."/>
    <s v="Servicios de Información Implementados"/>
    <s v="Realizar la adopción del modelo de gestión de Información Institucional."/>
    <n v="43232605"/>
    <s v="C-2199-1900-5-53105B-2199065-02"/>
    <s v="Software - Licencias"/>
    <s v="130-78 Adquisición del sistema operativo Windows 11, versión vigente y soportada por Microsoft para las escritorios virtuales"/>
    <s v="Febrero"/>
    <s v="Febrero"/>
    <s v="Mayo"/>
    <n v="12"/>
    <s v="Meses"/>
    <s v="Seléccion abreviada - acuerdo marco"/>
    <s v="Propios - 20 - Ingresos corrientes"/>
    <n v="80000000"/>
    <n v="80000000"/>
    <s v="No"/>
    <s v="N/A"/>
    <s v="Paola del Pilar Puerta Peña"/>
    <s v="Jefe Oficina de Tecnologías de la Información"/>
    <n v="6012220601"/>
    <s v="pilar.puerta@upme.gov.co"/>
    <n v="0"/>
    <n v="0"/>
    <n v="0"/>
    <n v="0"/>
    <n v="0"/>
    <n v="0"/>
    <n v="0"/>
    <n v="0"/>
    <n v="0"/>
    <n v="0"/>
    <n v="0"/>
    <n v="0"/>
    <n v="0"/>
    <n v="0"/>
    <n v="0"/>
    <n v="0"/>
    <n v="0"/>
    <n v="0"/>
    <n v="80000000"/>
    <n v="0"/>
    <n v="0"/>
    <n v="0"/>
    <n v="0"/>
    <n v="80000000"/>
    <n v="80000000"/>
    <n v="80000000"/>
    <n v="0"/>
    <n v="0"/>
    <s v="Adquisición del sistema operativo Windows 11, versión vigente y soportada por Microsoft para las escritorios virtuales"/>
    <m/>
    <m/>
    <m/>
    <m/>
    <m/>
    <m/>
    <m/>
    <m/>
    <m/>
    <m/>
    <m/>
    <m/>
    <m/>
    <m/>
    <m/>
    <m/>
    <m/>
    <m/>
    <n v="80000000"/>
    <m/>
    <m/>
    <m/>
    <m/>
    <n v="80000000"/>
    <m/>
    <m/>
    <n v="80000000"/>
    <n v="80000000"/>
    <n v="0"/>
    <n v="0"/>
    <m/>
    <m/>
    <m/>
    <n v="80000000"/>
    <m/>
    <m/>
    <n v="0"/>
    <n v="80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68"/>
    <s v="130-79"/>
    <s v="Aumentar la capacidad institucional a nivel de arquitectura tecnológica y de sistemas de información."/>
    <s v="Servicios Tecnológicos"/>
    <s v="Robustecer el nivel de madurez de la estrategia de infraestructura y soluciones en la nube."/>
    <n v="43232605"/>
    <s v="C-2199-1900-5-53105B-2199067-02"/>
    <s v="Software - Licencias"/>
    <s v="130-79 Actualizar y renovar el licenciamiento ESRI."/>
    <s v="Abril"/>
    <s v="Abril"/>
    <s v="Julio"/>
    <n v="12"/>
    <s v="Meses"/>
    <s v="Seléccion abreviada - acuerdo marco"/>
    <s v="Propios - 21 - Otros recursos de tesorería"/>
    <n v="50000000"/>
    <n v="50000000"/>
    <s v="No"/>
    <s v="N/A"/>
    <s v="Paola del Pilar Puerta Peña"/>
    <s v="Jefe Oficina de Tecnologías de la Información"/>
    <n v="6012220601"/>
    <s v="pilar.puerta@upme.gov.co"/>
    <n v="0"/>
    <n v="0"/>
    <n v="0"/>
    <n v="0"/>
    <n v="0"/>
    <n v="0"/>
    <n v="0"/>
    <n v="0"/>
    <n v="0"/>
    <n v="0"/>
    <n v="0"/>
    <n v="0"/>
    <n v="50000000"/>
    <n v="0"/>
    <n v="0"/>
    <n v="0"/>
    <n v="0"/>
    <n v="0"/>
    <n v="0"/>
    <n v="0"/>
    <n v="0"/>
    <n v="0"/>
    <n v="0"/>
    <n v="50000000"/>
    <n v="50000000"/>
    <n v="50000000"/>
    <n v="0"/>
    <n v="0"/>
    <s v="Actualizar y renovar el licenciamiento ESRI."/>
    <m/>
    <m/>
    <m/>
    <m/>
    <m/>
    <m/>
    <m/>
    <m/>
    <m/>
    <m/>
    <m/>
    <m/>
    <n v="50000000"/>
    <m/>
    <m/>
    <m/>
    <m/>
    <m/>
    <m/>
    <m/>
    <m/>
    <m/>
    <m/>
    <n v="50000000"/>
    <m/>
    <m/>
    <n v="50000000"/>
    <n v="50000000"/>
    <n v="0"/>
    <n v="0"/>
    <m/>
    <m/>
    <m/>
    <n v="50000000"/>
    <m/>
    <m/>
    <n v="0"/>
    <n v="50000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s v="No. Rad 202601300040373"/>
    <s v="130-80"/>
    <s v="Aumentar la capacidad institucional a nivel de arquitectura tecnológica y de sistemas de información."/>
    <s v="Servicios Tecnológicos"/>
    <s v="Robustecer el nivel de madurez de la estrategia de infraestructura y soluciones en la nube."/>
    <s v="43201800;43233405;43212201"/>
    <s v="C-2199-1900-5-53105B-2199067-02"/>
    <s v="Hardware (Equipos de computo o partes físicas)"/>
    <s v="130-80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350609678"/>
    <n v="350609678"/>
    <s v="No"/>
    <s v="N/A"/>
    <s v="Paola del Pilar Puerta Peña"/>
    <s v="Jefe Oficina de Tecnologías de la Información"/>
    <n v="6012220601"/>
    <s v="pilar.puerta@upme.gov.co"/>
    <n v="0"/>
    <n v="0"/>
    <n v="0"/>
    <n v="0"/>
    <n v="0"/>
    <n v="0"/>
    <n v="350609678"/>
    <n v="0"/>
    <n v="0"/>
    <n v="0"/>
    <n v="0"/>
    <n v="350609678"/>
    <n v="0"/>
    <n v="0"/>
    <n v="0"/>
    <n v="0"/>
    <n v="0"/>
    <n v="0"/>
    <n v="0"/>
    <n v="0"/>
    <n v="0"/>
    <n v="0"/>
    <n v="0"/>
    <n v="0"/>
    <n v="350609678"/>
    <n v="350609678"/>
    <n v="0"/>
    <n v="0"/>
    <s v="Adquirir el licenciamiento por suscripción para Plataforma de virtualización y almacenamiento en nube incluyendo la adquisición del hardware para Computación y Storage que soporta esta solución de Hiperconvergencia."/>
    <m/>
    <m/>
    <m/>
    <m/>
    <m/>
    <m/>
    <n v="350609678"/>
    <m/>
    <m/>
    <m/>
    <m/>
    <n v="350609678"/>
    <m/>
    <m/>
    <m/>
    <m/>
    <m/>
    <m/>
    <m/>
    <m/>
    <m/>
    <m/>
    <m/>
    <m/>
    <m/>
    <m/>
    <n v="350609678"/>
    <n v="350609678"/>
    <n v="0"/>
    <n v="0"/>
    <m/>
    <m/>
    <m/>
    <n v="350609678"/>
    <m/>
    <m/>
    <n v="0"/>
    <n v="350609678"/>
    <n v="0"/>
    <m/>
    <m/>
    <m/>
    <m/>
    <m/>
    <m/>
    <m/>
    <m/>
    <m/>
    <m/>
    <m/>
    <m/>
    <m/>
    <m/>
    <m/>
    <m/>
    <m/>
    <m/>
    <m/>
    <m/>
    <m/>
    <m/>
    <m/>
    <m/>
    <m/>
    <m/>
    <m/>
    <m/>
    <m/>
    <m/>
    <m/>
    <m/>
    <m/>
    <m/>
    <m/>
    <m/>
    <m/>
    <m/>
    <n v="0"/>
    <n v="0"/>
    <n v="0"/>
    <n v="0"/>
    <n v="0"/>
    <x v="1"/>
  </r>
  <r>
    <x v="0"/>
    <x v="3"/>
    <s v="Fortalecimiento de los servicios digitales aumentando la capacidad para la transformación digital e interacción con el ciudadano"/>
    <s v="TIC"/>
    <s v="Sí"/>
    <s v="Sí"/>
    <s v="No. Rad 202601300040373"/>
    <s v="130-81"/>
    <s v="Aumentar la capacidad institucional a nivel de arquitectura tecnológica y de sistemas de información."/>
    <s v="Servicios Tecnológicos"/>
    <s v="Robustecer el nivel de madurez de la estrategia de infraestructura y soluciones en la nube."/>
    <s v="43201800;43233405;43212201"/>
    <s v="C-2199-1900-5-53105B-2199067-02"/>
    <s v="Hardware (Equipos de computo o partes físicas)"/>
    <s v="130-8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55000000"/>
    <n v="155000000"/>
    <s v="No"/>
    <s v="N/A"/>
    <s v="Paola del Pilar Puerta Peña"/>
    <s v="Jefe Oficina de Tecnologías de la Información"/>
    <n v="6012220601"/>
    <s v="pilar.puerta@upme.gov.co"/>
    <n v="0"/>
    <n v="0"/>
    <n v="0"/>
    <n v="0"/>
    <n v="0"/>
    <n v="0"/>
    <n v="155000000"/>
    <n v="0"/>
    <n v="0"/>
    <n v="0"/>
    <n v="0"/>
    <n v="155000000"/>
    <n v="0"/>
    <n v="0"/>
    <n v="0"/>
    <n v="0"/>
    <n v="0"/>
    <n v="0"/>
    <n v="0"/>
    <n v="0"/>
    <n v="0"/>
    <n v="0"/>
    <n v="0"/>
    <n v="0"/>
    <n v="155000000"/>
    <n v="155000000"/>
    <n v="0"/>
    <n v="0"/>
    <s v="Adquirir el licenciamiento por suscripción para Plataforma de virtualización y almacenamiento en nube incluyendo la adquisición del hardware para Computación y Storage que soporta esta solución de Hiperconvergencia."/>
    <m/>
    <m/>
    <m/>
    <m/>
    <m/>
    <m/>
    <n v="155000000"/>
    <m/>
    <m/>
    <m/>
    <m/>
    <n v="155000000"/>
    <m/>
    <m/>
    <m/>
    <m/>
    <m/>
    <m/>
    <m/>
    <m/>
    <m/>
    <m/>
    <m/>
    <m/>
    <m/>
    <m/>
    <n v="155000000"/>
    <n v="155000000"/>
    <n v="0"/>
    <n v="0"/>
    <m/>
    <m/>
    <m/>
    <n v="155000000"/>
    <m/>
    <m/>
    <n v="0"/>
    <n v="155000000"/>
    <n v="0"/>
    <m/>
    <m/>
    <m/>
    <m/>
    <m/>
    <m/>
    <m/>
    <m/>
    <m/>
    <m/>
    <m/>
    <m/>
    <m/>
    <m/>
    <m/>
    <m/>
    <m/>
    <m/>
    <m/>
    <m/>
    <m/>
    <m/>
    <m/>
    <m/>
    <m/>
    <m/>
    <m/>
    <m/>
    <m/>
    <m/>
    <m/>
    <m/>
    <m/>
    <m/>
    <m/>
    <m/>
    <m/>
    <m/>
    <n v="0"/>
    <n v="0"/>
    <n v="0"/>
    <n v="0"/>
    <n v="0"/>
    <x v="1"/>
  </r>
  <r>
    <x v="0"/>
    <x v="3"/>
    <s v="Fortalecimiento de los servicios digitales aumentando la capacidad para la transformación digital e interacción con el ciudadano"/>
    <s v="TIC"/>
    <s v="Sí"/>
    <s v="Sí"/>
    <s v="No. Rad 202601300040373"/>
    <s v="130-82"/>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01800;43233405;43212201"/>
    <s v="C-2199-1900-5-53105B-2199067-02"/>
    <s v="Hardware (Equipos de computo o partes físicas)"/>
    <s v="130-82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289814384"/>
    <n v="289814384"/>
    <s v="No"/>
    <s v="N/A"/>
    <s v="Paola del Pilar Puerta Peña"/>
    <s v="Jefe Oficina de Tecnologías de la Información"/>
    <n v="6012220601"/>
    <s v="pilar.puerta@upme.gov.co"/>
    <n v="0"/>
    <n v="0"/>
    <n v="0"/>
    <n v="0"/>
    <n v="0"/>
    <n v="0"/>
    <n v="289814384"/>
    <n v="0"/>
    <n v="0"/>
    <n v="0"/>
    <n v="0"/>
    <n v="289814384"/>
    <n v="0"/>
    <n v="0"/>
    <n v="0"/>
    <n v="0"/>
    <n v="0"/>
    <n v="0"/>
    <n v="0"/>
    <n v="0"/>
    <n v="0"/>
    <n v="0"/>
    <n v="0"/>
    <n v="0"/>
    <n v="289814384"/>
    <n v="289814384"/>
    <n v="0"/>
    <n v="0"/>
    <s v="Adquirir el licenciamiento por suscripción para Plataforma de virtualización y almacenamiento en nube incluyendo la adquisición del hardware para Computación y Storage que soporta esta solución de Hiperconvergencia."/>
    <m/>
    <m/>
    <m/>
    <m/>
    <m/>
    <m/>
    <n v="289814384"/>
    <m/>
    <m/>
    <m/>
    <m/>
    <n v="289814384"/>
    <m/>
    <m/>
    <m/>
    <m/>
    <m/>
    <m/>
    <m/>
    <m/>
    <m/>
    <m/>
    <m/>
    <m/>
    <m/>
    <m/>
    <n v="289814384"/>
    <n v="289814384"/>
    <n v="0"/>
    <n v="0"/>
    <m/>
    <m/>
    <m/>
    <n v="289814384"/>
    <m/>
    <m/>
    <n v="0"/>
    <n v="289814384"/>
    <n v="0"/>
    <m/>
    <m/>
    <m/>
    <m/>
    <m/>
    <m/>
    <m/>
    <m/>
    <m/>
    <m/>
    <m/>
    <m/>
    <m/>
    <m/>
    <m/>
    <m/>
    <m/>
    <m/>
    <m/>
    <m/>
    <m/>
    <m/>
    <m/>
    <m/>
    <m/>
    <m/>
    <m/>
    <m/>
    <m/>
    <m/>
    <m/>
    <m/>
    <m/>
    <m/>
    <m/>
    <m/>
    <m/>
    <m/>
    <n v="0"/>
    <n v="0"/>
    <n v="0"/>
    <n v="0"/>
    <n v="0"/>
    <x v="1"/>
  </r>
  <r>
    <x v="0"/>
    <x v="3"/>
    <s v="Fortalecimiento de los servicios digitales aumentando la capacidad para la transformación digital e interacción con el ciudadano"/>
    <s v="TIC"/>
    <s v="Sí"/>
    <s v="Sí"/>
    <s v="No. Rad 202601300040373"/>
    <s v="130-83"/>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01800;43233405;43212201"/>
    <s v="C-2199-1900-5-53105B-2199067-02"/>
    <s v="Hardware (Equipos de computo o partes físicas)"/>
    <s v="130-83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5635616"/>
    <n v="5635616"/>
    <s v="No"/>
    <s v="N/A"/>
    <s v="Paola del Pilar Puerta Peña"/>
    <s v="Jefe Oficina de Tecnologías de la Información"/>
    <n v="6012220601"/>
    <s v="pilar.puerta@upme.gov.co"/>
    <n v="0"/>
    <n v="0"/>
    <n v="0"/>
    <n v="0"/>
    <n v="0"/>
    <n v="0"/>
    <n v="5635616"/>
    <n v="0"/>
    <n v="0"/>
    <n v="0"/>
    <n v="0"/>
    <n v="5635616"/>
    <n v="0"/>
    <n v="0"/>
    <n v="0"/>
    <n v="0"/>
    <n v="0"/>
    <n v="0"/>
    <n v="0"/>
    <n v="0"/>
    <n v="0"/>
    <n v="0"/>
    <n v="0"/>
    <n v="0"/>
    <n v="5635616"/>
    <n v="5635616"/>
    <n v="0"/>
    <n v="0"/>
    <s v="Adquirir el licenciamiento por suscripción para Plataforma de virtualización y almacenamiento en nube incluyendo la adquisición del hardware para Computación y Storage que soporta esta solución de Hiperconvergencia."/>
    <m/>
    <m/>
    <m/>
    <m/>
    <m/>
    <m/>
    <n v="5635616"/>
    <m/>
    <m/>
    <m/>
    <m/>
    <n v="5635616"/>
    <m/>
    <m/>
    <m/>
    <m/>
    <m/>
    <m/>
    <m/>
    <m/>
    <m/>
    <m/>
    <m/>
    <m/>
    <m/>
    <m/>
    <n v="5635616"/>
    <n v="5635616"/>
    <n v="0"/>
    <n v="0"/>
    <m/>
    <m/>
    <m/>
    <n v="5635616"/>
    <m/>
    <m/>
    <n v="0"/>
    <n v="5635616"/>
    <n v="0"/>
    <m/>
    <m/>
    <m/>
    <m/>
    <m/>
    <m/>
    <m/>
    <m/>
    <m/>
    <m/>
    <m/>
    <m/>
    <m/>
    <m/>
    <m/>
    <m/>
    <m/>
    <m/>
    <m/>
    <m/>
    <m/>
    <m/>
    <m/>
    <m/>
    <m/>
    <m/>
    <m/>
    <m/>
    <m/>
    <m/>
    <m/>
    <m/>
    <m/>
    <m/>
    <m/>
    <m/>
    <m/>
    <m/>
    <n v="0"/>
    <n v="0"/>
    <n v="0"/>
    <n v="0"/>
    <n v="0"/>
    <x v="1"/>
  </r>
  <r>
    <x v="0"/>
    <x v="3"/>
    <s v="Fortalecimiento de los servicios digitales aumentando la capacidad para la transformación digital e interacción con el ciudadano"/>
    <s v="TIC"/>
    <s v="Sí"/>
    <s v="Sí"/>
    <s v="No. Rad 202601300040373"/>
    <s v="130-84"/>
    <s v="Incrementar el desarrollo de los habilitadores transversales de la política de gobierno digital."/>
    <s v="Documento para la Planeación Estratégica en TI"/>
    <s v="Mantener y fortalecer el modelo Operativo de TI."/>
    <s v="43201800;43233405;43212201"/>
    <s v="C-2199-1900-5-53105B-2199066-02"/>
    <s v="Hardware (Equipos de computo o partes físicas)"/>
    <s v="130-84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43840322"/>
    <n v="43840322"/>
    <s v="No"/>
    <s v="N/A"/>
    <s v="Paola del Pilar Puerta Peña"/>
    <s v="Jefe Oficina de Tecnologías de la Información"/>
    <n v="6012220601"/>
    <s v="pilar.puerta@upme.gov.co"/>
    <n v="0"/>
    <n v="0"/>
    <n v="0"/>
    <n v="0"/>
    <n v="0"/>
    <n v="0"/>
    <n v="43840322"/>
    <n v="0"/>
    <n v="0"/>
    <n v="0"/>
    <n v="0"/>
    <n v="43840322"/>
    <n v="0"/>
    <n v="0"/>
    <n v="0"/>
    <n v="0"/>
    <n v="0"/>
    <n v="0"/>
    <n v="0"/>
    <n v="0"/>
    <n v="0"/>
    <n v="0"/>
    <n v="0"/>
    <n v="0"/>
    <n v="43840322"/>
    <n v="43840322"/>
    <n v="0"/>
    <n v="0"/>
    <s v="Adquirir el licenciamiento por suscripción para Plataforma de virtualización y almacenamiento en nube incluyendo la adquisición del hardware para Computación y Storage que soporta esta solución de Hiperconvergencia."/>
    <m/>
    <m/>
    <m/>
    <m/>
    <m/>
    <m/>
    <n v="43840322"/>
    <m/>
    <m/>
    <m/>
    <m/>
    <n v="43840322"/>
    <m/>
    <m/>
    <m/>
    <m/>
    <m/>
    <m/>
    <m/>
    <m/>
    <m/>
    <m/>
    <m/>
    <m/>
    <m/>
    <m/>
    <n v="43840322"/>
    <n v="43840322"/>
    <n v="0"/>
    <n v="0"/>
    <m/>
    <m/>
    <m/>
    <n v="43840322"/>
    <m/>
    <m/>
    <n v="0"/>
    <n v="43840322"/>
    <n v="0"/>
    <m/>
    <m/>
    <m/>
    <m/>
    <m/>
    <m/>
    <m/>
    <m/>
    <m/>
    <m/>
    <m/>
    <m/>
    <m/>
    <m/>
    <m/>
    <m/>
    <m/>
    <m/>
    <m/>
    <m/>
    <m/>
    <m/>
    <m/>
    <m/>
    <m/>
    <m/>
    <m/>
    <m/>
    <m/>
    <m/>
    <m/>
    <m/>
    <m/>
    <m/>
    <m/>
    <m/>
    <m/>
    <m/>
    <n v="0"/>
    <n v="0"/>
    <n v="0"/>
    <n v="0"/>
    <n v="0"/>
    <x v="1"/>
  </r>
  <r>
    <x v="0"/>
    <x v="3"/>
    <s v="Fortalecimiento de los servicios digitales aumentando la capacidad para la transformación digital e interacción con el ciudadano"/>
    <s v="TIC"/>
    <s v="Sí"/>
    <s v="Sí"/>
    <s v="No. Rad 202601300040373"/>
    <s v="130-85"/>
    <s v="Mejorar la implementación del modelo de Gestión de Información Institucional."/>
    <s v="Servicios de Información Implementados"/>
    <s v="Identificar y apropiar soluciones de TI."/>
    <s v="43201800;43233405;43212201"/>
    <s v="C-2199-1900-5-53105B-2199065-02"/>
    <s v="Hardware (Equipos de computo o partes físicas)"/>
    <s v="130-85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155100000"/>
    <n v="155100000"/>
    <s v="No"/>
    <s v="N/A"/>
    <s v="Paola del Pilar Puerta Peña"/>
    <s v="Jefe Oficina de Tecnologías de la Información"/>
    <n v="6012220601"/>
    <s v="pilar.puerta@upme.gov.co"/>
    <n v="0"/>
    <n v="0"/>
    <n v="0"/>
    <n v="0"/>
    <n v="0"/>
    <n v="0"/>
    <n v="155100000"/>
    <n v="0"/>
    <n v="0"/>
    <n v="0"/>
    <n v="0"/>
    <n v="155100000"/>
    <n v="0"/>
    <n v="0"/>
    <n v="0"/>
    <n v="0"/>
    <n v="0"/>
    <n v="0"/>
    <n v="0"/>
    <n v="0"/>
    <n v="0"/>
    <n v="0"/>
    <n v="0"/>
    <n v="0"/>
    <n v="155100000"/>
    <n v="155100000"/>
    <n v="0"/>
    <n v="0"/>
    <s v="Adquirir el licenciamiento por suscripción para Plataforma de virtualización y almacenamiento en nube incluyendo la adquisición del hardware para Computación y Storage que soporta esta solución de Hiperconvergencia."/>
    <m/>
    <m/>
    <m/>
    <m/>
    <m/>
    <m/>
    <n v="155100000"/>
    <m/>
    <m/>
    <m/>
    <m/>
    <n v="155100000"/>
    <m/>
    <m/>
    <m/>
    <m/>
    <m/>
    <m/>
    <m/>
    <m/>
    <m/>
    <m/>
    <m/>
    <m/>
    <m/>
    <m/>
    <n v="155100000"/>
    <n v="155100000"/>
    <n v="0"/>
    <n v="0"/>
    <m/>
    <m/>
    <m/>
    <n v="155100000"/>
    <m/>
    <m/>
    <n v="0"/>
    <n v="155100000"/>
    <n v="0"/>
    <m/>
    <m/>
    <m/>
    <m/>
    <m/>
    <m/>
    <m/>
    <m/>
    <m/>
    <m/>
    <m/>
    <m/>
    <m/>
    <m/>
    <m/>
    <m/>
    <m/>
    <m/>
    <m/>
    <m/>
    <m/>
    <m/>
    <m/>
    <m/>
    <m/>
    <m/>
    <m/>
    <m/>
    <m/>
    <m/>
    <m/>
    <m/>
    <m/>
    <m/>
    <m/>
    <m/>
    <m/>
    <m/>
    <n v="0"/>
    <n v="0"/>
    <n v="0"/>
    <n v="0"/>
    <n v="0"/>
    <x v="1"/>
  </r>
  <r>
    <x v="0"/>
    <x v="3"/>
    <s v="Fortalecimiento de los servicios digitales aumentando la capacidad para la transformación digital e interacción con el ciudadano"/>
    <s v="TIC"/>
    <s v="Sí"/>
    <s v="Sí"/>
    <n v="20"/>
    <s v="130-86"/>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86 Prestar servicios profesionales especializados para el diseño, planificación, ejecución, validación y documentación del proceso de migración de la infraestructura tecnológica on-premise actualmente operada por la UPME hacia el entorno de nube, incl"/>
    <s v="Enero "/>
    <s v="Enero "/>
    <s v="Enero "/>
    <n v="11"/>
    <s v="Meses"/>
    <s v="Contratación directa - Prestación de servicios profesionales "/>
    <s v="Propios - 21 - Otros recursos de tesorería"/>
    <n v="75833333"/>
    <n v="75833333"/>
    <s v="No"/>
    <s v="N/A"/>
    <s v="Paola del Pilar Puerta Peña"/>
    <s v="Jefe Oficina de Tecnologías de la Información"/>
    <n v="6012220601"/>
    <s v="pilar.puerta@upme.gov.co"/>
    <n v="0"/>
    <n v="0"/>
    <n v="77000000"/>
    <n v="0"/>
    <n v="0"/>
    <n v="7000000"/>
    <n v="0"/>
    <n v="7000000"/>
    <n v="0"/>
    <n v="7000000"/>
    <n v="0"/>
    <n v="7000000"/>
    <n v="0"/>
    <n v="7000000"/>
    <n v="0"/>
    <n v="7000000"/>
    <n v="0"/>
    <n v="7000000"/>
    <n v="0"/>
    <n v="7000000"/>
    <n v="0"/>
    <n v="7000000"/>
    <n v="0"/>
    <n v="14000000"/>
    <n v="77000000"/>
    <n v="77000000"/>
    <n v="-1166667"/>
    <n v="-1166667"/>
    <s v="Prestar servicios profesionales especializados para el diseño, planificación, ejecución, validación y documentación del proceso de migración de la infraestructura tecnológica on-premise actualmente operada por la UPME hacia el entorno de nube, incluyendo "/>
    <n v="0"/>
    <n v="0"/>
    <n v="77000000"/>
    <n v="0"/>
    <n v="0"/>
    <n v="5833333"/>
    <n v="-1166667"/>
    <n v="7000000"/>
    <n v="0"/>
    <n v="7000000"/>
    <n v="0"/>
    <n v="7000000"/>
    <n v="0"/>
    <n v="7000000"/>
    <n v="0"/>
    <n v="7000000"/>
    <n v="0"/>
    <n v="7000000"/>
    <n v="0"/>
    <n v="7000000"/>
    <n v="0"/>
    <n v="7000000"/>
    <n v="0"/>
    <n v="14000000"/>
    <m/>
    <m/>
    <n v="75833333"/>
    <n v="75833333"/>
    <n v="0"/>
    <n v="0"/>
    <n v="26026"/>
    <d v="2026-01-13T00:00:00"/>
    <n v="77000000"/>
    <n v="-1166667"/>
    <n v="41726"/>
    <d v="2026-02-04T00:00:00"/>
    <n v="77000000"/>
    <n v="-1166667"/>
    <n v="0"/>
    <s v="LINARES CASTRO FERNANDO"/>
    <s v="CO1.PCCNTR.9264256"/>
    <m/>
    <m/>
    <m/>
    <n v="77000000"/>
    <m/>
    <m/>
    <m/>
    <n v="5833333"/>
    <n v="5833333"/>
    <m/>
    <n v="7000000"/>
    <n v="7000000"/>
    <m/>
    <m/>
    <m/>
    <m/>
    <m/>
    <m/>
    <m/>
    <m/>
    <m/>
    <m/>
    <m/>
    <m/>
    <m/>
    <m/>
    <m/>
    <m/>
    <m/>
    <m/>
    <m/>
    <m/>
    <m/>
    <m/>
    <m/>
    <m/>
    <n v="77000000"/>
    <n v="12833333"/>
    <n v="12833333"/>
    <n v="64166667"/>
    <n v="0"/>
    <x v="0"/>
  </r>
  <r>
    <x v="0"/>
    <x v="3"/>
    <s v="Fortalecimiento de los servicios digitales aumentando la capacidad para la transformación digital e interacción con el ciudadano"/>
    <s v="TIC"/>
    <s v="Sí"/>
    <s v="Sí"/>
    <n v="2"/>
    <s v="130-87"/>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s v="Prestación de servicios profesionales y/o de apoyo a la gestión"/>
    <s v="130-87 Prestar servicios profesionales para apoyar a la entidad en los procesos administrativos y en las actividades relacionadas con la atención y orientación al ciudadano."/>
    <s v="Enero "/>
    <s v="Enero "/>
    <s v="Enero "/>
    <n v="11"/>
    <s v="Meses"/>
    <s v="Contratación directa - Prestación de servicios profesionales "/>
    <s v="Propios - 20 - Ingresos corrientes"/>
    <n v="26898272"/>
    <n v="26898272"/>
    <s v="No"/>
    <s v="N/A"/>
    <s v="Paola del Pilar Puerta Peña"/>
    <s v="Jefe Oficina de Tecnologías de la Información"/>
    <n v="6012220601"/>
    <s v="pilar.puerta@upme.gov.co"/>
    <n v="0"/>
    <n v="0"/>
    <n v="26898272"/>
    <n v="0"/>
    <n v="0"/>
    <n v="3285450"/>
    <n v="0"/>
    <n v="3285450"/>
    <n v="0"/>
    <n v="3285450"/>
    <n v="0"/>
    <n v="3285450"/>
    <n v="0"/>
    <n v="3285450"/>
    <n v="0"/>
    <n v="3285450"/>
    <n v="0"/>
    <n v="3285450"/>
    <n v="0"/>
    <n v="3285450"/>
    <n v="0"/>
    <n v="614672"/>
    <n v="0"/>
    <n v="0"/>
    <n v="26898272"/>
    <n v="26898272"/>
    <n v="0"/>
    <n v="0"/>
    <s v="Prestar servicios profesionales para apoyar a la entidad en los procesos administrativos y en las actividades relacionadas con la atención y orientación al ciudadano."/>
    <m/>
    <m/>
    <n v="26898272"/>
    <m/>
    <m/>
    <n v="3285450"/>
    <m/>
    <n v="3285450"/>
    <m/>
    <n v="3285450"/>
    <m/>
    <n v="3285450"/>
    <m/>
    <n v="3285450"/>
    <m/>
    <n v="3285450"/>
    <m/>
    <n v="3285450"/>
    <m/>
    <n v="3285450"/>
    <m/>
    <n v="614672"/>
    <m/>
    <m/>
    <m/>
    <m/>
    <n v="26898272"/>
    <n v="26898272"/>
    <n v="0"/>
    <n v="0"/>
    <n v="36426"/>
    <d v="2026-01-15T00:00:00"/>
    <n v="26898272"/>
    <n v="0"/>
    <n v="37526"/>
    <d v="2026-02-02T00:00:00"/>
    <n v="26898272"/>
    <n v="0"/>
    <n v="0"/>
    <s v="COMAZ MARTINEZ DIEGO ARMANDO"/>
    <s v="CO1.PCCNTR.9183351"/>
    <m/>
    <m/>
    <m/>
    <n v="26898272"/>
    <m/>
    <m/>
    <m/>
    <n v="3066420"/>
    <n v="3066420"/>
    <m/>
    <m/>
    <m/>
    <m/>
    <m/>
    <m/>
    <m/>
    <m/>
    <m/>
    <m/>
    <m/>
    <m/>
    <m/>
    <m/>
    <m/>
    <m/>
    <m/>
    <m/>
    <m/>
    <m/>
    <m/>
    <m/>
    <m/>
    <m/>
    <m/>
    <m/>
    <m/>
    <n v="26898272"/>
    <n v="3066420"/>
    <n v="3066420"/>
    <n v="23831852"/>
    <n v="0"/>
    <x v="0"/>
  </r>
  <r>
    <x v="0"/>
    <x v="3"/>
    <s v="Fortalecimiento de los servicios digitales aumentando la capacidad para la transformación digital e interacción con el ciudadano"/>
    <s v="TIC"/>
    <s v="Sí"/>
    <s v="Sí"/>
    <n v="2"/>
    <s v="130-88"/>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88 Prestar servicios profesionales para apoyar a la entidad en los procesos administrativos y en las actividades relacionadas con la atención y orientación al ciudadano."/>
    <s v="Enero "/>
    <s v="Enero "/>
    <s v="Enero "/>
    <n v="11"/>
    <s v="Meses"/>
    <s v="Contratación directa - Prestación de servicios profesionales "/>
    <s v="Propios - 20 - Ingresos corrientes"/>
    <n v="9241678"/>
    <n v="9241678"/>
    <s v="No"/>
    <s v="N/A"/>
    <s v="Paola del Pilar Puerta Peña"/>
    <s v="Jefe Oficina de Tecnologías de la Información"/>
    <n v="6012220601"/>
    <s v="pilar.puerta@upme.gov.co"/>
    <n v="0"/>
    <n v="0"/>
    <n v="9241678"/>
    <n v="0"/>
    <n v="0"/>
    <n v="0"/>
    <n v="0"/>
    <n v="0"/>
    <n v="0"/>
    <n v="0"/>
    <n v="0"/>
    <n v="0"/>
    <n v="0"/>
    <n v="0"/>
    <n v="0"/>
    <n v="0"/>
    <n v="0"/>
    <n v="0"/>
    <n v="0"/>
    <n v="0"/>
    <n v="0"/>
    <n v="2670778"/>
    <n v="0"/>
    <n v="6570900"/>
    <n v="9241678"/>
    <n v="9241678"/>
    <n v="0"/>
    <n v="0"/>
    <s v="Prestar servicios profesionales para apoyar a la entidad en los procesos administrativos y en las actividades relacionadas con la atención y orientación al ciudadano."/>
    <m/>
    <m/>
    <n v="9241678"/>
    <m/>
    <m/>
    <m/>
    <m/>
    <m/>
    <m/>
    <m/>
    <m/>
    <m/>
    <m/>
    <m/>
    <m/>
    <m/>
    <m/>
    <m/>
    <m/>
    <m/>
    <m/>
    <n v="2670778"/>
    <m/>
    <n v="6570900"/>
    <m/>
    <m/>
    <n v="9241678"/>
    <n v="9241678"/>
    <n v="0"/>
    <n v="0"/>
    <n v="36426"/>
    <d v="2026-01-15T00:00:00"/>
    <n v="9241678"/>
    <n v="0"/>
    <n v="37526"/>
    <d v="2026-02-02T00:00:00"/>
    <n v="9241678"/>
    <n v="0"/>
    <n v="0"/>
    <s v="COMAZ MARTINEZ DIEGO ARMANDO"/>
    <s v="CO1.PCCNTR.9183351"/>
    <m/>
    <m/>
    <m/>
    <n v="9241678"/>
    <m/>
    <m/>
    <m/>
    <m/>
    <m/>
    <m/>
    <m/>
    <m/>
    <m/>
    <m/>
    <m/>
    <m/>
    <m/>
    <m/>
    <m/>
    <m/>
    <m/>
    <m/>
    <m/>
    <m/>
    <m/>
    <m/>
    <m/>
    <m/>
    <m/>
    <m/>
    <m/>
    <m/>
    <m/>
    <m/>
    <m/>
    <m/>
    <n v="9241678"/>
    <n v="0"/>
    <n v="0"/>
    <n v="9241678"/>
    <n v="0"/>
    <x v="0"/>
  </r>
  <r>
    <x v="0"/>
    <x v="3"/>
    <s v="Fortalecimiento de los servicios digitales aumentando la capacidad para la transformación digital e interacción con el ciudadano"/>
    <s v="TIC"/>
    <s v="Sí"/>
    <s v="Sí"/>
    <n v="2"/>
    <s v="130-89"/>
    <s v="Incrementar el desarrollo de los habilitadores transversales de la política de gobierno digital."/>
    <s v="Documento para la Planeación Estratégica en TI"/>
    <s v="Mantener y fortalecer el modelo Operativo de TI."/>
    <n v="80111620"/>
    <s v="C-2199-1900-5-53105B-2199066-02"/>
    <s v="Prestación de servicios profesionales y/o de apoyo a la gestión"/>
    <s v="130-89 Prestar servicios profesionales para apoyar los procesos de provisión y selección de personal de la planta global y temporal de la Unidad de Planeación Minero Energética – UPME, de conformidad con la normatividad vigente y las necesidades instituci"/>
    <s v="Enero "/>
    <s v="Enero "/>
    <s v="Enero "/>
    <n v="11"/>
    <s v="Meses"/>
    <s v="Contratación directa - Prestación de servicios profesionales "/>
    <s v="Propios - 20 - Ingresos corrientes"/>
    <n v="3704550"/>
    <n v="3704550"/>
    <s v="No"/>
    <s v="N/A"/>
    <s v="Paola del Pilar Puerta Peña"/>
    <s v="Jefe Oficina de Tecnologías de la Información"/>
    <n v="6012220601"/>
    <s v="pilar.puerta@upme.gov.co"/>
    <n v="0"/>
    <n v="0"/>
    <n v="3704550"/>
    <n v="0"/>
    <n v="0"/>
    <n v="0"/>
    <n v="0"/>
    <n v="0"/>
    <n v="0"/>
    <n v="0"/>
    <n v="0"/>
    <n v="0"/>
    <n v="0"/>
    <n v="0"/>
    <n v="0"/>
    <n v="0"/>
    <n v="0"/>
    <n v="0"/>
    <n v="0"/>
    <n v="0"/>
    <n v="0"/>
    <n v="0"/>
    <n v="0"/>
    <n v="3704550"/>
    <n v="3704550"/>
    <n v="3704550"/>
    <n v="0"/>
    <n v="0"/>
    <s v="Prestar servicios profesionales para apoyar los procesos de provisión y selección de personal de la planta global y temporal de la Unidad de Planeación Minero Energética – UPME, de conformidad con la normatividad vigente y las necesidades institucionales"/>
    <m/>
    <m/>
    <n v="3704550"/>
    <m/>
    <m/>
    <m/>
    <m/>
    <m/>
    <m/>
    <m/>
    <m/>
    <m/>
    <m/>
    <m/>
    <m/>
    <m/>
    <m/>
    <m/>
    <m/>
    <m/>
    <m/>
    <m/>
    <m/>
    <n v="3704550"/>
    <m/>
    <m/>
    <n v="3704550"/>
    <n v="3704550"/>
    <n v="0"/>
    <n v="0"/>
    <n v="35026"/>
    <d v="2026-01-15T00:00:00"/>
    <n v="3704550"/>
    <n v="0"/>
    <n v="59426"/>
    <d v="2026-02-12T00:00:00"/>
    <n v="3704550"/>
    <n v="0"/>
    <n v="0"/>
    <s v="SALAZAR PEREZ EDNA CAROLINA"/>
    <s v="CO1.PCCNTR.9227146"/>
    <m/>
    <m/>
    <m/>
    <n v="3704550"/>
    <m/>
    <m/>
    <m/>
    <n v="2026666"/>
    <n v="2026666"/>
    <m/>
    <m/>
    <m/>
    <m/>
    <m/>
    <m/>
    <m/>
    <m/>
    <m/>
    <m/>
    <m/>
    <m/>
    <m/>
    <m/>
    <m/>
    <m/>
    <m/>
    <m/>
    <m/>
    <m/>
    <m/>
    <m/>
    <m/>
    <m/>
    <m/>
    <m/>
    <m/>
    <n v="3704550"/>
    <n v="2026666"/>
    <n v="2026666"/>
    <n v="1677884"/>
    <n v="0"/>
    <x v="0"/>
  </r>
  <r>
    <x v="0"/>
    <x v="3"/>
    <s v="Fortalecimiento de los servicios digitales aumentando la capacidad para la transformación digital e interacción con el ciudadano"/>
    <s v="TIC"/>
    <s v="Sí"/>
    <s v="Sí"/>
    <n v="16"/>
    <s v="130-90"/>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s v="Prestación de servicios profesionales y/o de apoyo a la gestión"/>
    <s v="130-90 Prestar servicios profesionales para apoyar los procesos de provisión y selección de personal de la planta global y temporal de la Unidad de Planeación Minero Energética – UPME, de conformidad con la normatividad vigente y las necesidades instituci"/>
    <s v="Enero "/>
    <s v="Enero "/>
    <s v="Enero "/>
    <n v="11"/>
    <s v="Meses"/>
    <s v="Contratación directa - Prestación de servicios profesionales "/>
    <s v="Propios - 21 - Otros recursos de tesorería"/>
    <n v="31495450"/>
    <n v="31495450"/>
    <s v="No"/>
    <s v="N/A"/>
    <s v="Paola del Pilar Puerta Peña"/>
    <s v="Jefe Oficina de Tecnologías de la Información"/>
    <n v="6012220601"/>
    <s v="pilar.puerta@upme.gov.co"/>
    <n v="0"/>
    <n v="0"/>
    <n v="38095450"/>
    <n v="0"/>
    <n v="0"/>
    <n v="3800000"/>
    <n v="0"/>
    <n v="3800000"/>
    <n v="0"/>
    <n v="3800000"/>
    <n v="0"/>
    <n v="3800000"/>
    <n v="0"/>
    <n v="3800000"/>
    <n v="0"/>
    <n v="3800000"/>
    <n v="0"/>
    <n v="3800000"/>
    <n v="0"/>
    <n v="3800000"/>
    <n v="0"/>
    <n v="3800000"/>
    <n v="0"/>
    <n v="3895450"/>
    <n v="38095450"/>
    <n v="38095450"/>
    <n v="-6600000"/>
    <n v="-6600000"/>
    <s v="Prestar servicios profesionales para apoyar los procesos de provisión y selección de personal de la planta global y temporal de la Unidad de Planeación Minero Energética – UPME, de conformidad con la normatividad vigente y las necesidades institucionales"/>
    <n v="31495450"/>
    <n v="0"/>
    <n v="0"/>
    <n v="0"/>
    <n v="0"/>
    <n v="3800000"/>
    <n v="0"/>
    <n v="3800000"/>
    <n v="0"/>
    <n v="3800000"/>
    <n v="0"/>
    <n v="3800000"/>
    <n v="0"/>
    <n v="3800000"/>
    <n v="0"/>
    <n v="3800000"/>
    <n v="0"/>
    <n v="3800000"/>
    <n v="0"/>
    <n v="3800000"/>
    <n v="0"/>
    <n v="1095450"/>
    <n v="0"/>
    <n v="0"/>
    <m/>
    <m/>
    <n v="31495450"/>
    <n v="31495450"/>
    <n v="0"/>
    <n v="0"/>
    <n v="35026"/>
    <d v="2026-01-15T00:00:00"/>
    <n v="31495450"/>
    <n v="0"/>
    <n v="59426"/>
    <d v="2026-02-12T00:00:00"/>
    <n v="31495450"/>
    <n v="0"/>
    <n v="0"/>
    <s v="SALAZAR PEREZ EDNA CAROLINA"/>
    <s v="CO1.PCCNTR.9227146"/>
    <m/>
    <m/>
    <m/>
    <n v="31495450"/>
    <m/>
    <m/>
    <m/>
    <m/>
    <m/>
    <m/>
    <n v="3200000"/>
    <n v="3200000"/>
    <m/>
    <m/>
    <m/>
    <m/>
    <m/>
    <m/>
    <m/>
    <m/>
    <m/>
    <m/>
    <m/>
    <m/>
    <m/>
    <m/>
    <m/>
    <m/>
    <m/>
    <m/>
    <m/>
    <m/>
    <m/>
    <m/>
    <m/>
    <m/>
    <n v="31495450"/>
    <n v="3200000"/>
    <n v="3200000"/>
    <n v="28295450"/>
    <n v="0"/>
    <x v="0"/>
  </r>
  <r>
    <x v="0"/>
    <x v="3"/>
    <s v="Fortalecimiento de los servicios digitales aumentando la capacidad para la transformación digital e interacción con el ciudadano"/>
    <s v="TIC"/>
    <s v="Sí"/>
    <s v="Sí"/>
    <n v="20"/>
    <s v="130-91"/>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s v="Prestación de servicios profesionales y/o de apoyo a la gestión"/>
    <s v="130-91 Prestar servicios profesionales para apoyar a la Oficina de Tecnologías de la Información, en el desarrollo y seguimiento de actividades administrativas, de planeación y coordinación con las diferentes áreas de la entidad, de acuerdo con las necesi"/>
    <s v="Enero "/>
    <s v="Enero "/>
    <s v="Enero "/>
    <n v="11"/>
    <s v="Meses"/>
    <s v="Contratación directa - Prestación de servicios profesionales "/>
    <s v="Propios - 21 - Otros recursos de tesorería"/>
    <n v="35592375"/>
    <n v="35592375"/>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547575"/>
    <n v="-547575"/>
    <s v="Prestar servicios profesionales para apoyar a la Oficina de Tecnologías de la Información, en el desarrollo y seguimiento de actividades administrativas, de planeación y coordinación con las diferentes áreas de la entidad, de acuerdo con las necesidades d"/>
    <n v="0"/>
    <n v="0"/>
    <n v="36139950"/>
    <n v="0"/>
    <n v="0"/>
    <n v="2737875"/>
    <n v="-547575"/>
    <n v="3285450"/>
    <n v="0"/>
    <n v="3285450"/>
    <n v="0"/>
    <n v="3285450"/>
    <n v="0"/>
    <n v="3285450"/>
    <n v="0"/>
    <n v="3285450"/>
    <n v="0"/>
    <n v="3285450"/>
    <n v="0"/>
    <n v="3285450"/>
    <n v="0"/>
    <n v="3285450"/>
    <n v="0"/>
    <n v="6570900"/>
    <m/>
    <m/>
    <n v="35592375"/>
    <n v="35592375"/>
    <n v="0"/>
    <n v="0"/>
    <n v="64326"/>
    <d v="2026-01-24T00:00:00"/>
    <n v="36139950"/>
    <n v="-547575"/>
    <n v="41426"/>
    <d v="2026-02-04T00:00:00"/>
    <n v="36139950"/>
    <n v="-547575"/>
    <n v="0"/>
    <s v="DOMINGUEZ POLANCO RIBER ANTONIO"/>
    <s v="CO1.PCCNTR. 9286722"/>
    <m/>
    <m/>
    <m/>
    <n v="36139950"/>
    <m/>
    <m/>
    <m/>
    <n v="2737875"/>
    <n v="2737875"/>
    <m/>
    <n v="3285450"/>
    <n v="3285450"/>
    <m/>
    <m/>
    <m/>
    <m/>
    <m/>
    <m/>
    <m/>
    <m/>
    <m/>
    <m/>
    <m/>
    <m/>
    <m/>
    <m/>
    <m/>
    <m/>
    <m/>
    <m/>
    <m/>
    <m/>
    <m/>
    <m/>
    <m/>
    <m/>
    <n v="36139950"/>
    <n v="6023325"/>
    <n v="6023325"/>
    <n v="30116625"/>
    <n v="0"/>
    <x v="0"/>
  </r>
  <r>
    <x v="0"/>
    <x v="3"/>
    <s v="Fortalecimiento de los servicios digitales aumentando la capacidad para la transformación digital e interacción con el ciudadano"/>
    <s v="TIC"/>
    <s v="Sí"/>
    <s v="Sí"/>
    <n v="16"/>
    <s v="130-92"/>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92 Prestar servicios de apoyo a la gestión para el apoyo contable, financiero y presupuestal de los proyectos de inversión de la entidad, en especial el de la Oficina de Tecnologías de la Información para apoyar el seguimiento a la ejecución presupues"/>
    <s v="Enero "/>
    <s v="Enero "/>
    <s v="Enero "/>
    <n v="11"/>
    <s v="Meses"/>
    <s v="Contratación directa - Prestación de servicios profesionales "/>
    <s v="Propios - 21 - Otros recursos de tesorería"/>
    <n v="22500000"/>
    <n v="22500000"/>
    <s v="No"/>
    <s v="N/A"/>
    <s v="Paola del Pilar Puerta Peña"/>
    <s v="Jefe Oficina de Tecnologías de la Información"/>
    <n v="6012220601"/>
    <s v="pilar.puerta@upme.gov.co"/>
    <n v="0"/>
    <n v="0"/>
    <n v="0"/>
    <n v="0"/>
    <n v="0"/>
    <n v="0"/>
    <n v="0"/>
    <n v="0"/>
    <n v="0"/>
    <n v="0"/>
    <n v="0"/>
    <n v="0"/>
    <n v="0"/>
    <n v="0"/>
    <n v="0"/>
    <n v="0"/>
    <n v="0"/>
    <n v="0"/>
    <n v="0"/>
    <n v="0"/>
    <n v="0"/>
    <n v="0"/>
    <n v="36139950"/>
    <n v="36139950"/>
    <n v="36139950"/>
    <n v="36139950"/>
    <n v="-13639950"/>
    <n v="-13639950"/>
    <s v="Prestar servicios de apoyo a la gestión para el apoyo contable, financiero y presupuestal de los proyectos de inversión de la entidad, en especial el de la Oficina de Tecnologías de la Información para apoyar el seguimiento a la ejecución presupuestal y e"/>
    <n v="0"/>
    <n v="0"/>
    <n v="0"/>
    <n v="0"/>
    <n v="0"/>
    <n v="0"/>
    <n v="0"/>
    <n v="0"/>
    <n v="0"/>
    <n v="0"/>
    <n v="0"/>
    <n v="0"/>
    <n v="0"/>
    <n v="0"/>
    <n v="22500000"/>
    <n v="0"/>
    <n v="0"/>
    <n v="4500000"/>
    <n v="0"/>
    <n v="4500000"/>
    <n v="0"/>
    <n v="4500000"/>
    <n v="0"/>
    <n v="9000000"/>
    <m/>
    <m/>
    <n v="22500000"/>
    <n v="22500000"/>
    <n v="0"/>
    <n v="0"/>
    <n v="66126"/>
    <d v="2026-01-28T00:00:00"/>
    <n v="22500000"/>
    <n v="0"/>
    <m/>
    <m/>
    <n v="0"/>
    <n v="22500000"/>
    <n v="2250000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16"/>
    <s v="130-93"/>
    <s v="Incrementar el desarrollo de los habilitadores transversales de la política de gobierno digital."/>
    <s v="Documento para la Planeación Estratégica en TI"/>
    <s v="Definir y estructurar las acciones tendientes a la apropiación e implementación de la política de Gobierno Digital."/>
    <n v="43231513"/>
    <s v="C-2199-1900-5-53105B-2199066-02"/>
    <s v="Software - Licencias"/>
    <s v="130-93 Adquirir el servicio de licenciamiento de Office 365 usado en la entidad"/>
    <s v="Marzo"/>
    <s v="Marzo"/>
    <s v="Mayo"/>
    <n v="12"/>
    <s v="Meses"/>
    <s v="Seléccion abreviada - acuerdo marco"/>
    <s v="Propios - 20 - Ingresos corrientes"/>
    <n v="6460050"/>
    <n v="6460050"/>
    <s v="No"/>
    <s v="N/A"/>
    <s v="Paola del Pilar Puerta Peña"/>
    <s v="Jefe Oficina de Tecnologías de la Información"/>
    <n v="6012220601"/>
    <s v="pilar.puerta@upme.gov.co"/>
    <m/>
    <m/>
    <m/>
    <m/>
    <m/>
    <m/>
    <m/>
    <m/>
    <m/>
    <m/>
    <m/>
    <m/>
    <m/>
    <m/>
    <m/>
    <m/>
    <m/>
    <m/>
    <m/>
    <m/>
    <m/>
    <m/>
    <m/>
    <m/>
    <n v="0"/>
    <n v="0"/>
    <n v="6460050"/>
    <n v="6460050"/>
    <s v="Adquirir el servicio de licenciamiento de Office 365 usado en la entidad"/>
    <n v="0"/>
    <n v="0"/>
    <n v="0"/>
    <n v="0"/>
    <n v="0"/>
    <n v="0"/>
    <n v="0"/>
    <n v="0"/>
    <n v="6460050"/>
    <n v="0"/>
    <n v="0"/>
    <n v="0"/>
    <n v="0"/>
    <n v="0"/>
    <n v="0"/>
    <n v="6460050"/>
    <n v="0"/>
    <n v="0"/>
    <n v="0"/>
    <n v="0"/>
    <n v="0"/>
    <n v="0"/>
    <n v="0"/>
    <n v="0"/>
    <m/>
    <m/>
    <n v="6460050"/>
    <n v="6460050"/>
    <n v="0"/>
    <n v="0"/>
    <n v="71426"/>
    <d v="2026-03-26T00:00:00"/>
    <n v="6460050"/>
    <n v="0"/>
    <m/>
    <m/>
    <n v="0"/>
    <n v="6460050"/>
    <n v="646005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16"/>
    <s v="130-94"/>
    <s v="Aumentar la capacidad institucional a nivel de arquitectura tecnológica y de sistemas de información."/>
    <s v="Servicios Tecnológicos"/>
    <s v="Robustecer el nivel de madurez de la estrategia de infraestructura y soluciones en la nube."/>
    <n v="43231513"/>
    <s v="C-2199-1900-5-53105B-2199067-02"/>
    <s v="Software - Licencias"/>
    <s v="130-94 Adquirir el servicio de licenciamiento de Office 365 usado en la entidad"/>
    <s v="Marzo"/>
    <s v="Marzo"/>
    <s v="Mayo"/>
    <n v="12"/>
    <s v="Meses"/>
    <s v="Seléccion abreviada - acuerdo marco"/>
    <s v="Propios - 20 - Ingresos corrientes"/>
    <n v="7253400"/>
    <n v="7253400"/>
    <s v="No"/>
    <s v="N/A"/>
    <s v="Paola del Pilar Puerta Peña"/>
    <s v="Jefe Oficina de Tecnologías de la Información"/>
    <n v="6012220601"/>
    <s v="pilar.puerta@upme.gov.co"/>
    <m/>
    <m/>
    <m/>
    <m/>
    <m/>
    <m/>
    <m/>
    <m/>
    <m/>
    <m/>
    <m/>
    <m/>
    <m/>
    <m/>
    <m/>
    <m/>
    <m/>
    <m/>
    <m/>
    <m/>
    <m/>
    <m/>
    <m/>
    <m/>
    <n v="0"/>
    <n v="0"/>
    <n v="7253400"/>
    <n v="7253400"/>
    <s v="Adquirir el servicio de licenciamiento de Office 365 usado en la entidad"/>
    <n v="0"/>
    <n v="0"/>
    <n v="0"/>
    <n v="0"/>
    <n v="0"/>
    <n v="0"/>
    <n v="0"/>
    <n v="0"/>
    <n v="7253400"/>
    <n v="0"/>
    <n v="0"/>
    <n v="0"/>
    <n v="0"/>
    <n v="0"/>
    <n v="0"/>
    <n v="7253400"/>
    <n v="0"/>
    <n v="0"/>
    <n v="0"/>
    <n v="0"/>
    <n v="0"/>
    <n v="0"/>
    <n v="0"/>
    <n v="0"/>
    <m/>
    <m/>
    <n v="7253400"/>
    <n v="7253400"/>
    <n v="0"/>
    <n v="0"/>
    <n v="71426"/>
    <d v="2026-03-26T00:00:00"/>
    <n v="7253400"/>
    <n v="0"/>
    <m/>
    <m/>
    <n v="0"/>
    <n v="7253400"/>
    <n v="725340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95"/>
    <s v="Incrementar el desarrollo de los habilitadores transversales de la política de gobierno digital."/>
    <s v="Documento para la Planeación Estratégica en TI"/>
    <s v="Definir y estructurar las acciones tendientes a la apropiación e implementación de la política de Gobierno Digital."/>
    <s v="43233415;43211501;81112003;71151106"/>
    <s v="C-2199-1900-5-53105B-2199066-02"/>
    <s v="Software - Nube pública o privada"/>
    <s v="130-95 Adquirir el servicio de nube para Backup y DRP"/>
    <s v="Julio"/>
    <s v="Julio"/>
    <s v="Julio"/>
    <n v="12"/>
    <s v="Meses"/>
    <s v="Seléccion abreviada - acuerdo marco"/>
    <s v="Propios - 20 - Ingresos corrientes"/>
    <n v="5966667"/>
    <n v="5966667"/>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5966667"/>
    <n v="0"/>
    <n v="0"/>
    <n v="0"/>
    <n v="0"/>
    <n v="0"/>
    <n v="0"/>
    <n v="0"/>
    <n v="0"/>
    <n v="0"/>
    <n v="0"/>
    <n v="5966667"/>
    <m/>
    <m/>
    <n v="5966667"/>
    <n v="5966667"/>
    <n v="0"/>
    <n v="0"/>
    <m/>
    <m/>
    <m/>
    <n v="5966667"/>
    <m/>
    <m/>
    <n v="0"/>
    <n v="5966667"/>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96"/>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33415;43211501;81112003;71151106"/>
    <s v="C-2199-1900-5-53105B-2199067-02"/>
    <s v="Software - Nube pública o privada"/>
    <s v="130-96 Adquirir el servicio de nube para Backup y DRP"/>
    <s v="Julio"/>
    <s v="Julio"/>
    <s v="Julio"/>
    <n v="12"/>
    <s v="Meses"/>
    <s v="Seléccion abreviada - acuerdo marco"/>
    <s v="Propios - 21 - Otros recursos de tesorería"/>
    <n v="2280908"/>
    <n v="2280908"/>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2280908"/>
    <n v="0"/>
    <n v="0"/>
    <n v="0"/>
    <n v="0"/>
    <n v="0"/>
    <n v="0"/>
    <n v="0"/>
    <n v="0"/>
    <n v="0"/>
    <n v="0"/>
    <n v="2280908"/>
    <m/>
    <m/>
    <n v="2280908"/>
    <n v="2280908"/>
    <n v="0"/>
    <n v="0"/>
    <m/>
    <m/>
    <m/>
    <n v="2280908"/>
    <m/>
    <m/>
    <n v="0"/>
    <n v="2280908"/>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97"/>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97 Prestar servicios profesionales especializados en la administración y gestión integral de bases de datos, con el fin de asegurar la correcta implementación, mantenimiento, y optimización de las bases de datos que soportan las aplicaciones y portale"/>
    <s v="Mayo"/>
    <s v="Mayo"/>
    <s v="Mayo"/>
    <n v="1"/>
    <s v="Meses"/>
    <s v="Contratación directa - Prestación de servicios profesionales "/>
    <s v="Propios - 20 - Ingresos corrientes"/>
    <n v="566667"/>
    <n v="566667"/>
    <s v="No"/>
    <s v="N/A"/>
    <s v="Paola del Pilar Puerta Peña"/>
    <s v="Jefe Oficina de Tecnologías de la Información"/>
    <n v="6012220601"/>
    <s v="pilar.puerta@upme.gov.co"/>
    <m/>
    <m/>
    <m/>
    <m/>
    <m/>
    <m/>
    <m/>
    <m/>
    <m/>
    <m/>
    <m/>
    <m/>
    <m/>
    <m/>
    <m/>
    <m/>
    <m/>
    <m/>
    <m/>
    <m/>
    <m/>
    <m/>
    <m/>
    <m/>
    <m/>
    <m/>
    <m/>
    <m/>
    <s v="Prestar servicios profesionales especializados en la administración y gestión integral de bases de datos, con el fin de asegurar la correcta implementación, mantenimiento, y optimización de las bases de datos que soportan las aplicaciones y portales web d"/>
    <n v="0"/>
    <n v="0"/>
    <n v="0"/>
    <n v="0"/>
    <n v="0"/>
    <n v="0"/>
    <n v="0"/>
    <n v="0"/>
    <n v="566667"/>
    <n v="0"/>
    <n v="0"/>
    <n v="0"/>
    <n v="0"/>
    <n v="0"/>
    <n v="0"/>
    <n v="0"/>
    <n v="0"/>
    <n v="0"/>
    <n v="0"/>
    <n v="0"/>
    <n v="0"/>
    <n v="0"/>
    <n v="0"/>
    <n v="566667"/>
    <m/>
    <m/>
    <n v="566667"/>
    <n v="566667"/>
    <n v="0"/>
    <n v="0"/>
    <m/>
    <m/>
    <m/>
    <n v="566667"/>
    <m/>
    <m/>
    <n v="0"/>
    <n v="566667"/>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98"/>
    <s v="Aumentar la capacidad institucional a nivel de arquitectura tecnológica y de sistemas de información."/>
    <s v="Servicios Tecnológicos"/>
    <s v="Robustecer el nivel de madurez de la estrategia de infraestructura y soluciones en la nube."/>
    <n v="80111620"/>
    <s v="C-2199-1900-5-53105B-2199067-02"/>
    <s v="Prestación de servicios profesionales y/o de apoyo a la gestión"/>
    <s v="130-98 Prestar servicios profesionales especializados para el fortalecimiento de la gestión de la seguridad perimetral de la Unidad de Planeación Minero Energética (UPME), blindando la infraestructura tecnológica a través de procesos óptimos sobre las her"/>
    <s v="Mayo"/>
    <s v="Mayo"/>
    <s v="Mayo"/>
    <n v="1"/>
    <s v="Meses"/>
    <s v="Contratación directa - Prestación de servicios profesionales "/>
    <s v="Propios - 20 - Ingresos corrientes"/>
    <n v="2458000"/>
    <n v="2458000"/>
    <s v="No"/>
    <s v="N/A"/>
    <s v="Paola del Pilar Puerta Peña"/>
    <s v="Jefe Oficina de Tecnologías de la Información"/>
    <n v="6012220601"/>
    <s v="pilar.puerta@upme.gov.co"/>
    <m/>
    <m/>
    <m/>
    <m/>
    <m/>
    <m/>
    <m/>
    <m/>
    <m/>
    <m/>
    <m/>
    <m/>
    <m/>
    <m/>
    <m/>
    <m/>
    <m/>
    <m/>
    <m/>
    <m/>
    <m/>
    <m/>
    <m/>
    <m/>
    <m/>
    <m/>
    <m/>
    <m/>
    <s v="Prestar servicios profesionales especializados para el fortalecimiento de la gestión de la seguridad perimetral de la Unidad de Planeación Minero Energética (UPME), blindando la infraestructura tecnológica a través de procesos óptimos sobre las herramient"/>
    <n v="0"/>
    <n v="0"/>
    <n v="0"/>
    <n v="0"/>
    <n v="0"/>
    <n v="0"/>
    <n v="0"/>
    <n v="0"/>
    <n v="2458000"/>
    <n v="0"/>
    <n v="0"/>
    <n v="0"/>
    <n v="0"/>
    <n v="0"/>
    <n v="0"/>
    <n v="0"/>
    <n v="0"/>
    <n v="0"/>
    <n v="0"/>
    <n v="0"/>
    <n v="0"/>
    <n v="0"/>
    <n v="0"/>
    <n v="2458000"/>
    <m/>
    <m/>
    <n v="2458000"/>
    <n v="2458000"/>
    <n v="0"/>
    <n v="0"/>
    <m/>
    <m/>
    <m/>
    <n v="2458000"/>
    <m/>
    <m/>
    <n v="0"/>
    <n v="2458000"/>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99"/>
    <s v="Aumentar la capacidad institucional a nivel de arquitectura tecnológica y de sistemas de información."/>
    <s v="Servicios Tecnológicos"/>
    <s v="Robustecer el nivel de madurez de la estrategia de infraestructura y soluciones en la nube."/>
    <s v="43233415;43211501;81112003;71151106"/>
    <s v="C-2199-1900-5-53105B-2199067-02"/>
    <s v="Software - Nube pública o privada"/>
    <s v="130-99 Adquirir el servicio de nube para Backup y DRP"/>
    <s v="Julio"/>
    <s v="Julio"/>
    <s v="Julio"/>
    <n v="12"/>
    <s v="Meses"/>
    <s v="Seléccion abreviada - acuerdo marco"/>
    <s v="Propios - 20 - Ingresos corrientes"/>
    <n v="86488673"/>
    <n v="86488673"/>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86488673"/>
    <n v="0"/>
    <n v="0"/>
    <n v="0"/>
    <n v="0"/>
    <n v="0"/>
    <n v="0"/>
    <n v="0"/>
    <n v="0"/>
    <n v="0"/>
    <n v="0"/>
    <n v="86488673"/>
    <m/>
    <m/>
    <n v="86488673"/>
    <n v="86488673"/>
    <n v="0"/>
    <n v="0"/>
    <m/>
    <m/>
    <m/>
    <n v="86488673"/>
    <m/>
    <m/>
    <n v="0"/>
    <n v="86488673"/>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100"/>
    <s v="Aumentar la capacidad institucional a nivel de arquitectura tecnológica y de sistemas de información."/>
    <s v="Servicios Tecnológicos"/>
    <s v="Robustecer el nivel de madurez de la estrategia de infraestructura y soluciones en la nube."/>
    <s v="43233415;43211501;81112003;71151107"/>
    <s v="C-2199-1900-5-53105B-2199067-02"/>
    <s v="Software - Nube pública o privada"/>
    <s v="130-100 Adquirir el servicio de nube para Backup y DRP"/>
    <s v="Julio"/>
    <s v="Julio"/>
    <s v="Julio"/>
    <n v="12"/>
    <s v="Meses"/>
    <s v="Seléccion abreviada - acuerdo marco"/>
    <s v="Propios - 21 - Otros recursos de tesorería"/>
    <n v="66866667"/>
    <n v="66866667"/>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66866667"/>
    <n v="0"/>
    <n v="0"/>
    <n v="0"/>
    <n v="0"/>
    <n v="0"/>
    <n v="0"/>
    <n v="0"/>
    <n v="0"/>
    <n v="0"/>
    <n v="0"/>
    <n v="66866667"/>
    <m/>
    <m/>
    <n v="66866667"/>
    <n v="66866667"/>
    <n v="0"/>
    <n v="0"/>
    <m/>
    <m/>
    <m/>
    <n v="66866667"/>
    <m/>
    <m/>
    <n v="0"/>
    <n v="66866667"/>
    <n v="0"/>
    <m/>
    <m/>
    <m/>
    <m/>
    <m/>
    <m/>
    <m/>
    <m/>
    <m/>
    <m/>
    <m/>
    <m/>
    <m/>
    <m/>
    <m/>
    <m/>
    <m/>
    <m/>
    <m/>
    <m/>
    <m/>
    <m/>
    <m/>
    <m/>
    <m/>
    <m/>
    <m/>
    <m/>
    <m/>
    <m/>
    <m/>
    <m/>
    <m/>
    <m/>
    <m/>
    <m/>
    <m/>
    <m/>
    <n v="0"/>
    <n v="0"/>
    <n v="0"/>
    <n v="0"/>
    <n v="0"/>
    <x v="0"/>
  </r>
  <r>
    <x v="0"/>
    <x v="3"/>
    <s v="Fortalecimiento de los servicios digitales aumentando la capacidad para la transformación digital e interacción con el ciudadano"/>
    <s v="TIC"/>
    <s v="Sí"/>
    <s v="Sí"/>
    <n v="20"/>
    <s v="130-101"/>
    <s v="Aumentar la capacidad institucional a nivel de arquitectura tecnológica y de sistemas de información."/>
    <s v="Servicios Tecnológicos"/>
    <s v="Robustecer el nivel de madurez de la estrategia de infraestructura y soluciones en la nube."/>
    <s v="45121518;43211612"/>
    <s v="C-2199-1900-5-53105B-2199067-02"/>
    <s v="Hardware (Equipos de computo o partes físicas)"/>
    <s v="130-101 Adquirir suministros tecnológicos de discos duros, baterías para cámara, cargadores para baterías y tarjetas de memoria SD-SDXC, para suplir las necesidades de las áreas de la Upme."/>
    <s v="Mayo"/>
    <s v="Mayo"/>
    <s v="Mayo"/>
    <n v="12"/>
    <s v="Meses"/>
    <s v="Seléccion abreviada - acuerdo marco"/>
    <s v="Propios - 21 - Otros recursos de tesorería"/>
    <n v="20000000"/>
    <n v="20000000"/>
    <s v="No"/>
    <s v="N/A"/>
    <s v="Paola del Pilar Puerta Peña"/>
    <s v="Jefe Oficina de Tecnologías de la Información"/>
    <n v="6012220601"/>
    <s v="pilar.puerta@upme.gov.co"/>
    <m/>
    <m/>
    <m/>
    <m/>
    <m/>
    <m/>
    <m/>
    <m/>
    <m/>
    <m/>
    <m/>
    <m/>
    <m/>
    <m/>
    <m/>
    <m/>
    <m/>
    <m/>
    <m/>
    <m/>
    <m/>
    <m/>
    <m/>
    <m/>
    <m/>
    <m/>
    <m/>
    <m/>
    <s v="Adquirir suministros tecnológicos de discos duros, baterías para cámara, cargadores para baterías y tarjetas de memoria SD-SDXC, para suplir las necesidades de las áreas de la Upme."/>
    <n v="0"/>
    <n v="0"/>
    <n v="0"/>
    <n v="0"/>
    <n v="0"/>
    <n v="0"/>
    <n v="0"/>
    <n v="0"/>
    <n v="20000000"/>
    <n v="0"/>
    <n v="0"/>
    <n v="0"/>
    <n v="0"/>
    <n v="0"/>
    <n v="0"/>
    <n v="0"/>
    <n v="0"/>
    <n v="0"/>
    <n v="0"/>
    <n v="0"/>
    <n v="0"/>
    <n v="0"/>
    <n v="0"/>
    <n v="20000000"/>
    <m/>
    <m/>
    <n v="20000000"/>
    <n v="20000000"/>
    <n v="0"/>
    <n v="0"/>
    <n v="71926"/>
    <d v="2026-04-28T00:00:00"/>
    <n v="20000000"/>
    <n v="0"/>
    <m/>
    <m/>
    <n v="0"/>
    <n v="20000000"/>
    <n v="20000000"/>
    <m/>
    <m/>
    <m/>
    <m/>
    <m/>
    <m/>
    <m/>
    <m/>
    <m/>
    <m/>
    <m/>
    <m/>
    <m/>
    <m/>
    <m/>
    <m/>
    <m/>
    <m/>
    <m/>
    <m/>
    <m/>
    <m/>
    <m/>
    <m/>
    <m/>
    <m/>
    <m/>
    <m/>
    <m/>
    <m/>
    <m/>
    <m/>
    <m/>
    <m/>
    <m/>
    <m/>
    <m/>
    <m/>
    <n v="0"/>
    <n v="0"/>
    <n v="0"/>
    <n v="0"/>
    <n v="0"/>
    <x v="0"/>
  </r>
  <r>
    <x v="0"/>
    <x v="4"/>
    <s v="Fortalecimiento de la percepción de la ciudadanía frente a los productos y servicios prestados por la UPME nacional"/>
    <s v="Transversal"/>
    <s v="No"/>
    <s v="Sí"/>
    <n v="10"/>
    <s v="110-1"/>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s v="N/A"/>
    <s v="C-2199-1900-4-53105B-2199057-02"/>
    <s v="Planta Temporal"/>
    <s v="110-1 Gastos de personal de los empleos de la planta temporal"/>
    <s v="N/A"/>
    <s v="N/A"/>
    <s v="Julio"/>
    <s v="N/A"/>
    <s v="N/A"/>
    <s v="N/A"/>
    <s v="Propios - 20 - Ingresos corrientes"/>
    <n v="74900400"/>
    <n v="74900400"/>
    <s v="No"/>
    <s v="N/A"/>
    <s v="Katherin Perez"/>
    <s v="Coordinador GIT Talento Humano"/>
    <n v="6012220601"/>
    <s v="katherin.perez@upme.gov.co"/>
    <n v="0"/>
    <n v="0"/>
    <n v="0"/>
    <n v="0"/>
    <n v="0"/>
    <n v="0"/>
    <n v="0"/>
    <n v="0"/>
    <n v="0"/>
    <n v="0"/>
    <n v="0"/>
    <n v="0"/>
    <n v="0"/>
    <n v="0"/>
    <n v="13000000"/>
    <n v="13000000"/>
    <n v="13000000"/>
    <n v="13000000"/>
    <n v="13000000"/>
    <n v="13000000"/>
    <n v="13000000"/>
    <n v="13000000"/>
    <n v="22900400"/>
    <n v="22900400"/>
    <n v="74900400"/>
    <n v="74900400"/>
    <n v="0"/>
    <n v="0"/>
    <s v="Gastos de personal de los empleos de la planta temporal"/>
    <m/>
    <m/>
    <m/>
    <m/>
    <m/>
    <m/>
    <m/>
    <m/>
    <m/>
    <m/>
    <m/>
    <m/>
    <m/>
    <m/>
    <n v="13000000"/>
    <n v="13000000"/>
    <n v="13000000"/>
    <n v="13000000"/>
    <n v="13000000"/>
    <n v="13000000"/>
    <n v="13000000"/>
    <n v="13000000"/>
    <n v="22900400"/>
    <n v="22900400"/>
    <m/>
    <m/>
    <n v="74900400"/>
    <n v="74900400"/>
    <n v="0"/>
    <n v="0"/>
    <m/>
    <m/>
    <m/>
    <n v="74900400"/>
    <m/>
    <m/>
    <n v="0"/>
    <n v="74900400"/>
    <n v="0"/>
    <m/>
    <m/>
    <m/>
    <m/>
    <m/>
    <m/>
    <m/>
    <m/>
    <m/>
    <m/>
    <m/>
    <m/>
    <m/>
    <m/>
    <m/>
    <m/>
    <m/>
    <m/>
    <m/>
    <m/>
    <m/>
    <m/>
    <m/>
    <m/>
    <m/>
    <m/>
    <m/>
    <m/>
    <m/>
    <m/>
    <m/>
    <m/>
    <m/>
    <m/>
    <m/>
    <m/>
    <m/>
    <m/>
    <n v="0"/>
    <n v="0"/>
    <n v="0"/>
    <n v="0"/>
    <n v="0"/>
    <x v="0"/>
  </r>
  <r>
    <x v="0"/>
    <x v="4"/>
    <s v="Fortalecimiento de la percepción de la ciudadanía frente a los productos y servicios prestados por la UPME nacional"/>
    <s v="Transversal"/>
    <s v="Sí"/>
    <s v="Sí"/>
    <n v="68"/>
    <s v="110-2"/>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2 Prestar los servicios profesionales para el desarrollo de las actividades de apoyo jurídico de la Secretaría General"/>
    <s v="Enero "/>
    <s v="Enero "/>
    <s v="Enero "/>
    <n v="11.5"/>
    <s v="Meses"/>
    <s v="Contratación directa - Prestación de servicios profesionales "/>
    <s v="Propios - 20 - Ingresos corrientes"/>
    <n v="103500000"/>
    <n v="103500000"/>
    <s v="No"/>
    <s v="N/A"/>
    <s v="Edith Chávez"/>
    <s v="Coordinador GIT Contratación"/>
    <n v="6012220601"/>
    <s v="edith.chavez@upme.gov.co"/>
    <n v="103500000"/>
    <n v="0"/>
    <n v="0"/>
    <n v="4500000"/>
    <n v="0"/>
    <n v="9000000"/>
    <n v="0"/>
    <n v="9000000"/>
    <n v="0"/>
    <n v="9000000"/>
    <n v="0"/>
    <n v="9000000"/>
    <n v="0"/>
    <n v="9000000"/>
    <n v="0"/>
    <n v="9000000"/>
    <n v="0"/>
    <n v="9000000"/>
    <n v="0"/>
    <n v="9000000"/>
    <n v="0"/>
    <n v="9000000"/>
    <n v="0"/>
    <n v="18000000"/>
    <n v="103500000"/>
    <n v="103500000"/>
    <n v="0"/>
    <n v="0"/>
    <s v="Prestar los servicios profesionales para el desarrollo de las actividades de apoyo jurídico de la Secretaría General"/>
    <n v="103500000"/>
    <m/>
    <m/>
    <n v="4500000"/>
    <m/>
    <n v="9000000"/>
    <m/>
    <n v="9000000"/>
    <m/>
    <n v="9000000"/>
    <m/>
    <n v="9000000"/>
    <m/>
    <n v="9000000"/>
    <m/>
    <n v="9000000"/>
    <m/>
    <n v="9000000"/>
    <m/>
    <n v="9000000"/>
    <m/>
    <n v="9000000"/>
    <m/>
    <n v="18000000"/>
    <m/>
    <m/>
    <n v="103500000"/>
    <n v="103500000"/>
    <n v="0"/>
    <n v="0"/>
    <n v="7326"/>
    <d v="2026-01-06T00:00:00"/>
    <n v="103500000"/>
    <n v="0"/>
    <n v="2526"/>
    <d v="2026-01-08T00:00:00"/>
    <n v="103500000"/>
    <n v="0"/>
    <n v="0"/>
    <s v="CHAMORRO MEJIA XIMENA LUCIA"/>
    <s v="CO1.PCCNTR.8781414"/>
    <n v="103500000"/>
    <m/>
    <m/>
    <m/>
    <n v="6600000"/>
    <n v="6600000"/>
    <m/>
    <n v="9000000"/>
    <n v="9000000"/>
    <m/>
    <n v="9000000"/>
    <n v="9000000"/>
    <m/>
    <m/>
    <m/>
    <m/>
    <m/>
    <m/>
    <m/>
    <m/>
    <m/>
    <m/>
    <m/>
    <m/>
    <m/>
    <m/>
    <m/>
    <m/>
    <m/>
    <m/>
    <m/>
    <m/>
    <m/>
    <m/>
    <m/>
    <m/>
    <n v="103500000"/>
    <n v="24600000"/>
    <n v="24600000"/>
    <n v="78900000"/>
    <n v="0"/>
    <x v="0"/>
  </r>
  <r>
    <x v="0"/>
    <x v="4"/>
    <s v="Fortalecimiento de la percepción de la ciudadanía frente a los productos y servicios prestados por la UPME nacional"/>
    <s v="Transversal"/>
    <s v="Sí"/>
    <s v="Sí"/>
    <n v="68"/>
    <s v="110-3"/>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3 Prestar los servicios profesionales para apoyar el seguimiento y control de la ejecución presupuestal y financiera de los recursos de funcionamiento e inversión asignados a la Secretaría General, así como brindar apoyo en la gestión de nómina de la "/>
    <s v="Enero "/>
    <s v="Enero "/>
    <s v="Enero "/>
    <n v="11.5"/>
    <s v="Meses"/>
    <s v="Contratación directa - Prestación de servicios profesionales "/>
    <s v="Propios - 20 - Ingresos corrientes"/>
    <n v="86250000"/>
    <n v="86250000"/>
    <s v="No"/>
    <s v="N/A"/>
    <s v="Hollman Corredor"/>
    <s v="Coordinador GIT Financiera"/>
    <n v="6012220601"/>
    <s v="hollman.corredor@upme.gov.co"/>
    <n v="86250000"/>
    <n v="0"/>
    <n v="0"/>
    <n v="3750000"/>
    <n v="0"/>
    <n v="7500000"/>
    <n v="0"/>
    <n v="7500000"/>
    <n v="0"/>
    <n v="7500000"/>
    <n v="0"/>
    <n v="7500000"/>
    <n v="0"/>
    <n v="7500000"/>
    <n v="0"/>
    <n v="7500000"/>
    <n v="0"/>
    <n v="7500000"/>
    <n v="0"/>
    <n v="7500000"/>
    <n v="0"/>
    <n v="7500000"/>
    <n v="0"/>
    <n v="15000000"/>
    <n v="86250000"/>
    <n v="86250000"/>
    <n v="0"/>
    <n v="0"/>
    <s v="Prestar los servicios profesionales para apoyar el seguimiento y control de la ejecución presupuestal y financiera de los recursos de funcionamiento e inversión asignados a la Secretaría General, así como brindar apoyo en la gestión de nómina de la UPME"/>
    <n v="86250000"/>
    <m/>
    <m/>
    <n v="3750000"/>
    <m/>
    <n v="7500000"/>
    <m/>
    <n v="7500000"/>
    <m/>
    <n v="7500000"/>
    <m/>
    <n v="7500000"/>
    <m/>
    <n v="7500000"/>
    <m/>
    <n v="7500000"/>
    <m/>
    <n v="7500000"/>
    <m/>
    <n v="7500000"/>
    <m/>
    <n v="7500000"/>
    <m/>
    <n v="15000000"/>
    <m/>
    <m/>
    <n v="86250000"/>
    <n v="86250000"/>
    <n v="0"/>
    <n v="0"/>
    <n v="7126"/>
    <d v="2026-01-06T00:00:00"/>
    <n v="86250000"/>
    <n v="0"/>
    <n v="3426"/>
    <d v="2026-01-09T00:00:00"/>
    <n v="86250000"/>
    <n v="0"/>
    <n v="0"/>
    <s v="BURGOS CUEVAS GLADYS MARIANELA"/>
    <s v="CO1.PCCNTR.8782340"/>
    <n v="86250000"/>
    <m/>
    <m/>
    <m/>
    <n v="4500000"/>
    <n v="4500000"/>
    <m/>
    <n v="7500000"/>
    <n v="7500000"/>
    <m/>
    <n v="7500000"/>
    <n v="7500000"/>
    <m/>
    <m/>
    <m/>
    <m/>
    <m/>
    <m/>
    <m/>
    <m/>
    <m/>
    <m/>
    <m/>
    <m/>
    <m/>
    <m/>
    <m/>
    <m/>
    <m/>
    <m/>
    <m/>
    <m/>
    <m/>
    <m/>
    <m/>
    <m/>
    <n v="86250000"/>
    <n v="19500000"/>
    <n v="19500000"/>
    <n v="66750000"/>
    <n v="0"/>
    <x v="0"/>
  </r>
  <r>
    <x v="0"/>
    <x v="4"/>
    <s v="Fortalecimiento de la percepción de la ciudadanía frente a los productos y servicios prestados por la UPME nacional"/>
    <s v="Transversal"/>
    <s v="Sí"/>
    <s v="Sí"/>
    <n v="68"/>
    <s v="110-4"/>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4 Prestar servicios profesionales especializados para apoyar la implementación, seguimiento y mejora del Sistema de Gestión de Seguridad y Salud en el Trabajo (SG-SST) de la Unidad de Planeación Minero Energética UPME, en cumplimiento de la normativid"/>
    <s v="Enero "/>
    <s v="Enero "/>
    <s v="Enero "/>
    <n v="11.5"/>
    <s v="Meses"/>
    <s v="Contratación directa - Prestación de servicios profesionales "/>
    <s v="Propios - 20 - Ingresos corrientes"/>
    <n v="63250000"/>
    <n v="63250000"/>
    <s v="No"/>
    <s v="N/A"/>
    <s v="Katherin Perez"/>
    <s v="Coordinador GIT Talento Humano"/>
    <n v="6012220601"/>
    <s v="katherin.perez@upme.gov.co"/>
    <n v="0"/>
    <n v="0"/>
    <n v="63250000"/>
    <n v="0"/>
    <n v="0"/>
    <n v="2750000"/>
    <n v="0"/>
    <n v="5500000"/>
    <n v="0"/>
    <n v="5500000"/>
    <n v="0"/>
    <n v="5500000"/>
    <n v="0"/>
    <n v="5500000"/>
    <n v="0"/>
    <n v="5500000"/>
    <n v="0"/>
    <n v="5500000"/>
    <n v="0"/>
    <n v="5500000"/>
    <n v="0"/>
    <n v="5500000"/>
    <n v="0"/>
    <n v="16500000"/>
    <n v="63250000"/>
    <n v="63250000"/>
    <n v="0"/>
    <n v="0"/>
    <s v="Prestar servicios profesionales especializados para apoyar la implementación, seguimiento y mejora del Sistema de Gestión de Seguridad y Salud en el Trabajo (SG-SST) de la Unidad de Planeación Minero Energética UPME, en cumplimiento de la normatividad vig"/>
    <m/>
    <m/>
    <n v="63250000"/>
    <m/>
    <m/>
    <n v="2750000"/>
    <m/>
    <n v="5500000"/>
    <m/>
    <n v="5500000"/>
    <m/>
    <n v="5500000"/>
    <m/>
    <n v="5500000"/>
    <m/>
    <n v="5500000"/>
    <m/>
    <n v="5500000"/>
    <m/>
    <n v="5500000"/>
    <m/>
    <n v="5500000"/>
    <m/>
    <n v="16500000"/>
    <m/>
    <m/>
    <n v="63250000"/>
    <n v="63250000"/>
    <n v="0"/>
    <n v="0"/>
    <n v="34026"/>
    <d v="2026-01-15T00:00:00"/>
    <n v="60500000"/>
    <n v="2750000"/>
    <n v="41626"/>
    <d v="2026-02-04T00:00:00"/>
    <n v="60500000"/>
    <n v="2750000"/>
    <n v="0"/>
    <s v="MENDEZ MENDOZA ESNEIDER SABAS"/>
    <s v="CO1.PCCNTR.9237017"/>
    <m/>
    <m/>
    <m/>
    <n v="60500000"/>
    <m/>
    <m/>
    <m/>
    <n v="4583333"/>
    <n v="4583333"/>
    <m/>
    <n v="5500000"/>
    <n v="5500000"/>
    <m/>
    <m/>
    <m/>
    <m/>
    <m/>
    <m/>
    <m/>
    <m/>
    <m/>
    <m/>
    <m/>
    <m/>
    <m/>
    <m/>
    <m/>
    <m/>
    <m/>
    <m/>
    <m/>
    <m/>
    <m/>
    <m/>
    <m/>
    <m/>
    <n v="60500000"/>
    <n v="10083333"/>
    <n v="10083333"/>
    <n v="50416667"/>
    <n v="0"/>
    <x v="0"/>
  </r>
  <r>
    <x v="0"/>
    <x v="4"/>
    <s v="Fortalecimiento de la percepción de la ciudadanía frente a los productos y servicios prestados por la UPME nacional"/>
    <s v="Transversal"/>
    <s v="Sí"/>
    <s v="Sí"/>
    <n v="68"/>
    <s v="110-5"/>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5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2758184"/>
    <n v="0"/>
    <n v="0"/>
    <n v="0"/>
    <n v="0"/>
    <n v="0"/>
    <n v="0"/>
    <n v="2758184"/>
    <n v="0"/>
    <n v="0"/>
    <n v="0"/>
    <n v="0"/>
    <n v="0"/>
    <n v="0"/>
    <n v="0"/>
    <n v="0"/>
    <n v="0"/>
    <n v="0"/>
    <n v="0"/>
    <n v="0"/>
    <n v="0"/>
    <n v="0"/>
    <n v="2758184"/>
    <n v="2758184"/>
    <n v="0"/>
    <n v="0"/>
    <s v="Prestar servicios profesionales orientados al fortalecimiento de la Dimensión de Control Interno mediante la ejecución del Plan Anual de Auditorías Internas Independientes, con énfasis en la evaluación de la gestión administrativa de la UPME."/>
    <m/>
    <m/>
    <n v="2758184"/>
    <m/>
    <m/>
    <m/>
    <m/>
    <m/>
    <m/>
    <n v="2758184"/>
    <m/>
    <m/>
    <m/>
    <m/>
    <m/>
    <m/>
    <m/>
    <m/>
    <m/>
    <m/>
    <m/>
    <m/>
    <m/>
    <m/>
    <m/>
    <m/>
    <n v="2758184"/>
    <n v="2758184"/>
    <n v="0"/>
    <n v="0"/>
    <n v="64026"/>
    <d v="2026-01-23T00:00:00"/>
    <n v="2758184"/>
    <n v="0"/>
    <n v="59726"/>
    <d v="2026-02-12T00:00:00"/>
    <n v="2758184"/>
    <n v="0"/>
    <n v="0"/>
    <s v="NUÑEZ GANTIVA NATALIA ELIANA"/>
    <s v="CO1.PCCNTR.9306722"/>
    <m/>
    <m/>
    <m/>
    <n v="2758184"/>
    <m/>
    <m/>
    <m/>
    <m/>
    <m/>
    <m/>
    <m/>
    <m/>
    <m/>
    <m/>
    <m/>
    <m/>
    <m/>
    <m/>
    <m/>
    <m/>
    <m/>
    <m/>
    <m/>
    <m/>
    <m/>
    <m/>
    <m/>
    <m/>
    <m/>
    <m/>
    <m/>
    <m/>
    <m/>
    <m/>
    <m/>
    <m/>
    <n v="2758184"/>
    <n v="0"/>
    <n v="0"/>
    <n v="2758184"/>
    <n v="0"/>
    <x v="0"/>
  </r>
  <r>
    <x v="0"/>
    <x v="4"/>
    <s v="Fortalecimiento de la percepción de la ciudadanía frente a los productos y servicios prestados por la UPME nacional"/>
    <s v="Transversal"/>
    <s v="Sí"/>
    <s v="Sí"/>
    <n v="68"/>
    <s v="110-6"/>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6 Prestar servicios profesionales orientados al fortalecimiento de la Política Institucional de Control Interno a través de la ejecución del Plan Anual de Auditorías Internas Independientes, con énfasis en la evaluación de la gestión financiera de la "/>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0"/>
    <n v="0"/>
    <n v="0"/>
    <n v="0"/>
    <n v="0"/>
    <n v="0"/>
    <n v="0"/>
    <n v="0"/>
    <n v="0"/>
    <n v="0"/>
    <n v="2758184"/>
    <n v="0"/>
    <n v="0"/>
    <n v="0"/>
    <n v="0"/>
    <n v="0"/>
    <n v="0"/>
    <n v="900000"/>
    <n v="0"/>
    <n v="900000"/>
    <n v="0"/>
    <n v="958184"/>
    <n v="2758184"/>
    <n v="2758184"/>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2758184"/>
    <m/>
    <m/>
    <m/>
    <m/>
    <m/>
    <m/>
    <n v="900000"/>
    <m/>
    <n v="900000"/>
    <m/>
    <n v="958184"/>
    <m/>
    <m/>
    <n v="2758184"/>
    <n v="2758184"/>
    <n v="0"/>
    <n v="0"/>
    <m/>
    <m/>
    <m/>
    <n v="2758184"/>
    <m/>
    <m/>
    <n v="0"/>
    <n v="2758184"/>
    <n v="0"/>
    <m/>
    <m/>
    <m/>
    <m/>
    <m/>
    <m/>
    <m/>
    <m/>
    <m/>
    <m/>
    <m/>
    <m/>
    <m/>
    <m/>
    <m/>
    <m/>
    <m/>
    <m/>
    <m/>
    <m/>
    <m/>
    <m/>
    <m/>
    <m/>
    <m/>
    <m/>
    <m/>
    <m/>
    <m/>
    <m/>
    <m/>
    <m/>
    <m/>
    <m/>
    <m/>
    <m/>
    <m/>
    <m/>
    <n v="0"/>
    <n v="0"/>
    <n v="0"/>
    <n v="0"/>
    <n v="0"/>
    <x v="0"/>
  </r>
  <r>
    <x v="0"/>
    <x v="4"/>
    <s v="Fortalecimiento de la percepción de la ciudadanía frente a los productos y servicios prestados por la UPME nacional"/>
    <s v="Transversal"/>
    <s v="Sí"/>
    <s v="Sí"/>
    <n v="68"/>
    <s v="110-7"/>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7 Prestar servicios profesionales orientados al fortalecimiento del componente de Información y Comunicación del Modelo Estándar de Control Interno (MECI), a través de la ejecución del Plan Anual de Auditorías Internas Independientes, con énfasis en l"/>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0"/>
    <n v="0"/>
    <n v="0"/>
    <n v="0"/>
    <n v="0"/>
    <n v="0"/>
    <n v="0"/>
    <n v="0"/>
    <n v="0"/>
    <n v="0"/>
    <n v="2758184"/>
    <n v="0"/>
    <n v="0"/>
    <n v="0"/>
    <n v="0"/>
    <n v="0"/>
    <n v="0"/>
    <n v="900000"/>
    <n v="0"/>
    <n v="900000"/>
    <n v="0"/>
    <n v="958184"/>
    <n v="2758184"/>
    <n v="2758184"/>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2758184"/>
    <m/>
    <m/>
    <m/>
    <m/>
    <m/>
    <m/>
    <n v="900000"/>
    <m/>
    <n v="900000"/>
    <m/>
    <n v="958184"/>
    <m/>
    <m/>
    <n v="2758184"/>
    <n v="2758184"/>
    <n v="0"/>
    <n v="0"/>
    <m/>
    <m/>
    <m/>
    <n v="2758184"/>
    <m/>
    <m/>
    <n v="0"/>
    <n v="2758184"/>
    <n v="0"/>
    <m/>
    <m/>
    <m/>
    <m/>
    <m/>
    <m/>
    <m/>
    <m/>
    <m/>
    <m/>
    <m/>
    <m/>
    <m/>
    <m/>
    <m/>
    <m/>
    <m/>
    <m/>
    <m/>
    <m/>
    <m/>
    <m/>
    <m/>
    <m/>
    <m/>
    <m/>
    <m/>
    <m/>
    <m/>
    <m/>
    <m/>
    <m/>
    <m/>
    <m/>
    <m/>
    <m/>
    <m/>
    <m/>
    <n v="0"/>
    <n v="0"/>
    <n v="0"/>
    <n v="0"/>
    <n v="0"/>
    <x v="0"/>
  </r>
  <r>
    <x v="0"/>
    <x v="4"/>
    <s v="Fortalecimiento de la percepción de la ciudadanía frente a los productos y servicios prestados por la UPME nacional"/>
    <s v="Transversal"/>
    <s v="Sí"/>
    <s v="Sí"/>
    <n v="68"/>
    <s v="110-8"/>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8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11.5"/>
    <s v="Meses"/>
    <s v="Contratación directa - Prestación de servicios profesionales "/>
    <s v="Propios - 20 - Ingresos corrientes"/>
    <n v="82800000"/>
    <n v="82800000"/>
    <s v="No"/>
    <s v="N/A"/>
    <s v="Mateo Severino"/>
    <s v="Jefe Oficina Jurídica"/>
    <n v="6012220601"/>
    <s v="mateo.severino@upme.gov.co"/>
    <n v="0"/>
    <n v="0"/>
    <n v="82800000"/>
    <n v="0"/>
    <n v="0"/>
    <n v="3600000"/>
    <n v="0"/>
    <n v="7200000"/>
    <n v="0"/>
    <n v="7200000"/>
    <n v="0"/>
    <n v="7200000"/>
    <n v="0"/>
    <n v="7200000"/>
    <n v="0"/>
    <n v="7200000"/>
    <n v="0"/>
    <n v="7200000"/>
    <n v="0"/>
    <n v="7200000"/>
    <n v="0"/>
    <n v="7200000"/>
    <n v="0"/>
    <n v="21600000"/>
    <n v="82800000"/>
    <n v="82800000"/>
    <n v="0"/>
    <n v="0"/>
    <s v="Prestar servicios profesionales para la proyección de documentos de contenido legal y apoyo de los asuntos de tipo jurídico y judicial de competencia la Oficina Asesora Jurídica de la UPME, en el marco de la gestión institucional de la Entidad."/>
    <m/>
    <m/>
    <n v="82800000"/>
    <m/>
    <m/>
    <n v="3600000"/>
    <m/>
    <n v="7200000"/>
    <m/>
    <n v="7200000"/>
    <m/>
    <n v="7200000"/>
    <m/>
    <n v="7200000"/>
    <m/>
    <n v="7200000"/>
    <m/>
    <n v="7200000"/>
    <m/>
    <n v="7200000"/>
    <m/>
    <n v="7200000"/>
    <m/>
    <n v="21600000"/>
    <m/>
    <m/>
    <n v="82800000"/>
    <n v="82800000"/>
    <n v="0"/>
    <n v="0"/>
    <n v="33526"/>
    <d v="2026-01-15T00:00:00"/>
    <n v="79200000"/>
    <n v="3600000"/>
    <n v="55226"/>
    <d v="2026-02-10T00:00:00"/>
    <n v="79200000"/>
    <n v="3600000"/>
    <n v="0"/>
    <s v="AVILA ARIZA MARIA ALEJANDRA"/>
    <s v="CO1.PCCNTR.9286625"/>
    <m/>
    <m/>
    <m/>
    <n v="79200000"/>
    <m/>
    <m/>
    <m/>
    <n v="4800000"/>
    <n v="4800000"/>
    <m/>
    <n v="7200000"/>
    <n v="7200000"/>
    <m/>
    <m/>
    <m/>
    <m/>
    <m/>
    <m/>
    <m/>
    <m/>
    <m/>
    <m/>
    <m/>
    <m/>
    <m/>
    <m/>
    <m/>
    <m/>
    <m/>
    <m/>
    <m/>
    <m/>
    <m/>
    <m/>
    <m/>
    <m/>
    <n v="79200000"/>
    <n v="12000000"/>
    <n v="12000000"/>
    <n v="67200000"/>
    <n v="0"/>
    <x v="0"/>
  </r>
  <r>
    <x v="0"/>
    <x v="4"/>
    <s v="Fortalecimiento de la percepción de la ciudadanía frente a los productos y servicios prestados por la UPME nacional"/>
    <s v="Transversal"/>
    <s v="Sí"/>
    <s v="Sí"/>
    <n v="3"/>
    <s v="110-9"/>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9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11.5"/>
    <s v="Meses"/>
    <s v="Contratación directa - Prestación de servicios profesionales "/>
    <s v="Propios - 20 - Ingresos corrientes"/>
    <n v="68200000"/>
    <n v="68200000"/>
    <s v="No"/>
    <s v="N/A"/>
    <s v="Mateo Severino"/>
    <s v="Jefe Oficina Jurídica"/>
    <n v="6012220601"/>
    <s v="mateo.severino@upme.gov.co"/>
    <n v="0"/>
    <n v="0"/>
    <n v="68200000"/>
    <n v="0"/>
    <n v="0"/>
    <n v="6200000"/>
    <n v="0"/>
    <n v="6200000"/>
    <n v="0"/>
    <n v="6200000"/>
    <n v="0"/>
    <n v="6200000"/>
    <n v="0"/>
    <n v="6200000"/>
    <n v="0"/>
    <n v="6200000"/>
    <n v="0"/>
    <n v="6200000"/>
    <n v="0"/>
    <n v="6200000"/>
    <n v="0"/>
    <n v="6200000"/>
    <n v="0"/>
    <n v="12400000"/>
    <n v="68200000"/>
    <n v="68200000"/>
    <n v="0"/>
    <n v="0"/>
    <s v="Prestar servicios profesionales para la proyección de documentos de contenido legal y apoyo de los asuntos de tipo jurídico y judicial de competencia la Oficina Asesora Jurídica de la UPME, en el marco de la gestión institucional de la Entidad."/>
    <m/>
    <m/>
    <n v="68200000"/>
    <m/>
    <m/>
    <n v="6200000"/>
    <m/>
    <n v="6200000"/>
    <m/>
    <n v="6200000"/>
    <m/>
    <n v="6200000"/>
    <m/>
    <n v="6200000"/>
    <m/>
    <n v="6200000"/>
    <m/>
    <n v="6200000"/>
    <m/>
    <n v="6200000"/>
    <m/>
    <n v="6200000"/>
    <m/>
    <n v="12400000"/>
    <m/>
    <m/>
    <n v="68200000"/>
    <n v="68200000"/>
    <n v="0"/>
    <n v="0"/>
    <n v="41026"/>
    <d v="2026-01-16T00:00:00"/>
    <n v="68200000"/>
    <n v="0"/>
    <n v="44026"/>
    <d v="2026-02-05T00:00:00"/>
    <n v="68200000"/>
    <n v="0"/>
    <n v="0"/>
    <s v="BAÑOS CASADO SANDRA CAROLINA"/>
    <s v="CO1.PCCNTR.9225858"/>
    <m/>
    <m/>
    <m/>
    <n v="68200000"/>
    <m/>
    <m/>
    <m/>
    <n v="4546666"/>
    <n v="4546666"/>
    <m/>
    <n v="6200000"/>
    <n v="6200000"/>
    <m/>
    <m/>
    <m/>
    <m/>
    <m/>
    <m/>
    <m/>
    <m/>
    <m/>
    <m/>
    <m/>
    <m/>
    <m/>
    <m/>
    <m/>
    <m/>
    <m/>
    <m/>
    <m/>
    <m/>
    <m/>
    <m/>
    <m/>
    <m/>
    <n v="68200000"/>
    <n v="10746666"/>
    <n v="10746666"/>
    <n v="57453334"/>
    <n v="0"/>
    <x v="0"/>
  </r>
  <r>
    <x v="0"/>
    <x v="4"/>
    <s v="Fortalecimiento de la percepción de la ciudadanía frente a los productos y servicios prestados por la UPME nacional"/>
    <s v="Transversal"/>
    <s v="Sí"/>
    <s v="Sí"/>
    <n v="5"/>
    <s v="110-10"/>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10 Prestar servicios ​profesionales en asuntos jurídicos relacionados con los procesos ​y procedimientos administrativos y de planeación de competencia de la Oficina Asesora Jurídica de la UPME, en el marco de la gestión institucional de la Entidad."/>
    <s v="Enero "/>
    <s v="Enero "/>
    <s v="Enero "/>
    <n v="11.5"/>
    <s v="Meses"/>
    <s v="Contratación directa - Prestación de servicios profesionales "/>
    <s v="Propios - 20 - Ingresos corrientes"/>
    <n v="37200000"/>
    <n v="37200000"/>
    <s v="No"/>
    <s v="N/A"/>
    <s v="Mateo Severino"/>
    <s v="Jefe Oficina Jurídica"/>
    <n v="6012220601"/>
    <s v="mateo.severino@upme.gov.co"/>
    <n v="37200000"/>
    <n v="0"/>
    <n v="0"/>
    <n v="0"/>
    <n v="0"/>
    <n v="6200000"/>
    <n v="0"/>
    <n v="6200000"/>
    <n v="0"/>
    <n v="6200000"/>
    <n v="0"/>
    <n v="6200000"/>
    <n v="0"/>
    <n v="6200000"/>
    <n v="0"/>
    <n v="6200000"/>
    <n v="0"/>
    <n v="0"/>
    <n v="0"/>
    <n v="0"/>
    <n v="0"/>
    <n v="0"/>
    <n v="0"/>
    <n v="0"/>
    <n v="37200000"/>
    <n v="37200000"/>
    <n v="0"/>
    <n v="0"/>
    <s v="Prestar servicios ​profesionales en asuntos jurídicos relacionados con los procesos ​y procedimientos administrativos y de planeación de competencia de la Oficina Asesora Jurídica de la UPME, en el marco de la gestión institucional de la Entidad."/>
    <n v="37200000"/>
    <m/>
    <m/>
    <m/>
    <m/>
    <n v="6200000"/>
    <m/>
    <n v="6200000"/>
    <m/>
    <n v="6200000"/>
    <m/>
    <n v="6200000"/>
    <m/>
    <n v="6200000"/>
    <m/>
    <n v="6200000"/>
    <m/>
    <m/>
    <m/>
    <m/>
    <m/>
    <m/>
    <m/>
    <m/>
    <m/>
    <m/>
    <n v="37200000"/>
    <n v="37200000"/>
    <n v="0"/>
    <n v="0"/>
    <n v="34326"/>
    <d v="2026-01-15T00:00:00"/>
    <n v="37200000"/>
    <n v="0"/>
    <n v="27626"/>
    <d v="2026-01-28T00:00:00"/>
    <n v="37200000"/>
    <n v="0"/>
    <n v="0"/>
    <s v="RUEDA GONZALEZ LUZ ADRIANA"/>
    <s v="CO1.PCCNTR.9142583"/>
    <n v="37200000"/>
    <m/>
    <m/>
    <m/>
    <m/>
    <m/>
    <m/>
    <n v="6406666"/>
    <n v="6406666"/>
    <m/>
    <n v="6200000"/>
    <n v="6200000"/>
    <m/>
    <m/>
    <m/>
    <m/>
    <m/>
    <m/>
    <m/>
    <m/>
    <m/>
    <m/>
    <m/>
    <m/>
    <m/>
    <m/>
    <m/>
    <m/>
    <m/>
    <m/>
    <m/>
    <m/>
    <m/>
    <m/>
    <m/>
    <m/>
    <n v="37200000"/>
    <n v="12606666"/>
    <n v="12606666"/>
    <n v="24593334"/>
    <n v="0"/>
    <x v="0"/>
  </r>
  <r>
    <x v="0"/>
    <x v="4"/>
    <s v="Fortalecimiento de la percepción de la ciudadanía frente a los productos y servicios prestados por la UPME nacional"/>
    <s v="Transversal"/>
    <s v="Sí"/>
    <s v="Sí"/>
    <n v="68"/>
    <s v="110-11"/>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11 Prestar servicios profesionales de asesoría estratégica a la Dirección General de la Unidad de Planeación Minero Energética UPME, orientados al fortalecimiento de la gestión pública y la gestión de atención al ciudadano, mediante la formulación de "/>
    <s v="Enero "/>
    <s v="Enero "/>
    <s v="Enero "/>
    <n v="11.5"/>
    <s v="Meses"/>
    <s v="Contratación directa - Prestación de servicios profesionales "/>
    <s v="Propios - 20 - Ingresos corrientes"/>
    <n v="156400000"/>
    <n v="156400000"/>
    <s v="No"/>
    <s v="N/A"/>
    <s v="Jenny Peña"/>
    <s v="Coordinador GIT Administrativa"/>
    <n v="6012220601"/>
    <s v="jenny.pena@upme.gov.co"/>
    <n v="156400000"/>
    <n v="0"/>
    <n v="0"/>
    <n v="6800000"/>
    <n v="0"/>
    <n v="13600000"/>
    <n v="0"/>
    <n v="13600000"/>
    <n v="0"/>
    <n v="13600000"/>
    <n v="0"/>
    <n v="13600000"/>
    <n v="0"/>
    <n v="13600000"/>
    <n v="0"/>
    <n v="13600000"/>
    <n v="0"/>
    <n v="13600000"/>
    <n v="0"/>
    <n v="13600000"/>
    <n v="0"/>
    <n v="13600000"/>
    <n v="0"/>
    <n v="27200000"/>
    <n v="156400000"/>
    <n v="156400000"/>
    <n v="0"/>
    <n v="0"/>
    <s v="Prestar servicios profesionales de asesoría estratégica a la Dirección General de la Unidad de Planeación Minero Energética UPME, orientados al fortalecimiento de la gestión pública y la gestión de atención al ciudadano, mediante la formulación de lineami"/>
    <n v="156400000"/>
    <m/>
    <m/>
    <n v="6800000"/>
    <m/>
    <n v="13600000"/>
    <m/>
    <n v="13600000"/>
    <m/>
    <n v="13600000"/>
    <m/>
    <n v="13600000"/>
    <m/>
    <n v="13600000"/>
    <m/>
    <n v="13600000"/>
    <m/>
    <n v="13600000"/>
    <m/>
    <n v="13600000"/>
    <m/>
    <n v="13600000"/>
    <m/>
    <n v="27200000"/>
    <m/>
    <m/>
    <n v="156400000"/>
    <n v="156400000"/>
    <n v="0"/>
    <n v="0"/>
    <n v="11626"/>
    <d v="2026-01-08T00:00:00"/>
    <n v="156400000"/>
    <n v="0"/>
    <n v="8326"/>
    <d v="2026-01-13T00:00:00"/>
    <n v="156400000"/>
    <n v="0"/>
    <n v="0"/>
    <s v="RESTREPO IDARRAGA LEIDY TATIANA"/>
    <s v="CO1.PCCNTR.8836907"/>
    <n v="156400000"/>
    <m/>
    <m/>
    <m/>
    <m/>
    <m/>
    <m/>
    <m/>
    <m/>
    <m/>
    <n v="21306666.66"/>
    <n v="21306666.66"/>
    <m/>
    <m/>
    <m/>
    <m/>
    <m/>
    <m/>
    <m/>
    <m/>
    <m/>
    <m/>
    <m/>
    <m/>
    <m/>
    <m/>
    <m/>
    <m/>
    <m/>
    <m/>
    <m/>
    <m/>
    <m/>
    <m/>
    <m/>
    <m/>
    <n v="156400000"/>
    <n v="21306666.66"/>
    <n v="21306666.66"/>
    <n v="135093333.34"/>
    <n v="0"/>
    <x v="0"/>
  </r>
  <r>
    <x v="0"/>
    <x v="4"/>
    <s v="Fortalecimiento de la percepción de la ciudadanía frente a los productos y servicios prestados por la UPME nacional"/>
    <s v="Transversal"/>
    <s v="Sí"/>
    <s v="Sí"/>
    <n v="68"/>
    <s v="110-12"/>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12 Prestar servicios de apoyo a la gestión documental de la Unidad de Planeación Minero Energética"/>
    <s v="Enero "/>
    <s v="Enero "/>
    <s v="Enero "/>
    <n v="7.3"/>
    <s v="Meses"/>
    <s v="Contratación directa - Prestación de servicios profesionales "/>
    <s v="Propios - 20 - Ingresos corrientes"/>
    <n v="16100000"/>
    <n v="16100000"/>
    <s v="No"/>
    <s v="N/A"/>
    <s v="Jenny Peña"/>
    <s v="Coordinador GIT Administrativa"/>
    <n v="6012220601"/>
    <s v="jenny.pena@upme.gov.co"/>
    <n v="0"/>
    <n v="0"/>
    <n v="16100000"/>
    <n v="0"/>
    <n v="0"/>
    <n v="1100000"/>
    <n v="0"/>
    <n v="2200000"/>
    <n v="0"/>
    <n v="2200000"/>
    <n v="0"/>
    <n v="2200000"/>
    <n v="0"/>
    <n v="2200000"/>
    <n v="0"/>
    <n v="2200000"/>
    <n v="0"/>
    <n v="2200000"/>
    <n v="0"/>
    <n v="1800000"/>
    <n v="0"/>
    <n v="0"/>
    <n v="0"/>
    <n v="0"/>
    <n v="16100000"/>
    <n v="16100000"/>
    <n v="0"/>
    <n v="0"/>
    <s v="Prestar servicios de apoyo a la gestión documental de la Unidad de Planeación Minero Energética"/>
    <m/>
    <m/>
    <n v="16100000"/>
    <m/>
    <m/>
    <n v="1100000"/>
    <m/>
    <n v="2200000"/>
    <m/>
    <n v="2200000"/>
    <m/>
    <n v="2200000"/>
    <m/>
    <n v="2200000"/>
    <m/>
    <n v="2200000"/>
    <m/>
    <n v="2200000"/>
    <m/>
    <n v="1800000"/>
    <m/>
    <m/>
    <m/>
    <m/>
    <m/>
    <m/>
    <n v="16100000"/>
    <n v="16100000"/>
    <n v="0"/>
    <n v="0"/>
    <n v="31426"/>
    <d v="2026-01-14T00:00:00"/>
    <n v="16096500"/>
    <n v="3500"/>
    <n v="53926"/>
    <d v="2026-02-10T00:00:00"/>
    <n v="16096500"/>
    <n v="3500"/>
    <n v="0"/>
    <s v="RAMIREZ OLAVE DANIEL ALEJANDRO"/>
    <s v="CO1.PCCNTR.9300752"/>
    <m/>
    <m/>
    <m/>
    <n v="16096500"/>
    <m/>
    <m/>
    <m/>
    <n v="1470000"/>
    <n v="1470000"/>
    <m/>
    <n v="2205000"/>
    <n v="2205000"/>
    <m/>
    <m/>
    <m/>
    <m/>
    <m/>
    <m/>
    <m/>
    <m/>
    <m/>
    <m/>
    <m/>
    <m/>
    <m/>
    <m/>
    <m/>
    <m/>
    <m/>
    <m/>
    <m/>
    <m/>
    <m/>
    <m/>
    <m/>
    <m/>
    <n v="16096500"/>
    <n v="3675000"/>
    <n v="3675000"/>
    <n v="12421500"/>
    <n v="0"/>
    <x v="0"/>
  </r>
  <r>
    <x v="0"/>
    <x v="4"/>
    <s v="Fortalecimiento de la percepción de la ciudadanía frente a los productos y servicios prestados por la UPME nacional"/>
    <s v="Transversal"/>
    <s v="Sí"/>
    <s v="Sí"/>
    <n v="68"/>
    <s v="110-13"/>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13 Prestar servicios profesionales para apoyar la gestión del talento humano de la Unidad de Planeación Minero Energética UPME, mediante la elaboración, actualización y organización de documentos metodológicos, lineamientos e instrumentos técnicos aso"/>
    <s v="Enero "/>
    <s v="Enero "/>
    <s v="Enero "/>
    <n v="11.5"/>
    <s v="Meses"/>
    <s v="Contratación directa - Prestación de servicios profesionales "/>
    <s v="Propios - 20 - Ingresos corrientes"/>
    <n v="43700000"/>
    <n v="43700000"/>
    <s v="No"/>
    <s v="N/A"/>
    <s v="Katherin Perez"/>
    <s v="Coordinador GIT Talento Humano"/>
    <n v="6012220601"/>
    <s v="katherin.perez@upme.gov.co"/>
    <n v="0"/>
    <n v="0"/>
    <n v="43700000"/>
    <n v="0"/>
    <n v="0"/>
    <n v="1900000"/>
    <n v="0"/>
    <n v="3800000"/>
    <n v="0"/>
    <n v="3800000"/>
    <n v="0"/>
    <n v="3800000"/>
    <n v="0"/>
    <n v="3800000"/>
    <n v="0"/>
    <n v="3800000"/>
    <n v="0"/>
    <n v="3800000"/>
    <n v="0"/>
    <n v="3800000"/>
    <n v="0"/>
    <n v="3800000"/>
    <n v="0"/>
    <n v="11400000"/>
    <n v="43700000"/>
    <n v="43700000"/>
    <n v="0"/>
    <n v="0"/>
    <s v="Prestar servicios profesionales para apoyar la gestión del talento humano de la Unidad de Planeación Minero Energética UPME, mediante la elaboración, actualización y organización de documentos metodológicos, lineamientos e instrumentos técnicos asociados "/>
    <m/>
    <m/>
    <n v="43700000"/>
    <m/>
    <m/>
    <n v="1900000"/>
    <m/>
    <n v="3800000"/>
    <m/>
    <n v="3800000"/>
    <m/>
    <n v="3800000"/>
    <m/>
    <n v="3800000"/>
    <m/>
    <n v="3800000"/>
    <m/>
    <n v="3800000"/>
    <m/>
    <n v="3800000"/>
    <m/>
    <n v="3800000"/>
    <m/>
    <n v="11400000"/>
    <m/>
    <m/>
    <n v="43700000"/>
    <n v="43700000"/>
    <n v="0"/>
    <n v="0"/>
    <n v="44026"/>
    <d v="2026-01-17T00:00:00"/>
    <n v="41800000"/>
    <n v="1900000"/>
    <n v="57826"/>
    <d v="2026-02-10T00:00:00"/>
    <n v="41800000"/>
    <n v="1900000"/>
    <n v="0"/>
    <s v="OSORIO VALENCIA JENNIFER ANDREA"/>
    <s v="CO1.PCCNTR.9306102"/>
    <m/>
    <m/>
    <m/>
    <n v="41800000"/>
    <m/>
    <m/>
    <m/>
    <m/>
    <m/>
    <m/>
    <n v="2533333"/>
    <n v="2533333"/>
    <m/>
    <m/>
    <m/>
    <m/>
    <m/>
    <m/>
    <m/>
    <m/>
    <m/>
    <m/>
    <m/>
    <m/>
    <m/>
    <m/>
    <m/>
    <m/>
    <m/>
    <m/>
    <m/>
    <m/>
    <m/>
    <m/>
    <m/>
    <m/>
    <n v="41800000"/>
    <n v="2533333"/>
    <n v="2533333"/>
    <n v="39266667"/>
    <n v="0"/>
    <x v="0"/>
  </r>
  <r>
    <x v="0"/>
    <x v="4"/>
    <s v="Fortalecimiento de la percepción de la ciudadanía frente a los productos y servicios prestados por la UPME nacional"/>
    <s v="Transversal"/>
    <s v="Sí"/>
    <s v="Sí"/>
    <n v="68"/>
    <s v="110-14"/>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14 Prestar los servicios profesionales para apoyar al Grupo Interno de Trabajo de Gestión del Talento Humano de la UPME en el seguimiento, análisis y consolidación de información relacionada con los planes de mejoramiento, planes de acción, auditorías"/>
    <s v="Enero "/>
    <s v="Enero "/>
    <s v="Enero "/>
    <n v="6.5"/>
    <s v="Meses"/>
    <s v="Contratación directa - Prestación de servicios profesionales "/>
    <s v="Propios - 20 - Ingresos corrientes"/>
    <n v="26721162"/>
    <n v="26721162"/>
    <s v="No"/>
    <s v="N/A"/>
    <s v="Katherin Perez"/>
    <s v="Coordinador GIT Talento Humano"/>
    <n v="6012220601"/>
    <s v="katherin.perez@upme.gov.co"/>
    <n v="26721162"/>
    <n v="0"/>
    <n v="0"/>
    <n v="2750000"/>
    <n v="0"/>
    <n v="5500000"/>
    <n v="0"/>
    <n v="5500000"/>
    <n v="0"/>
    <n v="5500000"/>
    <n v="0"/>
    <n v="5500000"/>
    <n v="0"/>
    <n v="1971162"/>
    <n v="0"/>
    <n v="0"/>
    <n v="0"/>
    <n v="0"/>
    <n v="0"/>
    <n v="0"/>
    <n v="0"/>
    <n v="0"/>
    <n v="0"/>
    <n v="0"/>
    <n v="26721162"/>
    <n v="26721162"/>
    <n v="0"/>
    <n v="0"/>
    <s v="Prestar los servicios profesionales para apoyar al Grupo Interno de Trabajo de Gestión del Talento Humano de la UPME en el seguimiento, análisis y consolidación de información relacionada con los planes de mejoramiento, planes de acción, auditorías intern"/>
    <n v="26721162"/>
    <m/>
    <m/>
    <n v="2750000"/>
    <m/>
    <n v="5500000"/>
    <m/>
    <n v="5500000"/>
    <m/>
    <n v="5500000"/>
    <m/>
    <n v="5500000"/>
    <m/>
    <n v="1971162"/>
    <m/>
    <m/>
    <m/>
    <m/>
    <m/>
    <m/>
    <m/>
    <m/>
    <m/>
    <m/>
    <m/>
    <m/>
    <n v="26721162"/>
    <n v="26721162"/>
    <n v="0"/>
    <n v="0"/>
    <n v="11826"/>
    <d v="2026-01-08T00:00:00"/>
    <n v="26721162"/>
    <n v="0"/>
    <n v="20826"/>
    <d v="2026-01-26T00:00:00"/>
    <n v="26721162"/>
    <n v="0"/>
    <n v="0"/>
    <s v="ACOSTA CONTRERAS MARYURI IVONNE"/>
    <s v="CO1.PCCNTR.9040432"/>
    <n v="26721162"/>
    <m/>
    <m/>
    <m/>
    <n v="733333"/>
    <n v="733333"/>
    <m/>
    <n v="5500000"/>
    <n v="5500000"/>
    <m/>
    <n v="5500000"/>
    <n v="5500000"/>
    <m/>
    <m/>
    <m/>
    <m/>
    <m/>
    <m/>
    <m/>
    <m/>
    <m/>
    <m/>
    <m/>
    <m/>
    <m/>
    <m/>
    <m/>
    <m/>
    <m/>
    <m/>
    <m/>
    <m/>
    <m/>
    <m/>
    <m/>
    <m/>
    <n v="26721162"/>
    <n v="11733333"/>
    <n v="11733333"/>
    <n v="14987829"/>
    <n v="0"/>
    <x v="0"/>
  </r>
  <r>
    <x v="0"/>
    <x v="4"/>
    <s v="Fortalecimiento de la percepción de la ciudadanía frente a los productos y servicios prestados por la UPME nacional"/>
    <s v="Transversal"/>
    <s v="Sí"/>
    <s v="Sí"/>
    <n v="68"/>
    <s v="110-15"/>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15 Prestar los servicios profesionales para apoyar al Grupo Interno de Trabajo de Gestión del Talento Humano de la UPME en el seguimiento, análisis y consolidación de información relacionada con los planes de mejoramiento, planes de acción, auditorías"/>
    <s v="Enero "/>
    <s v="Enero "/>
    <s v="Enero "/>
    <n v="6.5"/>
    <s v="Meses"/>
    <s v="Contratación directa - Prestación de servicios profesionales "/>
    <s v="Propios - 21 - Otros recursos de tesorería"/>
    <n v="9028838"/>
    <n v="9028838"/>
    <s v="No"/>
    <s v="N/A"/>
    <s v="Katherin Perez"/>
    <s v="Coordinador GIT Talento Humano"/>
    <n v="6012220601"/>
    <s v="katherin.perez@upme.gov.co"/>
    <n v="9028838"/>
    <n v="0"/>
    <n v="0"/>
    <n v="0"/>
    <n v="0"/>
    <n v="0"/>
    <n v="0"/>
    <n v="0"/>
    <n v="0"/>
    <n v="0"/>
    <n v="0"/>
    <n v="0"/>
    <n v="0"/>
    <n v="3528838"/>
    <n v="0"/>
    <n v="5500000"/>
    <n v="0"/>
    <n v="0"/>
    <n v="0"/>
    <n v="0"/>
    <n v="0"/>
    <n v="0"/>
    <n v="0"/>
    <n v="0"/>
    <n v="9028838"/>
    <n v="9028838"/>
    <n v="0"/>
    <n v="0"/>
    <s v="Prestar los servicios profesionales para apoyar al Grupo Interno de Trabajo de Gestión del Talento Humano de la UPME en el seguimiento, análisis y consolidación de información relacionada con los planes de mejoramiento, planes de acción, auditorías intern"/>
    <n v="9028838"/>
    <m/>
    <m/>
    <m/>
    <m/>
    <m/>
    <m/>
    <m/>
    <m/>
    <m/>
    <m/>
    <m/>
    <m/>
    <n v="3528838"/>
    <m/>
    <n v="5500000"/>
    <m/>
    <m/>
    <m/>
    <m/>
    <m/>
    <m/>
    <m/>
    <m/>
    <m/>
    <m/>
    <n v="9028838"/>
    <n v="9028838"/>
    <n v="0"/>
    <n v="0"/>
    <n v="11826"/>
    <d v="2026-01-08T00:00:00"/>
    <n v="9028838"/>
    <n v="0"/>
    <n v="20826"/>
    <d v="2026-01-26T00:00:00"/>
    <n v="9028838"/>
    <n v="0"/>
    <n v="0"/>
    <s v="ACOSTA CONTRERAS MARYURI IVONNE"/>
    <s v="CO1.PCCNTR.9040432"/>
    <n v="9028838"/>
    <m/>
    <m/>
    <m/>
    <m/>
    <m/>
    <m/>
    <m/>
    <m/>
    <m/>
    <m/>
    <m/>
    <m/>
    <m/>
    <m/>
    <m/>
    <m/>
    <m/>
    <m/>
    <m/>
    <m/>
    <m/>
    <m/>
    <m/>
    <m/>
    <m/>
    <m/>
    <m/>
    <m/>
    <m/>
    <m/>
    <m/>
    <m/>
    <m/>
    <m/>
    <m/>
    <n v="9028838"/>
    <n v="0"/>
    <n v="0"/>
    <n v="9028838"/>
    <n v="0"/>
    <x v="0"/>
  </r>
  <r>
    <x v="0"/>
    <x v="4"/>
    <s v="Fortalecimiento de la percepción de la ciudadanía frente a los productos y servicios prestados por la UPME nacional"/>
    <s v="Transversal"/>
    <s v="Sí"/>
    <s v="Sí"/>
    <n v="68"/>
    <s v="110-16"/>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16 Prestación de servicios profesionales especializados para apoyar el fortalecimiento de competencias técnicas para la planeación institucional y la configuración de entornos de aprendizaje e intercambio asociados a las prácticas y a la información s"/>
    <s v="Enero "/>
    <s v="Enero "/>
    <s v="Enero "/>
    <n v="11"/>
    <s v="Meses"/>
    <s v="Contratación directa - Prestación de servicios profesionales "/>
    <s v="Propios - 21 - Otros recursos de tesorería"/>
    <n v="37900000"/>
    <n v="37900000"/>
    <s v="No"/>
    <s v="N/A"/>
    <s v="Katherin Perez"/>
    <s v="Coordinador GIT Talento Humano"/>
    <n v="6012220601"/>
    <s v="katherin.perez@upme.gov.co"/>
    <n v="0"/>
    <n v="0"/>
    <n v="0"/>
    <n v="0"/>
    <n v="0"/>
    <n v="0"/>
    <n v="0"/>
    <n v="0"/>
    <n v="0"/>
    <n v="0"/>
    <n v="0"/>
    <n v="0"/>
    <n v="0"/>
    <n v="0"/>
    <n v="37900000"/>
    <n v="7580000"/>
    <n v="0"/>
    <n v="7580000"/>
    <n v="0"/>
    <n v="7580000"/>
    <n v="0"/>
    <n v="7580000"/>
    <n v="0"/>
    <n v="7580000"/>
    <n v="37900000"/>
    <n v="37900000"/>
    <n v="0"/>
    <n v="0"/>
    <s v="Prestación de servicios profesionales especializados para apoyar el fortalecimiento de competencias técnicas para la planeación institucional y la configuración de entornos de aprendizaje e intercambio asociados a las prácticas y a la información sectoria"/>
    <m/>
    <m/>
    <m/>
    <m/>
    <m/>
    <m/>
    <m/>
    <m/>
    <m/>
    <m/>
    <m/>
    <m/>
    <m/>
    <m/>
    <n v="37900000"/>
    <n v="7580000"/>
    <m/>
    <n v="7580000"/>
    <m/>
    <n v="7580000"/>
    <m/>
    <n v="7580000"/>
    <m/>
    <n v="7580000"/>
    <m/>
    <m/>
    <n v="37900000"/>
    <n v="37900000"/>
    <n v="0"/>
    <n v="0"/>
    <n v="42026"/>
    <d v="2026-01-16T00:00:00"/>
    <m/>
    <n v="37900000"/>
    <m/>
    <m/>
    <n v="0"/>
    <n v="37900000"/>
    <n v="0"/>
    <m/>
    <m/>
    <m/>
    <m/>
    <m/>
    <m/>
    <m/>
    <m/>
    <m/>
    <m/>
    <m/>
    <m/>
    <m/>
    <m/>
    <m/>
    <m/>
    <m/>
    <m/>
    <m/>
    <m/>
    <m/>
    <m/>
    <m/>
    <m/>
    <m/>
    <m/>
    <m/>
    <m/>
    <m/>
    <m/>
    <m/>
    <m/>
    <m/>
    <m/>
    <m/>
    <m/>
    <m/>
    <m/>
    <n v="0"/>
    <n v="0"/>
    <n v="0"/>
    <n v="0"/>
    <n v="0"/>
    <x v="0"/>
  </r>
  <r>
    <x v="0"/>
    <x v="4"/>
    <s v="Fortalecimiento de la percepción de la ciudadanía frente a los productos y servicios prestados por la UPME nacional"/>
    <s v="Transversal"/>
    <s v="Sí"/>
    <s v="Sí"/>
    <n v="68"/>
    <s v="110-17"/>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17 Prestación de servicios profesionales en asesoria y apoyo jurídico para los planes transversales del Grupo Interno de Trabajo de Talento Humano de la entidad."/>
    <s v="Enero "/>
    <s v="Enero "/>
    <s v="Enero "/>
    <n v="10.5"/>
    <s v="Meses"/>
    <s v="Contratación directa - Prestación de servicios profesionales "/>
    <s v="Propios - 21 - Otros recursos de tesorería"/>
    <n v="57750000"/>
    <n v="57750000"/>
    <s v="No"/>
    <s v="N/A"/>
    <s v="Katherin Perez"/>
    <s v="Coordinador GIT Talento Humano"/>
    <n v="6012220601"/>
    <s v="katherin.perez@upme.gov.co"/>
    <n v="0"/>
    <n v="0"/>
    <n v="57750000"/>
    <n v="0"/>
    <n v="0"/>
    <n v="2750000"/>
    <n v="0"/>
    <n v="5500000"/>
    <n v="0"/>
    <n v="5500000"/>
    <n v="0"/>
    <n v="5500000"/>
    <n v="0"/>
    <n v="5500000"/>
    <n v="0"/>
    <n v="5500000"/>
    <n v="0"/>
    <n v="5500000"/>
    <n v="0"/>
    <n v="5500000"/>
    <n v="0"/>
    <n v="5500000"/>
    <n v="0"/>
    <n v="11000000"/>
    <n v="57750000"/>
    <n v="57750000"/>
    <n v="0"/>
    <n v="0"/>
    <s v="Prestación de servicios profesionales en asesoria y apoyo jurídico para los planes transversales del Grupo Interno de Trabajo de Talento Humano de la entidad."/>
    <m/>
    <m/>
    <n v="57750000"/>
    <m/>
    <m/>
    <n v="2750000"/>
    <m/>
    <n v="5500000"/>
    <m/>
    <n v="5500000"/>
    <m/>
    <n v="5500000"/>
    <m/>
    <n v="5500000"/>
    <m/>
    <n v="5500000"/>
    <m/>
    <n v="5500000"/>
    <m/>
    <n v="5500000"/>
    <m/>
    <n v="5500000"/>
    <m/>
    <n v="11000000"/>
    <m/>
    <m/>
    <n v="57750000"/>
    <n v="57750000"/>
    <n v="0"/>
    <n v="0"/>
    <n v="32226"/>
    <d v="2026-01-14T00:00:00"/>
    <n v="57750000"/>
    <n v="0"/>
    <n v="43226"/>
    <d v="2026-02-05T00:00:00"/>
    <n v="57750000"/>
    <n v="0"/>
    <n v="0"/>
    <s v="RANGEL VANEGAS PEDRO PABLO"/>
    <s v="CO1.PCCNTR.9236243"/>
    <m/>
    <m/>
    <m/>
    <n v="57750000"/>
    <m/>
    <m/>
    <m/>
    <n v="4583333"/>
    <n v="4583333"/>
    <m/>
    <n v="5500000"/>
    <n v="5500000"/>
    <m/>
    <m/>
    <m/>
    <m/>
    <m/>
    <m/>
    <m/>
    <m/>
    <m/>
    <m/>
    <m/>
    <m/>
    <m/>
    <m/>
    <m/>
    <m/>
    <m/>
    <m/>
    <m/>
    <m/>
    <m/>
    <m/>
    <m/>
    <m/>
    <n v="57750000"/>
    <n v="10083333"/>
    <n v="10083333"/>
    <n v="47666667"/>
    <n v="0"/>
    <x v="0"/>
  </r>
  <r>
    <x v="0"/>
    <x v="4"/>
    <s v="Fortalecimiento de la percepción de la ciudadanía frente a los productos y servicios prestados por la UPME nacional"/>
    <s v="Transversal"/>
    <s v="Sí"/>
    <s v="Sí"/>
    <n v="68"/>
    <s v="110-18"/>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18 Prestar los servicios profesionales para asistir las actividades que fortalezcan la Gestión del Conocimiento por medio de la Dimensión del Talento Humano mediante la implementación de las políticas del Modelo Integrado de Planeación y Gestión MIPG,"/>
    <s v="Enero "/>
    <s v="Enero "/>
    <s v="Enero "/>
    <n v="11.5"/>
    <s v="Meses"/>
    <s v="Contratación directa - Prestación de servicios profesionales "/>
    <s v="Propios - 21 - Otros recursos de tesorería"/>
    <n v="82800000"/>
    <n v="82800000"/>
    <s v="No"/>
    <s v="N/A"/>
    <s v="Katherin Perez"/>
    <s v="Coordinador GIT Talento Humano"/>
    <n v="6012220601"/>
    <s v="katherin.perez@upme.gov.co"/>
    <n v="79200000"/>
    <n v="0"/>
    <n v="0"/>
    <n v="3600000"/>
    <n v="0"/>
    <n v="7200000"/>
    <n v="0"/>
    <n v="7200000"/>
    <n v="0"/>
    <n v="7200000"/>
    <n v="0"/>
    <n v="7200000"/>
    <n v="0"/>
    <n v="7200000"/>
    <n v="3600000"/>
    <n v="7200000"/>
    <n v="0"/>
    <n v="7200000"/>
    <n v="0"/>
    <n v="7200000"/>
    <n v="0"/>
    <n v="7200000"/>
    <n v="0"/>
    <n v="14400000"/>
    <n v="82800000"/>
    <n v="82800000"/>
    <n v="0"/>
    <n v="0"/>
    <s v="Prestar los servicios profesionales para asistir las actividades que fortalezcan la Gestión del Conocimiento por medio de la Dimensión del Talento Humano mediante la implementación de las políticas del Modelo Integrado de Planeación y Gestión MIPG, en esp"/>
    <n v="79200000"/>
    <m/>
    <m/>
    <n v="3600000"/>
    <m/>
    <n v="7200000"/>
    <m/>
    <n v="7200000"/>
    <m/>
    <n v="7200000"/>
    <m/>
    <n v="7200000"/>
    <m/>
    <n v="7200000"/>
    <n v="3600000"/>
    <n v="7200000"/>
    <m/>
    <n v="7200000"/>
    <m/>
    <n v="7200000"/>
    <m/>
    <n v="7200000"/>
    <m/>
    <n v="14400000"/>
    <m/>
    <m/>
    <n v="82800000"/>
    <n v="82800000"/>
    <n v="0"/>
    <n v="0"/>
    <n v="27526"/>
    <d v="2026-01-14T00:00:00"/>
    <n v="79200000"/>
    <n v="3600000"/>
    <n v="24626"/>
    <d v="2026-01-27T00:00:00"/>
    <n v="79200000"/>
    <n v="3600000"/>
    <n v="0"/>
    <s v="VARGAS SOTO EDGAR SAUL"/>
    <s v="CO1.PCCNTR.9107991"/>
    <n v="79200000"/>
    <m/>
    <m/>
    <m/>
    <n v="720000"/>
    <n v="720000"/>
    <m/>
    <n v="7200000"/>
    <n v="7200000"/>
    <m/>
    <n v="7200000"/>
    <n v="7200000"/>
    <m/>
    <m/>
    <m/>
    <m/>
    <m/>
    <m/>
    <m/>
    <m/>
    <m/>
    <m/>
    <m/>
    <m/>
    <m/>
    <m/>
    <m/>
    <m/>
    <m/>
    <m/>
    <m/>
    <m/>
    <m/>
    <m/>
    <m/>
    <m/>
    <n v="79200000"/>
    <n v="15120000"/>
    <n v="15120000"/>
    <n v="64080000"/>
    <n v="0"/>
    <x v="0"/>
  </r>
  <r>
    <x v="0"/>
    <x v="4"/>
    <s v="Fortalecimiento de la percepción de la ciudadanía frente a los productos y servicios prestados por la UPME nacional"/>
    <s v="Transversal"/>
    <s v="Sí"/>
    <s v="Sí"/>
    <n v="68"/>
    <s v="110-19"/>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19 Prestar los servicios profesionales para asistir y acompañar la gestión de la dimensión del Talento Humano, en su componente de selección, vinculación capacitación, gestión del Conocimiento, así como apoyar lo inherente a Evaluación de Desempeño, E"/>
    <s v="Enero "/>
    <s v="Enero "/>
    <s v="Enero "/>
    <n v="11.5"/>
    <s v="Meses"/>
    <s v="Contratación directa - Prestación de servicios profesionales "/>
    <s v="Propios - 21 - Otros recursos de tesorería"/>
    <n v="82800000"/>
    <n v="82800000"/>
    <s v="No"/>
    <s v="N/A"/>
    <s v="Katherin Perez"/>
    <s v="Coordinador GIT Talento Humano"/>
    <n v="6012220601"/>
    <s v="katherin.perez@upme.gov.co"/>
    <n v="82800000"/>
    <n v="0"/>
    <n v="0"/>
    <n v="3600000"/>
    <n v="0"/>
    <n v="7200000"/>
    <n v="0"/>
    <n v="7200000"/>
    <n v="0"/>
    <n v="7200000"/>
    <n v="0"/>
    <n v="7200000"/>
    <n v="0"/>
    <n v="7200000"/>
    <n v="0"/>
    <n v="7200000"/>
    <n v="0"/>
    <n v="7200000"/>
    <n v="0"/>
    <n v="7200000"/>
    <n v="0"/>
    <n v="7200000"/>
    <n v="0"/>
    <n v="14400000"/>
    <n v="82800000"/>
    <n v="82800000"/>
    <n v="0"/>
    <n v="0"/>
    <s v="Prestar los servicios profesionales para asistir y acompañar la gestión de la dimensión del Talento Humano, en su componente de selección, vinculación capacitación, gestión del Conocimiento, así como apoyar lo inherente a Evaluación de Desempeño, Evaluaci"/>
    <n v="82800000"/>
    <m/>
    <m/>
    <n v="3600000"/>
    <m/>
    <n v="7200000"/>
    <m/>
    <n v="7200000"/>
    <m/>
    <n v="7200000"/>
    <m/>
    <n v="7200000"/>
    <m/>
    <n v="7200000"/>
    <m/>
    <n v="7200000"/>
    <m/>
    <n v="7200000"/>
    <m/>
    <n v="7200000"/>
    <m/>
    <n v="7200000"/>
    <m/>
    <n v="14400000"/>
    <m/>
    <m/>
    <n v="82800000"/>
    <n v="82800000"/>
    <n v="0"/>
    <n v="0"/>
    <n v="9326"/>
    <d v="2026-01-06T00:00:00"/>
    <n v="82800000"/>
    <n v="0"/>
    <n v="8426"/>
    <d v="2026-01-13T00:00:00"/>
    <n v="82800000"/>
    <n v="0"/>
    <n v="0"/>
    <s v="GARCIA RUEDA PAOLA ANDREA"/>
    <s v="CO1.PCCNTR.8814412"/>
    <n v="82800000"/>
    <m/>
    <m/>
    <m/>
    <n v="4080000"/>
    <n v="4080000"/>
    <m/>
    <n v="7200000"/>
    <n v="7200000"/>
    <m/>
    <n v="7200000"/>
    <n v="7200000"/>
    <m/>
    <m/>
    <m/>
    <m/>
    <m/>
    <m/>
    <m/>
    <m/>
    <m/>
    <m/>
    <m/>
    <m/>
    <m/>
    <m/>
    <m/>
    <m/>
    <m/>
    <m/>
    <m/>
    <m/>
    <m/>
    <m/>
    <m/>
    <m/>
    <n v="82800000"/>
    <n v="18480000"/>
    <n v="18480000"/>
    <n v="64320000"/>
    <n v="0"/>
    <x v="0"/>
  </r>
  <r>
    <x v="0"/>
    <x v="4"/>
    <s v="Fortalecimiento de la percepción de la ciudadanía frente a los productos y servicios prestados por la UPME nacional"/>
    <s v="Transversal"/>
    <s v="Sí"/>
    <s v="Sí"/>
    <n v="3"/>
    <s v="110-20"/>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20 Prestar servicios profesionales para adelantar los asuntos jurídicos derivados de la gestión de talento humano de la Unidad de Planeación Minero Energética."/>
    <s v="Enero "/>
    <s v="Enero "/>
    <s v="Enero "/>
    <n v="11.5"/>
    <s v="Meses"/>
    <s v="Contratación directa - Prestación de servicios profesionales "/>
    <s v="Propios - 21 - Otros recursos de tesorería"/>
    <n v="37200000"/>
    <n v="37200000"/>
    <s v="No"/>
    <s v="N/A"/>
    <s v="Katherin Perez"/>
    <s v="Coordinador GIT Talento Humano"/>
    <n v="6012220601"/>
    <s v="katherin.perez@upme.gov.co"/>
    <n v="37200000"/>
    <n v="0"/>
    <n v="0"/>
    <n v="3100000"/>
    <n v="0"/>
    <n v="6200000"/>
    <n v="0"/>
    <n v="6200000"/>
    <n v="0"/>
    <n v="6200000"/>
    <n v="0"/>
    <n v="6200000"/>
    <n v="0"/>
    <n v="6200000"/>
    <n v="0"/>
    <n v="3100000"/>
    <n v="0"/>
    <n v="0"/>
    <n v="0"/>
    <n v="0"/>
    <n v="0"/>
    <n v="0"/>
    <n v="0"/>
    <n v="0"/>
    <n v="37200000"/>
    <n v="37200000"/>
    <n v="0"/>
    <n v="0"/>
    <s v="Prestar servicios profesionales para adelantar los asuntos jurídicos derivados de la gestión de talento humano de la Unidad de Planeación Minero Energética."/>
    <n v="37200000"/>
    <m/>
    <n v="0"/>
    <n v="3100000"/>
    <n v="0"/>
    <n v="6200000"/>
    <n v="0"/>
    <n v="6200000"/>
    <n v="0"/>
    <n v="6200000"/>
    <n v="0"/>
    <n v="6200000"/>
    <n v="0"/>
    <n v="6200000"/>
    <m/>
    <n v="3100000"/>
    <m/>
    <m/>
    <m/>
    <m/>
    <m/>
    <m/>
    <m/>
    <m/>
    <m/>
    <m/>
    <n v="37200000"/>
    <n v="37200000"/>
    <n v="0"/>
    <n v="0"/>
    <n v="28526"/>
    <d v="2026-01-14T00:00:00"/>
    <n v="37200000"/>
    <n v="0"/>
    <n v="17726"/>
    <d v="2026-01-22T00:00:00"/>
    <n v="37200000"/>
    <n v="0"/>
    <n v="0"/>
    <s v="SALAZAR ROCHA ANDREA LUCIA"/>
    <s v="CO1.PCCNTR.8993595"/>
    <n v="37200000"/>
    <m/>
    <m/>
    <m/>
    <n v="1653333"/>
    <n v="1653333"/>
    <m/>
    <n v="6200000"/>
    <n v="6200000"/>
    <m/>
    <n v="6200000"/>
    <n v="6200000"/>
    <m/>
    <m/>
    <m/>
    <m/>
    <m/>
    <m/>
    <m/>
    <m/>
    <m/>
    <m/>
    <m/>
    <m/>
    <m/>
    <m/>
    <m/>
    <m/>
    <m/>
    <m/>
    <m/>
    <m/>
    <m/>
    <m/>
    <m/>
    <m/>
    <n v="37200000"/>
    <n v="14053333"/>
    <n v="14053333"/>
    <n v="23146667"/>
    <n v="0"/>
    <x v="0"/>
  </r>
  <r>
    <x v="0"/>
    <x v="4"/>
    <s v="Fortalecimiento de la percepción de la ciudadanía frente a los productos y servicios prestados por la UPME nacional"/>
    <s v="Transversal"/>
    <s v="Sí"/>
    <s v="Sí"/>
    <n v="68"/>
    <s v="110-21"/>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21 Prestar servicios de apoyo técnico y administrativo a la Secretaría General y al Grupo Interno de Trabajo de Talento Humano de la UPME, en el desarrollo y ejecución de los procesos transversales del área, tales como gestión documental, actualizació"/>
    <s v="Enero "/>
    <s v="Enero "/>
    <s v="Enero "/>
    <n v="11.5"/>
    <s v="Meses"/>
    <s v="Contratación directa - Prestación de servicios profesionales "/>
    <s v="Propios - 21 - Otros recursos de tesorería"/>
    <n v="41825500"/>
    <n v="41825500"/>
    <s v="No"/>
    <s v="N/A"/>
    <s v="Katherin Perez"/>
    <s v="Coordinador GIT Talento Humano"/>
    <n v="6012220601"/>
    <s v="katherin.perez@upme.gov.co"/>
    <n v="40007000"/>
    <n v="0"/>
    <n v="0"/>
    <n v="1818500"/>
    <n v="0"/>
    <n v="3637000"/>
    <n v="0"/>
    <n v="3637000"/>
    <n v="0"/>
    <n v="3637000"/>
    <n v="0"/>
    <n v="3637000"/>
    <n v="0"/>
    <n v="3637000"/>
    <n v="1818500"/>
    <n v="3637000"/>
    <n v="0"/>
    <n v="3637000"/>
    <n v="0"/>
    <n v="3637000"/>
    <n v="0"/>
    <n v="3637000"/>
    <n v="0"/>
    <n v="7274000"/>
    <n v="41825500"/>
    <n v="41825500"/>
    <n v="0"/>
    <n v="0"/>
    <s v="Prestar servicios de apoyo técnico y administrativo a la Secretaría General y al Grupo Interno de Trabajo de Talento Humano de la UPME, en el desarrollo y ejecución de los procesos transversales del área, tales como gestión documental, actualización de ba"/>
    <n v="40007000"/>
    <m/>
    <m/>
    <n v="1818500"/>
    <m/>
    <n v="3637000"/>
    <m/>
    <n v="3637000"/>
    <m/>
    <n v="3637000"/>
    <m/>
    <n v="3637000"/>
    <m/>
    <n v="3637000"/>
    <n v="1818500"/>
    <n v="3637000"/>
    <m/>
    <n v="3637000"/>
    <m/>
    <n v="3637000"/>
    <m/>
    <n v="3637000"/>
    <m/>
    <n v="7274000"/>
    <m/>
    <m/>
    <n v="41825500"/>
    <n v="41825500"/>
    <n v="0"/>
    <n v="0"/>
    <n v="32026"/>
    <d v="2026-01-14T00:00:00"/>
    <n v="40007000"/>
    <n v="1818500"/>
    <n v="34826"/>
    <d v="2026-01-29T00:00:00"/>
    <n v="40007000"/>
    <n v="1818500"/>
    <n v="0"/>
    <s v="MEDINA GONZALEZ MAGNOLIA"/>
    <s v="CO1.PCCNTR.9182237"/>
    <n v="40007000"/>
    <m/>
    <m/>
    <m/>
    <m/>
    <m/>
    <m/>
    <m/>
    <m/>
    <m/>
    <m/>
    <m/>
    <m/>
    <m/>
    <m/>
    <m/>
    <m/>
    <m/>
    <m/>
    <m/>
    <m/>
    <m/>
    <m/>
    <m/>
    <m/>
    <m/>
    <m/>
    <m/>
    <m/>
    <m/>
    <m/>
    <m/>
    <m/>
    <m/>
    <m/>
    <m/>
    <n v="40007000"/>
    <n v="0"/>
    <n v="0"/>
    <n v="40007000"/>
    <n v="0"/>
    <x v="0"/>
  </r>
  <r>
    <x v="0"/>
    <x v="4"/>
    <s v="Fortalecimiento de la percepción de la ciudadanía frente a los productos y servicios prestados por la UPME nacional"/>
    <s v="Transversal"/>
    <s v="Sí"/>
    <s v="Sí"/>
    <n v="68"/>
    <s v="110-22"/>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22 Prestar servicios profesionales para apoyar la proyección, revisión y trámite de actos administrativos y demás actividades relacionadas con los procesos del área de talento humano de la UPME, conforme a los lineamientos de la entidad."/>
    <s v="Enero "/>
    <s v="Enero "/>
    <s v="Enero "/>
    <n v="7.5"/>
    <s v="Meses"/>
    <s v="Contratación directa - Prestación de servicios profesionales "/>
    <s v="Propios - 21 - Otros recursos de tesorería"/>
    <n v="26250000"/>
    <n v="26250000"/>
    <s v="No"/>
    <s v="N/A"/>
    <s v="Katherin Perez"/>
    <s v="Coordinador GIT Talento Humano"/>
    <n v="6012220601"/>
    <s v="katherin.perez@upme.gov.co"/>
    <n v="25955055"/>
    <n v="0"/>
    <n v="0"/>
    <n v="1750000"/>
    <n v="0"/>
    <n v="3500000"/>
    <n v="0"/>
    <n v="3500000"/>
    <n v="0"/>
    <n v="3500000"/>
    <n v="0"/>
    <n v="3500000"/>
    <n v="0"/>
    <n v="3500000"/>
    <n v="294945"/>
    <n v="3500000"/>
    <n v="0"/>
    <n v="3500000"/>
    <n v="0"/>
    <n v="0"/>
    <n v="0"/>
    <n v="0"/>
    <n v="0"/>
    <n v="0"/>
    <n v="26250000"/>
    <n v="26250000"/>
    <n v="0"/>
    <n v="0"/>
    <s v="Prestar servicios profesionales para apoyar la proyección, revisión y trámite de actos administrativos y demás actividades relacionadas con los procesos del área de talento humano de la UPME, conforme a los lineamientos de la entidad."/>
    <n v="25955055"/>
    <m/>
    <m/>
    <n v="1750000"/>
    <m/>
    <n v="3500000"/>
    <m/>
    <n v="3500000"/>
    <m/>
    <n v="3500000"/>
    <m/>
    <n v="3500000"/>
    <m/>
    <n v="3500000"/>
    <n v="294945"/>
    <n v="3500000"/>
    <m/>
    <n v="3500000"/>
    <m/>
    <m/>
    <m/>
    <m/>
    <m/>
    <m/>
    <m/>
    <m/>
    <n v="26250000"/>
    <n v="26250000"/>
    <n v="0"/>
    <n v="0"/>
    <n v="9226"/>
    <d v="2026-01-06T00:00:00"/>
    <n v="25955055"/>
    <n v="294945"/>
    <n v="11626"/>
    <d v="2026-01-19T00:00:00"/>
    <n v="25955055"/>
    <n v="294945"/>
    <n v="0"/>
    <s v="RODRIGUEZ REYES ZURY"/>
    <s v="CO1.PCCNTR.8879812"/>
    <n v="25955055"/>
    <m/>
    <m/>
    <m/>
    <n v="1204665"/>
    <n v="1204665"/>
    <m/>
    <n v="3285450"/>
    <n v="3285450"/>
    <m/>
    <n v="3285450"/>
    <n v="3285450"/>
    <m/>
    <m/>
    <m/>
    <m/>
    <m/>
    <m/>
    <m/>
    <m/>
    <m/>
    <m/>
    <m/>
    <m/>
    <m/>
    <m/>
    <m/>
    <m/>
    <m/>
    <m/>
    <m/>
    <m/>
    <m/>
    <m/>
    <m/>
    <m/>
    <n v="25955055"/>
    <n v="7775565"/>
    <n v="7775565"/>
    <n v="18179490"/>
    <n v="0"/>
    <x v="0"/>
  </r>
  <r>
    <x v="0"/>
    <x v="4"/>
    <s v="Fortalecimiento de la percepción de la ciudadanía frente a los productos y servicios prestados por la UPME nacional"/>
    <s v="Transversal"/>
    <s v="Sí"/>
    <s v="Sí"/>
    <n v="68"/>
    <s v="110-23"/>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23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11.5"/>
    <s v="Meses"/>
    <s v="Contratación directa - Prestación de servicios profesionales "/>
    <s v="Propios - 21 - Otros recursos de tesorería"/>
    <n v="30000000"/>
    <n v="30000000"/>
    <s v="No"/>
    <s v="N/A"/>
    <s v="Katherin Perez"/>
    <s v="Coordinador GIT Talento Humano"/>
    <n v="6012220601"/>
    <s v="katherin.perez@upme.gov.co"/>
    <n v="30000000"/>
    <n v="0"/>
    <n v="0"/>
    <n v="0"/>
    <n v="0"/>
    <n v="0"/>
    <n v="0"/>
    <n v="0"/>
    <n v="0"/>
    <n v="0"/>
    <n v="0"/>
    <n v="0"/>
    <n v="0"/>
    <n v="0"/>
    <n v="0"/>
    <n v="0"/>
    <n v="0"/>
    <n v="6000000"/>
    <n v="0"/>
    <n v="6000000"/>
    <n v="0"/>
    <n v="6000000"/>
    <n v="0"/>
    <n v="12000000"/>
    <n v="30000000"/>
    <n v="30000000"/>
    <n v="0"/>
    <n v="0"/>
    <s v="Prestar servicios profesionales para apoyar las actividades de fortalecimiento de la Política de Rendición de Cuentas, la Política de Participación Ciudadana en la Gestión y la Política de Servicio al Ciudadano de la UPME, en el marco del Modelo Integrado"/>
    <n v="30000000"/>
    <m/>
    <m/>
    <m/>
    <m/>
    <m/>
    <m/>
    <m/>
    <m/>
    <m/>
    <m/>
    <m/>
    <m/>
    <m/>
    <m/>
    <m/>
    <m/>
    <n v="6000000"/>
    <m/>
    <n v="6000000"/>
    <m/>
    <n v="6000000"/>
    <m/>
    <n v="12000000"/>
    <m/>
    <m/>
    <n v="30000000"/>
    <n v="30000000"/>
    <n v="0"/>
    <n v="0"/>
    <n v="3426"/>
    <d v="2026-01-05T00:00:00"/>
    <n v="30000000"/>
    <n v="0"/>
    <n v="14726"/>
    <d v="2026-01-21T00:00:00"/>
    <n v="30000000"/>
    <n v="0"/>
    <n v="0"/>
    <s v="ESPINOSA URIBE ADRIANA MILENA"/>
    <s v="CO1.PCCNTR.8898816"/>
    <n v="30000000"/>
    <m/>
    <m/>
    <m/>
    <m/>
    <m/>
    <m/>
    <m/>
    <m/>
    <m/>
    <m/>
    <m/>
    <m/>
    <m/>
    <m/>
    <m/>
    <m/>
    <m/>
    <m/>
    <m/>
    <m/>
    <m/>
    <m/>
    <m/>
    <m/>
    <m/>
    <m/>
    <m/>
    <m/>
    <m/>
    <m/>
    <m/>
    <m/>
    <m/>
    <m/>
    <m/>
    <n v="30000000"/>
    <n v="0"/>
    <n v="0"/>
    <n v="30000000"/>
    <n v="0"/>
    <x v="0"/>
  </r>
  <r>
    <x v="0"/>
    <x v="4"/>
    <s v="Fortalecimiento de la percepción de la ciudadanía frente a los productos y servicios prestados por la UPME nacional"/>
    <s v="Transversal"/>
    <s v="Sí"/>
    <s v="Sí"/>
    <n v="68"/>
    <s v="110-24"/>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24 Prestar servicios de apoyo a la gestión de Talento Humano, mediante el soporte operativo y documental requerido para la ejecución, organización, control y archivo de los procesos administrativos del área, contribuyendo al cumplimiento oportuno y ef"/>
    <s v="Enero "/>
    <s v="Enero "/>
    <s v="Enero "/>
    <n v="7"/>
    <s v="Meses"/>
    <s v="Contratación directa - Prestación de servicios profesionales "/>
    <s v="Propios - 21 - Otros recursos de tesorería"/>
    <n v="16346400"/>
    <n v="16346400"/>
    <s v="No"/>
    <s v="N/A"/>
    <s v="Katherin Perez"/>
    <s v="Coordinador GIT Talento Humano"/>
    <n v="6012220601"/>
    <s v="katherin.perez@upme.gov.co"/>
    <n v="16346400"/>
    <n v="0"/>
    <n v="0"/>
    <n v="1167600"/>
    <n v="0"/>
    <n v="2335200"/>
    <n v="0"/>
    <n v="2335200"/>
    <n v="0"/>
    <n v="2335200"/>
    <n v="0"/>
    <n v="2335200"/>
    <n v="0"/>
    <n v="2335200"/>
    <n v="0"/>
    <n v="2335200"/>
    <n v="0"/>
    <n v="1167600"/>
    <n v="0"/>
    <n v="0"/>
    <n v="0"/>
    <n v="0"/>
    <n v="0"/>
    <n v="0"/>
    <n v="16346400"/>
    <n v="16346400"/>
    <n v="0"/>
    <n v="0"/>
    <s v="Prestar servicios de apoyo a la gestión de Talento Humano, mediante el soporte operativo y documental requerido para la ejecución, organización, control y archivo de los procesos administrativos del área, contribuyendo al cumplimiento oportuno y eficiente"/>
    <n v="16346400"/>
    <m/>
    <m/>
    <n v="1167600"/>
    <m/>
    <n v="2335200"/>
    <m/>
    <n v="2335200"/>
    <m/>
    <n v="2335200"/>
    <m/>
    <n v="2335200"/>
    <m/>
    <n v="2335200"/>
    <m/>
    <n v="2335200"/>
    <m/>
    <n v="1167600"/>
    <m/>
    <m/>
    <m/>
    <m/>
    <m/>
    <m/>
    <m/>
    <m/>
    <n v="16346400"/>
    <n v="16346400"/>
    <n v="0"/>
    <n v="0"/>
    <n v="32326"/>
    <d v="2026-01-14T00:00:00"/>
    <n v="16346400"/>
    <n v="0"/>
    <n v="31126"/>
    <d v="2026-01-29T00:00:00"/>
    <n v="16346400"/>
    <n v="0"/>
    <n v="0"/>
    <s v="ARCINIEGAS YANGUMA ANGIE YULIED"/>
    <s v="CO1.PCCNTR.9108320"/>
    <n v="16346400"/>
    <m/>
    <m/>
    <m/>
    <m/>
    <m/>
    <m/>
    <n v="2413040"/>
    <n v="2413040"/>
    <m/>
    <n v="2335200"/>
    <n v="2335200"/>
    <m/>
    <m/>
    <m/>
    <m/>
    <m/>
    <m/>
    <m/>
    <m/>
    <m/>
    <m/>
    <m/>
    <m/>
    <m/>
    <m/>
    <m/>
    <m/>
    <m/>
    <m/>
    <m/>
    <m/>
    <m/>
    <m/>
    <m/>
    <m/>
    <n v="16346400"/>
    <n v="4748240"/>
    <n v="4748240"/>
    <n v="11598160"/>
    <n v="0"/>
    <x v="0"/>
  </r>
  <r>
    <x v="0"/>
    <x v="4"/>
    <s v="Fortalecimiento de la percepción de la ciudadanía frente a los productos y servicios prestados por la UPME nacional"/>
    <s v="Transversal"/>
    <s v="Sí"/>
    <s v="Sí"/>
    <n v="68"/>
    <s v="110-25"/>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25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1 - Otros recursos de tesorería"/>
    <n v="8472336"/>
    <n v="8472336"/>
    <s v="No"/>
    <s v="N/A"/>
    <s v="Katherin Perez"/>
    <s v="Coordinador GIT Talento Humano"/>
    <n v="6012220601"/>
    <s v="katherin.perez@upme.gov.co"/>
    <n v="8472336"/>
    <n v="0"/>
    <n v="0"/>
    <n v="3113500"/>
    <n v="0"/>
    <n v="5358836"/>
    <n v="0"/>
    <n v="0"/>
    <n v="0"/>
    <n v="0"/>
    <n v="0"/>
    <n v="0"/>
    <n v="0"/>
    <n v="0"/>
    <n v="0"/>
    <n v="0"/>
    <n v="0"/>
    <n v="0"/>
    <n v="0"/>
    <n v="0"/>
    <n v="0"/>
    <n v="0"/>
    <n v="0"/>
    <n v="0"/>
    <n v="8472336"/>
    <n v="8472336"/>
    <n v="0"/>
    <n v="0"/>
    <s v="Prestar servicios profesionales para apoyar la sustanciación y revisión de actos administrativos, respuestas a derechos de petición, conceptos y circulares adelantadas en la Secretaría General de la UPME."/>
    <n v="8472336"/>
    <m/>
    <m/>
    <n v="3113500"/>
    <m/>
    <n v="5358836"/>
    <m/>
    <m/>
    <m/>
    <m/>
    <m/>
    <m/>
    <m/>
    <m/>
    <m/>
    <m/>
    <m/>
    <m/>
    <m/>
    <m/>
    <m/>
    <m/>
    <m/>
    <m/>
    <m/>
    <m/>
    <n v="8472336"/>
    <n v="8472336"/>
    <n v="0"/>
    <n v="0"/>
    <n v="32426"/>
    <d v="2026-01-14T00:00:00"/>
    <n v="8472336"/>
    <n v="0"/>
    <n v="29026"/>
    <d v="2026-01-28T00:00:00"/>
    <n v="8472336"/>
    <n v="0"/>
    <n v="0"/>
    <s v="ZAMBRANO RIVERO DANIELA FERNANDA"/>
    <s v="CO1.PCCNTR.9010692"/>
    <n v="8472336"/>
    <m/>
    <m/>
    <m/>
    <n v="415133"/>
    <n v="415133"/>
    <m/>
    <n v="6227000"/>
    <n v="6227000"/>
    <m/>
    <n v="1830203"/>
    <n v="1830203"/>
    <m/>
    <m/>
    <m/>
    <m/>
    <m/>
    <m/>
    <m/>
    <m/>
    <m/>
    <m/>
    <m/>
    <m/>
    <m/>
    <m/>
    <m/>
    <m/>
    <m/>
    <m/>
    <m/>
    <m/>
    <m/>
    <m/>
    <m/>
    <m/>
    <n v="8472336"/>
    <n v="8472336"/>
    <n v="8472336"/>
    <n v="0"/>
    <n v="0"/>
    <x v="0"/>
  </r>
  <r>
    <x v="0"/>
    <x v="4"/>
    <s v="Fortalecimiento de la percepción de la ciudadanía frente a los productos y servicios prestados por la UPME nacional"/>
    <s v="Transversal"/>
    <s v="Sí"/>
    <s v="Sí"/>
    <n v="68"/>
    <s v="110-26"/>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26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0 - Ingresos corrientes"/>
    <n v="2814063"/>
    <n v="2814063"/>
    <s v="No"/>
    <s v="N/A"/>
    <s v="Katherin Perez"/>
    <s v="Coordinador GIT Talento Humano"/>
    <n v="6012220601"/>
    <s v="katherin.perez@upme.gov.co"/>
    <n v="0"/>
    <n v="0"/>
    <n v="2814063"/>
    <n v="0"/>
    <n v="0"/>
    <n v="868164"/>
    <n v="0"/>
    <n v="1945899"/>
    <n v="0"/>
    <n v="0"/>
    <n v="0"/>
    <n v="0"/>
    <n v="0"/>
    <n v="0"/>
    <n v="0"/>
    <n v="0"/>
    <n v="0"/>
    <n v="0"/>
    <n v="0"/>
    <n v="0"/>
    <n v="0"/>
    <n v="0"/>
    <n v="0"/>
    <n v="0"/>
    <n v="2814063"/>
    <n v="2814063"/>
    <n v="0"/>
    <n v="0"/>
    <s v="Prestar servicios profesionales para apoyar la sustanciación y revisión de actos administrativos, respuestas a derechos de petición, conceptos y circulares adelantadas en la Secretaría General de la UPME."/>
    <m/>
    <m/>
    <n v="2814063"/>
    <m/>
    <m/>
    <n v="868164"/>
    <m/>
    <n v="1945899"/>
    <m/>
    <m/>
    <m/>
    <m/>
    <m/>
    <m/>
    <m/>
    <m/>
    <m/>
    <m/>
    <m/>
    <m/>
    <m/>
    <m/>
    <m/>
    <m/>
    <m/>
    <m/>
    <n v="2814063"/>
    <n v="2814063"/>
    <n v="0"/>
    <n v="0"/>
    <n v="32426"/>
    <d v="2026-01-14T00:00:00"/>
    <m/>
    <n v="2814063"/>
    <m/>
    <m/>
    <n v="0"/>
    <n v="2814063"/>
    <n v="0"/>
    <m/>
    <m/>
    <m/>
    <m/>
    <m/>
    <m/>
    <m/>
    <m/>
    <m/>
    <m/>
    <m/>
    <m/>
    <m/>
    <m/>
    <m/>
    <m/>
    <m/>
    <m/>
    <m/>
    <m/>
    <m/>
    <m/>
    <m/>
    <m/>
    <m/>
    <m/>
    <m/>
    <m/>
    <m/>
    <m/>
    <m/>
    <m/>
    <m/>
    <m/>
    <m/>
    <m/>
    <m/>
    <m/>
    <n v="0"/>
    <n v="0"/>
    <n v="0"/>
    <n v="0"/>
    <n v="0"/>
    <x v="0"/>
  </r>
  <r>
    <x v="0"/>
    <x v="4"/>
    <s v="Fortalecimiento de la percepción de la ciudadanía frente a los productos y servicios prestados por la UPME nacional"/>
    <s v="Transversal"/>
    <s v="Sí"/>
    <s v="Sí"/>
    <n v="68"/>
    <s v="110-27"/>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s v="Prestación de servicios profesionales y/o de apoyo a la gestión"/>
    <s v="110-27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0 - Ingresos corrientes"/>
    <n v="60324101"/>
    <n v="60324101"/>
    <s v="No"/>
    <s v="N/A"/>
    <s v="Katherin Perez"/>
    <s v="Coordinador GIT Talento Humano"/>
    <n v="6012220601"/>
    <s v="katherin.perez@upme.gov.co"/>
    <n v="60024664"/>
    <n v="0"/>
    <n v="0"/>
    <n v="0"/>
    <n v="0"/>
    <n v="0"/>
    <n v="0"/>
    <n v="4281101"/>
    <n v="0"/>
    <n v="6227000"/>
    <n v="0"/>
    <n v="6227000"/>
    <n v="0"/>
    <n v="6227000"/>
    <n v="299437"/>
    <n v="6227000"/>
    <n v="0"/>
    <n v="6227000"/>
    <n v="0"/>
    <n v="6227000"/>
    <n v="0"/>
    <n v="6227000"/>
    <n v="0"/>
    <n v="12454000"/>
    <n v="60324101"/>
    <n v="60324101"/>
    <n v="0"/>
    <n v="0"/>
    <s v="Prestar servicios profesionales para apoyar la sustanciación y revisión de actos administrativos, respuestas a derechos de petición, conceptos y circulares adelantadas en la Secretaría General de la UPME."/>
    <n v="60024664"/>
    <m/>
    <m/>
    <m/>
    <m/>
    <m/>
    <m/>
    <n v="4281101"/>
    <m/>
    <n v="6227000"/>
    <m/>
    <n v="6227000"/>
    <m/>
    <n v="6227000"/>
    <n v="299437"/>
    <n v="6227000"/>
    <m/>
    <n v="6227000"/>
    <m/>
    <n v="6227000"/>
    <m/>
    <n v="6227000"/>
    <m/>
    <n v="12454000"/>
    <m/>
    <m/>
    <n v="60324101"/>
    <n v="60324101"/>
    <n v="0"/>
    <n v="0"/>
    <n v="32426"/>
    <d v="2026-01-14T00:00:00"/>
    <n v="60024664"/>
    <n v="299437"/>
    <n v="29026"/>
    <d v="2026-01-28T00:00:00"/>
    <n v="60024664"/>
    <n v="299437"/>
    <n v="0"/>
    <s v="ZAMBRANO RIVERO DANIELA FERNANDA"/>
    <s v="CO1.PCCNTR.9010692"/>
    <n v="60024664"/>
    <m/>
    <m/>
    <m/>
    <m/>
    <m/>
    <m/>
    <m/>
    <m/>
    <m/>
    <n v="4396797"/>
    <n v="4396797"/>
    <m/>
    <m/>
    <m/>
    <m/>
    <m/>
    <m/>
    <m/>
    <m/>
    <m/>
    <m/>
    <m/>
    <m/>
    <m/>
    <m/>
    <m/>
    <m/>
    <m/>
    <m/>
    <m/>
    <m/>
    <m/>
    <m/>
    <m/>
    <m/>
    <n v="60024664"/>
    <n v="4396797"/>
    <n v="4396797"/>
    <n v="55627867"/>
    <n v="0"/>
    <x v="0"/>
  </r>
  <r>
    <x v="0"/>
    <x v="4"/>
    <s v="Fortalecimiento de la percepción de la ciudadanía frente a los productos y servicios prestados por la UPME nacional"/>
    <s v="Transversal"/>
    <s v="Sí"/>
    <s v="Sí"/>
    <n v="68"/>
    <s v="110-28"/>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s v="Prestación de servicios profesionales y/o de apoyo a la gestión"/>
    <s v="110-28 Prestar servicios profesionales para apoyar la sustanciación y revisión de actos administrativos, respuestas a derechos de petición, conceptos, circulares; así como los procesos disciplinarios adelantados en la Secretaría General de la UPME"/>
    <s v="Enero "/>
    <s v="Enero "/>
    <s v="Enero "/>
    <n v="11.5"/>
    <s v="Meses"/>
    <s v="Contratación directa - Prestación de servicios profesionales "/>
    <s v="Propios - 20 - Ingresos corrientes"/>
    <n v="71610500"/>
    <n v="71610500"/>
    <s v="No"/>
    <s v="N/A"/>
    <s v="Katherin Perez"/>
    <s v="Coordinador GIT Talento Humano"/>
    <n v="6012220601"/>
    <s v="katherin.perez@upme.gov.co"/>
    <n v="68497000"/>
    <n v="0"/>
    <n v="0"/>
    <n v="3113500"/>
    <n v="0"/>
    <n v="6227000"/>
    <n v="0"/>
    <n v="6227000"/>
    <n v="0"/>
    <n v="6227000"/>
    <n v="0"/>
    <n v="6227000"/>
    <n v="0"/>
    <n v="6227000"/>
    <n v="3113500"/>
    <n v="6227000"/>
    <n v="0"/>
    <n v="6227000"/>
    <n v="0"/>
    <n v="6227000"/>
    <n v="0"/>
    <n v="6227000"/>
    <n v="0"/>
    <n v="12454000"/>
    <n v="71610500"/>
    <n v="71610500"/>
    <n v="0"/>
    <n v="0"/>
    <s v="Prestar servicios profesionales para apoyar la sustanciación y revisión de actos administrativos, respuestas a derechos de petición, conceptos, circulares; así como los procesos disciplinarios adelantados en la Secretaría General de la UPME"/>
    <n v="68497000"/>
    <m/>
    <m/>
    <n v="3113500"/>
    <m/>
    <n v="6227000"/>
    <m/>
    <n v="6227000"/>
    <m/>
    <n v="6227000"/>
    <m/>
    <n v="6227000"/>
    <m/>
    <n v="6227000"/>
    <n v="3113500"/>
    <n v="6227000"/>
    <m/>
    <n v="6227000"/>
    <m/>
    <n v="6227000"/>
    <m/>
    <n v="6227000"/>
    <m/>
    <n v="12454000"/>
    <m/>
    <m/>
    <n v="71610500"/>
    <n v="71610500"/>
    <n v="0"/>
    <n v="0"/>
    <n v="32526"/>
    <d v="2026-01-14T00:00:00"/>
    <n v="68497000"/>
    <n v="3113500"/>
    <n v="18826"/>
    <d v="2026-01-24T00:00:00"/>
    <n v="68497000"/>
    <n v="3113500"/>
    <n v="0"/>
    <s v="AMARIS ARIAS FLOR MARIA"/>
    <s v="CO1.PCCNTR.9005582"/>
    <n v="68497000"/>
    <m/>
    <m/>
    <m/>
    <n v="1037833"/>
    <n v="1037833"/>
    <m/>
    <n v="6227000"/>
    <n v="6227000"/>
    <m/>
    <n v="6227000"/>
    <n v="6227000"/>
    <m/>
    <m/>
    <m/>
    <m/>
    <m/>
    <m/>
    <m/>
    <m/>
    <m/>
    <m/>
    <m/>
    <m/>
    <m/>
    <m/>
    <m/>
    <m/>
    <m/>
    <m/>
    <m/>
    <m/>
    <m/>
    <m/>
    <m/>
    <m/>
    <n v="68497000"/>
    <n v="13491833"/>
    <n v="13491833"/>
    <n v="55005167"/>
    <n v="0"/>
    <x v="0"/>
  </r>
  <r>
    <x v="0"/>
    <x v="4"/>
    <s v="Fortalecimiento de la percepción de la ciudadanía frente a los productos y servicios prestados por la UPME nacional"/>
    <s v="Transversal"/>
    <s v="Sí"/>
    <s v="Sí"/>
    <n v="68"/>
    <s v="110-29"/>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s v="Prestación de servicios profesionales y/o de apoyo a la gestión"/>
    <s v="110-29 Prestar servicios de apoyo requeridos en gestión administrativa, documental, correspondencia y demás asuntos administrativos requeridos por la Upme."/>
    <s v="Enero "/>
    <s v="Enero "/>
    <s v="Enero "/>
    <n v="11.5"/>
    <s v="Meses"/>
    <s v="Contratación directa - Prestación de servicios profesionales "/>
    <s v="Propios - 20 - Ingresos corrientes"/>
    <n v="42504000"/>
    <n v="42504000"/>
    <s v="No"/>
    <s v="N/A"/>
    <s v="Jenny Peña"/>
    <s v="Coordinador GIT Administrativa"/>
    <n v="6012220601"/>
    <s v="jenny.pena@upme.gov.co"/>
    <n v="40968742"/>
    <n v="0"/>
    <n v="0"/>
    <n v="1848000"/>
    <n v="0"/>
    <n v="3696000"/>
    <n v="0"/>
    <n v="3696000"/>
    <n v="0"/>
    <n v="3696000"/>
    <n v="0"/>
    <n v="3696000"/>
    <n v="0"/>
    <n v="3696000"/>
    <n v="1535258"/>
    <n v="3696000"/>
    <n v="0"/>
    <n v="3696000"/>
    <n v="0"/>
    <n v="3696000"/>
    <n v="0"/>
    <n v="3696000"/>
    <n v="0"/>
    <n v="7392000"/>
    <n v="42504000"/>
    <n v="42504000"/>
    <n v="0"/>
    <n v="0"/>
    <s v="Prestar servicios de apoyo requeridos en gestión administrativa, documental, correspondencia y demás asuntos administrativos requeridos por la Upme."/>
    <n v="40968742"/>
    <m/>
    <m/>
    <n v="1848000"/>
    <m/>
    <n v="3696000"/>
    <m/>
    <n v="3696000"/>
    <m/>
    <n v="3696000"/>
    <m/>
    <n v="3696000"/>
    <m/>
    <n v="3696000"/>
    <n v="1535258"/>
    <n v="3696000"/>
    <m/>
    <n v="3696000"/>
    <m/>
    <n v="3696000"/>
    <m/>
    <n v="3696000"/>
    <m/>
    <n v="7392000"/>
    <m/>
    <m/>
    <n v="42504000"/>
    <n v="42504000"/>
    <n v="0"/>
    <n v="0"/>
    <n v="31326"/>
    <d v="2026-01-14T00:00:00"/>
    <n v="40968742"/>
    <n v="1535258"/>
    <n v="30426"/>
    <d v="2026-01-28T00:00:00"/>
    <n v="40968742"/>
    <n v="1535258"/>
    <n v="0"/>
    <s v="LEON VASQUEZ MAYELBI MILENA"/>
    <s v="CO1.PCCNTR.9092149"/>
    <n v="40968742"/>
    <m/>
    <m/>
    <m/>
    <n v="120496"/>
    <n v="120496"/>
    <m/>
    <n v="3614889"/>
    <n v="3614889"/>
    <m/>
    <n v="3614889"/>
    <n v="3614889"/>
    <m/>
    <m/>
    <m/>
    <m/>
    <m/>
    <m/>
    <m/>
    <m/>
    <m/>
    <m/>
    <m/>
    <m/>
    <m/>
    <m/>
    <m/>
    <m/>
    <m/>
    <m/>
    <m/>
    <m/>
    <m/>
    <m/>
    <m/>
    <m/>
    <n v="40968742"/>
    <n v="7350274"/>
    <n v="7350274"/>
    <n v="33618468"/>
    <n v="0"/>
    <x v="0"/>
  </r>
  <r>
    <x v="0"/>
    <x v="4"/>
    <s v="Fortalecimiento de la percepción de la ciudadanía frente a los productos y servicios prestados por la UPME nacional"/>
    <s v="Transversal"/>
    <s v="Sí"/>
    <s v="Sí"/>
    <n v="68"/>
    <s v="110-30"/>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s v="Prestación de servicios profesionales y/o de apoyo a la gestión"/>
    <s v="110-30 Prestar los servicios profesionales para realizar y apoyar las diferentes actividades que fortalezcan la gestión del conocimiento por medio de la implementación de las políticas del Modelo Integrado de Planeación y Gestión MIPG y la política de Ges"/>
    <s v="Enero "/>
    <s v="Enero "/>
    <s v="Enero "/>
    <n v="11.5"/>
    <s v="Meses"/>
    <s v="Contratación directa - Prestación de servicios profesionales "/>
    <s v="Propios - 20 - Ingresos corrientes"/>
    <n v="62445000"/>
    <n v="62445000"/>
    <s v="No"/>
    <s v="N/A"/>
    <s v="Katherin Perez"/>
    <s v="Coordinador GIT Talento Humano"/>
    <n v="6012220601"/>
    <s v="katherin.perez@upme.gov.co"/>
    <n v="62445000"/>
    <n v="0"/>
    <n v="0"/>
    <n v="2715000"/>
    <n v="0"/>
    <n v="5430000"/>
    <n v="0"/>
    <n v="5430000"/>
    <n v="0"/>
    <n v="5430000"/>
    <n v="0"/>
    <n v="5430000"/>
    <n v="0"/>
    <n v="5430000"/>
    <n v="0"/>
    <n v="5430000"/>
    <n v="0"/>
    <n v="5430000"/>
    <n v="0"/>
    <n v="5430000"/>
    <n v="0"/>
    <n v="5430000"/>
    <n v="0"/>
    <n v="10860000"/>
    <n v="62445000"/>
    <n v="62445000"/>
    <n v="0"/>
    <n v="0"/>
    <s v="Prestar los servicios profesionales para realizar y apoyar las diferentes actividades que fortalezcan la gestión del conocimiento por medio de la implementación de las políticas del Modelo Integrado de Planeación y Gestión MIPG y la política de Gestión de"/>
    <n v="62445000"/>
    <m/>
    <m/>
    <n v="2715000"/>
    <m/>
    <n v="5430000"/>
    <m/>
    <n v="5430000"/>
    <m/>
    <n v="5430000"/>
    <m/>
    <n v="5430000"/>
    <m/>
    <n v="5430000"/>
    <m/>
    <n v="5430000"/>
    <m/>
    <n v="5430000"/>
    <m/>
    <n v="5430000"/>
    <m/>
    <n v="5430000"/>
    <m/>
    <n v="10860000"/>
    <m/>
    <m/>
    <n v="62445000"/>
    <n v="62445000"/>
    <n v="0"/>
    <n v="0"/>
    <n v="9926"/>
    <d v="2026-01-07T00:00:00"/>
    <n v="62445000"/>
    <n v="0"/>
    <n v="8126"/>
    <d v="2026-01-13T00:00:00"/>
    <n v="62445000"/>
    <n v="0"/>
    <n v="0"/>
    <s v="BEDOYA GONZALEZ CRISTIAN ELIECER"/>
    <s v="CO1.PCCNTR.8804413"/>
    <n v="62445000"/>
    <m/>
    <m/>
    <m/>
    <n v="3077000"/>
    <n v="3077000"/>
    <m/>
    <n v="5430000"/>
    <n v="5430000"/>
    <m/>
    <n v="5430000"/>
    <n v="5430000"/>
    <m/>
    <m/>
    <m/>
    <m/>
    <m/>
    <m/>
    <m/>
    <m/>
    <m/>
    <m/>
    <m/>
    <m/>
    <m/>
    <m/>
    <m/>
    <m/>
    <m/>
    <m/>
    <m/>
    <m/>
    <m/>
    <m/>
    <m/>
    <m/>
    <n v="62445000"/>
    <n v="13937000"/>
    <n v="13937000"/>
    <n v="48508000"/>
    <n v="0"/>
    <x v="0"/>
  </r>
  <r>
    <x v="0"/>
    <x v="4"/>
    <s v="Fortalecimiento de la percepción de la ciudadanía frente a los productos y servicios prestados por la UPME nacional"/>
    <s v="Transversal"/>
    <s v="Sí"/>
    <s v="Sí"/>
    <n v="6"/>
    <s v="110-31"/>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s v="Adquisición de bienes y/o servicios (otros)"/>
    <s v="110-31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1.5"/>
    <s v="Meses"/>
    <s v="Contratación directa "/>
    <s v="Propios - 20 - Ingresos corrientes"/>
    <n v="150997373"/>
    <n v="150997373"/>
    <s v="No"/>
    <s v="N/A"/>
    <s v="Katherin Perez"/>
    <s v="Coordinador GIT Talento Humano"/>
    <n v="6012220601"/>
    <s v="katherin.perez@upme.gov.co"/>
    <n v="0"/>
    <n v="0"/>
    <n v="150997373"/>
    <n v="0"/>
    <n v="0"/>
    <n v="0"/>
    <n v="0"/>
    <n v="37749343"/>
    <n v="0"/>
    <n v="0"/>
    <n v="0"/>
    <n v="0"/>
    <n v="0"/>
    <n v="37749343"/>
    <n v="0"/>
    <n v="0"/>
    <n v="0"/>
    <n v="0"/>
    <n v="0"/>
    <n v="37749343"/>
    <n v="0"/>
    <n v="0"/>
    <n v="0"/>
    <n v="37749344"/>
    <n v="150997373"/>
    <n v="150997373"/>
    <n v="0"/>
    <n v="0"/>
    <s v="Contratar los servicios profesionales requeridos para gestionar el desarrollo de actividades formativas y de actualización en el marco del Plan Institucional de Capacitación (PIC) de la vigencia 2026, dirigido a las servidoras/es públicos de la Upme."/>
    <m/>
    <m/>
    <n v="150997373"/>
    <m/>
    <m/>
    <m/>
    <m/>
    <n v="37749343"/>
    <m/>
    <m/>
    <m/>
    <m/>
    <m/>
    <n v="37749343"/>
    <m/>
    <m/>
    <m/>
    <m/>
    <m/>
    <n v="37749343"/>
    <m/>
    <m/>
    <m/>
    <n v="37749344"/>
    <m/>
    <m/>
    <n v="150997373"/>
    <n v="150997373"/>
    <n v="0"/>
    <n v="0"/>
    <n v="50426"/>
    <d v="2026-01-20T00:00:00"/>
    <n v="150997373"/>
    <n v="0"/>
    <n v="51926"/>
    <d v="2026-02-09T00:00:00"/>
    <n v="150997373"/>
    <n v="0"/>
    <n v="0"/>
    <s v="UNIVERSIDAD NACIONAL DE COLOMBIA"/>
    <s v="CO1.PCCNTR.9275954"/>
    <m/>
    <m/>
    <m/>
    <n v="150997373"/>
    <m/>
    <m/>
    <m/>
    <m/>
    <m/>
    <m/>
    <m/>
    <m/>
    <m/>
    <m/>
    <m/>
    <m/>
    <m/>
    <m/>
    <m/>
    <m/>
    <m/>
    <m/>
    <m/>
    <m/>
    <m/>
    <m/>
    <m/>
    <m/>
    <m/>
    <m/>
    <m/>
    <m/>
    <m/>
    <m/>
    <m/>
    <m/>
    <n v="150997373"/>
    <n v="0"/>
    <n v="0"/>
    <n v="150997373"/>
    <n v="0"/>
    <x v="0"/>
  </r>
  <r>
    <x v="0"/>
    <x v="4"/>
    <s v="Fortalecimiento de la percepción de la ciudadanía frente a los productos y servicios prestados por la UPME nacional"/>
    <s v="Transversal"/>
    <s v="Sí"/>
    <s v="Sí"/>
    <n v="68"/>
    <s v="110-32"/>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s v="Prestación de servicios profesionales y/o de apoyo a la gestión"/>
    <s v="110-32 Contratar la aplicación de la Batería de Instrumentos para la Evaluación de Factores de Riesgo Psicosocial a los servidores de la Unidad de Planeación Minero Energética – UPME, así como el desarrollo de las acciones de intervención derivadas de los"/>
    <s v="Enero "/>
    <s v="Enero "/>
    <s v="Enero "/>
    <n v="3"/>
    <s v="Meses"/>
    <s v="Contratación directa - Prestación de servicios profesionales "/>
    <s v="Propios - 20 - Ingresos corrientes"/>
    <n v="12000000"/>
    <n v="12000000"/>
    <s v="No"/>
    <s v="N/A"/>
    <s v="Katherin Perez"/>
    <s v="Coordinador GIT Talento Humano"/>
    <n v="6012220601"/>
    <s v="katherin.perez@upme.gov.co"/>
    <n v="0"/>
    <n v="0"/>
    <n v="0"/>
    <n v="0"/>
    <n v="0"/>
    <n v="0"/>
    <n v="0"/>
    <n v="0"/>
    <n v="0"/>
    <n v="0"/>
    <n v="0"/>
    <n v="0"/>
    <n v="12000000"/>
    <n v="0"/>
    <n v="0"/>
    <n v="0"/>
    <n v="0"/>
    <n v="12000000"/>
    <n v="0"/>
    <n v="0"/>
    <n v="0"/>
    <n v="0"/>
    <n v="0"/>
    <n v="0"/>
    <n v="12000000"/>
    <n v="12000000"/>
    <n v="0"/>
    <n v="0"/>
    <s v="Contratar la aplicación de la Batería de Instrumentos para la Evaluación de Factores de Riesgo Psicosocial a los servidores de la Unidad de Planeación Minero Energética – UPME, así como el desarrollo de las acciones de intervención derivadas de los result"/>
    <m/>
    <m/>
    <m/>
    <m/>
    <m/>
    <m/>
    <m/>
    <m/>
    <m/>
    <m/>
    <m/>
    <m/>
    <n v="12000000"/>
    <m/>
    <m/>
    <m/>
    <m/>
    <n v="12000000"/>
    <m/>
    <m/>
    <m/>
    <m/>
    <m/>
    <m/>
    <m/>
    <m/>
    <n v="12000000"/>
    <n v="12000000"/>
    <n v="0"/>
    <n v="0"/>
    <m/>
    <m/>
    <m/>
    <n v="12000000"/>
    <m/>
    <m/>
    <n v="0"/>
    <n v="12000000"/>
    <n v="0"/>
    <m/>
    <m/>
    <m/>
    <m/>
    <m/>
    <m/>
    <m/>
    <m/>
    <m/>
    <m/>
    <m/>
    <m/>
    <m/>
    <m/>
    <m/>
    <m/>
    <m/>
    <m/>
    <m/>
    <m/>
    <m/>
    <m/>
    <m/>
    <m/>
    <m/>
    <m/>
    <m/>
    <m/>
    <m/>
    <m/>
    <m/>
    <m/>
    <m/>
    <m/>
    <m/>
    <m/>
    <m/>
    <m/>
    <n v="0"/>
    <n v="0"/>
    <n v="0"/>
    <n v="0"/>
    <n v="0"/>
    <x v="0"/>
  </r>
  <r>
    <x v="0"/>
    <x v="4"/>
    <s v="Fortalecimiento de la percepción de la ciudadanía frente a los productos y servicios prestados por la UPME nacional"/>
    <s v="Transversal"/>
    <s v="Sí"/>
    <s v="Sí"/>
    <n v="68"/>
    <s v="110-33"/>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s v="Prestación de servicios profesionales y/o de apoyo a la gestión"/>
    <s v="110-33 Prestación de servicios profesionales especializados para apoyar el fortalecimiento de competencias técnicas para la planeación institucional y la configuración de entornos de aprendizaje e intercambio asociados a las prácticas y a la información s"/>
    <s v="Enero "/>
    <s v="Enero "/>
    <s v="Enero "/>
    <n v="11"/>
    <s v="Meses"/>
    <s v="Contratación directa - Prestación de servicios profesionales "/>
    <s v="Propios - 20 - Ingresos corrientes"/>
    <n v="27864000"/>
    <n v="27864000"/>
    <s v="No"/>
    <s v="N/A"/>
    <s v="Katherin Perez"/>
    <s v="Coordinador GIT Talento Humano"/>
    <n v="6012220601"/>
    <s v="katherin.perez@upme.gov.co"/>
    <n v="0"/>
    <n v="0"/>
    <n v="0"/>
    <n v="0"/>
    <n v="0"/>
    <n v="0"/>
    <n v="0"/>
    <n v="0"/>
    <n v="0"/>
    <n v="0"/>
    <n v="0"/>
    <n v="0"/>
    <n v="0"/>
    <n v="0"/>
    <n v="27864000"/>
    <n v="5572800"/>
    <n v="0"/>
    <n v="5572800"/>
    <n v="0"/>
    <n v="5572800"/>
    <n v="0"/>
    <n v="5572800"/>
    <n v="0"/>
    <n v="5572800"/>
    <n v="27864000"/>
    <n v="27864000"/>
    <n v="0"/>
    <n v="0"/>
    <s v="Prestación de servicios profesionales especializados para apoyar el fortalecimiento de competencias técnicas para la planeación institucional y la configuración de entornos de aprendizaje e intercambio asociados a las prácticas y a la información sectoria"/>
    <m/>
    <m/>
    <m/>
    <m/>
    <m/>
    <m/>
    <m/>
    <m/>
    <m/>
    <m/>
    <m/>
    <m/>
    <m/>
    <m/>
    <n v="27864000"/>
    <n v="5572800"/>
    <m/>
    <n v="5572800"/>
    <m/>
    <n v="5572800"/>
    <m/>
    <n v="5572800"/>
    <m/>
    <n v="5572800"/>
    <m/>
    <m/>
    <n v="27864000"/>
    <n v="27864000"/>
    <n v="0"/>
    <n v="0"/>
    <n v="42026"/>
    <d v="2026-01-16T00:00:00"/>
    <m/>
    <n v="27864000"/>
    <m/>
    <m/>
    <n v="0"/>
    <n v="27864000"/>
    <n v="0"/>
    <m/>
    <m/>
    <m/>
    <m/>
    <m/>
    <m/>
    <m/>
    <m/>
    <m/>
    <m/>
    <m/>
    <m/>
    <m/>
    <m/>
    <m/>
    <m/>
    <m/>
    <m/>
    <m/>
    <m/>
    <m/>
    <m/>
    <m/>
    <m/>
    <m/>
    <m/>
    <m/>
    <m/>
    <m/>
    <m/>
    <m/>
    <m/>
    <m/>
    <m/>
    <m/>
    <m/>
    <m/>
    <m/>
    <n v="0"/>
    <n v="0"/>
    <n v="0"/>
    <n v="0"/>
    <n v="0"/>
    <x v="0"/>
  </r>
  <r>
    <x v="0"/>
    <x v="4"/>
    <s v="Fortalecimiento de la percepción de la ciudadanía frente a los productos y servicios prestados por la UPME nacional"/>
    <s v="Transversal"/>
    <s v="Sí"/>
    <s v="Sí"/>
    <n v="3"/>
    <s v="110-34"/>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s v="Prestación de servicios profesionales y/o de apoyo a la gestión"/>
    <s v="110-34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8.5"/>
    <s v="Meses"/>
    <s v="Contratación directa - Prestación de servicios profesionales "/>
    <s v="Propios - 21 - Otros recursos de tesorería"/>
    <n v="34100000"/>
    <n v="34100000"/>
    <s v="No"/>
    <s v="N/A"/>
    <s v="Mateo Severino"/>
    <s v="Jefe Oficina Jurídica"/>
    <n v="6012220601"/>
    <s v="mateo.severino@upme.gov.co"/>
    <n v="34100000"/>
    <n v="0"/>
    <n v="0"/>
    <n v="0"/>
    <n v="0"/>
    <n v="7200000"/>
    <n v="0"/>
    <n v="7200000"/>
    <n v="0"/>
    <n v="7200000"/>
    <n v="0"/>
    <n v="7200000"/>
    <n v="0"/>
    <n v="5300000"/>
    <n v="0"/>
    <n v="0"/>
    <n v="0"/>
    <n v="0"/>
    <n v="0"/>
    <n v="0"/>
    <n v="0"/>
    <n v="0"/>
    <n v="0"/>
    <n v="0"/>
    <n v="34100000"/>
    <n v="34100000"/>
    <n v="0"/>
    <n v="0"/>
    <s v="Prestar servicios profesionales para la proyección de documentos de contenido legal y apoyo de los asuntos de tipo jurídico y judicial de competencia la Oficina Asesora Jurídica de la UPME, en el marco de la gestión institucional de la Entidad."/>
    <n v="34100000"/>
    <m/>
    <m/>
    <m/>
    <m/>
    <n v="7200000"/>
    <m/>
    <n v="7200000"/>
    <m/>
    <n v="7200000"/>
    <m/>
    <n v="7200000"/>
    <m/>
    <n v="5300000"/>
    <m/>
    <m/>
    <m/>
    <m/>
    <m/>
    <m/>
    <m/>
    <m/>
    <m/>
    <m/>
    <m/>
    <m/>
    <n v="34100000"/>
    <n v="34100000"/>
    <n v="0"/>
    <n v="0"/>
    <n v="43326"/>
    <d v="2026-01-17T00:00:00"/>
    <n v="34100000"/>
    <n v="0"/>
    <n v="28026"/>
    <d v="2026-01-28T00:00:00"/>
    <n v="34100000"/>
    <n v="0"/>
    <n v="0"/>
    <s v="FIGUEROA RINCON JOSE RAFAEL"/>
    <s v="CO1.PCCNTR.9143017"/>
    <n v="34100000"/>
    <m/>
    <m/>
    <m/>
    <m/>
    <m/>
    <m/>
    <m/>
    <m/>
    <m/>
    <m/>
    <m/>
    <m/>
    <m/>
    <m/>
    <m/>
    <m/>
    <m/>
    <m/>
    <m/>
    <m/>
    <m/>
    <m/>
    <m/>
    <m/>
    <m/>
    <m/>
    <m/>
    <m/>
    <m/>
    <m/>
    <m/>
    <m/>
    <m/>
    <m/>
    <m/>
    <n v="34100000"/>
    <n v="0"/>
    <n v="0"/>
    <n v="34100000"/>
    <n v="0"/>
    <x v="0"/>
  </r>
  <r>
    <x v="0"/>
    <x v="4"/>
    <s v="Fortalecimiento de la percepción de la ciudadanía frente a los productos y servicios prestados por la UPME nacional"/>
    <s v="Transversal"/>
    <s v="Sí"/>
    <s v="Sí"/>
    <n v="3"/>
    <s v="110-35"/>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35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8.5"/>
    <s v="Meses"/>
    <s v="Contratación directa - Prestación de servicios profesionales "/>
    <s v="Propios - 20 - Ingresos corrientes"/>
    <n v="27100000"/>
    <n v="27100000"/>
    <s v="No"/>
    <s v="N/A"/>
    <s v="Mateo Severino"/>
    <s v="Jefe Oficina Jurídica"/>
    <n v="6012220601"/>
    <s v="mateo.severino@upme.gov.co"/>
    <n v="27100000"/>
    <n v="0"/>
    <n v="0"/>
    <n v="0"/>
    <n v="0"/>
    <n v="0"/>
    <n v="0"/>
    <n v="0"/>
    <n v="0"/>
    <n v="0"/>
    <n v="0"/>
    <n v="0"/>
    <n v="0"/>
    <n v="1900000"/>
    <n v="0"/>
    <n v="7200000"/>
    <n v="0"/>
    <n v="7200000"/>
    <n v="0"/>
    <n v="7200000"/>
    <n v="0"/>
    <n v="3600000"/>
    <n v="0"/>
    <n v="0"/>
    <n v="27100000"/>
    <n v="27100000"/>
    <n v="0"/>
    <n v="0"/>
    <s v="Prestar servicios profesionales para la proyección de documentos de contenido legal y apoyo de los asuntos de tipo jurídico y judicial de competencia la Oficina Asesora Jurídica de la UPME, en el marco de la gestión institucional de la Entidad."/>
    <n v="27100000"/>
    <m/>
    <m/>
    <m/>
    <m/>
    <m/>
    <m/>
    <m/>
    <m/>
    <m/>
    <m/>
    <m/>
    <m/>
    <n v="1900000"/>
    <m/>
    <n v="7200000"/>
    <m/>
    <n v="7200000"/>
    <m/>
    <n v="7200000"/>
    <m/>
    <n v="3600000"/>
    <m/>
    <m/>
    <m/>
    <m/>
    <n v="27100000"/>
    <n v="27100000"/>
    <n v="0"/>
    <n v="0"/>
    <n v="43326"/>
    <d v="2026-01-17T00:00:00"/>
    <n v="27100000"/>
    <n v="0"/>
    <n v="28026"/>
    <d v="2026-01-28T00:00:00"/>
    <n v="27100000"/>
    <n v="0"/>
    <n v="0"/>
    <s v="FIGUEROA RINCON JOSE RAFAEL"/>
    <s v="CO1.PCCNTR.9143017"/>
    <n v="27100000"/>
    <m/>
    <m/>
    <m/>
    <m/>
    <m/>
    <m/>
    <n v="7440000"/>
    <n v="7440000"/>
    <m/>
    <n v="7200000"/>
    <n v="7200000"/>
    <m/>
    <m/>
    <m/>
    <m/>
    <m/>
    <m/>
    <m/>
    <m/>
    <m/>
    <m/>
    <m/>
    <m/>
    <m/>
    <m/>
    <m/>
    <m/>
    <m/>
    <m/>
    <m/>
    <m/>
    <m/>
    <m/>
    <m/>
    <m/>
    <n v="27100000"/>
    <n v="14640000"/>
    <n v="14640000"/>
    <n v="12460000"/>
    <n v="0"/>
    <x v="0"/>
  </r>
  <r>
    <x v="0"/>
    <x v="4"/>
    <s v="Fortalecimiento de la percepción de la ciudadanía frente a los productos y servicios prestados por la UPME nacional"/>
    <s v="Transversal"/>
    <s v="Sí"/>
    <s v="Sí"/>
    <n v="5"/>
    <s v="110-36"/>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36 Prestar servicios profesionales para apoyar la sustanciación de actos administrativos, respuestas a derechos de petición y circulares adelantadas en la Secretaría General de la UPME."/>
    <s v="Enero "/>
    <s v="Enero "/>
    <s v="Enero "/>
    <n v="6"/>
    <s v="Meses"/>
    <s v="Contratación directa - Prestación de servicios profesionales "/>
    <s v="Propios - 20 - Ingresos corrientes"/>
    <n v="31000000"/>
    <n v="31000000"/>
    <s v="No"/>
    <s v="N/A"/>
    <s v="Katherin Perez"/>
    <s v="Coordinador GIT Talento Humano"/>
    <n v="6012220601"/>
    <s v="katherin.perez@upme.gov.co"/>
    <n v="0"/>
    <n v="0"/>
    <n v="31000000"/>
    <n v="0"/>
    <n v="0"/>
    <n v="5166600"/>
    <n v="0"/>
    <n v="5166600"/>
    <n v="0"/>
    <n v="5166600"/>
    <n v="0"/>
    <n v="5166600"/>
    <n v="0"/>
    <n v="5166600"/>
    <n v="0"/>
    <n v="5167000"/>
    <n v="0"/>
    <n v="0"/>
    <n v="0"/>
    <n v="0"/>
    <n v="0"/>
    <n v="0"/>
    <n v="0"/>
    <n v="0"/>
    <n v="31000000"/>
    <n v="31000000"/>
    <n v="0"/>
    <n v="0"/>
    <s v="Prestar servicios profesionales para apoyar la sustanciación de actos administrativos, respuestas a derechos de petición y circulares adelantadas en la Secretaría General de la UPME."/>
    <m/>
    <m/>
    <n v="31000000"/>
    <m/>
    <m/>
    <n v="5166600"/>
    <m/>
    <n v="5166600"/>
    <m/>
    <n v="5166600"/>
    <m/>
    <n v="5166600"/>
    <m/>
    <n v="5166600"/>
    <m/>
    <n v="5167000"/>
    <m/>
    <m/>
    <m/>
    <m/>
    <m/>
    <m/>
    <m/>
    <m/>
    <m/>
    <m/>
    <n v="31000000"/>
    <n v="31000000"/>
    <n v="0"/>
    <n v="0"/>
    <n v="50226"/>
    <d v="2026-01-20T00:00:00"/>
    <n v="29250000"/>
    <n v="1750000"/>
    <n v="57126"/>
    <d v="2026-02-10T00:00:00"/>
    <n v="29250000"/>
    <n v="1750000"/>
    <n v="0"/>
    <s v="RUGE ARCINIEGAS MARIA CAMILA"/>
    <s v="CO1.PCCNTR.9304468"/>
    <m/>
    <m/>
    <m/>
    <n v="29250000"/>
    <m/>
    <m/>
    <m/>
    <m/>
    <m/>
    <m/>
    <m/>
    <m/>
    <m/>
    <m/>
    <m/>
    <m/>
    <m/>
    <m/>
    <m/>
    <m/>
    <m/>
    <m/>
    <m/>
    <m/>
    <m/>
    <m/>
    <m/>
    <m/>
    <m/>
    <m/>
    <m/>
    <m/>
    <m/>
    <m/>
    <m/>
    <m/>
    <n v="29250000"/>
    <n v="0"/>
    <n v="0"/>
    <n v="29250000"/>
    <n v="0"/>
    <x v="0"/>
  </r>
  <r>
    <x v="0"/>
    <x v="4"/>
    <s v="Fortalecimiento de la percepción de la ciudadanía frente a los productos y servicios prestados por la UPME nacional"/>
    <s v="Transversal"/>
    <s v="Sí"/>
    <s v="Sí"/>
    <n v="10"/>
    <s v="110-37"/>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37 Prestar los servicios profesionales para la evaluación, validación y emisión de los conceptos técnicos y financieros de los proyectos energéticos presentados a los mecanismos y/o fondos para el acceso a recursos del sector minas y energía."/>
    <s v="Enero "/>
    <s v="Enero "/>
    <s v="Enero "/>
    <n v="10"/>
    <s v="Meses"/>
    <s v="Contratación directa - Prestación de servicios profesionales "/>
    <s v="Propios - 20 - Ingresos corrientes"/>
    <n v="50000000"/>
    <n v="50000000"/>
    <s v="No"/>
    <s v="N/A"/>
    <s v="Katherin Perez"/>
    <s v="Coordinador GIT Talento Humano"/>
    <n v="6012220601"/>
    <s v="katherin.perez@upme.gov.co"/>
    <n v="0"/>
    <n v="0"/>
    <n v="50000000"/>
    <n v="0"/>
    <n v="0"/>
    <n v="5000000"/>
    <n v="0"/>
    <n v="5000000"/>
    <n v="0"/>
    <n v="5000000"/>
    <n v="0"/>
    <n v="5000000"/>
    <n v="0"/>
    <n v="5000000"/>
    <n v="0"/>
    <n v="5000000"/>
    <n v="0"/>
    <n v="5000000"/>
    <n v="0"/>
    <n v="5000000"/>
    <n v="0"/>
    <n v="5000000"/>
    <n v="0"/>
    <n v="5000000"/>
    <n v="50000000"/>
    <n v="50000000"/>
    <n v="0"/>
    <n v="0"/>
    <s v="Prestar los servicios profesionales para la evaluación, validación y emisión de los conceptos técnicos y financieros de los proyectos energéticos presentados a los mecanismos y/o fondos para el acceso a recursos del sector minas y energía."/>
    <m/>
    <m/>
    <n v="50000000"/>
    <m/>
    <m/>
    <n v="5000000"/>
    <m/>
    <n v="5000000"/>
    <m/>
    <n v="5000000"/>
    <m/>
    <n v="5000000"/>
    <m/>
    <n v="5000000"/>
    <m/>
    <n v="5000000"/>
    <m/>
    <n v="5000000"/>
    <m/>
    <n v="5000000"/>
    <m/>
    <n v="5000000"/>
    <m/>
    <n v="5000000"/>
    <m/>
    <m/>
    <n v="50000000"/>
    <n v="50000000"/>
    <n v="0"/>
    <n v="0"/>
    <n v="67826"/>
    <d v="2026-01-30T00:00:00"/>
    <n v="49500000"/>
    <n v="500000"/>
    <n v="54526"/>
    <d v="2026-02-10T00:00:00"/>
    <n v="49500000"/>
    <n v="500000"/>
    <n v="0"/>
    <s v="PACHECO PEÑA VICTOR HUGO"/>
    <s v="CO1.PCCNTR.9308430"/>
    <m/>
    <m/>
    <m/>
    <n v="49500000"/>
    <m/>
    <m/>
    <m/>
    <n v="3666667"/>
    <n v="3666667"/>
    <m/>
    <n v="5500000"/>
    <n v="5500000"/>
    <m/>
    <m/>
    <m/>
    <m/>
    <m/>
    <m/>
    <m/>
    <m/>
    <m/>
    <m/>
    <m/>
    <m/>
    <m/>
    <m/>
    <m/>
    <m/>
    <m/>
    <m/>
    <m/>
    <m/>
    <m/>
    <m/>
    <m/>
    <m/>
    <n v="49500000"/>
    <n v="9166667"/>
    <n v="9166667"/>
    <n v="40333333"/>
    <n v="0"/>
    <x v="0"/>
  </r>
  <r>
    <x v="0"/>
    <x v="4"/>
    <s v="Fortalecimiento de la percepción de la ciudadanía frente a los productos y servicios prestados por la UPME nacional"/>
    <s v="Transversal"/>
    <s v="Sí"/>
    <s v="Sí"/>
    <n v="10"/>
    <s v="110-38"/>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s v="Prestación de servicios profesionales y/o de apoyo a la gestión"/>
    <s v="110-38 Prestar servicios profesionales de apoyo administrativo, incluyendo la organización y sistematización de la información, el control y seguimiento de entregables, así como la elaboración, generación y consolidación de informes y reportes institucion"/>
    <s v="Enero "/>
    <s v="Enero "/>
    <s v="Enero "/>
    <n v="10"/>
    <s v="Meses"/>
    <s v="Contratación directa - Prestación de servicios profesionales "/>
    <s v="Propios - 20 - Ingresos corrientes"/>
    <n v="50000000"/>
    <n v="50000000"/>
    <s v="No"/>
    <s v="N/A"/>
    <s v="Katherin Perez"/>
    <s v="Coordinador GIT Talento Humano"/>
    <n v="6012220601"/>
    <s v="katherin.perez@upme.gov.co"/>
    <n v="0"/>
    <n v="0"/>
    <n v="0"/>
    <n v="0"/>
    <n v="0"/>
    <n v="0"/>
    <n v="0"/>
    <n v="0"/>
    <n v="0"/>
    <n v="0"/>
    <n v="0"/>
    <n v="0"/>
    <n v="50000000"/>
    <n v="0"/>
    <n v="0"/>
    <n v="10000000"/>
    <n v="0"/>
    <n v="10000000"/>
    <n v="0"/>
    <n v="10000000"/>
    <n v="0"/>
    <n v="10000000"/>
    <n v="0"/>
    <n v="10000000"/>
    <n v="50000000"/>
    <n v="50000000"/>
    <n v="0"/>
    <n v="0"/>
    <s v="Prestar servicios profesionales de apoyo administrativo, incluyendo la organización y sistematización de la información, el control y seguimiento de entregables, así como la elaboración, generación y consolidación de informes y reportes institucionales de"/>
    <m/>
    <m/>
    <m/>
    <m/>
    <m/>
    <m/>
    <m/>
    <m/>
    <m/>
    <m/>
    <m/>
    <m/>
    <n v="50000000"/>
    <m/>
    <m/>
    <n v="10000000"/>
    <m/>
    <n v="10000000"/>
    <m/>
    <n v="10000000"/>
    <m/>
    <n v="10000000"/>
    <m/>
    <n v="10000000"/>
    <m/>
    <m/>
    <n v="50000000"/>
    <n v="50000000"/>
    <n v="0"/>
    <n v="0"/>
    <n v="67726"/>
    <d v="2026-01-30T00:00:00"/>
    <m/>
    <n v="50000000"/>
    <m/>
    <m/>
    <n v="0"/>
    <n v="50000000"/>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1"/>
    <s v="Mejorar la representatividad en la información de la participación de los sectores económicos en el consumo de energía."/>
    <s v="Documentos de Planeación"/>
    <s v="Diagnóstico"/>
    <n v="80111620"/>
    <s v="C-2106-1900-13-40302B-2106003-02"/>
    <s v="Prestación de servicios profesionales y/o de apoyo a la gestión"/>
    <s v="160-1 Prestar servicios profesionales para apoyar la construcción del componente de cambio climático, incluyendo la evaluación de emisiones de Gases de Efecto Invernadero, GEI,  el Balance Energético Colombiano, BECO, y los planes y programas que desarrol"/>
    <s v="Enero "/>
    <s v="Enero "/>
    <s v="Enero "/>
    <n v="11.5"/>
    <s v="Meses"/>
    <s v="Contratación directa - Prestación de servicios profesionales "/>
    <s v="Propios - 20 - Ingresos corrientes"/>
    <n v="138000000"/>
    <n v="138000000"/>
    <s v="No"/>
    <s v="N/A"/>
    <s v="Johanna Castellanos"/>
    <s v="Subdirectora de Demanda"/>
    <n v="6012220601"/>
    <s v="johanna.castellanos@upme.gov.co"/>
    <n v="0"/>
    <n v="0"/>
    <n v="126000000"/>
    <n v="0"/>
    <n v="0"/>
    <n v="10000000"/>
    <n v="0"/>
    <n v="12000000"/>
    <n v="0"/>
    <n v="12000000"/>
    <n v="0"/>
    <n v="12000000"/>
    <n v="0"/>
    <n v="12000000"/>
    <n v="0"/>
    <n v="12000000"/>
    <n v="0"/>
    <n v="12000000"/>
    <n v="0"/>
    <n v="12000000"/>
    <n v="0"/>
    <n v="12000000"/>
    <n v="12000000"/>
    <n v="32000000"/>
    <n v="138000000"/>
    <n v="138000000"/>
    <n v="0"/>
    <n v="0"/>
    <s v="Prestar servicios profesionales para apoyar la construcción del componente de cambio climático, incluyendo la evaluación de emisiones de Gases de Efecto Invernadero, GEI,  el Balance Energético Colombiano, BECO, y los planes y programas que desarrolla la "/>
    <m/>
    <m/>
    <n v="126000000"/>
    <m/>
    <m/>
    <n v="10000000"/>
    <m/>
    <n v="12000000"/>
    <m/>
    <n v="12000000"/>
    <m/>
    <n v="12000000"/>
    <m/>
    <n v="12000000"/>
    <m/>
    <n v="12000000"/>
    <m/>
    <n v="12000000"/>
    <m/>
    <n v="12000000"/>
    <m/>
    <n v="12000000"/>
    <n v="12000000"/>
    <n v="32000000"/>
    <m/>
    <m/>
    <n v="138000000"/>
    <n v="138000000"/>
    <n v="0"/>
    <n v="0"/>
    <n v="48826"/>
    <d v="2026-01-19T00:00:00"/>
    <n v="138000000"/>
    <n v="0"/>
    <n v="49726"/>
    <d v="2026-02-09T00:00:00"/>
    <n v="132000000"/>
    <n v="6000000"/>
    <n v="6000000"/>
    <s v="ENRIQUEZ ENRIQUEZ MARYENI KARINA"/>
    <s v=". CO1.PCCNTR.9297347"/>
    <m/>
    <m/>
    <m/>
    <n v="132000000"/>
    <m/>
    <m/>
    <m/>
    <n v="10000000"/>
    <n v="10000000"/>
    <m/>
    <n v="12000000"/>
    <n v="12000000"/>
    <m/>
    <m/>
    <m/>
    <m/>
    <m/>
    <m/>
    <m/>
    <m/>
    <m/>
    <m/>
    <m/>
    <m/>
    <m/>
    <m/>
    <m/>
    <m/>
    <m/>
    <m/>
    <m/>
    <m/>
    <m/>
    <m/>
    <m/>
    <m/>
    <n v="132000000"/>
    <n v="22000000"/>
    <n v="22000000"/>
    <n v="110000000"/>
    <n v="0"/>
    <x v="0"/>
  </r>
  <r>
    <x v="0"/>
    <x v="5"/>
    <s v="Fortalecimiento del sector en la planificación de la atención de la demanda energética nacional y la transición energética justa a nivel nacional"/>
    <s v="Demanda"/>
    <s v="Sí"/>
    <s v="Sí"/>
    <n v="68"/>
    <s v="160-2"/>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2 Prestar servicios profesionales para apoyar la definición, estructuración e implementación de la arquitectura de datos e información relacionada con los procesos de la Subdirección de Demanda, incluyendo actividades de analítica de datos mediante he"/>
    <s v="Enero "/>
    <s v="Enero "/>
    <s v="Enero "/>
    <n v="11.5"/>
    <s v="Meses"/>
    <s v="Contratación directa - Prestación de servicios profesionales "/>
    <s v="Propios - 21 - Otros recursos de tesorería"/>
    <n v="145750000"/>
    <n v="145750000"/>
    <s v="No"/>
    <s v="N/A"/>
    <s v="Johanna Castellanos"/>
    <s v="Subdirectora de Demanda"/>
    <n v="6012220602"/>
    <s v="johanna.castellanos@upme.gov.co"/>
    <n v="143750000"/>
    <n v="0"/>
    <n v="0"/>
    <n v="6336956"/>
    <n v="0"/>
    <n v="12673913"/>
    <n v="0"/>
    <n v="12673913"/>
    <n v="0"/>
    <n v="12673913"/>
    <n v="0"/>
    <n v="12673913"/>
    <n v="0"/>
    <n v="12673913"/>
    <n v="0"/>
    <n v="12673913"/>
    <n v="0"/>
    <n v="12673913"/>
    <n v="0"/>
    <n v="12673913"/>
    <n v="1000000"/>
    <n v="12673913"/>
    <n v="1000000"/>
    <n v="25347827"/>
    <n v="145750000"/>
    <n v="145750000"/>
    <n v="0"/>
    <n v="0"/>
    <s v="Prestar servicios profesionales para apoyar la definición, estructuración e implementación de la arquitectura de datos e información relacionada con los procesos de la Subdirección de Demanda, incluyendo actividades de analítica de datos mediante herramie"/>
    <n v="143750000"/>
    <m/>
    <m/>
    <n v="6336956"/>
    <m/>
    <n v="12673913"/>
    <m/>
    <n v="12673913"/>
    <m/>
    <n v="12673913"/>
    <m/>
    <n v="12673913"/>
    <m/>
    <n v="12673913"/>
    <m/>
    <n v="12673913"/>
    <m/>
    <n v="12673913"/>
    <m/>
    <n v="12673913"/>
    <n v="1000000"/>
    <n v="12673913"/>
    <n v="1000000"/>
    <n v="25347827"/>
    <m/>
    <m/>
    <n v="145750000"/>
    <n v="145750000"/>
    <n v="0"/>
    <n v="0"/>
    <n v="8826"/>
    <d v="2026-01-06T00:00:00"/>
    <n v="143333333"/>
    <n v="2416667"/>
    <n v="10526"/>
    <d v="2026-01-16T00:00:00"/>
    <n v="143333333"/>
    <n v="2416667"/>
    <n v="0"/>
    <s v="BEDOYA RODRIGUEZ CRISTIAN DAVID"/>
    <s v="CO1.PCCNTR.8883369"/>
    <n v="143750000"/>
    <m/>
    <m/>
    <n v="-416667"/>
    <n v="5833333"/>
    <n v="5833333"/>
    <m/>
    <n v="12500000"/>
    <n v="12500000"/>
    <m/>
    <n v="12500000"/>
    <n v="12500000"/>
    <m/>
    <m/>
    <m/>
    <m/>
    <m/>
    <m/>
    <m/>
    <m/>
    <m/>
    <m/>
    <m/>
    <m/>
    <m/>
    <m/>
    <m/>
    <m/>
    <m/>
    <m/>
    <m/>
    <m/>
    <m/>
    <m/>
    <m/>
    <m/>
    <n v="143333333"/>
    <n v="30833333"/>
    <n v="30833333"/>
    <n v="112500000"/>
    <n v="0"/>
    <x v="0"/>
  </r>
  <r>
    <x v="0"/>
    <x v="5"/>
    <s v="Fortalecimiento del sector en la planificación de la atención de la demanda energética nacional y la transición energética justa a nivel nacional"/>
    <s v="Demanda"/>
    <s v="Sí"/>
    <s v="Sí"/>
    <n v="68"/>
    <s v="160-3"/>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3 Prestar servicios profesionales para la asesoría y los análisis energéticos, así como prospectivos desarrollados para la Subdirección de Demanda, con énfasis en las cadenas de distribución de hidrocarburos, combustibles líquidos y gas, para fortalec"/>
    <s v="Enero "/>
    <s v="Enero "/>
    <s v="Enero "/>
    <n v="11.5"/>
    <s v="Meses"/>
    <s v="Contratación directa - Prestación de servicios profesionales "/>
    <s v="Propios - 21 - Otros recursos de tesorería"/>
    <n v="115000000"/>
    <n v="115000000"/>
    <s v="No"/>
    <s v="N/A"/>
    <s v="Johanna Castellanos"/>
    <s v="Subdirectora de Demanda"/>
    <n v="6012220603"/>
    <s v="johanna.castellanos@upme.gov.co"/>
    <n v="0"/>
    <n v="0"/>
    <n v="110000000"/>
    <n v="0"/>
    <n v="0"/>
    <n v="8333333"/>
    <n v="0"/>
    <n v="10000000"/>
    <n v="0"/>
    <n v="10000000"/>
    <n v="0"/>
    <n v="10000000"/>
    <n v="0"/>
    <n v="10000000"/>
    <n v="0"/>
    <n v="10000000"/>
    <n v="0"/>
    <n v="10000000"/>
    <n v="0"/>
    <n v="10000000"/>
    <n v="0"/>
    <n v="10000000"/>
    <n v="5000000"/>
    <n v="26666667"/>
    <n v="115000000"/>
    <n v="115000000"/>
    <n v="0"/>
    <n v="0"/>
    <s v="Prestar servicios profesionales para la asesoría y los análisis energéticos, así como prospectivos desarrollados para la Subdirección de Demanda, con énfasis en las cadenas de distribución de hidrocarburos, combustibles líquidos y gas, para fortalecer la "/>
    <m/>
    <m/>
    <n v="110000000"/>
    <m/>
    <m/>
    <n v="8333333"/>
    <m/>
    <n v="10000000"/>
    <m/>
    <n v="10000000"/>
    <m/>
    <n v="10000000"/>
    <m/>
    <n v="10000000"/>
    <m/>
    <n v="10000000"/>
    <m/>
    <n v="10000000"/>
    <m/>
    <n v="10000000"/>
    <m/>
    <n v="10000000"/>
    <n v="5000000"/>
    <n v="26666667"/>
    <m/>
    <m/>
    <n v="115000000"/>
    <n v="115000000"/>
    <n v="0"/>
    <n v="0"/>
    <n v="61126"/>
    <d v="2026-01-23T00:00:00"/>
    <n v="108333333"/>
    <n v="6666667"/>
    <n v="45326"/>
    <d v="2026-02-05T00:00:00"/>
    <n v="108333333"/>
    <n v="6666667"/>
    <n v="0"/>
    <s v="RODRIGUEZ PARRA LUIS ALEJANDRO"/>
    <s v="CO1.PCCNTR.9239415"/>
    <m/>
    <m/>
    <m/>
    <n v="110000000"/>
    <m/>
    <m/>
    <m/>
    <n v="8333333"/>
    <n v="8333333"/>
    <n v="-1666667"/>
    <n v="10000000"/>
    <n v="10000000"/>
    <m/>
    <m/>
    <m/>
    <m/>
    <m/>
    <m/>
    <m/>
    <m/>
    <m/>
    <m/>
    <m/>
    <m/>
    <m/>
    <m/>
    <m/>
    <m/>
    <m/>
    <m/>
    <m/>
    <m/>
    <m/>
    <m/>
    <m/>
    <m/>
    <n v="108333333"/>
    <n v="18333333"/>
    <n v="18333333"/>
    <n v="90000000"/>
    <n v="0"/>
    <x v="0"/>
  </r>
  <r>
    <x v="0"/>
    <x v="5"/>
    <s v="Fortalecimiento del sector en la planificación de la atención de la demanda energética nacional y la transición energética justa a nivel nacional"/>
    <s v="Demanda"/>
    <s v="Sí"/>
    <s v="Sí"/>
    <n v="68"/>
    <s v="160-4"/>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4 Prestar servicios profesionales para el diseño, evaluación y seguimiento de estrategias e instrumentos de eficiencia energética asociados con climatización y refrigeración y calor directo e indirecto, en los sectores residencial, terciario e industr"/>
    <s v="Enero "/>
    <s v="Enero "/>
    <s v="Enero "/>
    <n v="11.5"/>
    <s v="Meses"/>
    <s v="Contratación directa - Prestación de servicios profesionales "/>
    <s v="Propios - 21 - Otros recursos de tesorería"/>
    <n v="122350000"/>
    <n v="122350000"/>
    <s v="No"/>
    <s v="N/A"/>
    <s v="Johanna Castellanos"/>
    <s v="Subdirectora de Demanda"/>
    <n v="6012220604"/>
    <s v="johanna.castellanos@upme.gov.co"/>
    <n v="0"/>
    <n v="0"/>
    <n v="115500000"/>
    <n v="0"/>
    <n v="0"/>
    <n v="8750000"/>
    <n v="0"/>
    <n v="10500000"/>
    <n v="0"/>
    <n v="10500000"/>
    <n v="0"/>
    <n v="10500000"/>
    <n v="0"/>
    <n v="10500000"/>
    <n v="0"/>
    <n v="10500000"/>
    <n v="0"/>
    <n v="10500000"/>
    <n v="0"/>
    <n v="10500000"/>
    <n v="0"/>
    <n v="10500000"/>
    <n v="6850000"/>
    <n v="29600000"/>
    <n v="122350000"/>
    <n v="122350000"/>
    <n v="0"/>
    <n v="0"/>
    <s v="Prestar servicios profesionales para el diseño, evaluación y seguimiento de estrategias e instrumentos de eficiencia energética asociados con climatización y refrigeración y calor directo e indirecto, en los sectores residencial, terciario e industrial co"/>
    <m/>
    <m/>
    <n v="115500000"/>
    <m/>
    <m/>
    <n v="8750000"/>
    <m/>
    <n v="10500000"/>
    <m/>
    <n v="10500000"/>
    <m/>
    <n v="10500000"/>
    <m/>
    <n v="10500000"/>
    <m/>
    <n v="10500000"/>
    <m/>
    <n v="10500000"/>
    <m/>
    <n v="10500000"/>
    <m/>
    <n v="10500000"/>
    <n v="6850000"/>
    <n v="29600000"/>
    <m/>
    <m/>
    <n v="122350000"/>
    <n v="122350000"/>
    <n v="0"/>
    <n v="0"/>
    <n v="60226"/>
    <d v="2026-01-23T00:00:00"/>
    <n v="114100000"/>
    <n v="8250000"/>
    <n v="45126"/>
    <d v="2026-02-05T00:00:00"/>
    <n v="114100000"/>
    <n v="8250000"/>
    <n v="0"/>
    <s v="MONROY MATALLANA BOLIVAR ANDRES"/>
    <s v="CO1.PCCNTR.9239183"/>
    <m/>
    <m/>
    <m/>
    <n v="115500000"/>
    <m/>
    <m/>
    <n v="-1400000"/>
    <n v="9100000"/>
    <n v="9100000"/>
    <m/>
    <n v="10500000"/>
    <n v="10500000"/>
    <m/>
    <m/>
    <m/>
    <m/>
    <m/>
    <m/>
    <m/>
    <m/>
    <m/>
    <m/>
    <m/>
    <m/>
    <m/>
    <m/>
    <m/>
    <m/>
    <m/>
    <m/>
    <m/>
    <m/>
    <m/>
    <m/>
    <m/>
    <m/>
    <n v="114100000"/>
    <n v="19600000"/>
    <n v="19600000"/>
    <n v="94500000"/>
    <n v="0"/>
    <x v="0"/>
  </r>
  <r>
    <x v="0"/>
    <x v="5"/>
    <s v="Fortalecimiento del sector en la planificación de la atención de la demanda energética nacional y la transición energética justa a nivel nacional"/>
    <s v="Demanda"/>
    <s v="Sí"/>
    <s v="Sí"/>
    <n v="68"/>
    <s v="160-5"/>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5 Prestar servicios profesionales para apoyar la elaboración de estudios y el desarrollo de modelamiento para el Plan de Bioenergía, así como apoyar la elaboración de documentos de planeación y adelantar las gestiones asociadas al hidrógeno, en el mar"/>
    <s v="Enero "/>
    <s v="Enero "/>
    <s v="Enero "/>
    <n v="11.5"/>
    <s v="Meses"/>
    <s v="Contratación directa - Prestación de servicios profesionales "/>
    <s v="Propios - 21 - Otros recursos de tesorería"/>
    <n v="104500000"/>
    <n v="104500000"/>
    <s v="No"/>
    <s v="N/A"/>
    <s v="Johanna Castellanos"/>
    <s v="Subdirectora de Demanda"/>
    <n v="6012220605"/>
    <s v="johanna.castellanos@upme.gov.co"/>
    <n v="0"/>
    <n v="0"/>
    <n v="99000000"/>
    <n v="0"/>
    <n v="0"/>
    <n v="7500000"/>
    <n v="0"/>
    <n v="9000000"/>
    <n v="0"/>
    <n v="9000000"/>
    <n v="0"/>
    <n v="9000000"/>
    <n v="0"/>
    <n v="9000000"/>
    <n v="0"/>
    <n v="9000000"/>
    <n v="0"/>
    <n v="9000000"/>
    <n v="0"/>
    <n v="9000000"/>
    <n v="0"/>
    <n v="9000000"/>
    <n v="5500000"/>
    <n v="25000000"/>
    <n v="104500000"/>
    <n v="104500000"/>
    <n v="0"/>
    <n v="0"/>
    <s v="Prestar servicios profesionales para apoyar la elaboración de estudios y el desarrollo de modelamiento para el Plan de Bioenergía, así como apoyar la elaboración de documentos de planeación y adelantar las gestiones asociadas al hidrógeno, en el marco de "/>
    <m/>
    <m/>
    <n v="99000000"/>
    <m/>
    <m/>
    <n v="7500000"/>
    <m/>
    <n v="9000000"/>
    <m/>
    <n v="9000000"/>
    <m/>
    <n v="9000000"/>
    <m/>
    <n v="9000000"/>
    <m/>
    <n v="9000000"/>
    <m/>
    <n v="9000000"/>
    <m/>
    <n v="9000000"/>
    <m/>
    <n v="9000000"/>
    <n v="5500000"/>
    <n v="25000000"/>
    <m/>
    <m/>
    <n v="104500000"/>
    <n v="104500000"/>
    <n v="0"/>
    <n v="0"/>
    <n v="47226"/>
    <d v="2026-01-19T00:00:00"/>
    <n v="97800000"/>
    <n v="6700000"/>
    <n v="42026"/>
    <d v="2026-02-05T00:00:00"/>
    <n v="97800000"/>
    <n v="6700000"/>
    <n v="0"/>
    <s v="LACHE MUÑOZ ANDREA"/>
    <s v="CO1.PCCNTR.9201171"/>
    <m/>
    <m/>
    <m/>
    <n v="99000000"/>
    <m/>
    <m/>
    <m/>
    <n v="7800000"/>
    <n v="7800000"/>
    <n v="-1200000"/>
    <n v="9000000"/>
    <n v="9000000"/>
    <m/>
    <m/>
    <m/>
    <m/>
    <m/>
    <m/>
    <m/>
    <m/>
    <m/>
    <m/>
    <m/>
    <m/>
    <m/>
    <m/>
    <m/>
    <m/>
    <m/>
    <m/>
    <m/>
    <m/>
    <m/>
    <m/>
    <m/>
    <m/>
    <n v="97800000"/>
    <n v="16800000"/>
    <n v="16800000"/>
    <n v="81000000"/>
    <n v="0"/>
    <x v="0"/>
  </r>
  <r>
    <x v="0"/>
    <x v="5"/>
    <s v="Fortalecimiento del sector en la planificación de la atención de la demanda energética nacional y la transición energética justa a nivel nacional"/>
    <s v="Demanda"/>
    <s v="Sí"/>
    <s v="Sí"/>
    <n v="68"/>
    <s v="160-6"/>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6 Prestar servicios profesionales para apoyar la definición de líneas base y meta de eficiencia energética del sector transporte y apoyar la construcción de modelos computacionales enfocados en la predicción del comportamiento del sector transporte, c"/>
    <s v="Enero "/>
    <s v="Enero "/>
    <s v="Enero "/>
    <n v="11.5"/>
    <s v="Meses"/>
    <s v="Contratación directa - Prestación de servicios profesionales "/>
    <s v="Propios - 21 - Otros recursos de tesorería"/>
    <n v="115000000"/>
    <n v="115000000"/>
    <s v="No"/>
    <s v="N/A"/>
    <s v="Johanna Castellanos"/>
    <s v="Subdirectora de Demanda"/>
    <n v="6012220606"/>
    <s v="johanna.castellanos@upme.gov.co"/>
    <n v="0"/>
    <n v="0"/>
    <n v="110000000"/>
    <n v="0"/>
    <n v="0"/>
    <n v="8333333"/>
    <n v="0"/>
    <n v="10000000"/>
    <n v="0"/>
    <n v="10000000"/>
    <n v="0"/>
    <n v="10000000"/>
    <n v="0"/>
    <n v="10000000"/>
    <n v="0"/>
    <n v="10000000"/>
    <n v="0"/>
    <n v="10000000"/>
    <n v="0"/>
    <n v="10000000"/>
    <n v="0"/>
    <n v="10000000"/>
    <n v="5000000"/>
    <n v="26666667"/>
    <n v="115000000"/>
    <n v="115000000"/>
    <n v="0"/>
    <n v="0"/>
    <s v="Prestar servicios profesionales para apoyar la definición de líneas base y meta de eficiencia energética del sector transporte y apoyar la construcción de modelos computacionales enfocados en la predicción del comportamiento del sector transporte, como in"/>
    <m/>
    <m/>
    <n v="110000000"/>
    <m/>
    <m/>
    <n v="8333333"/>
    <m/>
    <n v="10000000"/>
    <m/>
    <n v="10000000"/>
    <m/>
    <n v="10000000"/>
    <m/>
    <n v="10000000"/>
    <m/>
    <n v="10000000"/>
    <m/>
    <n v="10000000"/>
    <m/>
    <n v="10000000"/>
    <m/>
    <n v="10000000"/>
    <n v="5000000"/>
    <n v="26666667"/>
    <m/>
    <m/>
    <n v="115000000"/>
    <n v="115000000"/>
    <n v="0"/>
    <n v="0"/>
    <n v="49726"/>
    <d v="2026-01-19T00:00:00"/>
    <n v="113000000"/>
    <n v="2000000"/>
    <n v="43126"/>
    <d v="2026-02-05T00:00:00"/>
    <n v="108666667"/>
    <n v="6333333"/>
    <n v="4333333"/>
    <s v="SERRATO TOBON DAVID ANDRES"/>
    <s v="CO1.PCCNTR.9237091"/>
    <m/>
    <m/>
    <m/>
    <n v="110000000"/>
    <m/>
    <m/>
    <n v="-1333333"/>
    <n v="8666667"/>
    <n v="8666667"/>
    <m/>
    <n v="10000000"/>
    <n v="10000000"/>
    <m/>
    <m/>
    <m/>
    <m/>
    <m/>
    <m/>
    <m/>
    <m/>
    <m/>
    <m/>
    <m/>
    <m/>
    <m/>
    <m/>
    <m/>
    <m/>
    <m/>
    <m/>
    <m/>
    <m/>
    <m/>
    <m/>
    <m/>
    <m/>
    <n v="108666667"/>
    <n v="18666667"/>
    <n v="18666667"/>
    <n v="90000000"/>
    <n v="0"/>
    <x v="0"/>
  </r>
  <r>
    <x v="0"/>
    <x v="5"/>
    <s v="Fortalecimiento del sector en la planificación de la atención de la demanda energética nacional y la transición energética justa a nivel nacional"/>
    <s v="Demanda"/>
    <s v="Sí"/>
    <s v="Sí"/>
    <n v="3"/>
    <s v="160-7"/>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7 Prestar servicios profesionales para apoyar la determinación de las líneas base y meta de eficiencia energética de la oferta y transformación de energía a partir de estudios, iniciativas y proyectos de GEE, así como la gestión y acompañamiento tecni"/>
    <s v="Enero "/>
    <s v="Enero "/>
    <s v="Enero "/>
    <n v="11.5"/>
    <s v="Meses"/>
    <s v="Contratación directa - Prestación de servicios profesionales "/>
    <s v="Propios - 21 - Otros recursos de tesorería"/>
    <n v="121750000"/>
    <n v="121750000"/>
    <s v="No"/>
    <s v="N/A"/>
    <s v="Johanna Castellanos"/>
    <s v="Subdirectora de Demanda"/>
    <n v="6012220607"/>
    <s v="johanna.castellanos@upme.gov.co"/>
    <n v="0"/>
    <n v="0"/>
    <n v="115500000"/>
    <n v="0"/>
    <n v="0"/>
    <n v="8750000"/>
    <n v="0"/>
    <n v="10500000"/>
    <n v="0"/>
    <n v="10500000"/>
    <n v="0"/>
    <n v="10500000"/>
    <n v="0"/>
    <n v="10500000"/>
    <n v="0"/>
    <n v="10500000"/>
    <n v="0"/>
    <n v="10500000"/>
    <n v="0"/>
    <n v="10500000"/>
    <n v="0"/>
    <n v="10500000"/>
    <n v="6250000"/>
    <n v="29000000"/>
    <n v="121750000"/>
    <n v="121750000"/>
    <n v="0"/>
    <n v="0"/>
    <s v="Prestar servicios profesionales para apoyar la determinación de las líneas base y meta de eficiencia energética de la oferta y transformación de energía a partir de estudios, iniciativas y proyectos de GEE, así como la gestión y acompañamiento tecnico de "/>
    <m/>
    <m/>
    <n v="115500000"/>
    <m/>
    <m/>
    <n v="8750000"/>
    <m/>
    <n v="10500000"/>
    <m/>
    <n v="10500000"/>
    <m/>
    <n v="10500000"/>
    <m/>
    <n v="10500000"/>
    <m/>
    <n v="10500000"/>
    <m/>
    <n v="10500000"/>
    <m/>
    <n v="10500000"/>
    <m/>
    <n v="10500000"/>
    <n v="6250000"/>
    <n v="29000000"/>
    <m/>
    <m/>
    <n v="121750000"/>
    <n v="121750000"/>
    <n v="0"/>
    <n v="0"/>
    <n v="60626"/>
    <d v="2026-01-23T00:00:00"/>
    <n v="114450000"/>
    <n v="7300000"/>
    <n v="40026"/>
    <d v="2026-02-03T00:00:00"/>
    <n v="114450000"/>
    <n v="7300000"/>
    <n v="0"/>
    <s v="ORTIZ CERON VERONICA"/>
    <s v="CO1.PCCNTR.9196642"/>
    <m/>
    <m/>
    <m/>
    <n v="115500000"/>
    <m/>
    <m/>
    <n v="-1050000"/>
    <n v="9450000"/>
    <n v="9450000"/>
    <m/>
    <n v="10500000"/>
    <n v="10500000"/>
    <m/>
    <m/>
    <m/>
    <m/>
    <m/>
    <m/>
    <m/>
    <m/>
    <m/>
    <m/>
    <m/>
    <m/>
    <m/>
    <m/>
    <m/>
    <m/>
    <m/>
    <m/>
    <m/>
    <m/>
    <m/>
    <m/>
    <m/>
    <m/>
    <n v="114450000"/>
    <n v="19950000"/>
    <n v="19950000"/>
    <n v="94500000"/>
    <n v="0"/>
    <x v="0"/>
  </r>
  <r>
    <x v="0"/>
    <x v="5"/>
    <s v="Fortalecimiento del sector en la planificación de la atención de la demanda energética nacional y la transición energética justa a nivel nacional"/>
    <s v="Demanda"/>
    <s v="Sí"/>
    <s v="Sí"/>
    <n v="4"/>
    <s v="160-8"/>
    <s v="Desarrollar la capacidad instalada en la planificación estratégica de la atención de la demanda."/>
    <s v="Documentos Metodológicos"/>
    <s v="Documento metodológico validado."/>
    <n v="80111620"/>
    <s v="C-2106-1900-13-40302B-2106005-02"/>
    <s v="Prestación de servicios profesionales y/o de apoyo a la gestión"/>
    <s v="160-8 Prestar servicios profesionales para desarrollar y actualizar modelos de optimización para la transición de la demanda y la oferta de energía en el marco de los planes de la Subdirección de Demanda, a partir de buenas prácticas de modelamiento emple"/>
    <s v="Enero "/>
    <s v="Enero "/>
    <s v="Enero "/>
    <n v="7"/>
    <s v="Meses"/>
    <s v="Contratación directa - Prestación de servicios profesionales "/>
    <s v="Propios - 20 - Ingresos corrientes"/>
    <n v="45500000"/>
    <n v="45500000"/>
    <s v="No"/>
    <s v="N/A"/>
    <s v="Johanna Castellanos"/>
    <s v="Subdirectora de Demanda"/>
    <n v="6012220608"/>
    <s v="johanna.castellanos@upme.gov.co"/>
    <n v="0"/>
    <n v="0"/>
    <n v="0"/>
    <n v="0"/>
    <n v="0"/>
    <n v="0"/>
    <n v="0"/>
    <n v="0"/>
    <n v="0"/>
    <n v="0"/>
    <n v="0"/>
    <n v="0"/>
    <n v="45500000"/>
    <n v="0"/>
    <n v="0"/>
    <n v="5000000"/>
    <n v="0"/>
    <n v="5000000"/>
    <n v="0"/>
    <n v="5000000"/>
    <n v="0"/>
    <n v="5000000"/>
    <n v="0"/>
    <n v="25500000"/>
    <n v="45500000"/>
    <n v="45500000"/>
    <n v="0"/>
    <n v="0"/>
    <s v="Prestar servicios profesionales para desarrollar y actualizar modelos de optimización para la transición de la demanda y la oferta de energía en el marco de los planes de la Subdirección de Demanda, a partir de buenas prácticas de modelamiento empleadas a"/>
    <m/>
    <m/>
    <m/>
    <m/>
    <m/>
    <m/>
    <m/>
    <m/>
    <m/>
    <m/>
    <m/>
    <m/>
    <n v="45500000"/>
    <m/>
    <m/>
    <n v="5000000"/>
    <m/>
    <n v="5000000"/>
    <m/>
    <n v="5000000"/>
    <m/>
    <n v="5000000"/>
    <m/>
    <n v="25500000"/>
    <m/>
    <m/>
    <n v="45500000"/>
    <n v="45500000"/>
    <n v="0"/>
    <n v="0"/>
    <n v="52626"/>
    <d v="2026-01-20T00:00:00"/>
    <n v="45500000"/>
    <n v="0"/>
    <m/>
    <m/>
    <n v="0"/>
    <n v="45500000"/>
    <n v="455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9"/>
    <s v="Mejorar la representatividad en la información de la participación de los sectores económicos en el consumo de energía."/>
    <s v="Documentos de Planeación"/>
    <s v="Divulgación"/>
    <n v="80111620"/>
    <s v="C-2106-1900-13-40302B-2106003-02"/>
    <s v="Prestación de servicios profesionales y/o de apoyo a la gestión"/>
    <s v="160-9 Prestar servicios profesionales para la construcción de modelos matemáticos y de analítica de datos, así como la elaboración y divulgación de documentos de planeación, en el marco de la Transición Energética Justa, TEJ."/>
    <s v="Enero "/>
    <s v="Enero "/>
    <s v="Enero "/>
    <n v="11.5"/>
    <s v="Meses"/>
    <s v="Contratación directa - Prestación de servicios profesionales "/>
    <s v="Propios - 20 - Ingresos corrientes"/>
    <n v="156250000"/>
    <n v="156250000"/>
    <s v="No"/>
    <s v="N/A"/>
    <s v="Johanna Castellanos"/>
    <s v="Subdirectora de Demanda"/>
    <n v="6012220609"/>
    <s v="johanna.castellanos@upme.gov.co"/>
    <n v="155250000"/>
    <n v="0"/>
    <n v="0"/>
    <n v="5400000"/>
    <n v="0"/>
    <n v="13500000"/>
    <n v="0"/>
    <n v="13500000"/>
    <n v="0"/>
    <n v="13500000"/>
    <n v="0"/>
    <n v="13500000"/>
    <n v="0"/>
    <n v="13500000"/>
    <n v="0"/>
    <n v="13500000"/>
    <n v="0"/>
    <n v="13500000"/>
    <n v="0"/>
    <n v="13500000"/>
    <n v="0"/>
    <n v="13500000"/>
    <n v="1000000"/>
    <n v="29350000"/>
    <n v="156250000"/>
    <n v="156250000"/>
    <n v="0"/>
    <n v="0"/>
    <s v="Prestar servicios profesionales para la construcción de modelos matemáticos y de analítica de datos, así como la elaboración y divulgación de documentos de planeación, en el marco de la Transición Energética Justa, TEJ."/>
    <n v="155250000"/>
    <m/>
    <m/>
    <n v="5400000"/>
    <m/>
    <n v="13500000"/>
    <m/>
    <n v="13500000"/>
    <m/>
    <n v="13500000"/>
    <m/>
    <n v="13500000"/>
    <m/>
    <n v="13500000"/>
    <m/>
    <n v="13500000"/>
    <m/>
    <n v="13500000"/>
    <m/>
    <n v="13500000"/>
    <m/>
    <n v="13500000"/>
    <n v="1000000"/>
    <n v="29350000"/>
    <m/>
    <m/>
    <n v="156250000"/>
    <n v="156250000"/>
    <n v="0"/>
    <n v="0"/>
    <n v="8726"/>
    <d v="2026-01-06T00:00:00"/>
    <n v="153900000"/>
    <n v="2350000"/>
    <n v="10826"/>
    <d v="2026-01-17T00:00:00"/>
    <n v="153900000"/>
    <n v="2350000"/>
    <n v="0"/>
    <s v="SANCHEZ CARDOZO JOHN ALEXANDER"/>
    <s v="CO1.PCCNTR.8878383"/>
    <n v="155250000"/>
    <m/>
    <m/>
    <n v="-1350000"/>
    <n v="5400000"/>
    <n v="5400000"/>
    <m/>
    <n v="13500000"/>
    <n v="13500000"/>
    <m/>
    <n v="13500000"/>
    <n v="13500000"/>
    <m/>
    <m/>
    <m/>
    <m/>
    <m/>
    <m/>
    <m/>
    <m/>
    <m/>
    <m/>
    <m/>
    <m/>
    <m/>
    <m/>
    <m/>
    <m/>
    <m/>
    <m/>
    <m/>
    <m/>
    <m/>
    <m/>
    <m/>
    <m/>
    <n v="153900000"/>
    <n v="32400000"/>
    <n v="32400000"/>
    <n v="121500000"/>
    <n v="0"/>
    <x v="0"/>
  </r>
  <r>
    <x v="0"/>
    <x v="5"/>
    <s v="Fortalecimiento del sector en la planificación de la atención de la demanda energética nacional y la transición energética justa a nivel nacional"/>
    <s v="Demanda"/>
    <s v="Sí"/>
    <s v="Sí"/>
    <n v="68"/>
    <s v="160-10"/>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10 Prestar servicios profesionales para el desarrollo del Plan de Bioenergía Nacional, apoyando la identificación y análisis de aspectos tecnológicos, económicos, sociales, regulatorios y ambientales para la conceptualización de los documentos estraté"/>
    <s v="Enero "/>
    <s v="Enero "/>
    <s v="Enero "/>
    <n v="11.5"/>
    <s v="Meses"/>
    <s v="Contratación directa - Prestación de servicios profesionales "/>
    <s v="Propios - 20 - Ingresos corrientes"/>
    <n v="58300000"/>
    <n v="58300000"/>
    <s v="No"/>
    <s v="N/A"/>
    <s v="Johanna Castellanos"/>
    <s v="Subdirectora de Demanda"/>
    <n v="6012220612"/>
    <s v="johanna.castellanos@upme.gov.co"/>
    <n v="47850000"/>
    <n v="0"/>
    <n v="0"/>
    <n v="0"/>
    <n v="0"/>
    <n v="4350000"/>
    <n v="0"/>
    <n v="4350000"/>
    <n v="0"/>
    <n v="4350000"/>
    <n v="0"/>
    <n v="4350000"/>
    <n v="0"/>
    <n v="4350000"/>
    <n v="0"/>
    <n v="4350000"/>
    <n v="0"/>
    <n v="4350000"/>
    <n v="0"/>
    <n v="4350000"/>
    <n v="0"/>
    <n v="4350000"/>
    <n v="10450000"/>
    <n v="19150000"/>
    <n v="58300000"/>
    <n v="58300000"/>
    <n v="0"/>
    <n v="0"/>
    <s v="Prestar servicios profesionales para el desarrollo del Plan de Bioenergía Nacional, apoyando la identificación y análisis de aspectos tecnológicos, económicos, sociales, regulatorios y ambientales para la conceptualización de los documentos estratégicos q"/>
    <n v="47850000"/>
    <m/>
    <m/>
    <m/>
    <m/>
    <n v="4350000"/>
    <m/>
    <n v="4350000"/>
    <m/>
    <n v="4350000"/>
    <m/>
    <n v="4350000"/>
    <m/>
    <n v="4350000"/>
    <m/>
    <n v="4350000"/>
    <m/>
    <n v="4350000"/>
    <m/>
    <n v="4350000"/>
    <m/>
    <n v="4350000"/>
    <n v="10450000"/>
    <n v="19150000"/>
    <m/>
    <m/>
    <n v="58300000"/>
    <n v="58300000"/>
    <n v="0"/>
    <n v="0"/>
    <n v="37626"/>
    <d v="2026-01-15T00:00:00"/>
    <n v="47705000"/>
    <n v="10595000"/>
    <n v="36026"/>
    <d v="2026-01-30T00:00:00"/>
    <n v="47705000"/>
    <n v="10595000"/>
    <n v="0"/>
    <s v="RIVEROS MELO PAULA NATALIA"/>
    <s v="CO1.PCCNTR.9143769"/>
    <n v="47850000"/>
    <m/>
    <m/>
    <m/>
    <m/>
    <m/>
    <n v="-145000"/>
    <n v="4205000"/>
    <n v="4205000"/>
    <m/>
    <n v="4350000"/>
    <n v="4350000"/>
    <m/>
    <m/>
    <m/>
    <m/>
    <m/>
    <m/>
    <m/>
    <m/>
    <m/>
    <m/>
    <m/>
    <m/>
    <m/>
    <m/>
    <m/>
    <m/>
    <m/>
    <m/>
    <m/>
    <m/>
    <m/>
    <m/>
    <m/>
    <m/>
    <n v="47705000"/>
    <n v="8555000"/>
    <n v="8555000"/>
    <n v="39150000"/>
    <n v="0"/>
    <x v="0"/>
  </r>
  <r>
    <x v="0"/>
    <x v="5"/>
    <s v="Fortalecimiento del sector en la planificación de la atención de la demanda energética nacional y la transición energética justa a nivel nacional"/>
    <s v="Demanda"/>
    <s v="Sí"/>
    <s v="Sí"/>
    <n v="4"/>
    <s v="160-11"/>
    <s v="Desarrollar la capacidad instalada en la planificación estratégica de la atención de la demanda."/>
    <s v="Documentos Metodológicos"/>
    <s v="Diagnóstico"/>
    <n v="80111620"/>
    <s v="C-2106-1900-13-40302B-2106005-02"/>
    <s v="Prestación de servicios profesionales y/o de apoyo a la gestión"/>
    <s v="160-11 Prestar servicios profesionales para apoyar el análisis de los planes y demás iniciativas priorizadas por la Subdirección de Demanda, así como apoyar la elaboración de documentos de planeación, en particular aquellos relacionados con evaluaciones e"/>
    <s v="Enero "/>
    <s v="Enero "/>
    <s v="Enero "/>
    <n v="7"/>
    <s v="Meses"/>
    <s v="Contratación directa - Prestación de servicios profesionales "/>
    <s v="Propios - 20 - Ingresos corrientes"/>
    <n v="99850000"/>
    <n v="99850000"/>
    <s v="No"/>
    <s v="N/A"/>
    <s v="Johanna Castellanos"/>
    <s v="Subdirectora de Demanda"/>
    <n v="6012220613"/>
    <s v="johanna.castellanos@upme.gov.co"/>
    <n v="93100000"/>
    <n v="0"/>
    <n v="0"/>
    <n v="0"/>
    <n v="0"/>
    <n v="13300000"/>
    <n v="0"/>
    <n v="13300000"/>
    <n v="0"/>
    <n v="13300000"/>
    <n v="0"/>
    <n v="13300000"/>
    <n v="0"/>
    <n v="13300000"/>
    <n v="0"/>
    <n v="13300000"/>
    <n v="0"/>
    <n v="13300000"/>
    <n v="0"/>
    <n v="6750000"/>
    <n v="0"/>
    <n v="0"/>
    <n v="6750000"/>
    <n v="0"/>
    <n v="99850000"/>
    <n v="99850000"/>
    <n v="0"/>
    <n v="0"/>
    <s v="Prestar servicios profesionales para apoyar el análisis de los planes y demás iniciativas priorizadas por la Subdirección de Demanda, así como apoyar la elaboración de documentos de planeación, en particular aquellos relacionados con evaluaciones económic"/>
    <n v="93100000"/>
    <m/>
    <m/>
    <m/>
    <m/>
    <n v="13300000"/>
    <m/>
    <n v="13300000"/>
    <m/>
    <n v="13300000"/>
    <m/>
    <n v="13300000"/>
    <m/>
    <n v="13300000"/>
    <m/>
    <n v="13300000"/>
    <m/>
    <n v="13300000"/>
    <m/>
    <n v="6750000"/>
    <m/>
    <m/>
    <n v="6750000"/>
    <m/>
    <m/>
    <m/>
    <n v="99850000"/>
    <n v="99850000"/>
    <n v="0"/>
    <n v="0"/>
    <n v="59226"/>
    <d v="2026-01-23T00:00:00"/>
    <n v="93100000"/>
    <n v="6750000"/>
    <n v="35726"/>
    <d v="2026-01-30T00:00:00"/>
    <n v="93100000"/>
    <n v="6750000"/>
    <n v="0"/>
    <s v="RAMIREZ PRIETO ELKIN EDUARDO"/>
    <s v="CO1.PCCNTR.9178411"/>
    <n v="93100000"/>
    <m/>
    <m/>
    <m/>
    <m/>
    <m/>
    <m/>
    <n v="12856667"/>
    <n v="12856667"/>
    <m/>
    <n v="13300000"/>
    <n v="13300000"/>
    <m/>
    <m/>
    <m/>
    <m/>
    <m/>
    <m/>
    <m/>
    <m/>
    <m/>
    <m/>
    <m/>
    <m/>
    <m/>
    <m/>
    <m/>
    <m/>
    <m/>
    <m/>
    <m/>
    <m/>
    <m/>
    <m/>
    <m/>
    <m/>
    <n v="93100000"/>
    <n v="26156667"/>
    <n v="26156667"/>
    <n v="66943333"/>
    <n v="0"/>
    <x v="0"/>
  </r>
  <r>
    <x v="0"/>
    <x v="5"/>
    <s v="Fortalecimiento del sector en la planificación de la atención de la demanda energética nacional y la transición energética justa a nivel nacional"/>
    <s v="Demanda"/>
    <s v="Sí"/>
    <s v="Sí"/>
    <n v="68"/>
    <s v="160-12"/>
    <s v="Mejorar la representatividad en la información de la participación de los sectores económicos en el consumo de energía."/>
    <s v="Documentos de Planeación"/>
    <s v="Diagnóstico"/>
    <n v="80111620"/>
    <s v="C-2106-1900-13-40302B-2106003-02"/>
    <s v="Prestación de servicios profesionales y/o de apoyo a la gestión"/>
    <s v="160-12 Prestar servicios profesionales para apoyar la definición de líneas base y meta de eficiencia energética y los análisis beneficio costo de los planes de la Subdirección priorizados, a partir de estudios, iniciativas y proyectos; en el marco de la T"/>
    <s v="Enero "/>
    <s v="Enero "/>
    <s v="Enero "/>
    <n v="11.5"/>
    <s v="Meses"/>
    <s v="Contratación directa - Prestación de servicios profesionales "/>
    <s v="Propios - 20 - Ingresos corrientes"/>
    <n v="152762172"/>
    <n v="152762172"/>
    <s v="No"/>
    <s v="N/A"/>
    <s v="Johanna Castellanos"/>
    <s v="Subdirectora de Demanda"/>
    <n v="6012220614"/>
    <s v="johanna.castellanos@upme.gov.co"/>
    <n v="146300000"/>
    <n v="0"/>
    <n v="0"/>
    <n v="1330000"/>
    <n v="0"/>
    <n v="13300000"/>
    <n v="0"/>
    <n v="13300000"/>
    <n v="0"/>
    <n v="13300000"/>
    <n v="0"/>
    <n v="13300000"/>
    <n v="0"/>
    <n v="13300000"/>
    <n v="0"/>
    <n v="13300000"/>
    <n v="0"/>
    <n v="13300000"/>
    <n v="0"/>
    <n v="13300000"/>
    <n v="0"/>
    <n v="13300000"/>
    <n v="6462172"/>
    <n v="31732172"/>
    <n v="152762172"/>
    <n v="152762172"/>
    <n v="0"/>
    <n v="0"/>
    <s v="Prestar servicios profesionales para apoyar la definición de líneas base y meta de eficiencia energética y los análisis beneficio costo de los planes de la Subdirección priorizados, a partir de estudios, iniciativas y proyectos; en el marco de la Transici"/>
    <n v="146300000"/>
    <m/>
    <m/>
    <n v="1330000"/>
    <m/>
    <n v="13300000"/>
    <m/>
    <n v="13300000"/>
    <m/>
    <n v="13300000"/>
    <m/>
    <n v="13300000"/>
    <m/>
    <n v="13300000"/>
    <m/>
    <n v="13300000"/>
    <m/>
    <n v="13300000"/>
    <m/>
    <n v="13300000"/>
    <m/>
    <n v="13300000"/>
    <n v="6462172"/>
    <n v="31732172"/>
    <m/>
    <m/>
    <n v="152762172"/>
    <n v="152762172"/>
    <n v="0"/>
    <n v="0"/>
    <n v="18226"/>
    <d v="2026-01-10T00:00:00"/>
    <n v="152762172"/>
    <n v="0"/>
    <n v="23126"/>
    <d v="2026-01-27T00:00:00"/>
    <n v="146300000"/>
    <n v="6462172"/>
    <n v="6462172"/>
    <s v="FLOREZ CHALA ERIKA JOHANNA"/>
    <s v="CO1.PCCNTR.9078650"/>
    <n v="146300000"/>
    <m/>
    <m/>
    <m/>
    <n v="1330000"/>
    <n v="1330000"/>
    <m/>
    <n v="13300000"/>
    <n v="13300000"/>
    <m/>
    <n v="13300000"/>
    <n v="13300000"/>
    <m/>
    <m/>
    <m/>
    <m/>
    <m/>
    <m/>
    <m/>
    <m/>
    <m/>
    <m/>
    <m/>
    <m/>
    <m/>
    <m/>
    <m/>
    <m/>
    <m/>
    <m/>
    <m/>
    <m/>
    <m/>
    <m/>
    <m/>
    <m/>
    <n v="146300000"/>
    <n v="27930000"/>
    <n v="27930000"/>
    <n v="118370000"/>
    <n v="0"/>
    <x v="0"/>
  </r>
  <r>
    <x v="0"/>
    <x v="5"/>
    <s v="Fortalecimiento del sector en la planificación de la atención de la demanda energética nacional y la transición energética justa a nivel nacional"/>
    <s v="Demanda"/>
    <s v="Sí"/>
    <s v="Sí"/>
    <n v="68"/>
    <s v="160-13"/>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13 Prestar servicios profesionales para apoyar la definición de líneas base y meta de eficiencia energética y los análisis beneficio costo de los planes de la Subdirección priorizados, a partir de estudios, iniciativas y proyectos; en el marco de la T"/>
    <s v="Enero "/>
    <s v="Enero "/>
    <s v="Enero "/>
    <n v="11.5"/>
    <s v="Meses"/>
    <s v="Contratación directa - Prestación de servicios profesionales "/>
    <s v="Propios - 20 - Ingresos corrientes"/>
    <n v="2687828"/>
    <n v="2687828"/>
    <s v="No"/>
    <s v="N/A"/>
    <s v="Johanna Castellanos"/>
    <s v="Subdirectora de Demanda"/>
    <n v="6012220615"/>
    <s v="johanna.castellanos@upme.gov.co"/>
    <n v="0"/>
    <n v="0"/>
    <n v="0"/>
    <n v="0"/>
    <n v="0"/>
    <n v="0"/>
    <n v="0"/>
    <n v="0"/>
    <n v="0"/>
    <n v="0"/>
    <n v="0"/>
    <n v="0"/>
    <n v="0"/>
    <n v="0"/>
    <n v="0"/>
    <n v="0"/>
    <n v="0"/>
    <n v="0"/>
    <n v="0"/>
    <n v="0"/>
    <n v="2687828"/>
    <n v="0"/>
    <n v="0"/>
    <n v="2687828"/>
    <n v="2687828"/>
    <n v="2687828"/>
    <n v="0"/>
    <n v="0"/>
    <s v="Prestar servicios profesionales para apoyar la definición de líneas base y meta de eficiencia energética y los análisis beneficio costo de los planes de la Subdirección priorizados, a partir de estudios, iniciativas y proyectos; en el marco de la Transici"/>
    <m/>
    <m/>
    <m/>
    <m/>
    <m/>
    <m/>
    <m/>
    <m/>
    <m/>
    <m/>
    <m/>
    <m/>
    <m/>
    <m/>
    <m/>
    <m/>
    <m/>
    <m/>
    <m/>
    <m/>
    <n v="2687828"/>
    <m/>
    <m/>
    <n v="2687828"/>
    <m/>
    <m/>
    <n v="2687828"/>
    <n v="2687828"/>
    <n v="0"/>
    <n v="0"/>
    <n v="18226"/>
    <d v="2026-01-10T00:00:00"/>
    <n v="187828"/>
    <n v="2500000"/>
    <m/>
    <m/>
    <n v="0"/>
    <n v="2687828"/>
    <n v="187828"/>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4"/>
    <s v="160-14"/>
    <s v="Fomentar la articulación de la política pública, el marco regulatorio y la visión de gobierno."/>
    <s v="Documentos de Lineamientos Técnicos"/>
    <s v="Documento con los resultados de las validaciones."/>
    <n v="80111620"/>
    <s v="C-2106-1900-13-40302B-2106010-02"/>
    <s v="Prestación de servicios profesionales y/o de apoyo a la gestión"/>
    <s v="160-14 Prestar servicios profesionales en la gestión jurídica integral de la UPME, mediante el análisis, elaboración y proyección de conceptos jurídicos, respuestas a requerimientos, recursos administrativos y demás actuaciones jurídicas, de conformidad c"/>
    <s v="Enero "/>
    <s v="Enero "/>
    <s v="Enero "/>
    <n v="11.27"/>
    <s v="Meses"/>
    <s v="Contratación directa - Prestación de servicios profesionales "/>
    <s v="Propios - 20 - Ingresos corrientes"/>
    <n v="50400000"/>
    <n v="50400000"/>
    <s v="No"/>
    <s v="N/A"/>
    <s v="Johanna Castellanos"/>
    <s v="Subdirectora de Demanda"/>
    <n v="6012220616"/>
    <s v="johanna.castellanos@upme.gov.co"/>
    <n v="0"/>
    <n v="0"/>
    <n v="50400000"/>
    <n v="0"/>
    <n v="0"/>
    <n v="5000000"/>
    <n v="0"/>
    <n v="5000000"/>
    <n v="0"/>
    <n v="5000000"/>
    <n v="0"/>
    <n v="5000000"/>
    <n v="0"/>
    <n v="5000000"/>
    <n v="0"/>
    <n v="5000000"/>
    <n v="0"/>
    <n v="5000000"/>
    <n v="0"/>
    <n v="5000000"/>
    <n v="0"/>
    <n v="1400000"/>
    <n v="0"/>
    <n v="9000000"/>
    <n v="50400000"/>
    <n v="50400000"/>
    <n v="0"/>
    <n v="0"/>
    <s v="Prestar servicios profesionales en la gestión jurídica integral de la UPME, mediante el análisis, elaboración y proyección de conceptos jurídicos, respuestas a requerimientos, recursos administrativos y demás actuaciones jurídicas, de conformidad con el m"/>
    <m/>
    <m/>
    <n v="50400000"/>
    <m/>
    <m/>
    <n v="5000000"/>
    <m/>
    <n v="5000000"/>
    <m/>
    <n v="5000000"/>
    <m/>
    <n v="5000000"/>
    <m/>
    <n v="5000000"/>
    <m/>
    <n v="5000000"/>
    <m/>
    <n v="5000000"/>
    <m/>
    <n v="5000000"/>
    <m/>
    <n v="1400000"/>
    <m/>
    <n v="9000000"/>
    <m/>
    <m/>
    <n v="50400000"/>
    <n v="50400000"/>
    <n v="0"/>
    <n v="0"/>
    <n v="61926"/>
    <d v="2026-01-23T00:00:00"/>
    <n v="50400000"/>
    <n v="0"/>
    <n v="58426.651259999999"/>
    <s v="11/02/2026,20/03/2026"/>
    <n v="50400000"/>
    <n v="0"/>
    <n v="0"/>
    <s v="RUBIO NAVARRO OSCAR MANUEL,GAONA GALEANO YIVI YOHANA_x000a_"/>
    <s v="CO1.PCCNTR.9183199"/>
    <m/>
    <m/>
    <m/>
    <n v="50400000"/>
    <m/>
    <m/>
    <m/>
    <m/>
    <m/>
    <m/>
    <n v="1833333"/>
    <n v="1833333"/>
    <m/>
    <m/>
    <m/>
    <m/>
    <m/>
    <m/>
    <m/>
    <m/>
    <m/>
    <m/>
    <m/>
    <m/>
    <m/>
    <m/>
    <m/>
    <m/>
    <m/>
    <m/>
    <m/>
    <m/>
    <m/>
    <m/>
    <m/>
    <m/>
    <n v="50400000"/>
    <n v="1833333"/>
    <n v="1833333"/>
    <n v="48566667"/>
    <n v="0"/>
    <x v="0"/>
  </r>
  <r>
    <x v="0"/>
    <x v="5"/>
    <s v="Fortalecimiento del sector en la planificación de la atención de la demanda energética nacional y la transición energética justa a nivel nacional"/>
    <s v="Demanda"/>
    <s v="Sí"/>
    <s v="Sí"/>
    <n v="3"/>
    <s v="160-15"/>
    <s v="Fomentar la articulación de la política pública, el marco regulatorio y la visión de gobierno."/>
    <s v="Documentos de Lineamientos Técnicos"/>
    <s v="Documento con los resultados de las validaciones."/>
    <n v="80111620"/>
    <s v="C-2106-1900-13-40302B-2106010-02"/>
    <s v="Prestación de servicios profesionales y/o de apoyo a la gestión"/>
    <s v="160-15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43916819"/>
    <n v="43916819"/>
    <s v="No"/>
    <s v="N/A"/>
    <s v="Johanna Castellanos"/>
    <s v="Subdirectora de Demanda"/>
    <n v="6012220616"/>
    <s v="johanna.castellanos@upme.gov.co"/>
    <n v="0"/>
    <n v="0"/>
    <n v="43916819"/>
    <n v="0"/>
    <n v="0"/>
    <n v="6000000"/>
    <n v="0"/>
    <n v="6000000"/>
    <n v="0"/>
    <n v="6000000"/>
    <n v="0"/>
    <n v="6000000"/>
    <n v="0"/>
    <n v="6000000"/>
    <n v="0"/>
    <n v="6000000"/>
    <n v="0"/>
    <n v="6000000"/>
    <n v="0"/>
    <n v="1916819"/>
    <n v="0"/>
    <n v="0"/>
    <n v="0"/>
    <n v="0"/>
    <n v="43916819"/>
    <n v="43916819"/>
    <n v="0"/>
    <n v="0"/>
    <s v="Prestar servicios profesionales para gestionar la comunicación institucional de la UPME, mediante el diseño, desarrollo y ejecución de estrategias creativas de comunicación interna y externa, posicionamiento de marca institucional, gestión de mensajes y n"/>
    <m/>
    <m/>
    <n v="43916819"/>
    <m/>
    <m/>
    <n v="6000000"/>
    <m/>
    <n v="6000000"/>
    <m/>
    <n v="6000000"/>
    <m/>
    <n v="6000000"/>
    <m/>
    <n v="6000000"/>
    <m/>
    <n v="6000000"/>
    <m/>
    <n v="6000000"/>
    <m/>
    <n v="1916819"/>
    <m/>
    <m/>
    <m/>
    <m/>
    <m/>
    <m/>
    <n v="43916819"/>
    <n v="43916819"/>
    <n v="0"/>
    <n v="0"/>
    <n v="46226"/>
    <d v="2026-01-19T00:00:00"/>
    <n v="43916819"/>
    <n v="0"/>
    <n v="58226"/>
    <d v="2026-02-11T00:00:00"/>
    <n v="43916819"/>
    <n v="0"/>
    <n v="0"/>
    <s v="CHAPARRO CARMONA JHON SEBASTIAN"/>
    <s v="CO1.PCCNTR.9179277"/>
    <m/>
    <m/>
    <m/>
    <n v="43916819"/>
    <m/>
    <m/>
    <m/>
    <n v="3800000"/>
    <n v="3800000"/>
    <m/>
    <n v="6000000"/>
    <n v="6000000"/>
    <m/>
    <m/>
    <m/>
    <m/>
    <m/>
    <m/>
    <m/>
    <m/>
    <m/>
    <m/>
    <m/>
    <m/>
    <m/>
    <m/>
    <m/>
    <m/>
    <m/>
    <m/>
    <m/>
    <m/>
    <m/>
    <m/>
    <m/>
    <m/>
    <n v="43916819"/>
    <n v="9800000"/>
    <n v="9800000"/>
    <n v="34116819"/>
    <n v="0"/>
    <x v="0"/>
  </r>
  <r>
    <x v="0"/>
    <x v="5"/>
    <s v="Fortalecimiento del sector en la planificación de la atención de la demanda energética nacional y la transición energética justa a nivel nacional"/>
    <s v="Demanda"/>
    <s v="Sí"/>
    <s v="Sí"/>
    <n v="3"/>
    <s v="160-16"/>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16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6483181"/>
    <n v="6483181"/>
    <s v="No"/>
    <s v="N/A"/>
    <s v="Johanna Castellanos"/>
    <s v="Subdirectora de Demanda"/>
    <n v="6012220617"/>
    <s v="johanna.castellanos@upme.gov.co"/>
    <n v="0"/>
    <n v="0"/>
    <n v="6483181"/>
    <n v="0"/>
    <n v="0"/>
    <n v="0"/>
    <n v="0"/>
    <n v="0"/>
    <n v="0"/>
    <n v="0"/>
    <n v="0"/>
    <n v="0"/>
    <n v="0"/>
    <n v="0"/>
    <n v="0"/>
    <n v="0"/>
    <n v="0"/>
    <n v="0"/>
    <n v="0"/>
    <n v="4083181"/>
    <n v="0"/>
    <n v="2400000"/>
    <n v="0"/>
    <n v="0"/>
    <n v="6483181"/>
    <n v="6483181"/>
    <n v="0"/>
    <n v="0"/>
    <s v="Prestar servicios profesionales para gestionar la comunicación institucional de la UPME, mediante el diseño, desarrollo y ejecución de estrategias creativas de comunicación interna y externa, posicionamiento de marca institucional, gestión de mensajes y n"/>
    <m/>
    <m/>
    <n v="6483181"/>
    <m/>
    <m/>
    <m/>
    <m/>
    <m/>
    <m/>
    <m/>
    <m/>
    <m/>
    <m/>
    <m/>
    <m/>
    <m/>
    <m/>
    <m/>
    <m/>
    <n v="4083181"/>
    <m/>
    <n v="2400000"/>
    <m/>
    <m/>
    <m/>
    <m/>
    <n v="6483181"/>
    <n v="6483181"/>
    <n v="0"/>
    <n v="0"/>
    <n v="46226"/>
    <d v="2026-01-19T00:00:00"/>
    <n v="6483181"/>
    <n v="0"/>
    <n v="58226"/>
    <d v="2026-02-11T00:00:00"/>
    <n v="6483181"/>
    <n v="0"/>
    <n v="0"/>
    <s v="CHAPARRO CARMONA JHON SEBASTIAN"/>
    <s v="CO1.PCCNTR.9179277"/>
    <m/>
    <m/>
    <m/>
    <n v="6483181"/>
    <m/>
    <m/>
    <m/>
    <m/>
    <m/>
    <m/>
    <m/>
    <m/>
    <m/>
    <m/>
    <m/>
    <m/>
    <m/>
    <m/>
    <m/>
    <m/>
    <m/>
    <m/>
    <m/>
    <m/>
    <m/>
    <m/>
    <m/>
    <m/>
    <m/>
    <m/>
    <m/>
    <m/>
    <m/>
    <m/>
    <m/>
    <m/>
    <n v="6483181"/>
    <n v="0"/>
    <n v="0"/>
    <n v="6483181"/>
    <n v="0"/>
    <x v="0"/>
  </r>
  <r>
    <x v="0"/>
    <x v="5"/>
    <s v="Fortalecimiento del sector en la planificación de la atención de la demanda energética nacional y la transición energética justa a nivel nacional"/>
    <s v="Demanda"/>
    <s v="Sí"/>
    <s v="Sí"/>
    <n v="68"/>
    <s v="160-17"/>
    <s v="Mejorar la representatividad en la información de la participación de los sectores económicos en el consumo de energía."/>
    <s v="Documentos de Planeación"/>
    <s v="Divulgación"/>
    <n v="80111620"/>
    <s v="C-2106-1900-13-40302B-2106003-02"/>
    <s v="Prestación de servicios profesionales y/o de apoyo a la gestión"/>
    <s v="160-17 Prestación de servicios profesionales para el diseño, desarrollo y fortalecimiento de la estrategia de comunicación y divulgación de los portales interactivos, sistemas de información, trámites e instrumentos de planeación asociados a las Subdirecc"/>
    <s v="Enero "/>
    <s v="Enero "/>
    <s v="Enero "/>
    <n v="11.5"/>
    <s v="Meses"/>
    <s v="Contratación directa - Prestación de servicios profesionales "/>
    <s v="Propios - 20 - Ingresos corrientes"/>
    <n v="57500000"/>
    <n v="57500000"/>
    <s v="No"/>
    <s v="N/A"/>
    <s v="Johanna Castellanos"/>
    <s v="Subdirectora de Demanda"/>
    <n v="6012220618"/>
    <s v="johanna.castellanos@upme.gov.co"/>
    <n v="57500000"/>
    <n v="0"/>
    <n v="0"/>
    <n v="0"/>
    <n v="0"/>
    <n v="0"/>
    <n v="0"/>
    <n v="0"/>
    <n v="0"/>
    <n v="0"/>
    <n v="0"/>
    <n v="0"/>
    <n v="0"/>
    <n v="0"/>
    <n v="0"/>
    <n v="0"/>
    <n v="0"/>
    <n v="10000000"/>
    <n v="0"/>
    <n v="10000000"/>
    <n v="0"/>
    <n v="10000000"/>
    <n v="0"/>
    <n v="27500000"/>
    <n v="57500000"/>
    <n v="57500000"/>
    <n v="0"/>
    <n v="0"/>
    <s v="Prestación de servicios profesionales para el diseño, desarrollo y fortalecimiento de la estrategia de comunicación y divulgación de los portales interactivos, sistemas de información, trámites e instrumentos de planeación asociados a las Subdirecciones d"/>
    <n v="57500000"/>
    <m/>
    <m/>
    <m/>
    <m/>
    <m/>
    <m/>
    <m/>
    <m/>
    <m/>
    <m/>
    <m/>
    <m/>
    <m/>
    <m/>
    <m/>
    <m/>
    <n v="10000000"/>
    <m/>
    <n v="10000000"/>
    <m/>
    <n v="10000000"/>
    <m/>
    <n v="27500000"/>
    <m/>
    <m/>
    <n v="57500000"/>
    <n v="57500000"/>
    <n v="0"/>
    <n v="0"/>
    <n v="29726"/>
    <d v="2026-01-14T00:00:00"/>
    <n v="57500000"/>
    <n v="0"/>
    <n v="16026"/>
    <d v="2026-01-22T00:00:00"/>
    <n v="57500000"/>
    <n v="0"/>
    <n v="0"/>
    <s v="ROJAS SOLORZANO OLGA LUCIA"/>
    <s v="CO1.PCCNTR.8992620"/>
    <n v="57500000"/>
    <m/>
    <m/>
    <m/>
    <n v="2666667"/>
    <n v="2666667"/>
    <m/>
    <n v="10000000"/>
    <n v="10000000"/>
    <m/>
    <n v="10000000"/>
    <n v="10000000"/>
    <m/>
    <m/>
    <m/>
    <m/>
    <m/>
    <m/>
    <m/>
    <m/>
    <m/>
    <m/>
    <m/>
    <m/>
    <m/>
    <m/>
    <m/>
    <m/>
    <m/>
    <m/>
    <m/>
    <m/>
    <m/>
    <m/>
    <m/>
    <m/>
    <n v="57500000"/>
    <n v="22666667"/>
    <n v="22666667"/>
    <n v="34833333"/>
    <n v="0"/>
    <x v="0"/>
  </r>
  <r>
    <x v="0"/>
    <x v="5"/>
    <s v="Fortalecimiento del sector en la planificación de la atención de la demanda energética nacional y la transición energética justa a nivel nacional"/>
    <s v="Demanda"/>
    <s v="Sí"/>
    <s v="Sí"/>
    <n v="68"/>
    <s v="160-18"/>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18 Prestar servicios profesionales para la recopilación, sistematización y centralización de información relacionada con la bioenergía en Colombia, con el propósito de fortalecer la gestión, el análisis y la disponibilidad de datos del equipo de Nuevo"/>
    <s v="Enero "/>
    <s v="Enero "/>
    <s v="Enero "/>
    <n v="11.2"/>
    <s v="Meses"/>
    <s v="Contratación directa - Prestación de servicios profesionales "/>
    <s v="Propios - 21 - Otros recursos de tesorería"/>
    <n v="100800000"/>
    <n v="100800000"/>
    <s v="No"/>
    <s v="N/A"/>
    <s v="Johanna Castellanos"/>
    <s v="Subdirectora de Demanda"/>
    <n v="6012220619"/>
    <s v="johanna.castellanos@upme.gov.co"/>
    <n v="0"/>
    <n v="0"/>
    <n v="99000000"/>
    <n v="0"/>
    <n v="0"/>
    <n v="9000000"/>
    <n v="0"/>
    <n v="9000000"/>
    <n v="0"/>
    <n v="9000000"/>
    <n v="0"/>
    <n v="9000000"/>
    <n v="0"/>
    <n v="9000000"/>
    <n v="0"/>
    <n v="9000000"/>
    <n v="0"/>
    <n v="9000000"/>
    <n v="0"/>
    <n v="9000000"/>
    <n v="0"/>
    <n v="9000000"/>
    <n v="1800000"/>
    <n v="19800000"/>
    <n v="100800000"/>
    <n v="100800000"/>
    <n v="0"/>
    <n v="0"/>
    <s v="Prestar servicios profesionales para la recopilación, sistematización y centralización de información relacionada con la bioenergía en Colombia, con el propósito de fortalecer la gestión, el análisis y la disponibilidad de datos del equipo de Nuevos Energ"/>
    <m/>
    <m/>
    <n v="99000000"/>
    <m/>
    <m/>
    <n v="9000000"/>
    <m/>
    <n v="9000000"/>
    <m/>
    <n v="9000000"/>
    <m/>
    <n v="9000000"/>
    <m/>
    <n v="9000000"/>
    <m/>
    <n v="9000000"/>
    <m/>
    <n v="9000000"/>
    <m/>
    <n v="9000000"/>
    <m/>
    <n v="9000000"/>
    <n v="1800000"/>
    <n v="19800000"/>
    <m/>
    <m/>
    <n v="100800000"/>
    <n v="100800000"/>
    <n v="0"/>
    <n v="0"/>
    <n v="62026"/>
    <d v="2026-01-23T00:00:00"/>
    <n v="96000000"/>
    <n v="4800000"/>
    <n v="56626"/>
    <d v="2026-02-10T00:00:00"/>
    <n v="96000000"/>
    <n v="4800000"/>
    <n v="0"/>
    <s v="TAMAYO LONDOÑO ANDREA"/>
    <s v="CO1.PCCNTR.9306496"/>
    <m/>
    <m/>
    <m/>
    <n v="99000000"/>
    <m/>
    <m/>
    <m/>
    <n v="6000000"/>
    <n v="6000000"/>
    <n v="-3000000"/>
    <n v="9000000"/>
    <n v="9000000"/>
    <m/>
    <m/>
    <m/>
    <m/>
    <m/>
    <m/>
    <m/>
    <m/>
    <m/>
    <m/>
    <m/>
    <m/>
    <m/>
    <m/>
    <m/>
    <m/>
    <m/>
    <m/>
    <m/>
    <m/>
    <m/>
    <m/>
    <m/>
    <m/>
    <n v="96000000"/>
    <n v="15000000"/>
    <n v="15000000"/>
    <n v="81000000"/>
    <n v="0"/>
    <x v="0"/>
  </r>
  <r>
    <x v="0"/>
    <x v="5"/>
    <s v="Fortalecimiento del sector en la planificación de la atención de la demanda energética nacional y la transición energética justa a nivel nacional"/>
    <s v="Demanda"/>
    <s v="Sí"/>
    <s v="Sí"/>
    <n v="6"/>
    <s v="160-19"/>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19 Prestar servicios de apoyo a la gestión  para brindar soporte análisis de modelos de optimización y datos aplicados al sector energético, así como apoyar las actividades relacionadas con el procesamiento de la información, generación de resultados "/>
    <s v="Enero "/>
    <s v="Enero "/>
    <s v="Enero "/>
    <n v="11.5"/>
    <s v="Meses"/>
    <s v="Contratación directa - Prestación de servicios profesionales "/>
    <s v="Propios - 20 - Ingresos corrientes"/>
    <n v="57500000"/>
    <n v="57500000"/>
    <s v="No"/>
    <s v="N/A"/>
    <s v="Johanna Castellanos"/>
    <s v="Subdirectora de Demanda"/>
    <n v="6012220621"/>
    <s v="johanna.castellanos@upme.gov.co"/>
    <n v="55000000"/>
    <n v="0"/>
    <n v="0"/>
    <n v="0"/>
    <n v="0"/>
    <n v="5000000"/>
    <n v="0"/>
    <n v="5000000"/>
    <n v="0"/>
    <n v="5000000"/>
    <n v="0"/>
    <n v="5000000"/>
    <n v="0"/>
    <n v="5000000"/>
    <n v="0"/>
    <n v="5000000"/>
    <n v="0"/>
    <n v="5000000"/>
    <n v="0"/>
    <n v="5000000"/>
    <n v="0"/>
    <n v="5000000"/>
    <n v="2500000"/>
    <n v="12500000"/>
    <n v="57500000"/>
    <n v="57500000"/>
    <n v="0"/>
    <n v="0"/>
    <s v="Prestar servicios de apoyo a la gestión  para brindar soporte análisis de modelos de optimización y datos aplicados al sector energético, así como apoyar las actividades relacionadas con el procesamiento de la información, generación de resultados e indic"/>
    <n v="55000000"/>
    <m/>
    <m/>
    <m/>
    <m/>
    <n v="5000000"/>
    <m/>
    <n v="5000000"/>
    <m/>
    <n v="5000000"/>
    <m/>
    <n v="5000000"/>
    <m/>
    <n v="5000000"/>
    <m/>
    <n v="5000000"/>
    <m/>
    <n v="5000000"/>
    <m/>
    <n v="5000000"/>
    <m/>
    <n v="5000000"/>
    <n v="2500000"/>
    <n v="12500000"/>
    <m/>
    <m/>
    <n v="57500000"/>
    <n v="57500000"/>
    <n v="0"/>
    <n v="0"/>
    <n v="58326"/>
    <d v="2026-01-23T00:00:00"/>
    <n v="55000000"/>
    <n v="2500000"/>
    <n v="26926"/>
    <d v="2026-01-28T00:00:00"/>
    <n v="55000000"/>
    <n v="2500000"/>
    <n v="0"/>
    <s v="ESPITIA ALFONSO CARLOS ANDRES"/>
    <s v="CO1.PCCNTR.9144177"/>
    <n v="55000000"/>
    <m/>
    <m/>
    <m/>
    <n v="333333"/>
    <n v="333333"/>
    <m/>
    <n v="5000000"/>
    <n v="5000000"/>
    <m/>
    <n v="5000000"/>
    <n v="5000000"/>
    <m/>
    <m/>
    <m/>
    <m/>
    <m/>
    <m/>
    <m/>
    <m/>
    <m/>
    <m/>
    <m/>
    <m/>
    <m/>
    <m/>
    <m/>
    <m/>
    <m/>
    <m/>
    <m/>
    <m/>
    <m/>
    <m/>
    <m/>
    <m/>
    <n v="55000000"/>
    <n v="10333333"/>
    <n v="10333333"/>
    <n v="44666667"/>
    <n v="0"/>
    <x v="0"/>
  </r>
  <r>
    <x v="0"/>
    <x v="5"/>
    <s v="Fortalecimiento del sector en la planificación de la atención de la demanda energética nacional y la transición energética justa a nivel nacional"/>
    <s v="Demanda"/>
    <s v="Sí"/>
    <s v="Sí"/>
    <n v="68"/>
    <s v="160-20"/>
    <s v="Desarrollar la capacidad instalada en la planificación estratégica de la atención de la demanda."/>
    <s v="Documentos Metodológicos"/>
    <s v="Diagnóstico"/>
    <n v="80111620"/>
    <s v="C-2106-1900-13-40302B-2106005-02"/>
    <s v="Prestación de servicios profesionales y/o de apoyo a la gestión"/>
    <s v="160-20 Prestar servicios profesionales para la elaboración, análisis, actualización del Balance Energético Colombiano (BECO), mediante la recolección, depuración y análisis de información energética y económica, la construcción y  el desarrollo de análisi"/>
    <s v="Enero "/>
    <s v="Enero "/>
    <s v="Enero "/>
    <n v="11.5"/>
    <s v="Meses"/>
    <s v="Contratación directa - Prestación de servicios profesionales "/>
    <s v="Propios - 20 - Ingresos corrientes"/>
    <n v="69000000"/>
    <n v="69000000"/>
    <s v="No"/>
    <s v="N/A"/>
    <s v="Johanna Castellanos"/>
    <s v="Subdirectora de Demanda"/>
    <n v="6012220622"/>
    <s v="johanna.castellanos@upme.gov.co"/>
    <n v="0"/>
    <n v="0"/>
    <n v="0"/>
    <n v="0"/>
    <n v="0"/>
    <n v="0"/>
    <n v="0"/>
    <n v="0"/>
    <n v="0"/>
    <n v="0"/>
    <n v="0"/>
    <n v="0"/>
    <n v="0"/>
    <n v="0"/>
    <n v="69000000"/>
    <n v="0"/>
    <n v="0"/>
    <n v="13800000"/>
    <n v="0"/>
    <n v="13800000"/>
    <n v="0"/>
    <n v="13800000"/>
    <n v="0"/>
    <n v="27600000"/>
    <n v="69000000"/>
    <n v="69000000"/>
    <n v="0"/>
    <n v="0"/>
    <s v="Prestar servicios profesionales para la elaboración, análisis, actualización del Balance Energético Colombiano (BECO), mediante la recolección, depuración y análisis de información energética y económica, la construcción y  el desarrollo de análisis cuant"/>
    <m/>
    <m/>
    <m/>
    <m/>
    <m/>
    <m/>
    <m/>
    <m/>
    <m/>
    <m/>
    <m/>
    <m/>
    <m/>
    <m/>
    <n v="69000000"/>
    <m/>
    <m/>
    <n v="13800000"/>
    <m/>
    <n v="13800000"/>
    <m/>
    <n v="13800000"/>
    <m/>
    <n v="27600000"/>
    <m/>
    <m/>
    <n v="69000000"/>
    <n v="69000000"/>
    <n v="0"/>
    <n v="0"/>
    <n v="55226"/>
    <d v="2026-01-22T00:00:00"/>
    <n v="69000000"/>
    <n v="0"/>
    <m/>
    <m/>
    <n v="0"/>
    <n v="69000000"/>
    <n v="690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9"/>
    <s v="160-21"/>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21 Prestar servicios profesionales para el análisis de información energética, contribuyendo a  la elaboración de estudios, reportes e indicadores."/>
    <s v="Enero "/>
    <s v="Enero "/>
    <s v="Enero "/>
    <n v="11"/>
    <s v="Meses"/>
    <s v="Contratación directa - Prestación de servicios profesionales "/>
    <s v="Propios - 20 - Ingresos corrientes"/>
    <n v="36792000"/>
    <n v="36792000"/>
    <s v="No"/>
    <s v="N/A"/>
    <s v="Johanna Castellanos"/>
    <s v="Subdirectora de Demanda"/>
    <n v="6012220623"/>
    <s v="johanna.castellanos@upme.gov.co"/>
    <n v="0"/>
    <n v="0"/>
    <n v="0"/>
    <n v="0"/>
    <n v="0"/>
    <n v="0"/>
    <n v="0"/>
    <n v="0"/>
    <n v="0"/>
    <n v="0"/>
    <n v="0"/>
    <n v="0"/>
    <n v="36792000"/>
    <n v="0"/>
    <n v="0"/>
    <n v="4000000"/>
    <n v="0"/>
    <n v="4000000"/>
    <n v="0"/>
    <n v="4000000"/>
    <n v="0"/>
    <n v="4000000"/>
    <n v="0"/>
    <n v="20792000"/>
    <n v="36792000"/>
    <n v="36792000"/>
    <n v="0"/>
    <n v="0"/>
    <s v="Prestar servicios profesionales para el análisis de información energética, contribuyendo a  la elaboración de estudios, reportes e indicadores."/>
    <m/>
    <m/>
    <m/>
    <m/>
    <m/>
    <m/>
    <m/>
    <m/>
    <m/>
    <m/>
    <m/>
    <m/>
    <n v="36792000"/>
    <m/>
    <m/>
    <n v="4000000"/>
    <m/>
    <n v="4000000"/>
    <m/>
    <n v="4000000"/>
    <m/>
    <n v="4000000"/>
    <m/>
    <n v="20792000"/>
    <m/>
    <m/>
    <n v="36792000"/>
    <n v="36792000"/>
    <n v="0"/>
    <n v="0"/>
    <n v="66526"/>
    <d v="2026-01-29T00:00:00"/>
    <n v="36135000"/>
    <n v="657000"/>
    <m/>
    <m/>
    <n v="0"/>
    <n v="36792000"/>
    <n v="36135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8"/>
    <s v="160-22"/>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22 Prestar servicios profesionales para brindar soporte técnico y regulatorio especializado para la elaboración de documentos de recomendaciones, análisis de impacto normativo y soporte estratégico en la formulación del Plan Energético Nacional (PEN) "/>
    <s v="Enero "/>
    <s v="Enero "/>
    <s v="Enero "/>
    <n v="11"/>
    <s v="Meses"/>
    <s v="Contratación directa - Prestación de servicios profesionales "/>
    <s v="Propios - 20 - Ingresos corrientes"/>
    <n v="115000000"/>
    <n v="115000000"/>
    <s v="No"/>
    <s v="N/A"/>
    <s v="Johanna Castellanos"/>
    <s v="Subdirectora de Demanda"/>
    <n v="6012220624"/>
    <s v="johanna.castellanos@upme.gov.co"/>
    <n v="0"/>
    <n v="0"/>
    <n v="110000000"/>
    <n v="0"/>
    <n v="0"/>
    <n v="10000000"/>
    <n v="0"/>
    <n v="10000000"/>
    <n v="0"/>
    <n v="10000000"/>
    <n v="0"/>
    <n v="10000000"/>
    <n v="0"/>
    <n v="10000000"/>
    <n v="0"/>
    <n v="10000000"/>
    <n v="0"/>
    <n v="10000000"/>
    <n v="0"/>
    <n v="10000000"/>
    <n v="0"/>
    <n v="10000000"/>
    <n v="5000000"/>
    <n v="25000000"/>
    <n v="115000000"/>
    <n v="115000000"/>
    <n v="0"/>
    <n v="0"/>
    <s v="Prestar servicios profesionales para brindar soporte técnico y regulatorio especializado para la elaboración de documentos de recomendaciones, análisis de impacto normativo y soporte estratégico en la formulación del Plan Energético Nacional (PEN) y los p"/>
    <m/>
    <m/>
    <n v="110000000"/>
    <m/>
    <m/>
    <n v="10000000"/>
    <m/>
    <n v="10000000"/>
    <m/>
    <n v="10000000"/>
    <m/>
    <n v="10000000"/>
    <m/>
    <n v="10000000"/>
    <m/>
    <n v="10000000"/>
    <m/>
    <n v="10000000"/>
    <m/>
    <n v="10000000"/>
    <m/>
    <n v="10000000"/>
    <n v="5000000"/>
    <n v="25000000"/>
    <m/>
    <m/>
    <n v="115000000"/>
    <n v="115000000"/>
    <n v="0"/>
    <n v="0"/>
    <n v="65026"/>
    <d v="2026-01-26T00:00:00"/>
    <n v="110000000"/>
    <n v="5000000"/>
    <n v="57526"/>
    <d v="2026-02-10T00:00:00"/>
    <n v="110000000"/>
    <n v="5000000"/>
    <n v="0"/>
    <s v="CASTAÑEDA HERNANDEZ RUSSBY LILIANA"/>
    <s v="CO1.PCCNTR.9308899"/>
    <m/>
    <m/>
    <m/>
    <n v="110000000"/>
    <m/>
    <m/>
    <m/>
    <n v="6666667"/>
    <n v="6666667"/>
    <m/>
    <n v="10000000"/>
    <n v="10000000"/>
    <m/>
    <m/>
    <m/>
    <m/>
    <m/>
    <m/>
    <m/>
    <m/>
    <m/>
    <m/>
    <m/>
    <m/>
    <m/>
    <m/>
    <m/>
    <m/>
    <m/>
    <m/>
    <m/>
    <m/>
    <m/>
    <m/>
    <m/>
    <m/>
    <n v="110000000"/>
    <n v="16666667"/>
    <n v="16666667"/>
    <n v="93333333"/>
    <n v="0"/>
    <x v="0"/>
  </r>
  <r>
    <x v="0"/>
    <x v="5"/>
    <s v="Fortalecimiento del sector en la planificación de la atención de la demanda energética nacional y la transición energética justa a nivel nacional"/>
    <s v="Demanda"/>
    <s v="Sí"/>
    <s v="Sí"/>
    <n v="68"/>
    <s v="160-23"/>
    <s v="Desarrollar la capacidad instalada en la planificación estratégica de la atención de la demanda."/>
    <s v="Documentos Metodológicos"/>
    <s v="Documento metodológico preliminar."/>
    <n v="80111620"/>
    <s v="C-2106-1900-13-40302B-2106005-02"/>
    <s v="Prestación de servicios profesionales y/o de apoyo a la gestión"/>
    <s v="160-23 Prestar servicios profesionales para apoyar el desarrollo, mantenimiento y actualización de sistemas de información geográfica, mediante la gestión, modelamiento y administración de información espacial. Así mismo, apoyar el diseño e implementación"/>
    <s v="Enero "/>
    <s v="Enero "/>
    <s v="Enero "/>
    <n v="11.5"/>
    <s v="Meses"/>
    <s v="Contratación directa - Prestación de servicios profesionales "/>
    <s v="Propios - 20 - Ingresos corrientes"/>
    <n v="57500000"/>
    <n v="57500000"/>
    <s v="No"/>
    <s v="N/A"/>
    <s v="Johanna Castellanos"/>
    <s v="Subdirectora de Demanda"/>
    <n v="6012220626"/>
    <s v="johanna.castellanos@upme.gov.co"/>
    <n v="0"/>
    <n v="0"/>
    <n v="55000000"/>
    <n v="0"/>
    <n v="0"/>
    <n v="5000000"/>
    <n v="0"/>
    <n v="5000000"/>
    <n v="0"/>
    <n v="5000000"/>
    <n v="0"/>
    <n v="5000000"/>
    <n v="0"/>
    <n v="5000000"/>
    <n v="0"/>
    <n v="5000000"/>
    <n v="0"/>
    <n v="5000000"/>
    <n v="0"/>
    <n v="5000000"/>
    <n v="0"/>
    <n v="5000000"/>
    <n v="2500000"/>
    <n v="12500000"/>
    <n v="57500000"/>
    <n v="57500000"/>
    <n v="0"/>
    <n v="0"/>
    <s v="Prestar servicios profesionales para apoyar el desarrollo, mantenimiento y actualización de sistemas de información geográfica, mediante la gestión, modelamiento y administración de información espacial. Así mismo, apoyar el diseño e implementación de ser"/>
    <m/>
    <m/>
    <n v="55000000"/>
    <m/>
    <m/>
    <n v="5000000"/>
    <m/>
    <n v="5000000"/>
    <m/>
    <n v="5000000"/>
    <m/>
    <n v="5000000"/>
    <m/>
    <n v="5000000"/>
    <m/>
    <n v="5000000"/>
    <m/>
    <n v="5000000"/>
    <m/>
    <n v="5000000"/>
    <m/>
    <n v="5000000"/>
    <n v="2500000"/>
    <n v="12500000"/>
    <m/>
    <m/>
    <n v="57500000"/>
    <n v="57500000"/>
    <n v="0"/>
    <n v="0"/>
    <n v="60126"/>
    <d v="2026-01-23T00:00:00"/>
    <n v="53333333"/>
    <n v="4166667"/>
    <n v="52726"/>
    <d v="2026-02-10T00:00:00"/>
    <n v="53333333"/>
    <n v="4166667"/>
    <n v="0"/>
    <s v="GALINDO PEREZ DANIEL ESTEBAN"/>
    <s v="CO1.PCCNTR.9277470"/>
    <m/>
    <m/>
    <m/>
    <n v="55000000"/>
    <m/>
    <m/>
    <m/>
    <n v="3333333"/>
    <n v="3333333"/>
    <n v="-1666667"/>
    <n v="5000000"/>
    <n v="5000000"/>
    <m/>
    <m/>
    <m/>
    <m/>
    <m/>
    <m/>
    <m/>
    <m/>
    <m/>
    <m/>
    <m/>
    <m/>
    <m/>
    <m/>
    <m/>
    <m/>
    <m/>
    <m/>
    <m/>
    <m/>
    <m/>
    <m/>
    <m/>
    <m/>
    <n v="53333333"/>
    <n v="8333333"/>
    <n v="8333333"/>
    <n v="45000000"/>
    <n v="0"/>
    <x v="0"/>
  </r>
  <r>
    <x v="0"/>
    <x v="5"/>
    <s v="Fortalecimiento del sector en la planificación de la atención de la demanda energética nacional y la transición energética justa a nivel nacional"/>
    <s v="Demanda"/>
    <s v="Sí"/>
    <s v="Sí"/>
    <n v="4"/>
    <s v="160-24"/>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24 Prestar servicios profesionales para apoyar la identificación, análisis y evaluación de potenciales, metas y medidas de eficiencia energética en los sectores residencial y terciario en Colombia, como insumos técnicos para la actualización y desarro"/>
    <s v="Enero "/>
    <s v="Enero "/>
    <s v="Enero "/>
    <n v="7"/>
    <s v="Meses"/>
    <s v="Contratación directa - Prestación de servicios profesionales "/>
    <s v="Propios - 20 - Ingresos corrientes"/>
    <n v="63000000"/>
    <n v="63000000"/>
    <s v="No"/>
    <s v="N/A"/>
    <s v="Johanna Castellanos"/>
    <s v="Subdirectora de Demanda"/>
    <n v="6012220627"/>
    <s v="johanna.castellanos@upme.gov.co"/>
    <n v="0"/>
    <n v="0"/>
    <n v="0"/>
    <n v="0"/>
    <n v="0"/>
    <n v="0"/>
    <n v="0"/>
    <n v="0"/>
    <n v="0"/>
    <n v="0"/>
    <n v="0"/>
    <n v="0"/>
    <n v="63000000"/>
    <n v="0"/>
    <n v="0"/>
    <n v="9000000"/>
    <n v="0"/>
    <n v="9000000"/>
    <n v="0"/>
    <n v="9000000"/>
    <n v="0"/>
    <n v="9000000"/>
    <n v="0"/>
    <n v="27000000"/>
    <n v="63000000"/>
    <n v="63000000"/>
    <n v="0"/>
    <n v="0"/>
    <s v="Prestar servicios profesionales para apoyar la identificación, análisis y evaluación de potenciales, metas y medidas de eficiencia energética en los sectores residencial y terciario en Colombia, como insumos técnicos para la actualización y desarrollo del"/>
    <m/>
    <m/>
    <m/>
    <m/>
    <m/>
    <m/>
    <m/>
    <m/>
    <m/>
    <m/>
    <m/>
    <m/>
    <n v="63000000"/>
    <m/>
    <m/>
    <n v="9000000"/>
    <m/>
    <n v="9000000"/>
    <m/>
    <n v="9000000"/>
    <m/>
    <n v="9000000"/>
    <m/>
    <n v="27000000"/>
    <m/>
    <m/>
    <n v="63000000"/>
    <n v="63000000"/>
    <n v="0"/>
    <n v="0"/>
    <n v="59126"/>
    <d v="2026-01-23T00:00:00"/>
    <n v="63000000"/>
    <n v="0"/>
    <m/>
    <m/>
    <n v="0"/>
    <n v="63000000"/>
    <n v="630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25"/>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25 Prestar servicios de apoyo a la gestión para la conceptualización e incorporación de variables socioambientales en la construcción de escenarios energéticos, mediante el levantamiento, procesamiento y análisis de datos, así como el apoyo a la artic"/>
    <s v="Enero "/>
    <s v="Enero "/>
    <s v="Enero "/>
    <n v="11.5"/>
    <s v="Meses"/>
    <s v="Contratación directa - Prestación de servicios profesionales "/>
    <s v="Propios - 20 - Ingresos corrientes"/>
    <n v="60000000"/>
    <n v="60000000"/>
    <s v="No"/>
    <s v="N/A"/>
    <s v="Johanna Castellanos"/>
    <s v="Subdirectora de Demanda"/>
    <n v="6012220628"/>
    <s v="johanna.castellanos@upme.gov.co"/>
    <n v="0"/>
    <n v="0"/>
    <n v="55000000"/>
    <n v="0"/>
    <n v="0"/>
    <n v="5000000"/>
    <n v="0"/>
    <n v="5000000"/>
    <n v="0"/>
    <n v="5000000"/>
    <n v="0"/>
    <n v="5000000"/>
    <n v="0"/>
    <n v="5000000"/>
    <n v="0"/>
    <n v="5000000"/>
    <n v="0"/>
    <n v="5000000"/>
    <n v="0"/>
    <n v="5000000"/>
    <n v="0"/>
    <n v="5000000"/>
    <n v="5000000"/>
    <n v="15000000"/>
    <n v="60000000"/>
    <n v="60000000"/>
    <n v="0"/>
    <n v="0"/>
    <s v="Prestar servicios de apoyo a la gestión para la conceptualización e incorporación de variables socioambientales en la construcción de escenarios energéticos, mediante el levantamiento, procesamiento y análisis de datos, así como el apoyo a la articulación"/>
    <m/>
    <m/>
    <n v="55000000"/>
    <m/>
    <m/>
    <n v="5000000"/>
    <m/>
    <n v="5000000"/>
    <m/>
    <n v="5000000"/>
    <m/>
    <n v="5000000"/>
    <m/>
    <n v="5000000"/>
    <m/>
    <n v="5000000"/>
    <m/>
    <n v="5000000"/>
    <m/>
    <n v="5000000"/>
    <m/>
    <n v="5000000"/>
    <n v="5000000"/>
    <n v="15000000"/>
    <m/>
    <m/>
    <n v="60000000"/>
    <n v="60000000"/>
    <n v="0"/>
    <n v="0"/>
    <n v="36926"/>
    <d v="2026-01-15T00:00:00"/>
    <n v="53333333"/>
    <n v="6666667"/>
    <n v="56726"/>
    <d v="2026-02-10T00:00:00"/>
    <n v="53333333"/>
    <n v="6666667"/>
    <n v="0"/>
    <s v="MUÑOZ MORA NICOLAS"/>
    <s v="CO1.PCCNTR.9277416"/>
    <m/>
    <m/>
    <m/>
    <n v="55000000"/>
    <m/>
    <m/>
    <n v="-1666667"/>
    <n v="3333333"/>
    <n v="3333333"/>
    <m/>
    <n v="5000000"/>
    <n v="5000000"/>
    <m/>
    <m/>
    <m/>
    <m/>
    <m/>
    <m/>
    <m/>
    <m/>
    <m/>
    <m/>
    <m/>
    <m/>
    <m/>
    <m/>
    <m/>
    <m/>
    <m/>
    <m/>
    <m/>
    <m/>
    <m/>
    <m/>
    <m/>
    <m/>
    <n v="53333333"/>
    <n v="8333333"/>
    <n v="8333333"/>
    <n v="45000000"/>
    <n v="0"/>
    <x v="0"/>
  </r>
  <r>
    <x v="0"/>
    <x v="5"/>
    <s v="Fortalecimiento del sector en la planificación de la atención de la demanda energética nacional y la transición energética justa a nivel nacional"/>
    <s v="Demanda"/>
    <s v="Sí"/>
    <s v="Sí"/>
    <n v="68"/>
    <s v="160-26"/>
    <s v="Mejorar la representatividad en la información de la participación de los sectores económicos en el consumo de energía."/>
    <s v="Documentos de Planeación"/>
    <s v="Divulgación"/>
    <n v="80111620"/>
    <s v="C-2106-1900-13-40302B-2106003-02"/>
    <s v="Prestación de servicios profesionales y/o de apoyo a la gestión"/>
    <s v="160-26 Prestar los servicios profesionales para realizar el seguimiento a la demanda de energía de los grandes consumidores, para establecer el impacto en las proyecciones de demanda en los diferentes planes de la entidad, en aras de impulsar las FNCE y l"/>
    <s v="Enero "/>
    <s v="Enero "/>
    <s v="Enero "/>
    <n v="11.5"/>
    <s v="Meses"/>
    <s v="Contratación directa - Prestación de servicios profesionales "/>
    <s v="Propios - 20 - Ingresos corrientes"/>
    <n v="103615412"/>
    <n v="103615412"/>
    <s v="No"/>
    <s v="N/A"/>
    <s v="Johanna Castellanos"/>
    <s v="Subdirectora de Demanda"/>
    <n v="6012220629"/>
    <s v="johanna.castellanos@upme.gov.co"/>
    <n v="0"/>
    <n v="0"/>
    <n v="103615412"/>
    <n v="0"/>
    <n v="0"/>
    <n v="9650000"/>
    <n v="0"/>
    <n v="9650000"/>
    <n v="0"/>
    <n v="9650000"/>
    <n v="0"/>
    <n v="9650000"/>
    <n v="0"/>
    <n v="9650000"/>
    <n v="0"/>
    <n v="9650000"/>
    <n v="0"/>
    <n v="9650000"/>
    <n v="0"/>
    <n v="9650000"/>
    <n v="0"/>
    <n v="8395342"/>
    <n v="0"/>
    <n v="18020070"/>
    <n v="103615412"/>
    <n v="103615412"/>
    <n v="0"/>
    <n v="0"/>
    <s v="Prestar los servicios profesionales para realizar el seguimiento a la demanda de energía de los grandes consumidores, para establecer el impacto en las proyecciones de demanda en los diferentes planes de la entidad, en aras de impulsar las FNCE y la GEE; "/>
    <m/>
    <m/>
    <n v="103615412"/>
    <m/>
    <m/>
    <n v="9650000"/>
    <m/>
    <n v="9650000"/>
    <m/>
    <n v="9650000"/>
    <m/>
    <n v="9650000"/>
    <m/>
    <n v="9650000"/>
    <m/>
    <n v="9650000"/>
    <m/>
    <n v="9650000"/>
    <m/>
    <n v="9650000"/>
    <m/>
    <n v="8395342"/>
    <m/>
    <n v="18020070"/>
    <m/>
    <m/>
    <n v="103615412"/>
    <n v="103615412"/>
    <n v="0"/>
    <n v="0"/>
    <n v="60426"/>
    <d v="2026-01-23T00:00:00"/>
    <n v="102611667"/>
    <n v="1003745"/>
    <n v="59026"/>
    <d v="2026-02-11T00:00:00"/>
    <n v="102611667"/>
    <n v="1003745"/>
    <n v="0"/>
    <s v="BEDOYA VELEZ LUISA FERNANDA"/>
    <s v="CO1.PCCNTR.9277747"/>
    <m/>
    <m/>
    <m/>
    <n v="103615412"/>
    <m/>
    <m/>
    <n v="-1003745"/>
    <n v="6111667"/>
    <n v="6111667"/>
    <m/>
    <n v="9650000"/>
    <n v="9650000"/>
    <m/>
    <m/>
    <m/>
    <m/>
    <m/>
    <m/>
    <m/>
    <m/>
    <m/>
    <m/>
    <m/>
    <m/>
    <m/>
    <m/>
    <m/>
    <m/>
    <m/>
    <m/>
    <m/>
    <m/>
    <m/>
    <m/>
    <m/>
    <m/>
    <n v="102611667"/>
    <n v="15761667"/>
    <n v="15761667"/>
    <n v="86850000"/>
    <n v="0"/>
    <x v="0"/>
  </r>
  <r>
    <x v="0"/>
    <x v="5"/>
    <s v="Fortalecimiento del sector en la planificación de la atención de la demanda energética nacional y la transición energética justa a nivel nacional"/>
    <s v="Demanda"/>
    <s v="Sí"/>
    <s v="Sí"/>
    <n v="68"/>
    <s v="160-27"/>
    <s v="Fomentar la articulación de la política pública, el marco regulatorio y la visión de gobierno."/>
    <s v="Documentos de Lineamientos Técnicos"/>
    <s v="Documento con la descripción de procesos, métodos y herramientas."/>
    <n v="80111620"/>
    <s v="C-2106-1900-13-40302B-2106010-02"/>
    <s v="Prestación de servicios profesionales y/o de apoyo a la gestión"/>
    <s v="160-27 Prestar los servicios profesionales para realizar el seguimiento a la demanda de energía de los grandes consumidores, para establecer el impacto en las proyecciones de demanda en los diferentes planes de la entidad, en aras de impulsar las FNCE y l"/>
    <s v="Enero "/>
    <s v="Enero "/>
    <s v="Enero "/>
    <n v="11.5"/>
    <s v="Meses"/>
    <s v="Contratación directa - Prestación de servicios profesionales "/>
    <s v="Propios - 20 - Ingresos corrientes"/>
    <n v="11384588"/>
    <n v="11384588"/>
    <s v="No"/>
    <s v="N/A"/>
    <s v="Johanna Castellanos"/>
    <s v="Subdirectora de Demanda"/>
    <n v="6012220629"/>
    <s v="johanna.castellanos@upme.gov.co"/>
    <n v="0"/>
    <n v="0"/>
    <n v="2534588"/>
    <n v="0"/>
    <n v="0"/>
    <n v="0"/>
    <n v="0"/>
    <n v="0"/>
    <n v="0"/>
    <n v="0"/>
    <n v="0"/>
    <n v="0"/>
    <n v="0"/>
    <n v="0"/>
    <n v="0"/>
    <n v="0"/>
    <n v="0"/>
    <n v="0"/>
    <n v="0"/>
    <n v="0"/>
    <n v="0"/>
    <n v="1254658"/>
    <n v="8850000"/>
    <n v="10129930"/>
    <n v="11384588"/>
    <n v="11384588"/>
    <n v="0"/>
    <n v="0"/>
    <s v="Prestar los servicios profesionales para realizar el seguimiento a la demanda de energía de los grandes consumidores, para establecer el impacto en las proyecciones de demanda en los diferentes planes de la entidad, en aras de impulsar las FNCE y la GEE; "/>
    <m/>
    <m/>
    <n v="2534588"/>
    <m/>
    <m/>
    <m/>
    <m/>
    <m/>
    <m/>
    <m/>
    <m/>
    <m/>
    <m/>
    <m/>
    <m/>
    <m/>
    <m/>
    <m/>
    <m/>
    <m/>
    <m/>
    <n v="1254658"/>
    <n v="8850000"/>
    <n v="10129930"/>
    <m/>
    <m/>
    <n v="11384588"/>
    <n v="11384588"/>
    <n v="0"/>
    <n v="0"/>
    <n v="60426"/>
    <d v="2026-01-23T00:00:00"/>
    <n v="8850000"/>
    <n v="2534588"/>
    <n v="59026"/>
    <d v="2026-02-11T00:00:00"/>
    <n v="0"/>
    <n v="11384588"/>
    <n v="8850000"/>
    <s v="BEDOYA VELEZ LUISA FERNANDA"/>
    <s v="CO1.PCCNTR.9277747"/>
    <m/>
    <m/>
    <m/>
    <n v="2534588"/>
    <m/>
    <m/>
    <n v="-2534588"/>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28"/>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28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1"/>
    <s v="johanna.castellanos@upme.gov.co"/>
    <n v="0"/>
    <n v="0"/>
    <n v="0"/>
    <n v="0"/>
    <n v="0"/>
    <n v="0"/>
    <n v="0"/>
    <n v="0"/>
    <n v="0"/>
    <n v="0"/>
    <n v="0"/>
    <n v="0"/>
    <n v="0"/>
    <n v="0"/>
    <n v="17100000"/>
    <n v="0"/>
    <n v="0"/>
    <n v="3420000"/>
    <n v="0"/>
    <n v="3420000"/>
    <n v="0"/>
    <n v="3420000"/>
    <n v="0"/>
    <n v="684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m/>
    <m/>
    <n v="17100000"/>
    <m/>
    <m/>
    <n v="3420000"/>
    <m/>
    <n v="3420000"/>
    <m/>
    <n v="3420000"/>
    <m/>
    <n v="6840000"/>
    <m/>
    <m/>
    <n v="17100000"/>
    <n v="17100000"/>
    <n v="0"/>
    <n v="0"/>
    <n v="58226"/>
    <d v="2026-01-23T00:00:00"/>
    <n v="17100000"/>
    <n v="0"/>
    <m/>
    <m/>
    <n v="0"/>
    <n v="17100000"/>
    <n v="171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29"/>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29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2"/>
    <s v="johanna.castellanos@upme.gov.co"/>
    <n v="0"/>
    <n v="0"/>
    <n v="16344000"/>
    <n v="0"/>
    <n v="0"/>
    <n v="2270000"/>
    <n v="0"/>
    <n v="2270000"/>
    <n v="0"/>
    <n v="2270000"/>
    <n v="0"/>
    <n v="2270000"/>
    <n v="0"/>
    <n v="2270000"/>
    <n v="0"/>
    <n v="2270000"/>
    <n v="0"/>
    <n v="2270000"/>
    <n v="0"/>
    <n v="1210000"/>
    <n v="0"/>
    <n v="0"/>
    <n v="756000"/>
    <n v="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n v="16344000"/>
    <m/>
    <m/>
    <n v="2270000"/>
    <m/>
    <n v="2270000"/>
    <m/>
    <n v="2270000"/>
    <m/>
    <n v="2270000"/>
    <m/>
    <n v="2270000"/>
    <m/>
    <n v="2270000"/>
    <m/>
    <n v="2270000"/>
    <m/>
    <n v="1210000"/>
    <m/>
    <m/>
    <n v="756000"/>
    <m/>
    <m/>
    <m/>
    <n v="17100000"/>
    <n v="17100000"/>
    <n v="0"/>
    <n v="0"/>
    <n v="58126"/>
    <d v="2026-01-23T00:00:00"/>
    <n v="17100000"/>
    <n v="0"/>
    <n v="57226"/>
    <d v="2026-02-10T00:00:00"/>
    <n v="16344000"/>
    <n v="756000"/>
    <n v="756000"/>
    <s v="MORA TURIZO GERMAN"/>
    <s v="CO1.PCCNTR.9306727"/>
    <m/>
    <m/>
    <m/>
    <n v="16344000"/>
    <m/>
    <m/>
    <m/>
    <n v="1589000"/>
    <n v="1589000"/>
    <m/>
    <n v="2270000"/>
    <n v="2270000"/>
    <m/>
    <m/>
    <m/>
    <m/>
    <m/>
    <m/>
    <m/>
    <m/>
    <m/>
    <m/>
    <m/>
    <m/>
    <m/>
    <m/>
    <m/>
    <m/>
    <m/>
    <m/>
    <m/>
    <m/>
    <m/>
    <m/>
    <m/>
    <m/>
    <n v="16344000"/>
    <n v="3859000"/>
    <n v="3859000"/>
    <n v="12485000"/>
    <n v="0"/>
    <x v="0"/>
  </r>
  <r>
    <x v="0"/>
    <x v="5"/>
    <s v="Fortalecimiento del sector en la planificación de la atención de la demanda energética nacional y la transición energética justa a nivel nacional"/>
    <s v="Demanda"/>
    <s v="Sí"/>
    <s v="Sí"/>
    <n v="68"/>
    <s v="160-30"/>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30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2"/>
    <s v="Meses"/>
    <s v="Contratación directa - Prestación de servicios profesionales "/>
    <s v="Propios - 20 - Ingresos corrientes"/>
    <n v="16800000"/>
    <n v="16800000"/>
    <s v="No"/>
    <s v="N/A"/>
    <s v="Johanna Castellanos"/>
    <s v="Subdirectora de Demanda"/>
    <n v="6012220632"/>
    <s v="johanna.castellanos@upme.gov.co"/>
    <n v="0"/>
    <n v="0"/>
    <n v="0"/>
    <n v="0"/>
    <n v="0"/>
    <n v="0"/>
    <n v="0"/>
    <n v="0"/>
    <n v="0"/>
    <n v="0"/>
    <n v="0"/>
    <n v="0"/>
    <n v="0"/>
    <n v="0"/>
    <n v="16800000"/>
    <n v="0"/>
    <n v="0"/>
    <n v="3360000"/>
    <n v="0"/>
    <n v="3360000"/>
    <n v="0"/>
    <n v="3360000"/>
    <n v="0"/>
    <n v="6720000"/>
    <n v="16800000"/>
    <n v="168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m/>
    <m/>
    <n v="16800000"/>
    <m/>
    <m/>
    <n v="3360000"/>
    <m/>
    <n v="3360000"/>
    <m/>
    <n v="3360000"/>
    <m/>
    <n v="6720000"/>
    <m/>
    <m/>
    <n v="16800000"/>
    <n v="16800000"/>
    <n v="0"/>
    <n v="0"/>
    <n v="57926"/>
    <d v="2026-01-23T00:00:00"/>
    <n v="16800000"/>
    <n v="0"/>
    <m/>
    <m/>
    <n v="0"/>
    <n v="16800000"/>
    <n v="168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31"/>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31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3"/>
    <s v="johanna.castellanos@upme.gov.co"/>
    <n v="0"/>
    <n v="0"/>
    <n v="0"/>
    <n v="0"/>
    <n v="0"/>
    <n v="0"/>
    <n v="0"/>
    <n v="0"/>
    <n v="0"/>
    <n v="0"/>
    <n v="0"/>
    <n v="0"/>
    <n v="17100000"/>
    <n v="0"/>
    <n v="0"/>
    <n v="4000000"/>
    <n v="0"/>
    <n v="4000000"/>
    <n v="0"/>
    <n v="4000000"/>
    <n v="0"/>
    <n v="4000000"/>
    <n v="0"/>
    <n v="110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n v="17100000"/>
    <m/>
    <m/>
    <n v="4000000"/>
    <m/>
    <n v="4000000"/>
    <m/>
    <n v="4000000"/>
    <m/>
    <n v="4000000"/>
    <m/>
    <n v="1100000"/>
    <m/>
    <m/>
    <n v="17100000"/>
    <n v="17100000"/>
    <n v="0"/>
    <n v="0"/>
    <n v="57826"/>
    <d v="2026-01-23T00:00:00"/>
    <n v="17100000"/>
    <n v="0"/>
    <n v="50426"/>
    <d v="2026-02-09T00:00:00"/>
    <n v="16344000"/>
    <n v="756000"/>
    <n v="756000"/>
    <s v="SUAREZ PEREZ ANDRES LEONARDO"/>
    <s v="CO1.PCCNTR.9294848"/>
    <m/>
    <m/>
    <m/>
    <n v="16344000"/>
    <m/>
    <m/>
    <m/>
    <n v="1589000"/>
    <n v="1589000"/>
    <m/>
    <n v="2270000"/>
    <n v="2270000"/>
    <m/>
    <m/>
    <m/>
    <m/>
    <m/>
    <m/>
    <m/>
    <m/>
    <m/>
    <m/>
    <m/>
    <m/>
    <m/>
    <m/>
    <m/>
    <m/>
    <m/>
    <m/>
    <m/>
    <m/>
    <m/>
    <m/>
    <m/>
    <m/>
    <n v="16344000"/>
    <n v="3859000"/>
    <n v="3859000"/>
    <n v="12485000"/>
    <n v="0"/>
    <x v="0"/>
  </r>
  <r>
    <x v="0"/>
    <x v="5"/>
    <s v="Fortalecimiento del sector en la planificación de la atención de la demanda energética nacional y la transición energética justa a nivel nacional"/>
    <s v="Demanda"/>
    <s v="Sí"/>
    <s v="Sí"/>
    <n v="68"/>
    <s v="160-32"/>
    <s v="Desarrollar la capacidad instalada en la planificación estratégica de la atención de la demanda."/>
    <s v="Documentos Metodológicos"/>
    <s v="Documento metodológico preliminar."/>
    <n v="80111620"/>
    <s v="C-2106-1900-13-40302B-2106005-02"/>
    <s v="Prestación de servicios profesionales y/o de apoyo a la gestión"/>
    <s v="160-32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3"/>
    <s v="johanna.castellanos@upme.gov.co"/>
    <n v="0"/>
    <n v="0"/>
    <n v="0"/>
    <n v="0"/>
    <n v="0"/>
    <n v="0"/>
    <n v="0"/>
    <n v="0"/>
    <n v="0"/>
    <n v="0"/>
    <n v="0"/>
    <n v="0"/>
    <n v="17100000"/>
    <n v="0"/>
    <n v="0"/>
    <n v="4000000"/>
    <n v="0"/>
    <n v="4000000"/>
    <n v="0"/>
    <n v="4000000"/>
    <n v="0"/>
    <n v="4000000"/>
    <n v="0"/>
    <n v="110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n v="17100000"/>
    <m/>
    <m/>
    <n v="4000000"/>
    <m/>
    <n v="4000000"/>
    <m/>
    <n v="4000000"/>
    <m/>
    <n v="4000000"/>
    <m/>
    <n v="1100000"/>
    <m/>
    <m/>
    <n v="17100000"/>
    <n v="17100000"/>
    <n v="0"/>
    <n v="0"/>
    <n v="62626"/>
    <d v="2026-01-23T00:00:00"/>
    <n v="16500000"/>
    <n v="600000"/>
    <n v="53826"/>
    <d v="2026-02-10T00:00:00"/>
    <n v="16344000"/>
    <n v="756000"/>
    <n v="156000"/>
    <s v="GARCIA CESPEDES DANIELA"/>
    <s v="CO1.PCCNTR.9299681"/>
    <m/>
    <m/>
    <m/>
    <n v="16344000"/>
    <m/>
    <m/>
    <m/>
    <n v="1513333"/>
    <n v="1513333"/>
    <m/>
    <n v="2270000"/>
    <n v="2270000"/>
    <m/>
    <m/>
    <m/>
    <m/>
    <m/>
    <m/>
    <m/>
    <m/>
    <m/>
    <m/>
    <m/>
    <m/>
    <m/>
    <m/>
    <m/>
    <m/>
    <m/>
    <m/>
    <m/>
    <m/>
    <m/>
    <m/>
    <m/>
    <m/>
    <n v="16344000"/>
    <n v="3783333"/>
    <n v="3783333"/>
    <n v="12560667"/>
    <n v="0"/>
    <x v="0"/>
  </r>
  <r>
    <x v="0"/>
    <x v="5"/>
    <s v="Fortalecimiento del sector en la planificación de la atención de la demanda energética nacional y la transición energética justa a nivel nacional"/>
    <s v="Demanda"/>
    <s v="Sí"/>
    <s v="Sí"/>
    <n v="68"/>
    <s v="160-33"/>
    <s v="Desarrollar la capacidad instalada en la planificación estratégica de la atención de la demanda."/>
    <s v="Documentos Metodológicos"/>
    <s v="Documento metodológico validado."/>
    <n v="80111620"/>
    <s v="C-2106-1900-13-40302B-2106005-02"/>
    <s v="Prestación de servicios profesionales y/o de apoyo a la gestión"/>
    <s v="160-33 Prestar servicios profesionales para la construcción de modelos matemáticos y de analítica de datos, así como la elaboración y divulgación de documentos de planeación, en el marco de la Transición Energética Justa, TEJ."/>
    <s v="Enero "/>
    <s v="Enero "/>
    <s v="Enero "/>
    <n v="11.5"/>
    <s v="Meses"/>
    <s v="Contratación directa - Prestación de servicios profesionales "/>
    <s v="Propios - 20 - Ingresos corrientes"/>
    <n v="72300000"/>
    <n v="72300000"/>
    <s v="No"/>
    <s v="N/A"/>
    <s v="Johanna Castellanos"/>
    <s v="Subdirectora de Demanda"/>
    <n v="6012220634"/>
    <s v="johanna.castellanos@upme.gov.co"/>
    <n v="0"/>
    <n v="0"/>
    <n v="36080000"/>
    <n v="0"/>
    <n v="0"/>
    <n v="3280000"/>
    <n v="0"/>
    <n v="3280000"/>
    <n v="0"/>
    <n v="3280000"/>
    <n v="0"/>
    <n v="3280000"/>
    <n v="0"/>
    <n v="3280000"/>
    <n v="0"/>
    <n v="3280000"/>
    <n v="0"/>
    <n v="3280000"/>
    <n v="0"/>
    <n v="3280000"/>
    <n v="18110000"/>
    <n v="3280000"/>
    <n v="18110000"/>
    <n v="42780000"/>
    <n v="72300000"/>
    <n v="72300000"/>
    <n v="0"/>
    <n v="0"/>
    <s v="Prestar servicios profesionales para la construcción de modelos matemáticos y de analítica de datos, así como la elaboración y divulgación de documentos de planeación, en el marco de la Transición Energética Justa, TEJ."/>
    <m/>
    <m/>
    <n v="36080000"/>
    <m/>
    <m/>
    <n v="3280000"/>
    <m/>
    <n v="3280000"/>
    <m/>
    <n v="3280000"/>
    <m/>
    <n v="3280000"/>
    <m/>
    <n v="3280000"/>
    <m/>
    <n v="3280000"/>
    <m/>
    <n v="3280000"/>
    <m/>
    <n v="3280000"/>
    <n v="18110000"/>
    <n v="3280000"/>
    <n v="18110000"/>
    <n v="42780000"/>
    <m/>
    <m/>
    <n v="72300000"/>
    <n v="72300000"/>
    <n v="0"/>
    <n v="0"/>
    <n v="48626"/>
    <d v="2026-01-19T00:00:00"/>
    <n v="71300000"/>
    <n v="1000000"/>
    <n v="56226"/>
    <d v="2026-02-10T00:00:00"/>
    <n v="34986667"/>
    <n v="37313333"/>
    <n v="36313333"/>
    <s v="CAMARGO BERTEL ANDRES ANDRE"/>
    <s v="CO1.PCCNTR.9288240"/>
    <m/>
    <m/>
    <m/>
    <n v="36080000"/>
    <m/>
    <m/>
    <n v="-1093333"/>
    <m/>
    <m/>
    <m/>
    <m/>
    <m/>
    <m/>
    <m/>
    <m/>
    <m/>
    <m/>
    <m/>
    <m/>
    <m/>
    <m/>
    <m/>
    <m/>
    <m/>
    <m/>
    <m/>
    <m/>
    <m/>
    <m/>
    <m/>
    <m/>
    <m/>
    <m/>
    <m/>
    <m/>
    <m/>
    <n v="34986667"/>
    <n v="0"/>
    <n v="0"/>
    <n v="34986667"/>
    <n v="0"/>
    <x v="0"/>
  </r>
  <r>
    <x v="0"/>
    <x v="5"/>
    <s v="Fortalecimiento del sector en la planificación de la atención de la demanda energética nacional y la transición energética justa a nivel nacional"/>
    <s v="Demanda"/>
    <s v="Sí"/>
    <s v="Sí"/>
    <n v="68"/>
    <s v="160-34"/>
    <s v="Desarrollar la capacidad instalada en la planificación estratégica de la atención de la demanda."/>
    <s v="Documentos Metodológicos"/>
    <s v="Diagnóstico"/>
    <n v="80111620"/>
    <s v="C-2106-1900-13-40302B-2106005-02"/>
    <s v="Prestación de servicios profesionales y/o de apoyo a la gestión"/>
    <s v="160-34 Prestar servicios profesionales para el diseño, desarrollo, mantenimiento y despliegue de aplicaciones web que soporten los planes, estudios, documentos técnicos y productos desarrollados por la Subdirección de Demanda. Así mismo, apoyar la impleme"/>
    <s v="Enero "/>
    <s v="Enero "/>
    <s v="Enero "/>
    <n v="11.5"/>
    <s v="Meses"/>
    <s v="Contratación directa - Prestación de servicios profesionales "/>
    <s v="Propios - 20 - Ingresos corrientes"/>
    <n v="80500000"/>
    <n v="80500000"/>
    <s v="No"/>
    <s v="N/A"/>
    <s v="Johanna Castellanos"/>
    <s v="Subdirectora de Demanda"/>
    <n v="6012220636"/>
    <s v="johanna.castellanos@upme.gov.co"/>
    <n v="0"/>
    <n v="0"/>
    <n v="77000000"/>
    <n v="0"/>
    <n v="0"/>
    <n v="7000000"/>
    <n v="0"/>
    <n v="7000000"/>
    <n v="0"/>
    <n v="7000000"/>
    <n v="0"/>
    <n v="7000000"/>
    <n v="0"/>
    <n v="7000000"/>
    <n v="0"/>
    <n v="7000000"/>
    <n v="0"/>
    <n v="7000000"/>
    <n v="0"/>
    <n v="7000000"/>
    <n v="0"/>
    <n v="7000000"/>
    <n v="3500000"/>
    <n v="17500000"/>
    <n v="80500000"/>
    <n v="80500000"/>
    <n v="0"/>
    <n v="0"/>
    <s v="Prestar servicios profesionales para el diseño, desarrollo, mantenimiento y despliegue de aplicaciones web que soporten los planes, estudios, documentos técnicos y productos desarrollados por la Subdirección de Demanda. Así mismo, apoyar la implementación"/>
    <m/>
    <m/>
    <n v="77000000"/>
    <m/>
    <m/>
    <n v="7000000"/>
    <m/>
    <n v="7000000"/>
    <m/>
    <n v="7000000"/>
    <m/>
    <n v="7000000"/>
    <m/>
    <n v="7000000"/>
    <m/>
    <n v="7000000"/>
    <m/>
    <n v="7000000"/>
    <m/>
    <n v="7000000"/>
    <m/>
    <n v="7000000"/>
    <n v="3500000"/>
    <n v="17500000"/>
    <m/>
    <m/>
    <n v="80500000"/>
    <n v="80500000"/>
    <n v="0"/>
    <n v="0"/>
    <n v="58826"/>
    <d v="2026-01-23T00:00:00"/>
    <n v="77000000"/>
    <n v="3500000"/>
    <n v="57026"/>
    <d v="2026-02-10T00:00:00"/>
    <n v="77000000"/>
    <n v="3500000"/>
    <n v="0"/>
    <s v="AGREDA DELGADO JUAN ALEXANDER"/>
    <s v="CO1.PCCNTR.9304360"/>
    <m/>
    <m/>
    <m/>
    <n v="77000000"/>
    <m/>
    <m/>
    <m/>
    <n v="4666667"/>
    <n v="4666667"/>
    <m/>
    <n v="7000000"/>
    <n v="7000000"/>
    <m/>
    <m/>
    <m/>
    <m/>
    <m/>
    <m/>
    <m/>
    <m/>
    <m/>
    <m/>
    <m/>
    <m/>
    <m/>
    <m/>
    <m/>
    <m/>
    <m/>
    <m/>
    <m/>
    <m/>
    <m/>
    <m/>
    <m/>
    <m/>
    <n v="77000000"/>
    <n v="11666667"/>
    <n v="11666667"/>
    <n v="65333333"/>
    <n v="0"/>
    <x v="0"/>
  </r>
  <r>
    <x v="0"/>
    <x v="5"/>
    <s v="Fortalecimiento del sector en la planificación de la atención de la demanda energética nacional y la transición energética justa a nivel nacional"/>
    <s v="Demanda"/>
    <s v="Sí"/>
    <s v="Sí"/>
    <n v="68"/>
    <s v="160-35"/>
    <s v="Desarrollar la capacidad instalada en la planificación estratégica de la atención de la demanda."/>
    <s v="Documentos Metodológicos"/>
    <s v="Documento metodológico preliminar."/>
    <n v="80111620"/>
    <s v="C-2106-1900-13-40302B-2106005-02"/>
    <s v="Prestación de servicios profesionales y/o de apoyo a la gestión"/>
    <s v="160-35 Prestar servicios profesionales en análisis de datos energéticos para el BECO, incluyendo la revisión y aseguramiento de la calidad de la información, la creación de documentos técnicos, el apoyo en procesos de certificación y la elaboración de est"/>
    <s v="Enero "/>
    <s v="Enero "/>
    <s v="Enero "/>
    <n v="11.2"/>
    <s v="Meses"/>
    <s v="Contratación directa - Prestación de servicios profesionales "/>
    <s v="Propios - 20 - Ingresos corrientes"/>
    <n v="67200000"/>
    <n v="67200000"/>
    <s v="No"/>
    <s v="N/A"/>
    <s v="Johanna Castellanos"/>
    <s v="Subdirectora de Demanda"/>
    <n v="6012220637"/>
    <s v="johanna.castellanos@upme.gov.co"/>
    <n v="0"/>
    <n v="0"/>
    <n v="66000000"/>
    <n v="0"/>
    <n v="0"/>
    <n v="6000000"/>
    <n v="0"/>
    <n v="6000000"/>
    <n v="0"/>
    <n v="6000000"/>
    <n v="0"/>
    <n v="6000000"/>
    <n v="0"/>
    <n v="6000000"/>
    <n v="0"/>
    <n v="6000000"/>
    <n v="0"/>
    <n v="6000000"/>
    <n v="0"/>
    <n v="6000000"/>
    <n v="0"/>
    <n v="6000000"/>
    <n v="1200000"/>
    <n v="13200000"/>
    <n v="67200000"/>
    <n v="67200000"/>
    <n v="0"/>
    <n v="0"/>
    <s v="Prestar servicios profesionales en análisis de datos energéticos para el BECO, incluyendo la revisión y aseguramiento de la calidad de la información, la creación de documentos técnicos, el apoyo en procesos de certificación y la elaboración de estadístic"/>
    <m/>
    <m/>
    <n v="66000000"/>
    <m/>
    <m/>
    <n v="6000000"/>
    <m/>
    <n v="6000000"/>
    <m/>
    <n v="6000000"/>
    <m/>
    <n v="6000000"/>
    <m/>
    <n v="6000000"/>
    <m/>
    <n v="6000000"/>
    <m/>
    <n v="6000000"/>
    <m/>
    <n v="6000000"/>
    <m/>
    <n v="6000000"/>
    <n v="1200000"/>
    <n v="13200000"/>
    <m/>
    <m/>
    <n v="67200000"/>
    <n v="67200000"/>
    <n v="0"/>
    <n v="0"/>
    <n v="52126"/>
    <d v="2026-01-20T00:00:00"/>
    <n v="67200000"/>
    <n v="0"/>
    <n v="56826"/>
    <d v="2026-02-10T00:00:00"/>
    <n v="66000000"/>
    <n v="1200000"/>
    <n v="1200000"/>
    <s v="CASALLAS GARCIA SANDRA MILENA"/>
    <s v="CO1.PCCNTR.9305782"/>
    <m/>
    <m/>
    <m/>
    <n v="66000000"/>
    <m/>
    <m/>
    <m/>
    <n v="4000000"/>
    <n v="4000000"/>
    <m/>
    <n v="6000000"/>
    <n v="6000000"/>
    <m/>
    <m/>
    <m/>
    <m/>
    <m/>
    <m/>
    <m/>
    <m/>
    <m/>
    <m/>
    <m/>
    <m/>
    <m/>
    <m/>
    <m/>
    <m/>
    <m/>
    <m/>
    <m/>
    <m/>
    <m/>
    <m/>
    <m/>
    <m/>
    <n v="66000000"/>
    <n v="10000000"/>
    <n v="10000000"/>
    <n v="56000000"/>
    <n v="0"/>
    <x v="0"/>
  </r>
  <r>
    <x v="0"/>
    <x v="5"/>
    <s v="Fortalecimiento del sector en la planificación de la atención de la demanda energética nacional y la transición energética justa a nivel nacional"/>
    <s v="Demanda"/>
    <s v="Sí"/>
    <s v="Sí"/>
    <n v="9"/>
    <s v="160-36"/>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36 Prestar servicios profesionales para el análisis de información energética, contribuyendo a  la elaboración de estudios, reportes e indicadores."/>
    <s v="Enero "/>
    <s v="Enero "/>
    <s v="Enero "/>
    <n v="11"/>
    <s v="Meses"/>
    <s v="Contratación directa - Prestación de servicios profesionales "/>
    <s v="Propios - 21 - Otros recursos de tesorería"/>
    <n v="37449000"/>
    <n v="37449000"/>
    <s v="No"/>
    <s v="N/A"/>
    <s v="Johanna Castellanos"/>
    <s v="Subdirectora de Demanda"/>
    <n v="6012220640"/>
    <s v="johanna.castellanos@upme.gov.co"/>
    <n v="0"/>
    <n v="0"/>
    <n v="36135000"/>
    <n v="0"/>
    <n v="0"/>
    <n v="3285000"/>
    <n v="0"/>
    <n v="3285000"/>
    <n v="0"/>
    <n v="3285000"/>
    <n v="0"/>
    <n v="3285000"/>
    <n v="0"/>
    <n v="3285000"/>
    <n v="0"/>
    <n v="3285000"/>
    <n v="0"/>
    <n v="3285000"/>
    <n v="0"/>
    <n v="3285000"/>
    <n v="0"/>
    <n v="3285000"/>
    <n v="1314000"/>
    <n v="7884000"/>
    <n v="37449000"/>
    <n v="37449000"/>
    <n v="0"/>
    <n v="0"/>
    <s v="Prestar servicios profesionales para el análisis de información energética, contribuyendo a  la elaboración de estudios, reportes e indicadores."/>
    <m/>
    <m/>
    <n v="36135000"/>
    <m/>
    <m/>
    <n v="3285000"/>
    <m/>
    <n v="3285000"/>
    <m/>
    <n v="3285000"/>
    <m/>
    <n v="3285000"/>
    <m/>
    <n v="3285000"/>
    <m/>
    <n v="3285000"/>
    <m/>
    <n v="3285000"/>
    <m/>
    <n v="3285000"/>
    <m/>
    <n v="3285000"/>
    <n v="1314000"/>
    <n v="7884000"/>
    <m/>
    <m/>
    <n v="37449000"/>
    <n v="37449000"/>
    <n v="0"/>
    <n v="0"/>
    <n v="67326"/>
    <d v="2026-01-29T00:00:00"/>
    <n v="35040000"/>
    <n v="2409000"/>
    <n v="55326"/>
    <d v="2026-02-10T00:00:00"/>
    <n v="35040000"/>
    <n v="2409000"/>
    <n v="0"/>
    <s v="PLATA CUCHIMAQUE NATALIA"/>
    <s v="CO1.PCCNTR.9308969"/>
    <m/>
    <m/>
    <m/>
    <n v="36135000"/>
    <m/>
    <m/>
    <m/>
    <n v="2190000"/>
    <n v="2190000"/>
    <n v="-1095000"/>
    <n v="3285000"/>
    <n v="3285000"/>
    <m/>
    <m/>
    <m/>
    <m/>
    <m/>
    <m/>
    <m/>
    <m/>
    <m/>
    <m/>
    <m/>
    <m/>
    <m/>
    <m/>
    <m/>
    <m/>
    <m/>
    <m/>
    <m/>
    <m/>
    <m/>
    <m/>
    <m/>
    <m/>
    <n v="35040000"/>
    <n v="5475000"/>
    <n v="5475000"/>
    <n v="29565000"/>
    <n v="0"/>
    <x v="0"/>
  </r>
  <r>
    <x v="0"/>
    <x v="5"/>
    <s v="Fortalecimiento del sector en la planificación de la atención de la demanda energética nacional y la transición energética justa a nivel nacional"/>
    <s v="Demanda"/>
    <s v="Sí"/>
    <s v="Sí"/>
    <n v="68"/>
    <s v="160-37"/>
    <s v="Desarrollar la capacidad instalada en la planificación estratégica de la atención de la demanda."/>
    <s v="Documentos Metodológicos"/>
    <s v="Diagnóstico"/>
    <n v="80111620"/>
    <s v="C-2106-1900-13-40302B-2106005-02"/>
    <s v="Prestación de servicios profesionales y/o de apoyo a la gestión"/>
    <s v="160-37 Prestar servicios profesionales para brindar soporte técnico, jurídico y regulatorio en la Subdirección de Demanda, mediante el análisis de información y evaluación de impactos normativos que apoyen la formulación de planes y la toma de decisiones "/>
    <s v="Enero "/>
    <s v="Enero "/>
    <s v="Enero "/>
    <n v="11.5"/>
    <s v="Meses"/>
    <s v="Contratación directa - Prestación de servicios profesionales "/>
    <s v="Propios - 20 - Ingresos corrientes"/>
    <n v="106950000"/>
    <n v="106950000"/>
    <s v="No"/>
    <s v="N/A"/>
    <s v="Johanna Castellanos"/>
    <s v="Subdirectora de Demanda"/>
    <n v="6012220641"/>
    <s v="johanna.castellanos@upme.gov.co"/>
    <n v="102300000"/>
    <n v="0"/>
    <n v="0"/>
    <n v="0"/>
    <n v="0"/>
    <n v="9300000"/>
    <n v="0"/>
    <n v="9300000"/>
    <n v="0"/>
    <n v="9300000"/>
    <n v="0"/>
    <n v="9300000"/>
    <n v="0"/>
    <n v="9300000"/>
    <n v="0"/>
    <n v="9300000"/>
    <n v="0"/>
    <n v="9300000"/>
    <n v="0"/>
    <n v="9300000"/>
    <n v="0"/>
    <n v="9300000"/>
    <n v="4650000"/>
    <n v="23250000"/>
    <n v="106950000"/>
    <n v="106950000"/>
    <n v="0"/>
    <n v="0"/>
    <s v="Prestar servicios profesionales para brindar soporte técnico, jurídico y regulatorio en la Subdirección de Demanda, mediante el análisis de información y evaluación de impactos normativos que apoyen la formulación de planes y la toma de decisiones estraté"/>
    <n v="102300000"/>
    <m/>
    <m/>
    <m/>
    <m/>
    <n v="9300000"/>
    <m/>
    <n v="9300000"/>
    <m/>
    <n v="9300000"/>
    <m/>
    <n v="9300000"/>
    <m/>
    <n v="9300000"/>
    <m/>
    <n v="9300000"/>
    <m/>
    <n v="9300000"/>
    <m/>
    <n v="9300000"/>
    <m/>
    <n v="9300000"/>
    <n v="4650000"/>
    <n v="23250000"/>
    <m/>
    <m/>
    <n v="106950000"/>
    <n v="106950000"/>
    <n v="0"/>
    <n v="0"/>
    <n v="38126"/>
    <d v="2026-01-15T00:00:00"/>
    <n v="106950000"/>
    <n v="0"/>
    <n v="24126"/>
    <d v="2026-01-27T00:00:00"/>
    <n v="102300000"/>
    <n v="4650000"/>
    <n v="4650000"/>
    <s v="CORRALES MENDOZA MARIA PAULA"/>
    <s v="CO1.PCCNTR.9112514"/>
    <n v="102300000"/>
    <m/>
    <m/>
    <m/>
    <m/>
    <m/>
    <m/>
    <n v="8990000"/>
    <n v="8990000"/>
    <m/>
    <n v="9300000"/>
    <n v="9300000"/>
    <m/>
    <m/>
    <m/>
    <m/>
    <m/>
    <m/>
    <m/>
    <m/>
    <m/>
    <m/>
    <m/>
    <m/>
    <m/>
    <m/>
    <m/>
    <m/>
    <m/>
    <m/>
    <m/>
    <m/>
    <m/>
    <m/>
    <m/>
    <m/>
    <n v="102300000"/>
    <n v="18290000"/>
    <n v="18290000"/>
    <n v="84010000"/>
    <n v="0"/>
    <x v="0"/>
  </r>
  <r>
    <x v="0"/>
    <x v="5"/>
    <s v="Fortalecimiento del sector en la planificación de la atención de la demanda energética nacional y la transición energética justa a nivel nacional"/>
    <s v="Demanda"/>
    <s v="Sí"/>
    <s v="Sí"/>
    <n v="6"/>
    <s v="160-38"/>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38 Prestar servicios profesionales para apoyar la definición de líneas base y meta de eficiencia como insumos para el PEN y la actualización del PAI PROURE 2026, mediante el análisis de información del sector transporte con énfasis en los modos fluvia"/>
    <s v="Enero "/>
    <s v="Enero "/>
    <s v="Enero "/>
    <n v="7"/>
    <s v="Meses"/>
    <s v="Contratación directa - Prestación de servicios profesionales "/>
    <s v="Propios - 20 - Ingresos corrientes"/>
    <n v="63000000"/>
    <n v="63000000"/>
    <s v="No"/>
    <s v="N/A"/>
    <s v="Johanna Castellanos"/>
    <s v="Subdirectora de Demanda"/>
    <n v="6012220643"/>
    <s v="johanna.castellanos@upme.gov.co"/>
    <n v="0"/>
    <n v="0"/>
    <n v="63000000"/>
    <n v="0"/>
    <n v="0"/>
    <n v="9000000"/>
    <n v="0"/>
    <n v="9000000"/>
    <n v="0"/>
    <n v="9000000"/>
    <n v="0"/>
    <n v="9000000"/>
    <n v="0"/>
    <n v="9000000"/>
    <n v="0"/>
    <n v="9000000"/>
    <n v="0"/>
    <n v="9000000"/>
    <n v="0"/>
    <n v="0"/>
    <n v="0"/>
    <n v="0"/>
    <n v="0"/>
    <n v="0"/>
    <n v="63000000"/>
    <n v="63000000"/>
    <n v="0"/>
    <n v="0"/>
    <s v="Prestar servicios profesionales para apoyar la definición de líneas base y meta de eficiencia como insumos para el PEN y la actualización del PAI PROURE 2026, mediante el análisis de información del sector transporte con énfasis en los modos fluvial, férr"/>
    <m/>
    <m/>
    <n v="63000000"/>
    <m/>
    <m/>
    <n v="9000000"/>
    <m/>
    <n v="9000000"/>
    <m/>
    <n v="9000000"/>
    <m/>
    <n v="9000000"/>
    <m/>
    <n v="9000000"/>
    <m/>
    <n v="9000000"/>
    <m/>
    <n v="9000000"/>
    <m/>
    <m/>
    <m/>
    <m/>
    <m/>
    <m/>
    <m/>
    <m/>
    <n v="63000000"/>
    <n v="63000000"/>
    <n v="0"/>
    <n v="0"/>
    <n v="58526"/>
    <d v="2026-01-23T00:00:00"/>
    <n v="63000000"/>
    <n v="0"/>
    <n v="52426"/>
    <d v="2026-02-09T00:00:00"/>
    <n v="63000000"/>
    <n v="0"/>
    <n v="0"/>
    <s v="VALENCIA CRUZ ALEXANDER"/>
    <s v="CO1.PCCNTR.9277768"/>
    <m/>
    <m/>
    <m/>
    <n v="63000000"/>
    <m/>
    <m/>
    <m/>
    <n v="6000000"/>
    <n v="6000000"/>
    <m/>
    <n v="9000000"/>
    <n v="9000000"/>
    <m/>
    <m/>
    <m/>
    <m/>
    <m/>
    <m/>
    <m/>
    <m/>
    <m/>
    <m/>
    <m/>
    <m/>
    <m/>
    <m/>
    <m/>
    <m/>
    <m/>
    <m/>
    <m/>
    <m/>
    <m/>
    <m/>
    <m/>
    <m/>
    <n v="63000000"/>
    <n v="15000000"/>
    <n v="15000000"/>
    <n v="48000000"/>
    <n v="0"/>
    <x v="0"/>
  </r>
  <r>
    <x v="0"/>
    <x v="5"/>
    <s v="Fortalecimiento del sector en la planificación de la atención de la demanda energética nacional y la transición energética justa a nivel nacional"/>
    <s v="Demanda"/>
    <s v="Sí"/>
    <s v="Sí"/>
    <n v="4"/>
    <s v="160-39"/>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39 Prestar servicios profesionales para apoyar la identificación, análisis y evaluación de potenciales, metas y medidas de eficiencia energética en la producción y transporte de hidrocarburos y minerales y termoeléctricas en Colombia, como insumos téc"/>
    <s v="Enero "/>
    <s v="Enero "/>
    <s v="Enero "/>
    <n v="7"/>
    <s v="Meses"/>
    <s v="Contratación directa - Prestación de servicios profesionales "/>
    <s v="Propios - 20 - Ingresos corrientes"/>
    <n v="63000000"/>
    <n v="63000000"/>
    <s v="No"/>
    <s v="N/A"/>
    <s v="Johanna Castellanos"/>
    <s v="Subdirectora de Demanda"/>
    <n v="6012220644"/>
    <s v="johanna.castellanos@upme.gov.co"/>
    <n v="0"/>
    <n v="0"/>
    <n v="63000000"/>
    <n v="0"/>
    <n v="0"/>
    <n v="9000000"/>
    <n v="0"/>
    <n v="9000000"/>
    <n v="0"/>
    <n v="9000000"/>
    <n v="0"/>
    <n v="9000000"/>
    <n v="0"/>
    <n v="9000000"/>
    <n v="0"/>
    <n v="9000000"/>
    <n v="0"/>
    <n v="9000000"/>
    <n v="0"/>
    <n v="0"/>
    <n v="0"/>
    <n v="0"/>
    <n v="0"/>
    <n v="0"/>
    <n v="63000000"/>
    <n v="63000000"/>
    <n v="0"/>
    <n v="0"/>
    <s v="Prestar servicios profesionales para apoyar la identificación, análisis y evaluación de potenciales, metas y medidas de eficiencia energética en la producción y transporte de hidrocarburos y minerales y termoeléctricas en Colombia, como insumos técnicos p"/>
    <m/>
    <m/>
    <n v="63000000"/>
    <m/>
    <m/>
    <n v="9000000"/>
    <m/>
    <n v="9000000"/>
    <m/>
    <n v="9000000"/>
    <m/>
    <n v="9000000"/>
    <m/>
    <n v="9000000"/>
    <m/>
    <n v="9000000"/>
    <m/>
    <n v="9000000"/>
    <m/>
    <m/>
    <m/>
    <m/>
    <m/>
    <m/>
    <m/>
    <m/>
    <n v="63000000"/>
    <n v="63000000"/>
    <n v="0"/>
    <n v="0"/>
    <n v="57526"/>
    <d v="2026-01-23T00:00:00"/>
    <n v="63000000"/>
    <n v="0"/>
    <n v="53126"/>
    <d v="2026-02-10T00:00:00"/>
    <n v="63000000"/>
    <n v="0"/>
    <n v="0"/>
    <s v="CONTRERAS CHACON ANGELICA MARIA"/>
    <s v="CO1.PCCNTR.9297902"/>
    <m/>
    <m/>
    <m/>
    <n v="63000000"/>
    <m/>
    <m/>
    <m/>
    <n v="6000000"/>
    <n v="6000000"/>
    <m/>
    <n v="9000000"/>
    <n v="9000000"/>
    <m/>
    <m/>
    <m/>
    <m/>
    <m/>
    <m/>
    <m/>
    <m/>
    <m/>
    <m/>
    <m/>
    <m/>
    <m/>
    <m/>
    <m/>
    <m/>
    <m/>
    <m/>
    <m/>
    <m/>
    <m/>
    <m/>
    <m/>
    <m/>
    <n v="63000000"/>
    <n v="15000000"/>
    <n v="15000000"/>
    <n v="48000000"/>
    <n v="0"/>
    <x v="0"/>
  </r>
  <r>
    <x v="0"/>
    <x v="5"/>
    <s v="Fortalecimiento del sector en la planificación de la atención de la demanda energética nacional y la transición energética justa a nivel nacional"/>
    <s v="Demanda"/>
    <s v="Sí"/>
    <s v="Sí"/>
    <n v="4"/>
    <s v="160-40"/>
    <s v="Desarrollar la capacidad instalada en la planificación estratégica de la atención de la demanda."/>
    <s v="Documentos Metodológicos"/>
    <s v="Documento metodológico preliminar."/>
    <n v="80111620"/>
    <s v="C-2106-1900-13-40302B-2106005-02"/>
    <s v="Prestación de servicios profesionales y/o de apoyo a la gestión"/>
    <s v="160-40 Prestar servicios profesionales para proponer modelos basados en optimización  y proyección de escenarios para la transición de la demanda y la oferta de energía en el marco de los planes de la subdirección de demanda, a partir de buenas prácticas "/>
    <s v="Enero "/>
    <s v="Enero "/>
    <s v="Enero "/>
    <n v="7"/>
    <s v="Meses"/>
    <s v="Contratación directa - Prestación de servicios profesionales "/>
    <s v="Propios - 20 - Ingresos corrientes"/>
    <n v="70000000"/>
    <n v="70000000"/>
    <s v="No"/>
    <s v="N/A"/>
    <s v="Johanna Castellanos"/>
    <s v="Subdirectora de Demanda"/>
    <n v="6012220644"/>
    <s v="johanna.castellanos@upme.gov.co"/>
    <n v="70000000"/>
    <n v="0"/>
    <n v="0"/>
    <n v="0"/>
    <n v="0"/>
    <n v="10000000"/>
    <n v="0"/>
    <n v="10000000"/>
    <n v="0"/>
    <n v="10000000"/>
    <n v="0"/>
    <n v="10000000"/>
    <n v="0"/>
    <n v="10000000"/>
    <n v="0"/>
    <n v="10000000"/>
    <n v="0"/>
    <n v="10000000"/>
    <n v="0"/>
    <n v="0"/>
    <n v="0"/>
    <n v="0"/>
    <n v="0"/>
    <n v="0"/>
    <n v="70000000"/>
    <n v="70000000"/>
    <n v="0"/>
    <n v="0"/>
    <s v="Prestar servicios profesionales para proponer modelos basados en optimización  y proyección de escenarios para la transición de la demanda y la oferta de energía en el marco de los planes de la subdirección de demanda, a partir de buenas prácticas de mode"/>
    <n v="70000000"/>
    <m/>
    <m/>
    <m/>
    <m/>
    <n v="10000000"/>
    <m/>
    <n v="10000000"/>
    <m/>
    <n v="10000000"/>
    <m/>
    <n v="10000000"/>
    <m/>
    <n v="10000000"/>
    <m/>
    <n v="10000000"/>
    <m/>
    <n v="10000000"/>
    <m/>
    <m/>
    <m/>
    <m/>
    <m/>
    <m/>
    <m/>
    <m/>
    <n v="70000000"/>
    <n v="70000000"/>
    <n v="0"/>
    <n v="0"/>
    <n v="46926"/>
    <d v="2026-01-19T00:00:00"/>
    <n v="70000000"/>
    <n v="0"/>
    <n v="24426"/>
    <d v="2026-01-27T00:00:00"/>
    <n v="70000000"/>
    <n v="0"/>
    <n v="0"/>
    <s v="SUAREZ MONSALVE DANIEL ALEJANDRO"/>
    <s v="CO1.PCCNTR.9112523"/>
    <n v="70000000"/>
    <m/>
    <m/>
    <m/>
    <n v="1000000"/>
    <n v="1000000"/>
    <m/>
    <n v="10000000"/>
    <n v="10000000"/>
    <m/>
    <n v="10000000"/>
    <n v="10000000"/>
    <m/>
    <m/>
    <m/>
    <m/>
    <m/>
    <m/>
    <m/>
    <m/>
    <m/>
    <m/>
    <m/>
    <m/>
    <m/>
    <m/>
    <m/>
    <m/>
    <m/>
    <m/>
    <m/>
    <m/>
    <m/>
    <m/>
    <m/>
    <m/>
    <n v="70000000"/>
    <n v="21000000"/>
    <n v="21000000"/>
    <n v="49000000"/>
    <n v="0"/>
    <x v="0"/>
  </r>
  <r>
    <x v="0"/>
    <x v="5"/>
    <s v="Fortalecimiento del sector en la planificación de la atención de la demanda energética nacional y la transición energética justa a nivel nacional"/>
    <s v="Demanda"/>
    <s v="Sí"/>
    <s v="Sí"/>
    <n v="68"/>
    <s v="160-41"/>
    <s v="Fomentar la articulación de la política pública, el marco regulatorio y la visión de gobierno."/>
    <s v="Documentos de Lineamientos Técnicos"/>
    <s v="Documento con la descripción de procesos, métodos y herramientas."/>
    <n v="80111620"/>
    <s v="C-2106-1900-13-40302B-2106010-02"/>
    <s v="Prestación de servicios profesionales y/o de apoyo a la gestión"/>
    <s v="160-41 Prestar servicios profesionales para apoyar la gestión, administración y optimización de la información de la Subdirección de Demanda, mediante el diseño, implementación y mantenimiento de bases de datos y flujos de datos que garanticen la disponib"/>
    <s v="Enero "/>
    <s v="Enero "/>
    <s v="Enero "/>
    <n v="11.4"/>
    <s v="Meses"/>
    <s v="Contratación directa - Prestación de servicios profesionales "/>
    <s v="Propios - 20 - Ingresos corrientes"/>
    <n v="68400000"/>
    <n v="68400000"/>
    <s v="No"/>
    <s v="N/A"/>
    <s v="Johanna Castellanos"/>
    <s v="Subdirectora de Demanda"/>
    <n v="6012220644"/>
    <s v="johanna.castellanos@upme.gov.co"/>
    <n v="0"/>
    <n v="0"/>
    <n v="66000000"/>
    <n v="0"/>
    <n v="0"/>
    <n v="6000000"/>
    <n v="0"/>
    <n v="6000000"/>
    <n v="0"/>
    <n v="6000000"/>
    <n v="0"/>
    <n v="6000000"/>
    <n v="0"/>
    <n v="6000000"/>
    <n v="0"/>
    <n v="6000000"/>
    <n v="0"/>
    <n v="6000000"/>
    <n v="0"/>
    <n v="6000000"/>
    <n v="0"/>
    <n v="6000000"/>
    <n v="2400000"/>
    <n v="14400000"/>
    <n v="68400000"/>
    <n v="68400000"/>
    <n v="0"/>
    <n v="0"/>
    <s v="Prestar servicios profesionales para apoyar la gestión, administración y optimización de la información de la Subdirección de Demanda, mediante el diseño, implementación y mantenimiento de bases de datos y flujos de datos que garanticen la disponibilidad,"/>
    <m/>
    <m/>
    <n v="66000000"/>
    <m/>
    <m/>
    <n v="6000000"/>
    <m/>
    <n v="6000000"/>
    <m/>
    <n v="6000000"/>
    <m/>
    <n v="6000000"/>
    <m/>
    <n v="6000000"/>
    <m/>
    <n v="6000000"/>
    <m/>
    <n v="6000000"/>
    <m/>
    <n v="6000000"/>
    <m/>
    <n v="6000000"/>
    <n v="2400000"/>
    <n v="14400000"/>
    <m/>
    <m/>
    <n v="68400000"/>
    <n v="68400000"/>
    <n v="0"/>
    <n v="0"/>
    <n v="49026"/>
    <d v="2026-01-19T00:00:00"/>
    <n v="65000000"/>
    <n v="3400000"/>
    <n v="45426"/>
    <d v="2026-02-05T00:00:00"/>
    <n v="65000000"/>
    <n v="3400000"/>
    <n v="0"/>
    <s v="CARDONA HOYOS LORENZO"/>
    <s v="CO1.PCCNTR.9239407"/>
    <m/>
    <m/>
    <m/>
    <n v="66000000"/>
    <m/>
    <m/>
    <m/>
    <n v="5000000"/>
    <n v="5000000"/>
    <n v="-1000000"/>
    <n v="6000000"/>
    <n v="6000000"/>
    <m/>
    <m/>
    <m/>
    <m/>
    <m/>
    <m/>
    <m/>
    <m/>
    <m/>
    <m/>
    <m/>
    <m/>
    <m/>
    <m/>
    <m/>
    <m/>
    <m/>
    <m/>
    <m/>
    <m/>
    <m/>
    <m/>
    <m/>
    <m/>
    <n v="65000000"/>
    <n v="11000000"/>
    <n v="11000000"/>
    <n v="54000000"/>
    <n v="0"/>
    <x v="0"/>
  </r>
  <r>
    <x v="0"/>
    <x v="5"/>
    <s v="Fortalecimiento del sector en la planificación de la atención de la demanda energética nacional y la transición energética justa a nivel nacional"/>
    <s v="Demanda"/>
    <s v="Sí"/>
    <s v="Sí"/>
    <n v="68"/>
    <s v="160-42"/>
    <s v="Fomentar la articulación de la política pública, el marco regulatorio y la visión de gobierno."/>
    <s v="Documentos de Lineamientos Técnicos"/>
    <s v="Documento con la descripción de procesos, métodos y herramientas."/>
    <n v="80111620"/>
    <s v="C-2106-1900-13-40302B-2106010-02"/>
    <s v="Prestación de servicios profesionales y/o de apoyo a la gestión"/>
    <s v="160-42 Prestar servicios profesionales como Diseñador de Interfaz Gráfica (UI) para la presentación de datos, mediante la creación y desarrollo de elementos visuales e interactivos que garanticen funcionalidad, claridad y coherencia gráfica, conforme a lo"/>
    <s v="Enero "/>
    <s v="Enero "/>
    <s v="Enero "/>
    <n v="11.4"/>
    <s v="Meses"/>
    <s v="Contratación directa - Prestación de servicios profesionales "/>
    <s v="Propios - 20 - Ingresos corrientes"/>
    <n v="74100000"/>
    <n v="74100000"/>
    <s v="No"/>
    <s v="N/A"/>
    <s v="Johanna Castellanos"/>
    <s v="Subdirectora de Demanda"/>
    <n v="6012220644"/>
    <s v="johanna.castellanos@upme.gov.co"/>
    <n v="0"/>
    <n v="0"/>
    <n v="71500000"/>
    <n v="0"/>
    <n v="0"/>
    <n v="6500000"/>
    <n v="0"/>
    <n v="6500000"/>
    <n v="0"/>
    <n v="6500000"/>
    <n v="0"/>
    <n v="6500000"/>
    <n v="0"/>
    <n v="6500000"/>
    <n v="0"/>
    <n v="6500000"/>
    <n v="0"/>
    <n v="6500000"/>
    <n v="0"/>
    <n v="6500000"/>
    <n v="0"/>
    <n v="6500000"/>
    <n v="2600000"/>
    <n v="15600000"/>
    <n v="74100000"/>
    <n v="74100000"/>
    <n v="0"/>
    <n v="0"/>
    <s v="Prestar servicios profesionales como Diseñador de Interfaz Gráfica (UI) para la presentación de datos, mediante la creación y desarrollo de elementos visuales e interactivos que garanticen funcionalidad, claridad y coherencia gráfica, conforme a los linea"/>
    <m/>
    <m/>
    <n v="71500000"/>
    <m/>
    <m/>
    <n v="6500000"/>
    <m/>
    <n v="6500000"/>
    <m/>
    <n v="6500000"/>
    <m/>
    <n v="6500000"/>
    <m/>
    <n v="6500000"/>
    <m/>
    <n v="6500000"/>
    <m/>
    <n v="6500000"/>
    <m/>
    <n v="6500000"/>
    <m/>
    <n v="6500000"/>
    <n v="2600000"/>
    <n v="15600000"/>
    <m/>
    <m/>
    <n v="74100000"/>
    <n v="74100000"/>
    <n v="0"/>
    <n v="0"/>
    <n v="63226"/>
    <d v="2026-01-23T00:00:00"/>
    <n v="71500000"/>
    <n v="2600000"/>
    <m/>
    <m/>
    <n v="0"/>
    <n v="74100000"/>
    <n v="715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43"/>
    <s v="Fomentar la articulación de la política pública, el marco regulatorio y la visión de gobierno."/>
    <s v="Documentos de Lineamientos Técnicos"/>
    <s v="Documento con la descripción de procesos, métodos y herramientas."/>
    <n v="80111620"/>
    <s v="C-2106-1900-13-40302B-2106010-02"/>
    <s v="Prestación de servicios profesionales y/o de apoyo a la gestión"/>
    <s v="160-43 Prestar servicios profesionales para apoyar la realización de la caracterización geográfica nacional de la distribución de hidrocarburos a nivel municipal y regional."/>
    <s v="Enero "/>
    <s v="Enero "/>
    <s v="Enero "/>
    <n v="11.5"/>
    <s v="Meses"/>
    <s v="Contratación directa - Prestación de servicios profesionales "/>
    <s v="Propios - 20 - Ingresos corrientes"/>
    <n v="47150000"/>
    <n v="47150000"/>
    <s v="No"/>
    <s v="N/A"/>
    <s v="Johanna Castellanos"/>
    <s v="Subdirectora de Demanda"/>
    <n v="6012220644"/>
    <s v="johanna.castellanos@upme.gov.co"/>
    <n v="0"/>
    <n v="0"/>
    <n v="45100000"/>
    <n v="0"/>
    <n v="0"/>
    <n v="4100000"/>
    <n v="0"/>
    <n v="4100000"/>
    <n v="0"/>
    <n v="4100000"/>
    <n v="0"/>
    <n v="4100000"/>
    <n v="0"/>
    <n v="4100000"/>
    <n v="0"/>
    <n v="4100000"/>
    <n v="0"/>
    <n v="4100000"/>
    <n v="0"/>
    <n v="4100000"/>
    <n v="0"/>
    <n v="4100000"/>
    <n v="2050000"/>
    <n v="10250000"/>
    <n v="47150000"/>
    <n v="47150000"/>
    <n v="0"/>
    <n v="0"/>
    <s v="Prestar servicios profesionales para apoyar la realización de la caracterización geográfica nacional de la distribución de hidrocarburos a nivel municipal y regional."/>
    <m/>
    <m/>
    <n v="45100000"/>
    <m/>
    <m/>
    <n v="4100000"/>
    <m/>
    <n v="4100000"/>
    <m/>
    <n v="4100000"/>
    <m/>
    <n v="4100000"/>
    <m/>
    <n v="4100000"/>
    <m/>
    <n v="4100000"/>
    <m/>
    <n v="4100000"/>
    <m/>
    <n v="4100000"/>
    <m/>
    <n v="4100000"/>
    <n v="2050000"/>
    <n v="10250000"/>
    <m/>
    <m/>
    <n v="47150000"/>
    <n v="47150000"/>
    <n v="0"/>
    <n v="0"/>
    <n v="48726"/>
    <d v="2026-01-19T00:00:00"/>
    <n v="47150000"/>
    <n v="0"/>
    <n v="49426"/>
    <d v="2026-02-09T00:00:00"/>
    <n v="45100000"/>
    <n v="2050000"/>
    <n v="2050000"/>
    <s v="GARCIA LANCHEROS MANUEL ALBERTO"/>
    <s v="CO1.PCCNTR.9291810"/>
    <m/>
    <m/>
    <m/>
    <n v="45100000"/>
    <m/>
    <m/>
    <m/>
    <n v="2870000"/>
    <n v="2870000"/>
    <m/>
    <n v="4100000"/>
    <n v="4100000"/>
    <m/>
    <m/>
    <m/>
    <m/>
    <m/>
    <m/>
    <m/>
    <m/>
    <m/>
    <m/>
    <m/>
    <m/>
    <m/>
    <m/>
    <m/>
    <m/>
    <m/>
    <m/>
    <m/>
    <m/>
    <m/>
    <m/>
    <m/>
    <m/>
    <n v="45100000"/>
    <n v="6970000"/>
    <n v="6970000"/>
    <n v="38130000"/>
    <n v="0"/>
    <x v="0"/>
  </r>
  <r>
    <x v="0"/>
    <x v="5"/>
    <s v="Fortalecimiento del sector en la planificación de la atención de la demanda energética nacional y la transición energética justa a nivel nacional"/>
    <s v="Demanda"/>
    <s v="Sí"/>
    <s v="Sí"/>
    <n v="4"/>
    <s v="160-44"/>
    <s v="Desarrollar la capacidad instalada en la planificación estratégica de la atención de la demanda."/>
    <s v="Documentos Metodológicos"/>
    <s v="Documento metodológico preliminar."/>
    <n v="80111620"/>
    <s v="C-2106-1900-13-40302B-2106005-02"/>
    <s v="Prestación de servicios profesionales y/o de apoyo a la gestión"/>
    <s v="160-44 Prestar servicios profesionales para realizar el seguimiento en las actividades asociadas a la Evaluación de Incentivos Tributarios y apoyo a la supervisión de los contratos relacionados con el trámite de Incentivos."/>
    <s v="Enero "/>
    <s v="Enero "/>
    <s v="Enero "/>
    <n v="11.4"/>
    <s v="Meses"/>
    <s v="Contratación directa - Prestación de servicios profesionales "/>
    <s v="Propios - 20 - Ingresos corrientes"/>
    <n v="74100000"/>
    <n v="74100000"/>
    <s v="No"/>
    <s v="N/A"/>
    <s v="Johanna Castellanos"/>
    <s v="Subdirectora de Demanda"/>
    <n v="6012220644"/>
    <s v="johanna.castellanos@upme.gov.co"/>
    <n v="0"/>
    <n v="0"/>
    <n v="71500000"/>
    <n v="0"/>
    <n v="0"/>
    <n v="6500000"/>
    <n v="0"/>
    <n v="6500000"/>
    <n v="0"/>
    <n v="6500000"/>
    <n v="0"/>
    <n v="6500000"/>
    <n v="0"/>
    <n v="6500000"/>
    <n v="0"/>
    <n v="6500000"/>
    <n v="0"/>
    <n v="6500000"/>
    <n v="0"/>
    <n v="6500000"/>
    <n v="0"/>
    <n v="6500000"/>
    <n v="2600000"/>
    <n v="15600000"/>
    <n v="74100000"/>
    <n v="74100000"/>
    <n v="0"/>
    <n v="0"/>
    <s v="Prestar servicios profesionales para realizar el seguimiento en las actividades asociadas a la Evaluación de Incentivos Tributarios y apoyo a la supervisión de los contratos relacionados con el trámite de Incentivos."/>
    <m/>
    <m/>
    <n v="71500000"/>
    <m/>
    <m/>
    <n v="6500000"/>
    <m/>
    <n v="6500000"/>
    <m/>
    <n v="6500000"/>
    <m/>
    <n v="6500000"/>
    <m/>
    <n v="6500000"/>
    <m/>
    <n v="6500000"/>
    <m/>
    <n v="6500000"/>
    <m/>
    <n v="6500000"/>
    <m/>
    <n v="6500000"/>
    <n v="2600000"/>
    <n v="15600000"/>
    <m/>
    <m/>
    <n v="74100000"/>
    <n v="74100000"/>
    <n v="0"/>
    <n v="0"/>
    <n v="55126"/>
    <d v="2026-01-22T00:00:00"/>
    <n v="71500000"/>
    <n v="2600000"/>
    <n v="54026"/>
    <d v="2026-02-10T00:00:00"/>
    <n v="71500000"/>
    <n v="2600000"/>
    <n v="0"/>
    <s v="RUEDA VILLARRAGA RAUL FERNANDO"/>
    <s v="CO1.PCCNTR.9182277"/>
    <m/>
    <m/>
    <m/>
    <n v="71500000"/>
    <m/>
    <m/>
    <m/>
    <m/>
    <m/>
    <m/>
    <n v="10833333"/>
    <n v="10833333"/>
    <m/>
    <m/>
    <m/>
    <m/>
    <m/>
    <m/>
    <m/>
    <m/>
    <m/>
    <m/>
    <m/>
    <m/>
    <m/>
    <m/>
    <m/>
    <m/>
    <m/>
    <m/>
    <m/>
    <m/>
    <m/>
    <m/>
    <m/>
    <m/>
    <n v="71500000"/>
    <n v="10833333"/>
    <n v="10833333"/>
    <n v="60666667"/>
    <n v="0"/>
    <x v="0"/>
  </r>
  <r>
    <x v="0"/>
    <x v="5"/>
    <s v="Fortalecimiento del sector en la planificación de la atención de la demanda energética nacional y la transición energética justa a nivel nacional"/>
    <s v="Demanda"/>
    <s v="Sí"/>
    <s v="Sí"/>
    <n v="3"/>
    <s v="160-45"/>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45 Prestar servicios profesionales para la evaluación de inversiones en proyectos de Gestión Eficiente de la Energía, aplicando criterios técnicos y metodologías usadas en servicios de interventoría, a las solicitudes de incentivos tributarios de la U"/>
    <s v="Enero "/>
    <s v="Enero "/>
    <s v="Enero "/>
    <n v="11.2"/>
    <s v="Meses"/>
    <s v="Contratación directa - Prestación de servicios profesionales "/>
    <s v="Propios - 20 - Ingresos corrientes"/>
    <n v="50400000"/>
    <n v="50400000"/>
    <s v="No"/>
    <s v="N/A"/>
    <s v="Johanna Castellanos"/>
    <s v="Subdirectora de Demanda"/>
    <n v="6012220644"/>
    <s v="johanna.castellanos@upme.gov.co"/>
    <n v="0"/>
    <n v="0"/>
    <n v="0"/>
    <n v="0"/>
    <n v="0"/>
    <n v="0"/>
    <n v="0"/>
    <n v="0"/>
    <n v="0"/>
    <n v="0"/>
    <n v="0"/>
    <n v="0"/>
    <n v="0"/>
    <n v="0"/>
    <n v="50400000"/>
    <n v="0"/>
    <n v="0"/>
    <n v="10080000"/>
    <n v="0"/>
    <n v="10080000"/>
    <n v="0"/>
    <n v="10080000"/>
    <n v="0"/>
    <n v="20160000"/>
    <n v="50400000"/>
    <n v="50400000"/>
    <n v="0"/>
    <n v="0"/>
    <s v="Prestar servicios profesionales para la evaluación de inversiones en proyectos de Gestión Eficiente de la Energía, aplicando criterios técnicos y metodologías usadas en servicios de interventoría, a las solicitudes de incentivos tributarios de la UPME, as"/>
    <n v="50050000"/>
    <m/>
    <m/>
    <m/>
    <m/>
    <m/>
    <m/>
    <m/>
    <m/>
    <m/>
    <m/>
    <m/>
    <m/>
    <m/>
    <m/>
    <m/>
    <m/>
    <n v="10080000"/>
    <n v="350000"/>
    <n v="10080000"/>
    <m/>
    <n v="10080000"/>
    <m/>
    <n v="20160000"/>
    <m/>
    <m/>
    <n v="50400000"/>
    <n v="50400000"/>
    <n v="0"/>
    <n v="0"/>
    <n v="46026"/>
    <d v="2026-01-19T00:00:00"/>
    <n v="50400000"/>
    <n v="0"/>
    <n v="26526"/>
    <d v="2026-01-28T00:00:00"/>
    <n v="50050000"/>
    <n v="350000"/>
    <n v="350000"/>
    <s v="PEREIRA CALDERON OMAR SAMUEL"/>
    <s v="CO1.PCCNTR.9093182_x000a_"/>
    <n v="50050000"/>
    <m/>
    <m/>
    <m/>
    <m/>
    <m/>
    <m/>
    <m/>
    <m/>
    <m/>
    <m/>
    <m/>
    <m/>
    <m/>
    <m/>
    <m/>
    <m/>
    <m/>
    <m/>
    <m/>
    <m/>
    <m/>
    <m/>
    <m/>
    <m/>
    <m/>
    <m/>
    <m/>
    <m/>
    <m/>
    <m/>
    <m/>
    <m/>
    <m/>
    <m/>
    <m/>
    <n v="50050000"/>
    <n v="0"/>
    <n v="0"/>
    <n v="50050000"/>
    <n v="0"/>
    <x v="0"/>
  </r>
  <r>
    <x v="0"/>
    <x v="5"/>
    <s v="Fortalecimiento del sector en la planificación de la atención de la demanda energética nacional y la transición energética justa a nivel nacional"/>
    <s v="Demanda"/>
    <s v="Sí"/>
    <s v="Sí"/>
    <n v="9"/>
    <s v="160-46"/>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46 Prestar servicios profesionales para el desarrollo de las actividades  de gestión de la información en la Subdirección de Demanda, incluyendo, diseño, actualizacion y mantenimiento  de bases de datos._x0009__x0009__x0009__x0009__x0009__x0009_"/>
    <s v="Enero "/>
    <s v="Enero "/>
    <s v="Enero "/>
    <n v="11"/>
    <s v="Meses"/>
    <s v="Contratación directa - Prestación de servicios profesionales "/>
    <s v="Propios - 20 - Ingresos corrientes"/>
    <n v="62700000"/>
    <n v="62700000"/>
    <s v="No"/>
    <s v="N/A"/>
    <s v="Johanna Castellanos"/>
    <s v="Subdirectora de Demanda"/>
    <n v="6012220644"/>
    <s v="johanna.castellanos@upme.gov.co"/>
    <n v="0"/>
    <n v="0"/>
    <n v="36080000"/>
    <n v="0"/>
    <n v="0"/>
    <n v="3280000"/>
    <n v="0"/>
    <n v="3280000"/>
    <n v="0"/>
    <n v="3280000"/>
    <n v="0"/>
    <n v="3280000"/>
    <n v="0"/>
    <n v="3280000"/>
    <n v="0"/>
    <n v="3280000"/>
    <n v="0"/>
    <n v="3280000"/>
    <n v="0"/>
    <n v="3280000"/>
    <n v="13310000"/>
    <n v="3280000"/>
    <n v="13310000"/>
    <n v="33180000"/>
    <n v="62700000"/>
    <n v="62700000"/>
    <n v="0"/>
    <n v="0"/>
    <s v="Prestar servicios profesionales para el desarrollo de las actividades  de gestión de la información en la Subdirección de Demanda, incluyendo, diseño, actualizacion y mantenimiento  de bases de datos._x0009__x0009__x0009__x0009__x0009__x0009_"/>
    <m/>
    <m/>
    <n v="36080000"/>
    <m/>
    <m/>
    <n v="3280000"/>
    <m/>
    <n v="3280000"/>
    <m/>
    <n v="3280000"/>
    <m/>
    <n v="3280000"/>
    <m/>
    <n v="3280000"/>
    <m/>
    <n v="3280000"/>
    <m/>
    <n v="3280000"/>
    <m/>
    <n v="3280000"/>
    <n v="13310000"/>
    <n v="3280000"/>
    <n v="13310000"/>
    <n v="33180000"/>
    <m/>
    <m/>
    <n v="62700000"/>
    <n v="62700000"/>
    <n v="0"/>
    <n v="0"/>
    <n v="66626"/>
    <d v="2026-01-30T00:00:00"/>
    <n v="34986667"/>
    <n v="27713333"/>
    <n v="55526"/>
    <d v="2026-02-10T00:00:00"/>
    <n v="34986667"/>
    <n v="27713333"/>
    <n v="0"/>
    <s v="CHAVEZ MASS JOSE DAVID"/>
    <s v="CO1.PCCNTR.9287799"/>
    <m/>
    <m/>
    <m/>
    <n v="36080000"/>
    <m/>
    <m/>
    <n v="-1093333"/>
    <n v="2186667"/>
    <n v="2186667"/>
    <m/>
    <n v="3280000"/>
    <n v="3280000"/>
    <m/>
    <m/>
    <m/>
    <m/>
    <m/>
    <m/>
    <m/>
    <m/>
    <m/>
    <m/>
    <m/>
    <m/>
    <m/>
    <m/>
    <m/>
    <m/>
    <m/>
    <m/>
    <m/>
    <m/>
    <m/>
    <m/>
    <m/>
    <m/>
    <n v="34986667"/>
    <n v="5466667"/>
    <n v="5466667"/>
    <n v="29520000"/>
    <n v="0"/>
    <x v="0"/>
  </r>
  <r>
    <x v="0"/>
    <x v="5"/>
    <s v="Fortalecimiento del sector en la planificación de la atención de la demanda energética nacional y la transición energética justa a nivel nacional"/>
    <s v="Demanda"/>
    <s v="Sí"/>
    <s v="Sí"/>
    <n v="22"/>
    <s v="160-47"/>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47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5"/>
    <s v="Meses"/>
    <s v="Contratación directa - Prestación de servicios profesionales "/>
    <s v="Propios - 20 - Ingresos corrientes"/>
    <n v="58000000"/>
    <n v="58000000"/>
    <s v="No"/>
    <s v="N/A"/>
    <s v="Johanna Castellanos"/>
    <s v="Subdirectora de Demanda"/>
    <n v="6012220644"/>
    <s v="johanna.castellanos@upme.gov.co"/>
    <n v="0"/>
    <n v="0"/>
    <n v="0"/>
    <n v="0"/>
    <n v="0"/>
    <n v="0"/>
    <n v="0"/>
    <n v="0"/>
    <n v="0"/>
    <n v="0"/>
    <n v="0"/>
    <n v="0"/>
    <n v="0"/>
    <n v="0"/>
    <n v="0"/>
    <n v="0"/>
    <n v="138000000"/>
    <n v="0"/>
    <n v="0"/>
    <n v="46000000"/>
    <n v="0"/>
    <n v="46000000"/>
    <n v="0"/>
    <n v="46000000"/>
    <n v="138000000"/>
    <n v="138000000"/>
    <n v="-80000000"/>
    <n v="-80000000"/>
    <s v="Prestar servicios profesionales para acompañar y gestionar los procesos de planeación energética de la Subdirección de Demanda, mediante el apoyo técnico y analítico en la formulación, seguimiento y actualización de planes, programas y proyectos, así como"/>
    <n v="0"/>
    <n v="0"/>
    <n v="0"/>
    <n v="0"/>
    <n v="0"/>
    <n v="0"/>
    <n v="0"/>
    <n v="0"/>
    <n v="0"/>
    <n v="0"/>
    <n v="0"/>
    <n v="0"/>
    <n v="0"/>
    <n v="0"/>
    <n v="0"/>
    <n v="0"/>
    <n v="58000000"/>
    <n v="0"/>
    <n v="0"/>
    <n v="19000000"/>
    <n v="0"/>
    <n v="19000000"/>
    <n v="0"/>
    <n v="20000000"/>
    <m/>
    <m/>
    <n v="58000000"/>
    <n v="58000000"/>
    <n v="0"/>
    <n v="0"/>
    <n v="52026"/>
    <d v="2026-01-20T00:00:00"/>
    <n v="135600000"/>
    <n v="-77600000"/>
    <m/>
    <m/>
    <n v="0"/>
    <n v="58000000"/>
    <n v="1356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48"/>
    <s v="Desarrollar la capacidad instalada en la planificación estratégica de la atención de la demanda."/>
    <s v="Documentos Metodológicos"/>
    <s v="Documento metodológico preliminar."/>
    <n v="80111620"/>
    <s v="C-2106-1900-13-40302B-2106005-02"/>
    <s v="Prestación de servicios profesionales y/o de apoyo a la gestión"/>
    <s v="160-48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36800000"/>
    <n v="136800000"/>
    <s v="No"/>
    <s v="N/A"/>
    <s v="Johanna Castellanos"/>
    <s v="Subdirectora de Demanda"/>
    <n v="6012220644"/>
    <s v="johanna.castellanos@upme.gov.co"/>
    <n v="0"/>
    <n v="0"/>
    <n v="0"/>
    <n v="0"/>
    <n v="0"/>
    <n v="0"/>
    <n v="0"/>
    <n v="0"/>
    <n v="0"/>
    <n v="0"/>
    <n v="0"/>
    <n v="0"/>
    <n v="0"/>
    <n v="0"/>
    <n v="0"/>
    <n v="0"/>
    <n v="136800000"/>
    <n v="0"/>
    <n v="0"/>
    <n v="45600000"/>
    <n v="0"/>
    <n v="45600000"/>
    <n v="0"/>
    <n v="45600000"/>
    <n v="136800000"/>
    <n v="136800000"/>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36800000"/>
    <m/>
    <m/>
    <n v="45600000"/>
    <m/>
    <n v="45600000"/>
    <m/>
    <n v="45600000"/>
    <m/>
    <m/>
    <n v="136800000"/>
    <n v="136800000"/>
    <n v="0"/>
    <n v="0"/>
    <m/>
    <m/>
    <m/>
    <n v="136800000"/>
    <m/>
    <m/>
    <n v="0"/>
    <n v="136800000"/>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49"/>
    <s v="Desarrollar la capacidad instalada en la planificación estratégica de la atención de la demanda."/>
    <s v="Documentos Metodológicos"/>
    <s v="Documento metodológico validado."/>
    <n v="80111620"/>
    <s v="C-2106-1900-13-40302B-2106005-02"/>
    <s v="Prestación de servicios profesionales y/o de apoyo a la gestión"/>
    <s v="160-49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00248373"/>
    <n v="100248373"/>
    <s v="No"/>
    <s v="N/A"/>
    <s v="Johanna Castellanos"/>
    <s v="Subdirectora de Demanda"/>
    <n v="6012220644"/>
    <s v="johanna.castellanos@upme.gov.co"/>
    <n v="0"/>
    <n v="0"/>
    <n v="0"/>
    <n v="0"/>
    <n v="0"/>
    <n v="0"/>
    <n v="0"/>
    <n v="0"/>
    <n v="0"/>
    <n v="0"/>
    <n v="0"/>
    <n v="0"/>
    <n v="0"/>
    <n v="0"/>
    <n v="0"/>
    <n v="0"/>
    <n v="100248373"/>
    <n v="0"/>
    <n v="0"/>
    <n v="33500000"/>
    <n v="0"/>
    <n v="33500000"/>
    <n v="0"/>
    <n v="33248373"/>
    <n v="100248373"/>
    <n v="100248373"/>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00248373"/>
    <m/>
    <m/>
    <n v="33500000"/>
    <m/>
    <n v="33500000"/>
    <m/>
    <n v="33248373"/>
    <m/>
    <m/>
    <n v="100248373"/>
    <n v="100248373"/>
    <n v="0"/>
    <n v="0"/>
    <m/>
    <m/>
    <m/>
    <n v="100248373"/>
    <m/>
    <m/>
    <n v="0"/>
    <n v="100248373"/>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3"/>
    <s v="160-50"/>
    <s v="Fomentar la articulación de la política pública, el marco regulatorio y la visión de gobierno."/>
    <s v="Documentos de Lineamientos Técnicos"/>
    <s v="Documento con la descripción de procesos, métodos y herramientas."/>
    <n v="80111620"/>
    <s v="C-2106-1900-13-40302B-2106010-02"/>
    <s v="Prestación de servicios profesionales y/o de apoyo a la gestión"/>
    <s v="160-50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8551627"/>
    <n v="18551627"/>
    <s v="No"/>
    <s v="N/A"/>
    <s v="Johanna Castellanos"/>
    <s v="Subdirectora de Demanda"/>
    <n v="6012220644"/>
    <s v="johanna.castellanos@upme.gov.co"/>
    <n v="0"/>
    <n v="0"/>
    <n v="0"/>
    <n v="0"/>
    <n v="0"/>
    <n v="0"/>
    <n v="0"/>
    <n v="0"/>
    <n v="0"/>
    <n v="0"/>
    <n v="0"/>
    <n v="0"/>
    <n v="0"/>
    <n v="0"/>
    <n v="0"/>
    <n v="0"/>
    <n v="18551627"/>
    <n v="0"/>
    <n v="0"/>
    <n v="9300000"/>
    <n v="0"/>
    <n v="9251627"/>
    <n v="0"/>
    <n v="0"/>
    <n v="18551627"/>
    <n v="18551627"/>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8551627"/>
    <m/>
    <m/>
    <n v="9300000"/>
    <m/>
    <n v="9251627"/>
    <m/>
    <m/>
    <m/>
    <m/>
    <n v="18551627"/>
    <n v="18551627"/>
    <n v="0"/>
    <n v="0"/>
    <m/>
    <m/>
    <m/>
    <n v="18551627"/>
    <m/>
    <m/>
    <n v="0"/>
    <n v="18551627"/>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51"/>
    <s v="Desarrollar la capacidad instalada en la planificación estratégica de la atención de la demanda."/>
    <s v="Documentos Metodológicos"/>
    <s v="Diagnóstico"/>
    <n v="80111620"/>
    <s v="C-2106-1900-13-40302B-2106005-02"/>
    <s v="Prestación de servicios profesionales y/o de apoyo a la gestión"/>
    <s v="160-51 Prestar servicios profesionales en derecho para apoyar la gestión contractual de la UPME, mediante la asesoría jurídica en las etapas precontractual, contractual y poscontractual, la elaboración, revisión y análisis de documentos y actos administra"/>
    <s v="Enero "/>
    <s v="Enero "/>
    <s v="Enero "/>
    <n v="11.4"/>
    <s v="Meses"/>
    <s v="Contratación directa - Prestación de servicios profesionales "/>
    <s v="Propios - 20 - Ingresos corrientes"/>
    <n v="72486080"/>
    <n v="72486080"/>
    <s v="No"/>
    <s v="N/A"/>
    <s v="Johanna Castellanos"/>
    <s v="Subdirectora de Demanda"/>
    <n v="6012220644"/>
    <s v="johanna.castellanos@upme.gov.co"/>
    <n v="72486080"/>
    <n v="0"/>
    <n v="0"/>
    <n v="2400000"/>
    <n v="0"/>
    <n v="9000000"/>
    <n v="0"/>
    <n v="9000000"/>
    <n v="0"/>
    <n v="9000000"/>
    <n v="0"/>
    <n v="9000000"/>
    <n v="0"/>
    <n v="9000000"/>
    <n v="0"/>
    <n v="9000000"/>
    <n v="0"/>
    <n v="9000000"/>
    <n v="0"/>
    <n v="7086080"/>
    <n v="0"/>
    <n v="0"/>
    <n v="0"/>
    <n v="0"/>
    <n v="72486080"/>
    <n v="72486080"/>
    <n v="0"/>
    <n v="0"/>
    <s v="Prestar servicios profesionales en derecho para apoyar la gestión contractual de la UPME, mediante la asesoría jurídica en las etapas precontractual, contractual y poscontractual, la elaboración, revisión y análisis de documentos y actos administrativos c"/>
    <n v="72486080"/>
    <m/>
    <m/>
    <n v="2400000"/>
    <m/>
    <n v="9000000"/>
    <m/>
    <n v="9000000"/>
    <m/>
    <n v="9000000"/>
    <m/>
    <n v="9000000"/>
    <m/>
    <n v="9000000"/>
    <m/>
    <n v="9000000"/>
    <m/>
    <n v="9000000"/>
    <m/>
    <n v="7086080"/>
    <m/>
    <m/>
    <m/>
    <m/>
    <m/>
    <m/>
    <n v="72486080"/>
    <n v="72486080"/>
    <n v="0"/>
    <n v="0"/>
    <n v="12926"/>
    <d v="2026-01-08T00:00:00"/>
    <n v="72486080"/>
    <n v="0"/>
    <n v="16226"/>
    <d v="2026-01-22T00:00:00"/>
    <n v="72486080"/>
    <n v="0"/>
    <n v="0"/>
    <s v="DURAN PAEZ MREYA MILENA"/>
    <s v="CO1.PCCNTR.8992141"/>
    <n v="72486080"/>
    <m/>
    <m/>
    <m/>
    <m/>
    <m/>
    <m/>
    <m/>
    <m/>
    <m/>
    <m/>
    <m/>
    <m/>
    <m/>
    <m/>
    <m/>
    <m/>
    <m/>
    <m/>
    <m/>
    <m/>
    <m/>
    <m/>
    <m/>
    <m/>
    <m/>
    <m/>
    <m/>
    <m/>
    <m/>
    <m/>
    <m/>
    <m/>
    <m/>
    <m/>
    <m/>
    <n v="72486080"/>
    <n v="0"/>
    <n v="0"/>
    <n v="72486080"/>
    <n v="0"/>
    <x v="0"/>
  </r>
  <r>
    <x v="0"/>
    <x v="5"/>
    <s v="Fortalecimiento del sector en la planificación de la atención de la demanda energética nacional y la transición energética justa a nivel nacional"/>
    <s v="Demanda"/>
    <s v="Sí"/>
    <s v="Sí"/>
    <n v="68"/>
    <s v="160-52"/>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52 Prestar servicios profesionales en derecho para apoyar la gestión contractual de la UPME, mediante la asesoría jurídica en las etapas precontractual, contractual y poscontractual, la elaboración, revisión y análisis de documentos y actos administra"/>
    <s v="Enero "/>
    <s v="Enero "/>
    <s v="Enero "/>
    <n v="11.4"/>
    <s v="Meses"/>
    <s v="Contratación directa - Prestación de servicios profesionales "/>
    <s v="Propios - 20 - Ingresos corrientes"/>
    <n v="30113920"/>
    <n v="30113920"/>
    <s v="No"/>
    <s v="N/A"/>
    <s v="Johanna Castellanos"/>
    <s v="Subdirectora de Demanda"/>
    <n v="6012220644"/>
    <s v="johanna.castellanos@upme.gov.co"/>
    <n v="30113920"/>
    <n v="0"/>
    <n v="0"/>
    <n v="0"/>
    <n v="0"/>
    <n v="0"/>
    <n v="0"/>
    <n v="0"/>
    <n v="0"/>
    <n v="0"/>
    <n v="0"/>
    <n v="0"/>
    <n v="0"/>
    <n v="0"/>
    <n v="0"/>
    <n v="0"/>
    <n v="0"/>
    <n v="0"/>
    <n v="0"/>
    <n v="1913920"/>
    <n v="0"/>
    <n v="9000000"/>
    <n v="0"/>
    <n v="19200000"/>
    <n v="30113920"/>
    <n v="30113920"/>
    <n v="0"/>
    <n v="0"/>
    <s v="Prestar servicios profesionales en derecho para apoyar la gestión contractual de la UPME, mediante la asesoría jurídica en las etapas precontractual, contractual y poscontractual, la elaboración, revisión y análisis de documentos y actos administrativos c"/>
    <n v="30113920"/>
    <m/>
    <m/>
    <m/>
    <m/>
    <m/>
    <m/>
    <m/>
    <m/>
    <m/>
    <m/>
    <m/>
    <m/>
    <m/>
    <m/>
    <m/>
    <m/>
    <m/>
    <m/>
    <n v="1913920"/>
    <m/>
    <n v="9000000"/>
    <m/>
    <n v="19200000"/>
    <m/>
    <m/>
    <n v="30113920"/>
    <n v="30113920"/>
    <n v="0"/>
    <n v="0"/>
    <n v="12926"/>
    <d v="2026-01-08T00:00:00"/>
    <n v="30113920"/>
    <n v="0"/>
    <n v="16226"/>
    <d v="2026-01-22T00:00:00"/>
    <n v="30113920"/>
    <n v="0"/>
    <n v="0"/>
    <s v="DURAN PAEZ MREYA MILENA"/>
    <s v="CO1.PCCNTR.8992141"/>
    <n v="30113920"/>
    <m/>
    <m/>
    <m/>
    <n v="2400000"/>
    <n v="2400000"/>
    <m/>
    <n v="9000000"/>
    <n v="9000000"/>
    <m/>
    <n v="9000000"/>
    <n v="9000000"/>
    <m/>
    <m/>
    <m/>
    <m/>
    <m/>
    <m/>
    <m/>
    <m/>
    <m/>
    <m/>
    <m/>
    <m/>
    <m/>
    <m/>
    <m/>
    <m/>
    <m/>
    <m/>
    <m/>
    <m/>
    <m/>
    <m/>
    <m/>
    <m/>
    <n v="30113920"/>
    <n v="20400000"/>
    <n v="20400000"/>
    <n v="9713920"/>
    <n v="0"/>
    <x v="0"/>
  </r>
  <r>
    <x v="0"/>
    <x v="5"/>
    <s v="Fortalecimiento del sector en la planificación de la atención de la demanda energética nacional y la transición energética justa a nivel nacional"/>
    <s v="Demanda"/>
    <s v="Sí"/>
    <s v="Sí"/>
    <n v="6"/>
    <s v="160-53"/>
    <s v="Fomentar la articulación de la política pública, el marco regulatorio y la visión de gobierno."/>
    <s v="Documentos de Lineamientos Técnicos"/>
    <s v="Documento con los resultados de las validaciones."/>
    <n v="80111620"/>
    <s v="C-2106-1900-13-40302B-2106010-02"/>
    <s v="Prestación de servicios profesionales y/o de apoyo a la gestión"/>
    <s v="160-53 Prestar servicios profesionales en el desarrollo de las actuaciones administrativas de la Entidad, mediante el análisis normativo, la proyección de respuestas a PQR´s  contribuyendo al cumplimiento de las funciones misionales y al fortalecimiento d"/>
    <s v="Enero "/>
    <s v="Enero "/>
    <s v="Enero "/>
    <n v="11.4"/>
    <s v="Meses"/>
    <s v="Contratación directa - Prestación de servicios profesionales "/>
    <s v="Propios - 20 - Ingresos corrientes"/>
    <n v="57000000"/>
    <n v="57000000"/>
    <s v="No"/>
    <s v="N/A"/>
    <s v="Johanna Castellanos"/>
    <s v="Subdirectora de Demanda"/>
    <n v="6012220644"/>
    <s v="johanna.castellanos@upme.gov.co"/>
    <n v="55000000"/>
    <n v="0"/>
    <n v="0"/>
    <n v="0"/>
    <n v="0"/>
    <n v="5000000"/>
    <n v="0"/>
    <n v="5000000"/>
    <n v="0"/>
    <n v="5000000"/>
    <n v="0"/>
    <n v="5000000"/>
    <n v="0"/>
    <n v="5000000"/>
    <n v="0"/>
    <n v="5000000"/>
    <n v="0"/>
    <n v="5000000"/>
    <n v="0"/>
    <n v="5000000"/>
    <n v="0"/>
    <n v="5000000"/>
    <n v="2000000"/>
    <n v="12000000"/>
    <n v="57000000"/>
    <n v="57000000"/>
    <n v="0"/>
    <n v="0"/>
    <s v="Prestar servicios profesionales en el desarrollo de las actuaciones administrativas de la Entidad, mediante el análisis normativo, la proyección de respuestas a PQR´s  contribuyendo al cumplimiento de las funciones misionales y al fortalecimiento de la ge"/>
    <n v="55000000"/>
    <m/>
    <m/>
    <m/>
    <m/>
    <n v="5000000"/>
    <m/>
    <n v="5000000"/>
    <m/>
    <n v="5000000"/>
    <m/>
    <n v="5000000"/>
    <m/>
    <n v="5000000"/>
    <m/>
    <n v="5000000"/>
    <m/>
    <n v="5000000"/>
    <m/>
    <n v="5000000"/>
    <m/>
    <n v="5000000"/>
    <n v="2000000"/>
    <n v="12000000"/>
    <m/>
    <m/>
    <n v="57000000"/>
    <n v="57000000"/>
    <n v="0"/>
    <n v="0"/>
    <n v="60026"/>
    <d v="2026-01-23T00:00:00"/>
    <n v="54833333"/>
    <n v="2166667"/>
    <n v="35026"/>
    <d v="2026-01-29T00:00:00"/>
    <n v="54833333"/>
    <n v="2166667"/>
    <n v="0"/>
    <s v="ACUNA JOHAN"/>
    <s v="CO1.PCCNTR.9183221"/>
    <n v="55000000"/>
    <m/>
    <m/>
    <m/>
    <m/>
    <m/>
    <m/>
    <n v="4833333"/>
    <n v="4833333"/>
    <n v="-166667"/>
    <n v="5000000"/>
    <n v="5000000"/>
    <m/>
    <m/>
    <m/>
    <m/>
    <m/>
    <m/>
    <m/>
    <m/>
    <m/>
    <m/>
    <m/>
    <m/>
    <m/>
    <m/>
    <m/>
    <m/>
    <m/>
    <m/>
    <m/>
    <m/>
    <m/>
    <m/>
    <m/>
    <m/>
    <n v="54833333"/>
    <n v="9833333"/>
    <n v="9833333"/>
    <n v="45000000"/>
    <n v="0"/>
    <x v="0"/>
  </r>
  <r>
    <x v="0"/>
    <x v="5"/>
    <s v="Fortalecimiento del sector en la planificación de la atención de la demanda energética nacional y la transición energética justa a nivel nacional"/>
    <s v="Demanda"/>
    <s v="Sí"/>
    <s v="Sí"/>
    <n v="68"/>
    <s v="160-54"/>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54 Prestar servicios profesionales para las actividades de free press de la Unidad de Planeación Minero Energética- UPME, con énfasis en la estrategia de articulación intra e intersectorial para la planificación del desarrollo minero-energético."/>
    <s v="Enero "/>
    <s v="Enero "/>
    <s v="Enero "/>
    <n v="11.5"/>
    <s v="Meses"/>
    <s v="Contratación directa - Prestación de servicios profesionales "/>
    <s v="Propios - 20 - Ingresos corrientes"/>
    <n v="92000000"/>
    <n v="92000000"/>
    <s v="No"/>
    <s v="N/A"/>
    <s v="Johanna Castellanos"/>
    <s v="Subdirectora de Demanda"/>
    <n v="6012220644"/>
    <s v="johanna.castellanos@upme.gov.co"/>
    <n v="90000000"/>
    <n v="0"/>
    <n v="0"/>
    <n v="2400000"/>
    <n v="0"/>
    <n v="9000000"/>
    <n v="0"/>
    <n v="9000000"/>
    <n v="0"/>
    <n v="9000000"/>
    <n v="0"/>
    <n v="9000000"/>
    <n v="0"/>
    <n v="9000000"/>
    <n v="0"/>
    <n v="9000000"/>
    <n v="0"/>
    <n v="9000000"/>
    <n v="0"/>
    <n v="9000000"/>
    <n v="0"/>
    <n v="9000000"/>
    <n v="2000000"/>
    <n v="8600000"/>
    <n v="92000000"/>
    <n v="92000000"/>
    <n v="0"/>
    <n v="0"/>
    <s v="Prestar servicios profesionales para las actividades de free press de la Unidad de Planeación Minero Energética- UPME, con énfasis en la estrategia de articulación intra e intersectorial para la planificación del desarrollo minero-energético."/>
    <n v="90000000"/>
    <m/>
    <m/>
    <n v="2400000"/>
    <m/>
    <n v="9000000"/>
    <m/>
    <n v="9000000"/>
    <m/>
    <n v="9000000"/>
    <m/>
    <n v="9000000"/>
    <m/>
    <n v="9000000"/>
    <m/>
    <n v="9000000"/>
    <m/>
    <n v="9000000"/>
    <m/>
    <n v="9000000"/>
    <m/>
    <n v="9000000"/>
    <n v="2000000"/>
    <n v="8600000"/>
    <m/>
    <m/>
    <n v="92000000"/>
    <n v="92000000"/>
    <n v="0"/>
    <n v="0"/>
    <n v="12126"/>
    <d v="2026-01-08T00:00:00"/>
    <n v="92000000"/>
    <n v="0"/>
    <n v="16726"/>
    <d v="2026-01-22T00:00:00"/>
    <n v="90000000"/>
    <n v="2000000"/>
    <n v="2000000"/>
    <s v="DUQUE PARRA CHRISTIAN LEONARDO"/>
    <s v="CO1.PCCNTR.8936638"/>
    <n v="90000000"/>
    <m/>
    <m/>
    <m/>
    <n v="2400000"/>
    <n v="2400000"/>
    <m/>
    <n v="9000000"/>
    <n v="9000000"/>
    <m/>
    <n v="9000000"/>
    <n v="9000000"/>
    <m/>
    <m/>
    <m/>
    <m/>
    <m/>
    <m/>
    <m/>
    <m/>
    <m/>
    <m/>
    <m/>
    <m/>
    <m/>
    <m/>
    <m/>
    <m/>
    <m/>
    <m/>
    <m/>
    <m/>
    <m/>
    <m/>
    <m/>
    <m/>
    <n v="90000000"/>
    <n v="20400000"/>
    <n v="20400000"/>
    <n v="69600000"/>
    <n v="0"/>
    <x v="0"/>
  </r>
  <r>
    <x v="0"/>
    <x v="5"/>
    <s v="Fortalecimiento del sector en la planificación de la atención de la demanda energética nacional y la transición energética justa a nivel nacional"/>
    <s v="Demanda"/>
    <s v="Sí"/>
    <s v="Sí"/>
    <n v="68"/>
    <s v="160-55"/>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55 Prestar servicios profesionales en derecho para apoyar la gestión jurídica de la UPME, mediante la asesoría y acompañamiento en la sustanciación de procesos administrativos y contractuales, la elaboración y revisión de conceptos jurídicos, la revis"/>
    <s v="Enero "/>
    <s v="Enero "/>
    <s v="Enero "/>
    <n v="11.5"/>
    <s v="Meses"/>
    <s v="Contratación directa - Prestación de servicios profesionales "/>
    <s v="Propios - 20 - Ingresos corrientes"/>
    <n v="103500000"/>
    <n v="103500000"/>
    <s v="No"/>
    <s v="N/A"/>
    <s v="Johanna Castellanos"/>
    <s v="Subdirectora de Demanda"/>
    <n v="6012220644"/>
    <s v="johanna.castellanos@upme.gov.co"/>
    <n v="99000000"/>
    <n v="0"/>
    <n v="0"/>
    <n v="0"/>
    <n v="0"/>
    <n v="9000000"/>
    <n v="0"/>
    <n v="9000000"/>
    <n v="0"/>
    <n v="9000000"/>
    <n v="0"/>
    <n v="9000000"/>
    <n v="0"/>
    <n v="9000000"/>
    <n v="0"/>
    <n v="9000000"/>
    <n v="0"/>
    <n v="9000000"/>
    <n v="0"/>
    <n v="9000000"/>
    <n v="0"/>
    <n v="9000000"/>
    <n v="4500000"/>
    <n v="22500000"/>
    <n v="103500000"/>
    <n v="103500000"/>
    <n v="0"/>
    <n v="0"/>
    <s v="Prestar servicios profesionales en derecho para apoyar la gestión jurídica de la UPME, mediante la asesoría y acompañamiento en la sustanciación de procesos administrativos y contractuales, la elaboración y revisión de conceptos jurídicos, la revisión de "/>
    <n v="99000000"/>
    <m/>
    <m/>
    <m/>
    <m/>
    <n v="9000000"/>
    <m/>
    <n v="9000000"/>
    <m/>
    <n v="9000000"/>
    <m/>
    <n v="9000000"/>
    <m/>
    <n v="9000000"/>
    <m/>
    <n v="9000000"/>
    <m/>
    <n v="9000000"/>
    <m/>
    <n v="9000000"/>
    <m/>
    <n v="9000000"/>
    <n v="4500000"/>
    <n v="22500000"/>
    <m/>
    <m/>
    <n v="103500000"/>
    <n v="103500000"/>
    <n v="0"/>
    <n v="0"/>
    <n v="12826"/>
    <d v="2026-01-08T00:00:00"/>
    <n v="103500000"/>
    <n v="0"/>
    <n v="36426"/>
    <d v="2026-01-30T00:00:00"/>
    <n v="99000000"/>
    <n v="4500000"/>
    <n v="4500000"/>
    <s v="SANCHEZ GONZALEZ JUAN CAMILO"/>
    <s v="CO1.PCCNTR.9067637"/>
    <n v="99000000"/>
    <m/>
    <m/>
    <m/>
    <m/>
    <m/>
    <m/>
    <m/>
    <m/>
    <m/>
    <n v="17700000"/>
    <n v="17700000"/>
    <m/>
    <m/>
    <m/>
    <m/>
    <m/>
    <m/>
    <m/>
    <m/>
    <m/>
    <m/>
    <m/>
    <m/>
    <m/>
    <m/>
    <m/>
    <m/>
    <m/>
    <m/>
    <m/>
    <m/>
    <m/>
    <m/>
    <m/>
    <m/>
    <n v="99000000"/>
    <n v="17700000"/>
    <n v="17700000"/>
    <n v="81300000"/>
    <n v="0"/>
    <x v="0"/>
  </r>
  <r>
    <x v="0"/>
    <x v="5"/>
    <s v="Fortalecimiento del sector en la planificación de la atención de la demanda energética nacional y la transición energética justa a nivel nacional"/>
    <s v="Demanda"/>
    <s v="Sí"/>
    <s v="Sí"/>
    <n v="9"/>
    <s v="160-56"/>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56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30000000"/>
    <n v="30000000"/>
    <s v="No"/>
    <s v="N/A"/>
    <s v="Johanna Castellanos"/>
    <s v="Subdirectora de Demanda"/>
    <n v="6012220644"/>
    <s v="johanna.castellanos@upme.gov.co"/>
    <n v="0"/>
    <n v="0"/>
    <n v="0"/>
    <n v="0"/>
    <n v="0"/>
    <n v="0"/>
    <n v="0"/>
    <n v="0"/>
    <n v="0"/>
    <n v="0"/>
    <n v="0"/>
    <n v="0"/>
    <n v="30000000"/>
    <n v="0"/>
    <n v="0"/>
    <n v="6000000"/>
    <n v="0"/>
    <n v="6000000"/>
    <n v="0"/>
    <n v="6000000"/>
    <n v="0"/>
    <n v="6000000"/>
    <n v="0"/>
    <n v="6000000"/>
    <n v="30000000"/>
    <n v="30000000"/>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30000000"/>
    <m/>
    <m/>
    <n v="6000000"/>
    <m/>
    <n v="6000000"/>
    <m/>
    <n v="6000000"/>
    <m/>
    <n v="6000000"/>
    <m/>
    <n v="6000000"/>
    <m/>
    <m/>
    <n v="30000000"/>
    <n v="30000000"/>
    <n v="0"/>
    <n v="0"/>
    <n v="68426"/>
    <d v="2026-01-30T00:00:00"/>
    <n v="30000000"/>
    <n v="0"/>
    <m/>
    <m/>
    <n v="0"/>
    <n v="30000000"/>
    <n v="300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9"/>
    <s v="160-57"/>
    <s v="Fomentar la articulación de la política pública, el marco regulatorio y la visión de gobierno."/>
    <s v="Documentos de Lineamientos Técnicos"/>
    <s v="Documento con la descripción de procesos, métodos y herramientas."/>
    <n v="80111620"/>
    <s v="C-2106-1900-13-40302B-2106010-02"/>
    <s v="Prestación de servicios profesionales y/o de apoyo a la gestión"/>
    <s v="160-57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10724696"/>
    <n v="10724696"/>
    <s v="No"/>
    <s v="N/A"/>
    <s v="Johanna Castellanos"/>
    <s v="Subdirectora de Demanda"/>
    <n v="6012220644"/>
    <s v="johanna.castellanos@upme.gov.co"/>
    <n v="0"/>
    <n v="0"/>
    <n v="0"/>
    <n v="0"/>
    <n v="0"/>
    <n v="0"/>
    <n v="0"/>
    <n v="0"/>
    <n v="0"/>
    <n v="0"/>
    <n v="0"/>
    <n v="0"/>
    <n v="10724696"/>
    <n v="0"/>
    <n v="0"/>
    <n v="2144000"/>
    <n v="0"/>
    <n v="2144000"/>
    <n v="0"/>
    <n v="2144000"/>
    <n v="0"/>
    <n v="2144000"/>
    <n v="0"/>
    <n v="2148696"/>
    <n v="10724696"/>
    <n v="10724696"/>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10724696"/>
    <m/>
    <m/>
    <n v="2144000"/>
    <m/>
    <n v="2144000"/>
    <m/>
    <n v="2144000"/>
    <m/>
    <n v="2144000"/>
    <m/>
    <n v="2148696"/>
    <m/>
    <m/>
    <n v="10724696"/>
    <n v="10724696"/>
    <n v="0"/>
    <n v="0"/>
    <n v="68426"/>
    <d v="2026-01-30T00:00:00"/>
    <n v="10724696"/>
    <n v="0"/>
    <m/>
    <m/>
    <n v="0"/>
    <n v="10724696"/>
    <n v="10724696"/>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9"/>
    <s v="160-58"/>
    <s v="Fomentar la articulación de la política pública, el marco regulatorio y la visión de gobierno."/>
    <s v="Documentos de Lineamientos Técnicos"/>
    <s v="Documento con los resultados de las validaciones."/>
    <n v="80111620"/>
    <s v="C-2106-1900-13-40302B-2106010-02"/>
    <s v="Prestación de servicios profesionales y/o de apoyo a la gestión"/>
    <s v="160-58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16275304"/>
    <n v="16275304"/>
    <s v="No"/>
    <s v="N/A"/>
    <s v="Johanna Castellanos"/>
    <s v="Subdirectora de Demanda"/>
    <n v="6012220644"/>
    <s v="johanna.castellanos@upme.gov.co"/>
    <n v="0"/>
    <n v="0"/>
    <n v="0"/>
    <n v="0"/>
    <n v="0"/>
    <n v="0"/>
    <n v="0"/>
    <n v="0"/>
    <n v="0"/>
    <n v="0"/>
    <n v="0"/>
    <n v="0"/>
    <n v="16275304"/>
    <n v="0"/>
    <n v="0"/>
    <n v="3255000"/>
    <n v="0"/>
    <n v="3255000"/>
    <n v="0"/>
    <n v="3255000"/>
    <n v="0"/>
    <n v="3255000"/>
    <n v="0"/>
    <n v="3255304"/>
    <n v="16275304"/>
    <n v="16275304"/>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16275304"/>
    <m/>
    <m/>
    <n v="3255000"/>
    <m/>
    <n v="3255000"/>
    <m/>
    <n v="3255000"/>
    <m/>
    <n v="3255000"/>
    <m/>
    <n v="3255304"/>
    <m/>
    <m/>
    <n v="16275304"/>
    <n v="16275304"/>
    <n v="0"/>
    <n v="0"/>
    <n v="68426"/>
    <d v="2026-01-30T00:00:00"/>
    <n v="16275304"/>
    <n v="0"/>
    <m/>
    <m/>
    <n v="0"/>
    <n v="16275304"/>
    <n v="16275304"/>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s v="No. Rad 202601300040373"/>
    <s v="160-59"/>
    <s v="Fomentar la articulación de la política pública, el marco regulatorio y la visión de gobierno."/>
    <s v="Documentos de Lineamientos Técnicos"/>
    <s v="Documento con la descripción de procesos, métodos y herramientas."/>
    <s v="43201800;43233405;43212201"/>
    <s v="C-2106-1900-13-40302B-2106010-02"/>
    <s v="Hardware (Equipos de computo o partes físicas)"/>
    <s v="160-59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500000000"/>
    <n v="500000000"/>
    <s v="No"/>
    <s v="N/A"/>
    <s v="Johanna Castellanos"/>
    <s v="Subdirectora de Demanda"/>
    <n v="6012220644"/>
    <s v="johanna.castellanos@upme.gov.co"/>
    <n v="0"/>
    <n v="0"/>
    <n v="0"/>
    <n v="0"/>
    <n v="0"/>
    <n v="0"/>
    <n v="500000000"/>
    <n v="0"/>
    <n v="0"/>
    <n v="0"/>
    <n v="0"/>
    <n v="500000000"/>
    <n v="0"/>
    <n v="0"/>
    <n v="0"/>
    <n v="0"/>
    <n v="0"/>
    <n v="0"/>
    <n v="0"/>
    <n v="0"/>
    <n v="0"/>
    <n v="0"/>
    <n v="0"/>
    <n v="0"/>
    <n v="500000000"/>
    <n v="500000000"/>
    <n v="0"/>
    <n v="0"/>
    <s v="Adquirir el licenciamiento por suscripción para Plataforma de virtualización y almacenamiento en nube incluyendo la adquisición del hardware para Computación y Storage que soporta esta solución de Hiperconvergencia."/>
    <m/>
    <m/>
    <m/>
    <m/>
    <m/>
    <m/>
    <n v="500000000"/>
    <m/>
    <m/>
    <m/>
    <m/>
    <n v="500000000"/>
    <m/>
    <m/>
    <m/>
    <m/>
    <m/>
    <m/>
    <m/>
    <m/>
    <m/>
    <m/>
    <m/>
    <m/>
    <m/>
    <m/>
    <n v="500000000"/>
    <n v="500000000"/>
    <n v="0"/>
    <n v="0"/>
    <m/>
    <m/>
    <m/>
    <n v="500000000"/>
    <m/>
    <m/>
    <n v="0"/>
    <n v="500000000"/>
    <n v="0"/>
    <m/>
    <m/>
    <m/>
    <m/>
    <m/>
    <m/>
    <m/>
    <m/>
    <m/>
    <m/>
    <m/>
    <m/>
    <m/>
    <m/>
    <m/>
    <m/>
    <m/>
    <m/>
    <m/>
    <m/>
    <m/>
    <m/>
    <m/>
    <m/>
    <m/>
    <m/>
    <m/>
    <m/>
    <m/>
    <m/>
    <m/>
    <m/>
    <m/>
    <m/>
    <m/>
    <m/>
    <m/>
    <m/>
    <n v="0"/>
    <n v="0"/>
    <n v="0"/>
    <n v="0"/>
    <n v="0"/>
    <x v="1"/>
  </r>
  <r>
    <x v="0"/>
    <x v="5"/>
    <s v="Fortalecimiento del sector en la planificación de la atención de la demanda energética nacional y la transición energética justa a nivel nacional"/>
    <s v="Demanda"/>
    <s v="Sí"/>
    <s v="Sí"/>
    <n v="68"/>
    <s v="160-60"/>
    <s v="Desarrollar la capacidad instalada en la planificación estratégica de la atención de la demanda."/>
    <s v="Documentos Metodológicos"/>
    <s v="Documento metodológico preliminar."/>
    <n v="80111713"/>
    <s v="C-2106-1900-13-40302B-2106005-02"/>
    <s v="Software - Suscripciones"/>
    <s v="160-60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27357280"/>
    <n v="27357280"/>
    <s v="No"/>
    <s v="N/A"/>
    <s v="Johanna Castellanos"/>
    <s v="Subdirectora de Demanda"/>
    <n v="6012220644"/>
    <s v="johanna.castellanos@upme.gov.co"/>
    <n v="0"/>
    <n v="0"/>
    <n v="0"/>
    <n v="0"/>
    <n v="0"/>
    <n v="0"/>
    <n v="0"/>
    <n v="0"/>
    <n v="0"/>
    <n v="0"/>
    <n v="0"/>
    <n v="0"/>
    <n v="0"/>
    <n v="0"/>
    <n v="0"/>
    <n v="0"/>
    <n v="0"/>
    <n v="0"/>
    <n v="0"/>
    <n v="0"/>
    <n v="27357280"/>
    <n v="0"/>
    <n v="0"/>
    <n v="27357280"/>
    <n v="27357280"/>
    <n v="27357280"/>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27357280"/>
    <m/>
    <m/>
    <n v="27357280"/>
    <m/>
    <m/>
    <n v="27357280"/>
    <n v="27357280"/>
    <n v="0"/>
    <n v="0"/>
    <m/>
    <m/>
    <m/>
    <n v="27357280"/>
    <m/>
    <m/>
    <n v="0"/>
    <n v="27357280"/>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61"/>
    <s v="Mejorar la representatividad en la información de la participación de los sectores económicos en el consumo de energía."/>
    <s v="Documentos de Planeación"/>
    <s v="Documento de planeación preliminar."/>
    <n v="80111713"/>
    <s v="C-2106-1900-13-40302B-2106003-02"/>
    <s v="Software - Suscripciones"/>
    <s v="160-61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286252"/>
    <n v="286252"/>
    <s v="No"/>
    <s v="N/A"/>
    <s v="Johanna Castellanos"/>
    <s v="Subdirectora de Demanda"/>
    <n v="6012220644"/>
    <s v="johanna.castellanos@upme.gov.co"/>
    <n v="0"/>
    <n v="0"/>
    <n v="0"/>
    <n v="0"/>
    <n v="0"/>
    <n v="0"/>
    <n v="0"/>
    <n v="0"/>
    <n v="0"/>
    <n v="0"/>
    <n v="0"/>
    <n v="0"/>
    <n v="0"/>
    <n v="0"/>
    <n v="0"/>
    <n v="0"/>
    <n v="0"/>
    <n v="0"/>
    <n v="0"/>
    <n v="0"/>
    <n v="286252"/>
    <n v="0"/>
    <n v="0"/>
    <n v="286252"/>
    <n v="286252"/>
    <n v="286252"/>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286252"/>
    <m/>
    <m/>
    <n v="286252"/>
    <m/>
    <m/>
    <n v="286252"/>
    <n v="286252"/>
    <n v="0"/>
    <n v="0"/>
    <m/>
    <m/>
    <m/>
    <n v="286252"/>
    <m/>
    <m/>
    <n v="0"/>
    <n v="286252"/>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62"/>
    <s v="Fomentar la articulación de la política pública, el marco regulatorio y la visión de gobierno."/>
    <s v="Documentos de Lineamientos Técnicos"/>
    <s v="Documento con la descripción de procesos, métodos y herramientas."/>
    <n v="80111713"/>
    <s v="C-2106-1900-13-40302B-2106010-02"/>
    <s v="Software - Suscripciones"/>
    <s v="160-62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18591085"/>
    <n v="18591085"/>
    <s v="No"/>
    <s v="N/A"/>
    <s v="Johanna Castellanos"/>
    <s v="Subdirectora de Demanda"/>
    <n v="6012220644"/>
    <s v="johanna.castellanos@upme.gov.co"/>
    <n v="0"/>
    <n v="0"/>
    <n v="0"/>
    <n v="0"/>
    <n v="0"/>
    <n v="0"/>
    <n v="0"/>
    <n v="0"/>
    <n v="0"/>
    <n v="0"/>
    <n v="0"/>
    <n v="0"/>
    <n v="0"/>
    <n v="0"/>
    <n v="0"/>
    <n v="0"/>
    <n v="0"/>
    <n v="0"/>
    <n v="0"/>
    <n v="0"/>
    <n v="18591085"/>
    <n v="0"/>
    <n v="0"/>
    <n v="18591085"/>
    <n v="18591085"/>
    <n v="18591085"/>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18591085"/>
    <m/>
    <m/>
    <n v="18591085"/>
    <m/>
    <m/>
    <n v="18591085"/>
    <n v="18591085"/>
    <n v="0"/>
    <n v="0"/>
    <m/>
    <m/>
    <m/>
    <n v="18591085"/>
    <m/>
    <m/>
    <n v="0"/>
    <n v="18591085"/>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68"/>
    <s v="160-63"/>
    <s v="Mejorar la representatividad en la información de la participación de los sectores económicos en el consumo de energía."/>
    <s v="Documentos de Planeación"/>
    <s v="Documento de planeación preliminar."/>
    <n v="80111713"/>
    <s v="C-2106-1900-13-40302B-2106003-02"/>
    <s v="Software - Suscripciones"/>
    <s v="160-63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1 - Otros recursos de tesorería"/>
    <n v="3765383"/>
    <n v="3765383"/>
    <s v="No"/>
    <s v="N/A"/>
    <s v="Johanna Castellanos"/>
    <s v="Subdirectora de Demanda"/>
    <n v="6012220644"/>
    <s v="johanna.castellanos@upme.gov.co"/>
    <n v="0"/>
    <n v="0"/>
    <n v="0"/>
    <n v="0"/>
    <n v="0"/>
    <n v="0"/>
    <n v="0"/>
    <n v="0"/>
    <n v="0"/>
    <n v="0"/>
    <n v="0"/>
    <n v="0"/>
    <n v="0"/>
    <n v="0"/>
    <n v="0"/>
    <n v="0"/>
    <n v="0"/>
    <n v="0"/>
    <n v="0"/>
    <n v="0"/>
    <n v="3765383"/>
    <n v="0"/>
    <n v="0"/>
    <n v="3765383"/>
    <n v="3765383"/>
    <n v="3765383"/>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3765383"/>
    <m/>
    <m/>
    <n v="3765383"/>
    <m/>
    <m/>
    <n v="3765383"/>
    <n v="3765383"/>
    <n v="0"/>
    <n v="0"/>
    <m/>
    <m/>
    <m/>
    <n v="3765383"/>
    <m/>
    <m/>
    <n v="0"/>
    <n v="3765383"/>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s v="Radicado 20261110012353"/>
    <s v="160-64"/>
    <s v="Fomentar la articulación de la política pública, el marco regulatorio y la visión de gobierno."/>
    <s v="Documentos de Lineamientos Técnicos"/>
    <s v="Documento con los resultados de las validaciones."/>
    <n v="78111502"/>
    <s v="C-2106-1900-13-40302B-2106010-02"/>
    <s v="Tiquetes"/>
    <s v="160-6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00000000"/>
    <n v="100000000"/>
    <s v="No"/>
    <s v="N/A"/>
    <s v="Johanna Castellanos"/>
    <s v="Subdirectora de Demanda"/>
    <n v="6012220644"/>
    <s v="johanna.castellanos@upme.gov.co"/>
    <n v="0"/>
    <n v="0"/>
    <n v="0"/>
    <n v="0"/>
    <n v="0"/>
    <n v="0"/>
    <n v="0"/>
    <n v="0"/>
    <n v="0"/>
    <n v="0"/>
    <n v="0"/>
    <n v="0"/>
    <n v="0"/>
    <n v="0"/>
    <n v="0"/>
    <n v="0"/>
    <n v="100000000"/>
    <n v="0"/>
    <n v="0"/>
    <n v="5000000"/>
    <n v="0"/>
    <n v="5000000"/>
    <n v="0"/>
    <n v="90000000"/>
    <n v="100000000"/>
    <n v="100000000"/>
    <n v="0"/>
    <n v="0"/>
    <s v="Adquirir los servicios necesarios para garantizar el desplazamiento de servidores públicos y contratistas de la UPME a los eventos y espacios institucionales de planeación minero energética."/>
    <m/>
    <m/>
    <m/>
    <m/>
    <m/>
    <m/>
    <m/>
    <m/>
    <m/>
    <m/>
    <m/>
    <m/>
    <m/>
    <m/>
    <m/>
    <m/>
    <n v="100000000"/>
    <m/>
    <m/>
    <n v="5000000"/>
    <m/>
    <n v="5000000"/>
    <m/>
    <n v="90000000"/>
    <m/>
    <m/>
    <n v="100000000"/>
    <n v="100000000"/>
    <n v="0"/>
    <n v="0"/>
    <m/>
    <m/>
    <m/>
    <n v="100000000"/>
    <m/>
    <m/>
    <n v="0"/>
    <n v="100000000"/>
    <n v="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No"/>
    <s v="Sí"/>
    <n v="68"/>
    <s v="160-65"/>
    <s v="Fomentar la articulación de la política pública, el marco regulatorio y la visión de gobierno."/>
    <s v="Documentos de Lineamientos Técnicos"/>
    <s v="Documento con los resultados de las validaciones."/>
    <s v="N/A"/>
    <s v="C-2106-1900-13-40302B-2106010-02"/>
    <s v="Viáticos o gastos de desplazamiento"/>
    <s v="160-65 Viáticos o gastos de desplazamiento"/>
    <s v="N/A"/>
    <s v="N/A"/>
    <s v="N/A"/>
    <s v="N/A"/>
    <s v="N/A"/>
    <s v="N/A"/>
    <s v="Propios - 20 - Ingresos corrientes"/>
    <n v="16297892"/>
    <n v="16297892"/>
    <s v="No"/>
    <s v="N/A"/>
    <s v="Johanna Castellanos"/>
    <s v="Subdirectora de Demanda"/>
    <n v="6012220644"/>
    <s v="johanna.castellanos@upme.gov.co"/>
    <n v="0"/>
    <n v="0"/>
    <n v="0"/>
    <n v="0"/>
    <n v="0"/>
    <n v="0"/>
    <n v="1629789"/>
    <n v="1629789"/>
    <n v="1629789"/>
    <n v="1629789"/>
    <n v="1629789"/>
    <n v="1629789"/>
    <n v="1629789"/>
    <n v="1629789"/>
    <n v="1629789"/>
    <n v="1629789"/>
    <n v="1629789"/>
    <n v="1629789"/>
    <n v="1629789"/>
    <n v="1629789"/>
    <n v="1629789"/>
    <n v="1629789"/>
    <n v="3259580"/>
    <n v="3259580"/>
    <n v="16297892"/>
    <n v="16297892"/>
    <n v="0"/>
    <n v="0"/>
    <s v="Viáticos o gastos de desplazamiento"/>
    <m/>
    <m/>
    <m/>
    <m/>
    <m/>
    <m/>
    <n v="1629789"/>
    <n v="1629789"/>
    <n v="1629789"/>
    <n v="1629789"/>
    <n v="1629789"/>
    <n v="1629789"/>
    <n v="1629789"/>
    <n v="1629789"/>
    <n v="1629789"/>
    <n v="1629789"/>
    <n v="1629789"/>
    <n v="1629789"/>
    <n v="1629789"/>
    <n v="1629789"/>
    <n v="1629789"/>
    <n v="1629789"/>
    <n v="3259580"/>
    <n v="3259580"/>
    <m/>
    <m/>
    <n v="16297892"/>
    <n v="16297892"/>
    <n v="0"/>
    <n v="0"/>
    <n v="72126"/>
    <d v="2026-04-29T00:00:00"/>
    <n v="16297892"/>
    <n v="0"/>
    <m/>
    <m/>
    <n v="0"/>
    <n v="16297892"/>
    <n v="16297892"/>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No"/>
    <s v="Sí"/>
    <n v="68"/>
    <s v="160-66"/>
    <s v="Fomentar la articulación de la política pública, el marco regulatorio y la visión de gobierno."/>
    <s v="Documentos de Lineamientos Técnicos"/>
    <s v="Documento con la descripción de procesos, métodos y herramientas."/>
    <s v="N/A"/>
    <s v="C-2106-1900-13-40302B-2106010-02"/>
    <s v="Viáticos o gastos de desplazamiento"/>
    <s v="160-66 Viáticos o gastos de desplazamiento"/>
    <s v="N/A"/>
    <s v="N/A"/>
    <s v="N/A"/>
    <s v="N/A"/>
    <s v="N/A"/>
    <s v="N/A"/>
    <s v="Propios - 20 - Ingresos corrientes"/>
    <n v="37526804"/>
    <n v="37526804"/>
    <s v="No"/>
    <s v="N/A"/>
    <s v="Johanna Castellanos"/>
    <s v="Subdirectora de Demanda"/>
    <n v="6012220644"/>
    <s v="johanna.castellanos@upme.gov.co"/>
    <n v="0"/>
    <n v="0"/>
    <n v="0"/>
    <n v="0"/>
    <n v="0"/>
    <n v="0"/>
    <n v="3127233"/>
    <n v="3127233"/>
    <n v="3127233"/>
    <n v="3127233"/>
    <n v="3127233"/>
    <n v="3127233"/>
    <n v="3127233"/>
    <n v="3127233"/>
    <n v="3127233"/>
    <n v="3127233"/>
    <n v="3127233"/>
    <n v="3127233"/>
    <n v="3127233"/>
    <n v="3127233"/>
    <n v="3127233"/>
    <n v="3127233"/>
    <n v="12508940"/>
    <n v="12508940"/>
    <n v="37526804"/>
    <n v="37526804"/>
    <n v="0"/>
    <n v="0"/>
    <s v="Viáticos o gastos de desplazamiento"/>
    <m/>
    <m/>
    <m/>
    <m/>
    <m/>
    <m/>
    <n v="3127233"/>
    <n v="3127233"/>
    <n v="3127233"/>
    <n v="3127233"/>
    <n v="3127233"/>
    <n v="3127233"/>
    <n v="3127233"/>
    <n v="3127233"/>
    <n v="3127233"/>
    <n v="3127233"/>
    <n v="3127233"/>
    <n v="3127233"/>
    <n v="3127233"/>
    <n v="3127233"/>
    <n v="3127233"/>
    <n v="3127233"/>
    <n v="12508940"/>
    <n v="12508940"/>
    <m/>
    <m/>
    <n v="37526804"/>
    <n v="37526804"/>
    <n v="0"/>
    <n v="0"/>
    <n v="70526"/>
    <d v="2026-03-16T00:00:00"/>
    <n v="23702108"/>
    <n v="13824696"/>
    <s v="64826,64926,68226,68326,70026,70226,72026,72326"/>
    <s v="20/03/2026,10/04/2026"/>
    <n v="10328585"/>
    <n v="27198219"/>
    <n v="13373523"/>
    <s v="GOMEZ AVILA LINA MARCELA,ZABALETA MONTENEGRO OSCAR ANDRES,ZABALETA MONTENEGRO OSCAR ANDRES_x000a_,GOMEZ AVILA LINA MARCELA_x000a_"/>
    <m/>
    <m/>
    <m/>
    <m/>
    <m/>
    <m/>
    <m/>
    <n v="2808926"/>
    <n v="2808926"/>
    <n v="2808926"/>
    <n v="7519659"/>
    <n v="6409276"/>
    <n v="6409276"/>
    <m/>
    <m/>
    <m/>
    <m/>
    <m/>
    <m/>
    <m/>
    <m/>
    <m/>
    <m/>
    <m/>
    <m/>
    <m/>
    <m/>
    <m/>
    <m/>
    <m/>
    <m/>
    <m/>
    <m/>
    <m/>
    <m/>
    <m/>
    <m/>
    <n v="10328585"/>
    <n v="9218202"/>
    <n v="9218202"/>
    <n v="1110383"/>
    <n v="0"/>
    <x v="0"/>
  </r>
  <r>
    <x v="0"/>
    <x v="5"/>
    <s v="Fortalecimiento del sector en la planificación de la atención de la demanda energética nacional y la transición energética justa a nivel nacional"/>
    <s v="Demanda"/>
    <s v="Si"/>
    <s v="Sí"/>
    <n v="3"/>
    <s v="160-67"/>
    <s v="Fomentar la articulación de la política pública, el marco regulatorio y la visión de gobierno."/>
    <s v="Documentos de Lineamientos Técnicos"/>
    <s v="Documento con la descripción de procesos, métodos y herramientas."/>
    <n v="80111620"/>
    <s v="C-2106-1900-13-40302B-2106010-02"/>
    <s v="Prestación de servicios profesionales y/o de apoyo a la gestión"/>
    <s v="160-67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18000000"/>
    <n v="18000000"/>
    <s v="No"/>
    <s v="N/A"/>
    <s v="Johanna Castellanos"/>
    <s v="Subdirectora de Demanda"/>
    <n v="6012220644"/>
    <s v="johanna.castellanos@upme.gov.co"/>
    <n v="0"/>
    <n v="0"/>
    <n v="15600000"/>
    <n v="0"/>
    <n v="0"/>
    <n v="0"/>
    <n v="0"/>
    <n v="0"/>
    <n v="0"/>
    <n v="0"/>
    <n v="0"/>
    <n v="0"/>
    <n v="0"/>
    <n v="0"/>
    <n v="0"/>
    <n v="0"/>
    <n v="0"/>
    <n v="0"/>
    <n v="0"/>
    <n v="0"/>
    <n v="0"/>
    <n v="3600000"/>
    <n v="2400000"/>
    <n v="14400000"/>
    <n v="18000000"/>
    <n v="18000000"/>
    <n v="0"/>
    <n v="0"/>
    <s v="Prestar servicios profesionales para gestionar la comunicación institucional de la UPME, mediante el diseño, desarrollo y ejecución de estrategias creativas de comunicación interna y externa, posicionamiento de marca institucional, gestión de mensajes y n"/>
    <m/>
    <m/>
    <n v="15600000"/>
    <m/>
    <m/>
    <m/>
    <m/>
    <m/>
    <m/>
    <m/>
    <m/>
    <m/>
    <m/>
    <m/>
    <m/>
    <m/>
    <m/>
    <m/>
    <m/>
    <m/>
    <m/>
    <n v="3600000"/>
    <n v="2400000"/>
    <n v="14400000"/>
    <m/>
    <m/>
    <n v="18000000"/>
    <n v="18000000"/>
    <n v="0"/>
    <n v="0"/>
    <n v="46226"/>
    <d v="2026-01-19T00:00:00"/>
    <n v="18000000"/>
    <n v="0"/>
    <n v="58226"/>
    <d v="2026-02-11T00:00:00"/>
    <n v="15600000"/>
    <n v="2400000"/>
    <n v="2400000"/>
    <s v="CHAPARRO CARMONA JHON SEBASTIAN"/>
    <s v="CO1.PCCNTR.9179277"/>
    <m/>
    <m/>
    <m/>
    <n v="15600000"/>
    <m/>
    <m/>
    <m/>
    <m/>
    <m/>
    <m/>
    <m/>
    <m/>
    <m/>
    <m/>
    <m/>
    <m/>
    <m/>
    <m/>
    <m/>
    <m/>
    <m/>
    <m/>
    <m/>
    <m/>
    <m/>
    <m/>
    <m/>
    <m/>
    <m/>
    <m/>
    <m/>
    <m/>
    <m/>
    <m/>
    <m/>
    <m/>
    <n v="15600000"/>
    <n v="0"/>
    <n v="0"/>
    <n v="15600000"/>
    <n v="0"/>
    <x v="0"/>
  </r>
  <r>
    <x v="0"/>
    <x v="5"/>
    <s v="Fortalecimiento del sector en la planificación de la atención de la demanda energética nacional y la transición energética justa a nivel nacional"/>
    <s v="Demanda"/>
    <s v="Si"/>
    <s v="Sí"/>
    <n v="4"/>
    <s v="160-68"/>
    <s v="Desarrollar la capacidad instalada en la planificación estratégica de la atención de la demanda."/>
    <s v="Documentos Metodológicos"/>
    <s v="Diagnóstico"/>
    <n v="80111620"/>
    <s v="C-2106-1900-13-40302B-2106005-02"/>
    <s v="Prestación de servicios profesionales y/o de apoyo a la gestión"/>
    <s v="160-68 Prestar servicios profesionales en la gestión jurídica integral de la UPME, mediante el análisis, elaboración y proyección de conceptos jurídicos, respuestas a requerimientos, recursos administrativos y demás actuaciones jurídicas, de conformidad c"/>
    <s v="Enero "/>
    <s v="Enero "/>
    <s v="Enero "/>
    <n v="11.3"/>
    <s v="Meses"/>
    <s v="Contratación directa - Prestación de servicios profesionales "/>
    <s v="Propios - 20 - Ingresos corrientes"/>
    <n v="6100000"/>
    <n v="6100000"/>
    <s v="No"/>
    <s v="N/A"/>
    <s v="Johanna Castellanos"/>
    <s v="Subdirectora de Demanda"/>
    <n v="6012220644"/>
    <s v="johanna.castellanos@upme.gov.co"/>
    <n v="0"/>
    <n v="0"/>
    <n v="4600000"/>
    <n v="0"/>
    <n v="0"/>
    <n v="0"/>
    <n v="0"/>
    <n v="0"/>
    <n v="0"/>
    <n v="0"/>
    <n v="0"/>
    <n v="0"/>
    <n v="0"/>
    <n v="0"/>
    <n v="0"/>
    <n v="0"/>
    <n v="0"/>
    <n v="0"/>
    <n v="0"/>
    <n v="0"/>
    <n v="0"/>
    <n v="3600000"/>
    <n v="1500000"/>
    <n v="2500000"/>
    <n v="6100000"/>
    <n v="6100000"/>
    <n v="0"/>
    <n v="0"/>
    <s v="Prestar servicios profesionales en la gestión jurídica integral de la UPME, mediante el análisis, elaboración y proyección de conceptos jurídicos, respuestas a requerimientos, recursos administrativos y demás actuaciones jurídicas, de conformidad con el m"/>
    <m/>
    <m/>
    <n v="4600000"/>
    <m/>
    <m/>
    <m/>
    <m/>
    <m/>
    <m/>
    <m/>
    <m/>
    <m/>
    <m/>
    <m/>
    <m/>
    <m/>
    <m/>
    <m/>
    <m/>
    <m/>
    <m/>
    <n v="3600000"/>
    <n v="1500000"/>
    <n v="2500000"/>
    <m/>
    <m/>
    <n v="6100000"/>
    <n v="6100000"/>
    <n v="0"/>
    <n v="0"/>
    <n v="61926"/>
    <d v="2026-01-23T00:00:00"/>
    <n v="6100000"/>
    <n v="0"/>
    <n v="58426.651259999999"/>
    <s v="11/02/2026,20/03/2026"/>
    <n v="4600000"/>
    <n v="1500000"/>
    <n v="1500000"/>
    <s v="RUBIO NAVARRO OSCAR MANUEL,GAONA GALEANO YIVI YOHANA_x000a_"/>
    <s v="CO1.PCCNTR.9183199"/>
    <m/>
    <m/>
    <m/>
    <n v="4600000"/>
    <m/>
    <m/>
    <m/>
    <m/>
    <m/>
    <m/>
    <n v="3166667"/>
    <n v="3166667"/>
    <m/>
    <m/>
    <m/>
    <m/>
    <m/>
    <m/>
    <m/>
    <m/>
    <m/>
    <m/>
    <m/>
    <m/>
    <m/>
    <m/>
    <m/>
    <m/>
    <m/>
    <m/>
    <m/>
    <m/>
    <m/>
    <m/>
    <m/>
    <m/>
    <n v="4600000"/>
    <n v="3166667"/>
    <n v="3166667"/>
    <n v="1433333"/>
    <n v="0"/>
    <x v="0"/>
  </r>
  <r>
    <x v="0"/>
    <x v="5"/>
    <s v="Fortalecimiento del sector en la planificación de la atención de la demanda energética nacional y la transición energética justa a nivel nacional"/>
    <s v="Demanda"/>
    <s v="Sí"/>
    <s v="Sí"/>
    <n v="4"/>
    <s v="160-69"/>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69 Prestar servicios profesionales para brindar soporte integral a las actividades jurídicas de la UPME, mediante la elaboración, revisión y análisis de conceptos jurídicos, la atención de requerimientos y recursos administrativos, y el acompañamiento"/>
    <s v="Enero "/>
    <s v="Enero "/>
    <s v="Enero "/>
    <n v="11.3"/>
    <s v="Meses"/>
    <s v="Contratación directa - Prestación de servicios profesionales "/>
    <s v="Propios - 20 - Ingresos corrientes"/>
    <n v="56500000"/>
    <n v="56500000"/>
    <s v="No"/>
    <s v="N/A"/>
    <s v="Johanna Castellanos"/>
    <s v="Subdirectora de Demanda"/>
    <n v="6012220644"/>
    <s v="johanna.castellanos@upme.gov.co"/>
    <n v="0"/>
    <n v="0"/>
    <n v="41690000"/>
    <n v="0"/>
    <n v="0"/>
    <n v="3790000"/>
    <n v="0"/>
    <n v="3790000"/>
    <n v="0"/>
    <n v="3790000"/>
    <n v="0"/>
    <n v="3790000"/>
    <n v="0"/>
    <n v="3790000"/>
    <n v="0"/>
    <n v="3790000"/>
    <n v="0"/>
    <n v="3790000"/>
    <n v="0"/>
    <n v="3790000"/>
    <n v="7400000"/>
    <n v="3790000"/>
    <n v="7410000"/>
    <n v="22390000"/>
    <n v="56500000"/>
    <n v="56500000"/>
    <n v="0"/>
    <n v="0"/>
    <s v="Prestar servicios profesionales para brindar soporte integral a las actividades jurídicas de la UPME, mediante la elaboración, revisión y análisis de conceptos jurídicos, la atención de requerimientos y recursos administrativos, y el acompañamiento en act"/>
    <m/>
    <m/>
    <n v="41690000"/>
    <m/>
    <m/>
    <n v="3790000"/>
    <m/>
    <n v="3790000"/>
    <m/>
    <n v="3790000"/>
    <m/>
    <n v="3790000"/>
    <m/>
    <n v="3790000"/>
    <m/>
    <n v="3790000"/>
    <m/>
    <n v="3790000"/>
    <m/>
    <n v="3790000"/>
    <n v="7400000"/>
    <n v="3790000"/>
    <n v="7410000"/>
    <n v="22390000"/>
    <m/>
    <m/>
    <n v="56500000"/>
    <n v="56500000"/>
    <n v="0"/>
    <n v="0"/>
    <n v="60326"/>
    <d v="2026-01-23T00:00:00"/>
    <n v="55000000"/>
    <n v="1500000"/>
    <n v="53526"/>
    <d v="2026-02-10T00:00:00"/>
    <n v="41690000"/>
    <n v="14810000"/>
    <n v="13310000"/>
    <s v="ZULETA LOPEZ ISABEL CRISTINA"/>
    <s v="CO1.PCCNTR.9298711"/>
    <m/>
    <m/>
    <m/>
    <n v="41690000"/>
    <m/>
    <m/>
    <m/>
    <n v="2526667"/>
    <n v="2526667"/>
    <m/>
    <n v="3790000"/>
    <n v="3790000"/>
    <m/>
    <m/>
    <m/>
    <m/>
    <m/>
    <m/>
    <m/>
    <m/>
    <m/>
    <m/>
    <m/>
    <m/>
    <m/>
    <m/>
    <m/>
    <m/>
    <m/>
    <m/>
    <m/>
    <m/>
    <m/>
    <m/>
    <m/>
    <m/>
    <n v="41690000"/>
    <n v="6316667"/>
    <n v="6316667"/>
    <n v="35373333"/>
    <n v="0"/>
    <x v="0"/>
  </r>
  <r>
    <x v="0"/>
    <x v="5"/>
    <s v="Fortalecimiento del sector en la planificación de la atención de la demanda energética nacional y la transición energética justa a nivel nacional"/>
    <s v="Demanda"/>
    <s v="Sí"/>
    <s v="Sí"/>
    <n v="4"/>
    <s v="160-70"/>
    <s v="Mejorar la representatividad en la información de la participación de los sectores económicos en el consumo de energía."/>
    <s v="Documentos de Planeación"/>
    <s v="Documento de planeación preliminar."/>
    <n v="80111620"/>
    <s v="C-2106-1900-13-40302B-2106003-02"/>
    <s v="Prestación de servicios profesionales y/o de apoyo a la gestión"/>
    <s v="160-70 Prestar servicios profesionales orientados a la evaluación integral de proyectos de Fuentes No Convencionales de Energía y Gestión Eficiente de la Energía, incluyendo la aplicación de criterios técnicos, normativos y metodológicos definidos para el"/>
    <s v="Enero "/>
    <s v="Enero "/>
    <s v="Enero "/>
    <n v="11.3"/>
    <s v="Meses"/>
    <s v="Contratación directa - Prestación de servicios profesionales "/>
    <s v="Propios - 20 - Ingresos corrientes"/>
    <n v="63200000"/>
    <n v="63200000"/>
    <s v="No"/>
    <s v="N/A"/>
    <s v="Johanna Castellanos"/>
    <s v="Subdirectora de Demanda"/>
    <n v="6012220644"/>
    <s v="johanna.castellanos@upme.gov.co"/>
    <n v="0"/>
    <n v="0"/>
    <n v="63200000"/>
    <n v="0"/>
    <n v="0"/>
    <n v="6000000"/>
    <n v="0"/>
    <n v="6000000"/>
    <n v="0"/>
    <n v="6000000"/>
    <n v="0"/>
    <n v="6000000"/>
    <n v="0"/>
    <n v="6000000"/>
    <n v="0"/>
    <n v="6000000"/>
    <n v="0"/>
    <n v="6000000"/>
    <n v="0"/>
    <n v="6000000"/>
    <n v="0"/>
    <n v="6000000"/>
    <n v="0"/>
    <n v="9200000"/>
    <n v="63200000"/>
    <n v="63200000"/>
    <n v="0"/>
    <n v="0"/>
    <s v="Prestar servicios profesionales orientados a la evaluación integral de proyectos de Fuentes No Convencionales de Energía y Gestión Eficiente de la Energía, incluyendo la aplicación de criterios técnicos, normativos y metodológicos definidos para el otorga"/>
    <m/>
    <m/>
    <n v="63200000"/>
    <m/>
    <m/>
    <n v="6000000"/>
    <m/>
    <n v="6000000"/>
    <m/>
    <n v="6000000"/>
    <m/>
    <n v="6000000"/>
    <m/>
    <n v="6000000"/>
    <m/>
    <n v="6000000"/>
    <m/>
    <n v="6000000"/>
    <m/>
    <n v="6000000"/>
    <m/>
    <n v="6000000"/>
    <m/>
    <n v="9200000"/>
    <m/>
    <m/>
    <n v="63200000"/>
    <n v="63200000"/>
    <n v="0"/>
    <n v="0"/>
    <n v="57426"/>
    <d v="2026-01-22T00:00:00"/>
    <n v="63200000"/>
    <n v="0"/>
    <n v="59526"/>
    <d v="2026-02-12T00:00:00"/>
    <n v="63200000"/>
    <n v="0"/>
    <n v="0"/>
    <s v="VITERI ALVAREZ JORGE MAURICIO"/>
    <s v="CO1.PCCNTR.9139302"/>
    <m/>
    <m/>
    <m/>
    <n v="63200000"/>
    <m/>
    <m/>
    <m/>
    <m/>
    <m/>
    <m/>
    <n v="6800000"/>
    <n v="6800000"/>
    <m/>
    <m/>
    <m/>
    <m/>
    <m/>
    <m/>
    <m/>
    <m/>
    <m/>
    <m/>
    <m/>
    <m/>
    <m/>
    <m/>
    <m/>
    <m/>
    <m/>
    <m/>
    <m/>
    <m/>
    <m/>
    <m/>
    <m/>
    <m/>
    <n v="63200000"/>
    <n v="6800000"/>
    <n v="6800000"/>
    <n v="56400000"/>
    <n v="0"/>
    <x v="0"/>
  </r>
  <r>
    <x v="0"/>
    <x v="5"/>
    <s v="Fortalecimiento del sector en la planificación de la atención de la demanda energética nacional y la transición energética justa a nivel nacional"/>
    <s v="Demanda"/>
    <s v="Si"/>
    <s v="Sí"/>
    <n v="4"/>
    <s v="160-71"/>
    <s v="Desarrollar la capacidad instalada en la planificación estratégica de la atención de la demanda."/>
    <s v="Documentos Metodológicos"/>
    <s v="Diagnóstico"/>
    <n v="80111620"/>
    <s v="C-2106-1900-13-40302B-2106005-02"/>
    <s v="Prestación de servicios profesionales y/o de apoyo a la gestión"/>
    <s v="160-71 Prestar servicios profesionales orientados a la evaluación integral de proyectos de Fuentes No Convencionales de Energía y Gestión Eficiente de la Energía, incluyendo la aplicación de criterios técnicos, normativos y metodológicos definidos para el"/>
    <s v="Enero "/>
    <s v="Enero "/>
    <s v="Enero "/>
    <n v="11.3"/>
    <s v="Meses"/>
    <s v="Contratación directa - Prestación de servicios profesionales "/>
    <s v="Propios - 20 - Ingresos corrientes"/>
    <n v="4600000"/>
    <n v="4600000"/>
    <s v="No"/>
    <s v="N/A"/>
    <s v="Johanna Castellanos"/>
    <s v="Subdirectora de Demanda"/>
    <n v="6012220644"/>
    <s v="johanna.castellanos@upme.gov.co"/>
    <n v="0"/>
    <n v="0"/>
    <n v="2800000"/>
    <n v="0"/>
    <n v="0"/>
    <n v="0"/>
    <n v="0"/>
    <n v="0"/>
    <n v="0"/>
    <n v="0"/>
    <n v="0"/>
    <n v="0"/>
    <n v="0"/>
    <n v="0"/>
    <n v="0"/>
    <n v="0"/>
    <n v="0"/>
    <n v="0"/>
    <n v="0"/>
    <n v="0"/>
    <n v="0"/>
    <n v="0"/>
    <n v="1800000"/>
    <n v="4600000"/>
    <n v="4600000"/>
    <n v="4600000"/>
    <n v="0"/>
    <n v="0"/>
    <s v="Prestar servicios profesionales orientados a la evaluación integral de proyectos de Fuentes No Convencionales de Energía y Gestión Eficiente de la Energía, incluyendo la aplicación de criterios técnicos, normativos y metodológicos definidos para el otorga"/>
    <m/>
    <m/>
    <n v="2800000"/>
    <m/>
    <m/>
    <m/>
    <m/>
    <m/>
    <m/>
    <m/>
    <m/>
    <m/>
    <m/>
    <m/>
    <m/>
    <m/>
    <m/>
    <m/>
    <m/>
    <m/>
    <m/>
    <m/>
    <n v="1800000"/>
    <n v="4600000"/>
    <m/>
    <m/>
    <n v="4600000"/>
    <n v="4600000"/>
    <n v="0"/>
    <n v="0"/>
    <n v="57426"/>
    <d v="2026-01-22T00:00:00"/>
    <n v="4600000"/>
    <n v="0"/>
    <n v="59526"/>
    <d v="2026-02-12T00:00:00"/>
    <n v="2800000"/>
    <n v="1800000"/>
    <n v="1800000"/>
    <s v="VITERI ALVAREZ JORGE MAURICIO"/>
    <s v="CO1.PCCNTR.9139302"/>
    <m/>
    <m/>
    <m/>
    <n v="2800000"/>
    <m/>
    <m/>
    <m/>
    <m/>
    <m/>
    <m/>
    <n v="2800000"/>
    <n v="2800000"/>
    <m/>
    <m/>
    <m/>
    <m/>
    <m/>
    <m/>
    <m/>
    <m/>
    <m/>
    <m/>
    <m/>
    <m/>
    <m/>
    <m/>
    <m/>
    <m/>
    <m/>
    <m/>
    <m/>
    <m/>
    <m/>
    <m/>
    <m/>
    <m/>
    <n v="2800000"/>
    <n v="2800000"/>
    <n v="2800000"/>
    <n v="0"/>
    <n v="0"/>
    <x v="0"/>
  </r>
  <r>
    <x v="0"/>
    <x v="5"/>
    <s v="Fortalecimiento del sector en la planificación de la atención de la demanda energética nacional y la transición energética justa a nivel nacional"/>
    <s v="Demanda"/>
    <s v="Si"/>
    <s v="Sí"/>
    <n v="4"/>
    <s v="160-72"/>
    <s v="Desarrollar la capacidad instalada en la planificación estratégica de la atención de la demanda."/>
    <s v="Documentos Metodológicos"/>
    <s v="Documento metodológico validado."/>
    <n v="80111620"/>
    <s v="C-2106-1900-13-40302B-2106005-02"/>
    <s v="Prestación de servicios profesionales y/o de apoyo a la gestión"/>
    <s v="160-72 Prestar servicios profesionales para la evaluación integral de proyectos de Fuentes No Convencionales de Energía y Gestión Eficiente de la Energía, incluyendo la revisión de requisitos técnicos, el análisis de la información presentada y  los sopor"/>
    <s v="Enero "/>
    <s v="Enero "/>
    <s v="Enero "/>
    <n v="11.3"/>
    <s v="Meses"/>
    <s v="Contratación directa - Prestación de servicios profesionales "/>
    <s v="Propios - 20 - Ingresos corrientes"/>
    <n v="35000000"/>
    <n v="35000000"/>
    <s v="No"/>
    <s v="N/A"/>
    <s v="Johanna Castellanos"/>
    <s v="Subdirectora de Demanda"/>
    <n v="6012220644"/>
    <s v="johanna.castellanos@upme.gov.co"/>
    <n v="0"/>
    <n v="0"/>
    <n v="0"/>
    <n v="0"/>
    <n v="0"/>
    <n v="0"/>
    <n v="0"/>
    <n v="0"/>
    <n v="0"/>
    <n v="0"/>
    <n v="0"/>
    <n v="0"/>
    <n v="0"/>
    <n v="0"/>
    <n v="35000000"/>
    <n v="0"/>
    <n v="0"/>
    <n v="7000000"/>
    <n v="0"/>
    <n v="7000000"/>
    <n v="0"/>
    <n v="7000000"/>
    <n v="0"/>
    <n v="14000000"/>
    <n v="35000000"/>
    <n v="35000000"/>
    <n v="0"/>
    <n v="0"/>
    <s v="Prestar servicios profesionales para la evaluación integral de proyectos de Fuentes No Convencionales de Energía y Gestión Eficiente de la Energía, incluyendo la revisión de requisitos técnicos, el análisis de la información presentada y  los soportes en "/>
    <m/>
    <m/>
    <m/>
    <m/>
    <m/>
    <m/>
    <m/>
    <m/>
    <m/>
    <m/>
    <m/>
    <m/>
    <m/>
    <m/>
    <n v="35000000"/>
    <m/>
    <m/>
    <n v="7000000"/>
    <m/>
    <n v="7000000"/>
    <m/>
    <n v="7000000"/>
    <m/>
    <n v="14000000"/>
    <m/>
    <m/>
    <n v="35000000"/>
    <n v="35000000"/>
    <n v="0"/>
    <n v="0"/>
    <n v="59926"/>
    <d v="2026-01-23T00:00:00"/>
    <n v="35000000"/>
    <n v="0"/>
    <m/>
    <m/>
    <n v="0"/>
    <n v="35000000"/>
    <n v="350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4"/>
    <s v="160-73"/>
    <s v="Desarrollar la capacidad instalada en la planificación estratégica de la atención de la demanda."/>
    <s v="Documentos Metodológicos"/>
    <s v="Diagnóstico"/>
    <n v="80111620"/>
    <s v="C-2106-1900-13-40302B-2106005-02"/>
    <s v="Prestación de servicios profesionales y/o de apoyo a la gestión"/>
    <s v="160-73 Prestar servicios profesionales para la evaluación integral de proyectos de Fuentes No Convencionales de Energía y Gestión Eficiente de la Energía, incluyendo la revisión de requisitos técnicos, el análisis de la información presentada y  los sopor"/>
    <s v="Enero "/>
    <s v="Enero "/>
    <s v="Enero "/>
    <n v="11.3"/>
    <s v="Meses"/>
    <s v="Contratación directa - Prestación de servicios profesionales "/>
    <s v="Propios - 20 - Ingresos corrientes"/>
    <n v="10200000"/>
    <n v="10200000"/>
    <s v="No"/>
    <s v="N/A"/>
    <s v="Johanna Castellanos"/>
    <s v="Subdirectora de Demanda"/>
    <n v="6012220644"/>
    <s v="johanna.castellanos@upme.gov.co"/>
    <n v="0"/>
    <n v="0"/>
    <n v="0"/>
    <n v="0"/>
    <n v="0"/>
    <n v="0"/>
    <n v="0"/>
    <n v="0"/>
    <n v="0"/>
    <n v="0"/>
    <n v="0"/>
    <n v="0"/>
    <n v="0"/>
    <n v="0"/>
    <n v="10200000"/>
    <n v="0"/>
    <n v="0"/>
    <n v="2040000"/>
    <n v="0"/>
    <n v="2040000"/>
    <n v="0"/>
    <n v="2040000"/>
    <n v="0"/>
    <n v="4080000"/>
    <n v="10200000"/>
    <n v="10200000"/>
    <n v="0"/>
    <n v="0"/>
    <s v="Prestar servicios profesionales para la evaluación integral de proyectos de Fuentes No Convencionales de Energía y Gestión Eficiente de la Energía, incluyendo la revisión de requisitos técnicos, el análisis de la información presentada y  los soportes en "/>
    <m/>
    <m/>
    <m/>
    <m/>
    <m/>
    <m/>
    <m/>
    <m/>
    <m/>
    <m/>
    <m/>
    <m/>
    <m/>
    <m/>
    <n v="10200000"/>
    <m/>
    <m/>
    <n v="2040000"/>
    <m/>
    <n v="2040000"/>
    <m/>
    <n v="2040000"/>
    <m/>
    <n v="4080000"/>
    <m/>
    <m/>
    <n v="10200000"/>
    <n v="10200000"/>
    <n v="0"/>
    <n v="0"/>
    <n v="59926"/>
    <d v="2026-01-23T00:00:00"/>
    <n v="10200000"/>
    <n v="0"/>
    <m/>
    <m/>
    <n v="0"/>
    <n v="10200000"/>
    <n v="102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4"/>
    <s v="160-74"/>
    <s v="Desarrollar la capacidad instalada en la planificación estratégica de la atención de la demanda."/>
    <s v="Documentos Metodológicos"/>
    <s v="Documento metodológico preliminar."/>
    <n v="80111620"/>
    <s v="C-2106-1900-13-40302B-2106005-02"/>
    <s v="Prestación de servicios profesionales y/o de apoyo a la gestión"/>
    <s v="160-74  Prestar servicios profesionales para la evaluación técnica y documental de proyectos de Fuentes No Convencionales de Energía y Gestión Eficiente de la Energía, en el marco del trámite de incentivos tributarios adelantado por la UPME, conforme a la"/>
    <s v="Enero "/>
    <s v="Enero "/>
    <s v="Enero "/>
    <n v="11.3"/>
    <s v="Meses"/>
    <s v="Contratación directa - Prestación de servicios profesionales "/>
    <s v="Propios - 20 - Ingresos corrientes"/>
    <n v="32600000"/>
    <n v="32600000"/>
    <s v="No"/>
    <s v="N/A"/>
    <s v="Johanna Castellanos"/>
    <s v="Subdirectora de Demanda"/>
    <n v="6012220644"/>
    <s v="johanna.castellanos@upme.gov.co"/>
    <n v="0"/>
    <n v="0"/>
    <n v="0"/>
    <n v="0"/>
    <n v="0"/>
    <n v="0"/>
    <n v="0"/>
    <n v="0"/>
    <n v="0"/>
    <n v="0"/>
    <n v="0"/>
    <n v="0"/>
    <n v="0"/>
    <n v="0"/>
    <n v="32600000"/>
    <n v="0"/>
    <n v="0"/>
    <n v="6520000"/>
    <n v="0"/>
    <n v="6520000"/>
    <n v="0"/>
    <n v="6520000"/>
    <n v="0"/>
    <n v="13040000"/>
    <n v="32600000"/>
    <n v="32600000"/>
    <n v="0"/>
    <n v="0"/>
    <s v=" Prestar servicios profesionales para la evaluación técnica y documental de proyectos de Fuentes No Convencionales de Energía y Gestión Eficiente de la Energía, en el marco del trámite de incentivos tributarios adelantado por la UPME, conforme a la normat"/>
    <m/>
    <m/>
    <m/>
    <m/>
    <m/>
    <m/>
    <m/>
    <m/>
    <m/>
    <m/>
    <m/>
    <m/>
    <m/>
    <m/>
    <n v="32600000"/>
    <m/>
    <m/>
    <n v="6520000"/>
    <m/>
    <n v="6520000"/>
    <m/>
    <n v="6520000"/>
    <m/>
    <n v="13040000"/>
    <m/>
    <m/>
    <n v="32600000"/>
    <n v="32600000"/>
    <n v="0"/>
    <n v="0"/>
    <n v="59426"/>
    <d v="2026-01-23T00:00:00"/>
    <n v="32600000"/>
    <n v="0"/>
    <m/>
    <m/>
    <n v="0"/>
    <n v="32600000"/>
    <n v="326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4"/>
    <s v="160-75"/>
    <s v="Desarrollar la capacidad instalada en la planificación estratégica de la atención de la demanda."/>
    <s v="Documentos Metodológicos"/>
    <s v="Diagnóstico"/>
    <n v="80111620"/>
    <s v="C-2106-1900-13-40302B-2106005-02"/>
    <s v="Prestación de servicios profesionales y/o de apoyo a la gestión"/>
    <s v="160-75 Prestar servicios profesionales para la evaluación técnica y documental de proyectos de Fuentes No Convencionales de Energía y Gestión Eficiente de la Energía, en el marco del trámite de incentivos tributarios adelantado por la UPME, conforme a la "/>
    <s v="Enero "/>
    <s v="Enero "/>
    <s v="Enero "/>
    <n v="11.3"/>
    <s v="Meses"/>
    <s v="Contratación directa - Prestación de servicios profesionales "/>
    <s v="Propios - 20 - Ingresos corrientes"/>
    <n v="35200000"/>
    <n v="35200000"/>
    <s v="No"/>
    <s v="N/A"/>
    <s v="Johanna Castellanos"/>
    <s v="Subdirectora de Demanda"/>
    <n v="6012220644"/>
    <s v="johanna.castellanos@upme.gov.co"/>
    <n v="0"/>
    <n v="0"/>
    <n v="0"/>
    <n v="0"/>
    <n v="0"/>
    <n v="0"/>
    <n v="0"/>
    <n v="0"/>
    <n v="0"/>
    <n v="0"/>
    <n v="0"/>
    <n v="0"/>
    <n v="0"/>
    <n v="0"/>
    <n v="35200000"/>
    <n v="0"/>
    <n v="0"/>
    <n v="7040000"/>
    <n v="0"/>
    <n v="7040000"/>
    <n v="0"/>
    <n v="7040000"/>
    <n v="0"/>
    <n v="14080000"/>
    <n v="35200000"/>
    <n v="35200000"/>
    <n v="0"/>
    <n v="0"/>
    <s v="Prestar servicios profesionales para la evaluación técnica y documental de proyectos de Fuentes No Convencionales de Energía y Gestión Eficiente de la Energía, en el marco del trámite de incentivos tributarios adelantado por la UPME, conforme a la normati"/>
    <m/>
    <m/>
    <m/>
    <m/>
    <m/>
    <m/>
    <m/>
    <m/>
    <m/>
    <m/>
    <m/>
    <m/>
    <m/>
    <m/>
    <n v="35200000"/>
    <m/>
    <m/>
    <n v="7040000"/>
    <m/>
    <n v="7040000"/>
    <m/>
    <n v="7040000"/>
    <m/>
    <n v="14080000"/>
    <m/>
    <m/>
    <n v="35200000"/>
    <n v="35200000"/>
    <n v="0"/>
    <n v="0"/>
    <n v="59426"/>
    <d v="2026-01-23T00:00:00"/>
    <n v="33400000"/>
    <n v="1800000"/>
    <m/>
    <m/>
    <n v="0"/>
    <n v="35200000"/>
    <n v="33400000"/>
    <m/>
    <m/>
    <m/>
    <m/>
    <m/>
    <m/>
    <m/>
    <m/>
    <m/>
    <m/>
    <m/>
    <m/>
    <m/>
    <m/>
    <m/>
    <m/>
    <m/>
    <m/>
    <m/>
    <m/>
    <m/>
    <m/>
    <m/>
    <m/>
    <m/>
    <m/>
    <m/>
    <m/>
    <m/>
    <m/>
    <m/>
    <m/>
    <m/>
    <m/>
    <m/>
    <m/>
    <m/>
    <m/>
    <n v="0"/>
    <n v="0"/>
    <n v="0"/>
    <n v="0"/>
    <n v="0"/>
    <x v="0"/>
  </r>
  <r>
    <x v="0"/>
    <x v="5"/>
    <s v="Fortalecimiento del sector en la planificación de la atención de la demanda energética nacional y la transición energética justa a nivel nacional"/>
    <s v="Demanda"/>
    <s v="Sí"/>
    <s v="Sí"/>
    <n v="22"/>
    <s v="160-76"/>
    <s v="Mejorar la representatividad en la información de la participación de los sectores económicos en el consumo de energía."/>
    <s v="Documentos de Planeación"/>
    <s v="Documento de planeación preliminar."/>
    <n v="80141607"/>
    <s v="C-2106-1900-13-40302B-2106003-02"/>
    <s v="Operador Logístico"/>
    <s v="160-76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80000000"/>
    <n v="80000000"/>
    <s v="No"/>
    <s v="N/A"/>
    <s v="Johanna Castellanos"/>
    <s v="Subdirectora de Demanda"/>
    <n v="6012220644"/>
    <s v="johanna.castellanos@upme.gov.co"/>
    <m/>
    <m/>
    <m/>
    <m/>
    <m/>
    <m/>
    <m/>
    <m/>
    <m/>
    <m/>
    <m/>
    <m/>
    <m/>
    <m/>
    <m/>
    <m/>
    <m/>
    <m/>
    <m/>
    <m/>
    <m/>
    <m/>
    <m/>
    <m/>
    <m/>
    <m/>
    <m/>
    <m/>
    <s v="Prestación de los servicios de apoyo logístico para el desarrollo de la estrategia de comunicación y participación con actores nacionales y territoriales, así como para otros espacios interinstitucionales en el marco de la misionalidad de la entidad y el "/>
    <n v="80000000"/>
    <n v="0"/>
    <n v="0"/>
    <n v="0"/>
    <n v="0"/>
    <n v="0"/>
    <n v="0"/>
    <n v="0"/>
    <n v="0"/>
    <n v="0"/>
    <n v="0"/>
    <n v="0"/>
    <n v="0"/>
    <n v="0"/>
    <n v="0"/>
    <n v="0"/>
    <n v="0"/>
    <n v="0"/>
    <n v="0"/>
    <n v="0"/>
    <n v="0"/>
    <n v="30000000"/>
    <n v="0"/>
    <n v="50000000"/>
    <m/>
    <m/>
    <n v="80000000"/>
    <n v="80000000"/>
    <n v="0"/>
    <n v="0"/>
    <m/>
    <m/>
    <m/>
    <n v="80000000"/>
    <m/>
    <m/>
    <m/>
    <n v="80000000"/>
    <n v="0"/>
    <m/>
    <m/>
    <m/>
    <m/>
    <m/>
    <m/>
    <m/>
    <m/>
    <m/>
    <m/>
    <m/>
    <m/>
    <m/>
    <m/>
    <m/>
    <m/>
    <m/>
    <m/>
    <m/>
    <m/>
    <m/>
    <m/>
    <m/>
    <m/>
    <m/>
    <m/>
    <m/>
    <m/>
    <m/>
    <m/>
    <m/>
    <m/>
    <m/>
    <m/>
    <m/>
    <m/>
    <m/>
    <m/>
    <m/>
    <m/>
    <m/>
    <m/>
    <m/>
    <x v="0"/>
  </r>
  <r>
    <x v="0"/>
    <x v="6"/>
    <s v="Fortalecimiento de la planeación para reducir las limitaciones en la prestación del servicio de energía eléctrica y la atención plena de la demanda nacional."/>
    <s v="Energía"/>
    <s v="Sí"/>
    <s v="Sí"/>
    <n v="68"/>
    <s v="150-1"/>
    <s v="Aumentar señales de expansión y cobertura del servicio de energía eléctrica."/>
    <s v="Documentos de Planeación"/>
    <s v="Documento de planeación validado."/>
    <n v="80111620"/>
    <s v="C-2102-1900-6-40301C-2102009-02"/>
    <s v="Prestación de servicios profesionales y/o de apoyo a la gestión"/>
    <s v="150-1 Prestar servicios profesionales para adelantar la gestión contractual de la Subdirección de Energía Eléctrica y de la entidad, en asocio con el GIT de Gestión Contractual."/>
    <s v="Enero "/>
    <s v="Enero "/>
    <s v="Enero "/>
    <n v="12"/>
    <s v="Meses"/>
    <s v="Contratación directa - Prestación de servicios profesionales "/>
    <s v="Propios - 20 - Ingresos corrientes"/>
    <n v="63335100"/>
    <n v="63335100"/>
    <s v="Si"/>
    <s v="Solicitadas"/>
    <s v="Guillermo Holguin Garcia"/>
    <s v="Subdirector de Energía Eléctrica"/>
    <n v="6012220601"/>
    <s v="guillermo.holguin@upme.gov.co"/>
    <n v="38551800"/>
    <n v="0"/>
    <n v="0"/>
    <n v="5507400"/>
    <n v="0"/>
    <n v="5507400"/>
    <n v="0"/>
    <n v="5507400"/>
    <n v="0"/>
    <n v="5507400"/>
    <n v="0"/>
    <n v="5507400"/>
    <n v="0"/>
    <n v="5507400"/>
    <n v="24783300"/>
    <n v="5507400"/>
    <n v="0"/>
    <n v="2753700"/>
    <n v="0"/>
    <n v="5507400"/>
    <n v="0"/>
    <n v="5507400"/>
    <n v="0"/>
    <n v="11014800"/>
    <n v="63335100"/>
    <n v="63335100"/>
    <n v="0"/>
    <n v="0"/>
    <s v="Prestar servicios profesionales para adelantar la gestión contractual de la Subdirección de Energía Eléctrica y de la entidad, en asocio con el GIT de Gestión Contractual."/>
    <n v="38551800"/>
    <m/>
    <m/>
    <n v="5507400"/>
    <m/>
    <n v="5507400"/>
    <m/>
    <n v="5507400"/>
    <m/>
    <n v="5507400"/>
    <m/>
    <n v="5507400"/>
    <m/>
    <n v="5507400"/>
    <n v="24783300"/>
    <n v="5507400"/>
    <m/>
    <n v="2753700"/>
    <m/>
    <n v="5507400"/>
    <m/>
    <n v="5507400"/>
    <m/>
    <n v="11014800"/>
    <m/>
    <m/>
    <n v="63335100"/>
    <n v="63335100"/>
    <n v="0"/>
    <n v="0"/>
    <n v="15826"/>
    <d v="2026-01-09T00:00:00"/>
    <n v="38551800"/>
    <n v="24783300"/>
    <n v="3926"/>
    <d v="2026-01-09T00:00:00"/>
    <n v="38551800"/>
    <n v="24783300"/>
    <n v="0"/>
    <s v="SANIN MORALES LAURA VALENTINA"/>
    <s v="CO1.PCCNTR.7205218"/>
    <n v="38551800"/>
    <m/>
    <m/>
    <m/>
    <m/>
    <m/>
    <m/>
    <n v="5507400"/>
    <n v="5507400"/>
    <m/>
    <n v="11014800"/>
    <n v="11014800"/>
    <m/>
    <m/>
    <m/>
    <m/>
    <m/>
    <m/>
    <m/>
    <m/>
    <m/>
    <m/>
    <m/>
    <m/>
    <m/>
    <m/>
    <m/>
    <m/>
    <m/>
    <m/>
    <m/>
    <m/>
    <m/>
    <m/>
    <m/>
    <m/>
    <n v="38551800"/>
    <n v="16522200"/>
    <n v="16522200"/>
    <n v="22029600"/>
    <n v="0"/>
    <x v="0"/>
  </r>
  <r>
    <x v="0"/>
    <x v="6"/>
    <s v="Fortalecimiento de la planeación para reducir las limitaciones en la prestación del servicio de energía eléctrica y la atención plena de la demanda nacional."/>
    <s v="Energía"/>
    <s v="Sí"/>
    <s v="Sí"/>
    <n v="68"/>
    <s v="150-10"/>
    <s v="Aumentar señales de expansión y cobertura del servicio de energía eléctrica."/>
    <s v="Documentos de Planeación"/>
    <s v="Documento de planeación validado."/>
    <n v="80111620"/>
    <s v="C-2102-1900-6-40301C-2102009-02"/>
    <s v="Prestación de servicios profesionales y/o de apoyo a la gestión"/>
    <s v="150-10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4526"/>
    <d v="2026-01-05T00:00:00"/>
    <n v="70000000"/>
    <n v="0"/>
    <n v="4026"/>
    <d v="2026-01-09T00:00:00"/>
    <n v="70000000"/>
    <n v="0"/>
    <n v="0"/>
    <s v="GOMEZ CORREA DIVANN DANNETH"/>
    <s v="CO1.PCCNTR.8795755"/>
    <n v="70000000"/>
    <m/>
    <m/>
    <m/>
    <n v="4200000"/>
    <n v="4200000"/>
    <m/>
    <n v="7000000"/>
    <n v="7000000"/>
    <m/>
    <m/>
    <m/>
    <m/>
    <m/>
    <m/>
    <m/>
    <m/>
    <m/>
    <m/>
    <m/>
    <m/>
    <m/>
    <m/>
    <m/>
    <m/>
    <m/>
    <m/>
    <m/>
    <m/>
    <m/>
    <m/>
    <m/>
    <m/>
    <m/>
    <m/>
    <m/>
    <n v="70000000"/>
    <n v="11200000"/>
    <n v="11200000"/>
    <n v="58800000"/>
    <n v="0"/>
    <x v="0"/>
  </r>
  <r>
    <x v="0"/>
    <x v="6"/>
    <s v="Fortalecimiento de la planeación para reducir las limitaciones en la prestación del servicio de energía eléctrica y la atención plena de la demanda nacional."/>
    <s v="Energía"/>
    <s v="Sí"/>
    <s v="Sí"/>
    <n v="68"/>
    <s v="150-10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00 Brindar servicios profesionales de asesoría en asuntos jurídicos y regulatorios a la Subdirección de Energía Eléctrica, en el marco de los procedimientos y actuaciones que adelante"/>
    <s v="Enero "/>
    <s v="Enero "/>
    <s v="Enero "/>
    <n v="10"/>
    <s v="Meses"/>
    <s v="Contratación directa - Prestación de servicios profesionales "/>
    <s v="Propios - 20 - Ingresos corrientes"/>
    <n v="1355610"/>
    <n v="1355610"/>
    <s v="No"/>
    <s v="N/A"/>
    <s v="Guillermo Holguin Garcia"/>
    <s v="Subdirector de Energía Eléctrica"/>
    <n v="6012220601"/>
    <s v="guillermo.holguin@upme.gov.co"/>
    <n v="1355610"/>
    <n v="0"/>
    <n v="0"/>
    <n v="0"/>
    <n v="0"/>
    <n v="135561"/>
    <n v="0"/>
    <n v="135561"/>
    <n v="0"/>
    <n v="135561"/>
    <n v="0"/>
    <n v="135561"/>
    <n v="0"/>
    <n v="135561"/>
    <n v="0"/>
    <n v="135561"/>
    <n v="0"/>
    <n v="135561"/>
    <n v="0"/>
    <n v="135561"/>
    <n v="0"/>
    <n v="135561"/>
    <n v="0"/>
    <n v="135561"/>
    <n v="1355610"/>
    <n v="1355610"/>
    <n v="0"/>
    <n v="0"/>
    <s v="Brindar servicios profesionales de asesoría en asuntos jurídicos y regulatorios a la Subdirección de Energía Eléctrica, en el marco de los procedimientos y actuaciones que adelante"/>
    <n v="1355610"/>
    <m/>
    <m/>
    <m/>
    <m/>
    <n v="135561"/>
    <m/>
    <n v="135561"/>
    <m/>
    <n v="135561"/>
    <m/>
    <n v="135561"/>
    <m/>
    <n v="135561"/>
    <m/>
    <n v="135561"/>
    <m/>
    <n v="135561"/>
    <m/>
    <n v="135561"/>
    <m/>
    <n v="135561"/>
    <m/>
    <n v="135561"/>
    <m/>
    <m/>
    <n v="1355610"/>
    <n v="1355610"/>
    <n v="0"/>
    <n v="0"/>
    <n v="7726"/>
    <d v="2026-01-06T00:00:00"/>
    <n v="1355610"/>
    <n v="0"/>
    <n v="29726"/>
    <d v="2026-01-28T00:00:00"/>
    <n v="1355610"/>
    <n v="0"/>
    <n v="0"/>
    <s v="AMAYA SAENZ INGRID JOHANNA"/>
    <s v="CO1.PCCNTR.9139537"/>
    <n v="1355610"/>
    <m/>
    <m/>
    <m/>
    <m/>
    <m/>
    <m/>
    <n v="1355610"/>
    <n v="1355610"/>
    <m/>
    <m/>
    <m/>
    <m/>
    <m/>
    <m/>
    <m/>
    <m/>
    <m/>
    <m/>
    <m/>
    <m/>
    <m/>
    <m/>
    <m/>
    <m/>
    <m/>
    <m/>
    <m/>
    <m/>
    <m/>
    <m/>
    <m/>
    <m/>
    <m/>
    <m/>
    <m/>
    <n v="1355610"/>
    <n v="1355610"/>
    <n v="1355610"/>
    <n v="0"/>
    <n v="0"/>
    <x v="0"/>
  </r>
  <r>
    <x v="0"/>
    <x v="6"/>
    <s v="Fortalecimiento de la planeación para reducir las limitaciones en la prestación del servicio de energía eléctrica y la atención plena de la demanda nacional."/>
    <s v="Energía"/>
    <s v="Sí"/>
    <s v="Sí"/>
    <n v="3"/>
    <s v="150-101"/>
    <s v="Aumentar señales de expansión y cobertura del servicio de energía eléctrica."/>
    <s v="Documentos de Planeación"/>
    <s v="Documento de planeación validado."/>
    <n v="80111620"/>
    <s v="C-2102-1900-6-40301C-2102009-02"/>
    <s v="Prestación de servicios profesionales y/o de apoyo a la gestión"/>
    <s v="150-101 Prestar servicios profesionales de diagramación de documentos, diseño y diagramación de datos, creación de piezas para canales digitales de la UPME y necesidades generales de diseño en el área de comunicaciones"/>
    <s v="Enero "/>
    <s v="Enero "/>
    <s v="Enero "/>
    <n v="10"/>
    <s v="Meses"/>
    <s v="Contratación directa - Prestación de servicios profesionales "/>
    <s v="Propios - 20 - Ingresos corrientes"/>
    <n v="8000000"/>
    <n v="8000000"/>
    <s v="No"/>
    <s v="N/A"/>
    <s v="Guillermo Holguin Garcia"/>
    <s v="Subdirector de Energía Eléctrica"/>
    <n v="6012220601"/>
    <s v="guillermo.holguin@upme.gov.co"/>
    <n v="3000000"/>
    <n v="0"/>
    <n v="0"/>
    <n v="0"/>
    <n v="0"/>
    <n v="800000"/>
    <n v="0"/>
    <n v="800000"/>
    <n v="0"/>
    <n v="800000"/>
    <n v="0"/>
    <n v="800000"/>
    <n v="0"/>
    <n v="800000"/>
    <n v="0"/>
    <n v="800000"/>
    <n v="0"/>
    <n v="800000"/>
    <n v="0"/>
    <n v="800000"/>
    <n v="5000000"/>
    <n v="800000"/>
    <n v="0"/>
    <n v="800000"/>
    <n v="8000000"/>
    <n v="8000000"/>
    <n v="0"/>
    <n v="0"/>
    <s v="Prestar servicios profesionales de diagramación de documentos, diseño y diagramación de datos, creación de piezas para canales digitales de la UPME y necesidades generales de diseño en el área de comunicaciones"/>
    <n v="3000000"/>
    <m/>
    <m/>
    <m/>
    <m/>
    <n v="800000"/>
    <m/>
    <n v="800000"/>
    <m/>
    <n v="800000"/>
    <m/>
    <n v="800000"/>
    <m/>
    <n v="800000"/>
    <m/>
    <n v="800000"/>
    <m/>
    <n v="800000"/>
    <m/>
    <n v="800000"/>
    <n v="5000000"/>
    <n v="800000"/>
    <m/>
    <n v="800000"/>
    <m/>
    <m/>
    <n v="8000000"/>
    <n v="8000000"/>
    <n v="0"/>
    <n v="0"/>
    <n v="15926"/>
    <d v="2026-01-09T00:00:00"/>
    <n v="3000000"/>
    <n v="5000000"/>
    <n v="18226"/>
    <d v="2026-01-23T00:00:00"/>
    <n v="3000000"/>
    <n v="5000000"/>
    <n v="0"/>
    <s v="PEÑARANDA JUYO DIEGO JOSE"/>
    <s v="CO1.PCCNTR.8995481"/>
    <n v="3000000"/>
    <m/>
    <m/>
    <m/>
    <m/>
    <m/>
    <m/>
    <n v="1866667"/>
    <n v="1866667"/>
    <m/>
    <m/>
    <m/>
    <m/>
    <m/>
    <m/>
    <m/>
    <m/>
    <m/>
    <m/>
    <m/>
    <m/>
    <m/>
    <m/>
    <m/>
    <m/>
    <m/>
    <m/>
    <m/>
    <m/>
    <m/>
    <m/>
    <m/>
    <m/>
    <m/>
    <m/>
    <m/>
    <n v="3000000"/>
    <n v="1866667"/>
    <n v="1866667"/>
    <n v="1133333"/>
    <n v="0"/>
    <x v="0"/>
  </r>
  <r>
    <x v="0"/>
    <x v="6"/>
    <s v="Fortalecimiento de la planeación para reducir las limitaciones en la prestación del servicio de energía eléctrica y la atención plena de la demanda nacional."/>
    <s v="Energía"/>
    <s v="Sí"/>
    <s v="Sí"/>
    <n v="20"/>
    <s v="150-102"/>
    <s v="Aumentar señales de expansión y cobertura del servicio de energía eléctrica."/>
    <s v="Documentos de Planeación"/>
    <s v="Documento de planeación validado."/>
    <n v="80111620"/>
    <s v="C-2102-1900-6-40301C-2102009-02"/>
    <s v="Prestación de servicios profesionales y/o de apoyo a la gestión"/>
    <s v="150-102 Prestar servicios profesionales para la creación, producción y gestión de contenidos digitales, audiovisuales y editoriales, en alineación con el Plan Estratégico de Comunicaciones de la UPME"/>
    <s v="Enero "/>
    <s v="Enero "/>
    <s v="Enero "/>
    <n v="10"/>
    <s v="Meses"/>
    <s v="Contratación directa - Prestación de servicios profesionales "/>
    <s v="Propios - 20 - Ingresos corrientes"/>
    <n v="0"/>
    <n v="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32000000"/>
    <n v="-32000000"/>
    <s v="Prestar servicios profesionales para la creación, producción y gestión de contenidos digitales, audiovisuales y editoriales, en alineación con el Plan Estratégico de Comunicaciones de la UPME"/>
    <m/>
    <m/>
    <m/>
    <m/>
    <m/>
    <m/>
    <m/>
    <m/>
    <m/>
    <m/>
    <m/>
    <m/>
    <m/>
    <m/>
    <m/>
    <m/>
    <m/>
    <m/>
    <m/>
    <m/>
    <m/>
    <m/>
    <m/>
    <m/>
    <m/>
    <m/>
    <n v="0"/>
    <n v="0"/>
    <n v="0"/>
    <n v="0"/>
    <n v="65726"/>
    <d v="2026-01-26T00:00:00"/>
    <m/>
    <n v="0"/>
    <m/>
    <m/>
    <n v="0"/>
    <n v="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2"/>
    <s v="150-103"/>
    <s v="Aumentar señales de expansión y cobertura del servicio de energía eléctrica."/>
    <s v="Documentos de Planeación"/>
    <s v="Documento de planeación validado."/>
    <n v="80111620"/>
    <s v="C-2102-1900-6-40301C-2102009-02"/>
    <s v="Prestación de servicios profesionales y/o de apoyo a la gestión"/>
    <s v="150-103 Prestar servicios profesionales para apoyar el seguimiento de proyectos de inversión, mediante la consolidación de la información y la elaboración de los reportes correspondientes en la herramienta de seguimiento, el reporte de avance de los plane"/>
    <s v="Enero "/>
    <s v="Enero "/>
    <s v="Enero "/>
    <n v="10"/>
    <s v="Meses"/>
    <s v="Contratación directa - Prestación de servicios profesionales "/>
    <s v="Propios - 20 - Ingresos corrientes"/>
    <n v="60000000"/>
    <n v="60000000"/>
    <s v="No"/>
    <s v="N/A"/>
    <s v="Guillermo Holguin Garcia"/>
    <s v="Subdirector de Energía Eléctrica"/>
    <n v="6012220601"/>
    <s v="guillermo.holguin@upme.gov.co"/>
    <n v="0"/>
    <n v="0"/>
    <n v="60000000"/>
    <n v="0"/>
    <n v="0"/>
    <n v="6000000"/>
    <n v="0"/>
    <n v="6000000"/>
    <n v="0"/>
    <n v="6000000"/>
    <n v="0"/>
    <n v="6000000"/>
    <n v="0"/>
    <n v="6000000"/>
    <n v="0"/>
    <n v="6000000"/>
    <n v="0"/>
    <n v="6000000"/>
    <n v="0"/>
    <n v="6000000"/>
    <n v="0"/>
    <n v="6000000"/>
    <n v="0"/>
    <n v="6000000"/>
    <n v="60000000"/>
    <n v="60000000"/>
    <n v="0"/>
    <n v="0"/>
    <s v="Prestar servicios profesionales para apoyar el seguimiento de proyectos de inversión, mediante la consolidación de la información y la elaboración de los reportes correspondientes en la herramienta de seguimiento, el reporte de avance de los planes instit"/>
    <m/>
    <m/>
    <n v="60000000"/>
    <m/>
    <m/>
    <n v="6000000"/>
    <m/>
    <n v="6000000"/>
    <m/>
    <n v="6000000"/>
    <m/>
    <n v="6000000"/>
    <m/>
    <n v="6000000"/>
    <m/>
    <n v="6000000"/>
    <m/>
    <n v="6000000"/>
    <m/>
    <n v="6000000"/>
    <m/>
    <n v="6000000"/>
    <m/>
    <n v="6000000"/>
    <m/>
    <m/>
    <n v="60000000"/>
    <n v="60000000"/>
    <n v="0"/>
    <n v="0"/>
    <n v="52726"/>
    <d v="2026-01-20T00:00:00"/>
    <n v="60000000"/>
    <n v="0"/>
    <n v="50126"/>
    <d v="2026-02-09T00:00:00"/>
    <n v="60000000"/>
    <n v="0"/>
    <n v="0"/>
    <s v="ARDILA BEDOYA JENNY FERNANDA"/>
    <s v=". CO1.PCCNTR.9295976"/>
    <m/>
    <m/>
    <m/>
    <n v="60000000"/>
    <m/>
    <m/>
    <m/>
    <m/>
    <m/>
    <m/>
    <n v="10200000"/>
    <n v="10200000"/>
    <m/>
    <m/>
    <m/>
    <m/>
    <m/>
    <m/>
    <m/>
    <m/>
    <m/>
    <m/>
    <m/>
    <m/>
    <m/>
    <m/>
    <m/>
    <m/>
    <m/>
    <m/>
    <m/>
    <m/>
    <m/>
    <m/>
    <m/>
    <m/>
    <n v="60000000"/>
    <n v="10200000"/>
    <n v="10200000"/>
    <n v="49800000"/>
    <n v="0"/>
    <x v="0"/>
  </r>
  <r>
    <x v="0"/>
    <x v="6"/>
    <s v="Fortalecimiento de la planeación para reducir las limitaciones en la prestación del servicio de energía eléctrica y la atención plena de la demanda nacional."/>
    <s v="Energía"/>
    <s v="Sí"/>
    <s v="Sí"/>
    <s v="Radicado 20261500021643"/>
    <s v="150-104"/>
    <s v="Aumentar señales de expansión y cobertura del servicio de energía eléctrica."/>
    <s v="Servicio de Asistencia Técnica"/>
    <s v="Monitorear los resultados e impactos de los proyectos en ejecución de los procesos de convocatorias y subastas."/>
    <n v="80111620"/>
    <s v="C-2102-1900-6-40301C-2102071-02"/>
    <s v="Prestación de servicios profesionales y/o de apoyo a la gestión"/>
    <s v="150-104 Prestar servicios profesionales para la proyección de documentos de contenido legal y apoyo de los asuntos de tipo jurídico que resulten de las actuaciones administrativas de competencia de la Subdirección de energía Eléctrica."/>
    <s v="Enero "/>
    <s v="Enero "/>
    <s v="Enero "/>
    <n v="10"/>
    <s v="Meses"/>
    <s v="Contratación directa - Prestación de servicios profesionales "/>
    <s v="Propios - 21 - Otros recursos de tesorería"/>
    <n v="35000000"/>
    <n v="35000000"/>
    <s v="No"/>
    <s v="N/A"/>
    <s v="Guillermo Holguin Garcia"/>
    <s v="Subdirector de Energía Eléctrica"/>
    <n v="6012220601"/>
    <s v="guillermo.holguin@upme.gov.co"/>
    <n v="0"/>
    <n v="0"/>
    <n v="35000000"/>
    <n v="0"/>
    <n v="0"/>
    <n v="3500000"/>
    <n v="0"/>
    <n v="3500000"/>
    <n v="0"/>
    <n v="3500000"/>
    <n v="0"/>
    <n v="3500000"/>
    <n v="0"/>
    <n v="3500000"/>
    <n v="0"/>
    <n v="3500000"/>
    <n v="0"/>
    <n v="3500000"/>
    <n v="0"/>
    <n v="3500000"/>
    <n v="0"/>
    <n v="3500000"/>
    <n v="0"/>
    <n v="3500000"/>
    <n v="35000000"/>
    <n v="35000000"/>
    <n v="0"/>
    <n v="0"/>
    <s v="Prestar servicios profesionales para la proyección de documentos de contenido legal y apoyo de los asuntos de tipo jurídico que resulten de las actuaciones administrativas de competencia de la Subdirección de energía Eléctrica."/>
    <m/>
    <m/>
    <n v="35000000"/>
    <m/>
    <m/>
    <n v="3500000"/>
    <m/>
    <n v="3500000"/>
    <m/>
    <n v="3500000"/>
    <m/>
    <n v="3500000"/>
    <m/>
    <n v="3500000"/>
    <m/>
    <n v="3500000"/>
    <m/>
    <n v="3500000"/>
    <m/>
    <n v="3500000"/>
    <m/>
    <n v="3500000"/>
    <m/>
    <n v="3500000"/>
    <m/>
    <m/>
    <n v="35000000"/>
    <n v="35000000"/>
    <n v="0"/>
    <n v="0"/>
    <n v="56926"/>
    <d v="2026-01-22T00:00:00"/>
    <n v="35000000"/>
    <n v="0"/>
    <n v="49326"/>
    <s v="09/02/2026,20/03/2026"/>
    <n v="35000000"/>
    <n v="0"/>
    <n v="0"/>
    <s v="CARMONA LOZANO MABEL ANDREA,ORTEGA THERAN ANYELITZA_x000a_"/>
    <s v="CO1.PCCNTR.9285665"/>
    <m/>
    <m/>
    <m/>
    <n v="35000000"/>
    <m/>
    <m/>
    <m/>
    <m/>
    <m/>
    <m/>
    <m/>
    <m/>
    <m/>
    <m/>
    <m/>
    <m/>
    <m/>
    <m/>
    <m/>
    <m/>
    <m/>
    <m/>
    <m/>
    <m/>
    <m/>
    <m/>
    <m/>
    <m/>
    <m/>
    <m/>
    <m/>
    <m/>
    <m/>
    <m/>
    <m/>
    <m/>
    <n v="35000000"/>
    <n v="0"/>
    <n v="0"/>
    <n v="35000000"/>
    <n v="0"/>
    <x v="0"/>
  </r>
  <r>
    <x v="0"/>
    <x v="6"/>
    <s v="Fortalecimiento de la planeación para reducir las limitaciones en la prestación del servicio de energía eléctrica y la atención plena de la demanda nacional."/>
    <s v="Energía"/>
    <s v="Sí"/>
    <s v="Sí"/>
    <n v="20"/>
    <s v="150-105"/>
    <s v="Aumentar señales de expansión y cobertura del servicio de energía eléctrica."/>
    <s v="Documentos de Planeación"/>
    <s v="Documento de planeación validado."/>
    <n v="80111620"/>
    <s v="C-2102-1900-6-40301C-2102009-02"/>
    <s v="Prestación de servicios profesionales y/o de apoyo a la gestión"/>
    <s v="150-105 Prestar servicios profesionales para hacer seguimiento técnico a la ejecución de los proyectos del Sistema de Transmisión Nacional y Regional, desarrollados mediante el mecanismo de convocatoria pública y sus ampliaciones."/>
    <s v="Enero "/>
    <s v="Enero "/>
    <s v="Enero "/>
    <n v="9"/>
    <s v="Meses"/>
    <s v="Contratación directa - Prestación de servicios profesionales "/>
    <s v="Propios - 20 - Ingresos corrientes"/>
    <n v="0"/>
    <n v="0"/>
    <s v="No"/>
    <s v="N/A"/>
    <s v="Guillermo Holguin Garcia"/>
    <s v="Subdirector de Energía Eléctrica"/>
    <n v="6012220601"/>
    <s v="guillermo.holguin@upme.gov.co"/>
    <n v="0"/>
    <n v="0"/>
    <n v="0"/>
    <n v="0"/>
    <n v="0"/>
    <n v="0"/>
    <n v="0"/>
    <n v="0"/>
    <n v="0"/>
    <n v="0"/>
    <n v="0"/>
    <n v="0"/>
    <n v="0"/>
    <n v="0"/>
    <n v="0"/>
    <n v="0"/>
    <n v="0"/>
    <n v="0"/>
    <n v="0"/>
    <n v="0"/>
    <n v="45000000"/>
    <n v="0"/>
    <n v="0"/>
    <n v="45000000"/>
    <n v="45000000"/>
    <n v="45000000"/>
    <n v="-45000000"/>
    <n v="-45000000"/>
    <s v="Prestar servicios profesionales para hacer seguimiento técnico a la ejecución de los proyectos del Sistema de Transmisión Nacional y Regional, desarrollados mediante el mecanismo de convocatoria pública y sus ampliaciones."/>
    <m/>
    <m/>
    <m/>
    <m/>
    <m/>
    <m/>
    <m/>
    <m/>
    <m/>
    <m/>
    <m/>
    <m/>
    <m/>
    <m/>
    <m/>
    <m/>
    <m/>
    <m/>
    <m/>
    <m/>
    <m/>
    <m/>
    <m/>
    <m/>
    <m/>
    <m/>
    <n v="0"/>
    <n v="0"/>
    <n v="0"/>
    <n v="0"/>
    <m/>
    <m/>
    <m/>
    <n v="0"/>
    <m/>
    <m/>
    <n v="0"/>
    <n v="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21"/>
    <s v="150-106"/>
    <s v="Aumentar señales de expansión y cobertura del servicio de energía eléctrica."/>
    <s v="Documentos de Planeación"/>
    <s v="Documento de planeación validado."/>
    <n v="80111620"/>
    <s v="C-2102-1900-6-40301C-2102009-02"/>
    <s v="Prestación de servicios profesionales y/o de apoyo a la gestión"/>
    <s v="150-106 Prestar servicios profesionales para la elaboración de documentos legales y el apoyo a los asuntos jurídicos derivados de las actuaciones administrativas de la UPME."/>
    <s v="Enero "/>
    <s v="Enero "/>
    <s v="Enero "/>
    <n v="6"/>
    <s v="Meses"/>
    <s v="Contratación directa - Prestación de servicios profesionales "/>
    <s v="Propios - 20 - Ingresos corrientes"/>
    <n v="0"/>
    <n v="0"/>
    <s v="No"/>
    <s v="N/A"/>
    <s v="Guillermo Holguin Garcia"/>
    <s v="Subdirector de Energía Eléctrica"/>
    <n v="6012220601"/>
    <s v="guillermo.holguin@upme.gov.co"/>
    <n v="0"/>
    <n v="0"/>
    <n v="0"/>
    <n v="0"/>
    <n v="0"/>
    <n v="0"/>
    <n v="0"/>
    <n v="0"/>
    <n v="0"/>
    <n v="0"/>
    <n v="0"/>
    <n v="0"/>
    <n v="0"/>
    <n v="0"/>
    <n v="0"/>
    <n v="0"/>
    <n v="0"/>
    <n v="0"/>
    <n v="0"/>
    <n v="0"/>
    <n v="36000000"/>
    <n v="0"/>
    <n v="0"/>
    <n v="36000000"/>
    <n v="36000000"/>
    <n v="36000000"/>
    <n v="-36000000"/>
    <n v="-36000000"/>
    <s v="Prestar servicios profesionales para la elaboración de documentos legales y el apoyo a los asuntos jurídicos derivados de las actuaciones administrativas de la UPME."/>
    <m/>
    <m/>
    <m/>
    <m/>
    <m/>
    <m/>
    <m/>
    <m/>
    <m/>
    <m/>
    <m/>
    <m/>
    <m/>
    <m/>
    <m/>
    <m/>
    <m/>
    <m/>
    <m/>
    <m/>
    <m/>
    <m/>
    <m/>
    <m/>
    <m/>
    <m/>
    <n v="0"/>
    <n v="0"/>
    <n v="0"/>
    <n v="0"/>
    <n v="59726"/>
    <d v="2026-01-23T00:00:00"/>
    <m/>
    <n v="0"/>
    <m/>
    <m/>
    <n v="0"/>
    <n v="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21"/>
    <s v="150-107"/>
    <s v="Aumentar señales de expansión y cobertura del servicio de energía eléctrica."/>
    <s v="Documentos de Planeación"/>
    <s v="Documento de planeación validado."/>
    <n v="80111620"/>
    <s v="C-2102-1900-6-40301C-2102009-02"/>
    <s v="Prestación de servicios profesionales y/o de apoyo a la gestión"/>
    <s v="150-107 Prestar servicios profesionales para la elaboración de documentos jurídicos de la UPME."/>
    <s v="Enero "/>
    <s v="Enero "/>
    <s v="Enero "/>
    <n v="6"/>
    <s v="Meses"/>
    <s v="Contratación directa - Prestación de servicios profesionales "/>
    <s v="Propios - 20 - Ingresos corrientes"/>
    <n v="0"/>
    <n v="0"/>
    <s v="No"/>
    <s v="N/A"/>
    <s v="Guillermo Holguin Garcia"/>
    <s v="Subdirector de Energía Eléctrica"/>
    <n v="6012220601"/>
    <s v="guillermo.holguin@upme.gov.co"/>
    <n v="0"/>
    <n v="0"/>
    <n v="24000000"/>
    <n v="0"/>
    <n v="0"/>
    <n v="4000000"/>
    <n v="0"/>
    <n v="4000000"/>
    <n v="0"/>
    <n v="4000000"/>
    <n v="0"/>
    <n v="4000000"/>
    <n v="0"/>
    <n v="4000000"/>
    <n v="0"/>
    <n v="4000000"/>
    <n v="0"/>
    <n v="0"/>
    <n v="0"/>
    <n v="0"/>
    <n v="0"/>
    <n v="0"/>
    <n v="0"/>
    <n v="0"/>
    <n v="24000000"/>
    <n v="24000000"/>
    <n v="-24000000"/>
    <n v="-24000000"/>
    <s v="Prestar servicios profesionales para la elaboración de documentos jurídicos de la UPME."/>
    <m/>
    <m/>
    <m/>
    <m/>
    <m/>
    <m/>
    <m/>
    <m/>
    <m/>
    <m/>
    <m/>
    <m/>
    <m/>
    <m/>
    <m/>
    <m/>
    <m/>
    <m/>
    <m/>
    <m/>
    <m/>
    <m/>
    <m/>
    <m/>
    <m/>
    <m/>
    <n v="0"/>
    <n v="0"/>
    <n v="0"/>
    <n v="0"/>
    <n v="65626"/>
    <d v="2026-01-26T00:00:00"/>
    <m/>
    <n v="0"/>
    <m/>
    <m/>
    <n v="0"/>
    <n v="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s v="Radicado 202601500059273"/>
    <s v="150-108"/>
    <s v="Aumentar señales de expansión y cobertura del servicio de energía eléctrica."/>
    <s v="Documentos de Planeación"/>
    <s v="Documento de planeación validado."/>
    <n v="43211507"/>
    <s v="C-2102-1900-6-40301C-2102009-02"/>
    <s v="Hardware (Equipos de computo o partes físicas)"/>
    <s v="150-108  Adquirir equipos de cómputo para la Subdirección de Energía Eléctrica"/>
    <s v="Junio "/>
    <s v="Julio"/>
    <s v="Agosto"/>
    <n v="4"/>
    <s v="Meses"/>
    <s v="Contratación directa"/>
    <s v="Propios - 20 - Ingresos corrientes"/>
    <n v="108313733"/>
    <n v="108313733"/>
    <s v="No"/>
    <s v="N/A"/>
    <s v="Guillermo Holguin Garcia"/>
    <s v="Subdirector de Energía Eléctrica"/>
    <n v="6012220601"/>
    <s v="guillermo.holguin@upme.gov.co"/>
    <n v="0"/>
    <n v="0"/>
    <n v="0"/>
    <n v="0"/>
    <n v="0"/>
    <n v="0"/>
    <n v="108313733"/>
    <n v="0"/>
    <n v="0"/>
    <n v="27078433"/>
    <n v="0"/>
    <n v="27078433"/>
    <n v="0"/>
    <n v="54156867"/>
    <n v="0"/>
    <n v="0"/>
    <n v="0"/>
    <n v="0"/>
    <n v="0"/>
    <n v="0"/>
    <n v="0"/>
    <n v="0"/>
    <n v="0"/>
    <n v="0"/>
    <n v="108313733"/>
    <n v="108313733"/>
    <n v="0"/>
    <n v="0"/>
    <s v=" Adquirir equipos de cómputo para la Subdirección de Energía Eléctrica"/>
    <m/>
    <m/>
    <m/>
    <m/>
    <m/>
    <m/>
    <n v="108313733"/>
    <m/>
    <m/>
    <n v="27078433"/>
    <m/>
    <n v="27078433"/>
    <m/>
    <n v="54156867"/>
    <m/>
    <m/>
    <m/>
    <m/>
    <m/>
    <m/>
    <m/>
    <m/>
    <m/>
    <m/>
    <m/>
    <m/>
    <n v="108313733"/>
    <n v="108313733"/>
    <n v="0"/>
    <n v="0"/>
    <m/>
    <m/>
    <m/>
    <n v="108313733"/>
    <m/>
    <m/>
    <n v="0"/>
    <n v="108313733"/>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09"/>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09 Prestar servicios profesionales para adelantar el análisis y procesamiento de la información técnica relacionada con el desarrollo y la ejecución de los proyectos de transmisión objeto de convocatoria pública en la etapa de ejecución."/>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Prestar servicios profesionales para adelantar el análisis y procesamiento de la información técnica relacionada con el desarrollo y la ejecución de los proyectos de transmisión objeto de convocatoria pública en la etapa de ejecución."/>
    <m/>
    <m/>
    <n v="0"/>
    <n v="0"/>
    <n v="0"/>
    <n v="0"/>
    <n v="0"/>
    <n v="0"/>
    <n v="0"/>
    <n v="0"/>
    <n v="0"/>
    <n v="0"/>
    <n v="0"/>
    <n v="0"/>
    <n v="36483000"/>
    <n v="0"/>
    <n v="0"/>
    <n v="7296600"/>
    <n v="0"/>
    <n v="7296600"/>
    <n v="0"/>
    <n v="7296600"/>
    <n v="0"/>
    <n v="14593200"/>
    <m/>
    <m/>
    <n v="36483000"/>
    <n v="36483000"/>
    <n v="0"/>
    <n v="0"/>
    <m/>
    <m/>
    <m/>
    <n v="36483000"/>
    <m/>
    <m/>
    <n v="0"/>
    <n v="36483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68"/>
    <s v="150-11"/>
    <s v="Aumentar señales de expansión y cobertura del servicio de energía eléctrica."/>
    <s v="Documentos de Planeación"/>
    <s v="Documento de planeación validado."/>
    <n v="80111620"/>
    <s v="C-2102-1900-6-40301C-2102009-02"/>
    <s v="Prestación de servicios profesionales y/o de apoyo a la gestión"/>
    <s v="150-11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226"/>
    <d v="2026-01-05T00:00:00"/>
    <n v="70000000"/>
    <n v="0"/>
    <n v="9126"/>
    <d v="2026-01-15T00:00:00"/>
    <n v="70000000"/>
    <n v="0"/>
    <n v="0"/>
    <s v="NARIÑO HERNANDEZ IRENE ELIZABETH"/>
    <s v="CO1.PCCNTR.8846911"/>
    <n v="70000000"/>
    <m/>
    <m/>
    <m/>
    <n v="3500000"/>
    <n v="3500000"/>
    <m/>
    <n v="7000000"/>
    <n v="7000000"/>
    <m/>
    <n v="7000000"/>
    <n v="7000000"/>
    <m/>
    <m/>
    <m/>
    <m/>
    <m/>
    <m/>
    <m/>
    <m/>
    <m/>
    <m/>
    <m/>
    <m/>
    <m/>
    <m/>
    <m/>
    <m/>
    <m/>
    <m/>
    <m/>
    <m/>
    <m/>
    <m/>
    <m/>
    <m/>
    <n v="70000000"/>
    <n v="17500000"/>
    <n v="17500000"/>
    <n v="52500000"/>
    <n v="0"/>
    <x v="0"/>
  </r>
  <r>
    <x v="0"/>
    <x v="6"/>
    <s v="Fortalecimiento de la planeación para reducir las limitaciones en la prestación del servicio de energía eléctrica y la atención plena de la demanda nacional."/>
    <s v="Energía"/>
    <s v="Sí"/>
    <s v="Sí"/>
    <n v="8"/>
    <s v="150-11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0 Prestar servicios profesionales para procesar información relacionada con la estructuración de las convocatorias públicas de las obras de transmisión nacional y regional y proyectos de nuevas tecnologías en cuanto a condiciones técnicas, físicas, "/>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Prestar servicios profesionales para procesar información relacionada con la estructuración de las convocatorias públicas de las obras de transmisión nacional y regional y proyectos de nuevas tecnologías en cuanto a condiciones técnicas, físicas, regulato"/>
    <m/>
    <m/>
    <n v="0"/>
    <n v="0"/>
    <n v="0"/>
    <n v="0"/>
    <n v="0"/>
    <n v="0"/>
    <n v="0"/>
    <n v="0"/>
    <n v="0"/>
    <n v="0"/>
    <n v="0"/>
    <n v="0"/>
    <n v="36483000"/>
    <n v="0"/>
    <n v="0"/>
    <n v="7296600"/>
    <n v="0"/>
    <n v="7296600"/>
    <n v="0"/>
    <n v="7296600"/>
    <n v="0"/>
    <n v="14593200"/>
    <m/>
    <m/>
    <n v="36483000"/>
    <n v="36483000"/>
    <n v="0"/>
    <n v="0"/>
    <m/>
    <m/>
    <m/>
    <n v="36483000"/>
    <m/>
    <m/>
    <n v="0"/>
    <n v="36483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1"/>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1 Apoyar en el seguimiento a la ejecución de los proyectos de transmisión nacional y regional ejecutados mediante convocatoria pública y ampliaciones, apoyar el seguimiento a las condiciones de los documentos de selección y procesar la información d"/>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Apoyar en el seguimiento a la ejecución de los proyectos de transmisión nacional y regional ejecutados mediante convocatoria pública y ampliaciones, apoyar el seguimiento a las condiciones de los documentos de selección y procesar la información de seguim"/>
    <m/>
    <m/>
    <n v="0"/>
    <n v="0"/>
    <n v="0"/>
    <n v="0"/>
    <n v="0"/>
    <n v="0"/>
    <n v="0"/>
    <n v="0"/>
    <n v="0"/>
    <n v="0"/>
    <n v="0"/>
    <n v="0"/>
    <n v="36483000"/>
    <n v="0"/>
    <n v="0"/>
    <n v="7296600"/>
    <n v="0"/>
    <n v="7296600"/>
    <n v="0"/>
    <n v="7296600"/>
    <n v="0"/>
    <n v="14593200"/>
    <m/>
    <m/>
    <n v="36483000"/>
    <n v="36483000"/>
    <n v="0"/>
    <n v="0"/>
    <m/>
    <m/>
    <m/>
    <n v="36483000"/>
    <m/>
    <m/>
    <n v="0"/>
    <n v="36483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2"/>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2 Prestar servicios profesionales para apoyar el seguimiento a la ejecución de los proyectos llevados a cabo mediante convocatoria pública y ampliaciones que le sean asignados, apoyar la estructuración y elaboración de los documentos de selección de"/>
    <s v="Agosto"/>
    <s v="Agosto"/>
    <s v="Agosto"/>
    <n v="5"/>
    <s v="Meses"/>
    <s v="Contratación directa - Prestación de servicios profesionales "/>
    <s v="Propios - 21 - Otros recursos de tesorería"/>
    <n v="31730000"/>
    <n v="31730000"/>
    <s v="No"/>
    <s v="N/A"/>
    <s v="Guillermo Holguin Garcia"/>
    <s v="Subdirector de Energía Eléctrica"/>
    <n v="6012220601"/>
    <s v="guillermo.holguin@upme.gov.co"/>
    <n v="0"/>
    <n v="0"/>
    <n v="0"/>
    <n v="0"/>
    <n v="0"/>
    <n v="0"/>
    <n v="0"/>
    <n v="0"/>
    <n v="0"/>
    <n v="0"/>
    <n v="0"/>
    <n v="0"/>
    <n v="0"/>
    <n v="0"/>
    <n v="31730000"/>
    <n v="0"/>
    <n v="0"/>
    <n v="6346000"/>
    <n v="0"/>
    <n v="6346000"/>
    <n v="0"/>
    <n v="6346000"/>
    <n v="0"/>
    <n v="12692000"/>
    <n v="31730000"/>
    <n v="31730000"/>
    <n v="0"/>
    <n v="0"/>
    <s v="Prestar servicios profesionales para apoyar el seguimiento a la ejecución de los proyectos llevados a cabo mediante convocatoria pública y ampliaciones que le sean asignados, apoyar la estructuración y elaboración de los documentos de selección del invers"/>
    <m/>
    <m/>
    <n v="0"/>
    <n v="0"/>
    <n v="0"/>
    <n v="0"/>
    <n v="0"/>
    <n v="0"/>
    <n v="0"/>
    <n v="0"/>
    <n v="0"/>
    <n v="0"/>
    <n v="0"/>
    <n v="0"/>
    <n v="31730000"/>
    <n v="0"/>
    <n v="0"/>
    <n v="6346000"/>
    <n v="0"/>
    <n v="6346000"/>
    <n v="0"/>
    <n v="6346000"/>
    <n v="0"/>
    <n v="12692000"/>
    <m/>
    <m/>
    <n v="31730000"/>
    <n v="31730000"/>
    <n v="0"/>
    <n v="0"/>
    <m/>
    <m/>
    <m/>
    <n v="31730000"/>
    <m/>
    <m/>
    <n v="0"/>
    <n v="31730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3"/>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3 Prestar servicios profesionales para el apoyo en la elaboración de documentos y en el procesamiento de la información, de las convocatorias públicas y de ampliación de los proyectos de transmisión nacional y regional, y demás proyectos en ejecució"/>
    <s v="Agosto"/>
    <s v="Agosto"/>
    <s v="Agosto"/>
    <n v="5"/>
    <s v="Meses"/>
    <s v="Contratación directa - Prestación de servicios profesionales "/>
    <s v="Propios - 21 - Otros recursos de tesorería"/>
    <n v="31730000"/>
    <n v="31730000"/>
    <s v="No"/>
    <s v="N/A"/>
    <s v="Guillermo Holguin Garcia"/>
    <s v="Subdirector de Energía Eléctrica"/>
    <n v="6012220601"/>
    <s v="guillermo.holguin@upme.gov.co"/>
    <n v="0"/>
    <n v="0"/>
    <n v="0"/>
    <n v="0"/>
    <n v="0"/>
    <n v="0"/>
    <n v="0"/>
    <n v="0"/>
    <n v="0"/>
    <n v="0"/>
    <n v="0"/>
    <n v="0"/>
    <n v="0"/>
    <n v="0"/>
    <n v="31730000"/>
    <n v="0"/>
    <n v="0"/>
    <n v="6346000"/>
    <n v="0"/>
    <n v="6346000"/>
    <n v="0"/>
    <n v="6346000"/>
    <n v="0"/>
    <n v="12692000"/>
    <n v="31730000"/>
    <n v="31730000"/>
    <n v="0"/>
    <n v="0"/>
    <s v="Prestar servicios profesionales para el apoyo en la elaboración de documentos y en el procesamiento de la información, de las convocatorias públicas y de ampliación de los proyectos de transmisión nacional y regional, y demás proyectos en ejecución asigna"/>
    <m/>
    <m/>
    <n v="0"/>
    <n v="0"/>
    <n v="0"/>
    <n v="0"/>
    <n v="0"/>
    <n v="0"/>
    <n v="0"/>
    <n v="0"/>
    <m/>
    <m/>
    <m/>
    <m/>
    <n v="31730000"/>
    <m/>
    <m/>
    <n v="6346000"/>
    <n v="0"/>
    <n v="6346000"/>
    <n v="0"/>
    <n v="6346000"/>
    <n v="0"/>
    <n v="12692000"/>
    <m/>
    <m/>
    <n v="31730000"/>
    <n v="31730000"/>
    <n v="0"/>
    <n v="0"/>
    <m/>
    <m/>
    <m/>
    <n v="31730000"/>
    <m/>
    <m/>
    <n v="0"/>
    <n v="31730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4 Prestar servicios profesionales para efectuar el seguimiento socioambiental de los proyectos definidos en el plan de expansión que son objeto de convocatoria pública, e identificar problemáticas y opciones de solución que alimenten las etapas prev"/>
    <s v="Agosto"/>
    <s v="Agosto"/>
    <s v="Agosto"/>
    <n v="5"/>
    <s v="Meses"/>
    <s v="Contratación directa - Prestación de servicios profesionales "/>
    <s v="Propios - 21 - Otros recursos de tesorería"/>
    <n v="39333000"/>
    <n v="39333000"/>
    <s v="No"/>
    <s v="N/A"/>
    <s v="Guillermo Holguin Garcia"/>
    <s v="Subdirector de Energía Eléctrica"/>
    <n v="6012220601"/>
    <s v="guillermo.holguin@upme.gov.co"/>
    <n v="0"/>
    <n v="0"/>
    <n v="0"/>
    <n v="0"/>
    <n v="0"/>
    <n v="0"/>
    <n v="0"/>
    <n v="0"/>
    <n v="0"/>
    <n v="0"/>
    <n v="0"/>
    <n v="0"/>
    <n v="0"/>
    <n v="0"/>
    <n v="39333000"/>
    <n v="0"/>
    <n v="0"/>
    <n v="7866500"/>
    <n v="0"/>
    <n v="7866500"/>
    <n v="0"/>
    <n v="7866500"/>
    <n v="0"/>
    <n v="15733500"/>
    <n v="39333000"/>
    <n v="39333000"/>
    <n v="0"/>
    <n v="0"/>
    <s v="Prestar servicios profesionales para efectuar el seguimiento socioambiental de los proyectos definidos en el plan de expansión que son objeto de convocatoria pública, e identificar problemáticas y opciones de solución que alimenten las etapas previas de p"/>
    <m/>
    <m/>
    <n v="0"/>
    <n v="0"/>
    <n v="0"/>
    <n v="0"/>
    <n v="0"/>
    <n v="0"/>
    <n v="0"/>
    <n v="0"/>
    <m/>
    <m/>
    <m/>
    <m/>
    <n v="39333000"/>
    <m/>
    <m/>
    <n v="7866500"/>
    <m/>
    <n v="7866500"/>
    <m/>
    <n v="7866500"/>
    <m/>
    <n v="15733500"/>
    <m/>
    <m/>
    <n v="39333000"/>
    <n v="39333000"/>
    <n v="0"/>
    <n v="0"/>
    <m/>
    <m/>
    <m/>
    <n v="39333000"/>
    <m/>
    <m/>
    <n v="0"/>
    <n v="39333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5 Prestar servicios profesionales para adelantar el relacionamiento y articulación interinstitucional en fase de planeación y ejecución de los proyectos que se desarrollan mediante procesos de libre concurrencia, así como identificar las restriccion"/>
    <s v="Agosto"/>
    <s v="Agosto"/>
    <s v="Agosto"/>
    <n v="5"/>
    <s v="Meses"/>
    <s v="Contratación directa - Prestación de servicios profesionales "/>
    <s v="Propios - 21 - Otros recursos de tesorería"/>
    <n v="39332500"/>
    <n v="39332500"/>
    <s v="No"/>
    <s v="N/A"/>
    <s v="Guillermo Holguin Garcia"/>
    <s v="Subdirector de Energía Eléctrica"/>
    <n v="6012220601"/>
    <s v="guillermo.holguin@upme.gov.co"/>
    <n v="0"/>
    <n v="0"/>
    <n v="0"/>
    <n v="0"/>
    <n v="0"/>
    <n v="0"/>
    <n v="0"/>
    <n v="0"/>
    <n v="0"/>
    <n v="0"/>
    <n v="0"/>
    <n v="0"/>
    <n v="0"/>
    <n v="0"/>
    <n v="39332500"/>
    <n v="0"/>
    <n v="0"/>
    <n v="7866500"/>
    <n v="0"/>
    <n v="7866500"/>
    <n v="0"/>
    <n v="7866500"/>
    <n v="0"/>
    <n v="15733000"/>
    <n v="39332500"/>
    <n v="39332500"/>
    <n v="0"/>
    <n v="0"/>
    <s v="Prestar servicios profesionales para adelantar el relacionamiento y articulación interinstitucional en fase de planeación y ejecución de los proyectos que se desarrollan mediante procesos de libre concurrencia, así como identificar las restricciones que s"/>
    <m/>
    <m/>
    <n v="0"/>
    <n v="0"/>
    <n v="0"/>
    <n v="0"/>
    <n v="0"/>
    <n v="0"/>
    <n v="0"/>
    <n v="0"/>
    <m/>
    <m/>
    <m/>
    <m/>
    <n v="39332500"/>
    <m/>
    <m/>
    <n v="7866500"/>
    <m/>
    <n v="7866500"/>
    <m/>
    <n v="7866500"/>
    <m/>
    <n v="15733000"/>
    <m/>
    <m/>
    <n v="39332500"/>
    <n v="39332500"/>
    <n v="0"/>
    <n v="0"/>
    <m/>
    <m/>
    <m/>
    <n v="39332500"/>
    <m/>
    <m/>
    <n v="0"/>
    <n v="393325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6 Prestar servicios profesionales para apoyar el análisis y revisión de información socioambiental de los proyectos de transmisión nacional y regional en ejecución, así como los análisis de posibilidades y condicionantes en etapas de planeación, est"/>
    <s v="Agosto"/>
    <s v="Agosto"/>
    <s v="Agosto"/>
    <n v="5"/>
    <s v="Meses"/>
    <s v="Contratación directa - Prestación de servicios profesionales "/>
    <s v="Propios - 21 - Otros recursos de tesorería"/>
    <n v="39332500"/>
    <n v="39332500"/>
    <s v="No"/>
    <s v="N/A"/>
    <s v="Guillermo Holguin Garcia"/>
    <s v="Subdirector de Energía Eléctrica"/>
    <n v="6012220601"/>
    <s v="guillermo.holguin@upme.gov.co"/>
    <n v="0"/>
    <n v="0"/>
    <n v="0"/>
    <n v="0"/>
    <n v="0"/>
    <n v="0"/>
    <n v="0"/>
    <n v="0"/>
    <n v="0"/>
    <n v="0"/>
    <n v="0"/>
    <n v="0"/>
    <n v="0"/>
    <n v="0"/>
    <n v="39332500"/>
    <n v="0"/>
    <n v="0"/>
    <n v="7866500"/>
    <n v="0"/>
    <n v="7866500"/>
    <n v="0"/>
    <n v="7866500"/>
    <n v="0"/>
    <n v="15733000"/>
    <n v="39332500"/>
    <n v="39332500"/>
    <n v="0"/>
    <n v="0"/>
    <s v="Prestar servicios profesionales para apoyar el análisis y revisión de información socioambiental de los proyectos de transmisión nacional y regional en ejecución, así como los análisis de posibilidades y condicionantes en etapas de planeación, estructurac"/>
    <m/>
    <m/>
    <n v="0"/>
    <n v="0"/>
    <n v="0"/>
    <n v="0"/>
    <n v="0"/>
    <n v="0"/>
    <n v="0"/>
    <n v="0"/>
    <m/>
    <m/>
    <m/>
    <m/>
    <n v="39332500"/>
    <m/>
    <m/>
    <n v="7866500"/>
    <m/>
    <n v="7866500"/>
    <m/>
    <n v="7866500"/>
    <m/>
    <n v="15733000"/>
    <m/>
    <m/>
    <n v="39332500"/>
    <n v="39332500"/>
    <n v="0"/>
    <n v="0"/>
    <m/>
    <m/>
    <m/>
    <n v="39332500"/>
    <m/>
    <m/>
    <n v="0"/>
    <n v="393325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7 Prestar servicios profesionales para procesar y gestionar el sistema de información geográfico de la infraestructura de transmisión nacional y regional y los proyectos en ejecución y apoyar la gestión cartográfica de los análisis de posibilidades "/>
    <s v="Agosto"/>
    <s v="Agosto"/>
    <s v="Agosto"/>
    <n v="5"/>
    <s v="Meses"/>
    <s v="Contratación directa - Prestación de servicios profesionales "/>
    <s v="Propios - 21 - Otros recursos de tesorería"/>
    <n v="37652333"/>
    <n v="37652333"/>
    <s v="No"/>
    <s v="N/A"/>
    <s v="Guillermo Holguin Garcia"/>
    <s v="Subdirector de Energía Eléctrica"/>
    <n v="6012220601"/>
    <s v="guillermo.holguin@upme.gov.co"/>
    <n v="0"/>
    <n v="0"/>
    <n v="0"/>
    <n v="0"/>
    <n v="0"/>
    <n v="0"/>
    <n v="0"/>
    <n v="0"/>
    <n v="0"/>
    <n v="0"/>
    <n v="0"/>
    <n v="0"/>
    <n v="0"/>
    <n v="0"/>
    <n v="37652333"/>
    <n v="0"/>
    <n v="0"/>
    <n v="7296600"/>
    <n v="0"/>
    <n v="7296600"/>
    <n v="0"/>
    <n v="7296600"/>
    <n v="0"/>
    <n v="15762533"/>
    <n v="37652333"/>
    <n v="37652333"/>
    <n v="0"/>
    <n v="0"/>
    <s v="Prestar servicios profesionales para procesar y gestionar el sistema de información geográfico de la infraestructura de transmisión nacional y regional y los proyectos en ejecución y apoyar la gestión cartográfica de los análisis de posibilidades y condic"/>
    <m/>
    <m/>
    <n v="0"/>
    <n v="0"/>
    <n v="0"/>
    <n v="0"/>
    <n v="0"/>
    <n v="0"/>
    <n v="0"/>
    <n v="0"/>
    <m/>
    <m/>
    <m/>
    <m/>
    <n v="37652333"/>
    <m/>
    <m/>
    <n v="7296600"/>
    <m/>
    <n v="7296600"/>
    <m/>
    <n v="7296600"/>
    <m/>
    <n v="15762533"/>
    <m/>
    <m/>
    <n v="37652333"/>
    <n v="37652333"/>
    <n v="0"/>
    <n v="0"/>
    <m/>
    <m/>
    <m/>
    <n v="37652333"/>
    <m/>
    <m/>
    <n v="0"/>
    <n v="37652333"/>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8"/>
    <s v="150-11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118 Prestación de servicios profesionales para apoyar la elaboración de documentos y el procesamiento de información asociados a las convocatorias públicas."/>
    <s v="Enero "/>
    <s v="Enero "/>
    <s v="Enero "/>
    <n v="11"/>
    <s v="Meses"/>
    <s v="Contratación directa - Prestación de servicios profesionales "/>
    <s v="Propios - 21 - Otros recursos de tesorería"/>
    <n v="46101709"/>
    <n v="46101709"/>
    <s v="No"/>
    <s v="N/A"/>
    <s v="Guillermo Holguin Garcia"/>
    <s v="Subdirector de Energía Eléctrica"/>
    <n v="6012220601"/>
    <s v="guillermo.holguin@upme.gov.co"/>
    <n v="0"/>
    <n v="0"/>
    <n v="46101709"/>
    <n v="0"/>
    <n v="0"/>
    <n v="4610171"/>
    <n v="0"/>
    <n v="4610171"/>
    <n v="0"/>
    <n v="4610171"/>
    <n v="0"/>
    <n v="4610171"/>
    <n v="0"/>
    <n v="4610171"/>
    <n v="0"/>
    <n v="4610171"/>
    <n v="0"/>
    <n v="4610171"/>
    <n v="0"/>
    <n v="4610171"/>
    <n v="0"/>
    <n v="4610171"/>
    <n v="0"/>
    <n v="4610170"/>
    <n v="46101709"/>
    <n v="46101709"/>
    <n v="0"/>
    <n v="0"/>
    <s v="Prestación de servicios profesionales para apoyar la elaboración de documentos y el procesamiento de información asociados a las convocatorias públicas."/>
    <m/>
    <m/>
    <n v="46101709"/>
    <n v="0"/>
    <n v="0"/>
    <n v="4610171"/>
    <n v="0"/>
    <n v="4610171"/>
    <n v="0"/>
    <n v="4610171"/>
    <m/>
    <n v="4610171"/>
    <m/>
    <n v="4610171"/>
    <m/>
    <n v="4610171"/>
    <m/>
    <n v="4610171"/>
    <m/>
    <n v="4610171"/>
    <m/>
    <n v="4610171"/>
    <m/>
    <n v="4610170"/>
    <m/>
    <m/>
    <n v="46101709"/>
    <n v="46101709"/>
    <n v="0"/>
    <n v="0"/>
    <n v="65426"/>
    <d v="2026-01-26T00:00:00"/>
    <n v="46101709"/>
    <n v="0"/>
    <n v="59626"/>
    <d v="2026-02-12T00:00:00"/>
    <n v="44296709"/>
    <n v="1805000"/>
    <n v="1805000"/>
    <s v="ARIZA NUÑEZ DAYANA ASTRID"/>
    <s v="CO1.PCCNTR.9280734"/>
    <m/>
    <m/>
    <m/>
    <n v="44296709"/>
    <m/>
    <m/>
    <m/>
    <m/>
    <m/>
    <m/>
    <n v="4819500"/>
    <n v="4819500"/>
    <m/>
    <m/>
    <m/>
    <m/>
    <m/>
    <m/>
    <m/>
    <m/>
    <m/>
    <m/>
    <m/>
    <m/>
    <m/>
    <m/>
    <m/>
    <m/>
    <m/>
    <m/>
    <m/>
    <m/>
    <m/>
    <m/>
    <m/>
    <m/>
    <n v="44296709"/>
    <n v="4819500"/>
    <n v="4819500"/>
    <n v="39477209"/>
    <n v="0"/>
    <x v="0"/>
  </r>
  <r>
    <x v="0"/>
    <x v="6"/>
    <s v="Fortalecimiento de la planeación para reducir las limitaciones en la prestación del servicio de energía eléctrica y la atención plena de la demanda nacional."/>
    <s v="Energía"/>
    <s v="Sí"/>
    <s v="Sí"/>
    <n v="22"/>
    <s v="150-119"/>
    <s v="Aumentar señales de expansión y cobertura del servicio de energía eléctrica."/>
    <s v="Documentos de Planeación"/>
    <s v="Documento de planeación validado."/>
    <n v="81112003"/>
    <s v="C-2102-1900-6-40301C-2102009-02"/>
    <s v="Software - Licencias"/>
    <s v="150-119 Adquirir servicios en la nube para la implementación de un lago de datos institucional que permita la consolidación, integración, centralización, acceso y exposición de la información de la UPME, incluyendo la asociada a electromovilidad."/>
    <s v="Abril"/>
    <s v="Abril"/>
    <s v="Mayo"/>
    <n v="12"/>
    <s v="Meses"/>
    <s v=" Seléccion abreviada - acuerdo marco"/>
    <s v="Propios - 20 - Ingresos corrientes"/>
    <n v="70000000"/>
    <n v="70000000"/>
    <s v="No"/>
    <s v="N/A"/>
    <s v="Guillermo Holguin Garcia"/>
    <s v="Subdirector de Energía Eléctrica"/>
    <n v="6012220601"/>
    <s v="guillermo.holguin@upme.gov.co"/>
    <m/>
    <m/>
    <m/>
    <m/>
    <m/>
    <m/>
    <m/>
    <m/>
    <m/>
    <m/>
    <m/>
    <m/>
    <m/>
    <m/>
    <m/>
    <m/>
    <m/>
    <m/>
    <m/>
    <m/>
    <m/>
    <m/>
    <m/>
    <m/>
    <m/>
    <m/>
    <m/>
    <m/>
    <s v="Adquirir servicios en la nube para la implementación de un lago de datos institucional que permita la consolidación, integración, centralización, acceso y exposición de la información de la UPME, incluyendo la asociada a electromovilidad."/>
    <m/>
    <m/>
    <m/>
    <m/>
    <m/>
    <m/>
    <m/>
    <m/>
    <n v="70000000"/>
    <m/>
    <m/>
    <n v="70000000"/>
    <m/>
    <m/>
    <m/>
    <m/>
    <m/>
    <m/>
    <m/>
    <m/>
    <m/>
    <m/>
    <m/>
    <m/>
    <m/>
    <m/>
    <m/>
    <m/>
    <m/>
    <m/>
    <m/>
    <m/>
    <m/>
    <n v="70000000"/>
    <m/>
    <m/>
    <n v="0"/>
    <n v="70000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68"/>
    <s v="150-12"/>
    <s v="Aumentar señales de expansión y cobertura del servicio de energía eléctrica."/>
    <s v="Documentos de Planeación"/>
    <s v="Documento de planeación validado."/>
    <n v="80111620"/>
    <s v="C-2102-1900-6-40301C-2102009-02"/>
    <s v="Prestación de servicios profesionales y/o de apoyo a la gestión"/>
    <s v="150-1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726"/>
    <d v="2026-01-05T00:00:00"/>
    <n v="70000000"/>
    <n v="0"/>
    <n v="9726"/>
    <d v="2026-01-16T00:00:00"/>
    <n v="70000000"/>
    <n v="0"/>
    <n v="0"/>
    <s v="GUTIERREZ SANCHEZ EDGAR DANIEL"/>
    <s v="CO1.PCCNTR.8838065"/>
    <n v="70000000"/>
    <m/>
    <m/>
    <m/>
    <n v="3266667"/>
    <n v="3266667"/>
    <m/>
    <n v="7000000"/>
    <n v="7000000"/>
    <m/>
    <n v="7000000"/>
    <n v="7000000"/>
    <m/>
    <m/>
    <m/>
    <m/>
    <m/>
    <m/>
    <m/>
    <m/>
    <m/>
    <m/>
    <m/>
    <m/>
    <m/>
    <m/>
    <m/>
    <m/>
    <m/>
    <m/>
    <m/>
    <m/>
    <m/>
    <m/>
    <m/>
    <m/>
    <n v="70000000"/>
    <n v="17266667"/>
    <n v="17266667"/>
    <n v="52733333"/>
    <n v="0"/>
    <x v="0"/>
  </r>
  <r>
    <x v="0"/>
    <x v="6"/>
    <s v="Fortalecimiento de la planeación para reducir las limitaciones en la prestación del servicio de energía eléctrica y la atención plena de la demanda nacional."/>
    <s v="Energía"/>
    <s v="Sí"/>
    <s v="Sí"/>
    <s v="Radicado 20261500021643"/>
    <s v="150-2"/>
    <s v="Aumentar señales de expansión y cobertura del servicio de energía eléctrica."/>
    <s v="Documentos de Planeación"/>
    <s v="Documento de planeación validado."/>
    <n v="80111620"/>
    <s v="C-2102-1900-6-40301C-2102009-02"/>
    <s v="Prestación de servicios profesionales y/o de apoyo a la gestión"/>
    <s v="150-2 Prestar servicios profesionales a la Subdirección de Energía Eléctrica en el proceso, verificación y cumplimiento de requisitos legales y asuntos jurídicos misionales."/>
    <s v="Enero "/>
    <s v="Enero "/>
    <s v="Enero "/>
    <n v="12"/>
    <s v="Meses"/>
    <s v="Contratación directa - Prestación de servicios profesionales "/>
    <s v="Propios - 20 - Ingresos corrientes"/>
    <n v="45536400"/>
    <n v="45536400"/>
    <s v="Si"/>
    <s v="Solicitadas"/>
    <s v="Guillermo Holguin Garcia"/>
    <s v="Subdirector de Energía Eléctrica"/>
    <n v="6012220601"/>
    <s v="guillermo.holguin@upme.gov.co"/>
    <n v="26562900"/>
    <n v="0"/>
    <n v="0"/>
    <n v="3794700"/>
    <n v="0"/>
    <n v="3794700"/>
    <n v="0"/>
    <n v="3794700"/>
    <n v="0"/>
    <n v="3794700"/>
    <n v="0"/>
    <n v="3794700"/>
    <n v="0"/>
    <n v="3794700"/>
    <n v="18973500"/>
    <n v="3794700"/>
    <n v="0"/>
    <n v="3794700"/>
    <n v="0"/>
    <n v="3794700"/>
    <n v="0"/>
    <n v="3794700"/>
    <n v="0"/>
    <n v="7589400"/>
    <n v="45536400"/>
    <n v="45536400"/>
    <n v="0"/>
    <n v="0"/>
    <s v="Prestar servicios profesionales a la Subdirección de Energía Eléctrica en el proceso, verificación y cumplimiento de requisitos legales y asuntos jurídicos misionales."/>
    <n v="26562900"/>
    <m/>
    <m/>
    <n v="3794700"/>
    <m/>
    <n v="3794700"/>
    <m/>
    <n v="3794700"/>
    <m/>
    <n v="3794700"/>
    <m/>
    <n v="3794700"/>
    <m/>
    <n v="3794700"/>
    <n v="18973500"/>
    <n v="3794700"/>
    <m/>
    <n v="3794700"/>
    <m/>
    <n v="3794700"/>
    <m/>
    <n v="3794700"/>
    <m/>
    <n v="7589400"/>
    <m/>
    <m/>
    <n v="45536400"/>
    <n v="45536400"/>
    <n v="0"/>
    <n v="0"/>
    <n v="2126"/>
    <d v="2026-01-05T00:00:00"/>
    <n v="26562900"/>
    <n v="18973500"/>
    <n v="2126"/>
    <d v="2026-01-05T00:00:00"/>
    <n v="26562900"/>
    <n v="18973500"/>
    <n v="0"/>
    <s v="ARIAS PARADA NICOLE NATALIA"/>
    <s v="CO1.PCCNT.7425052"/>
    <n v="26562900"/>
    <m/>
    <m/>
    <m/>
    <n v="3794700"/>
    <n v="3794700"/>
    <m/>
    <n v="3794700"/>
    <n v="3794700"/>
    <m/>
    <n v="3794700"/>
    <n v="3794700"/>
    <m/>
    <m/>
    <m/>
    <m/>
    <m/>
    <m/>
    <m/>
    <m/>
    <m/>
    <m/>
    <m/>
    <m/>
    <m/>
    <m/>
    <m/>
    <m/>
    <m/>
    <m/>
    <m/>
    <m/>
    <m/>
    <m/>
    <m/>
    <m/>
    <n v="26562900"/>
    <n v="11384100"/>
    <n v="11384100"/>
    <n v="15178800"/>
    <n v="0"/>
    <x v="0"/>
  </r>
  <r>
    <x v="0"/>
    <x v="6"/>
    <s v="Fortalecimiento de la planeación para reducir las limitaciones en la prestación del servicio de energía eléctrica y la atención plena de la demanda nacional."/>
    <s v="Energía"/>
    <s v="Sí"/>
    <s v="Sí"/>
    <n v="68"/>
    <s v="150-13"/>
    <s v="Aumentar señales de expansión y cobertura del servicio de energía eléctrica."/>
    <s v="Documentos de Planeación"/>
    <s v="Documento de planeación validado."/>
    <n v="80111620"/>
    <s v="C-2102-1900-6-40301C-2102009-02"/>
    <s v="Prestación de servicios profesionales y/o de apoyo a la gestión"/>
    <s v="150-1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6126"/>
    <d v="2026-01-05T00:00:00"/>
    <n v="70000000"/>
    <n v="0"/>
    <n v="11826"/>
    <d v="2026-01-19T00:00:00"/>
    <n v="70000000"/>
    <n v="0"/>
    <n v="0"/>
    <s v="LOPEZ QUINTERO RICARDO JAVIER,RODRIGUEZ EDWIN_x000a_"/>
    <s v="CO1.PCCNTR.8944239"/>
    <n v="70000000"/>
    <m/>
    <m/>
    <m/>
    <m/>
    <m/>
    <m/>
    <n v="9566667"/>
    <n v="9566667"/>
    <n v="0"/>
    <m/>
    <m/>
    <m/>
    <m/>
    <m/>
    <m/>
    <m/>
    <m/>
    <m/>
    <m/>
    <m/>
    <m/>
    <m/>
    <m/>
    <m/>
    <m/>
    <m/>
    <m/>
    <m/>
    <m/>
    <m/>
    <m/>
    <m/>
    <m/>
    <m/>
    <m/>
    <n v="70000000"/>
    <n v="9566667"/>
    <n v="9566667"/>
    <n v="60433333"/>
    <n v="0"/>
    <x v="0"/>
  </r>
  <r>
    <x v="0"/>
    <x v="6"/>
    <s v="Fortalecimiento de la planeación para reducir las limitaciones en la prestación del servicio de energía eléctrica y la atención plena de la demanda nacional."/>
    <s v="Energía"/>
    <s v="Sí"/>
    <s v="Sí"/>
    <n v="68"/>
    <s v="150-14"/>
    <s v="Aumentar señales de expansión y cobertura del servicio de energía eléctrica."/>
    <s v="Documentos de Planeación"/>
    <s v="Documento de planeación validado."/>
    <n v="80111620"/>
    <s v="C-2102-1900-6-40301C-2102009-02"/>
    <s v="Prestación de servicios profesionales y/o de apoyo a la gestión"/>
    <s v="150-14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926"/>
    <d v="2026-01-05T00:00:00"/>
    <n v="70000000"/>
    <n v="0"/>
    <n v="7726"/>
    <d v="2026-01-13T00:00:00"/>
    <n v="70000000"/>
    <n v="0"/>
    <n v="0"/>
    <s v="GONZALEZ GONZALEZ GERMAN ALFONSO"/>
    <s v="CO1.PCCNTR.8813812"/>
    <n v="70000000"/>
    <m/>
    <m/>
    <m/>
    <n v="3966667"/>
    <n v="3966667"/>
    <m/>
    <n v="7000000"/>
    <n v="7000000"/>
    <m/>
    <n v="7000000"/>
    <n v="7000000"/>
    <m/>
    <m/>
    <m/>
    <m/>
    <m/>
    <m/>
    <m/>
    <m/>
    <m/>
    <m/>
    <m/>
    <m/>
    <m/>
    <m/>
    <m/>
    <m/>
    <m/>
    <m/>
    <m/>
    <m/>
    <m/>
    <m/>
    <m/>
    <m/>
    <n v="70000000"/>
    <n v="17966667"/>
    <n v="17966667"/>
    <n v="52033333"/>
    <n v="0"/>
    <x v="0"/>
  </r>
  <r>
    <x v="0"/>
    <x v="6"/>
    <s v="Fortalecimiento de la planeación para reducir las limitaciones en la prestación del servicio de energía eléctrica y la atención plena de la demanda nacional."/>
    <s v="Energía"/>
    <s v="Sí"/>
    <s v="Sí"/>
    <n v="68"/>
    <s v="150-15"/>
    <s v="Aumentar señales de expansión y cobertura del servicio de energía eléctrica."/>
    <s v="Documentos de Planeación"/>
    <s v="Documento de planeación validado."/>
    <n v="80111620"/>
    <s v="C-2102-1900-6-40301C-2102009-02"/>
    <s v="Prestación de servicios profesionales y/o de apoyo a la gestión"/>
    <s v="150-15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326"/>
    <d v="2026-01-05T00:00:00"/>
    <n v="70000000"/>
    <n v="0"/>
    <n v="15226"/>
    <d v="2026-01-21T00:00:00"/>
    <n v="70000000"/>
    <n v="0"/>
    <n v="0"/>
    <s v="DANIELS RAPALINO PAOLA ANDREA"/>
    <s v="CO1.PCCNTR.8882762"/>
    <n v="70000000"/>
    <m/>
    <m/>
    <m/>
    <n v="2100000"/>
    <n v="2100000"/>
    <m/>
    <n v="7000000"/>
    <n v="7000000"/>
    <m/>
    <n v="7000000"/>
    <n v="7000000"/>
    <m/>
    <m/>
    <m/>
    <m/>
    <m/>
    <m/>
    <m/>
    <m/>
    <m/>
    <m/>
    <m/>
    <m/>
    <m/>
    <m/>
    <m/>
    <m/>
    <m/>
    <m/>
    <m/>
    <m/>
    <m/>
    <m/>
    <m/>
    <m/>
    <n v="70000000"/>
    <n v="16100000"/>
    <n v="16100000"/>
    <n v="53900000"/>
    <n v="0"/>
    <x v="0"/>
  </r>
  <r>
    <x v="0"/>
    <x v="6"/>
    <s v="Fortalecimiento de la planeación para reducir las limitaciones en la prestación del servicio de energía eléctrica y la atención plena de la demanda nacional."/>
    <s v="Energía"/>
    <s v="Sí"/>
    <s v="Sí"/>
    <n v="68"/>
    <s v="150-16"/>
    <s v="Aumentar señales de expansión y cobertura del servicio de energía eléctrica."/>
    <s v="Documentos de Planeación"/>
    <s v="Documento de planeación validado."/>
    <n v="80111620"/>
    <s v="C-2102-1900-6-40301C-2102009-02"/>
    <s v="Prestación de servicios profesionales y/o de apoyo a la gestión"/>
    <s v="150-16 Prestar servicios ​de apoyo a la gestión en las labores administrativas relacionadas con los procesos ​y procedimientos a cargo de la Oficina Asesora Jurídica, para el logro de los objetivos institucionales de la UPME​."/>
    <s v="Enero "/>
    <s v="Enero "/>
    <s v="Enero "/>
    <n v="10"/>
    <s v="Meses"/>
    <s v="Contratación directa - Prestación de servicios profesionales "/>
    <s v="Propios - 20 - Ingresos corrientes"/>
    <n v="35000000"/>
    <n v="35000000"/>
    <s v="No"/>
    <s v="N/A"/>
    <s v="Guillermo Holguin Garcia"/>
    <s v="Subdirector de Energía Eléctrica"/>
    <n v="6012220601"/>
    <s v="guillermo.holguin@upme.gov.co"/>
    <n v="35000000"/>
    <n v="0"/>
    <n v="0"/>
    <n v="0"/>
    <n v="0"/>
    <n v="3500000"/>
    <n v="0"/>
    <n v="3500000"/>
    <n v="0"/>
    <n v="3500000"/>
    <n v="0"/>
    <n v="3500000"/>
    <n v="0"/>
    <n v="3500000"/>
    <n v="0"/>
    <n v="3500000"/>
    <n v="0"/>
    <n v="3500000"/>
    <n v="0"/>
    <n v="3500000"/>
    <n v="0"/>
    <n v="3500000"/>
    <n v="0"/>
    <n v="3500000"/>
    <n v="35000000"/>
    <n v="35000000"/>
    <n v="0"/>
    <n v="0"/>
    <s v="Prestar servicios ​de apoyo a la gestión en las labores administrativas relacionadas con los procesos ​y procedimientos a cargo de la Oficina Asesora Jurídica, para el logro de los objetivos institucionales de la UPME​."/>
    <n v="35000000"/>
    <m/>
    <m/>
    <m/>
    <m/>
    <n v="3500000"/>
    <m/>
    <n v="3500000"/>
    <m/>
    <n v="3500000"/>
    <m/>
    <n v="3500000"/>
    <m/>
    <n v="3500000"/>
    <m/>
    <n v="3500000"/>
    <m/>
    <n v="3500000"/>
    <m/>
    <n v="3500000"/>
    <m/>
    <n v="3500000"/>
    <m/>
    <n v="3500000"/>
    <m/>
    <m/>
    <n v="35000000"/>
    <n v="35000000"/>
    <n v="0"/>
    <n v="0"/>
    <n v="6926"/>
    <d v="2026-01-06T00:00:00"/>
    <n v="35000000"/>
    <n v="0"/>
    <n v="8526"/>
    <d v="2026-01-13T00:00:00"/>
    <n v="35000000"/>
    <n v="0"/>
    <n v="0"/>
    <s v="PEÑA TORRES ANGELY PAOLA"/>
    <s v="CO1.PCCNTR.8837113"/>
    <n v="35000000"/>
    <m/>
    <m/>
    <m/>
    <m/>
    <m/>
    <m/>
    <n v="5483333"/>
    <n v="5483333"/>
    <m/>
    <n v="3500000"/>
    <n v="3500000"/>
    <m/>
    <m/>
    <m/>
    <m/>
    <m/>
    <m/>
    <m/>
    <m/>
    <m/>
    <m/>
    <m/>
    <m/>
    <m/>
    <m/>
    <m/>
    <m/>
    <m/>
    <m/>
    <m/>
    <m/>
    <m/>
    <m/>
    <m/>
    <m/>
    <n v="35000000"/>
    <n v="8983333"/>
    <n v="8983333"/>
    <n v="26016667"/>
    <n v="0"/>
    <x v="0"/>
  </r>
  <r>
    <x v="0"/>
    <x v="6"/>
    <s v="Fortalecimiento de la planeación para reducir las limitaciones en la prestación del servicio de energía eléctrica y la atención plena de la demanda nacional."/>
    <s v="Energía"/>
    <s v="Sí"/>
    <s v="Sí"/>
    <n v="68"/>
    <s v="150-17"/>
    <s v="Aumentar señales de expansión y cobertura del servicio de energía eléctrica."/>
    <s v="Documentos de Planeación"/>
    <s v="Documento de planeación validado."/>
    <n v="80111620"/>
    <s v="C-2102-1900-6-40301C-2102009-02"/>
    <s v="Prestación de servicios profesionales y/o de apoyo a la gestión"/>
    <s v="150-17 Prestar servicios de apoyo a la gestión para garantizar el cumplimiento de requisitos legales y la oportuna resolución de las peticiones, quejas y reclamos interpuestos ante la Subdirección de Energía Eléctrica en el marco de sus competencias"/>
    <s v="Enero "/>
    <s v="Enero "/>
    <s v="Enero "/>
    <n v="10"/>
    <s v="Meses"/>
    <s v="Contratación directa - Prestación de servicios profesionales "/>
    <s v="Propios - 20 - Ingresos corrientes"/>
    <n v="35000000"/>
    <n v="35000000"/>
    <s v="No"/>
    <s v="N/A"/>
    <s v="Guillermo Holguin Garcia"/>
    <s v="Subdirector de Energía Eléctrica"/>
    <n v="6012220601"/>
    <s v="guillermo.holguin@upme.gov.co"/>
    <n v="35000000"/>
    <n v="0"/>
    <n v="0"/>
    <n v="0"/>
    <n v="0"/>
    <n v="3500000"/>
    <n v="0"/>
    <n v="3500000"/>
    <n v="0"/>
    <n v="3500000"/>
    <n v="0"/>
    <n v="3500000"/>
    <n v="0"/>
    <n v="3500000"/>
    <n v="0"/>
    <n v="3500000"/>
    <n v="0"/>
    <n v="3500000"/>
    <n v="0"/>
    <n v="3500000"/>
    <n v="0"/>
    <n v="3500000"/>
    <n v="0"/>
    <n v="3500000"/>
    <n v="35000000"/>
    <n v="35000000"/>
    <n v="0"/>
    <n v="0"/>
    <s v="Prestar servicios de apoyo a la gestión para garantizar el cumplimiento de requisitos legales y la oportuna resolución de las peticiones, quejas y reclamos interpuestos ante la Subdirección de Energía Eléctrica en el marco de sus competencias"/>
    <n v="35000000"/>
    <m/>
    <m/>
    <m/>
    <m/>
    <n v="3500000"/>
    <m/>
    <n v="3500000"/>
    <m/>
    <n v="3500000"/>
    <m/>
    <n v="3500000"/>
    <m/>
    <n v="3500000"/>
    <m/>
    <n v="3500000"/>
    <m/>
    <n v="3500000"/>
    <m/>
    <n v="3500000"/>
    <m/>
    <n v="3500000"/>
    <m/>
    <n v="3500000"/>
    <m/>
    <m/>
    <n v="35000000"/>
    <n v="35000000"/>
    <n v="0"/>
    <n v="0"/>
    <n v="5526"/>
    <d v="2026-01-05T00:00:00"/>
    <n v="35000000"/>
    <n v="0"/>
    <n v="7926"/>
    <d v="2026-01-13T00:00:00"/>
    <n v="35000000"/>
    <n v="0"/>
    <n v="0"/>
    <s v="JIMENEZ DIAZ ANDREA CAROLINA"/>
    <s v="CO1.PCCNTR.8826983"/>
    <n v="35000000"/>
    <m/>
    <m/>
    <m/>
    <n v="1983333"/>
    <n v="1983333"/>
    <m/>
    <n v="3500000"/>
    <n v="3500000"/>
    <m/>
    <n v="3500000"/>
    <n v="3500000"/>
    <m/>
    <m/>
    <m/>
    <m/>
    <m/>
    <m/>
    <m/>
    <m/>
    <m/>
    <m/>
    <m/>
    <m/>
    <m/>
    <m/>
    <m/>
    <m/>
    <m/>
    <m/>
    <m/>
    <m/>
    <m/>
    <m/>
    <m/>
    <m/>
    <n v="35000000"/>
    <n v="8983333"/>
    <n v="8983333"/>
    <n v="26016667"/>
    <n v="0"/>
    <x v="0"/>
  </r>
  <r>
    <x v="0"/>
    <x v="6"/>
    <s v="Fortalecimiento de la planeación para reducir las limitaciones en la prestación del servicio de energía eléctrica y la atención plena de la demanda nacional."/>
    <s v="Energía"/>
    <s v="Sí"/>
    <s v="Sí"/>
    <s v="Radicado 20261500021643"/>
    <s v="150-18"/>
    <s v="Aumentar señales de expansión y cobertura del servicio de energía eléctrica."/>
    <s v="Documentos de Planeación"/>
    <s v="Documento de planeación validado."/>
    <n v="80111620"/>
    <s v="C-2102-1900-6-40301C-2102009-02"/>
    <s v="Prestación de servicios profesionales y/o de apoyo a la gestión"/>
    <s v="150-18 Asesorar jurídicamente a la Subdirección de Energía Eléctrica en el proceso, verificación y cumplimiento de requisitos legales de las solicitudes de asignación de capacidad de transporte, respuestas asociadas y atención de acciones de carácter jurí"/>
    <s v="Enero "/>
    <s v="Enero "/>
    <s v="Enero "/>
    <n v="12"/>
    <s v="Meses"/>
    <s v="Contratación directa - Prestación de servicios profesionales "/>
    <s v="Propios - 20 - Ingresos corrientes"/>
    <n v="116134200"/>
    <n v="116134200"/>
    <s v="Si"/>
    <s v="Solicitadas"/>
    <s v="Guillermo Holguin Garcia"/>
    <s v="Subdirector de Energía Eléctrica"/>
    <n v="6012220601"/>
    <s v="guillermo.holguin@upme.gov.co"/>
    <n v="67744950"/>
    <n v="0"/>
    <n v="0"/>
    <n v="9677850"/>
    <n v="0"/>
    <n v="9677850"/>
    <n v="0"/>
    <n v="9677850"/>
    <n v="0"/>
    <n v="9677850"/>
    <n v="0"/>
    <n v="9677850"/>
    <n v="0"/>
    <n v="9677850"/>
    <n v="48389250"/>
    <n v="9677850"/>
    <n v="0"/>
    <n v="9677850"/>
    <n v="0"/>
    <n v="9677850"/>
    <n v="0"/>
    <n v="9677850"/>
    <n v="0"/>
    <n v="19355700"/>
    <n v="116134200"/>
    <n v="116134200"/>
    <n v="0"/>
    <n v="0"/>
    <s v="Asesorar jurídicamente a la Subdirección de Energía Eléctrica en el proceso, verificación y cumplimiento de requisitos legales de las solicitudes de asignación de capacidad de transporte, respuestas asociadas y atención de acciones de carácter jurídico, e"/>
    <n v="67744950"/>
    <m/>
    <m/>
    <n v="9677850"/>
    <m/>
    <n v="9677850"/>
    <m/>
    <n v="9677850"/>
    <m/>
    <n v="9677850"/>
    <m/>
    <n v="9677850"/>
    <m/>
    <n v="9677850"/>
    <n v="48389250"/>
    <n v="9677850"/>
    <m/>
    <n v="9677850"/>
    <m/>
    <n v="9677850"/>
    <m/>
    <n v="9677850"/>
    <m/>
    <n v="19355700"/>
    <m/>
    <m/>
    <n v="116134200"/>
    <n v="116134200"/>
    <n v="0"/>
    <n v="0"/>
    <n v="24226"/>
    <d v="2026-01-13T00:00:00"/>
    <n v="67744950"/>
    <n v="48389250"/>
    <n v="7326"/>
    <d v="2026-01-13T00:00:00"/>
    <n v="67744950"/>
    <n v="48389250"/>
    <n v="0"/>
    <s v="GUEVARA GONZALEZ JORGE MARIO"/>
    <s v="CO1.PCCNTR.7238976"/>
    <n v="67744950"/>
    <m/>
    <m/>
    <m/>
    <m/>
    <m/>
    <m/>
    <n v="19355700"/>
    <n v="19355700"/>
    <m/>
    <m/>
    <m/>
    <m/>
    <m/>
    <m/>
    <m/>
    <m/>
    <m/>
    <m/>
    <m/>
    <m/>
    <m/>
    <m/>
    <m/>
    <m/>
    <m/>
    <m/>
    <m/>
    <m/>
    <m/>
    <m/>
    <m/>
    <m/>
    <m/>
    <m/>
    <m/>
    <n v="67744950"/>
    <n v="19355700"/>
    <n v="19355700"/>
    <n v="48389250"/>
    <n v="0"/>
    <x v="0"/>
  </r>
  <r>
    <x v="0"/>
    <x v="6"/>
    <s v="Fortalecimiento de la planeación para reducir las limitaciones en la prestación del servicio de energía eléctrica y la atención plena de la demanda nacional."/>
    <s v="Energía"/>
    <s v="Sí"/>
    <s v="Sí"/>
    <n v="68"/>
    <s v="150-19"/>
    <s v="Aumentar señales de expansión y cobertura del servicio de energía eléctrica."/>
    <s v="Documentos de Planeación"/>
    <s v="Documento de planeación validado."/>
    <n v="80111620"/>
    <s v="C-2102-1900-6-40301C-2102009-02"/>
    <s v="Prestación de servicios profesionales y/o de apoyo a la gestión"/>
    <s v="150-19 Brindar asesoría jurídica a la Subdirección de Energía Eléctrica en el proceso de verificación y cumplimiento de los requisitos legales relacionados con la subdirección, así como en la elaboración de respuestas y la atención de actuaciones de carác"/>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Brindar asesoría jurídica a la Subdirección de Energía Eléctrica en el proceso de verificación y cumplimiento de los requisitos legales relacionados con la subdirección, así como en la elaboración de respuestas y la atención de actuaciones de carácter jur"/>
    <n v="87000000"/>
    <m/>
    <m/>
    <m/>
    <m/>
    <n v="8700000"/>
    <m/>
    <n v="8700000"/>
    <m/>
    <n v="8700000"/>
    <m/>
    <n v="8700000"/>
    <m/>
    <n v="8700000"/>
    <m/>
    <n v="8700000"/>
    <m/>
    <n v="8700000"/>
    <m/>
    <n v="8700000"/>
    <m/>
    <n v="8700000"/>
    <m/>
    <n v="8700000"/>
    <m/>
    <m/>
    <n v="87000000"/>
    <n v="87000000"/>
    <n v="0"/>
    <n v="0"/>
    <n v="31026"/>
    <d v="2026-01-14T00:00:00"/>
    <n v="87000000"/>
    <n v="0"/>
    <n v="25426"/>
    <d v="2026-01-28T00:00:00"/>
    <n v="87000000"/>
    <n v="0"/>
    <n v="0"/>
    <s v="FRANCO LLANOS ELIANA ALEJANDRA"/>
    <s v="CO1.PCCNTR.9110370"/>
    <n v="87000000"/>
    <m/>
    <m/>
    <m/>
    <m/>
    <m/>
    <m/>
    <n v="9280000"/>
    <n v="9280000"/>
    <m/>
    <n v="8700000"/>
    <n v="8700000"/>
    <m/>
    <m/>
    <m/>
    <m/>
    <m/>
    <m/>
    <m/>
    <m/>
    <m/>
    <m/>
    <m/>
    <m/>
    <m/>
    <m/>
    <m/>
    <m/>
    <m/>
    <m/>
    <m/>
    <m/>
    <m/>
    <m/>
    <m/>
    <m/>
    <n v="87000000"/>
    <n v="17980000"/>
    <n v="17980000"/>
    <n v="69020000"/>
    <n v="0"/>
    <x v="0"/>
  </r>
  <r>
    <x v="0"/>
    <x v="6"/>
    <s v="Fortalecimiento de la planeación para reducir las limitaciones en la prestación del servicio de energía eléctrica y la atención plena de la demanda nacional."/>
    <s v="Energía"/>
    <s v="Sí"/>
    <s v="Sí"/>
    <s v="Radicado 20261500021643"/>
    <s v="150-20"/>
    <s v="Aumentar señales de expansión y cobertura del servicio de energía eléctrica."/>
    <s v="Documentos de Planeación"/>
    <s v="Documento de planeación validado."/>
    <n v="80111620"/>
    <s v="C-2102-1900-6-40301C-2102009-02"/>
    <s v="Prestación de servicios profesionales y/o de apoyo a la gestión"/>
    <s v="150-20 Prestar los servicios profesionales para realizar el seguimiento y control de la planeación estratégica de la Subdirección de Energía Eléctrica, gestión de resultados, procesos contractuales, ejecución presupuestal, sistema de gestión de la calidad"/>
    <s v="Enero "/>
    <s v="Enero "/>
    <s v="Enero "/>
    <n v="12"/>
    <s v="Meses"/>
    <s v="Contratación directa - Prestación de servicios profesionales "/>
    <s v="Propios - 20 - Ingresos corrientes"/>
    <n v="106938000"/>
    <n v="106938000"/>
    <s v="Si"/>
    <s v="Solicitadas"/>
    <s v="Guillermo Holguin Garcia"/>
    <s v="Subdirector de Energía Eléctrica"/>
    <n v="6012220601"/>
    <s v="guillermo.holguin@upme.gov.co"/>
    <n v="62380500"/>
    <n v="0"/>
    <n v="0"/>
    <n v="8911500"/>
    <n v="0"/>
    <n v="8911500"/>
    <n v="0"/>
    <n v="8911500"/>
    <n v="0"/>
    <n v="8911500"/>
    <n v="0"/>
    <n v="8911500"/>
    <n v="0"/>
    <n v="8911500"/>
    <n v="44557500"/>
    <n v="8911500"/>
    <n v="0"/>
    <n v="8911500"/>
    <n v="0"/>
    <n v="8911500"/>
    <n v="0"/>
    <n v="8911500"/>
    <n v="0"/>
    <n v="17823000"/>
    <n v="106938000"/>
    <n v="106938000"/>
    <n v="0"/>
    <n v="0"/>
    <s v="Prestar los servicios profesionales para realizar el seguimiento y control de la planeación estratégica de la Subdirección de Energía Eléctrica, gestión de resultados, procesos contractuales, ejecución presupuestal, sistema de gestión de la calidad y segu"/>
    <n v="62380500"/>
    <m/>
    <m/>
    <n v="8911500"/>
    <m/>
    <n v="8911500"/>
    <m/>
    <n v="8911500"/>
    <m/>
    <n v="8911500"/>
    <m/>
    <n v="8911500"/>
    <m/>
    <n v="8911500"/>
    <n v="44557500"/>
    <n v="8911500"/>
    <m/>
    <n v="8911500"/>
    <m/>
    <n v="8911500"/>
    <m/>
    <n v="8911500"/>
    <m/>
    <n v="17823000"/>
    <m/>
    <m/>
    <n v="106938000"/>
    <n v="106938000"/>
    <n v="0"/>
    <n v="0"/>
    <n v="22326"/>
    <d v="2026-01-12T00:00:00"/>
    <n v="62380500"/>
    <n v="44557500"/>
    <n v="4926"/>
    <d v="2026-01-12T00:00:00"/>
    <n v="62380500"/>
    <n v="44557500"/>
    <n v="0"/>
    <s v="RODRIGUEZ BARRERO KAREN JULIETH"/>
    <s v="CO1.PCCNT.7212661_x000a_"/>
    <n v="62380500"/>
    <m/>
    <m/>
    <m/>
    <n v="8911500"/>
    <n v="8911500"/>
    <m/>
    <n v="8911500"/>
    <n v="8911500"/>
    <m/>
    <n v="8911500"/>
    <n v="8911500"/>
    <m/>
    <m/>
    <m/>
    <m/>
    <m/>
    <m/>
    <m/>
    <m/>
    <m/>
    <m/>
    <m/>
    <m/>
    <m/>
    <m/>
    <m/>
    <m/>
    <m/>
    <m/>
    <m/>
    <m/>
    <m/>
    <m/>
    <m/>
    <m/>
    <n v="62380500"/>
    <n v="26734500"/>
    <n v="26734500"/>
    <n v="35646000"/>
    <n v="0"/>
    <x v="0"/>
  </r>
  <r>
    <x v="0"/>
    <x v="6"/>
    <s v="Fortalecimiento de la planeación para reducir las limitaciones en la prestación del servicio de energía eléctrica y la atención plena de la demanda nacional."/>
    <s v="Energía"/>
    <s v="Sí"/>
    <s v="Sí"/>
    <s v="Radicado 20261500021643"/>
    <s v="150-21"/>
    <s v="Aumentar señales de expansión y cobertura del servicio de energía eléctrica."/>
    <s v="Documentos de Planeación"/>
    <s v="Documento de planeación validado."/>
    <n v="80111620"/>
    <s v="C-2102-1900-6-40301C-2102009-02"/>
    <s v="Prestación de servicios profesionales y/o de apoyo a la gestión"/>
    <s v="150-21 Prestar los servicios profesionales para realizar el seguimiento y control de los procesos contractuales, la ejecución presupuestal y demás actividades que se requieran para el cumplimiento de las metas y objetivos de la Subdirección de Energía Elé"/>
    <s v="Enero "/>
    <s v="Enero "/>
    <s v="Enero "/>
    <n v="12"/>
    <s v="Meses"/>
    <s v="Contratación directa - Prestación de servicios profesionales "/>
    <s v="Propios - 20 - Ingresos corrientes"/>
    <n v="106938000"/>
    <n v="106938000"/>
    <s v="Si"/>
    <s v="Solicitadas"/>
    <s v="Guillermo Holguin Garcia"/>
    <s v="Subdirector de Energía Eléctrica"/>
    <n v="6012220601"/>
    <s v="guillermo.holguin@upme.gov.co"/>
    <n v="62380500"/>
    <n v="0"/>
    <n v="0"/>
    <n v="8911500"/>
    <n v="0"/>
    <n v="8911500"/>
    <n v="0"/>
    <n v="8911500"/>
    <n v="0"/>
    <n v="8911500"/>
    <n v="0"/>
    <n v="8911500"/>
    <n v="0"/>
    <n v="8911500"/>
    <n v="44557500"/>
    <n v="8911500"/>
    <n v="0"/>
    <n v="8911500"/>
    <n v="0"/>
    <n v="8911500"/>
    <n v="0"/>
    <n v="8911500"/>
    <n v="0"/>
    <n v="17823000"/>
    <n v="106938000"/>
    <n v="106938000"/>
    <n v="0"/>
    <n v="0"/>
    <s v="Prestar los servicios profesionales para realizar el seguimiento y control de los procesos contractuales, la ejecución presupuestal y demás actividades que se requieran para el cumplimiento de las metas y objetivos de la Subdirección de Energía Eléctrica,"/>
    <n v="62380500"/>
    <m/>
    <m/>
    <n v="8911500"/>
    <m/>
    <n v="8911500"/>
    <m/>
    <n v="8911500"/>
    <m/>
    <n v="8911500"/>
    <m/>
    <n v="8911500"/>
    <m/>
    <n v="8911500"/>
    <n v="44557500"/>
    <n v="8911500"/>
    <m/>
    <n v="8911500"/>
    <m/>
    <n v="8911500"/>
    <m/>
    <n v="8911500"/>
    <m/>
    <n v="17823000"/>
    <m/>
    <m/>
    <n v="106938000"/>
    <n v="106938000"/>
    <n v="0"/>
    <n v="0"/>
    <n v="21926"/>
    <d v="2026-01-12T00:00:00"/>
    <n v="62380500"/>
    <n v="44557500"/>
    <n v="4526"/>
    <d v="2026-01-12T00:00:00"/>
    <n v="62380500"/>
    <n v="44557500"/>
    <n v="0"/>
    <s v="PARAMO MONTOYA DIANA MARCELA "/>
    <s v="CO1.PCCNTR.7212893"/>
    <n v="62380500"/>
    <m/>
    <m/>
    <m/>
    <n v="8911500"/>
    <n v="8911500"/>
    <m/>
    <n v="8911500"/>
    <n v="8911500"/>
    <m/>
    <n v="8911500"/>
    <n v="8911500"/>
    <m/>
    <m/>
    <m/>
    <m/>
    <m/>
    <m/>
    <m/>
    <m/>
    <m/>
    <m/>
    <m/>
    <m/>
    <m/>
    <m/>
    <m/>
    <m/>
    <m/>
    <m/>
    <m/>
    <m/>
    <m/>
    <m/>
    <m/>
    <m/>
    <n v="62380500"/>
    <n v="26734500"/>
    <n v="26734500"/>
    <n v="35646000"/>
    <n v="0"/>
    <x v="0"/>
  </r>
  <r>
    <x v="0"/>
    <x v="6"/>
    <s v="Fortalecimiento de la planeación para reducir las limitaciones en la prestación del servicio de energía eléctrica y la atención plena de la demanda nacional."/>
    <s v="Energía"/>
    <s v="Sí"/>
    <s v="Sí"/>
    <n v="68"/>
    <s v="150-22"/>
    <s v="Aumentar señales de expansión y cobertura del servicio de energía eléctrica."/>
    <s v="Documentos de Planeación"/>
    <s v="Documento de planeación validado."/>
    <n v="80111620"/>
    <s v="C-2102-1900-6-40301C-2102009-02"/>
    <s v="Prestación de servicios profesionales y/o de apoyo a la gestión"/>
    <s v="150-22 Prestación de servicios de apoyo a la mesa de ayuda de los procesos que se llevan a cabo en la plataforma Bizagi, así como el procesamiento y resolución de peticiones, quejas y reclamos que se alleguen en el marco de las actividades desarrolladas p"/>
    <s v="Enero "/>
    <s v="Enero "/>
    <s v="Enero "/>
    <n v="12"/>
    <s v="Meses"/>
    <s v="Contratación directa - Prestación de servicios profesionales "/>
    <s v="Propios - 20 - Ingresos corrientes"/>
    <n v="44778700"/>
    <n v="44778700"/>
    <s v="No"/>
    <s v="N/A"/>
    <s v="Guillermo Holguin Garcia"/>
    <s v="Subdirector de Energía Eléctrica"/>
    <n v="6012220601"/>
    <s v="guillermo.holguin@upme.gov.co"/>
    <n v="44778700"/>
    <n v="0"/>
    <n v="0"/>
    <n v="1946900"/>
    <n v="0"/>
    <n v="3893800"/>
    <n v="0"/>
    <n v="3893800"/>
    <n v="0"/>
    <n v="3893800"/>
    <n v="0"/>
    <n v="3893800"/>
    <n v="0"/>
    <n v="3893800"/>
    <n v="0"/>
    <n v="3893800"/>
    <n v="0"/>
    <n v="3893800"/>
    <n v="0"/>
    <n v="3893800"/>
    <n v="0"/>
    <n v="3893800"/>
    <n v="0"/>
    <n v="7787600"/>
    <n v="44778700"/>
    <n v="44778700"/>
    <n v="0"/>
    <n v="0"/>
    <s v="Prestación de servicios de apoyo a la mesa de ayuda de los procesos que se llevan a cabo en la plataforma Bizagi, así como el procesamiento y resolución de peticiones, quejas y reclamos que se alleguen en el marco de las actividades desarrolladas por la S"/>
    <n v="44778700"/>
    <m/>
    <m/>
    <n v="1946900"/>
    <m/>
    <n v="3893800"/>
    <m/>
    <n v="3893800"/>
    <m/>
    <n v="3893800"/>
    <m/>
    <n v="3893800"/>
    <m/>
    <n v="3893800"/>
    <m/>
    <n v="3893800"/>
    <m/>
    <n v="3893800"/>
    <m/>
    <n v="3893800"/>
    <m/>
    <n v="3893800"/>
    <m/>
    <n v="7787600"/>
    <m/>
    <m/>
    <n v="44778700"/>
    <n v="44778700"/>
    <n v="0"/>
    <n v="0"/>
    <n v="27726"/>
    <d v="2026-01-14T00:00:00"/>
    <n v="43350973"/>
    <n v="1427727"/>
    <n v="19826"/>
    <d v="2026-01-26T00:00:00"/>
    <n v="43350973"/>
    <n v="1427727"/>
    <n v="0"/>
    <s v="SANCHEZ ALVAREZ GERSSON IVAN"/>
    <s v="CO1.PCCNTR.9036037"/>
    <n v="44778700"/>
    <m/>
    <m/>
    <n v="-1427727"/>
    <n v="519173"/>
    <n v="519173"/>
    <m/>
    <n v="3893800"/>
    <n v="3893800"/>
    <m/>
    <n v="3893800"/>
    <n v="3893800"/>
    <m/>
    <m/>
    <m/>
    <m/>
    <m/>
    <m/>
    <m/>
    <m/>
    <m/>
    <m/>
    <m/>
    <m/>
    <m/>
    <m/>
    <m/>
    <m/>
    <m/>
    <m/>
    <m/>
    <m/>
    <m/>
    <m/>
    <m/>
    <m/>
    <n v="43350973"/>
    <n v="8306773"/>
    <n v="8306773"/>
    <n v="35044200"/>
    <n v="0"/>
    <x v="0"/>
  </r>
  <r>
    <x v="0"/>
    <x v="6"/>
    <s v="Fortalecimiento de la planeación para reducir las limitaciones en la prestación del servicio de energía eléctrica y la atención plena de la demanda nacional."/>
    <s v="Energía"/>
    <s v="Sí"/>
    <s v="Sí"/>
    <n v="68"/>
    <s v="150-23"/>
    <s v="Aumentar señales de expansión y cobertura del servicio de energía eléctrica."/>
    <s v="Documentos de Planeación"/>
    <s v="Documento de planeación validado."/>
    <n v="80111620"/>
    <s v="C-2102-1900-6-40301C-2102009-02"/>
    <s v="Prestación de servicios profesionales y/o de apoyo a la gestión"/>
    <s v="150-23 Prestación de servicios profesionales en la atención de requerimientos externos e internos asociados a la gestión de información sobre la ejecución de los procesos de expansión del Sistema Interconectado Nacional, la aprobación de conexión de proye"/>
    <s v="Enero "/>
    <s v="Enero "/>
    <s v="Enero "/>
    <n v="12"/>
    <s v="Meses"/>
    <s v="Contratación directa - Prestación de servicios profesionales "/>
    <s v="Propios - 20 - Ingresos corrientes"/>
    <n v="37782675"/>
    <n v="37782675"/>
    <s v="No"/>
    <s v="N/A"/>
    <s v="Guillermo Holguin Garcia"/>
    <s v="Subdirector de Energía Eléctrica"/>
    <n v="6012220601"/>
    <s v="guillermo.holguin@upme.gov.co"/>
    <n v="37782675"/>
    <n v="0"/>
    <n v="0"/>
    <n v="1642725"/>
    <n v="0"/>
    <n v="3285450"/>
    <n v="0"/>
    <n v="3285450"/>
    <n v="0"/>
    <n v="3285450"/>
    <n v="0"/>
    <n v="3285450"/>
    <n v="0"/>
    <n v="3285450"/>
    <n v="0"/>
    <n v="3285450"/>
    <n v="0"/>
    <n v="3285450"/>
    <n v="0"/>
    <n v="3285450"/>
    <n v="0"/>
    <n v="3285450"/>
    <n v="0"/>
    <n v="6570900"/>
    <n v="37782675"/>
    <n v="37782675"/>
    <n v="0"/>
    <n v="0"/>
    <s v="Prestación de servicios profesionales en la atención de requerimientos externos e internos asociados a la gestión de información sobre la ejecución de los procesos de expansión del Sistema Interconectado Nacional, la aprobación de conexión de proyectos en"/>
    <n v="37782675"/>
    <m/>
    <m/>
    <n v="1642725"/>
    <m/>
    <n v="3285450"/>
    <m/>
    <n v="3285450"/>
    <m/>
    <n v="3285450"/>
    <m/>
    <n v="3285450"/>
    <m/>
    <n v="3285450"/>
    <m/>
    <n v="3285450"/>
    <m/>
    <n v="3285450"/>
    <m/>
    <n v="3285450"/>
    <m/>
    <n v="3285450"/>
    <m/>
    <n v="6570900"/>
    <m/>
    <m/>
    <n v="37782675"/>
    <n v="37782675"/>
    <n v="0"/>
    <n v="0"/>
    <n v="30926"/>
    <d v="2026-01-14T00:00:00"/>
    <n v="37125585"/>
    <n v="657090"/>
    <n v="15326"/>
    <d v="2026-01-21T00:00:00"/>
    <n v="37125585"/>
    <n v="657090"/>
    <n v="0"/>
    <s v="GUTIERREZ HUERTAS ADRIAN"/>
    <s v="CO1.PCCNTR.8957431"/>
    <n v="37782675"/>
    <m/>
    <m/>
    <m/>
    <n v="985635"/>
    <n v="985635"/>
    <n v="-657090"/>
    <n v="3285450"/>
    <n v="3285450"/>
    <m/>
    <n v="3285450"/>
    <n v="3285450"/>
    <m/>
    <m/>
    <m/>
    <m/>
    <m/>
    <m/>
    <m/>
    <m/>
    <m/>
    <m/>
    <m/>
    <m/>
    <m/>
    <m/>
    <m/>
    <m/>
    <m/>
    <m/>
    <m/>
    <m/>
    <m/>
    <m/>
    <m/>
    <m/>
    <n v="37125585"/>
    <n v="7556535"/>
    <n v="7556535"/>
    <n v="29569050"/>
    <n v="0"/>
    <x v="0"/>
  </r>
  <r>
    <x v="0"/>
    <x v="6"/>
    <s v="Fortalecimiento de la planeación para reducir las limitaciones en la prestación del servicio de energía eléctrica y la atención plena de la demanda nacional."/>
    <s v="Energía"/>
    <s v="Sí"/>
    <s v="Sí"/>
    <n v="68"/>
    <s v="150-24"/>
    <s v="Aumentar señales de expansión y cobertura del servicio de energía eléctrica."/>
    <s v="Documentos de Planeación"/>
    <s v="Documento de planeación validado."/>
    <n v="80111620"/>
    <s v="C-2102-1900-6-40301C-2102009-02"/>
    <s v="Prestación de servicios profesionales y/o de apoyo a la gestión"/>
    <s v="150-24 Brindar asesoría jurídica a la Subdirección de Energía Eléctrica en el proceso de verificación y cumplimiento de los requisitos legales relacionados con las solicitudes de generación, cobertura, convocatorias y transmisión, así como en la elaboraci"/>
    <s v="Enero "/>
    <s v="Enero "/>
    <s v="Enero "/>
    <n v="10"/>
    <s v="Meses"/>
    <s v="Contratación directa - Prestación de servicios profesionales "/>
    <s v="Propios - 20 - Ingresos corrientes"/>
    <n v="42000000"/>
    <n v="42000000"/>
    <s v="No"/>
    <s v="N/A"/>
    <s v="Guillermo Holguin Garcia"/>
    <s v="Subdirector de Energía Eléctrica"/>
    <n v="6012220601"/>
    <s v="guillermo.holguin@upme.gov.co"/>
    <n v="42000000"/>
    <n v="0"/>
    <n v="0"/>
    <n v="0"/>
    <n v="0"/>
    <n v="7000000"/>
    <n v="0"/>
    <n v="7000000"/>
    <n v="0"/>
    <n v="7000000"/>
    <n v="0"/>
    <n v="7000000"/>
    <n v="0"/>
    <n v="7000000"/>
    <n v="0"/>
    <n v="7000000"/>
    <n v="0"/>
    <n v="0"/>
    <n v="0"/>
    <n v="0"/>
    <n v="0"/>
    <n v="0"/>
    <n v="0"/>
    <n v="0"/>
    <n v="42000000"/>
    <n v="42000000"/>
    <n v="0"/>
    <n v="0"/>
    <s v="Brindar asesoría jurídica a la Subdirección de Energía Eléctrica en el proceso de verificación y cumplimiento de los requisitos legales relacionados con las solicitudes de generación, cobertura, convocatorias y transmisión, así como en la elaboración de r"/>
    <n v="42000000"/>
    <m/>
    <m/>
    <m/>
    <m/>
    <n v="7000000"/>
    <m/>
    <n v="7000000"/>
    <m/>
    <n v="7000000"/>
    <m/>
    <n v="7000000"/>
    <m/>
    <n v="7000000"/>
    <m/>
    <n v="7000000"/>
    <m/>
    <m/>
    <m/>
    <m/>
    <m/>
    <m/>
    <m/>
    <m/>
    <m/>
    <m/>
    <n v="42000000"/>
    <n v="42000000"/>
    <n v="0"/>
    <n v="0"/>
    <n v="48926"/>
    <d v="2026-01-19T00:00:00"/>
    <n v="42000000"/>
    <n v="0"/>
    <n v="19926"/>
    <d v="2026-01-26T00:00:00"/>
    <n v="42000000"/>
    <n v="0"/>
    <n v="0"/>
    <s v="SANABRIA CHARRY JOVITA IDALBA"/>
    <s v="CO1.PCCNTR.9032745"/>
    <n v="42000000"/>
    <m/>
    <m/>
    <m/>
    <n v="933333"/>
    <n v="933333"/>
    <m/>
    <n v="7000000"/>
    <n v="7000000"/>
    <m/>
    <n v="7000000"/>
    <n v="7000000"/>
    <m/>
    <m/>
    <m/>
    <m/>
    <m/>
    <m/>
    <m/>
    <m/>
    <m/>
    <m/>
    <m/>
    <m/>
    <m/>
    <m/>
    <m/>
    <m/>
    <m/>
    <m/>
    <m/>
    <m/>
    <m/>
    <m/>
    <m/>
    <m/>
    <n v="42000000"/>
    <n v="14933333"/>
    <n v="14933333"/>
    <n v="27066667"/>
    <n v="0"/>
    <x v="0"/>
  </r>
  <r>
    <x v="0"/>
    <x v="6"/>
    <s v="Fortalecimiento de la planeación para reducir las limitaciones en la prestación del servicio de energía eléctrica y la atención plena de la demanda nacional."/>
    <s v="Energía"/>
    <s v="Sí"/>
    <s v="Sí"/>
    <s v="Radicado 20261500021643"/>
    <s v="150-25"/>
    <s v="Aumentar señales de expansión y cobertura del servicio de energía eléctrica."/>
    <s v="Documentos de Planeación"/>
    <s v="Documento de planeación validado."/>
    <n v="80111620"/>
    <s v="C-2102-1900-6-40301C-2102009-02"/>
    <s v="Prestación de servicios profesionales y/o de apoyo a la gestión"/>
    <s v="150-25 Prestar servicios profesionales para realizar soporte y adecuación del BIZZAGI, apoyando los procesos de transmisión en la mesa de ayuda."/>
    <s v="Enero "/>
    <s v="Enero "/>
    <s v="Enero "/>
    <n v="12"/>
    <s v="Meses"/>
    <s v="Contratación directa - Prestación de servicios profesionales "/>
    <s v="Propios - 20 - Ingresos corrientes"/>
    <n v="87559200"/>
    <n v="87559200"/>
    <s v="Si"/>
    <s v="Solicitadas"/>
    <s v="Guillermo Holguin Garcia"/>
    <s v="Subdirector de Energía Eléctrica"/>
    <n v="6012220601"/>
    <s v="guillermo.holguin@upme.gov.co"/>
    <n v="51076200"/>
    <n v="0"/>
    <n v="0"/>
    <n v="7296600"/>
    <n v="0"/>
    <n v="7296600"/>
    <n v="0"/>
    <n v="7296600"/>
    <n v="0"/>
    <n v="7296600"/>
    <n v="0"/>
    <n v="7296600"/>
    <n v="0"/>
    <n v="7296600"/>
    <n v="36483000"/>
    <n v="7296600"/>
    <n v="0"/>
    <n v="7296600"/>
    <n v="0"/>
    <n v="7296600"/>
    <n v="0"/>
    <n v="7296600"/>
    <n v="0"/>
    <n v="14593200"/>
    <n v="87559200"/>
    <n v="87559200"/>
    <n v="0"/>
    <n v="0"/>
    <s v="Prestar servicios profesionales para realizar soporte y adecuación del BIZZAGI, apoyando los procesos de transmisión en la mesa de ayuda."/>
    <n v="51076200"/>
    <m/>
    <m/>
    <n v="7296600"/>
    <m/>
    <n v="7296600"/>
    <m/>
    <n v="7296600"/>
    <m/>
    <n v="7296600"/>
    <m/>
    <n v="7296600"/>
    <m/>
    <n v="7296600"/>
    <n v="36483000"/>
    <n v="7296600"/>
    <m/>
    <n v="7296600"/>
    <m/>
    <n v="7296600"/>
    <m/>
    <n v="7296600"/>
    <m/>
    <n v="14593200"/>
    <m/>
    <m/>
    <n v="87559200"/>
    <n v="87559200"/>
    <n v="0"/>
    <n v="0"/>
    <n v="24026"/>
    <d v="2026-01-13T00:00:00"/>
    <n v="51076200"/>
    <n v="36483000"/>
    <n v="7126"/>
    <d v="2026-01-13T00:00:00"/>
    <n v="51076200"/>
    <n v="36483000"/>
    <n v="0"/>
    <s v="GUZMAN ESTUPIÑAN WILMER"/>
    <s v="CO1.PCCNTR.7411636"/>
    <n v="51076200"/>
    <m/>
    <m/>
    <m/>
    <n v="7296600"/>
    <n v="7296600"/>
    <m/>
    <n v="7296600"/>
    <n v="7296600"/>
    <m/>
    <n v="7296600"/>
    <n v="7296600"/>
    <m/>
    <m/>
    <m/>
    <m/>
    <m/>
    <m/>
    <m/>
    <m/>
    <m/>
    <m/>
    <m/>
    <m/>
    <m/>
    <m/>
    <m/>
    <m/>
    <m/>
    <m/>
    <m/>
    <m/>
    <m/>
    <m/>
    <m/>
    <m/>
    <n v="51076200"/>
    <n v="21889800"/>
    <n v="21889800"/>
    <n v="29186400"/>
    <n v="0"/>
    <x v="0"/>
  </r>
  <r>
    <x v="0"/>
    <x v="6"/>
    <s v="Fortalecimiento de la planeación para reducir las limitaciones en la prestación del servicio de energía eléctrica y la atención plena de la demanda nacional."/>
    <s v="Energía"/>
    <s v="Sí"/>
    <s v="Sí"/>
    <s v="Radicado 20261500021643"/>
    <s v="150-26"/>
    <s v="Aumentar señales de expansión y cobertura del servicio de energía eléctrica."/>
    <s v="Documentos de Planeación"/>
    <s v="Documento de planeación validado."/>
    <n v="80111620"/>
    <s v="C-2102-1900-6-40301C-2102009-02"/>
    <s v="Prestación de servicios profesionales y/o de apoyo a la gestión"/>
    <s v="150-26 Realizar el soporte, adecuación, mantenimiento y desarrollo de las automatizaciones de procesos en BIZAGI y de los sistemas que soportan la operación de la Subdirección de Energía Eléctrica."/>
    <s v="Enero "/>
    <s v="Enero "/>
    <s v="Enero "/>
    <n v="12"/>
    <s v="Meses"/>
    <s v="Contratación directa - Prestación de servicios profesionales "/>
    <s v="Propios - 20 - Ingresos corrientes"/>
    <n v="54561600"/>
    <n v="54561600"/>
    <s v="Si"/>
    <s v="Solicitadas"/>
    <s v="Guillermo Holguin Garcia"/>
    <s v="Subdirector de Energía Eléctrica"/>
    <n v="6012220601"/>
    <s v="guillermo.holguin@upme.gov.co"/>
    <n v="31827600"/>
    <n v="0"/>
    <n v="0"/>
    <n v="4546800"/>
    <n v="0"/>
    <n v="4546800"/>
    <n v="0"/>
    <n v="4546800"/>
    <n v="0"/>
    <n v="4546800"/>
    <n v="0"/>
    <n v="4546800"/>
    <n v="0"/>
    <n v="4546800"/>
    <n v="22734000"/>
    <n v="4546800"/>
    <n v="0"/>
    <n v="4546800"/>
    <n v="0"/>
    <n v="4546800"/>
    <n v="0"/>
    <n v="4546800"/>
    <n v="0"/>
    <n v="9093600"/>
    <n v="54561600"/>
    <n v="54561600"/>
    <n v="0"/>
    <n v="0"/>
    <s v="Realizar el soporte, adecuación, mantenimiento y desarrollo de las automatizaciones de procesos en BIZAGI y de los sistemas que soportan la operación de la Subdirección de Energía Eléctrica."/>
    <n v="31827600"/>
    <m/>
    <m/>
    <n v="4546800"/>
    <m/>
    <n v="4546800"/>
    <m/>
    <n v="4546800"/>
    <m/>
    <n v="4546800"/>
    <m/>
    <n v="4546800"/>
    <m/>
    <n v="4546800"/>
    <n v="22734000"/>
    <n v="4546800"/>
    <m/>
    <n v="4546800"/>
    <m/>
    <n v="4546800"/>
    <m/>
    <n v="4546800"/>
    <m/>
    <n v="9093600"/>
    <m/>
    <m/>
    <n v="54561600"/>
    <n v="54561600"/>
    <n v="0"/>
    <n v="0"/>
    <n v="23926"/>
    <d v="2026-01-13T00:00:00"/>
    <n v="31827600"/>
    <n v="22734000"/>
    <n v="7026"/>
    <d v="2026-01-13T00:00:00"/>
    <n v="31827600"/>
    <n v="22734000"/>
    <n v="0"/>
    <s v="CASTAÑEDA SANCHEZ ANGIE TATIANA"/>
    <s v="CO1.PCCNTR.7412208"/>
    <n v="31827600"/>
    <m/>
    <m/>
    <m/>
    <n v="4546800"/>
    <n v="4546800"/>
    <m/>
    <n v="4546800"/>
    <n v="4546800"/>
    <m/>
    <n v="4546800"/>
    <n v="4546800"/>
    <m/>
    <m/>
    <m/>
    <m/>
    <m/>
    <m/>
    <m/>
    <m/>
    <m/>
    <m/>
    <m/>
    <m/>
    <m/>
    <m/>
    <m/>
    <m/>
    <m/>
    <m/>
    <m/>
    <m/>
    <m/>
    <m/>
    <m/>
    <m/>
    <n v="31827600"/>
    <n v="13640400"/>
    <n v="13640400"/>
    <n v="18187200"/>
    <n v="0"/>
    <x v="0"/>
  </r>
  <r>
    <x v="0"/>
    <x v="6"/>
    <s v="Fortalecimiento de la planeación para reducir las limitaciones en la prestación del servicio de energía eléctrica y la atención plena de la demanda nacional."/>
    <s v="Energía"/>
    <s v="Sí"/>
    <s v="Sí"/>
    <s v="Radicado 20261500021643"/>
    <s v="150-27"/>
    <s v="Aumentar señales de expansión y cobertura del servicio de energía eléctrica."/>
    <s v="Documentos de Planeación"/>
    <s v="Documento de planeación validado."/>
    <n v="80111620"/>
    <s v="C-2102-1900-6-40301C-2102009-02"/>
    <s v="Prestación de servicios profesionales y/o de apoyo a la gestión"/>
    <s v="150-27 Prestar servicios profesionales para la realización de acopio, organización y análisis de la información presentada a la Unidad por las distintas entidades y agentes para la obtención de estadísticas e indicadores que contribuyan a la universalizac"/>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la realización de acopio, organización y análisis de la información presentada a la Unidad por las distintas entidades y agentes para la obtención de estadísticas e indicadores que contribuyan a la universalización del"/>
    <n v="55276200"/>
    <m/>
    <m/>
    <n v="7896600"/>
    <m/>
    <n v="7896600"/>
    <m/>
    <n v="7896600"/>
    <m/>
    <n v="7896600"/>
    <m/>
    <n v="7896600"/>
    <m/>
    <n v="7896600"/>
    <n v="39483000"/>
    <n v="7896600"/>
    <m/>
    <n v="7896600"/>
    <m/>
    <n v="7896600"/>
    <m/>
    <n v="7896600"/>
    <m/>
    <n v="15793200"/>
    <m/>
    <m/>
    <n v="94759200"/>
    <n v="94759200"/>
    <n v="0"/>
    <n v="0"/>
    <n v="22026"/>
    <d v="2026-01-12T00:00:00"/>
    <n v="55276200"/>
    <n v="39483000"/>
    <n v="4626"/>
    <d v="2026-01-12T00:00:00"/>
    <n v="55276200"/>
    <n v="39483000"/>
    <n v="0"/>
    <s v="CASTRO GUALDRON JORGE ESTEBAN"/>
    <s v="CO1.PCCNTR.7351217"/>
    <n v="55276200"/>
    <m/>
    <m/>
    <m/>
    <n v="7896600"/>
    <n v="7896600"/>
    <m/>
    <n v="7896600"/>
    <n v="7896600"/>
    <m/>
    <n v="7896600"/>
    <n v="7896600"/>
    <m/>
    <m/>
    <m/>
    <m/>
    <m/>
    <m/>
    <m/>
    <m/>
    <m/>
    <m/>
    <m/>
    <m/>
    <m/>
    <m/>
    <m/>
    <m/>
    <m/>
    <m/>
    <m/>
    <m/>
    <m/>
    <m/>
    <m/>
    <m/>
    <n v="55276200"/>
    <n v="23689800"/>
    <n v="23689800"/>
    <n v="31586400"/>
    <n v="0"/>
    <x v="0"/>
  </r>
  <r>
    <x v="0"/>
    <x v="6"/>
    <s v="Fortalecimiento de la planeación para reducir las limitaciones en la prestación del servicio de energía eléctrica y la atención plena de la demanda nacional."/>
    <s v="Energía"/>
    <s v="Sí"/>
    <s v="Sí"/>
    <s v="Radicado 20261500021643"/>
    <s v="150-28"/>
    <s v="Aumentar señales de expansión y cobertura del servicio de energía eléctrica."/>
    <s v="Documentos de Planeación"/>
    <s v="Documento de planeación validado."/>
    <n v="80111620"/>
    <s v="C-2102-1900-6-40301C-2102009-02"/>
    <s v="Prestación de servicios profesionales y/o de apoyo a la gestión"/>
    <s v="150-28 Prestar servicios profesionales para realizar la compilación, verificación, análisis y gestión de la información relacionada con los procesos de cobertura del servicio de energía eléctrica, y apoyar la estimación del índice de cobertura ICEE y los "/>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realizar la compilación, verificación, análisis y gestión de la información relacionada con los procesos de cobertura del servicio de energía eléctrica, y apoyar la estimación del índice de cobertura ICEE y los análisi"/>
    <n v="55276200"/>
    <m/>
    <m/>
    <n v="7896600"/>
    <m/>
    <n v="7896600"/>
    <m/>
    <n v="7896600"/>
    <m/>
    <n v="7896600"/>
    <m/>
    <n v="7896600"/>
    <m/>
    <n v="7896600"/>
    <n v="39483000"/>
    <n v="7896600"/>
    <m/>
    <n v="7896600"/>
    <m/>
    <n v="7896600"/>
    <m/>
    <n v="7896600"/>
    <m/>
    <n v="15793200"/>
    <m/>
    <m/>
    <n v="94759200"/>
    <n v="94759200"/>
    <n v="0"/>
    <n v="0"/>
    <n v="22526"/>
    <d v="2026-01-12T00:00:00"/>
    <n v="55276200"/>
    <n v="39483000"/>
    <n v="5126"/>
    <d v="2026-01-12T00:00:00"/>
    <n v="55276200"/>
    <n v="39483000"/>
    <n v="0"/>
    <s v="Gomez Torres Laura Isabel"/>
    <s v="CO1.PCCNTR.7351711"/>
    <n v="55276200"/>
    <m/>
    <m/>
    <m/>
    <n v="7896600"/>
    <n v="7896600"/>
    <m/>
    <n v="7896600"/>
    <n v="7896600"/>
    <m/>
    <n v="7896600"/>
    <n v="7896600"/>
    <m/>
    <m/>
    <m/>
    <m/>
    <m/>
    <m/>
    <m/>
    <m/>
    <m/>
    <m/>
    <m/>
    <m/>
    <m/>
    <m/>
    <m/>
    <m/>
    <m/>
    <m/>
    <m/>
    <m/>
    <m/>
    <m/>
    <m/>
    <m/>
    <n v="55276200"/>
    <n v="23689800"/>
    <n v="23689800"/>
    <n v="31586400"/>
    <n v="0"/>
    <x v="0"/>
  </r>
  <r>
    <x v="0"/>
    <x v="6"/>
    <s v="Fortalecimiento de la planeación para reducir las limitaciones en la prestación del servicio de energía eléctrica y la atención plena de la demanda nacional."/>
    <s v="Energía"/>
    <s v="Sí"/>
    <s v="Sí"/>
    <s v="Radicado 20261500021643"/>
    <s v="150-29"/>
    <s v="Aumentar señales de expansión y cobertura del servicio de energía eléctrica."/>
    <s v="Documentos de Planeación"/>
    <s v="Documento de planeación validado."/>
    <n v="80111620"/>
    <s v="C-2102-1900-6-40301C-2102009-02"/>
    <s v="Prestación de servicios profesionales y/o de apoyo a la gestión"/>
    <s v="150-29 Prestar servicios profesionales para la realización de acopio, organización, validación y análisis de la información geográfica presentada a la Unidad para la elaboración del Plan Indicativo de Expansión de Cobertura de Energía Eléctrica – PIEC y p"/>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la realización de acopio, organización, validación y análisis de la información geográfica presentada a la Unidad para la elaboración del Plan Indicativo de Expansión de Cobertura de Energía Eléctrica – PIEC y para la "/>
    <n v="55276200"/>
    <m/>
    <m/>
    <n v="7896600"/>
    <m/>
    <n v="7896600"/>
    <m/>
    <n v="7896600"/>
    <m/>
    <n v="7896600"/>
    <m/>
    <n v="7896600"/>
    <m/>
    <n v="7896600"/>
    <n v="39483000"/>
    <n v="7896600"/>
    <m/>
    <n v="7896600"/>
    <m/>
    <n v="7896600"/>
    <m/>
    <n v="7896600"/>
    <m/>
    <n v="15793200"/>
    <m/>
    <m/>
    <n v="94759200"/>
    <n v="94759200"/>
    <n v="0"/>
    <n v="0"/>
    <n v="21826"/>
    <d v="2026-01-12T00:00:00"/>
    <n v="55276200"/>
    <n v="39483000"/>
    <n v="4426"/>
    <d v="2026-01-12T00:00:00"/>
    <n v="55276200"/>
    <n v="39483000"/>
    <n v="0"/>
    <s v="MONTOYA GONZALEZ ANGIE ANDREA"/>
    <s v="CO1.PCCNTR.7393821"/>
    <n v="55276200"/>
    <m/>
    <m/>
    <m/>
    <n v="7896600"/>
    <n v="7896600"/>
    <m/>
    <n v="7896600"/>
    <n v="7896600"/>
    <m/>
    <n v="7896600"/>
    <n v="7896600"/>
    <m/>
    <m/>
    <m/>
    <m/>
    <m/>
    <m/>
    <m/>
    <m/>
    <m/>
    <m/>
    <m/>
    <m/>
    <m/>
    <m/>
    <m/>
    <m/>
    <m/>
    <m/>
    <m/>
    <m/>
    <m/>
    <m/>
    <m/>
    <m/>
    <n v="55276200"/>
    <n v="23689800"/>
    <n v="23689800"/>
    <n v="31586400"/>
    <n v="0"/>
    <x v="0"/>
  </r>
  <r>
    <x v="0"/>
    <x v="6"/>
    <s v="Fortalecimiento de la planeación para reducir las limitaciones en la prestación del servicio de energía eléctrica y la atención plena de la demanda nacional."/>
    <s v="Energía"/>
    <s v="Sí"/>
    <s v="Sí"/>
    <n v="1"/>
    <s v="150-3"/>
    <s v="Aumentar la oportunidad en la definición de obras y ejecución de los procesos de convocatorias."/>
    <s v="Servicio de Asistencia Técnica"/>
    <s v="Estructurar los documentos técnicos y jurídicos para los procesos de convocatorias y subastas."/>
    <n v="80111620"/>
    <s v="C-2102-1900-6-40301C-2102071-02"/>
    <s v="Prestación de servicios profesionales y/o de apoyo a la gestión"/>
    <s v="150-3 Prestar servicios profesionales de diagramación de documentos, diseño y diagramación de datos, creación de piezas para canales digitales de la UPME y necesidades generales de diseño en el área de comunicaciones."/>
    <s v="Enero "/>
    <s v="Enero "/>
    <s v="Enero "/>
    <n v="10"/>
    <s v="Meses"/>
    <s v="Contratación directa - Prestación de servicios profesionales "/>
    <s v="Propios - 20 - Ingresos corrientes"/>
    <n v="77000000"/>
    <n v="77000000"/>
    <s v="No"/>
    <s v="N/A"/>
    <s v="Guillermo Holguin Garcia"/>
    <s v="Subdirector de Energía Eléctrica"/>
    <n v="6012220601"/>
    <s v="guillermo.holguin@upme.gov.co"/>
    <n v="77000000"/>
    <n v="0"/>
    <n v="0"/>
    <n v="0"/>
    <n v="0"/>
    <n v="7700000"/>
    <n v="0"/>
    <n v="7700000"/>
    <n v="0"/>
    <n v="7700000"/>
    <n v="0"/>
    <n v="7700000"/>
    <n v="0"/>
    <n v="7700000"/>
    <n v="0"/>
    <n v="7700000"/>
    <n v="0"/>
    <n v="7700000"/>
    <n v="0"/>
    <n v="7700000"/>
    <n v="0"/>
    <n v="7700000"/>
    <n v="0"/>
    <n v="7700000"/>
    <n v="77000000"/>
    <n v="77000000"/>
    <n v="0"/>
    <n v="0"/>
    <s v="Prestar servicios profesionales de diagramación de documentos, diseño y diagramación de datos, creación de piezas para canales digitales de la UPME y necesidades generales de diseño en el área de comunicaciones."/>
    <n v="77000000"/>
    <m/>
    <m/>
    <m/>
    <m/>
    <n v="7700000"/>
    <m/>
    <n v="7700000"/>
    <m/>
    <n v="7700000"/>
    <m/>
    <n v="7700000"/>
    <m/>
    <n v="7700000"/>
    <m/>
    <n v="7700000"/>
    <m/>
    <n v="7700000"/>
    <m/>
    <n v="7700000"/>
    <m/>
    <n v="7700000"/>
    <m/>
    <n v="7700000"/>
    <m/>
    <m/>
    <n v="77000000"/>
    <n v="77000000"/>
    <n v="0"/>
    <n v="0"/>
    <n v="15926"/>
    <d v="2026-01-09T00:00:00"/>
    <n v="77000000"/>
    <n v="0"/>
    <n v="18226"/>
    <d v="2026-01-23T00:00:00"/>
    <n v="77000000"/>
    <n v="0"/>
    <n v="0"/>
    <s v="PEÑARANDA JUYO DIEGO JOSE"/>
    <s v="CO1.PCCNTR.8995481"/>
    <n v="77000000"/>
    <m/>
    <m/>
    <m/>
    <m/>
    <m/>
    <m/>
    <n v="8000000"/>
    <n v="8000000"/>
    <m/>
    <n v="8000000"/>
    <n v="8000000"/>
    <m/>
    <m/>
    <m/>
    <m/>
    <m/>
    <m/>
    <m/>
    <m/>
    <m/>
    <m/>
    <m/>
    <m/>
    <m/>
    <m/>
    <m/>
    <m/>
    <m/>
    <m/>
    <m/>
    <m/>
    <m/>
    <m/>
    <m/>
    <m/>
    <n v="77000000"/>
    <n v="16000000"/>
    <n v="16000000"/>
    <n v="61000000"/>
    <n v="0"/>
    <x v="0"/>
  </r>
  <r>
    <x v="0"/>
    <x v="6"/>
    <s v="Fortalecimiento de la planeación para reducir las limitaciones en la prestación del servicio de energía eléctrica y la atención plena de la demanda nacional."/>
    <s v="Energía"/>
    <s v="Sí"/>
    <s v="Sí"/>
    <s v="Radicado 20261500021643"/>
    <s v="150-30"/>
    <s v="Aumentar señales de expansión y cobertura del servicio de energía eléctrica."/>
    <s v="Documentos de Planeación"/>
    <s v="Documento de planeación validado."/>
    <n v="80111620"/>
    <s v="C-2102-1900-6-40301C-2102009-02"/>
    <s v="Prestación de servicios profesionales y/o de apoyo a la gestión"/>
    <s v="150-30 Prestar servicios profesionales para apoyar la estructuración de bases de datos de los procesos de cobertura, el control de calidad de la información, los análisis de ampliación de la cobertura, el mejoramiento de los geoprocesos y las solicitudes "/>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apoyar la estructuración de bases de datos de los procesos de cobertura, el control de calidad de la información, los análisis de ampliación de la cobertura, el mejoramiento de los geoprocesos y las solicitudes de los "/>
    <n v="55276200"/>
    <m/>
    <m/>
    <n v="7896600"/>
    <m/>
    <n v="7896600"/>
    <m/>
    <n v="7896600"/>
    <m/>
    <n v="7896600"/>
    <m/>
    <n v="7896600"/>
    <m/>
    <n v="7896600"/>
    <n v="39483000"/>
    <n v="7896600"/>
    <m/>
    <n v="7896600"/>
    <m/>
    <n v="7896600"/>
    <m/>
    <n v="7896600"/>
    <m/>
    <n v="15793200"/>
    <m/>
    <m/>
    <n v="94759200"/>
    <n v="94759200"/>
    <n v="0"/>
    <n v="0"/>
    <n v="22426"/>
    <d v="2026-01-12T00:00:00"/>
    <n v="55276200"/>
    <n v="39483000"/>
    <n v="5026"/>
    <d v="2026-01-12T00:00:00"/>
    <n v="55276200"/>
    <n v="39483000"/>
    <n v="0"/>
    <s v="BARAJAS VILLARREAL JOSE ANTONIO"/>
    <s v="CO1.PCCNTR.7403833"/>
    <n v="55276200"/>
    <m/>
    <m/>
    <m/>
    <n v="7896600"/>
    <n v="7896600"/>
    <m/>
    <n v="7896600"/>
    <n v="7896600"/>
    <m/>
    <n v="7896600"/>
    <n v="7896600"/>
    <m/>
    <m/>
    <m/>
    <m/>
    <m/>
    <m/>
    <m/>
    <m/>
    <m/>
    <m/>
    <m/>
    <m/>
    <m/>
    <m/>
    <m/>
    <m/>
    <m/>
    <m/>
    <m/>
    <m/>
    <m/>
    <m/>
    <m/>
    <m/>
    <n v="55276200"/>
    <n v="23689800"/>
    <n v="23689800"/>
    <n v="31586400"/>
    <n v="0"/>
    <x v="0"/>
  </r>
  <r>
    <x v="0"/>
    <x v="6"/>
    <s v="Fortalecimiento de la planeación para reducir las limitaciones en la prestación del servicio de energía eléctrica y la atención plena de la demanda nacional."/>
    <s v="Energía"/>
    <s v="Sí"/>
    <s v="Sí"/>
    <n v="21"/>
    <s v="150-31"/>
    <s v="Aumentar señales de expansión y cobertura del servicio de energía eléctrica."/>
    <s v="Documentos de Planeación"/>
    <s v="Documento de planeación validado."/>
    <n v="80111620"/>
    <s v="C-2102-1900-6-40301C-2102009-02"/>
    <s v="Prestación de servicios profesionales y/o de apoyo a la gestión"/>
    <s v="150-31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7578318"/>
    <n v="7578318"/>
    <s v="No"/>
    <s v="N/A"/>
    <s v="Guillermo Holguin Garcia"/>
    <s v="Subdirector de Energía Eléctrica"/>
    <n v="6012220601"/>
    <s v="guillermo.holguin@upme.gov.co"/>
    <n v="0"/>
    <n v="0"/>
    <n v="11828318"/>
    <n v="0"/>
    <n v="0"/>
    <n v="0"/>
    <n v="0"/>
    <n v="0"/>
    <n v="0"/>
    <n v="0"/>
    <n v="0"/>
    <n v="0"/>
    <n v="0"/>
    <n v="0"/>
    <n v="0"/>
    <n v="8048502"/>
    <n v="0"/>
    <n v="3779816"/>
    <n v="0"/>
    <n v="0"/>
    <n v="0"/>
    <n v="0"/>
    <n v="0"/>
    <n v="0"/>
    <n v="11828318"/>
    <n v="11828318"/>
    <n v="-4250000"/>
    <n v="-4250000"/>
    <s v="Prestar servicios profesionales orientados al fortalecimiento de la Dimensión de Control Interno mediante la ejecución del Plan Anual de Auditorías Internas Independientes, con énfasis en la evaluación de la gestión administrativa de la UPME."/>
    <m/>
    <m/>
    <n v="7578318"/>
    <m/>
    <m/>
    <n v="0"/>
    <m/>
    <n v="0"/>
    <m/>
    <n v="0"/>
    <m/>
    <n v="1082616"/>
    <m/>
    <n v="1082616"/>
    <m/>
    <n v="1082616"/>
    <m/>
    <n v="1082616"/>
    <m/>
    <n v="1082616"/>
    <m/>
    <n v="1082616"/>
    <m/>
    <n v="1082622"/>
    <m/>
    <m/>
    <n v="7578318"/>
    <n v="7578318"/>
    <n v="0"/>
    <n v="0"/>
    <n v="64026"/>
    <d v="2026-01-23T00:00:00"/>
    <n v="7578318"/>
    <n v="0"/>
    <n v="59726"/>
    <d v="2026-02-12T00:00:00"/>
    <n v="7578318"/>
    <n v="0"/>
    <n v="0"/>
    <s v="NUÑEZ GANTIVA NATALIA ELIANA"/>
    <s v="CO1.PCCNTR.9306722"/>
    <m/>
    <m/>
    <m/>
    <n v="7578318"/>
    <m/>
    <m/>
    <m/>
    <m/>
    <m/>
    <m/>
    <m/>
    <m/>
    <m/>
    <m/>
    <m/>
    <m/>
    <m/>
    <m/>
    <m/>
    <m/>
    <m/>
    <m/>
    <m/>
    <m/>
    <m/>
    <m/>
    <m/>
    <m/>
    <m/>
    <m/>
    <m/>
    <m/>
    <m/>
    <m/>
    <m/>
    <m/>
    <n v="7578318"/>
    <n v="0"/>
    <n v="0"/>
    <n v="7578318"/>
    <n v="0"/>
    <x v="0"/>
  </r>
  <r>
    <x v="0"/>
    <x v="6"/>
    <s v="Fortalecimiento de la planeación para reducir las limitaciones en la prestación del servicio de energía eléctrica y la atención plena de la demanda nacional."/>
    <s v="Energía"/>
    <s v="Sí"/>
    <s v="Sí"/>
    <n v="68"/>
    <s v="150-32"/>
    <s v="Aumentar señales de expansión y cobertura del servicio de energía eléctrica."/>
    <s v="Documentos de Planeación"/>
    <s v="Documento de planeación validado."/>
    <n v="80111620"/>
    <s v="C-2102-1900-6-40301C-2102009-02"/>
    <s v="Prestación de servicios profesionales y/o de apoyo a la gestión"/>
    <s v="150-32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11828317"/>
    <n v="11828317"/>
    <s v="No"/>
    <s v="N/A"/>
    <s v="Guillermo Holguin Garcia"/>
    <s v="Subdirector de Energía Eléctrica"/>
    <n v="6012220601"/>
    <s v="guillermo.holguin@upme.gov.co"/>
    <n v="0"/>
    <n v="0"/>
    <n v="11828317"/>
    <n v="0"/>
    <n v="0"/>
    <n v="0"/>
    <n v="0"/>
    <n v="0"/>
    <n v="0"/>
    <n v="0"/>
    <n v="0"/>
    <n v="0"/>
    <n v="0"/>
    <n v="0"/>
    <n v="0"/>
    <n v="0"/>
    <n v="0"/>
    <n v="4720184"/>
    <n v="0"/>
    <n v="7108133"/>
    <n v="0"/>
    <n v="0"/>
    <n v="0"/>
    <n v="0"/>
    <n v="11828317"/>
    <n v="11828317"/>
    <n v="0"/>
    <n v="0"/>
    <s v="Prestar servicios profesionales orientados al fortalecimiento de la Dimensión de Control Interno mediante la ejecución del Plan Anual de Auditorías Internas Independientes, con énfasis en la evaluación de la gestión administrativa de la UPME."/>
    <m/>
    <m/>
    <n v="11828317"/>
    <m/>
    <m/>
    <m/>
    <m/>
    <m/>
    <m/>
    <m/>
    <m/>
    <m/>
    <m/>
    <m/>
    <m/>
    <m/>
    <m/>
    <n v="4720184"/>
    <m/>
    <n v="7108133"/>
    <m/>
    <m/>
    <m/>
    <m/>
    <m/>
    <m/>
    <n v="11828317"/>
    <n v="11828317"/>
    <n v="0"/>
    <n v="0"/>
    <n v="64026"/>
    <d v="2026-01-23T00:00:00"/>
    <n v="11828317"/>
    <n v="0"/>
    <n v="59726"/>
    <d v="2026-02-12T00:00:00"/>
    <n v="11828317"/>
    <n v="0"/>
    <n v="0"/>
    <s v="NUÑEZ GANTIVA NATALIA ELIANA"/>
    <s v="CO1.PCCNTR.9306722"/>
    <m/>
    <m/>
    <m/>
    <n v="11828317"/>
    <m/>
    <m/>
    <m/>
    <m/>
    <m/>
    <m/>
    <n v="8500000"/>
    <n v="8500000"/>
    <m/>
    <m/>
    <m/>
    <m/>
    <m/>
    <m/>
    <m/>
    <m/>
    <m/>
    <m/>
    <m/>
    <m/>
    <m/>
    <m/>
    <m/>
    <m/>
    <m/>
    <m/>
    <m/>
    <m/>
    <m/>
    <m/>
    <m/>
    <m/>
    <n v="11828317"/>
    <n v="8500000"/>
    <n v="8500000"/>
    <n v="3328317"/>
    <n v="0"/>
    <x v="0"/>
  </r>
  <r>
    <x v="0"/>
    <x v="6"/>
    <s v="Fortalecimiento de la planeación para reducir las limitaciones en la prestación del servicio de energía eléctrica y la atención plena de la demanda nacional."/>
    <s v="Energía"/>
    <s v="Sí"/>
    <s v="Sí"/>
    <n v="68"/>
    <s v="150-33"/>
    <s v="Aumentar señales de expansión y cobertura del servicio de energía eléctrica."/>
    <s v="Documentos de Planeación"/>
    <s v="Documento de planeación validado."/>
    <n v="80111620"/>
    <s v="C-2102-1900-6-40301C-2102009-02"/>
    <s v="Prestación de servicios profesionales y/o de apoyo a la gestión"/>
    <s v="150-33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11828317"/>
    <n v="11828317"/>
    <s v="No"/>
    <s v="N/A"/>
    <s v="Guillermo Holguin Garcia"/>
    <s v="Subdirector de Energía Eléctrica"/>
    <n v="6012220601"/>
    <s v="guillermo.holguin@upme.gov.co"/>
    <n v="0"/>
    <n v="0"/>
    <n v="11828317"/>
    <n v="0"/>
    <n v="0"/>
    <n v="0"/>
    <n v="0"/>
    <n v="0"/>
    <n v="0"/>
    <n v="0"/>
    <n v="0"/>
    <n v="0"/>
    <n v="0"/>
    <n v="0"/>
    <n v="0"/>
    <n v="0"/>
    <n v="0"/>
    <n v="0"/>
    <n v="0"/>
    <n v="1391867"/>
    <n v="0"/>
    <n v="8500000"/>
    <n v="0"/>
    <n v="1936450"/>
    <n v="11828317"/>
    <n v="11828317"/>
    <n v="0"/>
    <n v="0"/>
    <s v="Prestar servicios profesionales orientados al fortalecimiento de la Dimensión de Control Interno mediante la ejecución del Plan Anual de Auditorías Internas Independientes, con énfasis en la evaluación de la gestión administrativa de la UPME."/>
    <m/>
    <m/>
    <n v="11828317"/>
    <m/>
    <m/>
    <m/>
    <m/>
    <m/>
    <m/>
    <m/>
    <m/>
    <m/>
    <m/>
    <m/>
    <m/>
    <m/>
    <m/>
    <m/>
    <m/>
    <n v="1391867"/>
    <m/>
    <n v="8500000"/>
    <m/>
    <n v="1936450"/>
    <m/>
    <m/>
    <n v="11828317"/>
    <n v="11828317"/>
    <n v="0"/>
    <n v="0"/>
    <n v="64026"/>
    <d v="2026-01-23T00:00:00"/>
    <n v="11828317"/>
    <n v="0"/>
    <n v="59726"/>
    <d v="2026-02-12T00:00:00"/>
    <n v="11828317"/>
    <n v="0"/>
    <n v="0"/>
    <s v="NUÑEZ GANTIVA NATALIA ELIANA"/>
    <s v="CO1.PCCNTR.9306722"/>
    <m/>
    <m/>
    <m/>
    <n v="11828317"/>
    <m/>
    <m/>
    <m/>
    <m/>
    <m/>
    <m/>
    <m/>
    <m/>
    <m/>
    <m/>
    <m/>
    <m/>
    <m/>
    <m/>
    <m/>
    <m/>
    <m/>
    <m/>
    <m/>
    <m/>
    <m/>
    <m/>
    <m/>
    <m/>
    <m/>
    <m/>
    <m/>
    <m/>
    <m/>
    <m/>
    <m/>
    <m/>
    <n v="11828317"/>
    <n v="0"/>
    <n v="0"/>
    <n v="11828317"/>
    <n v="0"/>
    <x v="0"/>
  </r>
  <r>
    <x v="0"/>
    <x v="6"/>
    <s v="Fortalecimiento de la planeación para reducir las limitaciones en la prestación del servicio de energía eléctrica y la atención plena de la demanda nacional."/>
    <s v="Energía"/>
    <s v="Sí"/>
    <s v="Sí"/>
    <n v="8"/>
    <s v="150-3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34 Prestar los servicios profesionales  para efectuar el seguimiento socioambiental de los proyectos definidos en el plan de expansión que son objeto de convocatoria pública, e identificar problemáticas y opciones de solución que alimenten las etapas "/>
    <s v="Enero "/>
    <s v="Enero "/>
    <s v="Enero "/>
    <n v="12"/>
    <s v="Meses"/>
    <s v="Contratación directa - Prestación de servicios profesionales "/>
    <s v="Propios - 21 - Otros recursos de tesorería"/>
    <n v="79514667"/>
    <n v="79514667"/>
    <s v="No"/>
    <s v="N/A"/>
    <s v="Guillermo Holguin Garcia"/>
    <s v="Subdirector de Energía Eléctrica"/>
    <n v="6012220601"/>
    <s v="guillermo.holguin@upme.gov.co"/>
    <n v="78813067"/>
    <n v="0"/>
    <n v="0"/>
    <n v="2338667"/>
    <n v="0"/>
    <n v="7016000"/>
    <n v="701600"/>
    <n v="7016000"/>
    <n v="0"/>
    <n v="7016000"/>
    <n v="0"/>
    <n v="7016000"/>
    <n v="0"/>
    <n v="7016000"/>
    <n v="0"/>
    <n v="7016000"/>
    <n v="0"/>
    <n v="7016000"/>
    <n v="0"/>
    <n v="7016000"/>
    <n v="0"/>
    <n v="7016000"/>
    <n v="0"/>
    <n v="14032000"/>
    <n v="79514667"/>
    <n v="79514667"/>
    <n v="0"/>
    <n v="0"/>
    <s v="Prestar los servicios profesionales  para efectuar el seguimiento socioambiental de los proyectos definidos en el plan de expansión que son objeto de convocatoria pública, e identificar problemáticas y opciones de solución que alimenten las etapas previas"/>
    <n v="78813067"/>
    <m/>
    <m/>
    <n v="2338667"/>
    <m/>
    <n v="7016000"/>
    <n v="701600"/>
    <n v="7016000"/>
    <m/>
    <n v="7016000"/>
    <m/>
    <n v="7016000"/>
    <m/>
    <n v="7016000"/>
    <m/>
    <n v="7016000"/>
    <m/>
    <n v="7016000"/>
    <m/>
    <n v="7016000"/>
    <m/>
    <n v="7016000"/>
    <m/>
    <n v="14032000"/>
    <m/>
    <m/>
    <n v="79514667"/>
    <n v="79514667"/>
    <n v="0"/>
    <n v="0"/>
    <n v="61826"/>
    <d v="2026-01-23T00:00:00"/>
    <n v="76942133"/>
    <n v="2572534"/>
    <n v="36526"/>
    <d v="2026-01-30T00:00:00"/>
    <n v="76942133"/>
    <n v="2572534"/>
    <n v="0"/>
    <s v="HERNANDEZ QUINCHARA MANUEL ALBERTO"/>
    <s v="CO1.PCCNTR.9143644"/>
    <n v="78813067"/>
    <m/>
    <m/>
    <m/>
    <m/>
    <m/>
    <n v="-1870934"/>
    <n v="6782133"/>
    <n v="6782133"/>
    <m/>
    <n v="7016000"/>
    <n v="7016000"/>
    <m/>
    <m/>
    <m/>
    <m/>
    <m/>
    <m/>
    <m/>
    <m/>
    <m/>
    <m/>
    <m/>
    <m/>
    <m/>
    <m/>
    <m/>
    <m/>
    <m/>
    <m/>
    <m/>
    <m/>
    <m/>
    <m/>
    <m/>
    <m/>
    <n v="76942133"/>
    <n v="13798133"/>
    <n v="13798133"/>
    <n v="63144000"/>
    <n v="0"/>
    <x v="0"/>
  </r>
  <r>
    <x v="0"/>
    <x v="6"/>
    <s v="Fortalecimiento de la planeación para reducir las limitaciones en la prestación del servicio de energía eléctrica y la atención plena de la demanda nacional."/>
    <s v="Energía"/>
    <s v="Sí"/>
    <s v="Sí"/>
    <n v="8"/>
    <s v="150-3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35 Prestar servicios profesionales para adelantar el análisis y procesamiento de la información técnica relacionada con el desarrollo y la ejecución de los proyectos de transmisión objeto de convocatoria pública en la etapa de ejecución."/>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adelantar el análisis y procesamiento de la información técnica relacionada con el desarrollo y la ejecución de los proyectos de transmisión objeto de convocatoria pública en la etapa de ejecución."/>
    <n v="51076200"/>
    <m/>
    <m/>
    <n v="7296600"/>
    <m/>
    <n v="7296600"/>
    <m/>
    <n v="7296600"/>
    <m/>
    <n v="7296600"/>
    <m/>
    <n v="7296600"/>
    <m/>
    <n v="7296600"/>
    <m/>
    <n v="7296600"/>
    <m/>
    <m/>
    <m/>
    <m/>
    <m/>
    <m/>
    <m/>
    <m/>
    <m/>
    <m/>
    <n v="51076200"/>
    <n v="51076200"/>
    <n v="0"/>
    <n v="0"/>
    <n v="22626"/>
    <d v="2026-01-12T00:00:00"/>
    <n v="51076200"/>
    <n v="0"/>
    <n v="5226"/>
    <d v="2026-01-12T00:00:00"/>
    <n v="51076200"/>
    <n v="0"/>
    <n v="0"/>
    <s v="Sánchez Mendoza Sandra Milena"/>
    <s v="CO1.PCCNTR.7205218"/>
    <n v="51076200"/>
    <m/>
    <m/>
    <m/>
    <n v="7296600"/>
    <n v="7296600"/>
    <m/>
    <n v="7296600"/>
    <n v="7296600"/>
    <m/>
    <n v="7296600"/>
    <n v="7296600"/>
    <m/>
    <m/>
    <m/>
    <m/>
    <m/>
    <m/>
    <m/>
    <m/>
    <m/>
    <m/>
    <m/>
    <m/>
    <m/>
    <m/>
    <m/>
    <m/>
    <m/>
    <m/>
    <m/>
    <m/>
    <m/>
    <m/>
    <m/>
    <m/>
    <n v="51076200"/>
    <n v="21889800"/>
    <n v="21889800"/>
    <n v="29186400"/>
    <n v="0"/>
    <x v="0"/>
  </r>
  <r>
    <x v="0"/>
    <x v="6"/>
    <s v="Fortalecimiento de la planeación para reducir las limitaciones en la prestación del servicio de energía eléctrica y la atención plena de la demanda nacional."/>
    <s v="Energía"/>
    <s v="Sí"/>
    <s v="Sí"/>
    <n v="8"/>
    <s v="150-3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36 Prestar servicios profesionales para procesar información relacionada con la estructuración de las convocatorias públicas de las obras de transmisión nacional y regional y proyectos de nuevas tecnologías en cuanto a condiciones técnicas, físicas, r"/>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procesar información relacionada con la estructuración de las convocatorias públicas de las obras de transmisión nacional y regional y proyectos de nuevas tecnologías en cuanto a condiciones técnicas, físicas, regulato"/>
    <n v="51076200"/>
    <m/>
    <m/>
    <n v="7296600"/>
    <m/>
    <n v="7296600"/>
    <m/>
    <n v="7296600"/>
    <m/>
    <n v="7296600"/>
    <m/>
    <n v="7296600"/>
    <m/>
    <n v="7296600"/>
    <m/>
    <n v="7296600"/>
    <m/>
    <m/>
    <m/>
    <m/>
    <m/>
    <m/>
    <m/>
    <m/>
    <m/>
    <m/>
    <n v="51076200"/>
    <n v="51076200"/>
    <n v="0"/>
    <n v="0"/>
    <n v="23026"/>
    <d v="2026-01-12T00:00:00"/>
    <n v="51076200"/>
    <n v="0"/>
    <n v="5626"/>
    <d v="2026-01-12T00:00:00"/>
    <n v="51076200"/>
    <n v="0"/>
    <n v="0"/>
    <s v="OSORIO ARROYAVE ESTEFANY"/>
    <s v="CO1.PCCNTR.7405504"/>
    <n v="51076200"/>
    <m/>
    <m/>
    <m/>
    <n v="7296600"/>
    <n v="7296600"/>
    <m/>
    <n v="7296600"/>
    <n v="7296600"/>
    <m/>
    <n v="7296600"/>
    <n v="7296600"/>
    <m/>
    <m/>
    <m/>
    <m/>
    <m/>
    <m/>
    <m/>
    <m/>
    <m/>
    <m/>
    <m/>
    <m/>
    <m/>
    <m/>
    <m/>
    <m/>
    <m/>
    <m/>
    <m/>
    <m/>
    <m/>
    <m/>
    <m/>
    <m/>
    <n v="51076200"/>
    <n v="21889800"/>
    <n v="21889800"/>
    <n v="29186400"/>
    <n v="0"/>
    <x v="0"/>
  </r>
  <r>
    <x v="0"/>
    <x v="6"/>
    <s v="Fortalecimiento de la planeación para reducir las limitaciones en la prestación del servicio de energía eléctrica y la atención plena de la demanda nacional."/>
    <s v="Energía"/>
    <s v="Sí"/>
    <s v="Sí"/>
    <n v="8"/>
    <s v="150-3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37 Apoyar en el seguimiento a la ejecución de los proyectos de transmisión nacional y regional ejecutados mediante convocatoria pública y ampliaciones, apoyar el seguimiento a las condiciones de los documentos de selección y procesar la información de"/>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Apoyar en el seguimiento a la ejecución de los proyectos de transmisión nacional y regional ejecutados mediante convocatoria pública y ampliaciones, apoyar el seguimiento a las condiciones de los documentos de selección y procesar la información de seguim"/>
    <n v="51076200"/>
    <m/>
    <m/>
    <n v="7296600"/>
    <m/>
    <n v="7296600"/>
    <m/>
    <n v="7296600"/>
    <m/>
    <n v="7296600"/>
    <m/>
    <n v="7296600"/>
    <m/>
    <n v="7296600"/>
    <m/>
    <n v="7296600"/>
    <m/>
    <m/>
    <m/>
    <m/>
    <m/>
    <m/>
    <m/>
    <m/>
    <m/>
    <m/>
    <n v="51076200"/>
    <n v="51076200"/>
    <n v="0"/>
    <n v="0"/>
    <n v="1426"/>
    <d v="2026-01-05T00:00:00"/>
    <n v="51076200"/>
    <n v="0"/>
    <n v="1426"/>
    <d v="2026-01-05T00:00:00"/>
    <n v="51076200"/>
    <n v="0"/>
    <n v="0"/>
    <s v="SANABRIA TORRES JULIAN"/>
    <s v="CO1.PCCNTR.7411853"/>
    <n v="51076200"/>
    <m/>
    <m/>
    <m/>
    <n v="7296600"/>
    <n v="7296600"/>
    <m/>
    <n v="7296600"/>
    <n v="7296600"/>
    <m/>
    <n v="7296600"/>
    <n v="7296600"/>
    <m/>
    <m/>
    <m/>
    <m/>
    <m/>
    <m/>
    <m/>
    <m/>
    <m/>
    <m/>
    <m/>
    <m/>
    <m/>
    <m/>
    <m/>
    <m/>
    <m/>
    <m/>
    <m/>
    <m/>
    <m/>
    <m/>
    <m/>
    <m/>
    <n v="51076200"/>
    <n v="21889800"/>
    <n v="21889800"/>
    <n v="29186400"/>
    <n v="0"/>
    <x v="0"/>
  </r>
  <r>
    <x v="0"/>
    <x v="6"/>
    <s v="Fortalecimiento de la planeación para reducir las limitaciones en la prestación del servicio de energía eléctrica y la atención plena de la demanda nacional."/>
    <s v="Energía"/>
    <s v="Sí"/>
    <s v="Sí"/>
    <n v="8"/>
    <s v="150-3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38 Prestar servicios profesionales para apoyar el seguimiento a la ejecución de los proyectos llevados a cabo mediante convocatoria pública y ampliaciones que le sean asignados, apoyar la estructuración y elaboración de los documentos de selección del"/>
    <s v="Enero "/>
    <s v="Enero "/>
    <s v="Enero "/>
    <n v="12"/>
    <s v="Meses"/>
    <s v="Contratación directa - Prestación de servicios profesionales "/>
    <s v="Propios - 20 - Ingresos corrientes"/>
    <n v="44422000"/>
    <n v="44422000"/>
    <s v="Si"/>
    <s v="Solicitadas"/>
    <s v="Guillermo Holguin Garcia"/>
    <s v="Subdirector de Energía Eléctrica"/>
    <n v="6012220601"/>
    <s v="guillermo.holguin@upme.gov.co"/>
    <n v="44422000"/>
    <n v="0"/>
    <n v="0"/>
    <n v="6346000"/>
    <n v="0"/>
    <n v="6346000"/>
    <n v="0"/>
    <n v="6346000"/>
    <n v="0"/>
    <n v="6346000"/>
    <n v="0"/>
    <n v="6346000"/>
    <n v="0"/>
    <n v="6346000"/>
    <n v="0"/>
    <n v="6346000"/>
    <n v="0"/>
    <n v="0"/>
    <n v="0"/>
    <n v="0"/>
    <n v="0"/>
    <n v="0"/>
    <n v="0"/>
    <n v="0"/>
    <n v="44422000"/>
    <n v="44422000"/>
    <n v="0"/>
    <n v="0"/>
    <s v="Prestar servicios profesionales para apoyar el seguimiento a la ejecución de los proyectos llevados a cabo mediante convocatoria pública y ampliaciones que le sean asignados, apoyar la estructuración y elaboración de los documentos de selección del invers"/>
    <n v="44422000"/>
    <m/>
    <m/>
    <n v="6346000"/>
    <m/>
    <n v="6346000"/>
    <m/>
    <n v="6346000"/>
    <m/>
    <n v="6346000"/>
    <m/>
    <n v="6346000"/>
    <m/>
    <n v="6346000"/>
    <m/>
    <n v="6346000"/>
    <m/>
    <m/>
    <m/>
    <m/>
    <m/>
    <m/>
    <m/>
    <m/>
    <m/>
    <m/>
    <n v="44422000"/>
    <n v="44422000"/>
    <n v="0"/>
    <n v="0"/>
    <n v="24326"/>
    <d v="2026-01-13T00:00:00"/>
    <n v="44422000"/>
    <n v="0"/>
    <n v="7426"/>
    <d v="2026-01-13T00:00:00"/>
    <n v="44422000"/>
    <n v="0"/>
    <n v="0"/>
    <s v="VELASCO MARIÑO MARCELLA MARIA"/>
    <s v="CO1.PCCNTR.7420515"/>
    <n v="44422000"/>
    <m/>
    <m/>
    <m/>
    <n v="6346000"/>
    <n v="6346000"/>
    <m/>
    <n v="6346000"/>
    <n v="6346000"/>
    <m/>
    <n v="6346000"/>
    <n v="6346000"/>
    <m/>
    <m/>
    <m/>
    <m/>
    <m/>
    <m/>
    <m/>
    <m/>
    <m/>
    <m/>
    <m/>
    <m/>
    <m/>
    <m/>
    <m/>
    <m/>
    <m/>
    <m/>
    <m/>
    <m/>
    <m/>
    <m/>
    <m/>
    <m/>
    <n v="44422000"/>
    <n v="19038000"/>
    <n v="19038000"/>
    <n v="25384000"/>
    <n v="0"/>
    <x v="0"/>
  </r>
  <r>
    <x v="0"/>
    <x v="6"/>
    <s v="Fortalecimiento de la planeación para reducir las limitaciones en la prestación del servicio de energía eléctrica y la atención plena de la demanda nacional."/>
    <s v="Energía"/>
    <s v="Sí"/>
    <s v="Sí"/>
    <n v="8"/>
    <s v="150-39"/>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39 Prestar servicios profesionales para el apoyo en la elaboración de documentos y en el procesamiento de la información, de las convocatorias públicas y de ampliación de los proyectos de transmisión nacional y regional, y demás proyectos en ejecución"/>
    <s v="Enero "/>
    <s v="Enero "/>
    <s v="Enero "/>
    <n v="12"/>
    <s v="Meses"/>
    <s v="Contratación directa - Prestación de servicios profesionales "/>
    <s v="Propios - 20 - Ingresos corrientes"/>
    <n v="44422000"/>
    <n v="44422000"/>
    <s v="Si"/>
    <s v="Solicitadas"/>
    <s v="Guillermo Holguin Garcia"/>
    <s v="Subdirector de Energía Eléctrica"/>
    <n v="6012220601"/>
    <s v="guillermo.holguin@upme.gov.co"/>
    <n v="44422000"/>
    <n v="0"/>
    <n v="0"/>
    <n v="6346000"/>
    <n v="0"/>
    <n v="6346000"/>
    <n v="0"/>
    <n v="6346000"/>
    <n v="0"/>
    <n v="6346000"/>
    <n v="0"/>
    <n v="6346000"/>
    <n v="0"/>
    <n v="6346000"/>
    <n v="0"/>
    <n v="6346000"/>
    <n v="0"/>
    <n v="0"/>
    <n v="0"/>
    <n v="0"/>
    <n v="0"/>
    <n v="0"/>
    <n v="0"/>
    <n v="0"/>
    <n v="44422000"/>
    <n v="44422000"/>
    <n v="0"/>
    <n v="0"/>
    <s v="Prestar servicios profesionales para el apoyo en la elaboración de documentos y en el procesamiento de la información, de las convocatorias públicas y de ampliación de los proyectos de transmisión nacional y regional, y demás proyectos en ejecución asigna"/>
    <n v="44422000"/>
    <m/>
    <m/>
    <n v="6346000"/>
    <m/>
    <n v="6346000"/>
    <m/>
    <n v="6346000"/>
    <m/>
    <n v="6346000"/>
    <m/>
    <n v="6346000"/>
    <m/>
    <n v="6346000"/>
    <m/>
    <n v="6346000"/>
    <m/>
    <m/>
    <m/>
    <m/>
    <m/>
    <m/>
    <m/>
    <m/>
    <m/>
    <m/>
    <n v="44422000"/>
    <n v="44422000"/>
    <n v="0"/>
    <n v="0"/>
    <n v="1626"/>
    <d v="2026-01-05T00:00:00"/>
    <n v="44422000"/>
    <n v="0"/>
    <n v="1626"/>
    <d v="2026-01-05T00:00:00"/>
    <n v="44422000"/>
    <n v="0"/>
    <n v="0"/>
    <s v="SANCHEZ TORRES DAVID ANDRES"/>
    <s v="CO1.PCCNT.7421801"/>
    <n v="44422000"/>
    <m/>
    <m/>
    <m/>
    <n v="6346000"/>
    <n v="6346000"/>
    <m/>
    <n v="6346000"/>
    <n v="6346000"/>
    <m/>
    <n v="6346000"/>
    <n v="6346000"/>
    <m/>
    <m/>
    <m/>
    <m/>
    <m/>
    <m/>
    <m/>
    <m/>
    <m/>
    <m/>
    <m/>
    <m/>
    <m/>
    <m/>
    <m/>
    <m/>
    <m/>
    <m/>
    <m/>
    <m/>
    <m/>
    <m/>
    <m/>
    <m/>
    <n v="44422000"/>
    <n v="19038000"/>
    <n v="19038000"/>
    <n v="25384000"/>
    <n v="0"/>
    <x v="0"/>
  </r>
  <r>
    <x v="0"/>
    <x v="6"/>
    <s v="Fortalecimiento de la planeación para reducir las limitaciones en la prestación del servicio de energía eléctrica y la atención plena de la demanda nacional."/>
    <s v="Energía"/>
    <s v="Sí"/>
    <s v="Sí"/>
    <n v="68"/>
    <s v="150-4"/>
    <s v="Aumentar señales de expansión y cobertura del servicio de energía eléctrica."/>
    <s v="Documentos de Planeación"/>
    <s v="Documento de planeación validado."/>
    <n v="80111620"/>
    <s v="C-2102-1900-6-40301C-2102009-02"/>
    <s v="Prestación de servicios profesionales y/o de apoyo a la gestión"/>
    <s v="150-4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6026"/>
    <d v="2026-01-05T00:00:00"/>
    <n v="87000000"/>
    <n v="0"/>
    <n v="10426"/>
    <d v="2026-01-16T00:00:00"/>
    <n v="87000000"/>
    <n v="0"/>
    <n v="0"/>
    <s v="DIAZ CASTRO DIANA SOFIA"/>
    <s v="CO1.PCCNTR.8876474"/>
    <n v="87000000"/>
    <m/>
    <m/>
    <m/>
    <n v="4060000"/>
    <n v="4060000"/>
    <m/>
    <n v="8700000"/>
    <n v="8700000"/>
    <m/>
    <n v="8700000"/>
    <n v="8700000"/>
    <m/>
    <m/>
    <m/>
    <m/>
    <m/>
    <m/>
    <m/>
    <m/>
    <m/>
    <m/>
    <m/>
    <m/>
    <m/>
    <m/>
    <m/>
    <m/>
    <m/>
    <m/>
    <m/>
    <m/>
    <m/>
    <m/>
    <m/>
    <m/>
    <n v="87000000"/>
    <n v="21460000"/>
    <n v="21460000"/>
    <n v="65540000"/>
    <n v="0"/>
    <x v="0"/>
  </r>
  <r>
    <x v="0"/>
    <x v="6"/>
    <s v="Fortalecimiento de la planeación para reducir las limitaciones en la prestación del servicio de energía eléctrica y la atención plena de la demanda nacional."/>
    <s v="Energía"/>
    <s v="Sí"/>
    <s v="Sí"/>
    <s v="Radicado 20261500021643"/>
    <s v="150-4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40 Prestar sus servicios profesionales para adelantar el análisis y procesamiento de la información técnica relacionada con el desarrollo y la ejecución de los proyectos de transmisión objeto de convocatoria pública en la etapa de ejecución."/>
    <s v="Enero "/>
    <s v="Enero "/>
    <s v="Febrero"/>
    <n v="12"/>
    <s v="Meses"/>
    <s v="Contratación directa - Prestación de servicios profesionales "/>
    <s v="Propios - 21 - Otros recursos de tesorería"/>
    <n v="72979000"/>
    <n v="72979000"/>
    <s v="No"/>
    <s v="N/A"/>
    <s v="Guillermo Holguin Garcia"/>
    <s v="Subdirector de Energía Eléctrica"/>
    <n v="6012220601"/>
    <s v="guillermo.holguin@upme.gov.co"/>
    <n v="0"/>
    <n v="0"/>
    <n v="71286733"/>
    <n v="0"/>
    <n v="0"/>
    <n v="3173000"/>
    <n v="1692267"/>
    <n v="6346000"/>
    <n v="0"/>
    <n v="6346000"/>
    <n v="0"/>
    <n v="6346000"/>
    <n v="0"/>
    <n v="6346000"/>
    <n v="0"/>
    <n v="6346000"/>
    <n v="0"/>
    <n v="6346000"/>
    <n v="0"/>
    <n v="6346000"/>
    <n v="0"/>
    <n v="6346000"/>
    <n v="0"/>
    <n v="19038000"/>
    <n v="72979000"/>
    <n v="72979000"/>
    <n v="0"/>
    <n v="0"/>
    <s v="Prestar sus servicios profesionales para adelantar el análisis y procesamiento de la información técnica relacionada con el desarrollo y la ejecución de los proyectos de transmisión objeto de convocatoria pública en la etapa de ejecución."/>
    <m/>
    <m/>
    <n v="71286733"/>
    <m/>
    <m/>
    <n v="3173000"/>
    <n v="1692267"/>
    <n v="6346000"/>
    <m/>
    <n v="6346000"/>
    <m/>
    <n v="6346000"/>
    <m/>
    <n v="6346000"/>
    <m/>
    <n v="6346000"/>
    <m/>
    <n v="6346000"/>
    <m/>
    <n v="6346000"/>
    <m/>
    <n v="6346000"/>
    <m/>
    <n v="19038000"/>
    <m/>
    <m/>
    <n v="72979000"/>
    <n v="72979000"/>
    <n v="0"/>
    <n v="0"/>
    <n v="57026"/>
    <d v="2026-01-22T00:00:00"/>
    <n v="67690667"/>
    <n v="5288333"/>
    <n v="53326"/>
    <d v="2026-02-10T00:00:00"/>
    <n v="67690667"/>
    <n v="5288333"/>
    <n v="0"/>
    <s v="SUAREZ OCAMPO DIEGO FERNANDO"/>
    <s v="CO1.PCCNTR.9278575"/>
    <m/>
    <m/>
    <m/>
    <n v="70440600"/>
    <m/>
    <m/>
    <n v="-2749933"/>
    <n v="4230666.67"/>
    <n v="4230666.67"/>
    <m/>
    <n v="6346000"/>
    <n v="6346000"/>
    <m/>
    <m/>
    <m/>
    <m/>
    <m/>
    <m/>
    <m/>
    <m/>
    <m/>
    <m/>
    <m/>
    <m/>
    <m/>
    <m/>
    <m/>
    <m/>
    <m/>
    <m/>
    <m/>
    <m/>
    <m/>
    <m/>
    <m/>
    <m/>
    <n v="67690667"/>
    <n v="10576666.67"/>
    <n v="10576666.67"/>
    <n v="57114000.329999998"/>
    <n v="0"/>
    <x v="0"/>
  </r>
  <r>
    <x v="0"/>
    <x v="6"/>
    <s v="Fortalecimiento de la planeación para reducir las limitaciones en la prestación del servicio de energía eléctrica y la atención plena de la demanda nacional."/>
    <s v="Energía"/>
    <s v="Sí"/>
    <s v="Sí"/>
    <n v="20"/>
    <s v="150-41"/>
    <s v="Aumentar señales de expansión y cobertura del servicio de energía eléctrica."/>
    <s v="Documentos de Planeación"/>
    <s v="Documento de planeación validado."/>
    <n v="80111620"/>
    <s v="C-2102-1900-6-40301C-2102009-02"/>
    <s v="Prestación de servicios profesionales y/o de apoyo a la gestión"/>
    <s v="150-41 Prestar servicios profesionales para apoyar a la subdirección de energía eléctrica, dentro del marco regulatorio de la planeación del SIN, el seguimiento y control de la ejecución de la planeación estratégica, así como de las iniciativas de coopera"/>
    <s v="Enero "/>
    <s v="Enero "/>
    <s v="Enero "/>
    <n v="6"/>
    <s v="Meses"/>
    <s v="Contratación directa - Prestación de servicios profesionales "/>
    <s v="Propios - 20 - Ingresos corrientes"/>
    <n v="4400000"/>
    <n v="4400000"/>
    <s v="No"/>
    <s v="N/A"/>
    <s v="Guillermo Holguin Garcia"/>
    <s v="Subdirector de Energía Eléctrica"/>
    <n v="6012220601"/>
    <s v="guillermo.holguin@upme.gov.co"/>
    <n v="36000000"/>
    <n v="0"/>
    <n v="0"/>
    <n v="6000000"/>
    <n v="0"/>
    <n v="6000000"/>
    <n v="0"/>
    <n v="6000000"/>
    <n v="0"/>
    <n v="6000000"/>
    <n v="0"/>
    <n v="6000000"/>
    <n v="0"/>
    <n v="6000000"/>
    <n v="0"/>
    <n v="0"/>
    <n v="0"/>
    <n v="0"/>
    <n v="0"/>
    <n v="0"/>
    <n v="0"/>
    <n v="0"/>
    <n v="0"/>
    <n v="0"/>
    <n v="36000000"/>
    <n v="36000000"/>
    <n v="-31600000"/>
    <n v="-31600000"/>
    <s v="Prestar servicios profesionales para apoyar a la subdirección de energía eléctrica, dentro del marco regulatorio de la planeación del SIN, el seguimiento y control de la ejecución de la planeación estratégica, así como de las iniciativas de cooperación in"/>
    <n v="36000000"/>
    <m/>
    <m/>
    <m/>
    <m/>
    <m/>
    <n v="-31600000"/>
    <n v="4400000"/>
    <m/>
    <m/>
    <m/>
    <m/>
    <m/>
    <m/>
    <m/>
    <m/>
    <m/>
    <m/>
    <m/>
    <m/>
    <m/>
    <m/>
    <m/>
    <m/>
    <m/>
    <m/>
    <n v="4400000"/>
    <n v="4400000"/>
    <n v="0"/>
    <n v="0"/>
    <n v="42926"/>
    <d v="2026-01-16T00:00:00"/>
    <n v="4400000"/>
    <n v="0"/>
    <n v="25726"/>
    <d v="2026-01-28T00:00:00"/>
    <n v="4400000"/>
    <n v="0"/>
    <n v="0"/>
    <s v="TAPIERO QUINTERO LINA MARIA"/>
    <s v="CO1.PCCNTR.9110705"/>
    <n v="36000000"/>
    <m/>
    <m/>
    <n v="-31600000"/>
    <m/>
    <m/>
    <m/>
    <m/>
    <m/>
    <m/>
    <m/>
    <m/>
    <m/>
    <m/>
    <m/>
    <m/>
    <m/>
    <m/>
    <m/>
    <m/>
    <m/>
    <m/>
    <m/>
    <m/>
    <m/>
    <m/>
    <m/>
    <m/>
    <m/>
    <m/>
    <m/>
    <m/>
    <m/>
    <m/>
    <m/>
    <m/>
    <n v="4400000"/>
    <n v="0"/>
    <n v="0"/>
    <n v="4400000"/>
    <n v="0"/>
    <x v="0"/>
  </r>
  <r>
    <x v="0"/>
    <x v="6"/>
    <s v="Fortalecimiento de la planeación para reducir las limitaciones en la prestación del servicio de energía eléctrica y la atención plena de la demanda nacional."/>
    <s v="Energía"/>
    <s v="Sí"/>
    <s v="Sí"/>
    <s v="Radicado 20261500021643"/>
    <s v="150-42"/>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42 Prestar servicios profesionales para apoyar en el seguimiento a la ejecución de los proyectos del sistema de transmisión nacional y regional, ejecutados mediante convocatoria pública y ampliaciones. Apoyar en la estructuración de los DSI de los pro"/>
    <s v="Enero "/>
    <s v="Enero "/>
    <s v="Febrero"/>
    <n v="12"/>
    <s v="Meses"/>
    <s v="Contratación directa - Prestación de servicios profesionales "/>
    <s v="Propios - 21 - Otros recursos de tesorería"/>
    <n v="80500000"/>
    <n v="80500000"/>
    <s v="No"/>
    <s v="N/A"/>
    <s v="Guillermo Holguin Garcia"/>
    <s v="Subdirector de Energía Eléctrica"/>
    <n v="6012220601"/>
    <s v="guillermo.holguin@upme.gov.co"/>
    <n v="0"/>
    <n v="0"/>
    <n v="29569050"/>
    <n v="0"/>
    <n v="0"/>
    <n v="3500000"/>
    <n v="0"/>
    <n v="7000000"/>
    <n v="0"/>
    <n v="7000000"/>
    <n v="0"/>
    <n v="7000000"/>
    <n v="0"/>
    <n v="7000000"/>
    <n v="0"/>
    <n v="7000000"/>
    <n v="0"/>
    <n v="7000000"/>
    <n v="0"/>
    <n v="7000000"/>
    <n v="50930950"/>
    <n v="7000000"/>
    <n v="0"/>
    <n v="21000000"/>
    <n v="80500000"/>
    <n v="80500000"/>
    <n v="0"/>
    <n v="0"/>
    <s v="Prestar servicios profesionales para apoyar en el seguimiento a la ejecución de los proyectos del sistema de transmisión nacional y regional, ejecutados mediante convocatoria pública y ampliaciones. Apoyar en la estructuración de los DSI de los proyectos "/>
    <m/>
    <m/>
    <n v="29569050"/>
    <m/>
    <m/>
    <n v="3500000"/>
    <m/>
    <n v="7000000"/>
    <m/>
    <n v="7000000"/>
    <m/>
    <n v="7000000"/>
    <m/>
    <n v="7000000"/>
    <m/>
    <n v="7000000"/>
    <m/>
    <n v="7000000"/>
    <m/>
    <n v="7000000"/>
    <n v="50930950"/>
    <n v="7000000"/>
    <m/>
    <n v="21000000"/>
    <m/>
    <m/>
    <n v="80500000"/>
    <n v="80500000"/>
    <n v="0"/>
    <n v="0"/>
    <n v="64926"/>
    <d v="2026-01-26T00:00:00"/>
    <n v="29569050"/>
    <n v="50930950"/>
    <n v="52226"/>
    <d v="2026-02-09T00:00:00"/>
    <n v="29569050"/>
    <n v="50930950"/>
    <n v="0"/>
    <s v="MURCIA CHAVARRIA DEIMY XIOMARA"/>
    <s v="CO1.PCCNTR.9276580"/>
    <m/>
    <m/>
    <m/>
    <n v="29569050"/>
    <m/>
    <m/>
    <m/>
    <n v="2299815"/>
    <n v="2299815"/>
    <m/>
    <n v="3285450"/>
    <n v="3285450"/>
    <m/>
    <m/>
    <m/>
    <m/>
    <m/>
    <m/>
    <m/>
    <m/>
    <m/>
    <m/>
    <m/>
    <m/>
    <m/>
    <m/>
    <m/>
    <m/>
    <m/>
    <m/>
    <m/>
    <m/>
    <m/>
    <m/>
    <m/>
    <m/>
    <n v="29569050"/>
    <n v="5585265"/>
    <n v="5585265"/>
    <n v="23983785"/>
    <n v="0"/>
    <x v="0"/>
  </r>
  <r>
    <x v="0"/>
    <x v="6"/>
    <s v="Fortalecimiento de la planeación para reducir las limitaciones en la prestación del servicio de energía eléctrica y la atención plena de la demanda nacional."/>
    <s v="Energía"/>
    <s v="Sí"/>
    <s v="Sí"/>
    <n v="68"/>
    <s v="150-43"/>
    <s v="Aumentar señales de expansión y cobertura del servicio de energía eléctrica."/>
    <s v="Documentos de Planeación"/>
    <s v="Documento de planeación validado."/>
    <n v="80111620"/>
    <s v="C-2102-1900-6-40301C-2102009-02"/>
    <s v="Prestación de servicios profesionales y/o de apoyo a la gestión"/>
    <s v="150-43 Prestar servicios profesionales para el apoyo en la estructuración de los DSI de los proyectos ejecutados mediante el mecanismo de convocatoria pública, así como el seguimiento al componente ambiental y social de los proyectos del sistema de transm"/>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50000000"/>
    <n v="0"/>
    <n v="0"/>
    <n v="0"/>
    <n v="0"/>
    <n v="5000000"/>
    <n v="0"/>
    <n v="5000000"/>
    <n v="0"/>
    <n v="5000000"/>
    <n v="0"/>
    <n v="5000000"/>
    <n v="0"/>
    <n v="5000000"/>
    <n v="0"/>
    <n v="5000000"/>
    <n v="0"/>
    <n v="5000000"/>
    <n v="0"/>
    <n v="5000000"/>
    <n v="0"/>
    <n v="5000000"/>
    <n v="0"/>
    <n v="5000000"/>
    <n v="50000000"/>
    <n v="50000000"/>
    <n v="0"/>
    <n v="0"/>
    <s v="Prestar servicios profesionales para el apoyo en la estructuración de los DSI de los proyectos ejecutados mediante el mecanismo de convocatoria pública, así como el seguimiento al componente ambiental y social de los proyectos del sistema de transmisión n"/>
    <n v="50000000"/>
    <m/>
    <m/>
    <m/>
    <m/>
    <n v="5000000"/>
    <m/>
    <n v="5000000"/>
    <m/>
    <n v="5000000"/>
    <m/>
    <n v="5000000"/>
    <m/>
    <n v="5000000"/>
    <m/>
    <n v="5000000"/>
    <m/>
    <n v="5000000"/>
    <m/>
    <n v="5000000"/>
    <m/>
    <n v="5000000"/>
    <m/>
    <n v="5000000"/>
    <m/>
    <m/>
    <n v="50000000"/>
    <n v="50000000"/>
    <n v="0"/>
    <n v="0"/>
    <n v="8126"/>
    <d v="2026-01-06T00:00:00"/>
    <n v="50000000"/>
    <n v="0"/>
    <n v="19726"/>
    <d v="2026-01-26T00:00:00"/>
    <n v="50000000"/>
    <n v="0"/>
    <n v="0"/>
    <s v="DIAZ ARRIETA ANDRY YULIETH"/>
    <s v="CO1.PCCNTR.9023015"/>
    <n v="50000000"/>
    <m/>
    <m/>
    <m/>
    <n v="666667"/>
    <n v="666667"/>
    <m/>
    <n v="5000000"/>
    <n v="5000000"/>
    <m/>
    <n v="5000000"/>
    <n v="5000000"/>
    <m/>
    <m/>
    <m/>
    <m/>
    <m/>
    <m/>
    <m/>
    <m/>
    <m/>
    <m/>
    <m/>
    <m/>
    <m/>
    <m/>
    <m/>
    <m/>
    <m/>
    <m/>
    <m/>
    <m/>
    <m/>
    <m/>
    <m/>
    <m/>
    <n v="50000000"/>
    <n v="10666667"/>
    <n v="10666667"/>
    <n v="39333333"/>
    <n v="0"/>
    <x v="0"/>
  </r>
  <r>
    <x v="0"/>
    <x v="6"/>
    <s v="Fortalecimiento de la planeación para reducir las limitaciones en la prestación del servicio de energía eléctrica y la atención plena de la demanda nacional."/>
    <s v="Energía"/>
    <s v="Sí"/>
    <s v="Sí"/>
    <n v="8"/>
    <s v="150-4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44 Prestar servicios profesionales para efectuar el seguimiento socioambiental de los proyectos definidos en el plan de expansión que son objeto de convocatoria pública, e identificar problemáticas y opciones de solución que alimenten las etapas previ"/>
    <s v="Enero "/>
    <s v="Enero "/>
    <s v="Enero "/>
    <n v="12"/>
    <s v="Meses"/>
    <s v="Contratación directa - Prestación de servicios profesionales "/>
    <s v="Propios - 20 - Ingresos corrientes"/>
    <n v="55065000"/>
    <n v="55065000"/>
    <s v="Si"/>
    <s v="Solicitadas"/>
    <s v="Guillermo Holguin Garcia"/>
    <s v="Subdirector de Energía Eléctrica"/>
    <n v="6012220601"/>
    <s v="guillermo.holguin@upme.gov.co"/>
    <n v="55065000"/>
    <n v="0"/>
    <n v="0"/>
    <n v="7866500"/>
    <n v="0"/>
    <n v="7866500"/>
    <n v="0"/>
    <n v="7866500"/>
    <n v="0"/>
    <n v="7866500"/>
    <n v="0"/>
    <n v="7866500"/>
    <n v="0"/>
    <n v="7866500"/>
    <n v="0"/>
    <n v="7866000"/>
    <n v="0"/>
    <n v="0"/>
    <n v="0"/>
    <n v="0"/>
    <n v="0"/>
    <n v="0"/>
    <n v="0"/>
    <n v="0"/>
    <n v="55065000"/>
    <n v="55065000"/>
    <n v="0"/>
    <n v="0"/>
    <s v="Prestar servicios profesionales para efectuar el seguimiento socioambiental de los proyectos definidos en el plan de expansión que son objeto de convocatoria pública, e identificar problemáticas y opciones de solución que alimenten las etapas previas de p"/>
    <n v="55065000"/>
    <m/>
    <m/>
    <n v="7866500"/>
    <m/>
    <n v="7866500"/>
    <m/>
    <n v="7866500"/>
    <m/>
    <n v="7866500"/>
    <n v="0"/>
    <n v="7866500"/>
    <n v="0"/>
    <n v="7866500"/>
    <n v="0"/>
    <n v="7866000"/>
    <n v="0"/>
    <n v="0"/>
    <n v="0"/>
    <n v="0"/>
    <n v="0"/>
    <n v="0"/>
    <n v="0"/>
    <n v="0"/>
    <m/>
    <m/>
    <n v="55065000"/>
    <n v="55065000"/>
    <n v="0"/>
    <n v="0"/>
    <n v="23526"/>
    <d v="2026-01-13T00:00:00"/>
    <n v="55065000"/>
    <n v="0"/>
    <n v="6626"/>
    <d v="2026-01-13T00:00:00"/>
    <n v="55065000"/>
    <n v="0"/>
    <n v="0"/>
    <s v="LEON SOLER AURA MARIA"/>
    <s v="CO1.PCCNTR.7238896"/>
    <n v="55065000"/>
    <m/>
    <m/>
    <m/>
    <n v="7866500"/>
    <n v="7866500"/>
    <m/>
    <n v="7866500"/>
    <n v="7866500"/>
    <m/>
    <n v="7866500"/>
    <n v="7866500"/>
    <m/>
    <m/>
    <m/>
    <m/>
    <m/>
    <m/>
    <m/>
    <m/>
    <m/>
    <m/>
    <m/>
    <m/>
    <m/>
    <m/>
    <m/>
    <m/>
    <m/>
    <m/>
    <m/>
    <m/>
    <m/>
    <m/>
    <m/>
    <m/>
    <n v="55065000"/>
    <n v="23599500"/>
    <n v="23599500"/>
    <n v="31465500"/>
    <n v="0"/>
    <x v="0"/>
  </r>
  <r>
    <x v="0"/>
    <x v="6"/>
    <s v="Fortalecimiento de la planeación para reducir las limitaciones en la prestación del servicio de energía eléctrica y la atención plena de la demanda nacional."/>
    <s v="Energía"/>
    <s v="Sí"/>
    <s v="Sí"/>
    <n v="8"/>
    <s v="150-4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45 Prestar servicios profesionales para adelantar el relacionamiento y articulación interinstitucional en fase de planeación y ejecución de los proyectos que se desarrollan mediante procesos de libre concurrencia, así como identificar las restriccione"/>
    <s v="Enero "/>
    <s v="Enero "/>
    <s v="Enero "/>
    <n v="12"/>
    <s v="Meses"/>
    <s v="Contratación directa - Prestación de servicios profesionales "/>
    <s v="Propios - 20 - Ingresos corrientes"/>
    <n v="55065500"/>
    <n v="55065500"/>
    <s v="Si"/>
    <s v="Solicitadas"/>
    <s v="Guillermo Holguin Garcia"/>
    <s v="Subdirector de Energía Eléctrica"/>
    <n v="6012220601"/>
    <s v="guillermo.holguin@upme.gov.co"/>
    <n v="55065500"/>
    <n v="0"/>
    <n v="0"/>
    <n v="7866500"/>
    <n v="0"/>
    <n v="7866500"/>
    <n v="0"/>
    <n v="7866500"/>
    <n v="0"/>
    <n v="7866500"/>
    <n v="0"/>
    <n v="7866500"/>
    <n v="0"/>
    <n v="7866500"/>
    <n v="0"/>
    <n v="7866500"/>
    <n v="0"/>
    <n v="0"/>
    <n v="0"/>
    <n v="0"/>
    <n v="0"/>
    <n v="0"/>
    <n v="0"/>
    <n v="0"/>
    <n v="55065500"/>
    <n v="55065500"/>
    <n v="0"/>
    <n v="0"/>
    <s v="Prestar servicios profesionales para adelantar el relacionamiento y articulación interinstitucional en fase de planeación y ejecución de los proyectos que se desarrollan mediante procesos de libre concurrencia, así como identificar las restricciones que s"/>
    <n v="55065500"/>
    <m/>
    <m/>
    <n v="7866500"/>
    <m/>
    <n v="7866500"/>
    <m/>
    <n v="7866500"/>
    <m/>
    <n v="7866500"/>
    <n v="0"/>
    <n v="7866500"/>
    <n v="0"/>
    <n v="7866500"/>
    <n v="0"/>
    <n v="7866500"/>
    <n v="0"/>
    <n v="0"/>
    <n v="0"/>
    <n v="0"/>
    <n v="0"/>
    <n v="0"/>
    <n v="0"/>
    <n v="0"/>
    <m/>
    <m/>
    <n v="55065500"/>
    <n v="55065500"/>
    <n v="0"/>
    <n v="0"/>
    <n v="23626"/>
    <d v="2026-01-13T00:00:00"/>
    <n v="55065500"/>
    <n v="0"/>
    <n v="6726"/>
    <d v="2026-01-13T00:00:00"/>
    <n v="55065500"/>
    <n v="0"/>
    <n v="0"/>
    <s v="GONZALEZ GUAÑARITA ALEJANDRA"/>
    <s v="CO1.PCCNTR.7377021"/>
    <n v="55065500"/>
    <m/>
    <m/>
    <m/>
    <n v="7866500"/>
    <n v="7866500"/>
    <m/>
    <n v="7866500"/>
    <n v="7866500"/>
    <m/>
    <n v="7866500"/>
    <n v="7866500"/>
    <m/>
    <m/>
    <m/>
    <m/>
    <m/>
    <m/>
    <m/>
    <m/>
    <m/>
    <m/>
    <m/>
    <m/>
    <m/>
    <m/>
    <m/>
    <m/>
    <m/>
    <m/>
    <m/>
    <m/>
    <m/>
    <m/>
    <m/>
    <m/>
    <n v="55065500"/>
    <n v="23599500"/>
    <n v="23599500"/>
    <n v="31466000"/>
    <n v="0"/>
    <x v="0"/>
  </r>
  <r>
    <x v="0"/>
    <x v="6"/>
    <s v="Fortalecimiento de la planeación para reducir las limitaciones en la prestación del servicio de energía eléctrica y la atención plena de la demanda nacional."/>
    <s v="Energía"/>
    <s v="Sí"/>
    <s v="Sí"/>
    <n v="8"/>
    <s v="150-4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46 Prestar servicios profesionales para apoyar el análisis y revisión de información socioambiental de los proyectos de transmisión nacional y regional en ejecución, así como los análisis de posibilidades y condicionantes en etapas de planeación, estr"/>
    <s v="Enero "/>
    <s v="Enero "/>
    <s v="Enero "/>
    <n v="12"/>
    <s v="Meses"/>
    <s v="Contratación directa - Prestación de servicios profesionales "/>
    <s v="Propios - 20 - Ingresos corrientes"/>
    <n v="55065500"/>
    <n v="55065500"/>
    <s v="Si"/>
    <s v="Solicitadas"/>
    <s v="Guillermo Holguin Garcia"/>
    <s v="Subdirector de Energía Eléctrica"/>
    <n v="6012220601"/>
    <s v="guillermo.holguin@upme.gov.co"/>
    <n v="55065500"/>
    <n v="0"/>
    <n v="0"/>
    <n v="7866500"/>
    <n v="0"/>
    <n v="7866500"/>
    <n v="0"/>
    <n v="7866500"/>
    <n v="0"/>
    <n v="7866500"/>
    <n v="0"/>
    <n v="7866500"/>
    <n v="0"/>
    <n v="7866500"/>
    <n v="0"/>
    <n v="7866500"/>
    <n v="0"/>
    <n v="0"/>
    <n v="0"/>
    <n v="0"/>
    <n v="0"/>
    <n v="0"/>
    <n v="0"/>
    <n v="0"/>
    <n v="55065500"/>
    <n v="55065500"/>
    <n v="0"/>
    <n v="0"/>
    <s v="Prestar servicios profesionales para apoyar el análisis y revisión de información socioambiental de los proyectos de transmisión nacional y regional en ejecución, así como los análisis de posibilidades y condicionantes en etapas de planeación, estructurac"/>
    <n v="55065500"/>
    <m/>
    <m/>
    <n v="7866500"/>
    <m/>
    <n v="7866500"/>
    <m/>
    <n v="7866500"/>
    <m/>
    <n v="7866500"/>
    <n v="0"/>
    <n v="7866500"/>
    <n v="0"/>
    <n v="7866500"/>
    <n v="0"/>
    <n v="7866500"/>
    <n v="0"/>
    <n v="0"/>
    <n v="0"/>
    <n v="0"/>
    <n v="0"/>
    <n v="0"/>
    <n v="0"/>
    <n v="0"/>
    <m/>
    <m/>
    <n v="55065500"/>
    <n v="55065500"/>
    <n v="0"/>
    <n v="0"/>
    <n v="1526"/>
    <d v="2026-01-05T00:00:00"/>
    <n v="55065500"/>
    <n v="0"/>
    <n v="1526"/>
    <d v="2026-01-05T00:00:00"/>
    <n v="55065500"/>
    <n v="0"/>
    <n v="0"/>
    <s v="ANGEL LOPEZ YENIFER KARINA"/>
    <s v="CO1.PCCNTR.7419968"/>
    <n v="55065500"/>
    <m/>
    <m/>
    <m/>
    <n v="7866500"/>
    <n v="7866500"/>
    <m/>
    <n v="7866500"/>
    <n v="7866500"/>
    <m/>
    <n v="7866500"/>
    <n v="7866500"/>
    <m/>
    <m/>
    <m/>
    <m/>
    <m/>
    <m/>
    <m/>
    <m/>
    <m/>
    <m/>
    <m/>
    <m/>
    <m/>
    <m/>
    <m/>
    <m/>
    <m/>
    <m/>
    <m/>
    <m/>
    <m/>
    <m/>
    <m/>
    <m/>
    <n v="55065500"/>
    <n v="23599500"/>
    <n v="23599500"/>
    <n v="31466000"/>
    <n v="0"/>
    <x v="0"/>
  </r>
  <r>
    <x v="0"/>
    <x v="6"/>
    <s v="Fortalecimiento de la planeación para reducir las limitaciones en la prestación del servicio de energía eléctrica y la atención plena de la demanda nacional."/>
    <s v="Energía"/>
    <s v="Sí"/>
    <s v="Sí"/>
    <n v="68"/>
    <s v="150-4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47 Prestación de servicios profesionales para apoyar la elaboración de documentos y el procesamiento de información relacionados con las convocatorias públicas y de ampliación de proyectos de transmisión a nivel nacional y regional"/>
    <s v="Enero "/>
    <s v="Enero "/>
    <s v="Enero "/>
    <n v="12"/>
    <s v="Meses"/>
    <s v="Contratación directa - Prestación de servicios profesionales "/>
    <s v="Propios - 20 - Ingresos corrientes"/>
    <n v="66470000"/>
    <n v="66470000"/>
    <s v="No"/>
    <s v="N/A"/>
    <s v="Guillermo Holguin Garcia"/>
    <s v="Subdirector de Energía Eléctrica"/>
    <n v="6012220601"/>
    <s v="guillermo.holguin@upme.gov.co"/>
    <n v="64928667"/>
    <n v="0"/>
    <n v="0"/>
    <n v="2890000"/>
    <n v="0"/>
    <n v="5780000"/>
    <n v="1541333"/>
    <n v="5780000"/>
    <n v="0"/>
    <n v="5780000"/>
    <n v="0"/>
    <n v="5780000"/>
    <n v="0"/>
    <n v="5780000"/>
    <n v="0"/>
    <n v="5780000"/>
    <n v="0"/>
    <n v="5780000"/>
    <n v="0"/>
    <n v="5780000"/>
    <n v="0"/>
    <n v="5780000"/>
    <n v="0"/>
    <n v="11560000"/>
    <n v="66470000"/>
    <n v="66470000"/>
    <n v="0"/>
    <n v="0"/>
    <s v="Prestación de servicios profesionales para apoyar la elaboración de documentos y el procesamiento de información relacionados con las convocatorias públicas y de ampliación de proyectos de transmisión a nivel nacional y regional"/>
    <n v="64928667"/>
    <m/>
    <m/>
    <n v="2890000"/>
    <m/>
    <n v="5780000"/>
    <n v="1541333"/>
    <n v="5780000"/>
    <m/>
    <n v="5780000"/>
    <m/>
    <n v="5780000"/>
    <m/>
    <n v="5780000"/>
    <m/>
    <n v="5780000"/>
    <m/>
    <n v="5780000"/>
    <m/>
    <n v="5780000"/>
    <m/>
    <n v="5780000"/>
    <m/>
    <n v="11560000"/>
    <m/>
    <m/>
    <n v="66470000"/>
    <n v="66470000"/>
    <n v="0"/>
    <n v="0"/>
    <n v="28026"/>
    <d v="2026-01-14T00:00:00"/>
    <n v="63965333"/>
    <n v="2504667"/>
    <n v="24826"/>
    <d v="2026-01-27T00:00:00"/>
    <n v="63965333"/>
    <n v="2504667"/>
    <n v="0"/>
    <s v="CIFUENTES GRUESO LAURA VICTORIA"/>
    <s v="CO1.PCCNTR.9130004"/>
    <n v="64928667"/>
    <m/>
    <m/>
    <n v="-963334"/>
    <m/>
    <m/>
    <m/>
    <n v="6165333"/>
    <n v="6165333"/>
    <m/>
    <n v="5780000"/>
    <n v="5780000"/>
    <m/>
    <m/>
    <m/>
    <m/>
    <m/>
    <m/>
    <m/>
    <m/>
    <m/>
    <m/>
    <m/>
    <m/>
    <m/>
    <m/>
    <m/>
    <m/>
    <m/>
    <m/>
    <m/>
    <m/>
    <m/>
    <m/>
    <m/>
    <m/>
    <n v="63965333"/>
    <n v="11945333"/>
    <n v="11945333"/>
    <n v="52020000"/>
    <n v="0"/>
    <x v="0"/>
  </r>
  <r>
    <x v="0"/>
    <x v="6"/>
    <s v="Fortalecimiento de la planeación para reducir las limitaciones en la prestación del servicio de energía eléctrica y la atención plena de la demanda nacional."/>
    <s v="Energía"/>
    <s v="Sí"/>
    <s v="Sí"/>
    <n v="8"/>
    <s v="150-4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48 Prestar servicios profesionales para procesar y gestionar el sistema de información geográfico de la infraestructura de transmisión nacional y regional y los proyectos en ejecución y apoyar la gestión cartográfica de los análisis de posibilidades y"/>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procesar y gestionar el sistema de información geográfico de la infraestructura de transmisión nacional y regional y los proyectos en ejecución y apoyar la gestión cartográfica de los análisis de posibilidades y condic"/>
    <n v="51076200"/>
    <m/>
    <n v="0"/>
    <n v="7296600"/>
    <n v="0"/>
    <n v="7296600"/>
    <n v="0"/>
    <n v="7296600"/>
    <n v="0"/>
    <n v="7296600"/>
    <n v="0"/>
    <n v="7296600"/>
    <n v="0"/>
    <n v="7296600"/>
    <n v="0"/>
    <n v="7296600"/>
    <n v="0"/>
    <n v="0"/>
    <n v="0"/>
    <n v="0"/>
    <n v="0"/>
    <n v="0"/>
    <n v="0"/>
    <n v="0"/>
    <m/>
    <m/>
    <n v="51076200"/>
    <n v="51076200"/>
    <n v="0"/>
    <n v="0"/>
    <n v="24426"/>
    <d v="2026-01-13T00:00:00"/>
    <n v="51076200"/>
    <n v="0"/>
    <n v="7526"/>
    <d v="2026-01-13T00:00:00"/>
    <n v="51076200"/>
    <n v="0"/>
    <n v="0"/>
    <s v="FONSECA BAQUERO CRISTIAN CAMILO"/>
    <s v="CO1.PCCNTR.7411325"/>
    <n v="51076200"/>
    <m/>
    <m/>
    <m/>
    <n v="7296600"/>
    <n v="7296600"/>
    <m/>
    <n v="7296600"/>
    <n v="7296600"/>
    <m/>
    <n v="7296600"/>
    <n v="7296600"/>
    <m/>
    <m/>
    <m/>
    <m/>
    <m/>
    <m/>
    <m/>
    <m/>
    <m/>
    <m/>
    <m/>
    <m/>
    <m/>
    <m/>
    <m/>
    <m/>
    <m/>
    <m/>
    <m/>
    <m/>
    <m/>
    <m/>
    <m/>
    <m/>
    <n v="51076200"/>
    <n v="21889800"/>
    <n v="21889800"/>
    <n v="29186400"/>
    <n v="0"/>
    <x v="0"/>
  </r>
  <r>
    <x v="0"/>
    <x v="6"/>
    <s v="Fortalecimiento de la planeación para reducir las limitaciones en la prestación del servicio de energía eléctrica y la atención plena de la demanda nacional."/>
    <s v="Energía"/>
    <s v="Sí"/>
    <s v="Sí"/>
    <n v="21"/>
    <s v="150-49"/>
    <s v="Aumentar señales de expansión y cobertura del servicio de energía eléctrica."/>
    <s v="Documentos de Planeación"/>
    <s v="Documento de planeación validado."/>
    <n v="80111620"/>
    <s v="C-2102-1900-6-40301C-2102009-02"/>
    <s v="Prestación de servicios profesionales y/o de apoyo a la gestión"/>
    <s v="150-49 Prestación de servicios profesionales para el procesamiento de los datos derivados de los procesos internos en la subdirección de energía eléctrica, así como el mantenimiento y gestión de las herramientas para las estadísticas e indicadores de segu"/>
    <s v="Enero "/>
    <s v="Enero "/>
    <s v="Febrero"/>
    <n v="12"/>
    <s v="Meses"/>
    <s v="Contratación directa - Prestación de servicios profesionales "/>
    <s v="Propios - 20 - Ingresos corrientes"/>
    <n v="67839200"/>
    <n v="67839200"/>
    <s v="No"/>
    <s v="N/A"/>
    <s v="Guillermo Holguin Garcia"/>
    <s v="Subdirector de Energía Eléctrica"/>
    <n v="6012220601"/>
    <s v="guillermo.holguin@upme.gov.co"/>
    <n v="0"/>
    <n v="0"/>
    <n v="69278213"/>
    <n v="0"/>
    <n v="0"/>
    <n v="3083600"/>
    <n v="1644587"/>
    <n v="6167200"/>
    <n v="0"/>
    <n v="6167200"/>
    <n v="0"/>
    <n v="6167200"/>
    <n v="0"/>
    <n v="6167200"/>
    <n v="0"/>
    <n v="6167200"/>
    <n v="0"/>
    <n v="6167200"/>
    <n v="0"/>
    <n v="6167200"/>
    <n v="0"/>
    <n v="6167200"/>
    <n v="0"/>
    <n v="18501600"/>
    <n v="70922800"/>
    <n v="70922800"/>
    <n v="-3083600"/>
    <n v="-3083600"/>
    <s v="Prestación de servicios profesionales para el procesamiento de los datos derivados de los procesos internos en la subdirección de energía eléctrica, así como el mantenimiento y gestión de las herramientas para las estadísticas e indicadores de seguimiento"/>
    <m/>
    <m/>
    <n v="67839200"/>
    <m/>
    <m/>
    <n v="4111467"/>
    <m/>
    <n v="6167200"/>
    <m/>
    <n v="6167200"/>
    <m/>
    <n v="6167200"/>
    <m/>
    <n v="6167200"/>
    <m/>
    <n v="6167200"/>
    <m/>
    <n v="6167200"/>
    <m/>
    <n v="6167200"/>
    <m/>
    <n v="6167200"/>
    <m/>
    <n v="14390133"/>
    <m/>
    <m/>
    <n v="67839200"/>
    <n v="67839200"/>
    <n v="0"/>
    <n v="0"/>
    <n v="62526"/>
    <d v="2026-01-23T00:00:00"/>
    <n v="69278213"/>
    <n v="-1439013"/>
    <n v="54426"/>
    <d v="2026-02-10T00:00:00"/>
    <n v="67839200"/>
    <n v="0"/>
    <n v="1439013"/>
    <s v="LOPEZ LOPEZ HUGO ALEJANDRO"/>
    <s v="CO1.PCCNTR.9279401"/>
    <m/>
    <m/>
    <m/>
    <n v="67839200"/>
    <m/>
    <m/>
    <m/>
    <n v="4111467"/>
    <n v="4111467"/>
    <m/>
    <n v="6167200"/>
    <n v="6167200"/>
    <m/>
    <m/>
    <m/>
    <m/>
    <m/>
    <m/>
    <m/>
    <m/>
    <m/>
    <m/>
    <m/>
    <m/>
    <m/>
    <m/>
    <m/>
    <m/>
    <m/>
    <m/>
    <m/>
    <m/>
    <m/>
    <m/>
    <m/>
    <m/>
    <n v="67839200"/>
    <n v="10278667"/>
    <n v="10278667"/>
    <n v="57560533"/>
    <n v="0"/>
    <x v="0"/>
  </r>
  <r>
    <x v="0"/>
    <x v="6"/>
    <s v="Fortalecimiento de la planeación para reducir las limitaciones en la prestación del servicio de energía eléctrica y la atención plena de la demanda nacional."/>
    <s v="Energía"/>
    <s v="Sí"/>
    <s v="Sí"/>
    <n v="68"/>
    <s v="150-5"/>
    <s v="Aumentar señales de expansión y cobertura del servicio de energía eléctrica."/>
    <s v="Documentos de Planeación"/>
    <s v="Documento de planeación validado."/>
    <n v="80111620"/>
    <s v="C-2102-1900-6-40301C-2102009-02"/>
    <s v="Prestación de servicios profesionales y/o de apoyo a la gestión"/>
    <s v="150-5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5826"/>
    <d v="2026-01-05T00:00:00"/>
    <n v="87000000"/>
    <n v="0"/>
    <n v="10926"/>
    <d v="2026-01-17T00:00:00"/>
    <n v="87000000"/>
    <n v="0"/>
    <n v="0"/>
    <s v="ROSADA SANCHEZ KAREN TATIANA"/>
    <s v="CO1.PCCNTR.8876474"/>
    <n v="87000000"/>
    <m/>
    <m/>
    <m/>
    <n v="3480000"/>
    <n v="3480000"/>
    <m/>
    <n v="8700000"/>
    <n v="8700000"/>
    <m/>
    <n v="8700000"/>
    <n v="8700000"/>
    <m/>
    <m/>
    <m/>
    <m/>
    <m/>
    <m/>
    <m/>
    <m/>
    <m/>
    <m/>
    <m/>
    <m/>
    <m/>
    <m/>
    <m/>
    <m/>
    <m/>
    <m/>
    <m/>
    <m/>
    <m/>
    <m/>
    <m/>
    <m/>
    <n v="87000000"/>
    <n v="20880000"/>
    <n v="20880000"/>
    <n v="66120000"/>
    <n v="0"/>
    <x v="0"/>
  </r>
  <r>
    <x v="0"/>
    <x v="6"/>
    <s v="Fortalecimiento de la planeación para reducir las limitaciones en la prestación del servicio de energía eléctrica y la atención plena de la demanda nacional."/>
    <s v="Energía"/>
    <s v="Sí"/>
    <s v="Sí"/>
    <s v="Radicado 20261500021643"/>
    <s v="150-50"/>
    <s v="Aumentar señales de expansión y cobertura del servicio de energía eléctrica."/>
    <s v="Documentos de Planeación"/>
    <s v="Documento de planeación validado."/>
    <n v="80111620"/>
    <s v="C-2102-1900-6-40301C-2102009-02"/>
    <s v="Prestación de servicios profesionales y/o de apoyo a la gestión"/>
    <s v="150-50 Prestar servicios profesionales para apoyar el modelamiento y la simulación de escenarios requeridos, para la elaboración del Plan Indicativo de Expansión de la Generación, así como apoyar el seguimiento de proyectos y la elaboración de documentos "/>
    <s v="Enero "/>
    <s v="Enero "/>
    <s v="Enero "/>
    <n v="12"/>
    <s v="Meses"/>
    <s v="Contratación directa - Prestación de servicios profesionales "/>
    <s v="Propios - 20 - Ingresos corrientes"/>
    <n v="102000000"/>
    <n v="102000000"/>
    <s v="Si"/>
    <s v="Solicitadas"/>
    <s v="Guillermo Holguin Garcia"/>
    <s v="Subdirector de Energía Eléctrica"/>
    <n v="6012220601"/>
    <s v="guillermo.holguin@upme.gov.co"/>
    <n v="59500000"/>
    <n v="0"/>
    <n v="0"/>
    <n v="8500000"/>
    <n v="0"/>
    <n v="8500000"/>
    <n v="0"/>
    <n v="8500000"/>
    <n v="0"/>
    <n v="8500000"/>
    <n v="0"/>
    <n v="8500000"/>
    <n v="0"/>
    <n v="8500000"/>
    <n v="42500000"/>
    <n v="8500000"/>
    <n v="0"/>
    <n v="8500000"/>
    <n v="0"/>
    <n v="8500000"/>
    <n v="0"/>
    <n v="8500000"/>
    <n v="0"/>
    <n v="17000000"/>
    <n v="102000000"/>
    <n v="102000000"/>
    <n v="0"/>
    <n v="0"/>
    <s v="Prestar servicios profesionales para apoyar el modelamiento y la simulación de escenarios requeridos, para la elaboración del Plan Indicativo de Expansión de la Generación, así como apoyar el seguimiento de proyectos y la elaboración de documentos en el m"/>
    <n v="59500000"/>
    <m/>
    <m/>
    <n v="8500000"/>
    <m/>
    <n v="8500000"/>
    <m/>
    <n v="8500000"/>
    <m/>
    <n v="8500000"/>
    <m/>
    <n v="8500000"/>
    <m/>
    <n v="8500000"/>
    <n v="42500000"/>
    <n v="8500000"/>
    <m/>
    <n v="8500000"/>
    <m/>
    <n v="8500000"/>
    <m/>
    <n v="8500000"/>
    <m/>
    <n v="17000000"/>
    <m/>
    <m/>
    <n v="102000000"/>
    <n v="102000000"/>
    <n v="0"/>
    <n v="0"/>
    <n v="1326"/>
    <d v="2026-01-05T00:00:00"/>
    <n v="59500000"/>
    <n v="42500000"/>
    <n v="1326"/>
    <d v="2026-01-05T00:00:00"/>
    <n v="59500000"/>
    <n v="42500000"/>
    <n v="0"/>
    <s v="CHAVARRO BARRERA LUIS MIGUEL"/>
    <s v="CO1.PCCNT.7539470"/>
    <n v="59500000"/>
    <m/>
    <m/>
    <m/>
    <n v="8500000"/>
    <n v="8500000"/>
    <m/>
    <n v="8500000"/>
    <n v="8500000"/>
    <m/>
    <n v="8500000"/>
    <n v="8500000"/>
    <m/>
    <m/>
    <m/>
    <m/>
    <m/>
    <m/>
    <m/>
    <m/>
    <m/>
    <m/>
    <m/>
    <m/>
    <m/>
    <m/>
    <m/>
    <m/>
    <m/>
    <m/>
    <m/>
    <m/>
    <m/>
    <m/>
    <m/>
    <m/>
    <n v="59500000"/>
    <n v="25500000"/>
    <n v="25500000"/>
    <n v="34000000"/>
    <n v="0"/>
    <x v="0"/>
  </r>
  <r>
    <x v="0"/>
    <x v="6"/>
    <s v="Fortalecimiento de la planeación para reducir las limitaciones en la prestación del servicio de energía eléctrica y la atención plena de la demanda nacional."/>
    <s v="Energía"/>
    <s v="Sí"/>
    <s v="Sí"/>
    <n v="20"/>
    <s v="150-51"/>
    <s v="Aumentar señales de expansión y cobertura del servicio de energía eléctrica."/>
    <s v="Documentos de Planeación"/>
    <s v="Documento de planeación validado."/>
    <n v="80111620"/>
    <s v="C-2102-1900-6-40301C-2102009-02"/>
    <s v="Prestación de servicios profesionales y/o de apoyo a la gestión"/>
    <s v="150-51 Prestar los servicios profesionales para apoyar el Plan Indicativo de Expansión de Generación, así como apoyar el seguimiento y proyectos que se lleven en el marco de las actividades del grupo de generación de la Subdirección de Energía Eléctrica."/>
    <s v="Enero "/>
    <s v="Enero "/>
    <s v="Febrero"/>
    <n v="12"/>
    <s v="Meses"/>
    <s v="Contratación directa - Prestación de servicios profesionales "/>
    <s v="Propios - 20 - Ingresos corrientes"/>
    <n v="95972800"/>
    <n v="95972800"/>
    <s v="No"/>
    <s v="N/A"/>
    <s v="Guillermo Holguin Garcia"/>
    <s v="Subdirector de Energía Eléctrica"/>
    <n v="6012220601"/>
    <s v="guillermo.holguin@upme.gov.co"/>
    <n v="0"/>
    <n v="0"/>
    <n v="114103000"/>
    <n v="0"/>
    <n v="0"/>
    <n v="4961000"/>
    <n v="0"/>
    <n v="9922000"/>
    <n v="0"/>
    <n v="9922000"/>
    <n v="0"/>
    <n v="9922000"/>
    <n v="0"/>
    <n v="9922000"/>
    <n v="0"/>
    <n v="9922000"/>
    <n v="0"/>
    <n v="9922000"/>
    <n v="0"/>
    <n v="9922000"/>
    <n v="0"/>
    <n v="9922000"/>
    <n v="0"/>
    <n v="29766000"/>
    <n v="114103000"/>
    <n v="114103000"/>
    <n v="-18130200"/>
    <n v="-18130200"/>
    <s v="Prestar los servicios profesionales para apoyar el Plan Indicativo de Expansión de Generación, así como apoyar el seguimiento y proyectos que se lleven en el marco de las actividades del grupo de generación de la Subdirección de Energía Eléctrica."/>
    <n v="95972800"/>
    <m/>
    <m/>
    <m/>
    <m/>
    <n v="5998300"/>
    <m/>
    <n v="8997450"/>
    <m/>
    <n v="8997450"/>
    <m/>
    <n v="8997450"/>
    <m/>
    <n v="8997450"/>
    <m/>
    <n v="8997450"/>
    <m/>
    <n v="8997450"/>
    <m/>
    <n v="8997450"/>
    <m/>
    <n v="8997450"/>
    <m/>
    <n v="17994900"/>
    <m/>
    <m/>
    <n v="95972800"/>
    <n v="95972800"/>
    <n v="0"/>
    <n v="0"/>
    <n v="34426"/>
    <d v="2026-01-15T00:00:00"/>
    <n v="95972800"/>
    <n v="0"/>
    <n v="46726"/>
    <d v="2026-02-06T00:00:00"/>
    <n v="95972800"/>
    <n v="0"/>
    <n v="0"/>
    <s v="CAICEDO NAVARRO JOAQUIN EDUARDO"/>
    <s v="CO1.PCCNTR.9239157"/>
    <m/>
    <m/>
    <m/>
    <n v="100471525"/>
    <m/>
    <m/>
    <m/>
    <n v="5998300"/>
    <n v="5998300"/>
    <n v="-4498725"/>
    <n v="8997450"/>
    <n v="8997450"/>
    <m/>
    <m/>
    <m/>
    <m/>
    <m/>
    <m/>
    <m/>
    <m/>
    <m/>
    <m/>
    <m/>
    <m/>
    <m/>
    <m/>
    <m/>
    <m/>
    <m/>
    <m/>
    <m/>
    <m/>
    <m/>
    <m/>
    <m/>
    <m/>
    <n v="95972800"/>
    <n v="14995750"/>
    <n v="14995750"/>
    <n v="80977050"/>
    <n v="0"/>
    <x v="0"/>
  </r>
  <r>
    <x v="0"/>
    <x v="6"/>
    <s v="Fortalecimiento de la planeación para reducir las limitaciones en la prestación del servicio de energía eléctrica y la atención plena de la demanda nacional."/>
    <s v="Energía"/>
    <s v="Sí"/>
    <s v="Sí"/>
    <n v="68"/>
    <s v="150-52"/>
    <s v="Aumentar señales de expansión y cobertura del servicio de energía eléctrica."/>
    <s v="Documentos de Planeación"/>
    <s v="Documento de planeación validado."/>
    <n v="80111620"/>
    <s v="C-2102-1900-6-40301C-2102009-02"/>
    <s v="Prestación de servicios profesionales y/o de apoyo a la gestión"/>
    <s v="150-52 Prestar los servicios profesionales  para analizar, procesar y presentar resultados estableciendo estándares, políticas y procesos que determinen el uso, desarrollo y gestión de los datos que se generen en el marco de los análisis que realice la Su"/>
    <s v="Enero "/>
    <s v="Enero "/>
    <s v="Febrero"/>
    <n v="12"/>
    <s v="Meses"/>
    <s v="Contratación directa - Prestación de servicios profesionales "/>
    <s v="Propios - 20 - Ingresos corrientes"/>
    <n v="42550000"/>
    <n v="42550000"/>
    <s v="No"/>
    <s v="N/A"/>
    <s v="Guillermo Holguin Garcia"/>
    <s v="Subdirector de Energía Eléctrica"/>
    <n v="6012220601"/>
    <s v="guillermo.holguin@upme.gov.co"/>
    <n v="0"/>
    <n v="0"/>
    <n v="41563333"/>
    <n v="0"/>
    <n v="0"/>
    <n v="1850000"/>
    <n v="0"/>
    <n v="3700000"/>
    <n v="0"/>
    <n v="3700000"/>
    <n v="0"/>
    <n v="3700000"/>
    <n v="0"/>
    <n v="3700000"/>
    <n v="0"/>
    <n v="3700000"/>
    <n v="0"/>
    <n v="3700000"/>
    <n v="0"/>
    <n v="3700000"/>
    <n v="986667"/>
    <n v="3700000"/>
    <n v="0"/>
    <n v="11100000"/>
    <n v="42550000"/>
    <n v="42550000"/>
    <n v="0"/>
    <n v="0"/>
    <s v="Prestar los servicios profesionales  para analizar, procesar y presentar resultados estableciendo estándares, políticas y procesos que determinen el uso, desarrollo y gestión de los datos que se generen en el marco de los análisis que realice la Subdirecc"/>
    <m/>
    <m/>
    <n v="41563333"/>
    <m/>
    <m/>
    <n v="1850000"/>
    <m/>
    <n v="3700000"/>
    <m/>
    <n v="3700000"/>
    <m/>
    <n v="3700000"/>
    <m/>
    <n v="3700000"/>
    <m/>
    <n v="3700000"/>
    <m/>
    <n v="3700000"/>
    <m/>
    <n v="3700000"/>
    <n v="986667"/>
    <n v="3700000"/>
    <m/>
    <n v="11100000"/>
    <m/>
    <m/>
    <n v="42550000"/>
    <n v="42550000"/>
    <n v="0"/>
    <n v="0"/>
    <n v="33426"/>
    <d v="2026-01-15T00:00:00"/>
    <n v="40330000"/>
    <n v="2220000"/>
    <n v="39126"/>
    <d v="2026-02-03T00:00:00"/>
    <n v="40330000"/>
    <n v="2220000"/>
    <n v="0"/>
    <s v="PINILLA GRANADOS MARIA CAMILA"/>
    <s v="CO1.PCCNTR.9187877"/>
    <m/>
    <m/>
    <m/>
    <n v="41563333"/>
    <m/>
    <m/>
    <m/>
    <n v="3330000"/>
    <n v="3330000"/>
    <n v="-1233333"/>
    <n v="3700000"/>
    <n v="3700000"/>
    <m/>
    <m/>
    <m/>
    <m/>
    <m/>
    <m/>
    <m/>
    <m/>
    <m/>
    <m/>
    <m/>
    <m/>
    <m/>
    <m/>
    <m/>
    <m/>
    <m/>
    <m/>
    <m/>
    <m/>
    <m/>
    <m/>
    <m/>
    <m/>
    <n v="40330000"/>
    <n v="7030000"/>
    <n v="7030000"/>
    <n v="33300000"/>
    <n v="0"/>
    <x v="0"/>
  </r>
  <r>
    <x v="0"/>
    <x v="6"/>
    <s v="Fortalecimiento de la planeación para reducir las limitaciones en la prestación del servicio de energía eléctrica y la atención plena de la demanda nacional."/>
    <s v="Energía"/>
    <s v="Sí"/>
    <s v="Sí"/>
    <n v="68"/>
    <s v="150-53"/>
    <s v="Aumentar señales de expansión y cobertura del servicio de energía eléctrica."/>
    <s v="Documentos de Planeación"/>
    <s v="Documento de planeación validado."/>
    <n v="80111620"/>
    <s v="C-2102-1900-6-40301C-2102009-02"/>
    <s v="Prestación de servicios profesionales y/o de apoyo a la gestión"/>
    <s v="150-53 Prestar los servicios profesionales para apoyar la actualización de las herramientas ofimáticas del grupo de generación y cobertura, así como participar de los análisis para el plan de generación y las evaluaciones de los registros de proyectos de "/>
    <s v="Enero "/>
    <s v="Enero "/>
    <s v="Enero "/>
    <n v="12"/>
    <s v="Meses"/>
    <s v="Contratación directa - Prestación de servicios profesionales "/>
    <s v="Propios - 20 - Ingresos corrientes"/>
    <n v="71300000"/>
    <n v="71300000"/>
    <s v="No"/>
    <s v="N/A"/>
    <s v="Guillermo Holguin Garcia"/>
    <s v="Subdirector de Energía Eléctrica"/>
    <n v="6012220601"/>
    <s v="guillermo.holguin@upme.gov.co"/>
    <n v="69646667"/>
    <n v="0"/>
    <n v="0"/>
    <n v="3100000"/>
    <n v="0"/>
    <n v="6200000"/>
    <n v="1653333"/>
    <n v="6200000"/>
    <n v="0"/>
    <n v="6200000"/>
    <n v="0"/>
    <n v="6200000"/>
    <n v="0"/>
    <n v="6200000"/>
    <n v="0"/>
    <n v="6200000"/>
    <n v="0"/>
    <n v="6200000"/>
    <n v="0"/>
    <n v="6200000"/>
    <n v="0"/>
    <n v="6200000"/>
    <n v="0"/>
    <n v="12400000"/>
    <n v="71300000"/>
    <n v="71300000"/>
    <n v="0"/>
    <n v="0"/>
    <s v="Prestar los servicios profesionales para apoyar la actualización de las herramientas ofimáticas del grupo de generación y cobertura, así como participar de los análisis para el plan de generación y las evaluaciones de los registros de proyectos de generac"/>
    <n v="69646667"/>
    <m/>
    <m/>
    <n v="3100000"/>
    <m/>
    <n v="6200000"/>
    <n v="1653333"/>
    <n v="6200000"/>
    <m/>
    <n v="6200000"/>
    <m/>
    <n v="6200000"/>
    <m/>
    <n v="6200000"/>
    <m/>
    <n v="6200000"/>
    <m/>
    <n v="6200000"/>
    <m/>
    <n v="6200000"/>
    <m/>
    <n v="6200000"/>
    <m/>
    <n v="12400000"/>
    <m/>
    <m/>
    <n v="71300000"/>
    <n v="71300000"/>
    <n v="0"/>
    <n v="0"/>
    <n v="27326"/>
    <d v="2026-01-14T00:00:00"/>
    <n v="68406667"/>
    <n v="2893333"/>
    <n v="27726"/>
    <d v="2026-01-28T00:00:00"/>
    <n v="68406667"/>
    <n v="2893333"/>
    <n v="0"/>
    <s v="CANTOR MOLINA ANDRES FELIPE"/>
    <s v="CO1.PCCNTR.9142253"/>
    <n v="69646667"/>
    <m/>
    <m/>
    <n v="-1240000"/>
    <m/>
    <m/>
    <m/>
    <n v="6406667"/>
    <n v="6406667"/>
    <m/>
    <n v="6200000"/>
    <n v="6200000"/>
    <m/>
    <m/>
    <m/>
    <m/>
    <m/>
    <m/>
    <m/>
    <m/>
    <m/>
    <m/>
    <m/>
    <m/>
    <m/>
    <m/>
    <m/>
    <m/>
    <m/>
    <m/>
    <m/>
    <m/>
    <m/>
    <m/>
    <m/>
    <m/>
    <n v="68406667"/>
    <n v="12606667"/>
    <n v="12606667"/>
    <n v="55800000"/>
    <n v="0"/>
    <x v="0"/>
  </r>
  <r>
    <x v="0"/>
    <x v="6"/>
    <s v="Fortalecimiento de la planeación para reducir las limitaciones en la prestación del servicio de energía eléctrica y la atención plena de la demanda nacional."/>
    <s v="Energía"/>
    <s v="Sí"/>
    <s v="Sí"/>
    <n v="68"/>
    <s v="150-54"/>
    <s v="Aumentar señales de expansión y cobertura del servicio de energía eléctrica."/>
    <s v="Documentos de Planeación"/>
    <s v="Documento de planeación validado."/>
    <n v="80111620"/>
    <s v="C-2102-1900-6-40301C-2102009-02"/>
    <s v="Prestación de servicios profesionales y/o de apoyo a la gestión"/>
    <s v="150-54 Prestar servicios profesionales para el apoyo técnico en la evaluación, análisis y procesamiento de las solicitudes de conexión a las redes de transmisión nacional, regional y de distribución, mediante la aplicación de metodologías y criterios técn"/>
    <s v="Enero "/>
    <s v="Enero "/>
    <s v="Enero "/>
    <n v="10"/>
    <s v="Meses"/>
    <s v="Contratación directa - Prestación de servicios profesionales "/>
    <s v="Propios - 20 - Ingresos corrientes"/>
    <n v="60000000"/>
    <n v="60000000"/>
    <s v="No"/>
    <s v="N/A"/>
    <s v="Guillermo Holguin Garcia"/>
    <s v="Subdirector de Energía Eléctrica"/>
    <n v="6012220601"/>
    <s v="guillermo.holguin@upme.gov.co"/>
    <n v="60000000"/>
    <n v="0"/>
    <n v="0"/>
    <n v="0"/>
    <n v="0"/>
    <n v="6000000"/>
    <n v="0"/>
    <n v="6000000"/>
    <n v="0"/>
    <n v="6000000"/>
    <n v="0"/>
    <n v="6000000"/>
    <n v="0"/>
    <n v="6000000"/>
    <n v="0"/>
    <n v="6000000"/>
    <n v="0"/>
    <n v="6000000"/>
    <n v="0"/>
    <n v="6000000"/>
    <n v="0"/>
    <n v="6000000"/>
    <n v="0"/>
    <n v="6000000"/>
    <n v="60000000"/>
    <n v="60000000"/>
    <n v="0"/>
    <n v="0"/>
    <s v="Prestar servicios profesionales para el apoyo técnico en la evaluación, análisis y procesamiento de las solicitudes de conexión a las redes de transmisión nacional, regional y de distribución, mediante la aplicación de metodologías y criterios técnicos de"/>
    <n v="60000000"/>
    <m/>
    <m/>
    <m/>
    <m/>
    <n v="6000000"/>
    <m/>
    <n v="6000000"/>
    <m/>
    <n v="6000000"/>
    <m/>
    <n v="6000000"/>
    <m/>
    <n v="6000000"/>
    <m/>
    <n v="6000000"/>
    <m/>
    <n v="6000000"/>
    <m/>
    <n v="6000000"/>
    <m/>
    <n v="6000000"/>
    <m/>
    <n v="6000000"/>
    <m/>
    <m/>
    <n v="60000000"/>
    <n v="60000000"/>
    <n v="0"/>
    <n v="0"/>
    <n v="8426"/>
    <d v="2026-01-06T00:00:00"/>
    <n v="60000000"/>
    <n v="0"/>
    <n v="8926"/>
    <d v="2026-01-14T00:00:00"/>
    <n v="60000000"/>
    <n v="0"/>
    <n v="0"/>
    <s v="MENA PALACIOS FRANCISCO LUIS"/>
    <s v="CO1.PCCNTR.8804084"/>
    <n v="60000000"/>
    <m/>
    <m/>
    <m/>
    <m/>
    <m/>
    <m/>
    <n v="9200000"/>
    <n v="9200000"/>
    <m/>
    <n v="6000000"/>
    <n v="6000000"/>
    <m/>
    <m/>
    <m/>
    <m/>
    <m/>
    <m/>
    <m/>
    <m/>
    <m/>
    <m/>
    <m/>
    <m/>
    <m/>
    <m/>
    <m/>
    <m/>
    <m/>
    <m/>
    <m/>
    <m/>
    <m/>
    <m/>
    <m/>
    <m/>
    <n v="60000000"/>
    <n v="15200000"/>
    <n v="15200000"/>
    <n v="44800000"/>
    <n v="0"/>
    <x v="0"/>
  </r>
  <r>
    <x v="0"/>
    <x v="6"/>
    <s v="Fortalecimiento de la planeación para reducir las limitaciones en la prestación del servicio de energía eléctrica y la atención plena de la demanda nacional."/>
    <s v="Energía"/>
    <s v="Sí"/>
    <s v="Sí"/>
    <n v="8"/>
    <s v="150-5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55 Prestación de servicios profesionales para apoyar la elaboración de documentos y el procesamiento de información asociados a las convocatorias públicas."/>
    <s v="Enero "/>
    <s v="Enero "/>
    <s v="Febrero"/>
    <n v="10"/>
    <s v="Meses"/>
    <s v="Contratación directa - Prestación de servicios profesionales "/>
    <s v="Propios - 20 - Ingresos corrientes"/>
    <n v="3898291"/>
    <n v="3898291"/>
    <s v="No"/>
    <s v="N/A"/>
    <s v="Guillermo Holguin Garcia"/>
    <s v="Subdirector de Energía Eléctrica"/>
    <n v="6012220601"/>
    <s v="guillermo.holguin@upme.gov.co"/>
    <n v="0"/>
    <n v="0"/>
    <n v="3898291"/>
    <n v="0"/>
    <n v="0"/>
    <n v="0"/>
    <n v="0"/>
    <n v="389829"/>
    <n v="0"/>
    <n v="389829"/>
    <n v="0"/>
    <n v="389829"/>
    <n v="0"/>
    <n v="389829"/>
    <n v="0"/>
    <n v="389829"/>
    <n v="0"/>
    <n v="389829"/>
    <n v="0"/>
    <n v="389829"/>
    <n v="0"/>
    <n v="389829"/>
    <n v="0"/>
    <n v="779659"/>
    <n v="3898291"/>
    <n v="3898291"/>
    <n v="0"/>
    <n v="0"/>
    <s v="Prestación de servicios profesionales para apoyar la elaboración de documentos y el procesamiento de información asociados a las convocatorias públicas."/>
    <m/>
    <m/>
    <n v="3898291"/>
    <m/>
    <m/>
    <m/>
    <m/>
    <n v="389829"/>
    <m/>
    <n v="389829"/>
    <m/>
    <n v="389829"/>
    <m/>
    <n v="389829"/>
    <m/>
    <n v="389829"/>
    <m/>
    <n v="389829"/>
    <m/>
    <n v="389829"/>
    <m/>
    <n v="389829"/>
    <m/>
    <n v="779659"/>
    <m/>
    <m/>
    <n v="3898291"/>
    <n v="3898291"/>
    <n v="0"/>
    <n v="0"/>
    <n v="65426"/>
    <d v="2026-01-26T00:00:00"/>
    <n v="3898291"/>
    <n v="0"/>
    <n v="59626"/>
    <d v="2026-02-12T00:00:00"/>
    <n v="3898291"/>
    <n v="0"/>
    <n v="0"/>
    <s v="ARIZA NUÑEZ DAYANA ASTRID"/>
    <s v="CO1.PCCNTR.9280734"/>
    <m/>
    <m/>
    <m/>
    <n v="3898291"/>
    <m/>
    <m/>
    <m/>
    <n v="2891700"/>
    <n v="2891700"/>
    <m/>
    <m/>
    <m/>
    <m/>
    <m/>
    <m/>
    <m/>
    <m/>
    <m/>
    <m/>
    <m/>
    <m/>
    <m/>
    <m/>
    <m/>
    <m/>
    <m/>
    <m/>
    <m/>
    <m/>
    <m/>
    <m/>
    <m/>
    <m/>
    <m/>
    <m/>
    <m/>
    <n v="3898291"/>
    <n v="2891700"/>
    <n v="2891700"/>
    <n v="1006591"/>
    <n v="0"/>
    <x v="0"/>
  </r>
  <r>
    <x v="0"/>
    <x v="6"/>
    <s v="Fortalecimiento de la planeación para reducir las limitaciones en la prestación del servicio de energía eléctrica y la atención plena de la demanda nacional."/>
    <s v="Energía"/>
    <s v="Sí"/>
    <s v="Sí"/>
    <n v="21"/>
    <s v="150-56"/>
    <s v="Aumentar señales de expansión y cobertura del servicio de energía eléctrica."/>
    <s v="Documentos de Planeación"/>
    <s v="Documento de planeación validado."/>
    <n v="80111620"/>
    <s v="C-2102-1900-6-40301C-2102009-02"/>
    <s v="Prestación de servicios profesionales y/o de apoyo a la gestión"/>
    <s v="150-56 Prestación de servicios profesionales para apoyar el análisis energético de largo plazo en el marco de la formulación del Plan de Expansión de Generación."/>
    <s v="Enero "/>
    <s v="Enero "/>
    <s v="Febrero"/>
    <n v="11.5"/>
    <s v="Meses"/>
    <s v="Contratación directa - Prestación de servicios profesionales "/>
    <s v="Propios - 20 - Ingresos corrientes"/>
    <n v="35811405"/>
    <n v="35811405"/>
    <s v="No"/>
    <s v="N/A"/>
    <s v="Guillermo Holguin Garcia"/>
    <s v="Subdirector de Energía Eléctrica"/>
    <n v="6012220601"/>
    <s v="guillermo.holguin@upme.gov.co"/>
    <n v="0"/>
    <n v="0"/>
    <n v="36687525"/>
    <n v="0"/>
    <n v="0"/>
    <n v="1166667"/>
    <n v="2979142"/>
    <n v="3500000"/>
    <n v="0"/>
    <n v="3500000"/>
    <n v="0"/>
    <n v="3500000"/>
    <n v="0"/>
    <n v="3500000"/>
    <n v="0"/>
    <n v="3500000"/>
    <n v="0"/>
    <n v="3500000"/>
    <n v="0"/>
    <n v="3500000"/>
    <n v="0"/>
    <n v="3500000"/>
    <n v="0"/>
    <n v="10500000"/>
    <n v="39666667"/>
    <n v="39666667"/>
    <n v="-3855262"/>
    <n v="-3855262"/>
    <s v="Prestación de servicios profesionales para apoyar el análisis energético de largo plazo en el marco de la formulación del Plan de Expansión de Generación."/>
    <m/>
    <m/>
    <n v="35811405"/>
    <m/>
    <m/>
    <n v="2956905"/>
    <m/>
    <n v="3285450"/>
    <m/>
    <n v="3285450"/>
    <m/>
    <n v="3285450"/>
    <m/>
    <n v="3285450"/>
    <m/>
    <n v="3285450"/>
    <m/>
    <n v="3285450"/>
    <m/>
    <n v="3285450"/>
    <m/>
    <n v="3285450"/>
    <m/>
    <n v="6570900"/>
    <m/>
    <m/>
    <n v="35811405"/>
    <n v="35811405"/>
    <n v="0"/>
    <n v="0"/>
    <n v="56826"/>
    <d v="2026-01-22T00:00:00"/>
    <n v="35811405"/>
    <n v="0"/>
    <n v="38726"/>
    <d v="2026-02-03T00:00:00"/>
    <n v="35811405"/>
    <n v="0"/>
    <n v="0"/>
    <s v="MATTA AMADOR SANTIAGO"/>
    <s v="CO1.PCCNTR.9164165"/>
    <m/>
    <m/>
    <m/>
    <n v="36687525"/>
    <m/>
    <m/>
    <m/>
    <n v="2956905"/>
    <n v="2956905"/>
    <n v="-876120"/>
    <n v="3285450"/>
    <n v="3285450"/>
    <m/>
    <m/>
    <m/>
    <m/>
    <m/>
    <m/>
    <m/>
    <m/>
    <m/>
    <m/>
    <m/>
    <m/>
    <m/>
    <m/>
    <m/>
    <m/>
    <m/>
    <m/>
    <m/>
    <m/>
    <m/>
    <m/>
    <m/>
    <m/>
    <n v="35811405"/>
    <n v="6242355"/>
    <n v="6242355"/>
    <n v="29569050"/>
    <n v="0"/>
    <x v="0"/>
  </r>
  <r>
    <x v="0"/>
    <x v="6"/>
    <s v="Fortalecimiento de la planeación para reducir las limitaciones en la prestación del servicio de energía eléctrica y la atención plena de la demanda nacional."/>
    <s v="Energía"/>
    <s v="Sí"/>
    <s v="Sí"/>
    <n v="21"/>
    <s v="150-57"/>
    <s v="Aumentar señales de expansión y cobertura del servicio de energía eléctrica."/>
    <s v="Documentos de Planeación"/>
    <s v="Documento de planeación validado."/>
    <n v="80111620"/>
    <s v="C-2102-1900-6-40301C-2102009-02"/>
    <s v="Prestación de servicios profesionales y/o de apoyo a la gestión"/>
    <s v="150-57 Prestar servicios profesionales para realizar el seguimiento a la ejecución de los proyectos de nivel de tensión IV que corresponde a la UPME y a los procedimientos asociados, y apoyar los análisis, evaluaciones y conceptos sobre las solicitudes de"/>
    <s v="Enero "/>
    <s v="Enero "/>
    <s v="Febrero"/>
    <n v="11.5"/>
    <s v="Meses"/>
    <s v="Contratación directa - Prestación de servicios profesionales "/>
    <s v="Propios - 20 - Ingresos corrientes"/>
    <n v="79289720"/>
    <n v="79289720"/>
    <s v="No"/>
    <s v="N/A"/>
    <s v="Guillermo Holguin Garcia"/>
    <s v="Subdirector de Energía Eléctrica"/>
    <n v="6012220601"/>
    <s v="guillermo.holguin@upme.gov.co"/>
    <n v="0"/>
    <n v="0"/>
    <n v="83910900"/>
    <n v="0"/>
    <n v="0"/>
    <n v="3648300"/>
    <n v="0"/>
    <n v="7296600"/>
    <n v="0"/>
    <n v="7296600"/>
    <n v="0"/>
    <n v="7296600"/>
    <n v="0"/>
    <n v="7296600"/>
    <n v="0"/>
    <n v="7296600"/>
    <n v="0"/>
    <n v="7296600"/>
    <n v="0"/>
    <n v="7296600"/>
    <n v="0"/>
    <n v="7296600"/>
    <n v="0"/>
    <n v="21889800"/>
    <n v="83910900"/>
    <n v="83910900"/>
    <n v="-4621180"/>
    <n v="-4621180"/>
    <s v="Prestar servicios profesionales para realizar el seguimiento a la ejecución de los proyectos de nivel de tensión IV que corresponde a la UPME y a los procedimientos asociados, y apoyar los análisis, evaluaciones y conceptos sobre las solicitudes de asigna"/>
    <m/>
    <m/>
    <n v="79289720"/>
    <m/>
    <m/>
    <n v="6323720"/>
    <m/>
    <n v="7296600"/>
    <m/>
    <n v="7296600"/>
    <m/>
    <n v="7296600"/>
    <m/>
    <n v="7296600"/>
    <m/>
    <n v="7296600"/>
    <m/>
    <n v="7296600"/>
    <m/>
    <n v="7296600"/>
    <m/>
    <n v="7296600"/>
    <m/>
    <n v="14593200"/>
    <m/>
    <m/>
    <n v="79289720"/>
    <n v="79289720"/>
    <n v="0"/>
    <n v="0"/>
    <n v="27126"/>
    <d v="2026-01-14T00:00:00"/>
    <n v="79289720"/>
    <n v="0"/>
    <n v="43026"/>
    <d v="2026-02-05T00:00:00"/>
    <n v="79289720"/>
    <n v="0"/>
    <n v="0"/>
    <s v="ECHEVERRIA ROJAS SONIA ESPERANZA"/>
    <s v="CO1.PCCNTR.9237150"/>
    <m/>
    <m/>
    <m/>
    <n v="81965140"/>
    <m/>
    <m/>
    <m/>
    <n v="6323720"/>
    <n v="6323720"/>
    <n v="-2675420"/>
    <n v="7296600"/>
    <n v="7296600"/>
    <m/>
    <m/>
    <m/>
    <m/>
    <m/>
    <m/>
    <m/>
    <m/>
    <m/>
    <m/>
    <m/>
    <m/>
    <m/>
    <m/>
    <m/>
    <m/>
    <m/>
    <m/>
    <m/>
    <m/>
    <m/>
    <m/>
    <m/>
    <m/>
    <n v="79289720"/>
    <n v="13620320"/>
    <n v="13620320"/>
    <n v="65669400"/>
    <n v="0"/>
    <x v="0"/>
  </r>
  <r>
    <x v="0"/>
    <x v="6"/>
    <s v="Fortalecimiento de la planeación para reducir las limitaciones en la prestación del servicio de energía eléctrica y la atención plena de la demanda nacional."/>
    <s v="Energía"/>
    <s v="Sí"/>
    <s v="Sí"/>
    <n v="21"/>
    <s v="150-58"/>
    <s v="Aumentar señales de expansión y cobertura del servicio de energía eléctrica."/>
    <s v="Documentos de Planeación"/>
    <s v="Documento de planeación validado."/>
    <n v="80111620"/>
    <s v="C-2102-1900-6-40301C-2102009-02"/>
    <s v="Prestación de servicios profesionales y/o de apoyo a la gestión"/>
    <s v="150-58 Prestar servicios profesionales para apoyar el análisis de las solicitudes de asignación de capacidad de proyectos de generación y usuarios finales, procesar la información requerida por los modelos y participar del proceso de verificación de requi"/>
    <s v="Enero "/>
    <s v="Enero "/>
    <s v="Febrero"/>
    <n v="11.5"/>
    <s v="Meses"/>
    <s v="Contratación directa - Prestación de servicios profesionales "/>
    <s v="Propios - 20 - Ingresos corrientes"/>
    <n v="79046500"/>
    <n v="79046500"/>
    <s v="No"/>
    <s v="N/A"/>
    <s v="Guillermo Holguin Garcia"/>
    <s v="Subdirector de Energía Eléctrica"/>
    <n v="6012220601"/>
    <s v="guillermo.holguin@upme.gov.co"/>
    <n v="0"/>
    <n v="0"/>
    <n v="83910900"/>
    <n v="0"/>
    <n v="0"/>
    <n v="3648300"/>
    <n v="0"/>
    <n v="7296600"/>
    <n v="0"/>
    <n v="7296600"/>
    <n v="0"/>
    <n v="7296600"/>
    <n v="0"/>
    <n v="7296600"/>
    <n v="0"/>
    <n v="7296600"/>
    <n v="0"/>
    <n v="7296600"/>
    <n v="0"/>
    <n v="7296600"/>
    <n v="0"/>
    <n v="7296600"/>
    <n v="0"/>
    <n v="21889800"/>
    <n v="83910900"/>
    <n v="83910900"/>
    <n v="-4864400"/>
    <n v="-4864400"/>
    <s v="Prestar servicios profesionales para apoyar el análisis de las solicitudes de asignación de capacidad de proyectos de generación y usuarios finales, procesar la información requerida por los modelos y participar del proceso de verificación de requisitos y"/>
    <m/>
    <m/>
    <n v="79046500"/>
    <m/>
    <m/>
    <n v="6080500"/>
    <m/>
    <n v="7296600"/>
    <m/>
    <n v="7296600"/>
    <m/>
    <n v="7296600"/>
    <m/>
    <n v="7296600"/>
    <m/>
    <n v="7296600"/>
    <m/>
    <n v="7296600"/>
    <m/>
    <n v="7296600"/>
    <m/>
    <n v="7296600"/>
    <m/>
    <n v="14593200"/>
    <m/>
    <m/>
    <n v="79046500"/>
    <n v="79046500"/>
    <n v="0"/>
    <n v="0"/>
    <n v="32826"/>
    <d v="2026-01-14T00:00:00"/>
    <n v="79046500"/>
    <n v="0"/>
    <n v="43626"/>
    <d v="2026-02-05T00:00:00"/>
    <n v="79046500"/>
    <n v="0"/>
    <n v="0"/>
    <s v="VILLAMIL CASTAÑEDA WILLIAM FERNANDO"/>
    <s v="CO1.PCCNTR.9236292"/>
    <m/>
    <m/>
    <m/>
    <n v="81965140"/>
    <m/>
    <m/>
    <m/>
    <n v="6080500"/>
    <n v="6080500"/>
    <n v="-2918640"/>
    <n v="7296600"/>
    <n v="7296600"/>
    <m/>
    <m/>
    <m/>
    <m/>
    <m/>
    <m/>
    <m/>
    <m/>
    <m/>
    <m/>
    <m/>
    <m/>
    <m/>
    <m/>
    <m/>
    <m/>
    <m/>
    <m/>
    <m/>
    <m/>
    <m/>
    <m/>
    <m/>
    <m/>
    <n v="79046500"/>
    <n v="13377100"/>
    <n v="13377100"/>
    <n v="65669400"/>
    <n v="0"/>
    <x v="0"/>
  </r>
  <r>
    <x v="0"/>
    <x v="6"/>
    <s v="Fortalecimiento de la planeación para reducir las limitaciones en la prestación del servicio de energía eléctrica y la atención plena de la demanda nacional."/>
    <s v="Energía"/>
    <s v="Sí"/>
    <s v="Sí"/>
    <n v="21"/>
    <s v="150-59"/>
    <s v="Aumentar señales de expansión y cobertura del servicio de energía eléctrica."/>
    <s v="Documentos de Planeación"/>
    <s v="Documento de planeación validado."/>
    <n v="80111620"/>
    <s v="C-2102-1900-6-40301C-2102009-02"/>
    <s v="Prestación de servicios profesionales y/o de apoyo a la gestión"/>
    <s v="150-59 Prestar servicios profesionales para proporcionar servicios profesionales para realizar el análisis y procesamiento de solicitudes de los agentes interesados en conectarse a la red nacional, regional y de distribución, incluyendo la evaluación de s"/>
    <s v="Enero "/>
    <s v="Enero "/>
    <s v="Enero "/>
    <n v="11.5"/>
    <s v="Meses"/>
    <s v="Contratación directa - Prestación de servicios profesionales "/>
    <s v="Propios - 20 - Ingresos corrientes"/>
    <n v="81315542"/>
    <n v="81315542"/>
    <s v="No"/>
    <s v="N/A"/>
    <s v="Guillermo Holguin Garcia"/>
    <s v="Subdirector de Energía Eléctrica"/>
    <n v="6012220601"/>
    <s v="guillermo.holguin@upme.gov.co"/>
    <n v="81965140"/>
    <n v="0"/>
    <n v="0"/>
    <n v="3648300"/>
    <n v="0"/>
    <n v="7296600"/>
    <n v="1945760"/>
    <n v="7296600"/>
    <n v="0"/>
    <n v="7296600"/>
    <n v="0"/>
    <n v="7296600"/>
    <n v="0"/>
    <n v="7296600"/>
    <n v="0"/>
    <n v="7296600"/>
    <n v="0"/>
    <n v="7296600"/>
    <n v="0"/>
    <n v="7296600"/>
    <n v="0"/>
    <n v="7296600"/>
    <n v="0"/>
    <n v="14593200"/>
    <n v="83910900"/>
    <n v="83910900"/>
    <n v="-2595358"/>
    <n v="-2595358"/>
    <s v="Prestar servicios profesionales para proporcionar servicios profesionales para realizar el análisis y procesamiento de solicitudes de los agentes interesados en conectarse a la red nacional, regional y de distribución, incluyendo la evaluación de solicitu"/>
    <n v="81315542"/>
    <m/>
    <m/>
    <n v="243220"/>
    <m/>
    <n v="7296600"/>
    <m/>
    <n v="7296600"/>
    <m/>
    <n v="7296600"/>
    <m/>
    <n v="7296600"/>
    <m/>
    <n v="7296600"/>
    <m/>
    <n v="7296600"/>
    <m/>
    <n v="7296600"/>
    <m/>
    <n v="7296600"/>
    <m/>
    <n v="7296600"/>
    <m/>
    <n v="15402922"/>
    <m/>
    <m/>
    <n v="81315542"/>
    <n v="81315542"/>
    <n v="0"/>
    <n v="0"/>
    <n v="37926"/>
    <d v="2026-01-15T00:00:00"/>
    <n v="80505820"/>
    <n v="809722"/>
    <n v="27126"/>
    <d v="2026-01-28T00:00:00"/>
    <n v="80505820"/>
    <n v="809722"/>
    <n v="0"/>
    <s v="CHITIVA LOZADA BRAJHAM DAVID"/>
    <s v="CO1.PCCNTR.9142674"/>
    <n v="81965140"/>
    <m/>
    <m/>
    <n v="-1459320"/>
    <n v="243220"/>
    <n v="243220"/>
    <m/>
    <n v="7296600"/>
    <n v="7296600"/>
    <m/>
    <n v="7296600"/>
    <n v="7296600"/>
    <m/>
    <m/>
    <m/>
    <m/>
    <m/>
    <m/>
    <m/>
    <m/>
    <m/>
    <m/>
    <m/>
    <m/>
    <m/>
    <m/>
    <m/>
    <m/>
    <m/>
    <m/>
    <m/>
    <m/>
    <m/>
    <m/>
    <m/>
    <m/>
    <n v="80505820"/>
    <n v="14836420"/>
    <n v="14836420"/>
    <n v="65669400"/>
    <n v="0"/>
    <x v="0"/>
  </r>
  <r>
    <x v="0"/>
    <x v="6"/>
    <s v="Fortalecimiento de la planeación para reducir las limitaciones en la prestación del servicio de energía eléctrica y la atención plena de la demanda nacional."/>
    <s v="Energía"/>
    <s v="Sí"/>
    <s v="Sí"/>
    <n v="68"/>
    <s v="150-6"/>
    <s v="Aumentar señales de expansión y cobertura del servicio de energía eléctrica."/>
    <s v="Documentos de Planeación"/>
    <s v="Documento de planeación validado."/>
    <n v="80111620"/>
    <s v="C-2102-1900-6-40301C-2102009-02"/>
    <s v="Prestación de servicios profesionales y/o de apoyo a la gestión"/>
    <s v="150-6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14526"/>
    <d v="2026-01-09T00:00:00"/>
    <n v="87000000"/>
    <n v="0"/>
    <n v="16926"/>
    <d v="2026-01-22T00:00:00"/>
    <n v="87000000"/>
    <n v="0"/>
    <n v="0"/>
    <s v="RUBIO NOCUA LUCY ADRIANA"/>
    <s v="CO1.PCCNTR.8938990"/>
    <n v="87000000"/>
    <m/>
    <m/>
    <m/>
    <n v="2320000"/>
    <n v="2320000"/>
    <m/>
    <n v="8700000"/>
    <n v="8700000"/>
    <m/>
    <n v="8700000"/>
    <n v="8700000"/>
    <m/>
    <m/>
    <m/>
    <m/>
    <m/>
    <m/>
    <m/>
    <m/>
    <m/>
    <m/>
    <m/>
    <m/>
    <m/>
    <m/>
    <m/>
    <m/>
    <m/>
    <m/>
    <m/>
    <m/>
    <m/>
    <m/>
    <m/>
    <m/>
    <n v="87000000"/>
    <n v="19720000"/>
    <n v="19720000"/>
    <n v="67280000"/>
    <n v="0"/>
    <x v="0"/>
  </r>
  <r>
    <x v="0"/>
    <x v="6"/>
    <s v="Fortalecimiento de la planeación para reducir las limitaciones en la prestación del servicio de energía eléctrica y la atención plena de la demanda nacional."/>
    <s v="Energía"/>
    <s v="Sí"/>
    <s v="Sí"/>
    <n v="68"/>
    <s v="150-60"/>
    <s v="Aumentar señales de expansión y cobertura del servicio de energía eléctrica."/>
    <s v="Documentos de Planeación"/>
    <s v="Documento de planeación validado."/>
    <n v="80111620"/>
    <s v="C-2102-1900-6-40301C-2102009-02"/>
    <s v="Prestación de servicios profesionales y/o de apoyo a la gestión"/>
    <s v="150-60 Prestar los servicios profesionales para participar en el análisis y procesamiento de solicitudes de los agentes interesados en conectarse a la red nacional, regional y de distribución a través de la metodología de evaluación y análisis eléctricos "/>
    <s v="Enero "/>
    <s v="Enero "/>
    <s v="Enero "/>
    <n v="11.5"/>
    <s v="Meses"/>
    <s v="Contratación directa - Prestación de servicios profesionales "/>
    <s v="Propios - 20 - Ingresos corrientes"/>
    <n v="83910900"/>
    <n v="83910900"/>
    <s v="No"/>
    <s v="N/A"/>
    <s v="Guillermo Holguin Garcia"/>
    <s v="Subdirector de Energía Eléctrica"/>
    <n v="6012220601"/>
    <s v="guillermo.holguin@upme.gov.co"/>
    <n v="83910900"/>
    <n v="0"/>
    <n v="0"/>
    <n v="3648300"/>
    <n v="0"/>
    <n v="7296600"/>
    <n v="0"/>
    <n v="7296600"/>
    <n v="0"/>
    <n v="7296600"/>
    <n v="0"/>
    <n v="7296600"/>
    <n v="0"/>
    <n v="7296600"/>
    <n v="0"/>
    <n v="7296600"/>
    <n v="0"/>
    <n v="7296600"/>
    <n v="0"/>
    <n v="7296600"/>
    <n v="0"/>
    <n v="7296600"/>
    <n v="0"/>
    <n v="14593200"/>
    <n v="83910900"/>
    <n v="83910900"/>
    <n v="0"/>
    <n v="0"/>
    <s v="Prestar los servicios profesionales para participar en el análisis y procesamiento de solicitudes de los agentes interesados en conectarse a la red nacional, regional y de distribución a través de la metodología de evaluación y análisis eléctricos de fluj"/>
    <n v="83910900"/>
    <m/>
    <m/>
    <n v="3648300"/>
    <m/>
    <n v="7296600"/>
    <m/>
    <n v="7296600"/>
    <m/>
    <n v="7296600"/>
    <m/>
    <n v="7296600"/>
    <m/>
    <n v="7296600"/>
    <m/>
    <n v="7296600"/>
    <m/>
    <n v="7296600"/>
    <m/>
    <n v="7296600"/>
    <m/>
    <n v="7296600"/>
    <m/>
    <n v="14593200"/>
    <m/>
    <m/>
    <n v="83910900"/>
    <n v="83910900"/>
    <n v="0"/>
    <n v="0"/>
    <n v="32726"/>
    <d v="2026-01-14T00:00:00"/>
    <n v="82694800"/>
    <n v="1216100"/>
    <n v="12026"/>
    <d v="2026-01-20T00:00:00"/>
    <n v="82694800"/>
    <n v="1216100"/>
    <n v="0"/>
    <s v="GOMEZ MARTINEZ FREDY AUGUSTO"/>
    <s v="CO1.PCCNTR.8957360"/>
    <n v="83910900"/>
    <m/>
    <m/>
    <n v="-1216100"/>
    <n v="2432200"/>
    <n v="2432200"/>
    <m/>
    <n v="7296600"/>
    <n v="7296600"/>
    <m/>
    <n v="7296600"/>
    <n v="7296600"/>
    <m/>
    <m/>
    <m/>
    <m/>
    <m/>
    <m/>
    <m/>
    <m/>
    <m/>
    <m/>
    <m/>
    <m/>
    <m/>
    <m/>
    <m/>
    <m/>
    <m/>
    <m/>
    <m/>
    <m/>
    <m/>
    <m/>
    <m/>
    <m/>
    <n v="82694800"/>
    <n v="17025400"/>
    <n v="17025400"/>
    <n v="65669400"/>
    <n v="0"/>
    <x v="0"/>
  </r>
  <r>
    <x v="0"/>
    <x v="6"/>
    <s v="Fortalecimiento de la planeación para reducir las limitaciones en la prestación del servicio de energía eléctrica y la atención plena de la demanda nacional."/>
    <s v="Energía"/>
    <s v="Sí"/>
    <s v="Sí"/>
    <n v="22"/>
    <s v="150-61"/>
    <s v="Aumentar señales de expansión y cobertura del servicio de energía eléctrica."/>
    <s v="Documentos de Planeación"/>
    <s v="Documento de planeación validado."/>
    <n v="80111620"/>
    <s v="C-2102-1900-6-40301C-2102009-02"/>
    <s v="Prestación de servicios profesionales y/o de apoyo a la gestión"/>
    <s v="150-61 Prestar los servicios profesionales para participar en el análisis y procesamiento de solicitudes de los agentes interesados en conectarse a la red nacional, regional y de distribución a través de la metodología de evaluación y análisis eléctricos "/>
    <s v="Enero "/>
    <s v="Enero "/>
    <s v="Enero "/>
    <n v="11.5"/>
    <s v="Meses"/>
    <s v="Contratación directa - Prestación de servicios profesionales "/>
    <s v="Propios - 20 - Ingresos corrientes"/>
    <n v="49771250"/>
    <n v="49771250"/>
    <s v="No"/>
    <s v="N/A"/>
    <s v="Guillermo Holguin Garcia"/>
    <s v="Subdirector de Energía Eléctrica"/>
    <n v="6012220601"/>
    <s v="guillermo.holguin@upme.gov.co"/>
    <n v="59771250"/>
    <n v="0"/>
    <n v="0"/>
    <n v="2598750"/>
    <n v="0"/>
    <n v="5197500"/>
    <n v="0"/>
    <n v="5197500"/>
    <n v="0"/>
    <n v="5197500"/>
    <n v="0"/>
    <n v="5197500"/>
    <n v="0"/>
    <n v="5197500"/>
    <n v="0"/>
    <n v="5197500"/>
    <n v="0"/>
    <n v="5197500"/>
    <n v="0"/>
    <n v="5197500"/>
    <n v="0"/>
    <n v="5197500"/>
    <n v="0"/>
    <n v="10395000"/>
    <n v="59771250"/>
    <n v="59771250"/>
    <n v="-10000000"/>
    <n v="-10000000"/>
    <s v="Prestar los servicios profesionales para participar en el análisis y procesamiento de solicitudes de los agentes interesados en conectarse a la red nacional, regional y de distribución a través de la metodología de evaluación y análisis eléctricos de fluj"/>
    <n v="59771250"/>
    <m/>
    <m/>
    <n v="2598750"/>
    <m/>
    <n v="5197500"/>
    <n v="-10000000"/>
    <n v="5197500"/>
    <m/>
    <n v="5197500"/>
    <m/>
    <n v="5197500"/>
    <m/>
    <n v="5197500"/>
    <m/>
    <n v="5197500"/>
    <m/>
    <n v="5197500"/>
    <m/>
    <n v="5197500"/>
    <m/>
    <n v="5197500"/>
    <m/>
    <n v="395000"/>
    <m/>
    <m/>
    <n v="49771250"/>
    <n v="49771250"/>
    <n v="0"/>
    <n v="0"/>
    <n v="26826"/>
    <d v="2026-01-14T00:00:00"/>
    <n v="12647250"/>
    <n v="37124000"/>
    <n v="21926"/>
    <d v="2026-01-26T00:00:00"/>
    <n v="12647250"/>
    <n v="37124000"/>
    <n v="0"/>
    <s v="HUACA CUELLAR BRANDON STID"/>
    <s v="CO1.PCCNTR.9066223"/>
    <n v="59771250"/>
    <m/>
    <m/>
    <m/>
    <n v="693000"/>
    <n v="693000"/>
    <n v="-1905750"/>
    <n v="5197500"/>
    <n v="5197500"/>
    <n v="-45218250"/>
    <n v="5197500"/>
    <n v="5197500"/>
    <m/>
    <m/>
    <m/>
    <m/>
    <m/>
    <m/>
    <m/>
    <m/>
    <m/>
    <m/>
    <m/>
    <m/>
    <m/>
    <m/>
    <m/>
    <m/>
    <m/>
    <m/>
    <m/>
    <m/>
    <m/>
    <m/>
    <m/>
    <m/>
    <n v="12647250"/>
    <n v="11088000"/>
    <n v="11088000"/>
    <n v="1559250"/>
    <n v="0"/>
    <x v="0"/>
  </r>
  <r>
    <x v="0"/>
    <x v="6"/>
    <s v="Fortalecimiento de la planeación para reducir las limitaciones en la prestación del servicio de energía eléctrica y la atención plena de la demanda nacional."/>
    <s v="Energía"/>
    <s v="Sí"/>
    <s v="Sí"/>
    <s v="Radicado 20261500021643"/>
    <s v="150-62"/>
    <s v="Aumentar señales de expansión y cobertura del servicio de energía eléctrica."/>
    <s v="Documentos de Planeación"/>
    <s v="Documento de planeación validado."/>
    <n v="80111620"/>
    <s v="C-2102-1900-6-40301C-2102009-02"/>
    <s v="Prestación de servicios profesionales y/o de apoyo a la gestión"/>
    <s v="150-62 Prestar los servicios profesionales para apoyar el seguimiento el seguimiento a la ejecución de los proyectos de nivel de tensión iv que corresponde a la UPME y las solicitudes de conexión según la resolución CREG 075 de 2021 , así como los procedi"/>
    <s v="Enero "/>
    <s v="Enero "/>
    <s v="Enero "/>
    <n v="12"/>
    <s v="Meses"/>
    <s v="Contratación directa - Prestación de servicios profesionales "/>
    <s v="Propios - 20 - Ingresos corrientes"/>
    <n v="48613950"/>
    <n v="48613950"/>
    <s v="Si"/>
    <s v="Solicitadas"/>
    <s v="Guillermo Holguin Garcia"/>
    <s v="Subdirector de Energía Eléctrica"/>
    <n v="6012220601"/>
    <s v="guillermo.holguin@upme.gov.co"/>
    <n v="29591100"/>
    <n v="0"/>
    <n v="0"/>
    <n v="2113650"/>
    <n v="0"/>
    <n v="4227300"/>
    <n v="0"/>
    <n v="4227300"/>
    <n v="0"/>
    <n v="4227300"/>
    <n v="0"/>
    <n v="4227300"/>
    <n v="0"/>
    <n v="4227300"/>
    <n v="19022850"/>
    <n v="4227300"/>
    <n v="0"/>
    <n v="4227300"/>
    <n v="0"/>
    <n v="4227300"/>
    <n v="0"/>
    <n v="4227300"/>
    <n v="0"/>
    <n v="8454600"/>
    <n v="48613950"/>
    <n v="48613950"/>
    <n v="0"/>
    <n v="0"/>
    <s v="Prestar los servicios profesionales para apoyar el seguimiento el seguimiento a la ejecución de los proyectos de nivel de tensión iv que corresponde a la UPME y las solicitudes de conexión según la resolución CREG 075 de 2021 , así como los procedimientos"/>
    <n v="29591100"/>
    <m/>
    <m/>
    <n v="2113650"/>
    <m/>
    <n v="4227300"/>
    <m/>
    <n v="4227300"/>
    <m/>
    <n v="4227300"/>
    <m/>
    <n v="4227300"/>
    <m/>
    <n v="4227300"/>
    <n v="19022850"/>
    <n v="4227300"/>
    <m/>
    <n v="4227300"/>
    <m/>
    <n v="4227300"/>
    <m/>
    <n v="4227300"/>
    <m/>
    <n v="8454600"/>
    <m/>
    <m/>
    <n v="48613950"/>
    <n v="48613950"/>
    <n v="0"/>
    <n v="0"/>
    <n v="23826"/>
    <d v="2026-01-13T00:00:00"/>
    <n v="29591100"/>
    <n v="19022850"/>
    <n v="6926"/>
    <d v="2026-01-13T00:00:00"/>
    <n v="29591100"/>
    <n v="19022850"/>
    <n v="0"/>
    <s v="RODRIGUEZ TUTA FELIPE"/>
    <s v="CO1.PCCNTR.7367128"/>
    <n v="29591100"/>
    <m/>
    <m/>
    <m/>
    <n v="4227300"/>
    <n v="4227300"/>
    <m/>
    <n v="4227300"/>
    <n v="4227300"/>
    <m/>
    <n v="4227300"/>
    <n v="4227300"/>
    <m/>
    <m/>
    <m/>
    <m/>
    <m/>
    <m/>
    <m/>
    <m/>
    <m/>
    <m/>
    <m/>
    <m/>
    <m/>
    <m/>
    <m/>
    <m/>
    <m/>
    <m/>
    <m/>
    <m/>
    <m/>
    <m/>
    <m/>
    <m/>
    <n v="29591100"/>
    <n v="12681900"/>
    <n v="12681900"/>
    <n v="16909200"/>
    <n v="0"/>
    <x v="0"/>
  </r>
  <r>
    <x v="0"/>
    <x v="6"/>
    <s v="Fortalecimiento de la planeación para reducir las limitaciones en la prestación del servicio de energía eléctrica y la atención plena de la demanda nacional."/>
    <s v="Energía"/>
    <s v="Sí"/>
    <s v="Sí"/>
    <n v="68"/>
    <s v="150-63"/>
    <s v="Aumentar señales de expansión y cobertura del servicio de energía eléctrica."/>
    <s v="Documentos de Planeación"/>
    <s v="Documento de planeación validado."/>
    <n v="80111620"/>
    <s v="C-2102-1900-6-40301C-2102009-02"/>
    <s v="Prestación de servicios profesionales y/o de apoyo a la gestión"/>
    <s v="150-63 Prestar los servicios profesionales para apoyar el análisis y procesamiento de solicitudes de los agentes interesados en conectarse a la red nacional, regional y de distribución, conforme a las disposiciones de la Resolución CREG 075 y a los proced"/>
    <s v="Enero "/>
    <s v="Enero "/>
    <s v="Enero "/>
    <n v="12"/>
    <s v="Meses"/>
    <s v="Contratación directa - Prestación de servicios profesionales "/>
    <s v="Propios - 20 - Ingresos corrientes"/>
    <n v="41755350"/>
    <n v="41755350"/>
    <s v="Si"/>
    <s v="Solicitadas"/>
    <s v="Guillermo Holguin Garcia"/>
    <s v="Subdirector de Energía Eléctrica"/>
    <n v="6012220601"/>
    <s v="guillermo.holguin@upme.gov.co"/>
    <n v="25416300"/>
    <n v="0"/>
    <n v="0"/>
    <n v="1815450"/>
    <n v="0"/>
    <n v="3630900"/>
    <n v="0"/>
    <n v="3630900"/>
    <n v="0"/>
    <n v="3630900"/>
    <n v="0"/>
    <n v="3630900"/>
    <n v="0"/>
    <n v="3630900"/>
    <n v="16339050"/>
    <n v="3630900"/>
    <n v="0"/>
    <n v="3630900"/>
    <n v="0"/>
    <n v="3630900"/>
    <n v="0"/>
    <n v="3630900"/>
    <n v="0"/>
    <n v="7261800"/>
    <n v="41755350"/>
    <n v="41755350"/>
    <n v="0"/>
    <n v="0"/>
    <s v="Prestar los servicios profesionales para apoyar el análisis y procesamiento de solicitudes de los agentes interesados en conectarse a la red nacional, regional y de distribución, conforme a las disposiciones de la Resolución CREG 075 y a los procedimiento"/>
    <n v="25416300"/>
    <m/>
    <m/>
    <n v="1815450"/>
    <m/>
    <n v="3630900"/>
    <m/>
    <n v="3630900"/>
    <m/>
    <n v="3630900"/>
    <m/>
    <n v="3630900"/>
    <m/>
    <n v="3630900"/>
    <n v="16339050"/>
    <n v="3630900"/>
    <m/>
    <n v="3630900"/>
    <m/>
    <n v="3630900"/>
    <m/>
    <n v="3630900"/>
    <m/>
    <n v="7261800"/>
    <m/>
    <m/>
    <n v="41755350"/>
    <n v="41755350"/>
    <n v="0"/>
    <n v="0"/>
    <n v="23726"/>
    <d v="2026-01-13T00:00:00"/>
    <n v="25416300"/>
    <n v="16339050"/>
    <n v="6826"/>
    <d v="2026-01-13T00:00:00"/>
    <n v="25416300"/>
    <n v="16339050"/>
    <n v="0"/>
    <s v="ALVARADO RODRIGUEZ JUAN FELIPE"/>
    <s v="CO1.PCCNTR.7421118"/>
    <n v="25416300"/>
    <m/>
    <m/>
    <m/>
    <n v="3630900"/>
    <n v="3630900"/>
    <m/>
    <n v="3630900"/>
    <n v="3630900"/>
    <m/>
    <n v="3630900"/>
    <n v="3630900"/>
    <m/>
    <m/>
    <m/>
    <m/>
    <m/>
    <m/>
    <m/>
    <m/>
    <m/>
    <m/>
    <m/>
    <m/>
    <m/>
    <m/>
    <m/>
    <m/>
    <m/>
    <m/>
    <m/>
    <m/>
    <m/>
    <m/>
    <m/>
    <m/>
    <n v="25416300"/>
    <n v="10892700"/>
    <n v="10892700"/>
    <n v="14523600"/>
    <n v="0"/>
    <x v="0"/>
  </r>
  <r>
    <x v="0"/>
    <x v="6"/>
    <s v="Fortalecimiento de la planeación para reducir las limitaciones en la prestación del servicio de energía eléctrica y la atención plena de la demanda nacional."/>
    <s v="Energía"/>
    <s v="Sí"/>
    <s v="Sí"/>
    <n v="68"/>
    <s v="150-64"/>
    <s v="Aumentar señales de expansión y cobertura del servicio de energía eléctrica."/>
    <s v="Documentos de Planeación"/>
    <s v="Documento de planeación validado."/>
    <n v="80111620"/>
    <s v="C-2102-1900-6-40301C-2102009-02"/>
    <s v="Prestación de servicios profesionales y/o de apoyo a la gestión"/>
    <s v="150-64 Prestar los servicios profesionales para participar en el análisis, procesamiento , evaluación técnico - económica  y respuesta a solicitudes asociadas a proyectos de agentes interesados en conectarse a la red  del Sistema Interconectado Nacional -"/>
    <s v="Enero "/>
    <s v="Enero "/>
    <s v="Enero "/>
    <n v="12"/>
    <s v="Meses"/>
    <s v="Contratación directa - Prestación de servicios profesionales "/>
    <s v="Propios - 20 - Ingresos corrientes"/>
    <n v="80684000"/>
    <n v="80684000"/>
    <s v="No"/>
    <s v="N/A"/>
    <s v="Guillermo Holguin Garcia"/>
    <s v="Subdirector de Energía Eléctrica"/>
    <n v="6012220601"/>
    <s v="guillermo.holguin@upme.gov.co"/>
    <n v="79514667"/>
    <n v="0"/>
    <n v="0"/>
    <n v="3508000"/>
    <n v="0"/>
    <n v="7016000"/>
    <n v="1169333"/>
    <n v="7016000"/>
    <n v="0"/>
    <n v="7016000"/>
    <n v="0"/>
    <n v="7016000"/>
    <n v="0"/>
    <n v="7016000"/>
    <n v="0"/>
    <n v="7016000"/>
    <n v="0"/>
    <n v="7016000"/>
    <n v="0"/>
    <n v="7016000"/>
    <n v="0"/>
    <n v="7016000"/>
    <n v="0"/>
    <n v="14032000"/>
    <n v="80684000"/>
    <n v="80684000"/>
    <n v="0"/>
    <n v="0"/>
    <s v="Prestar los servicios profesionales para participar en el análisis, procesamiento , evaluación técnico - económica  y respuesta a solicitudes asociadas a proyectos de agentes interesados en conectarse a la red  del Sistema Interconectado Nacional - SIN, a"/>
    <n v="79514667"/>
    <m/>
    <m/>
    <n v="3508000"/>
    <m/>
    <n v="7016000"/>
    <n v="1169333"/>
    <n v="7016000"/>
    <m/>
    <n v="7016000"/>
    <m/>
    <n v="7016000"/>
    <m/>
    <n v="7016000"/>
    <m/>
    <n v="7016000"/>
    <m/>
    <n v="7016000"/>
    <m/>
    <n v="7016000"/>
    <m/>
    <n v="7016000"/>
    <m/>
    <n v="14032000"/>
    <m/>
    <m/>
    <n v="80684000"/>
    <n v="80684000"/>
    <n v="0"/>
    <n v="0"/>
    <n v="34826"/>
    <d v="2026-01-15T00:00:00"/>
    <n v="78111467"/>
    <n v="2572533"/>
    <n v="22126"/>
    <d v="2026-01-26T00:00:00"/>
    <n v="78111467"/>
    <n v="2572533"/>
    <n v="0"/>
    <s v="AVENDAÑO PEÑA ALVARO ANDRES"/>
    <s v="CO1.PCCNTR.9068107"/>
    <n v="79514667"/>
    <m/>
    <m/>
    <m/>
    <n v="935466"/>
    <n v="935466"/>
    <n v="-1403200"/>
    <n v="7016000"/>
    <n v="7016000"/>
    <m/>
    <n v="7016000"/>
    <n v="7016000"/>
    <m/>
    <m/>
    <m/>
    <m/>
    <m/>
    <m/>
    <m/>
    <m/>
    <m/>
    <m/>
    <m/>
    <m/>
    <m/>
    <m/>
    <m/>
    <m/>
    <m/>
    <m/>
    <m/>
    <m/>
    <m/>
    <m/>
    <m/>
    <m/>
    <n v="78111467"/>
    <n v="14967466"/>
    <n v="14967466"/>
    <n v="63144001"/>
    <n v="0"/>
    <x v="0"/>
  </r>
  <r>
    <x v="0"/>
    <x v="6"/>
    <s v="Fortalecimiento de la planeación para reducir las limitaciones en la prestación del servicio de energía eléctrica y la atención plena de la demanda nacional."/>
    <s v="Energía"/>
    <s v="Sí"/>
    <s v="Sí"/>
    <n v="68"/>
    <s v="150-65"/>
    <s v="Aumentar señales de expansión y cobertura del servicio de energía eléctrica."/>
    <s v="Documentos de Planeación"/>
    <s v="Documento de planeación validado."/>
    <n v="80111620"/>
    <s v="C-2102-1900-6-40301C-2102009-02"/>
    <s v="Prestación de servicios profesionales y/o de apoyo a la gestión"/>
    <s v="150-65 Prestar sus servicios profesionales para participar en el análisis de la expansión y las solicitudes de asignación de capacidad de proyectos de generación y usuarios finales, procesar la información requerida por los modelos y participar en la gest"/>
    <s v="Enero "/>
    <s v="Enero "/>
    <s v="Febrero"/>
    <n v="12"/>
    <s v="Meses"/>
    <s v="Contratación directa - Prestación de servicios profesionales "/>
    <s v="Propios - 20 - Ingresos corrientes"/>
    <n v="80684000"/>
    <n v="80684000"/>
    <s v="No"/>
    <s v="N/A"/>
    <s v="Guillermo Holguin Garcia"/>
    <s v="Subdirector de Energía Eléctrica"/>
    <n v="6012220601"/>
    <s v="guillermo.holguin@upme.gov.co"/>
    <n v="0"/>
    <n v="0"/>
    <n v="78345333"/>
    <n v="0"/>
    <n v="0"/>
    <n v="3508000"/>
    <n v="2338667"/>
    <n v="7016000"/>
    <n v="0"/>
    <n v="7016000"/>
    <n v="0"/>
    <n v="7016000"/>
    <n v="0"/>
    <n v="7016000"/>
    <n v="0"/>
    <n v="7016000"/>
    <n v="0"/>
    <n v="7016000"/>
    <n v="0"/>
    <n v="7016000"/>
    <n v="0"/>
    <n v="7016000"/>
    <n v="0"/>
    <n v="21048000"/>
    <n v="80684000"/>
    <n v="80684000"/>
    <n v="0"/>
    <n v="0"/>
    <s v="Prestar sus servicios profesionales para participar en el análisis de la expansión y las solicitudes de asignación de capacidad de proyectos de generación y usuarios finales, procesar la información requerida por los modelos y participar en la gestión de "/>
    <m/>
    <m/>
    <n v="78345333"/>
    <m/>
    <m/>
    <n v="3508000"/>
    <n v="2338667"/>
    <n v="7016000"/>
    <m/>
    <n v="7016000"/>
    <m/>
    <n v="7016000"/>
    <m/>
    <n v="7016000"/>
    <m/>
    <n v="7016000"/>
    <m/>
    <n v="7016000"/>
    <m/>
    <n v="7016000"/>
    <m/>
    <n v="7016000"/>
    <m/>
    <n v="21048000"/>
    <m/>
    <m/>
    <n v="80684000"/>
    <n v="80684000"/>
    <n v="0"/>
    <n v="0"/>
    <n v="44126"/>
    <d v="2026-01-17T00:00:00"/>
    <n v="76708267"/>
    <n v="3975733"/>
    <n v="37826"/>
    <d v="2026-02-02T00:00:00"/>
    <n v="76708267"/>
    <n v="3975733"/>
    <n v="0"/>
    <s v="OSORIO MOLINA PAULA ANDREA"/>
    <s v="CO1.PCCNTR.9156916"/>
    <m/>
    <m/>
    <m/>
    <n v="78345333"/>
    <m/>
    <m/>
    <m/>
    <n v="6548267"/>
    <n v="6548267"/>
    <n v="-1637066"/>
    <n v="7016000"/>
    <n v="7016000"/>
    <m/>
    <m/>
    <m/>
    <m/>
    <m/>
    <m/>
    <m/>
    <m/>
    <m/>
    <m/>
    <m/>
    <m/>
    <m/>
    <m/>
    <m/>
    <m/>
    <m/>
    <m/>
    <m/>
    <m/>
    <m/>
    <m/>
    <m/>
    <m/>
    <n v="76708267"/>
    <n v="13564267"/>
    <n v="13564267"/>
    <n v="63144000"/>
    <n v="0"/>
    <x v="0"/>
  </r>
  <r>
    <x v="0"/>
    <x v="6"/>
    <s v="Fortalecimiento de la planeación para reducir las limitaciones en la prestación del servicio de energía eléctrica y la atención plena de la demanda nacional."/>
    <s v="Energía"/>
    <s v="Sí"/>
    <s v="Sí"/>
    <n v="68"/>
    <s v="150-66"/>
    <s v="Aumentar señales de expansión y cobertura del servicio de energía eléctrica."/>
    <s v="Documentos de Planeación"/>
    <s v="Documento de planeación validado."/>
    <n v="80111620"/>
    <s v="C-2102-1900-6-40301C-2102009-02"/>
    <s v="Prestación de servicios profesionales y/o de apoyo a la gestión"/>
    <s v="150-66 Prestar los servicios profesionales para apoyar el análisis y la evaluación técnico–económica de las solicitudes presentadas por los agentes interesados en la conexión de proyectos al Sistema Interconectado Nacional – SIN, así como en el seguimient"/>
    <s v="Enero "/>
    <s v="Enero "/>
    <s v="Enero "/>
    <n v="12"/>
    <s v="Meses"/>
    <s v="Contratación directa - Prestación de servicios profesionales "/>
    <s v="Propios - 20 - Ingresos corrientes"/>
    <n v="80684000"/>
    <n v="80684000"/>
    <s v="No"/>
    <s v="N/A"/>
    <s v="Guillermo Holguin Garcia"/>
    <s v="Subdirector de Energía Eléctrica"/>
    <n v="6012220601"/>
    <s v="guillermo.holguin@upme.gov.co"/>
    <n v="74406850"/>
    <n v="0"/>
    <n v="0"/>
    <n v="3508000"/>
    <n v="0"/>
    <n v="7016000"/>
    <n v="0"/>
    <n v="7016000"/>
    <n v="0"/>
    <n v="7016000"/>
    <n v="0"/>
    <n v="7016000"/>
    <n v="0"/>
    <n v="7016000"/>
    <n v="0"/>
    <n v="7016000"/>
    <n v="0"/>
    <n v="7016000"/>
    <n v="0"/>
    <n v="7016000"/>
    <n v="6277150"/>
    <n v="7016000"/>
    <n v="0"/>
    <n v="14032000"/>
    <n v="80684000"/>
    <n v="80684000"/>
    <n v="0"/>
    <n v="0"/>
    <s v="Prestar los servicios profesionales para apoyar el análisis y la evaluación técnico–económica de las solicitudes presentadas por los agentes interesados en la conexión de proyectos al Sistema Interconectado Nacional – SIN, así como en el seguimiento, conc"/>
    <n v="74406850"/>
    <m/>
    <m/>
    <n v="3508000"/>
    <m/>
    <n v="7016000"/>
    <m/>
    <n v="7016000"/>
    <m/>
    <n v="7016000"/>
    <m/>
    <n v="7016000"/>
    <m/>
    <n v="7016000"/>
    <m/>
    <n v="7016000"/>
    <m/>
    <n v="7016000"/>
    <m/>
    <n v="7016000"/>
    <n v="6277150"/>
    <n v="7016000"/>
    <m/>
    <n v="14032000"/>
    <m/>
    <m/>
    <n v="80684000"/>
    <n v="80684000"/>
    <n v="0"/>
    <n v="0"/>
    <n v="61726"/>
    <d v="2026-01-23T00:00:00"/>
    <n v="73074190"/>
    <n v="7609810"/>
    <n v="36826"/>
    <d v="2026-01-30T00:00:00"/>
    <n v="73074190"/>
    <n v="7609810"/>
    <n v="0"/>
    <s v="GOMEZ RODRIGUEZ MELVIN DAVID"/>
    <s v="CO1.PCCNTR.9149320"/>
    <n v="74406850"/>
    <m/>
    <m/>
    <m/>
    <m/>
    <m/>
    <m/>
    <n v="6441190"/>
    <n v="6441190"/>
    <n v="-1332660"/>
    <n v="6663300"/>
    <n v="6663300"/>
    <m/>
    <m/>
    <m/>
    <m/>
    <m/>
    <m/>
    <m/>
    <m/>
    <m/>
    <m/>
    <m/>
    <m/>
    <m/>
    <m/>
    <m/>
    <m/>
    <m/>
    <m/>
    <m/>
    <m/>
    <m/>
    <m/>
    <m/>
    <m/>
    <n v="73074190"/>
    <n v="13104490"/>
    <n v="13104490"/>
    <n v="59969700"/>
    <n v="0"/>
    <x v="0"/>
  </r>
  <r>
    <x v="0"/>
    <x v="6"/>
    <s v="Fortalecimiento de la planeación para reducir las limitaciones en la prestación del servicio de energía eléctrica y la atención plena de la demanda nacional."/>
    <s v="Energía"/>
    <s v="No"/>
    <s v="Sí"/>
    <n v="14"/>
    <s v="150-67"/>
    <s v="Aumentar señales de expansión y cobertura del servicio de energía eléctrica."/>
    <s v="Documentos de Planeación"/>
    <s v="Documento de planeación validado."/>
    <s v="N/A"/>
    <s v="C-2102-1900-6-40301C-2102009-02"/>
    <s v="Viáticos o gastos de desplazamiento"/>
    <s v="150-67 Viáticos o gastos de desplazamiento"/>
    <s v="N/A"/>
    <s v="N/A"/>
    <s v="N/A"/>
    <s v="N/A"/>
    <s v="N/A"/>
    <s v="N/A"/>
    <s v="Propios - 20 - Ingresos corrientes"/>
    <n v="45000000"/>
    <n v="45000000"/>
    <s v="No"/>
    <s v="N/A"/>
    <s v="Guillermo Holguin Garcia"/>
    <s v="Subdirector de Energía Eléctrica"/>
    <n v="6012220601"/>
    <s v="guillermo.holguin@upme.gov.co"/>
    <n v="0"/>
    <n v="0"/>
    <n v="0"/>
    <n v="0"/>
    <n v="2916667"/>
    <n v="0"/>
    <n v="2916667"/>
    <n v="2916667"/>
    <n v="2916667"/>
    <n v="2916667"/>
    <n v="2916667"/>
    <n v="2916667"/>
    <n v="2916667"/>
    <n v="2916667"/>
    <n v="2916667"/>
    <n v="2916667"/>
    <n v="2916666"/>
    <n v="2916666"/>
    <n v="2916666"/>
    <n v="2916666"/>
    <n v="2916666"/>
    <n v="5833333"/>
    <n v="8750000"/>
    <n v="8750000"/>
    <n v="35000000"/>
    <n v="35000000"/>
    <n v="10000000"/>
    <n v="10000000"/>
    <s v="Viáticos o gastos de desplazamiento"/>
    <m/>
    <m/>
    <m/>
    <m/>
    <n v="4500000"/>
    <m/>
    <n v="4500000"/>
    <n v="4500000"/>
    <n v="4500000"/>
    <n v="4500000"/>
    <n v="4500000"/>
    <n v="4500000"/>
    <n v="4500000"/>
    <n v="4500000"/>
    <n v="4500000"/>
    <n v="4500000"/>
    <n v="4500000"/>
    <n v="4500000"/>
    <n v="4500000"/>
    <n v="4500000"/>
    <n v="4500000"/>
    <n v="4500000"/>
    <n v="4500000"/>
    <n v="9000000"/>
    <m/>
    <m/>
    <n v="45000000"/>
    <n v="45000000"/>
    <n v="0"/>
    <n v="0"/>
    <n v="66426.695259999993"/>
    <d v="2026-01-29T00:00:00"/>
    <n v="45000000"/>
    <n v="0"/>
    <s v="45726,56126,58026,60826,62326,62526,65326,68026,68926,70126,70726,71526,71826,72826"/>
    <s v="05/02/2026,10/02/2026,10/03/2026,10/04/2026"/>
    <n v="13621732"/>
    <n v="31378268"/>
    <n v="31378268"/>
    <s v="HOLGUIN GARCIA GUILLERMO,ACEVEDO ILES MANUEL OCTAVIO,CIFUENTES THORRENS KAROL ENRIQUE,SARRIA TORO MARTHA PATRICIA,SARRIA TORO MARTHA PATRICIA_x000a__x000a_"/>
    <n v="1126"/>
    <m/>
    <m/>
    <m/>
    <n v="3895911"/>
    <n v="3895911"/>
    <n v="3895911"/>
    <n v="1976673"/>
    <n v="1628392"/>
    <n v="1628392"/>
    <n v="7749148"/>
    <n v="5071930"/>
    <n v="5071930"/>
    <m/>
    <m/>
    <m/>
    <m/>
    <m/>
    <m/>
    <m/>
    <m/>
    <m/>
    <m/>
    <m/>
    <m/>
    <m/>
    <m/>
    <m/>
    <m/>
    <m/>
    <m/>
    <m/>
    <m/>
    <m/>
    <m/>
    <m/>
    <m/>
    <n v="13621732"/>
    <n v="10596233"/>
    <n v="10596233"/>
    <n v="3025499"/>
    <n v="0"/>
    <x v="0"/>
  </r>
  <r>
    <x v="0"/>
    <x v="6"/>
    <s v="Fortalecimiento de la planeación para reducir las limitaciones en la prestación del servicio de energía eléctrica y la atención plena de la demanda nacional."/>
    <s v="Energía"/>
    <s v="Sí"/>
    <s v="Sí"/>
    <s v="Radicado 20261500003343"/>
    <s v="150-68"/>
    <s v="Aumentar señales de expansión y cobertura del servicio de energía eléctrica."/>
    <s v="Documentos de Planeación"/>
    <s v="Documento de planeación validado."/>
    <n v="78111502"/>
    <s v="C-2102-1900-6-40301C-2102009-02"/>
    <s v="Tiquetes"/>
    <s v="150-68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0000000"/>
    <n v="50000000"/>
    <s v="No"/>
    <s v="N/A"/>
    <s v="Guillermo Holguin Garcia"/>
    <s v="Subdirector de Energía Eléctrica"/>
    <n v="6012220601"/>
    <s v="guillermo.holguin@upme.gov.co"/>
    <n v="0"/>
    <n v="0"/>
    <n v="0"/>
    <n v="0"/>
    <n v="0"/>
    <n v="0"/>
    <n v="0"/>
    <n v="0"/>
    <n v="0"/>
    <n v="0"/>
    <n v="0"/>
    <n v="0"/>
    <n v="0"/>
    <n v="0"/>
    <n v="0"/>
    <n v="0"/>
    <n v="50000000"/>
    <n v="0"/>
    <n v="0"/>
    <n v="12500000"/>
    <n v="0"/>
    <n v="12500000"/>
    <n v="0"/>
    <n v="25000000"/>
    <n v="50000000"/>
    <n v="50000000"/>
    <n v="0"/>
    <n v="0"/>
    <s v="Adquirir los servicios necesarios para garantizar el desplazamiento de servidores públicos y contratistas de la UPME a los eventos y espacios institucionales de planeación minero energética."/>
    <m/>
    <m/>
    <m/>
    <m/>
    <m/>
    <m/>
    <m/>
    <m/>
    <m/>
    <m/>
    <m/>
    <m/>
    <m/>
    <m/>
    <m/>
    <m/>
    <n v="50000000"/>
    <m/>
    <m/>
    <n v="12500000"/>
    <m/>
    <n v="12500000"/>
    <m/>
    <n v="25000000"/>
    <m/>
    <m/>
    <n v="50000000"/>
    <n v="50000000"/>
    <n v="0"/>
    <n v="0"/>
    <m/>
    <m/>
    <m/>
    <n v="50000000"/>
    <m/>
    <m/>
    <n v="0"/>
    <n v="500000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68"/>
    <s v="150-69"/>
    <s v="Aumentar señales de expansión y cobertura del servicio de energía eléctrica."/>
    <s v="Documentos de Planeación"/>
    <s v="Documento de planeación validado."/>
    <n v="81112501"/>
    <s v="C-2102-1900-6-40301C-2102009-02"/>
    <s v="Software - Licencias"/>
    <s v="150-69 Adquirir servicio de renovación del licenciamiento de los modelos SDDP y OPTGEN, el cual incluye soporte y mantenimiento para las licencias durante la vigencia del servicio, así como la adquisición del servicio de ejecución remota PSR Cloud."/>
    <s v="Septiembre"/>
    <s v="Octubre"/>
    <s v="Noviembre"/>
    <n v="12"/>
    <s v="Meses"/>
    <s v="Contratación directa  - único oferente"/>
    <s v="Propios - 20 - Ingresos corrientes"/>
    <n v="368750411"/>
    <n v="368750411"/>
    <s v="No"/>
    <s v="N/A"/>
    <s v="Guillermo Holguin Garcia"/>
    <s v="Subdirector de Energía Eléctrica"/>
    <n v="6012220601"/>
    <s v="guillermo.holguin@upme.gov.co"/>
    <n v="0"/>
    <n v="0"/>
    <n v="0"/>
    <n v="0"/>
    <n v="0"/>
    <n v="0"/>
    <n v="0"/>
    <n v="0"/>
    <n v="0"/>
    <n v="0"/>
    <n v="0"/>
    <n v="0"/>
    <n v="0"/>
    <n v="0"/>
    <n v="0"/>
    <n v="0"/>
    <n v="0"/>
    <n v="0"/>
    <n v="368750411"/>
    <n v="0"/>
    <n v="0"/>
    <n v="368750411"/>
    <n v="0"/>
    <n v="0"/>
    <n v="368750411"/>
    <n v="368750411"/>
    <n v="0"/>
    <n v="0"/>
    <s v="Adquirir servicio de renovación del licenciamiento de los modelos SDDP y OPTGEN, el cual incluye soporte y mantenimiento para las licencias durante la vigencia del servicio, así como la adquisición del servicio de ejecución remota PSR Cloud."/>
    <m/>
    <m/>
    <m/>
    <m/>
    <m/>
    <m/>
    <m/>
    <m/>
    <m/>
    <m/>
    <m/>
    <m/>
    <m/>
    <m/>
    <m/>
    <m/>
    <m/>
    <m/>
    <n v="368750411"/>
    <m/>
    <m/>
    <n v="368750411"/>
    <m/>
    <m/>
    <m/>
    <m/>
    <n v="368750411"/>
    <n v="368750411"/>
    <n v="0"/>
    <n v="0"/>
    <m/>
    <m/>
    <m/>
    <n v="368750411"/>
    <m/>
    <m/>
    <n v="0"/>
    <n v="368750411"/>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68"/>
    <s v="150-7"/>
    <s v="Aumentar señales de expansión y cobertura del servicio de energía eléctrica."/>
    <s v="Documentos de Planeación"/>
    <s v="Documento de planeación validado."/>
    <n v="80111620"/>
    <s v="C-2102-1900-6-40301C-2102009-02"/>
    <s v="Prestación de servicios profesionales y/o de apoyo a la gestión"/>
    <s v="150-7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11326"/>
    <d v="2026-01-08T00:00:00"/>
    <n v="87000000"/>
    <n v="0"/>
    <n v="35326"/>
    <d v="2026-01-29T00:00:00"/>
    <n v="87000000"/>
    <n v="0"/>
    <n v="0"/>
    <s v="LOPEZ GIRALDO OSCAR ANDRES"/>
    <s v="CO1.PCCNTR.9198055"/>
    <n v="87000000"/>
    <m/>
    <m/>
    <m/>
    <m/>
    <m/>
    <m/>
    <n v="8410000"/>
    <n v="8410000"/>
    <m/>
    <n v="8700000"/>
    <n v="8700000"/>
    <m/>
    <m/>
    <m/>
    <m/>
    <m/>
    <m/>
    <m/>
    <m/>
    <m/>
    <m/>
    <m/>
    <m/>
    <m/>
    <m/>
    <m/>
    <m/>
    <m/>
    <m/>
    <m/>
    <m/>
    <m/>
    <m/>
    <m/>
    <m/>
    <n v="87000000"/>
    <n v="17110000"/>
    <n v="17110000"/>
    <n v="69890000"/>
    <n v="0"/>
    <x v="0"/>
  </r>
  <r>
    <x v="0"/>
    <x v="6"/>
    <s v="Fortalecimiento de la planeación para reducir las limitaciones en la prestación del servicio de energía eléctrica y la atención plena de la demanda nacional."/>
    <s v="Energía"/>
    <s v="Sí"/>
    <s v="Sí"/>
    <n v="6"/>
    <s v="150-70"/>
    <s v="Aumentar señales de expansión y cobertura del servicio de energía eléctrica."/>
    <s v="Documentos de Planeación"/>
    <s v="Documento de planeación validado."/>
    <n v="80111620"/>
    <s v="C-2102-1900-6-40301C-2102009-02"/>
    <s v="Prestación de servicios profesionales y/o de apoyo a la gestión"/>
    <s v="150-70 Prestar servicios profesionales para evaluar de manera integral proyectos de gestión eficiente de la energía, mediante la revisión y análisis de la información y documentación presentada, así como la validación de los soportes, de conformidad con l"/>
    <s v="Enero "/>
    <s v="Enero "/>
    <s v="Febrero"/>
    <n v="6"/>
    <s v="Meses"/>
    <s v="Contratación directa - Prestación de servicios profesionales "/>
    <s v="Propios - 20 - Ingresos corrientes"/>
    <n v="12000000"/>
    <n v="12000000"/>
    <s v="No"/>
    <s v="N/A"/>
    <s v="Guillermo Holguin Garcia"/>
    <s v="Subdirector de Energía Eléctrica"/>
    <n v="6012220601"/>
    <s v="guillermo.holguin@upme.gov.co"/>
    <n v="0"/>
    <n v="0"/>
    <n v="12000000"/>
    <n v="0"/>
    <n v="0"/>
    <n v="0"/>
    <n v="0"/>
    <n v="2000000"/>
    <n v="0"/>
    <n v="2000000"/>
    <n v="0"/>
    <n v="2000000"/>
    <n v="0"/>
    <n v="2000000"/>
    <n v="0"/>
    <n v="2000000"/>
    <n v="0"/>
    <n v="2000000"/>
    <n v="0"/>
    <n v="0"/>
    <n v="0"/>
    <n v="0"/>
    <n v="0"/>
    <n v="0"/>
    <n v="12000000"/>
    <n v="12000000"/>
    <n v="0"/>
    <n v="0"/>
    <s v="Prestar servicios profesionales para evaluar de manera integral proyectos de gestión eficiente de la energía, mediante la revisión y análisis de la información y documentación presentada, así como la validación de los soportes, de conformidad con la norma"/>
    <m/>
    <m/>
    <n v="12000000"/>
    <m/>
    <m/>
    <m/>
    <m/>
    <n v="2000000"/>
    <m/>
    <n v="2000000"/>
    <m/>
    <n v="2000000"/>
    <m/>
    <n v="2000000"/>
    <m/>
    <n v="2000000"/>
    <m/>
    <n v="2000000"/>
    <m/>
    <m/>
    <m/>
    <m/>
    <m/>
    <m/>
    <m/>
    <m/>
    <n v="12000000"/>
    <n v="12000000"/>
    <n v="0"/>
    <n v="0"/>
    <n v="59526"/>
    <d v="2026-01-23T00:00:00"/>
    <n v="12000000"/>
    <n v="0"/>
    <n v="48626"/>
    <d v="2026-02-06T00:00:00"/>
    <n v="12000000"/>
    <n v="0"/>
    <n v="0"/>
    <s v="GOMEZ GALVAN BETSY"/>
    <s v="CO1.PCCNTR.9269152"/>
    <m/>
    <m/>
    <m/>
    <n v="12000000"/>
    <m/>
    <m/>
    <m/>
    <m/>
    <m/>
    <m/>
    <m/>
    <m/>
    <m/>
    <m/>
    <m/>
    <m/>
    <m/>
    <m/>
    <m/>
    <m/>
    <m/>
    <m/>
    <m/>
    <m/>
    <m/>
    <m/>
    <m/>
    <m/>
    <m/>
    <m/>
    <m/>
    <m/>
    <m/>
    <m/>
    <m/>
    <m/>
    <n v="12000000"/>
    <n v="0"/>
    <n v="0"/>
    <n v="12000000"/>
    <n v="0"/>
    <x v="0"/>
  </r>
  <r>
    <x v="0"/>
    <x v="6"/>
    <s v="Fortalecimiento de la planeación para reducir las limitaciones en la prestación del servicio de energía eléctrica y la atención plena de la demanda nacional."/>
    <s v="Energía"/>
    <s v="Sí"/>
    <s v="Sí"/>
    <s v="Radicado 20261500021643"/>
    <s v="150-71"/>
    <s v="Aumentar señales de expansión y cobertura del servicio de energía eléctrica."/>
    <s v="Documentos de Planeación"/>
    <s v="Documento de planeación validado."/>
    <n v="81112501"/>
    <s v="C-2102-1900-6-40301C-2102009-02"/>
    <s v="Software - Licencias"/>
    <s v="150-71 Adquirir el servicio de adición de usuarios a los módulos de la licencia del software DIGSILENT POWER FACTORY y la actualización con el mantenimiento de las licencias existentes, así como el soporte técnico general y específico en el manejo del sof"/>
    <s v="Octubre"/>
    <s v="Noviembre"/>
    <s v="Diciembre"/>
    <n v="12"/>
    <s v="Meses"/>
    <s v="Contratación directa  - único oferente"/>
    <s v="Propios - 21 - Otros recursos de tesorería"/>
    <n v="468830288"/>
    <n v="468830288"/>
    <s v="No"/>
    <s v="N/A"/>
    <s v="Guillermo Holguin Garcia"/>
    <s v="Subdirector de Energía Eléctrica"/>
    <n v="6012220601"/>
    <s v="guillermo.holguin@upme.gov.co"/>
    <n v="0"/>
    <n v="0"/>
    <n v="0"/>
    <n v="0"/>
    <n v="0"/>
    <n v="0"/>
    <n v="0"/>
    <n v="0"/>
    <n v="0"/>
    <n v="0"/>
    <n v="0"/>
    <n v="0"/>
    <n v="0"/>
    <n v="0"/>
    <n v="0"/>
    <n v="0"/>
    <n v="0"/>
    <n v="0"/>
    <n v="0"/>
    <n v="0"/>
    <n v="468830288"/>
    <n v="0"/>
    <n v="0"/>
    <n v="468830288"/>
    <n v="468830288"/>
    <n v="468830288"/>
    <n v="0"/>
    <n v="0"/>
    <s v="Adquirir el servicio de adición de usuarios a los módulos de la licencia del software DIGSILENT POWER FACTORY y la actualización con el mantenimiento de las licencias existentes, así como el soporte técnico general y específico en el manejo del software, "/>
    <m/>
    <m/>
    <m/>
    <m/>
    <m/>
    <m/>
    <m/>
    <m/>
    <m/>
    <m/>
    <m/>
    <m/>
    <m/>
    <m/>
    <m/>
    <m/>
    <m/>
    <m/>
    <m/>
    <m/>
    <n v="468830288"/>
    <m/>
    <m/>
    <n v="468830288"/>
    <m/>
    <m/>
    <n v="468830288"/>
    <n v="468830288"/>
    <n v="0"/>
    <n v="0"/>
    <m/>
    <m/>
    <m/>
    <n v="468830288"/>
    <m/>
    <m/>
    <n v="0"/>
    <n v="468830288"/>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No"/>
    <s v="Sí"/>
    <s v="Radicado 20261500021643"/>
    <s v="150-72"/>
    <s v="Aumentar señales de expansión y cobertura del servicio de energía eléctrica."/>
    <s v="Documentos de Planeación"/>
    <s v="Documento de planeación validado."/>
    <s v="N/A"/>
    <s v="C-2102-1900-6-40301C-2102009-02"/>
    <s v="Planta Temporal"/>
    <s v="150-72 Gastos de personal de los empleos de la planta temporal"/>
    <s v="N/A"/>
    <s v="N/A"/>
    <s v="N/A"/>
    <s v="N/A"/>
    <s v="N/A"/>
    <s v="N/A"/>
    <s v="Propios - 21 - Otros recursos de tesorería"/>
    <n v="467193197"/>
    <n v="467193197"/>
    <s v="No"/>
    <s v="N/A"/>
    <s v="Guillermo Holguin Garcia"/>
    <s v="Subdirector de Energía Eléctrica"/>
    <n v="6012220601"/>
    <s v="guillermo.holguin@upme.gov.co"/>
    <n v="0"/>
    <n v="0"/>
    <n v="0"/>
    <n v="0"/>
    <n v="0"/>
    <n v="0"/>
    <n v="0"/>
    <n v="0"/>
    <n v="0"/>
    <n v="0"/>
    <n v="0"/>
    <n v="0"/>
    <n v="77865533"/>
    <n v="77865533"/>
    <n v="77865533"/>
    <n v="77865533"/>
    <n v="77865533"/>
    <n v="77865533"/>
    <n v="77865533"/>
    <n v="77865533"/>
    <n v="77865533"/>
    <n v="77865533"/>
    <n v="77865532"/>
    <n v="77865532"/>
    <n v="467193197"/>
    <n v="467193197"/>
    <n v="0"/>
    <n v="0"/>
    <s v="Gastos de personal de los empleos de la planta temporal"/>
    <m/>
    <m/>
    <m/>
    <m/>
    <m/>
    <m/>
    <m/>
    <m/>
    <m/>
    <m/>
    <m/>
    <m/>
    <n v="77865533"/>
    <n v="77865533"/>
    <n v="77865533"/>
    <n v="77865533"/>
    <n v="77865533"/>
    <n v="77865533"/>
    <n v="77865533"/>
    <n v="77865533"/>
    <n v="77865533"/>
    <n v="77865533"/>
    <n v="77865532"/>
    <n v="77865532"/>
    <m/>
    <m/>
    <n v="467193197"/>
    <n v="467193197"/>
    <n v="0"/>
    <n v="0"/>
    <m/>
    <m/>
    <m/>
    <n v="467193197"/>
    <m/>
    <m/>
    <n v="0"/>
    <n v="467193197"/>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s v="No. Rad 202601300040373"/>
    <s v="150-73"/>
    <s v="Aumentar señales de expansión y cobertura del servicio de energía eléctrica."/>
    <s v="Documentos de Planeación"/>
    <s v="Documento de planeación validado."/>
    <s v="43201800;43233405;43212201"/>
    <s v="C-2102-1900-6-40301C-2102009-02"/>
    <s v="Hardware (Equipos de computo o partes físicas)"/>
    <s v="150-73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11294665"/>
    <n v="111294665"/>
    <s v="No"/>
    <s v="N/A"/>
    <s v="Guillermo Holguin Garcia"/>
    <s v="Subdirector de Energía Eléctrica"/>
    <n v="6012220601"/>
    <s v="guillermo.holguin@upme.gov.co"/>
    <n v="0"/>
    <n v="0"/>
    <n v="0"/>
    <n v="0"/>
    <n v="0"/>
    <n v="0"/>
    <n v="111294665"/>
    <n v="0"/>
    <n v="0"/>
    <n v="0"/>
    <n v="0"/>
    <n v="111294665"/>
    <n v="0"/>
    <n v="0"/>
    <n v="0"/>
    <n v="0"/>
    <n v="0"/>
    <n v="0"/>
    <n v="0"/>
    <n v="0"/>
    <n v="0"/>
    <n v="0"/>
    <n v="0"/>
    <n v="0"/>
    <n v="111294665"/>
    <n v="111294665"/>
    <n v="0"/>
    <n v="0"/>
    <s v="Adquirir el licenciamiento por suscripción para Plataforma de virtualización y almacenamiento en nube incluyendo la adquisición del hardware para Computación y Storage que soporta esta solución de Hiperconvergencia."/>
    <m/>
    <m/>
    <m/>
    <m/>
    <m/>
    <m/>
    <n v="111294665"/>
    <m/>
    <m/>
    <m/>
    <m/>
    <n v="111294665"/>
    <m/>
    <m/>
    <m/>
    <m/>
    <m/>
    <m/>
    <m/>
    <m/>
    <m/>
    <m/>
    <m/>
    <m/>
    <m/>
    <m/>
    <n v="111294665"/>
    <n v="111294665"/>
    <n v="0"/>
    <n v="0"/>
    <m/>
    <m/>
    <m/>
    <n v="111294665"/>
    <m/>
    <m/>
    <n v="0"/>
    <n v="111294665"/>
    <n v="0"/>
    <m/>
    <m/>
    <m/>
    <m/>
    <m/>
    <m/>
    <m/>
    <m/>
    <m/>
    <m/>
    <m/>
    <m/>
    <m/>
    <m/>
    <m/>
    <m/>
    <m/>
    <m/>
    <m/>
    <m/>
    <m/>
    <m/>
    <m/>
    <m/>
    <m/>
    <m/>
    <m/>
    <m/>
    <m/>
    <m/>
    <m/>
    <m/>
    <m/>
    <m/>
    <m/>
    <m/>
    <m/>
    <m/>
    <n v="0"/>
    <n v="0"/>
    <n v="0"/>
    <n v="0"/>
    <n v="0"/>
    <x v="1"/>
  </r>
  <r>
    <x v="0"/>
    <x v="6"/>
    <s v="Fortalecimiento de la planeación para reducir las limitaciones en la prestación del servicio de energía eléctrica y la atención plena de la demanda nacional."/>
    <s v="Energía"/>
    <s v="Sí"/>
    <s v="Sí"/>
    <n v="20"/>
    <s v="150-74"/>
    <s v="Aumentar señales de expansión y cobertura del servicio de energía eléctrica."/>
    <s v="Documentos de Planeación"/>
    <s v="Documento de planeación validado."/>
    <s v="43201800;43233405;43212201"/>
    <s v="C-2102-1900-6-40301C-2102009-02"/>
    <s v="Hardware (Equipos de computo o partes físicas)"/>
    <s v="150-74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220049292"/>
    <n v="220049292"/>
    <s v="No"/>
    <s v="N/A"/>
    <s v="Guillermo Holguin Garcia"/>
    <s v="Subdirector de Energía Eléctrica"/>
    <n v="6012220601"/>
    <s v="guillermo.holguin@upme.gov.co"/>
    <n v="0"/>
    <n v="0"/>
    <n v="0"/>
    <n v="0"/>
    <n v="0"/>
    <n v="0"/>
    <n v="20049292"/>
    <n v="0"/>
    <n v="0"/>
    <n v="0"/>
    <n v="0"/>
    <n v="20049292"/>
    <n v="0"/>
    <n v="0"/>
    <n v="0"/>
    <n v="0"/>
    <n v="0"/>
    <n v="0"/>
    <n v="0"/>
    <n v="0"/>
    <n v="0"/>
    <n v="0"/>
    <n v="0"/>
    <n v="0"/>
    <n v="20049292"/>
    <n v="20049292"/>
    <n v="200000000"/>
    <n v="200000000"/>
    <s v="Adquirir el licenciamiento por suscripción para Plataforma de virtualización y almacenamiento en nube incluyendo la adquisición del hardware para Computación y Storage que soporta esta solución de Hiperconvergencia."/>
    <m/>
    <m/>
    <m/>
    <m/>
    <m/>
    <m/>
    <n v="220049292"/>
    <m/>
    <m/>
    <n v="220049292"/>
    <m/>
    <m/>
    <m/>
    <m/>
    <m/>
    <m/>
    <m/>
    <m/>
    <m/>
    <m/>
    <m/>
    <m/>
    <m/>
    <m/>
    <m/>
    <m/>
    <n v="220049292"/>
    <n v="220049292"/>
    <n v="0"/>
    <n v="0"/>
    <m/>
    <m/>
    <m/>
    <n v="220049292"/>
    <m/>
    <m/>
    <n v="0"/>
    <n v="220049292"/>
    <n v="0"/>
    <m/>
    <m/>
    <m/>
    <m/>
    <m/>
    <m/>
    <m/>
    <m/>
    <m/>
    <m/>
    <m/>
    <m/>
    <m/>
    <m/>
    <m/>
    <m/>
    <m/>
    <m/>
    <m/>
    <m/>
    <m/>
    <m/>
    <m/>
    <m/>
    <m/>
    <m/>
    <m/>
    <m/>
    <m/>
    <m/>
    <m/>
    <m/>
    <m/>
    <m/>
    <m/>
    <m/>
    <m/>
    <m/>
    <n v="0"/>
    <n v="0"/>
    <n v="0"/>
    <n v="0"/>
    <n v="0"/>
    <x v="1"/>
  </r>
  <r>
    <x v="0"/>
    <x v="6"/>
    <s v="Fortalecimiento de la planeación para reducir las limitaciones en la prestación del servicio de energía eléctrica y la atención plena de la demanda nacional."/>
    <s v="Energía"/>
    <s v="No"/>
    <s v="Sí"/>
    <s v="Radicado 20261500021643"/>
    <s v="150-75"/>
    <s v="Aumentar la oportunidad en la definición de obras y ejecución de los procesos de convocatorias."/>
    <s v="Servicio de Asistencia Técnica"/>
    <s v="Monitorear los resultados e impactos de los proyectos en ejecución de los procesos de convocatorias y subastas."/>
    <s v="N/A"/>
    <s v="C-2102-1900-6-40301C-2102071-02"/>
    <s v="Planta Temporal"/>
    <s v="150-75 Gastos de personal de los empleos de la planta temporal"/>
    <s v="N/A"/>
    <s v="N/A"/>
    <s v="N/A"/>
    <s v="N/A"/>
    <s v="N/A"/>
    <s v="N/A"/>
    <s v="Propios - 21 - Otros recursos de tesorería"/>
    <n v="50424391"/>
    <n v="50424391"/>
    <s v="No"/>
    <s v="N/A"/>
    <s v="Guillermo Holguin Garcia"/>
    <s v="Subdirector de Energía Eléctrica"/>
    <n v="6012220601"/>
    <s v="guillermo.holguin@upme.gov.co"/>
    <n v="0"/>
    <n v="0"/>
    <n v="0"/>
    <n v="0"/>
    <n v="0"/>
    <n v="0"/>
    <n v="0"/>
    <n v="0"/>
    <n v="0"/>
    <n v="0"/>
    <n v="0"/>
    <n v="0"/>
    <n v="8404065"/>
    <n v="8404065"/>
    <n v="8404065"/>
    <n v="8404065"/>
    <n v="8404065"/>
    <n v="8404065"/>
    <n v="8404065"/>
    <n v="8404065"/>
    <n v="8404065"/>
    <n v="8404065"/>
    <n v="8404066"/>
    <n v="8404066"/>
    <n v="50424391"/>
    <n v="50424391"/>
    <n v="0"/>
    <n v="0"/>
    <s v="Gastos de personal de los empleos de la planta temporal"/>
    <m/>
    <m/>
    <m/>
    <m/>
    <m/>
    <m/>
    <m/>
    <m/>
    <m/>
    <m/>
    <m/>
    <m/>
    <n v="8404065"/>
    <n v="8404065"/>
    <n v="8404065"/>
    <n v="8404065"/>
    <n v="8404065"/>
    <n v="8404065"/>
    <n v="8404065"/>
    <n v="8404065"/>
    <n v="8404065"/>
    <n v="8404065"/>
    <n v="8404066"/>
    <n v="8404066"/>
    <m/>
    <m/>
    <n v="50424391"/>
    <n v="50424391"/>
    <n v="0"/>
    <n v="0"/>
    <m/>
    <m/>
    <m/>
    <n v="50424391"/>
    <m/>
    <m/>
    <n v="0"/>
    <n v="50424391"/>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22"/>
    <s v="150-76"/>
    <s v="Aumentar señales de expansión y cobertura del servicio de energía eléctrica."/>
    <s v="Documentos de Planeación"/>
    <s v="Documento de planeación validado."/>
    <n v="80141607"/>
    <s v="C-2102-1900-6-40301C-2102009-02"/>
    <s v="Operador Logístico"/>
    <s v="150-76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
    <s v="Propios - 20 - Ingresos corrientes"/>
    <n v="20000000"/>
    <n v="20000000"/>
    <s v="No"/>
    <s v="N/A"/>
    <s v="Guillermo Holguin Garcia"/>
    <s v="Subdirector de Energía Eléctrica"/>
    <n v="6012220601"/>
    <s v="guillermo.holguin@upme.gov.co"/>
    <n v="10000000"/>
    <n v="0"/>
    <n v="0"/>
    <n v="0"/>
    <n v="0"/>
    <n v="0"/>
    <n v="0"/>
    <n v="0"/>
    <n v="0"/>
    <n v="1250000"/>
    <n v="0"/>
    <n v="1250000"/>
    <n v="0"/>
    <n v="1250000"/>
    <n v="0"/>
    <n v="1250000"/>
    <n v="0"/>
    <n v="1250000"/>
    <n v="0"/>
    <n v="1250000"/>
    <n v="0"/>
    <n v="1250000"/>
    <n v="0"/>
    <n v="1250000"/>
    <n v="10000000"/>
    <n v="10000000"/>
    <n v="10000000"/>
    <n v="10000000"/>
    <s v="Prestación de los servicios de apoyo logístico para el desarrollo de la estrategia de comunicación y participación con actores nacionales y territoriales, así como para otros espacios interinstitucionales en el marco de la misionalidad de la entidad y el "/>
    <n v="10000000"/>
    <m/>
    <m/>
    <m/>
    <m/>
    <m/>
    <m/>
    <m/>
    <n v="10000000"/>
    <n v="2500000"/>
    <m/>
    <n v="2500000"/>
    <m/>
    <n v="2500000"/>
    <m/>
    <n v="2500000"/>
    <m/>
    <n v="2500000"/>
    <m/>
    <n v="2500000"/>
    <m/>
    <n v="2500000"/>
    <m/>
    <n v="2500000"/>
    <m/>
    <m/>
    <n v="20000000"/>
    <n v="20000000"/>
    <n v="0"/>
    <n v="0"/>
    <n v="15126"/>
    <d v="2026-01-09T00:00:00"/>
    <n v="10000000"/>
    <n v="10000000"/>
    <n v="26226"/>
    <d v="2026-01-28T00:00:00"/>
    <n v="10000000"/>
    <n v="10000000"/>
    <n v="0"/>
    <s v="M2C ESTRATEGIAS SAS"/>
    <s v="CO1.PCCNTR.9130164"/>
    <n v="10000000"/>
    <m/>
    <m/>
    <m/>
    <m/>
    <m/>
    <m/>
    <m/>
    <m/>
    <m/>
    <m/>
    <m/>
    <m/>
    <m/>
    <m/>
    <m/>
    <m/>
    <m/>
    <m/>
    <m/>
    <m/>
    <m/>
    <m/>
    <m/>
    <m/>
    <m/>
    <m/>
    <m/>
    <m/>
    <m/>
    <m/>
    <m/>
    <m/>
    <m/>
    <m/>
    <m/>
    <n v="10000000"/>
    <n v="0"/>
    <n v="0"/>
    <n v="10000000"/>
    <n v="0"/>
    <x v="0"/>
  </r>
  <r>
    <x v="0"/>
    <x v="6"/>
    <s v="Fortalecimiento de la planeación para reducir las limitaciones en la prestación del servicio de energía eléctrica y la atención plena de la demanda nacional."/>
    <s v="Energía"/>
    <s v="Sí"/>
    <s v="Sí"/>
    <n v="68"/>
    <s v="150-77"/>
    <s v="Aumentar señales de expansión y cobertura del servicio de energía eléctrica."/>
    <s v="Documentos de Planeación"/>
    <s v="Documento de planeación validado."/>
    <n v="80111620"/>
    <s v="C-2102-1900-6-40301C-2102009-02"/>
    <s v="Prestación de servicios profesionales y/o de apoyo a la gestión"/>
    <s v="150-77 Prestar servicios profesionales para apoyar y fortalecer la gestión del talento humano de la Unidad de Planeación Minero Energética – UPME, mediante el desarrollo de actividades orientadas a la provisión de vacantes, los procesos de vinculación e i"/>
    <s v="Enero "/>
    <s v="Enero "/>
    <s v="Febrero"/>
    <n v="12"/>
    <s v="Meses"/>
    <s v="Contratación directa - Prestación de servicios profesionales "/>
    <s v="Propios - 20 - Ingresos corrientes"/>
    <n v="83636361"/>
    <n v="83636361"/>
    <s v="No"/>
    <s v="N/A"/>
    <s v="Guillermo Holguin Garcia"/>
    <s v="Subdirector de Energía Eléctrica"/>
    <n v="6012220601"/>
    <s v="guillermo.holguin@upme.gov.co"/>
    <n v="0"/>
    <n v="0"/>
    <n v="83636361"/>
    <n v="0"/>
    <n v="0"/>
    <n v="3636364"/>
    <n v="0"/>
    <n v="7272727"/>
    <n v="0"/>
    <n v="7272727"/>
    <n v="0"/>
    <n v="7272727"/>
    <n v="0"/>
    <n v="7272727"/>
    <n v="0"/>
    <n v="7272727"/>
    <n v="0"/>
    <n v="7272727"/>
    <n v="0"/>
    <n v="7272727"/>
    <n v="0"/>
    <n v="7272727"/>
    <n v="0"/>
    <n v="21818181"/>
    <n v="83636361"/>
    <n v="83636361"/>
    <n v="0"/>
    <n v="0"/>
    <s v="Prestar servicios profesionales para apoyar y fortalecer la gestión del talento humano de la Unidad de Planeación Minero Energética – UPME, mediante el desarrollo de actividades orientadas a la provisión de vacantes, los procesos de vinculación e inducció"/>
    <m/>
    <m/>
    <n v="83636361"/>
    <m/>
    <m/>
    <n v="3636364"/>
    <m/>
    <n v="7272727"/>
    <m/>
    <n v="7272727"/>
    <m/>
    <n v="7272727"/>
    <m/>
    <n v="7272727"/>
    <m/>
    <n v="7272727"/>
    <m/>
    <n v="7272727"/>
    <m/>
    <n v="7272727"/>
    <m/>
    <n v="7272727"/>
    <m/>
    <n v="21818181"/>
    <m/>
    <m/>
    <n v="83636361"/>
    <n v="83636361"/>
    <n v="0"/>
    <n v="0"/>
    <n v="31926"/>
    <d v="2026-01-14T00:00:00"/>
    <n v="83636361"/>
    <n v="0"/>
    <n v="40426"/>
    <d v="2026-02-04T00:00:00"/>
    <n v="79999997"/>
    <n v="3636364"/>
    <n v="3636364"/>
    <s v="OSORIO ALVAREZ CARLOS ANDRES"/>
    <s v="CO1.PCCNTR.9238286"/>
    <m/>
    <m/>
    <m/>
    <n v="79999997"/>
    <m/>
    <m/>
    <m/>
    <n v="6303030"/>
    <n v="6303030"/>
    <m/>
    <n v="7272727"/>
    <n v="7272727"/>
    <m/>
    <m/>
    <m/>
    <m/>
    <m/>
    <m/>
    <m/>
    <m/>
    <m/>
    <m/>
    <m/>
    <m/>
    <m/>
    <m/>
    <m/>
    <m/>
    <m/>
    <m/>
    <m/>
    <m/>
    <m/>
    <m/>
    <m/>
    <m/>
    <n v="79999997"/>
    <n v="13575757"/>
    <n v="13575757"/>
    <n v="66424240"/>
    <n v="0"/>
    <x v="0"/>
  </r>
  <r>
    <x v="0"/>
    <x v="6"/>
    <s v="Fortalecimiento de la planeación para reducir las limitaciones en la prestación del servicio de energía eléctrica y la atención plena de la demanda nacional."/>
    <s v="Energía"/>
    <s v="Sí"/>
    <s v="Sí"/>
    <n v="68"/>
    <s v="150-78"/>
    <s v="Aumentar señales de expansión y cobertura del servicio de energía eléctrica."/>
    <s v="Documentos de Planeación"/>
    <s v="Documento de planeación validado."/>
    <n v="80111620"/>
    <s v="C-2102-1900-6-40301C-2102009-02"/>
    <s v="Prestación de servicios profesionales y/o de apoyo a la gestión"/>
    <s v="150-78 Prestar los servicios profesionales para apoyar y gestionar las actividades orientadas al fortalecimiento del proceso de atención al ciudadano, así como garantizando la adecuada implementación, seguimiento y evaluación de la política de participaci"/>
    <s v="Enero "/>
    <s v="Enero "/>
    <s v="Enero "/>
    <n v="12"/>
    <s v="Meses"/>
    <s v="Contratación directa - Prestación de servicios profesionales "/>
    <s v="Propios - 20 - Ingresos corrientes"/>
    <n v="63250000"/>
    <n v="63250000"/>
    <s v="No"/>
    <s v="N/A"/>
    <s v="Guillermo Holguin Garcia"/>
    <s v="Subdirector de Energía Eléctrica"/>
    <n v="6012220601"/>
    <s v="guillermo.holguin@upme.gov.co"/>
    <n v="60500000"/>
    <n v="0"/>
    <n v="0"/>
    <n v="5500000"/>
    <n v="0"/>
    <n v="5500000"/>
    <n v="0"/>
    <n v="5500000"/>
    <n v="0"/>
    <n v="5500000"/>
    <n v="0"/>
    <n v="5500000"/>
    <n v="0"/>
    <n v="5500000"/>
    <n v="0"/>
    <n v="5500000"/>
    <n v="0"/>
    <n v="5500000"/>
    <n v="0"/>
    <n v="5500000"/>
    <n v="2750000"/>
    <n v="5500000"/>
    <n v="0"/>
    <n v="8250000"/>
    <n v="63250000"/>
    <n v="63250000"/>
    <n v="0"/>
    <n v="0"/>
    <s v="Prestar los servicios profesionales para apoyar y gestionar las actividades orientadas al fortalecimiento del proceso de atención al ciudadano, así como garantizando la adecuada implementación, seguimiento y evaluación de la política de participación ciud"/>
    <n v="60500000"/>
    <m/>
    <m/>
    <n v="5500000"/>
    <m/>
    <n v="5500000"/>
    <m/>
    <n v="5500000"/>
    <m/>
    <n v="5500000"/>
    <m/>
    <n v="5500000"/>
    <m/>
    <n v="5500000"/>
    <m/>
    <n v="5500000"/>
    <m/>
    <n v="5500000"/>
    <m/>
    <n v="5500000"/>
    <n v="2750000"/>
    <n v="5500000"/>
    <m/>
    <n v="8250000"/>
    <m/>
    <m/>
    <n v="63250000"/>
    <n v="63250000"/>
    <n v="0"/>
    <n v="0"/>
    <n v="38526"/>
    <d v="2026-01-15T00:00:00"/>
    <n v="63250000"/>
    <n v="0"/>
    <n v="26826"/>
    <d v="2026-01-28T00:00:00"/>
    <n v="60500000"/>
    <n v="2750000"/>
    <n v="2750000"/>
    <s v="CASTRO BECERRA EDINSON FABIAN"/>
    <s v="CO1.PCCNTR.9144685"/>
    <n v="60500000"/>
    <m/>
    <m/>
    <m/>
    <n v="366667"/>
    <n v="366667"/>
    <m/>
    <n v="5500000"/>
    <n v="5500000"/>
    <m/>
    <n v="5500000"/>
    <n v="5500000"/>
    <m/>
    <m/>
    <m/>
    <m/>
    <m/>
    <m/>
    <m/>
    <m/>
    <m/>
    <m/>
    <m/>
    <m/>
    <m/>
    <m/>
    <m/>
    <m/>
    <m/>
    <m/>
    <m/>
    <m/>
    <m/>
    <m/>
    <m/>
    <m/>
    <n v="60500000"/>
    <n v="11366667"/>
    <n v="11366667"/>
    <n v="49133333"/>
    <n v="0"/>
    <x v="0"/>
  </r>
  <r>
    <x v="0"/>
    <x v="6"/>
    <s v="Fortalecimiento de la planeación para reducir las limitaciones en la prestación del servicio de energía eléctrica y la atención plena de la demanda nacional."/>
    <s v="Energía"/>
    <s v="Sí"/>
    <s v="Sí"/>
    <n v="1"/>
    <s v="150-79"/>
    <s v="Aumentar señales de expansión y cobertura del servicio de energía eléctrica."/>
    <s v="Documentos de Planeación"/>
    <s v="Documento de planeación validado."/>
    <n v="80111620"/>
    <s v="C-2102-1900-6-40301C-2102009-02"/>
    <s v="Prestación de servicios profesionales y/o de apoyo a la gestión"/>
    <s v="150-79 Prestar servicios de apoyo en la etapa precontractual y contractual, en el marco de la gestión administrativa y los procesos internos de la UPME."/>
    <s v="Enero "/>
    <s v="Enero "/>
    <s v="Enero "/>
    <n v="11.5"/>
    <s v="Meses"/>
    <s v="Contratación directa - Prestación de servicios profesionales "/>
    <s v="Propios - 20 - Ingresos corrientes"/>
    <n v="34879454"/>
    <n v="34879454"/>
    <s v="No"/>
    <s v="N/A"/>
    <s v="Guillermo Holguin Garcia"/>
    <s v="Subdirector de Energía Eléctrica"/>
    <n v="6012220601"/>
    <s v="guillermo.holguin@upme.gov.co"/>
    <n v="34879454"/>
    <n v="0"/>
    <n v="0"/>
    <n v="3032996"/>
    <n v="0"/>
    <n v="3032996"/>
    <n v="0"/>
    <n v="3032996"/>
    <n v="0"/>
    <n v="3032996"/>
    <n v="0"/>
    <n v="3032996"/>
    <n v="0"/>
    <n v="3032996"/>
    <n v="0"/>
    <n v="3032996"/>
    <n v="0"/>
    <n v="3032996"/>
    <n v="0"/>
    <n v="3032996"/>
    <n v="0"/>
    <n v="3032996"/>
    <n v="0"/>
    <n v="4549494"/>
    <n v="34879454"/>
    <n v="34879454"/>
    <n v="0"/>
    <n v="0"/>
    <s v="Prestar servicios de apoyo en la etapa precontractual y contractual, en el marco de la gestión administrativa y los procesos internos de la UPME."/>
    <n v="34879454"/>
    <m/>
    <m/>
    <n v="3032996"/>
    <m/>
    <n v="3032996"/>
    <m/>
    <n v="3032996"/>
    <m/>
    <n v="3032996"/>
    <m/>
    <n v="3032996"/>
    <m/>
    <n v="3032996"/>
    <m/>
    <n v="3032996"/>
    <m/>
    <n v="3032996"/>
    <m/>
    <n v="3032996"/>
    <m/>
    <n v="3032996"/>
    <m/>
    <n v="4549494"/>
    <m/>
    <m/>
    <n v="34879454"/>
    <n v="34879454"/>
    <n v="0"/>
    <n v="0"/>
    <n v="24826"/>
    <d v="2026-01-13T00:00:00"/>
    <n v="34272854"/>
    <n v="606600"/>
    <n v="14526"/>
    <d v="2026-01-21T00:00:00"/>
    <n v="34272854"/>
    <n v="606600"/>
    <n v="0"/>
    <s v="PICO CUADROS KERLY"/>
    <n v="1096254670"/>
    <n v="34879454"/>
    <m/>
    <m/>
    <m/>
    <m/>
    <m/>
    <n v="-606600"/>
    <n v="3942894"/>
    <n v="3942894"/>
    <m/>
    <n v="3032996"/>
    <n v="3032996"/>
    <m/>
    <m/>
    <m/>
    <m/>
    <m/>
    <m/>
    <m/>
    <m/>
    <m/>
    <m/>
    <m/>
    <m/>
    <m/>
    <m/>
    <m/>
    <m/>
    <m/>
    <m/>
    <m/>
    <m/>
    <m/>
    <m/>
    <m/>
    <m/>
    <n v="34272854"/>
    <n v="6975890"/>
    <n v="6975890"/>
    <n v="27296964"/>
    <n v="0"/>
    <x v="0"/>
  </r>
  <r>
    <x v="0"/>
    <x v="6"/>
    <s v="Fortalecimiento de la planeación para reducir las limitaciones en la prestación del servicio de energía eléctrica y la atención plena de la demanda nacional."/>
    <s v="Energía"/>
    <s v="Sí"/>
    <s v="Sí"/>
    <n v="68"/>
    <s v="150-8"/>
    <s v="Aumentar señales de expansión y cobertura del servicio de energía eléctrica."/>
    <s v="Documentos de Planeación"/>
    <s v="Documento de planeación validado."/>
    <n v="80111620"/>
    <s v="C-2102-1900-6-40301C-2102009-02"/>
    <s v="Prestación de servicios profesionales y/o de apoyo a la gestión"/>
    <s v="150-8 Prestar servicios ​profesionales en asuntos jurídicos relacionados con los procesos ​y procedimientos de competencia de la Oficina Asesora Jurídica de la UPME, en el marco de la gestión institucional de la Entidad."/>
    <s v="Enero "/>
    <s v="Enero "/>
    <s v="Enero "/>
    <n v="10"/>
    <s v="Meses"/>
    <s v="Contratación directa - Prestación de servicios profesionales "/>
    <s v="Propios - 20 - Ingresos corrientes"/>
    <n v="45000000"/>
    <n v="45000000"/>
    <s v="No"/>
    <s v="N/A"/>
    <s v="Guillermo Holguin Garcia"/>
    <s v="Subdirector de Energía Eléctrica"/>
    <n v="6012220601"/>
    <s v="guillermo.holguin@upme.gov.co"/>
    <n v="45000000"/>
    <n v="0"/>
    <n v="0"/>
    <n v="0"/>
    <n v="0"/>
    <n v="4500000"/>
    <n v="0"/>
    <n v="4500000"/>
    <n v="0"/>
    <n v="4500000"/>
    <n v="0"/>
    <n v="4500000"/>
    <n v="0"/>
    <n v="4500000"/>
    <n v="0"/>
    <n v="4500000"/>
    <n v="0"/>
    <n v="4500000"/>
    <n v="0"/>
    <n v="4500000"/>
    <n v="0"/>
    <n v="4500000"/>
    <n v="0"/>
    <n v="4500000"/>
    <n v="45000000"/>
    <n v="45000000"/>
    <n v="0"/>
    <n v="0"/>
    <s v="Prestar servicios ​profesionales en asuntos jurídicos relacionados con los procesos ​y procedimientos de competencia de la Oficina Asesora Jurídica de la UPME, en el marco de la gestión institucional de la Entidad."/>
    <n v="45000000"/>
    <m/>
    <m/>
    <m/>
    <m/>
    <n v="4500000"/>
    <m/>
    <n v="4500000"/>
    <m/>
    <n v="4500000"/>
    <m/>
    <n v="4500000"/>
    <m/>
    <n v="4500000"/>
    <m/>
    <n v="4500000"/>
    <m/>
    <n v="4500000"/>
    <m/>
    <n v="4500000"/>
    <m/>
    <n v="4500000"/>
    <m/>
    <n v="4500000"/>
    <m/>
    <m/>
    <n v="45000000"/>
    <n v="45000000"/>
    <n v="0"/>
    <n v="0"/>
    <n v="11126"/>
    <d v="2026-01-08T00:00:00"/>
    <n v="45000000"/>
    <n v="0"/>
    <n v="12626"/>
    <d v="2026-01-20T00:00:00"/>
    <n v="45000000"/>
    <n v="0"/>
    <n v="0"/>
    <s v="SANABRIA VELAZQUEZ GIOVANNY ALEXANDER"/>
    <s v="CO1.PCCNTR.8919539"/>
    <n v="45000000"/>
    <m/>
    <m/>
    <m/>
    <n v="1500000"/>
    <n v="1500000"/>
    <m/>
    <n v="4500000"/>
    <n v="4500000"/>
    <m/>
    <n v="4500000"/>
    <n v="4500000"/>
    <m/>
    <m/>
    <m/>
    <m/>
    <m/>
    <m/>
    <m/>
    <m/>
    <m/>
    <m/>
    <m/>
    <m/>
    <m/>
    <m/>
    <m/>
    <m/>
    <m/>
    <m/>
    <m/>
    <m/>
    <m/>
    <m/>
    <m/>
    <m/>
    <n v="45000000"/>
    <n v="10500000"/>
    <n v="10500000"/>
    <n v="34500000"/>
    <n v="0"/>
    <x v="0"/>
  </r>
  <r>
    <x v="0"/>
    <x v="6"/>
    <s v="Fortalecimiento de la planeación para reducir las limitaciones en la prestación del servicio de energía eléctrica y la atención plena de la demanda nacional."/>
    <s v="Energía"/>
    <s v="Sí"/>
    <s v="Sí"/>
    <n v="3"/>
    <s v="150-80"/>
    <s v="Aumentar señales de expansión y cobertura del servicio de energía eléctrica."/>
    <s v="Documentos de Planeación"/>
    <s v="Documento de planeación validado."/>
    <n v="80111620"/>
    <s v="C-2102-1900-6-40301C-2102009-02"/>
    <s v="Prestación de servicios profesionales y/o de apoyo a la gestión"/>
    <s v="150-80 Prestar los servicios profesionales de apoyo al Grupo Interno de Trabajo de Gestión del Talento Humano de la UPME, en el fortalecimiento de los procesos de bienestar, desarrollo del talento humano y acompañamiento a la gestión de previsión de vacan"/>
    <s v="Enero "/>
    <s v="Enero "/>
    <s v="Enero "/>
    <n v="7"/>
    <s v="Meses"/>
    <s v="Contratación directa - Prestación de servicios profesionales "/>
    <s v="Propios - 20 - Ingresos corrientes"/>
    <n v="37782675"/>
    <n v="37782675"/>
    <s v="No"/>
    <s v="N/A"/>
    <s v="Guillermo Holguin Garcia"/>
    <s v="Subdirector de Energía Eléctrica"/>
    <n v="6012220601"/>
    <s v="guillermo.holguin@upme.gov.co"/>
    <n v="37620000"/>
    <n v="0"/>
    <n v="0"/>
    <n v="3285450"/>
    <n v="0"/>
    <n v="3285450"/>
    <n v="0"/>
    <n v="3285450"/>
    <n v="0"/>
    <n v="3285450"/>
    <n v="0"/>
    <n v="3285450"/>
    <n v="0"/>
    <n v="3285450"/>
    <n v="0"/>
    <n v="3285450"/>
    <n v="0"/>
    <n v="3285450"/>
    <n v="0"/>
    <n v="3285450"/>
    <n v="162675"/>
    <n v="3285450"/>
    <n v="0"/>
    <n v="4928175"/>
    <n v="37782675"/>
    <n v="37782675"/>
    <n v="0"/>
    <n v="0"/>
    <s v="Prestar los servicios profesionales de apoyo al Grupo Interno de Trabajo de Gestión del Talento Humano de la UPME, en el fortalecimiento de los procesos de bienestar, desarrollo del talento humano y acompañamiento a la gestión de previsión de vacantes, en"/>
    <n v="37620000"/>
    <m/>
    <m/>
    <n v="3285450"/>
    <m/>
    <n v="3285450"/>
    <m/>
    <n v="3285450"/>
    <m/>
    <n v="3285450"/>
    <m/>
    <n v="3285450"/>
    <m/>
    <n v="3285450"/>
    <m/>
    <n v="3285450"/>
    <m/>
    <n v="3285450"/>
    <m/>
    <n v="3285450"/>
    <n v="162675"/>
    <n v="3285450"/>
    <m/>
    <n v="4928175"/>
    <m/>
    <m/>
    <n v="37782675"/>
    <n v="37782675"/>
    <n v="0"/>
    <n v="0"/>
    <n v="43426"/>
    <d v="2026-01-17T00:00:00"/>
    <n v="37782675"/>
    <n v="0"/>
    <n v="25626"/>
    <d v="2026-01-28T00:00:00"/>
    <n v="37620000"/>
    <n v="162675"/>
    <n v="162675"/>
    <s v="TAMARA VILLAMIZAR NESTOR ALFONSO"/>
    <s v="CO1.PCCNTR.9096123"/>
    <n v="37620000"/>
    <m/>
    <m/>
    <m/>
    <m/>
    <m/>
    <m/>
    <n v="5760000"/>
    <n v="5760000"/>
    <m/>
    <n v="5400000"/>
    <n v="5400000"/>
    <m/>
    <m/>
    <m/>
    <m/>
    <m/>
    <m/>
    <m/>
    <m/>
    <m/>
    <m/>
    <m/>
    <m/>
    <m/>
    <m/>
    <m/>
    <m/>
    <m/>
    <m/>
    <m/>
    <m/>
    <m/>
    <m/>
    <m/>
    <m/>
    <n v="37620000"/>
    <n v="11160000"/>
    <n v="11160000"/>
    <n v="26460000"/>
    <n v="0"/>
    <x v="0"/>
  </r>
  <r>
    <x v="0"/>
    <x v="6"/>
    <s v="Fortalecimiento de la planeación para reducir las limitaciones en la prestación del servicio de energía eléctrica y la atención plena de la demanda nacional."/>
    <s v="Energía"/>
    <s v="Sí"/>
    <s v="Sí"/>
    <n v="68"/>
    <s v="150-81"/>
    <s v="Aumentar señales de expansión y cobertura del servicio de energía eléctrica."/>
    <s v="Documentos de Planeación"/>
    <s v="Documento de planeación validado."/>
    <n v="80111620"/>
    <s v="C-2102-1900-6-40301C-2102009-02"/>
    <s v="Prestación de servicios profesionales y/o de apoyo a la gestión"/>
    <s v="150-81 Prestar los servicios profesionales de apoyo al Grupo Interno de Trabajo de Gestión del Talento Humano, en el fortalecimiento de los planes y programas de bienestar social, clima laboral y convivencia organizacional de la UPME, así como en la ejecu"/>
    <s v="Enero "/>
    <s v="Enero "/>
    <s v="Enero "/>
    <n v="12"/>
    <s v="Meses"/>
    <s v="Contratación directa - Prestación de servicios profesionales "/>
    <s v="Propios - 21 - Otros recursos de tesorería"/>
    <n v="31197784"/>
    <n v="31197784"/>
    <s v="No"/>
    <s v="N/A"/>
    <s v="Guillermo Holguin Garcia"/>
    <s v="Subdirector de Energía Eléctrica"/>
    <n v="6012220601"/>
    <s v="guillermo.holguin@upme.gov.co"/>
    <n v="29397784"/>
    <n v="0"/>
    <n v="0"/>
    <n v="2712851"/>
    <n v="0"/>
    <n v="2712851"/>
    <n v="0"/>
    <n v="2712851"/>
    <n v="0"/>
    <n v="2712851"/>
    <n v="0"/>
    <n v="2712851"/>
    <n v="0"/>
    <n v="2712851"/>
    <n v="0"/>
    <n v="2712851"/>
    <n v="0"/>
    <n v="2712851"/>
    <n v="0"/>
    <n v="2712851"/>
    <n v="1800000"/>
    <n v="2712851"/>
    <n v="0"/>
    <n v="4069274"/>
    <n v="31197784"/>
    <n v="31197784"/>
    <n v="0"/>
    <n v="0"/>
    <s v="Prestar los servicios profesionales de apoyo al Grupo Interno de Trabajo de Gestión del Talento Humano, en el fortalecimiento de los planes y programas de bienestar social, clima laboral y convivencia organizacional de la UPME, así como en la ejecución de"/>
    <n v="29397784"/>
    <m/>
    <m/>
    <n v="2712851"/>
    <m/>
    <n v="2712851"/>
    <m/>
    <n v="2712851"/>
    <m/>
    <n v="2712851"/>
    <m/>
    <n v="2712851"/>
    <m/>
    <n v="2712851"/>
    <m/>
    <n v="2712851"/>
    <m/>
    <n v="2712851"/>
    <m/>
    <n v="2712851"/>
    <n v="1800000"/>
    <n v="2712851"/>
    <m/>
    <n v="4069274"/>
    <m/>
    <m/>
    <n v="31197784"/>
    <n v="31197784"/>
    <n v="0"/>
    <n v="0"/>
    <n v="43026"/>
    <d v="2026-01-16T00:00:00"/>
    <n v="31197784"/>
    <n v="0"/>
    <n v="28926"/>
    <d v="2026-01-28T00:00:00"/>
    <n v="29397784"/>
    <n v="1800000"/>
    <n v="1800000"/>
    <s v="MANTILLA DIAZ GRANADOS PAULA ANDREA"/>
    <s v="CO1.PCCNTR.9108132"/>
    <n v="29397784"/>
    <m/>
    <m/>
    <m/>
    <m/>
    <m/>
    <m/>
    <m/>
    <m/>
    <m/>
    <m/>
    <m/>
    <m/>
    <m/>
    <m/>
    <m/>
    <m/>
    <m/>
    <m/>
    <m/>
    <m/>
    <m/>
    <m/>
    <m/>
    <m/>
    <m/>
    <m/>
    <m/>
    <m/>
    <m/>
    <m/>
    <m/>
    <m/>
    <m/>
    <m/>
    <m/>
    <n v="29397784"/>
    <n v="0"/>
    <n v="0"/>
    <n v="29397784"/>
    <n v="0"/>
    <x v="0"/>
  </r>
  <r>
    <x v="0"/>
    <x v="6"/>
    <s v="Fortalecimiento de la planeación para reducir las limitaciones en la prestación del servicio de energía eléctrica y la atención plena de la demanda nacional."/>
    <s v="Energía"/>
    <s v="Sí"/>
    <s v="Sí"/>
    <n v="68"/>
    <s v="150-82"/>
    <s v="Aumentar señales de expansión y cobertura del servicio de energía eléctrica."/>
    <s v="Documentos de Planeación"/>
    <s v="Documento de planeación validado."/>
    <n v="80111620"/>
    <s v="C-2102-1900-6-40301C-2102009-02"/>
    <s v="Prestación de servicios profesionales y/o de apoyo a la gestión"/>
    <s v="150-82 Prestar los servicios profesionales de apoyo al Grupo Interno de Trabajo de Gestión del Talento Humano, en el fortalecimiento de los planes y programas de bienestar social, clima laboral y convivencia organizacional de la UPME, así como en la ejecu"/>
    <s v="Enero "/>
    <s v="Enero "/>
    <s v="Enero "/>
    <n v="12"/>
    <s v="Meses"/>
    <s v="Contratación directa - Prestación de servicios profesionales "/>
    <s v="Propios - 20 - Ingresos corrientes"/>
    <n v="10202216"/>
    <n v="10202216"/>
    <s v="No"/>
    <s v="N/A"/>
    <s v="Guillermo Holguin Garcia"/>
    <s v="Subdirector de Energía Eléctrica"/>
    <n v="6012220601"/>
    <s v="guillermo.holguin@upme.gov.co"/>
    <n v="10202216"/>
    <n v="0"/>
    <n v="0"/>
    <n v="887149"/>
    <n v="0"/>
    <n v="887149"/>
    <n v="0"/>
    <n v="887149"/>
    <n v="0"/>
    <n v="887149"/>
    <n v="0"/>
    <n v="887149"/>
    <n v="0"/>
    <n v="887149"/>
    <n v="0"/>
    <n v="887149"/>
    <n v="0"/>
    <n v="887149"/>
    <n v="0"/>
    <n v="887149"/>
    <n v="0"/>
    <n v="887149"/>
    <n v="0"/>
    <n v="1330726"/>
    <n v="10202216"/>
    <n v="10202216"/>
    <n v="0"/>
    <n v="0"/>
    <s v="Prestar los servicios profesionales de apoyo al Grupo Interno de Trabajo de Gestión del Talento Humano, en el fortalecimiento de los planes y programas de bienestar social, clima laboral y convivencia organizacional de la UPME, así como en la ejecución de"/>
    <n v="10202216"/>
    <m/>
    <m/>
    <n v="887149"/>
    <m/>
    <n v="887149"/>
    <m/>
    <n v="887149"/>
    <m/>
    <n v="887149"/>
    <m/>
    <n v="887149"/>
    <m/>
    <n v="887149"/>
    <m/>
    <n v="887149"/>
    <m/>
    <n v="887149"/>
    <m/>
    <n v="887149"/>
    <m/>
    <n v="887149"/>
    <m/>
    <n v="1330726"/>
    <m/>
    <m/>
    <n v="10202216"/>
    <n v="10202216"/>
    <n v="0"/>
    <n v="0"/>
    <n v="43026"/>
    <d v="2026-01-16T00:00:00"/>
    <n v="10202216"/>
    <n v="0"/>
    <n v="28926"/>
    <d v="2026-01-28T00:00:00"/>
    <n v="10202216"/>
    <n v="0"/>
    <n v="0"/>
    <s v="MANTILLA DIAZ GRANADOS PAULA ANDREA"/>
    <s v="CO1.PCCNTR.9108132"/>
    <n v="10202216"/>
    <m/>
    <m/>
    <m/>
    <m/>
    <m/>
    <m/>
    <n v="240000"/>
    <n v="240000"/>
    <m/>
    <n v="7200000"/>
    <n v="7200000"/>
    <m/>
    <m/>
    <m/>
    <m/>
    <m/>
    <m/>
    <m/>
    <m/>
    <m/>
    <m/>
    <m/>
    <m/>
    <m/>
    <m/>
    <m/>
    <m/>
    <m/>
    <m/>
    <m/>
    <m/>
    <m/>
    <m/>
    <m/>
    <m/>
    <n v="10202216"/>
    <n v="7440000"/>
    <n v="7440000"/>
    <n v="2762216"/>
    <n v="0"/>
    <x v="0"/>
  </r>
  <r>
    <x v="0"/>
    <x v="6"/>
    <s v="Fortalecimiento de la planeación para reducir las limitaciones en la prestación del servicio de energía eléctrica y la atención plena de la demanda nacional."/>
    <s v="Energía"/>
    <s v="Sí"/>
    <s v="Sí"/>
    <n v="2"/>
    <s v="150-83"/>
    <s v="Aumentar señales de expansión y cobertura del servicio de energía eléctrica."/>
    <s v="Documentos de Planeación"/>
    <s v="Documento de planeación validado."/>
    <n v="80111620"/>
    <s v="C-2102-1900-6-40301C-2102009-02"/>
    <s v="Prestación de servicios profesionales y/o de apoyo a la gestión"/>
    <s v="150-83 Prestar servicios profesionales para la proyección de documentos de contenido legal y apoyo de los asuntos de tipo jurídico que resulten de las actuaciones administrativas de competencia de la Subdirección de Energía Eléctrica. "/>
    <s v="Enero "/>
    <s v="Enero "/>
    <s v="Febrero"/>
    <n v="10"/>
    <s v="Meses"/>
    <s v="Contratación directa - Prestación de servicios profesionales "/>
    <s v="Propios - 20 - Ingresos corrientes"/>
    <n v="38909378"/>
    <n v="38909378"/>
    <s v="No"/>
    <s v="N/A"/>
    <s v="Guillermo Holguin Garcia"/>
    <s v="Subdirector de Energía Eléctrica"/>
    <n v="6012220601"/>
    <s v="guillermo.holguin@upme.gov.co"/>
    <n v="0"/>
    <n v="0"/>
    <n v="35000000"/>
    <n v="0"/>
    <n v="0"/>
    <n v="3890938"/>
    <n v="0"/>
    <n v="3890938"/>
    <n v="0"/>
    <n v="3890938"/>
    <n v="0"/>
    <n v="3890938"/>
    <n v="0"/>
    <n v="3890938"/>
    <n v="0"/>
    <n v="3890938"/>
    <n v="0"/>
    <n v="3890938"/>
    <n v="0"/>
    <n v="3890938"/>
    <n v="3909378"/>
    <n v="3890938"/>
    <n v="0"/>
    <n v="3890936"/>
    <n v="38909378"/>
    <n v="38909378"/>
    <n v="0"/>
    <n v="0"/>
    <s v="Prestar servicios profesionales para la proyección de documentos de contenido legal y apoyo de los asuntos de tipo jurídico que resulten de las actuaciones administrativas de competencia de la Subdirección de Energía Eléctrica. "/>
    <m/>
    <m/>
    <n v="35000000"/>
    <m/>
    <m/>
    <n v="3890938"/>
    <m/>
    <n v="3890938"/>
    <m/>
    <n v="3890938"/>
    <m/>
    <n v="3890938"/>
    <m/>
    <n v="3890938"/>
    <m/>
    <n v="3890938"/>
    <m/>
    <n v="3890938"/>
    <m/>
    <n v="3890938"/>
    <n v="3909378"/>
    <n v="3890938"/>
    <m/>
    <n v="3890936"/>
    <m/>
    <m/>
    <n v="38909378"/>
    <n v="38909378"/>
    <n v="0"/>
    <n v="0"/>
    <n v="56926"/>
    <d v="2026-01-22T00:00:00"/>
    <n v="35000000"/>
    <n v="3909378"/>
    <n v="49326"/>
    <s v="09/02/2026,20/03/2026"/>
    <n v="35000000"/>
    <n v="3909378"/>
    <n v="0"/>
    <s v="CARMONA LOZANO MABEL ANDREA,ORTEGA THERAN ANYELITZA_x000a_"/>
    <s v="CO1.PCCNTR.9285665"/>
    <m/>
    <m/>
    <m/>
    <n v="35000000"/>
    <m/>
    <m/>
    <m/>
    <m/>
    <m/>
    <m/>
    <m/>
    <m/>
    <m/>
    <m/>
    <m/>
    <m/>
    <m/>
    <m/>
    <m/>
    <m/>
    <m/>
    <m/>
    <m/>
    <m/>
    <m/>
    <m/>
    <m/>
    <m/>
    <m/>
    <m/>
    <m/>
    <m/>
    <m/>
    <m/>
    <m/>
    <m/>
    <n v="35000000"/>
    <n v="0"/>
    <n v="0"/>
    <n v="35000000"/>
    <n v="0"/>
    <x v="0"/>
  </r>
  <r>
    <x v="0"/>
    <x v="6"/>
    <s v="Fortalecimiento de la planeación para reducir las limitaciones en la prestación del servicio de energía eléctrica y la atención plena de la demanda nacional."/>
    <s v="Energía"/>
    <s v="Sí"/>
    <s v="Sí"/>
    <n v="8"/>
    <s v="150-84"/>
    <s v="Aumentar señales de expansión y cobertura del servicio de energía eléctrica."/>
    <s v="Documentos de Planeación"/>
    <s v="Documento de planeación validado."/>
    <n v="80111620"/>
    <s v="C-2102-1900-6-40301C-2102009-02"/>
    <s v="Prestación de servicios profesionales y/o de apoyo a la gestión"/>
    <s v="150-84 Prestar servicios profesionales para efectuar el seguimiento del componente social de los proyectos definidos en el plan de expansión que son objeto de convocatoria pública. "/>
    <s v="Enero "/>
    <s v="Enero "/>
    <s v="Enero "/>
    <n v="10"/>
    <s v="Meses"/>
    <s v="Contratación directa - Prestación de servicios profesionales "/>
    <s v="Propios - 20 - Ingresos corrientes"/>
    <n v="37947000"/>
    <n v="37947000"/>
    <s v="No"/>
    <s v="N/A"/>
    <s v="Guillermo Holguin Garcia"/>
    <s v="Subdirector de Energía Eléctrica"/>
    <n v="6012220601"/>
    <s v="guillermo.holguin@upme.gov.co"/>
    <n v="0"/>
    <n v="0"/>
    <n v="32854500"/>
    <n v="0"/>
    <n v="0"/>
    <n v="3794700"/>
    <n v="0"/>
    <n v="3794700"/>
    <n v="0"/>
    <n v="3794700"/>
    <n v="0"/>
    <n v="3794700"/>
    <n v="0"/>
    <n v="3794700"/>
    <n v="0"/>
    <n v="3794700"/>
    <n v="0"/>
    <n v="3794700"/>
    <n v="0"/>
    <n v="3794700"/>
    <n v="5092500"/>
    <n v="3794700"/>
    <n v="0"/>
    <n v="3794700"/>
    <n v="37947000"/>
    <n v="37947000"/>
    <n v="0"/>
    <n v="0"/>
    <s v="Prestar servicios profesionales para efectuar el seguimiento del componente social de los proyectos definidos en el plan de expansión que son objeto de convocatoria pública. "/>
    <m/>
    <m/>
    <n v="32854500"/>
    <m/>
    <m/>
    <n v="3794700"/>
    <m/>
    <n v="3794700"/>
    <m/>
    <n v="3794700"/>
    <m/>
    <n v="3794700"/>
    <m/>
    <n v="3794700"/>
    <m/>
    <n v="3794700"/>
    <m/>
    <n v="3794700"/>
    <m/>
    <n v="3794700"/>
    <n v="5092500"/>
    <n v="3794700"/>
    <m/>
    <n v="3794700"/>
    <m/>
    <m/>
    <n v="37947000"/>
    <n v="37947000"/>
    <n v="0"/>
    <n v="0"/>
    <n v="65526"/>
    <d v="2026-01-26T00:00:00"/>
    <n v="32854500"/>
    <n v="5092500"/>
    <n v="55926"/>
    <d v="2026-02-10T00:00:00"/>
    <n v="32854500"/>
    <n v="5092500"/>
    <n v="0"/>
    <s v="MARQUEZ ORTIZ HERNAN DARIO"/>
    <s v="CO1.PCCNTR.9299247"/>
    <m/>
    <m/>
    <m/>
    <n v="32854500"/>
    <m/>
    <m/>
    <m/>
    <m/>
    <m/>
    <m/>
    <m/>
    <m/>
    <m/>
    <m/>
    <m/>
    <m/>
    <m/>
    <m/>
    <m/>
    <m/>
    <m/>
    <m/>
    <m/>
    <m/>
    <m/>
    <m/>
    <m/>
    <m/>
    <m/>
    <m/>
    <m/>
    <m/>
    <m/>
    <m/>
    <m/>
    <m/>
    <n v="32854500"/>
    <n v="0"/>
    <n v="0"/>
    <n v="32854500"/>
    <n v="0"/>
    <x v="0"/>
  </r>
  <r>
    <x v="0"/>
    <x v="6"/>
    <s v="Fortalecimiento de la planeación para reducir las limitaciones en la prestación del servicio de energía eléctrica y la atención plena de la demanda nacional."/>
    <s v="Energía"/>
    <s v="Sí"/>
    <s v="Sí"/>
    <n v="2"/>
    <s v="150-85"/>
    <s v="Aumentar señales de expansión y cobertura del servicio de energía eléctrica."/>
    <s v="Documentos de Planeación"/>
    <s v="Documento de planeación validado."/>
    <n v="80111620"/>
    <s v="C-2102-1900-6-40301C-2102009-02"/>
    <s v="Prestación de servicios profesionales y/o de apoyo a la gestión"/>
    <s v="150-85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59160122"/>
    <n v="59160122"/>
    <s v="No"/>
    <s v="N/A"/>
    <s v="Guillermo Holguin Garcia"/>
    <s v="Subdirector de Energía Eléctrica"/>
    <n v="6012220601"/>
    <s v="guillermo.holguin@upme.gov.co"/>
    <n v="59160122"/>
    <n v="0"/>
    <n v="0"/>
    <n v="0"/>
    <n v="0"/>
    <n v="5916012"/>
    <n v="0"/>
    <n v="5916012"/>
    <n v="0"/>
    <n v="5916012"/>
    <n v="0"/>
    <n v="5916012"/>
    <n v="0"/>
    <n v="5916012"/>
    <n v="0"/>
    <n v="5916012"/>
    <n v="0"/>
    <n v="5916012"/>
    <n v="0"/>
    <n v="5916012"/>
    <n v="0"/>
    <n v="5916012"/>
    <n v="0"/>
    <n v="5916014"/>
    <n v="59160122"/>
    <n v="59160122"/>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59160122"/>
    <m/>
    <m/>
    <m/>
    <m/>
    <n v="5916012"/>
    <m/>
    <n v="5916012"/>
    <m/>
    <n v="5916012"/>
    <m/>
    <n v="5916012"/>
    <m/>
    <n v="5916012"/>
    <m/>
    <n v="5916012"/>
    <m/>
    <n v="5916012"/>
    <m/>
    <n v="5916012"/>
    <m/>
    <n v="5916012"/>
    <m/>
    <n v="5916014"/>
    <m/>
    <m/>
    <n v="59160122"/>
    <n v="59160122"/>
    <n v="0"/>
    <n v="0"/>
    <n v="20926"/>
    <d v="2026-01-11T00:00:00"/>
    <n v="59160122"/>
    <n v="0"/>
    <n v="12826"/>
    <d v="2026-01-20T00:00:00"/>
    <n v="59160122"/>
    <n v="0"/>
    <n v="0"/>
    <s v="ULLOA AVILA JHOLMAN ALEXIS"/>
    <s v="CO1.PCCNTR.8908413"/>
    <n v="59160122"/>
    <m/>
    <m/>
    <m/>
    <n v="2333333"/>
    <n v="2333333"/>
    <m/>
    <n v="7000000"/>
    <n v="7000000"/>
    <m/>
    <n v="7000000"/>
    <n v="7000000"/>
    <m/>
    <m/>
    <m/>
    <m/>
    <m/>
    <m/>
    <m/>
    <m/>
    <m/>
    <m/>
    <m/>
    <m/>
    <m/>
    <m/>
    <m/>
    <m/>
    <m/>
    <m/>
    <m/>
    <m/>
    <m/>
    <m/>
    <m/>
    <m/>
    <n v="59160122"/>
    <n v="16333333"/>
    <n v="16333333"/>
    <n v="42826789"/>
    <n v="0"/>
    <x v="0"/>
  </r>
  <r>
    <x v="0"/>
    <x v="6"/>
    <s v="Fortalecimiento de la planeación para reducir las limitaciones en la prestación del servicio de energía eléctrica y la atención plena de la demanda nacional."/>
    <s v="Energía"/>
    <s v="Sí"/>
    <s v="Sí"/>
    <n v="68"/>
    <s v="150-86"/>
    <s v="Aumentar señales de expansión y cobertura del servicio de energía eléctrica."/>
    <s v="Documentos de Planeación"/>
    <s v="Documento de planeación validado."/>
    <n v="80111620"/>
    <s v="C-2102-1900-6-40301C-2102009-02"/>
    <s v="Prestación de servicios profesionales y/o de apoyo a la gestión"/>
    <s v="150-86 Prestar los servicios profesionales para la implementación y mantenimiento del Programa de Transparencia y Ética Pública (PTEP) y fortalecer la Política de Rendición de Cuentas, la Política de Participación Ciudadana en la Gestión y la Política de "/>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50000000"/>
    <n v="0"/>
    <n v="0"/>
    <n v="0"/>
    <n v="0"/>
    <n v="5000000"/>
    <n v="0"/>
    <n v="5000000"/>
    <n v="0"/>
    <n v="5000000"/>
    <n v="0"/>
    <n v="5000000"/>
    <n v="0"/>
    <n v="5000000"/>
    <n v="0"/>
    <n v="5000000"/>
    <n v="0"/>
    <n v="5000000"/>
    <n v="0"/>
    <n v="5000000"/>
    <n v="0"/>
    <n v="5000000"/>
    <n v="0"/>
    <n v="5000000"/>
    <n v="50000000"/>
    <n v="50000000"/>
    <n v="0"/>
    <n v="0"/>
    <s v="Prestar los servicios profesionales para la implementación y mantenimiento del Programa de Transparencia y Ética Pública (PTEP) y fortalecer la Política de Rendición de Cuentas, la Política de Participación Ciudadana en la Gestión y la Política de Servici"/>
    <n v="50000000"/>
    <m/>
    <m/>
    <m/>
    <m/>
    <n v="5000000"/>
    <m/>
    <n v="5000000"/>
    <m/>
    <n v="5000000"/>
    <m/>
    <n v="5000000"/>
    <m/>
    <n v="5000000"/>
    <m/>
    <n v="5000000"/>
    <m/>
    <n v="5000000"/>
    <m/>
    <n v="5000000"/>
    <m/>
    <n v="5000000"/>
    <m/>
    <n v="5000000"/>
    <m/>
    <m/>
    <n v="50000000"/>
    <n v="50000000"/>
    <n v="0"/>
    <n v="0"/>
    <n v="30826"/>
    <d v="2026-01-14T00:00:00"/>
    <n v="50000000"/>
    <n v="0"/>
    <n v="20026"/>
    <d v="2026-01-26T00:00:00"/>
    <n v="50000000"/>
    <n v="0"/>
    <n v="0"/>
    <s v="RIOCAMPOS MORENO MARIA FERNANDA"/>
    <s v="CO1.PCCNTR.8997834"/>
    <n v="50000000"/>
    <m/>
    <m/>
    <m/>
    <m/>
    <m/>
    <m/>
    <n v="5666667"/>
    <n v="5666667"/>
    <m/>
    <n v="5000000"/>
    <n v="5000000"/>
    <m/>
    <m/>
    <m/>
    <m/>
    <m/>
    <m/>
    <m/>
    <m/>
    <m/>
    <m/>
    <m/>
    <m/>
    <m/>
    <m/>
    <m/>
    <m/>
    <m/>
    <m/>
    <m/>
    <m/>
    <m/>
    <m/>
    <m/>
    <m/>
    <n v="50000000"/>
    <n v="10666667"/>
    <n v="10666667"/>
    <n v="39333333"/>
    <n v="0"/>
    <x v="0"/>
  </r>
  <r>
    <x v="0"/>
    <x v="6"/>
    <s v="Fortalecimiento de la planeación para reducir las limitaciones en la prestación del servicio de energía eléctrica y la atención plena de la demanda nacional."/>
    <s v="Energía"/>
    <s v="Sí"/>
    <s v="Sí"/>
    <n v="68"/>
    <s v="150-87"/>
    <s v="Aumentar señales de expansión y cobertura del servicio de energía eléctrica."/>
    <s v="Documentos de Planeación"/>
    <s v="Documento de planeación validado."/>
    <n v="80111620"/>
    <s v="C-2102-1900-6-40301C-2102009-02"/>
    <s v="Prestación de servicios profesionales y/o de apoyo a la gestión"/>
    <s v="150-87 Prestar servicios de apoyo profesional en la recopilación, organización y creación de contenido como insumos informativos, bases de datos, formatos y contenidos preliminares requeridos para el desarrollo de las estrategias de comunicación externa e"/>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0"/>
    <n v="0"/>
    <s v="Prestar servicios de apoyo profesional en la recopilación, organización y creación de contenido como insumos informativos, bases de datos, formatos y contenidos preliminares requeridos para el desarrollo de las estrategias de comunicación externa e intern"/>
    <m/>
    <m/>
    <n v="32000000"/>
    <m/>
    <m/>
    <n v="3200000"/>
    <m/>
    <n v="3200000"/>
    <m/>
    <n v="3200000"/>
    <m/>
    <n v="3200000"/>
    <m/>
    <n v="3200000"/>
    <m/>
    <n v="3200000"/>
    <m/>
    <n v="3200000"/>
    <m/>
    <n v="3200000"/>
    <m/>
    <n v="3200000"/>
    <m/>
    <n v="3200000"/>
    <m/>
    <m/>
    <n v="32000000"/>
    <n v="32000000"/>
    <n v="0"/>
    <n v="0"/>
    <n v="20526"/>
    <d v="2026-01-11T00:00:00"/>
    <n v="32000000"/>
    <n v="0"/>
    <n v="46226"/>
    <d v="2026-02-06T00:00:00"/>
    <n v="32000000"/>
    <n v="0"/>
    <n v="0"/>
    <s v="BAYONA SUAREZ MONICA YELITZA"/>
    <s v=". CO1.PCCNTR.9277195"/>
    <m/>
    <m/>
    <m/>
    <n v="32000000"/>
    <m/>
    <m/>
    <m/>
    <n v="2666667"/>
    <n v="2666667"/>
    <m/>
    <n v="3200000"/>
    <n v="3200000"/>
    <m/>
    <m/>
    <m/>
    <m/>
    <m/>
    <m/>
    <m/>
    <m/>
    <m/>
    <m/>
    <m/>
    <m/>
    <m/>
    <m/>
    <m/>
    <m/>
    <m/>
    <m/>
    <m/>
    <m/>
    <m/>
    <m/>
    <m/>
    <m/>
    <n v="32000000"/>
    <n v="5866667"/>
    <n v="5866667"/>
    <n v="26133333"/>
    <n v="0"/>
    <x v="0"/>
  </r>
  <r>
    <x v="0"/>
    <x v="6"/>
    <s v="Fortalecimiento de la planeación para reducir las limitaciones en la prestación del servicio de energía eléctrica y la atención plena de la demanda nacional."/>
    <s v="Energía"/>
    <s v="Sí"/>
    <s v="Sí"/>
    <n v="68"/>
    <s v="150-88"/>
    <s v="Aumentar señales de expansión y cobertura del servicio de energía eléctrica."/>
    <s v="Documentos de Planeación"/>
    <s v="Documento de planeación validado."/>
    <n v="80111620"/>
    <s v="C-2102-1900-6-40301C-2102009-02"/>
    <s v="Prestación de servicios profesionales y/o de apoyo a la gestión"/>
    <s v="150-88 Prestar servicios profesionales para apoyar el análisis y procesamiento de solicitudes de conexión de los agentes a las redes nacional, regional y de distribución, de conformidad con la Resolución CREG 075."/>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32000000"/>
    <n v="0"/>
    <n v="0"/>
    <n v="0"/>
    <n v="0"/>
    <n v="3200000"/>
    <n v="0"/>
    <n v="3200000"/>
    <n v="0"/>
    <n v="3200000"/>
    <n v="0"/>
    <n v="3200000"/>
    <n v="0"/>
    <n v="3200000"/>
    <n v="0"/>
    <n v="3200000"/>
    <n v="0"/>
    <n v="3200000"/>
    <n v="0"/>
    <n v="3200000"/>
    <n v="0"/>
    <n v="3200000"/>
    <n v="0"/>
    <n v="3200000"/>
    <n v="32000000"/>
    <n v="32000000"/>
    <n v="0"/>
    <n v="0"/>
    <s v="Prestar servicios profesionales para apoyar el análisis y procesamiento de solicitudes de conexión de los agentes a las redes nacional, regional y de distribución, de conformidad con la Resolución CREG 075."/>
    <n v="32000000"/>
    <m/>
    <m/>
    <m/>
    <m/>
    <n v="3200000"/>
    <m/>
    <n v="3200000"/>
    <m/>
    <n v="3200000"/>
    <m/>
    <n v="3200000"/>
    <m/>
    <n v="3200000"/>
    <m/>
    <n v="3200000"/>
    <m/>
    <n v="3200000"/>
    <m/>
    <n v="3200000"/>
    <m/>
    <n v="3200000"/>
    <m/>
    <n v="3200000"/>
    <m/>
    <m/>
    <n v="32000000"/>
    <n v="32000000"/>
    <n v="0"/>
    <n v="0"/>
    <n v="6726"/>
    <d v="2026-01-06T00:00:00"/>
    <n v="32000000"/>
    <n v="0"/>
    <n v="31826"/>
    <d v="2026-01-29T00:00:00"/>
    <n v="32000000"/>
    <n v="0"/>
    <n v="0"/>
    <s v="MOJICA OROZCO CAMILO ANDRÉS"/>
    <s v="CO1.PCCNTR.9020654"/>
    <n v="32000000"/>
    <m/>
    <m/>
    <m/>
    <m/>
    <m/>
    <m/>
    <n v="3306667"/>
    <n v="3306667"/>
    <m/>
    <n v="3200000"/>
    <n v="3200000"/>
    <m/>
    <m/>
    <m/>
    <m/>
    <m/>
    <m/>
    <m/>
    <m/>
    <m/>
    <m/>
    <m/>
    <m/>
    <m/>
    <m/>
    <m/>
    <m/>
    <m/>
    <m/>
    <m/>
    <m/>
    <m/>
    <m/>
    <m/>
    <m/>
    <n v="32000000"/>
    <n v="6506667"/>
    <n v="6506667"/>
    <n v="25493333"/>
    <n v="0"/>
    <x v="0"/>
  </r>
  <r>
    <x v="0"/>
    <x v="6"/>
    <s v="Fortalecimiento de la planeación para reducir las limitaciones en la prestación del servicio de energía eléctrica y la atención plena de la demanda nacional."/>
    <s v="Energía"/>
    <s v="Sí"/>
    <s v="Sí"/>
    <n v="2"/>
    <s v="150-89"/>
    <s v="Aumentar señales de expansión y cobertura del servicio de energía eléctrica."/>
    <s v="Documentos de Planeación"/>
    <s v="Documento de planeación validado."/>
    <n v="80111620"/>
    <s v="C-2102-1900-6-40301C-2102009-02"/>
    <s v="Prestación de servicios profesionales y/o de apoyo a la gestión"/>
    <s v="150-89 Prestación de servicios profesionales para la elaboración de documentos y el procesamiento de la información de las convocatorias públicas de los proyectos de transmisión nacional y regional."/>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0"/>
    <n v="0"/>
    <n v="50000000"/>
    <n v="0"/>
    <n v="0"/>
    <n v="5000000"/>
    <n v="0"/>
    <n v="5000000"/>
    <n v="0"/>
    <n v="5000000"/>
    <n v="0"/>
    <n v="5000000"/>
    <n v="0"/>
    <n v="5000000"/>
    <n v="0"/>
    <n v="5000000"/>
    <n v="0"/>
    <n v="5000000"/>
    <n v="0"/>
    <n v="5000000"/>
    <n v="0"/>
    <n v="5000000"/>
    <n v="0"/>
    <n v="5000000"/>
    <n v="50000000"/>
    <n v="50000000"/>
    <n v="0"/>
    <n v="0"/>
    <s v="Prestación de servicios profesionales para la elaboración de documentos y el procesamiento de la información de las convocatorias públicas de los proyectos de transmisión nacional y regional."/>
    <m/>
    <m/>
    <n v="50000000"/>
    <m/>
    <m/>
    <n v="5000000"/>
    <m/>
    <n v="5000000"/>
    <m/>
    <n v="5000000"/>
    <m/>
    <n v="5000000"/>
    <m/>
    <n v="5000000"/>
    <m/>
    <n v="5000000"/>
    <m/>
    <n v="5000000"/>
    <m/>
    <n v="5000000"/>
    <m/>
    <n v="5000000"/>
    <m/>
    <n v="5000000"/>
    <m/>
    <m/>
    <n v="50000000"/>
    <n v="50000000"/>
    <n v="0"/>
    <n v="0"/>
    <n v="8026"/>
    <d v="2026-01-06T00:00:00"/>
    <n v="50000000"/>
    <n v="0"/>
    <n v="41826"/>
    <d v="2026-02-04T00:00:00"/>
    <n v="48195000"/>
    <n v="1805000"/>
    <n v="1805000"/>
    <s v="GENERICO GENERICO"/>
    <s v="CO1.PCCNTR.9202479"/>
    <m/>
    <m/>
    <m/>
    <n v="48195000"/>
    <m/>
    <m/>
    <m/>
    <n v="4176900"/>
    <n v="4176900"/>
    <m/>
    <n v="4819500"/>
    <n v="4819500"/>
    <m/>
    <m/>
    <m/>
    <m/>
    <m/>
    <m/>
    <m/>
    <m/>
    <m/>
    <m/>
    <m/>
    <m/>
    <m/>
    <m/>
    <m/>
    <m/>
    <m/>
    <m/>
    <m/>
    <m/>
    <m/>
    <m/>
    <m/>
    <m/>
    <n v="48195000"/>
    <n v="8996400"/>
    <n v="8996400"/>
    <n v="39198600"/>
    <n v="0"/>
    <x v="0"/>
  </r>
  <r>
    <x v="0"/>
    <x v="6"/>
    <s v="Fortalecimiento de la planeación para reducir las limitaciones en la prestación del servicio de energía eléctrica y la atención plena de la demanda nacional."/>
    <s v="Energía"/>
    <s v="Sí"/>
    <s v="Sí"/>
    <n v="68"/>
    <s v="150-9"/>
    <s v="Aumentar señales de expansión y cobertura del servicio de energía eléctrica."/>
    <s v="Documentos de Planeación"/>
    <s v="Documento de planeación validado."/>
    <n v="80111620"/>
    <s v="C-2102-1900-6-40301C-2102009-02"/>
    <s v="Prestación de servicios profesionales y/o de apoyo a la gestión"/>
    <s v="150-9 Prestar servicios profesionales para la proyección de documentos de contenido legal y apoyo de los asuntos de tipo jurídico que resulten de las actuaciones administrativas de competencia de la UPME, en el marco de la gestión institucional de la Enti"/>
    <s v="Enero "/>
    <s v="Enero "/>
    <s v="Enero "/>
    <n v="10"/>
    <s v="Meses"/>
    <s v="Contratación directa - Prestación de servicios profesionales "/>
    <s v="Propios - 20 - Ingresos corrientes"/>
    <n v="62000000"/>
    <n v="62000000"/>
    <s v="No"/>
    <s v="N/A"/>
    <s v="Guillermo Holguin Garcia"/>
    <s v="Subdirector de Energía Eléctrica"/>
    <n v="6012220601"/>
    <s v="guillermo.holguin@upme.gov.co"/>
    <n v="62000000"/>
    <n v="0"/>
    <n v="0"/>
    <n v="0"/>
    <n v="0"/>
    <n v="6200000"/>
    <n v="0"/>
    <n v="6200000"/>
    <n v="0"/>
    <n v="6200000"/>
    <n v="0"/>
    <n v="6200000"/>
    <n v="0"/>
    <n v="6200000"/>
    <n v="0"/>
    <n v="6200000"/>
    <n v="0"/>
    <n v="6200000"/>
    <n v="0"/>
    <n v="6200000"/>
    <n v="0"/>
    <n v="6200000"/>
    <n v="0"/>
    <n v="6200000"/>
    <n v="62000000"/>
    <n v="62000000"/>
    <n v="0"/>
    <n v="0"/>
    <s v="Prestar servicios profesionales para la proyección de documentos de contenido legal y apoyo de los asuntos de tipo jurídico que resulten de las actuaciones administrativas de competencia de la UPME, en el marco de la gestión institucional de la Entidad."/>
    <n v="62000000"/>
    <m/>
    <m/>
    <m/>
    <m/>
    <n v="6200000"/>
    <m/>
    <n v="6200000"/>
    <m/>
    <n v="6200000"/>
    <m/>
    <n v="6200000"/>
    <m/>
    <n v="6200000"/>
    <m/>
    <n v="6200000"/>
    <m/>
    <n v="6200000"/>
    <m/>
    <n v="6200000"/>
    <m/>
    <n v="6200000"/>
    <m/>
    <n v="6200000"/>
    <m/>
    <m/>
    <n v="62000000"/>
    <n v="62000000"/>
    <n v="0"/>
    <n v="0"/>
    <n v="11226"/>
    <d v="2026-01-08T00:00:00"/>
    <n v="62000000"/>
    <n v="0"/>
    <n v="9526"/>
    <d v="2026-01-15T00:00:00"/>
    <n v="62000000"/>
    <n v="0"/>
    <n v="0"/>
    <s v="BELTRAN ALEMAN NICOLAS"/>
    <s v="CO1.PCCNTR.8848037"/>
    <n v="62000000"/>
    <m/>
    <m/>
    <m/>
    <n v="3100000"/>
    <n v="3100000"/>
    <m/>
    <n v="6200000"/>
    <n v="6200000"/>
    <m/>
    <n v="6200000"/>
    <n v="6200000"/>
    <m/>
    <m/>
    <m/>
    <m/>
    <m/>
    <m/>
    <m/>
    <m/>
    <m/>
    <m/>
    <m/>
    <m/>
    <m/>
    <m/>
    <m/>
    <m/>
    <m/>
    <m/>
    <m/>
    <m/>
    <m/>
    <m/>
    <m/>
    <m/>
    <n v="62000000"/>
    <n v="15500000"/>
    <n v="15500000"/>
    <n v="46500000"/>
    <n v="0"/>
    <x v="0"/>
  </r>
  <r>
    <x v="0"/>
    <x v="6"/>
    <s v="Fortalecimiento de la planeación para reducir las limitaciones en la prestación del servicio de energía eléctrica y la atención plena de la demanda nacional."/>
    <s v="Energía"/>
    <s v="Sí"/>
    <s v="Sí"/>
    <n v="68"/>
    <s v="150-90"/>
    <s v="Aumentar señales de expansión y cobertura del servicio de energía eléctrica."/>
    <s v="Documentos de Planeación"/>
    <s v="Documento de planeación validado."/>
    <n v="80111620"/>
    <s v="C-2102-1900-6-40301C-2102009-02"/>
    <s v="Prestación de servicios profesionales y/o de apoyo a la gestión"/>
    <s v="150-90 Prestar servicios profesionales para participar en el análisis de la expansión y de las solicitudes de asignación de capacidad de proyectos de generación y usuarios finales, así como en el procesamiento de la información requerida por los modelos y"/>
    <s v="Enero "/>
    <s v="Enero "/>
    <s v="Enero "/>
    <n v="11"/>
    <s v="Meses"/>
    <s v="Contratación directa - Prestación de servicios profesionales "/>
    <s v="Propios - 20 - Ingresos corrientes"/>
    <n v="60000000"/>
    <n v="60000000"/>
    <s v="No"/>
    <s v="N/A"/>
    <s v="Guillermo Holguin Garcia"/>
    <s v="Subdirector de Energía Eléctrica"/>
    <n v="6012220601"/>
    <s v="guillermo.holguin@upme.gov.co"/>
    <n v="60000000"/>
    <n v="0"/>
    <n v="0"/>
    <n v="0"/>
    <n v="0"/>
    <n v="6000000"/>
    <n v="0"/>
    <n v="6000000"/>
    <n v="0"/>
    <n v="6000000"/>
    <n v="0"/>
    <n v="6000000"/>
    <n v="0"/>
    <n v="6000000"/>
    <n v="0"/>
    <n v="6000000"/>
    <n v="0"/>
    <n v="6000000"/>
    <n v="0"/>
    <n v="6000000"/>
    <n v="0"/>
    <n v="6000000"/>
    <n v="0"/>
    <n v="6000000"/>
    <n v="60000000"/>
    <n v="60000000"/>
    <n v="0"/>
    <n v="0"/>
    <s v="Prestar servicios profesionales para participar en el análisis de la expansión y de las solicitudes de asignación de capacidad de proyectos de generación y usuarios finales, así como en el procesamiento de la información requerida por los modelos y en la "/>
    <n v="60000000"/>
    <m/>
    <m/>
    <m/>
    <m/>
    <n v="6000000"/>
    <m/>
    <n v="6000000"/>
    <m/>
    <n v="6000000"/>
    <m/>
    <n v="6000000"/>
    <m/>
    <n v="6000000"/>
    <m/>
    <n v="6000000"/>
    <m/>
    <n v="6000000"/>
    <m/>
    <n v="6000000"/>
    <m/>
    <n v="6000000"/>
    <m/>
    <n v="6000000"/>
    <m/>
    <m/>
    <n v="60000000"/>
    <n v="60000000"/>
    <n v="0"/>
    <n v="0"/>
    <n v="5626"/>
    <d v="2026-01-05T00:00:00"/>
    <n v="60000000"/>
    <n v="0"/>
    <n v="9626"/>
    <d v="2026-01-16T00:00:00"/>
    <n v="60000000"/>
    <n v="0"/>
    <n v="0"/>
    <s v="DIAZ CANO YILMAR WALTER"/>
    <s v="CO1.PCCNTR.8837235"/>
    <n v="60000000"/>
    <m/>
    <m/>
    <m/>
    <n v="2800000"/>
    <n v="2800000"/>
    <m/>
    <n v="6000000"/>
    <n v="6000000"/>
    <m/>
    <m/>
    <m/>
    <m/>
    <m/>
    <m/>
    <m/>
    <m/>
    <m/>
    <m/>
    <m/>
    <m/>
    <m/>
    <m/>
    <m/>
    <m/>
    <m/>
    <m/>
    <m/>
    <m/>
    <m/>
    <m/>
    <m/>
    <m/>
    <m/>
    <m/>
    <m/>
    <n v="60000000"/>
    <n v="8800000"/>
    <n v="8800000"/>
    <n v="51200000"/>
    <n v="0"/>
    <x v="0"/>
  </r>
  <r>
    <x v="0"/>
    <x v="6"/>
    <s v="Fortalecimiento de la planeación para reducir las limitaciones en la prestación del servicio de energía eléctrica y la atención plena de la demanda nacional."/>
    <s v="Energía"/>
    <s v="Sí"/>
    <s v="Sí"/>
    <n v="68"/>
    <s v="150-91"/>
    <s v="Aumentar señales de expansión y cobertura del servicio de energía eléctrica."/>
    <s v="Documentos de Planeación"/>
    <s v="Documento de planeación validado."/>
    <n v="80111620"/>
    <s v="C-2102-1900-6-40301C-2102009-02"/>
    <s v="Prestación de servicios profesionales y/o de apoyo a la gestión"/>
    <s v="150-91 Brindar servicios de apoyo profesional en la creación y diseño de productos gráficos innovadores para contenido digital e impreso, con el fin de contribuir a la gestión de la comunicación interna y externa de la UPME"/>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0"/>
    <n v="0"/>
    <s v="Brindar servicios de apoyo profesional en la creación y diseño de productos gráficos innovadores para contenido digital e impreso, con el fin de contribuir a la gestión de la comunicación interna y externa de la UPME"/>
    <m/>
    <m/>
    <n v="32000000"/>
    <m/>
    <m/>
    <n v="3200000"/>
    <m/>
    <n v="3200000"/>
    <m/>
    <n v="3200000"/>
    <m/>
    <n v="3200000"/>
    <m/>
    <n v="3200000"/>
    <m/>
    <n v="3200000"/>
    <m/>
    <n v="3200000"/>
    <m/>
    <n v="3200000"/>
    <m/>
    <n v="3200000"/>
    <m/>
    <n v="3200000"/>
    <m/>
    <m/>
    <n v="32000000"/>
    <n v="32000000"/>
    <n v="0"/>
    <n v="0"/>
    <n v="25026"/>
    <d v="2026-01-13T00:00:00"/>
    <n v="32000000"/>
    <n v="0"/>
    <n v="47826"/>
    <d v="2026-02-06T00:00:00"/>
    <n v="32000000"/>
    <n v="0"/>
    <n v="0"/>
    <s v="LIZARAZO CONTRERAS DIOSA AMANDA"/>
    <s v="CO1.PCCNTR.9273089"/>
    <m/>
    <m/>
    <m/>
    <n v="32000000"/>
    <m/>
    <m/>
    <m/>
    <m/>
    <m/>
    <m/>
    <m/>
    <m/>
    <m/>
    <m/>
    <m/>
    <m/>
    <m/>
    <m/>
    <m/>
    <m/>
    <m/>
    <m/>
    <m/>
    <m/>
    <m/>
    <m/>
    <m/>
    <m/>
    <m/>
    <m/>
    <m/>
    <m/>
    <m/>
    <m/>
    <m/>
    <m/>
    <n v="32000000"/>
    <n v="0"/>
    <n v="0"/>
    <n v="32000000"/>
    <n v="0"/>
    <x v="0"/>
  </r>
  <r>
    <x v="0"/>
    <x v="6"/>
    <s v="Fortalecimiento de la planeación para reducir las limitaciones en la prestación del servicio de energía eléctrica y la atención plena de la demanda nacional."/>
    <s v="Energía"/>
    <s v="Sí"/>
    <s v="Sí"/>
    <n v="68"/>
    <s v="150-92"/>
    <s v="Aumentar señales de expansión y cobertura del servicio de energía eléctrica."/>
    <s v="Documentos de Planeación"/>
    <s v="Documento de planeación validado."/>
    <n v="80111620"/>
    <s v="C-2102-1900-6-40301C-2102009-02"/>
    <s v="Prestación de servicios profesionales y/o de apoyo a la gestión"/>
    <s v="150-9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6526"/>
    <d v="2026-01-06T00:00:00"/>
    <n v="70000000"/>
    <n v="0"/>
    <n v="17026"/>
    <d v="2026-01-22T00:00:00"/>
    <n v="70000000"/>
    <n v="0"/>
    <n v="0"/>
    <s v="LOAIZA MESA NATALIA"/>
    <s v="CO1.PCCNTR.8975163"/>
    <n v="70000000"/>
    <m/>
    <m/>
    <m/>
    <n v="1866667"/>
    <n v="1866667"/>
    <m/>
    <n v="7000000"/>
    <n v="7000000"/>
    <m/>
    <n v="7000000"/>
    <n v="7000000"/>
    <m/>
    <m/>
    <m/>
    <m/>
    <m/>
    <m/>
    <m/>
    <m/>
    <m/>
    <m/>
    <m/>
    <m/>
    <m/>
    <m/>
    <m/>
    <m/>
    <m/>
    <m/>
    <m/>
    <m/>
    <m/>
    <m/>
    <m/>
    <m/>
    <n v="70000000"/>
    <n v="15866667"/>
    <n v="15866667"/>
    <n v="54133333"/>
    <n v="0"/>
    <x v="0"/>
  </r>
  <r>
    <x v="0"/>
    <x v="6"/>
    <s v="Fortalecimiento de la planeación para reducir las limitaciones en la prestación del servicio de energía eléctrica y la atención plena de la demanda nacional."/>
    <s v="Energía"/>
    <s v="Sí"/>
    <s v="Sí"/>
    <n v="20"/>
    <s v="150-93"/>
    <s v="Aumentar señales de expansión y cobertura del servicio de energía eléctrica."/>
    <s v="Documentos de Planeación"/>
    <s v="Documento de planeación validado."/>
    <n v="80111620"/>
    <s v="C-2102-1900-6-40301C-2102009-02"/>
    <s v="Prestación de servicios profesionales y/o de apoyo a la gestión"/>
    <s v="150-9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0"/>
    <n v="0"/>
    <s v="No"/>
    <s v="N/A"/>
    <s v="Guillermo Holguin Garcia"/>
    <s v="Subdirector de Energía Eléctrica"/>
    <n v="6012220601"/>
    <s v="guillermo.holguin@upme.gov.co"/>
    <n v="0"/>
    <n v="0"/>
    <n v="0"/>
    <n v="0"/>
    <n v="0"/>
    <n v="0"/>
    <n v="0"/>
    <n v="0"/>
    <n v="0"/>
    <n v="0"/>
    <n v="0"/>
    <n v="0"/>
    <n v="0"/>
    <n v="0"/>
    <n v="0"/>
    <n v="0"/>
    <n v="0"/>
    <n v="0"/>
    <n v="0"/>
    <n v="0"/>
    <n v="70000000"/>
    <n v="0"/>
    <n v="0"/>
    <n v="70000000"/>
    <n v="70000000"/>
    <n v="70000000"/>
    <n v="-70000000"/>
    <n v="-70000000"/>
    <s v="Prestar servicios profesionales para la proyección de documentos de contenido legal y apoyo de los asuntos de tipo jurídico que resulten de las actuaciones administrativas de competencia de la UPME, en el marco de la gestión institucional de la Entidad."/>
    <m/>
    <m/>
    <m/>
    <m/>
    <m/>
    <m/>
    <m/>
    <m/>
    <m/>
    <m/>
    <m/>
    <m/>
    <m/>
    <m/>
    <m/>
    <m/>
    <m/>
    <m/>
    <m/>
    <m/>
    <m/>
    <m/>
    <m/>
    <m/>
    <m/>
    <m/>
    <n v="0"/>
    <n v="0"/>
    <n v="0"/>
    <n v="0"/>
    <n v="5426"/>
    <d v="2026-01-05T00:00:00"/>
    <m/>
    <n v="0"/>
    <m/>
    <m/>
    <n v="0"/>
    <n v="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s v="No. Rad 202601300040373"/>
    <s v="150-94"/>
    <s v="Aumentar señales de expansión y cobertura del servicio de energía eléctrica."/>
    <s v="Documentos de Planeación"/>
    <s v="Documento de planeación validado."/>
    <s v="43201800;43233405;43212201"/>
    <s v="C-2102-1900-6-40301C-2102009-02"/>
    <s v="Hardware (Equipos de computo o partes físicas)"/>
    <s v="150-94 Adquirir el licenciamiento por suscripción para Plataforma de virtualización y almacenamiento en nube incluyendo la adquisición del hardware para Computación y Storage que soporta esta solución de Hiperconvergencia._x0009__x0009__x0009__x0009__x0009__x0009_"/>
    <s v="Febrero"/>
    <s v="Febrero"/>
    <s v="Abril"/>
    <n v="12"/>
    <s v="Meses"/>
    <s v="Contratación régimen especial (con ofertas)  - Régimen especial"/>
    <s v="Propios - 20 - Ingresos corrientes"/>
    <n v="168656043"/>
    <n v="168656043"/>
    <s v="No"/>
    <s v="N/A"/>
    <s v="Guillermo Holguin Garcia"/>
    <s v="Subdirector de Energía Eléctrica"/>
    <n v="6012220601"/>
    <s v="guillermo.holguin@upme.gov.co"/>
    <n v="0"/>
    <n v="0"/>
    <n v="0"/>
    <n v="0"/>
    <n v="0"/>
    <n v="0"/>
    <n v="168656043"/>
    <n v="0"/>
    <n v="0"/>
    <n v="0"/>
    <n v="0"/>
    <n v="168656043"/>
    <n v="0"/>
    <n v="0"/>
    <n v="0"/>
    <n v="0"/>
    <n v="0"/>
    <n v="0"/>
    <n v="0"/>
    <n v="0"/>
    <n v="0"/>
    <n v="0"/>
    <n v="0"/>
    <n v="0"/>
    <n v="168656043"/>
    <n v="168656043"/>
    <n v="0"/>
    <n v="0"/>
    <s v="Adquirir el licenciamiento por suscripción para Plataforma de virtualización y almacenamiento en nube incluyendo la adquisición del hardware para Computación y Storage que soporta esta solución de Hiperconvergencia._x0009__x0009__x0009__x0009__x0009__x0009_"/>
    <m/>
    <m/>
    <m/>
    <m/>
    <m/>
    <m/>
    <n v="168656043"/>
    <m/>
    <m/>
    <m/>
    <m/>
    <n v="168656043"/>
    <m/>
    <m/>
    <m/>
    <m/>
    <m/>
    <m/>
    <m/>
    <m/>
    <m/>
    <m/>
    <m/>
    <m/>
    <m/>
    <m/>
    <n v="168656043"/>
    <n v="168656043"/>
    <n v="0"/>
    <n v="0"/>
    <n v="8226"/>
    <d v="2026-01-06T00:00:00"/>
    <m/>
    <n v="168656043"/>
    <m/>
    <m/>
    <n v="0"/>
    <n v="168656043"/>
    <n v="0"/>
    <m/>
    <m/>
    <m/>
    <m/>
    <m/>
    <m/>
    <m/>
    <m/>
    <m/>
    <m/>
    <m/>
    <m/>
    <m/>
    <m/>
    <m/>
    <m/>
    <m/>
    <m/>
    <m/>
    <m/>
    <m/>
    <m/>
    <m/>
    <m/>
    <m/>
    <m/>
    <m/>
    <m/>
    <m/>
    <m/>
    <m/>
    <m/>
    <m/>
    <m/>
    <m/>
    <m/>
    <m/>
    <m/>
    <n v="0"/>
    <n v="0"/>
    <n v="0"/>
    <n v="0"/>
    <n v="0"/>
    <x v="1"/>
  </r>
  <r>
    <x v="0"/>
    <x v="6"/>
    <s v="Fortalecimiento de la planeación para reducir las limitaciones en la prestación del servicio de energía eléctrica y la atención plena de la demanda nacional."/>
    <s v="Energía"/>
    <s v="Sí"/>
    <s v="Sí"/>
    <s v="Radicado 202601500059273"/>
    <s v="150-95"/>
    <s v="Aumentar la oportunidad en la definición de obras y ejecución de los procesos de convocatorias."/>
    <s v="Servicio de Asistencia Técnica"/>
    <s v="Monitorear los resultados e impactos de los proyectos en ejecución de los procesos de convocatorias y subastas."/>
    <n v="43211507"/>
    <s v="C-2102-1900-6-40301C-2102071-02"/>
    <s v="Hardware (Equipos de computo o partes físicas)"/>
    <s v="150-95 Adquirir equipos de cómputo para la Subdirección de Energía Eléctrica"/>
    <s v="Junio"/>
    <s v="Julio"/>
    <s v="Agosto"/>
    <n v="4"/>
    <s v="Meses"/>
    <s v="Contratación directa"/>
    <s v="Propios - 21 - Otros recursos de tesorería"/>
    <n v="92655700"/>
    <n v="92655700"/>
    <s v="No"/>
    <s v="N/A"/>
    <s v="Guillermo Holguin Garcia"/>
    <s v="Subdirector de Energía Eléctrica"/>
    <n v="6012220601"/>
    <s v="guillermo.holguin@upme.gov.co"/>
    <n v="0"/>
    <n v="0"/>
    <n v="0"/>
    <n v="0"/>
    <n v="0"/>
    <n v="0"/>
    <n v="92655700"/>
    <n v="0"/>
    <n v="0"/>
    <n v="23163925"/>
    <n v="0"/>
    <n v="23163925"/>
    <n v="0"/>
    <n v="46327850"/>
    <n v="0"/>
    <n v="0"/>
    <n v="0"/>
    <n v="0"/>
    <n v="0"/>
    <n v="0"/>
    <n v="0"/>
    <n v="0"/>
    <n v="0"/>
    <n v="0"/>
    <n v="92655700"/>
    <n v="92655700"/>
    <n v="0"/>
    <n v="0"/>
    <s v="Adquirir equipos de cómputo para la Subdirección de Energía Eléctrica"/>
    <m/>
    <m/>
    <m/>
    <m/>
    <m/>
    <m/>
    <n v="92655700"/>
    <m/>
    <m/>
    <n v="23163925"/>
    <m/>
    <n v="23163925"/>
    <m/>
    <n v="46327850"/>
    <m/>
    <m/>
    <m/>
    <m/>
    <m/>
    <m/>
    <m/>
    <m/>
    <m/>
    <m/>
    <m/>
    <m/>
    <n v="92655700"/>
    <n v="92655700"/>
    <n v="0"/>
    <n v="0"/>
    <m/>
    <m/>
    <m/>
    <n v="92655700"/>
    <m/>
    <m/>
    <n v="0"/>
    <n v="92655700"/>
    <n v="0"/>
    <m/>
    <m/>
    <m/>
    <m/>
    <m/>
    <m/>
    <m/>
    <m/>
    <m/>
    <m/>
    <m/>
    <m/>
    <m/>
    <m/>
    <m/>
    <m/>
    <m/>
    <m/>
    <m/>
    <m/>
    <m/>
    <m/>
    <m/>
    <m/>
    <m/>
    <m/>
    <m/>
    <m/>
    <m/>
    <m/>
    <m/>
    <m/>
    <m/>
    <m/>
    <m/>
    <m/>
    <m/>
    <m/>
    <n v="0"/>
    <n v="0"/>
    <n v="0"/>
    <n v="0"/>
    <n v="0"/>
    <x v="0"/>
  </r>
  <r>
    <x v="0"/>
    <x v="6"/>
    <s v="Fortalecimiento de la planeación para reducir las limitaciones en la prestación del servicio de energía eléctrica y la atención plena de la demanda nacional."/>
    <s v="Energía"/>
    <s v="Sí"/>
    <s v="Sí"/>
    <n v="68"/>
    <s v="150-9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s v="Prestación de servicios profesionales y/o de apoyo a la gestión"/>
    <s v="150-96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5039878"/>
    <n v="5039878"/>
    <s v="No"/>
    <s v="N/A"/>
    <s v="Guillermo Holguin Garcia"/>
    <s v="Subdirector de Energía Eléctrica"/>
    <n v="6012220601"/>
    <s v="guillermo.holguin@upme.gov.co"/>
    <n v="5039878"/>
    <n v="0"/>
    <n v="0"/>
    <n v="458171"/>
    <n v="0"/>
    <n v="458171"/>
    <n v="0"/>
    <n v="458171"/>
    <n v="0"/>
    <n v="458171"/>
    <n v="0"/>
    <n v="458171"/>
    <n v="0"/>
    <n v="458171"/>
    <n v="0"/>
    <n v="458171"/>
    <n v="0"/>
    <n v="458171"/>
    <n v="0"/>
    <n v="458171"/>
    <n v="0"/>
    <n v="458171"/>
    <n v="0"/>
    <n v="458168"/>
    <n v="5039878"/>
    <n v="5039878"/>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5039878"/>
    <m/>
    <m/>
    <n v="458171"/>
    <m/>
    <n v="458171"/>
    <m/>
    <n v="458171"/>
    <m/>
    <n v="458171"/>
    <m/>
    <n v="458171"/>
    <m/>
    <n v="458171"/>
    <m/>
    <n v="458171"/>
    <m/>
    <n v="458171"/>
    <m/>
    <n v="458171"/>
    <m/>
    <n v="458171"/>
    <m/>
    <n v="458168"/>
    <m/>
    <m/>
    <n v="5039878"/>
    <n v="5039878"/>
    <n v="0"/>
    <n v="0"/>
    <n v="20926"/>
    <d v="2026-01-11T00:00:00"/>
    <n v="5039878"/>
    <n v="0"/>
    <n v="12826"/>
    <d v="2026-01-20T00:00:00"/>
    <n v="5039878"/>
    <n v="0"/>
    <n v="0"/>
    <s v="ULLOA AVILA JHOLMAN ALEXIS"/>
    <s v="CO1.PCCNTR.8908413"/>
    <n v="5039878"/>
    <m/>
    <m/>
    <m/>
    <m/>
    <m/>
    <m/>
    <m/>
    <m/>
    <m/>
    <m/>
    <m/>
    <m/>
    <m/>
    <m/>
    <m/>
    <m/>
    <m/>
    <m/>
    <m/>
    <m/>
    <m/>
    <m/>
    <m/>
    <m/>
    <m/>
    <m/>
    <m/>
    <m/>
    <m/>
    <m/>
    <m/>
    <m/>
    <m/>
    <m/>
    <m/>
    <n v="5039878"/>
    <n v="0"/>
    <n v="0"/>
    <n v="5039878"/>
    <n v="0"/>
    <x v="0"/>
  </r>
  <r>
    <x v="0"/>
    <x v="6"/>
    <s v="Fortalecimiento de la planeación para reducir las limitaciones en la prestación del servicio de energía eléctrica y la atención plena de la demanda nacional."/>
    <s v="Energía"/>
    <s v="Sí"/>
    <s v="Sí"/>
    <n v="68"/>
    <s v="150-97"/>
    <s v="Aumentar la oportunidad en la definición de obras y ejecución de los procesos de convocatorias."/>
    <s v="Servicio de Asistencia Técnica"/>
    <s v="Estructurar los documentos técnicos y jurídicos para los procesos de convocatorias y subastas."/>
    <n v="80111620"/>
    <s v="C-2102-1900-6-40301C-2102071-02"/>
    <s v="Prestación de servicios profesionales y/o de apoyo a la gestión"/>
    <s v="150-97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1 - Otros recursos de tesorería"/>
    <n v="2113650"/>
    <n v="2113650"/>
    <s v="No"/>
    <s v="N/A"/>
    <s v="Guillermo Holguin Garcia"/>
    <s v="Subdirector de Energía Eléctrica"/>
    <n v="6012220601"/>
    <s v="guillermo.holguin@upme.gov.co"/>
    <n v="2113650"/>
    <n v="0"/>
    <n v="0"/>
    <n v="192150"/>
    <n v="0"/>
    <n v="192150"/>
    <n v="0"/>
    <n v="192150"/>
    <n v="0"/>
    <n v="192150"/>
    <n v="0"/>
    <n v="192150"/>
    <n v="0"/>
    <n v="192150"/>
    <n v="0"/>
    <n v="192150"/>
    <n v="0"/>
    <n v="192150"/>
    <n v="0"/>
    <n v="192150"/>
    <n v="0"/>
    <n v="192150"/>
    <n v="0"/>
    <n v="192150"/>
    <n v="2113650"/>
    <n v="2113650"/>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2113650"/>
    <m/>
    <m/>
    <n v="192150"/>
    <m/>
    <n v="192150"/>
    <m/>
    <n v="192150"/>
    <m/>
    <n v="192150"/>
    <m/>
    <n v="192150"/>
    <m/>
    <n v="192150"/>
    <m/>
    <n v="192150"/>
    <m/>
    <n v="192150"/>
    <m/>
    <n v="192150"/>
    <m/>
    <n v="192150"/>
    <m/>
    <n v="192150"/>
    <m/>
    <m/>
    <n v="2113650"/>
    <n v="2113650"/>
    <n v="0"/>
    <n v="0"/>
    <n v="20926"/>
    <d v="2026-01-11T00:00:00"/>
    <n v="2113650"/>
    <n v="0"/>
    <n v="12826"/>
    <d v="2026-01-20T00:00:00"/>
    <n v="2113650"/>
    <n v="0"/>
    <n v="0"/>
    <s v="ULLOA AVILA JHOLMAN ALEXIS"/>
    <s v="CO1.PCCNTR.8908413"/>
    <n v="2113650"/>
    <m/>
    <m/>
    <m/>
    <m/>
    <m/>
    <m/>
    <m/>
    <m/>
    <m/>
    <m/>
    <m/>
    <m/>
    <m/>
    <m/>
    <m/>
    <m/>
    <m/>
    <m/>
    <m/>
    <m/>
    <m/>
    <m/>
    <m/>
    <m/>
    <m/>
    <m/>
    <m/>
    <m/>
    <m/>
    <m/>
    <m/>
    <m/>
    <m/>
    <m/>
    <m/>
    <n v="2113650"/>
    <n v="0"/>
    <n v="0"/>
    <n v="2113650"/>
    <n v="0"/>
    <x v="0"/>
  </r>
  <r>
    <x v="0"/>
    <x v="6"/>
    <s v="Fortalecimiento de la planeación para reducir las limitaciones en la prestación del servicio de energía eléctrica y la atención plena de la demanda nacional."/>
    <s v="Energía"/>
    <s v="Sí"/>
    <s v="Sí"/>
    <n v="68"/>
    <s v="150-98"/>
    <s v="Aumentar la oportunidad en la definición de obras y ejecución de los procesos de convocatorias."/>
    <s v="Servicio de Asistencia Técnica"/>
    <s v="Estructurar los documentos técnicos y jurídicos para los procesos de convocatorias y subastas."/>
    <n v="80111620"/>
    <s v="C-2102-1900-6-40301C-2102071-02"/>
    <s v="Prestación de servicios profesionales y/o de apoyo a la gestión"/>
    <s v="150-98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3686350"/>
    <n v="3686350"/>
    <s v="No"/>
    <s v="N/A"/>
    <s v="Guillermo Holguin Garcia"/>
    <s v="Subdirector de Energía Eléctrica"/>
    <n v="6012220601"/>
    <s v="guillermo.holguin@upme.gov.co"/>
    <n v="3686350"/>
    <n v="0"/>
    <n v="0"/>
    <n v="335123"/>
    <n v="0"/>
    <n v="335123"/>
    <n v="0"/>
    <n v="335123"/>
    <n v="0"/>
    <n v="335123"/>
    <n v="0"/>
    <n v="335123"/>
    <n v="0"/>
    <n v="335123"/>
    <n v="0"/>
    <n v="335123"/>
    <n v="0"/>
    <n v="335123"/>
    <n v="0"/>
    <n v="335123"/>
    <n v="0"/>
    <n v="335123"/>
    <n v="0"/>
    <n v="335120"/>
    <n v="3686350"/>
    <n v="3686350"/>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3686350"/>
    <m/>
    <m/>
    <n v="335123"/>
    <m/>
    <n v="335123"/>
    <m/>
    <n v="335123"/>
    <m/>
    <n v="335123"/>
    <m/>
    <n v="335123"/>
    <m/>
    <n v="335123"/>
    <m/>
    <n v="335123"/>
    <m/>
    <n v="335123"/>
    <m/>
    <n v="335123"/>
    <m/>
    <n v="335123"/>
    <m/>
    <n v="335120"/>
    <m/>
    <m/>
    <n v="3686350"/>
    <n v="3686350"/>
    <n v="0"/>
    <n v="0"/>
    <n v="20926"/>
    <d v="2026-01-11T00:00:00"/>
    <n v="3686350"/>
    <n v="0"/>
    <n v="12826"/>
    <d v="2026-01-20T00:00:00"/>
    <n v="3686350"/>
    <n v="0"/>
    <n v="0"/>
    <s v="ULLOA AVILA JHOLMAN ALEXIS"/>
    <s v="CO1.PCCNTR.8908413"/>
    <n v="3686350"/>
    <m/>
    <m/>
    <m/>
    <m/>
    <m/>
    <m/>
    <m/>
    <m/>
    <m/>
    <m/>
    <m/>
    <m/>
    <m/>
    <m/>
    <m/>
    <m/>
    <m/>
    <m/>
    <m/>
    <m/>
    <m/>
    <m/>
    <m/>
    <m/>
    <m/>
    <m/>
    <m/>
    <m/>
    <m/>
    <m/>
    <m/>
    <m/>
    <m/>
    <m/>
    <m/>
    <n v="3686350"/>
    <n v="0"/>
    <n v="0"/>
    <n v="3686350"/>
    <n v="0"/>
    <x v="0"/>
  </r>
  <r>
    <x v="0"/>
    <x v="6"/>
    <s v="Fortalecimiento de la planeación para reducir las limitaciones en la prestación del servicio de energía eléctrica y la atención plena de la demanda nacional."/>
    <s v="Energía"/>
    <s v="Sí"/>
    <s v="Sí"/>
    <n v="68"/>
    <s v="150-99"/>
    <s v="Aumentar señales de expansión y cobertura del servicio de energía eléctrica."/>
    <s v="Documentos de Planeación"/>
    <s v="Documento de planeación validado."/>
    <n v="80111620"/>
    <s v="C-2102-1900-6-40301C-2102009-02"/>
    <s v="Prestación de servicios profesionales y/o de apoyo a la gestión"/>
    <s v="150-99 Brindar servicios profesionales de asesoría en asuntos jurídicos y regulatorios a la Subdirección de Energía Eléctrica, en el marco de los procedimientos y actuaciones que adelante"/>
    <s v="Enero "/>
    <s v="Enero "/>
    <s v="Enero "/>
    <n v="10"/>
    <s v="Meses"/>
    <s v="Contratación directa - Prestación de servicios profesionales "/>
    <s v="Propios - 20 - Ingresos corrientes"/>
    <n v="118644390"/>
    <n v="118644390"/>
    <s v="No"/>
    <s v="N/A"/>
    <s v="Guillermo Holguin Garcia"/>
    <s v="Subdirector de Energía Eléctrica"/>
    <n v="6012220601"/>
    <s v="guillermo.holguin@upme.gov.co"/>
    <n v="118644390"/>
    <n v="0"/>
    <n v="0"/>
    <n v="0"/>
    <n v="0"/>
    <n v="11864439"/>
    <n v="0"/>
    <n v="11864439"/>
    <n v="0"/>
    <n v="11864439"/>
    <n v="0"/>
    <n v="11864439"/>
    <n v="0"/>
    <n v="11864439"/>
    <n v="0"/>
    <n v="11864439"/>
    <n v="0"/>
    <n v="11864439"/>
    <n v="0"/>
    <n v="11864439"/>
    <n v="0"/>
    <n v="11864439"/>
    <n v="0"/>
    <n v="11864439"/>
    <n v="118644390"/>
    <n v="118644390"/>
    <n v="0"/>
    <n v="0"/>
    <s v="Brindar servicios profesionales de asesoría en asuntos jurídicos y regulatorios a la Subdirección de Energía Eléctrica, en el marco de los procedimientos y actuaciones que adelante"/>
    <n v="118644390"/>
    <m/>
    <m/>
    <m/>
    <m/>
    <n v="11864439"/>
    <m/>
    <n v="11864439"/>
    <m/>
    <n v="11864439"/>
    <m/>
    <n v="11864439"/>
    <m/>
    <n v="11864439"/>
    <m/>
    <n v="11864439"/>
    <m/>
    <n v="11864439"/>
    <m/>
    <n v="11864439"/>
    <m/>
    <n v="11864439"/>
    <m/>
    <n v="11864439"/>
    <m/>
    <m/>
    <n v="118644390"/>
    <n v="118644390"/>
    <n v="0"/>
    <n v="0"/>
    <n v="7726"/>
    <d v="2026-01-06T00:00:00"/>
    <n v="118644390"/>
    <n v="0"/>
    <n v="29726"/>
    <d v="2026-01-28T00:00:00"/>
    <n v="118644390"/>
    <n v="0"/>
    <n v="0"/>
    <s v="AMAYA SAENZ INGRID JOHANNA"/>
    <s v="CO1.PCCNTR.9139537"/>
    <n v="118644390"/>
    <m/>
    <m/>
    <m/>
    <m/>
    <m/>
    <m/>
    <n v="11044390"/>
    <n v="11044390"/>
    <m/>
    <n v="12000000"/>
    <n v="12000000"/>
    <m/>
    <m/>
    <m/>
    <m/>
    <m/>
    <m/>
    <m/>
    <m/>
    <m/>
    <m/>
    <m/>
    <m/>
    <m/>
    <m/>
    <m/>
    <m/>
    <m/>
    <m/>
    <m/>
    <m/>
    <m/>
    <m/>
    <m/>
    <m/>
    <n v="118644390"/>
    <n v="23044390"/>
    <n v="23044390"/>
    <n v="95600000"/>
    <n v="0"/>
    <x v="0"/>
  </r>
  <r>
    <x v="0"/>
    <x v="7"/>
    <s v="Implementación de una solución integral para el acceso a los datos y a la información oportuna y de calidad del sector minero energético a nivel nacional"/>
    <s v="Gestión de la Información"/>
    <s v="Sí"/>
    <s v="Sí"/>
    <n v="68"/>
    <s v="131-1"/>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1 Prestación de servicios profesionales para la construcción e implementación de los lineamientos sectoriales e institucionales en materia de gobierno de datos y gestión de información, considerando el marco normativo vigente."/>
    <s v="Enero "/>
    <s v="Enero "/>
    <s v="Enero "/>
    <n v="10"/>
    <s v="Meses"/>
    <s v="Contratación directa - Prestación de servicios profesionales "/>
    <s v="Propios - 20 - Ingresos corrientes"/>
    <n v="41700000"/>
    <n v="41700000"/>
    <s v="No"/>
    <s v="N/A"/>
    <s v="Guillermo Holguin"/>
    <s v="Subdirector de Gestión de la Información"/>
    <n v="6012220601"/>
    <s v="guillermo.holguin@upme.gov.co"/>
    <n v="41700000"/>
    <n v="0"/>
    <n v="0"/>
    <n v="5000000"/>
    <n v="0"/>
    <n v="10000000"/>
    <n v="0"/>
    <n v="10000000"/>
    <n v="0"/>
    <n v="10000000"/>
    <n v="0"/>
    <n v="6700000"/>
    <n v="0"/>
    <n v="0"/>
    <n v="0"/>
    <n v="0"/>
    <n v="0"/>
    <n v="0"/>
    <n v="0"/>
    <n v="0"/>
    <n v="0"/>
    <n v="0"/>
    <n v="0"/>
    <n v="0"/>
    <n v="41700000"/>
    <n v="41700000"/>
    <n v="0"/>
    <n v="0"/>
    <s v="Prestación de servicios profesionales para la construcción e implementación de los lineamientos sectoriales e institucionales en materia de gobierno de datos y gestión de información, considerando el marco normativo vigente."/>
    <n v="41700000"/>
    <m/>
    <m/>
    <n v="5000000"/>
    <m/>
    <n v="10000000"/>
    <m/>
    <n v="10000000"/>
    <m/>
    <n v="10000000"/>
    <m/>
    <n v="6700000"/>
    <m/>
    <m/>
    <m/>
    <m/>
    <m/>
    <m/>
    <m/>
    <m/>
    <m/>
    <m/>
    <m/>
    <m/>
    <m/>
    <m/>
    <n v="41700000"/>
    <n v="41700000"/>
    <n v="0"/>
    <n v="0"/>
    <n v="30326"/>
    <d v="2026-01-14T00:00:00"/>
    <n v="41700000"/>
    <n v="0"/>
    <n v="20926"/>
    <d v="2026-01-26T00:00:00"/>
    <n v="41700000"/>
    <n v="0"/>
    <n v="0"/>
    <s v="AVILA ARIAS JOHN JAIRO"/>
    <s v="CO1.PCCNTR.9054585"/>
    <n v="41700000"/>
    <m/>
    <m/>
    <m/>
    <m/>
    <m/>
    <m/>
    <n v="10333333"/>
    <n v="10333333"/>
    <m/>
    <m/>
    <m/>
    <m/>
    <m/>
    <m/>
    <m/>
    <m/>
    <m/>
    <m/>
    <m/>
    <m/>
    <m/>
    <m/>
    <m/>
    <m/>
    <m/>
    <m/>
    <m/>
    <m/>
    <m/>
    <m/>
    <m/>
    <m/>
    <m/>
    <m/>
    <m/>
    <n v="41700000"/>
    <n v="10333333"/>
    <n v="10333333"/>
    <n v="31366667"/>
    <n v="0"/>
    <x v="0"/>
  </r>
  <r>
    <x v="0"/>
    <x v="7"/>
    <s v="Implementación de una solución integral para el acceso a los datos y a la información oportuna y de calidad del sector minero energético a nivel nacional"/>
    <s v="Gestión de la Información"/>
    <s v="Sí"/>
    <s v="Sí"/>
    <n v="2"/>
    <s v="131-2"/>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2 Prestación de servicios de apoyo a la gestión para el seguimiento, estructuración y tramitación de las gestiones y metas presupuestales asociadas a la entidad, con especial énfasis en la Subdirección de Gestión de la Información y su proyecto de inv"/>
    <s v="Enero "/>
    <s v="Enero "/>
    <s v="Enero "/>
    <n v="10"/>
    <s v="Meses"/>
    <s v="Contratación directa - Prestación de servicios profesionales "/>
    <s v="Propios - 20 - Ingresos corrientes"/>
    <n v="40000000"/>
    <n v="40000000"/>
    <s v="No"/>
    <s v="N/A"/>
    <s v="Guillermo Holguin"/>
    <s v="Subdirector de Gestión de la Información"/>
    <n v="6012220601"/>
    <s v="guillermo.holguin@upme.gov.co"/>
    <n v="40000000"/>
    <n v="0"/>
    <n v="0"/>
    <n v="500000"/>
    <n v="0"/>
    <n v="4000000"/>
    <n v="0"/>
    <n v="4000000"/>
    <n v="0"/>
    <n v="4000000"/>
    <n v="0"/>
    <n v="4000000"/>
    <n v="0"/>
    <n v="4000000"/>
    <n v="0"/>
    <n v="4000000"/>
    <n v="0"/>
    <n v="4000000"/>
    <n v="0"/>
    <n v="4000000"/>
    <n v="0"/>
    <n v="4000000"/>
    <n v="0"/>
    <n v="3500000"/>
    <n v="40000000"/>
    <n v="40000000"/>
    <n v="0"/>
    <n v="0"/>
    <s v="Prestación de servicios de apoyo a la gestión para el seguimiento, estructuración y tramitación de las gestiones y metas presupuestales asociadas a la entidad, con especial énfasis en la Subdirección de Gestión de la Información y su proyecto de inversión"/>
    <n v="40000000"/>
    <m/>
    <m/>
    <n v="500000"/>
    <m/>
    <n v="4000000"/>
    <m/>
    <n v="4000000"/>
    <m/>
    <n v="4000000"/>
    <m/>
    <n v="4000000"/>
    <m/>
    <n v="4000000"/>
    <m/>
    <n v="4000000"/>
    <m/>
    <n v="4000000"/>
    <m/>
    <n v="4000000"/>
    <m/>
    <n v="4000000"/>
    <m/>
    <n v="3500000"/>
    <m/>
    <m/>
    <n v="40000000"/>
    <n v="40000000"/>
    <n v="0"/>
    <n v="0"/>
    <n v="20826"/>
    <d v="2026-01-11T00:00:00"/>
    <n v="40000000"/>
    <n v="0"/>
    <n v="16826"/>
    <d v="2026-01-22T00:00:00"/>
    <n v="40000000"/>
    <n v="0"/>
    <n v="0"/>
    <s v="MARTINEZ BALLESTAS JULLY PAULINE"/>
    <s v="CO1.PCCNTR.8936638"/>
    <n v="40000000"/>
    <m/>
    <m/>
    <m/>
    <m/>
    <m/>
    <m/>
    <n v="5066667"/>
    <n v="5066667"/>
    <m/>
    <n v="4000000"/>
    <n v="4000000"/>
    <m/>
    <m/>
    <m/>
    <m/>
    <m/>
    <m/>
    <m/>
    <m/>
    <m/>
    <m/>
    <m/>
    <m/>
    <m/>
    <m/>
    <m/>
    <m/>
    <m/>
    <m/>
    <m/>
    <m/>
    <m/>
    <m/>
    <m/>
    <m/>
    <n v="40000000"/>
    <n v="9066667"/>
    <n v="9066667"/>
    <n v="30933333"/>
    <n v="0"/>
    <x v="0"/>
  </r>
  <r>
    <x v="0"/>
    <x v="7"/>
    <s v="Implementación de una solución integral para el acceso a los datos y a la información oportuna y de calidad del sector minero energético a nivel nacional"/>
    <s v="Gestión de la Información"/>
    <s v="Sí"/>
    <s v="Sí"/>
    <n v="23"/>
    <s v="131-3"/>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3 Prestación servicios profesionales para la documentación y actualización de los lineamientos de gobierno de datos y la metodología de gestión de la información, así como para brindar el apoyo administrativo en el seguimiento y control de las metas d"/>
    <s v="Enero "/>
    <s v="Enero "/>
    <s v="Enero "/>
    <n v="11.5"/>
    <s v="Meses"/>
    <s v="Contratación directa - Prestación de servicios profesionales "/>
    <s v="Propios - 20 - Ingresos corrientes"/>
    <n v="74750000"/>
    <n v="74750000"/>
    <s v="No"/>
    <s v="N/A"/>
    <s v="Guillermo Holguin"/>
    <s v="Subdirector de Gestión de la Información"/>
    <n v="6012220601"/>
    <s v="guillermo.holguin@upme.gov.co"/>
    <n v="74750000"/>
    <n v="0"/>
    <n v="0"/>
    <n v="3250000"/>
    <n v="0"/>
    <n v="6500000"/>
    <n v="0"/>
    <n v="6500000"/>
    <n v="0"/>
    <n v="6500000"/>
    <n v="0"/>
    <n v="6500000"/>
    <n v="0"/>
    <n v="6500000"/>
    <n v="0"/>
    <n v="6500000"/>
    <n v="0"/>
    <n v="6500000"/>
    <n v="0"/>
    <n v="6500000"/>
    <n v="0"/>
    <n v="6500000"/>
    <n v="0"/>
    <n v="13000000"/>
    <n v="74750000"/>
    <n v="74750000"/>
    <n v="0"/>
    <n v="0"/>
    <s v="Prestación servicios profesionales para la documentación y actualización de los lineamientos de gobierno de datos y la metodología de gestión de la información, así como para brindar el apoyo administrativo en el seguimiento y control de las metas de la S"/>
    <n v="74750000"/>
    <m/>
    <m/>
    <n v="3250000"/>
    <m/>
    <n v="6500000"/>
    <m/>
    <n v="6500000"/>
    <m/>
    <n v="6500000"/>
    <m/>
    <n v="6500000"/>
    <m/>
    <n v="6500000"/>
    <m/>
    <n v="6500000"/>
    <m/>
    <n v="6500000"/>
    <m/>
    <n v="6500000"/>
    <m/>
    <n v="6500000"/>
    <m/>
    <n v="13000000"/>
    <m/>
    <m/>
    <n v="74750000"/>
    <n v="74750000"/>
    <n v="0"/>
    <n v="0"/>
    <n v="14926"/>
    <d v="2026-01-09T00:00:00"/>
    <n v="73233333"/>
    <n v="1516667"/>
    <n v="16126"/>
    <d v="2026-01-22T00:00:00"/>
    <n v="73233333"/>
    <n v="1516667"/>
    <n v="0"/>
    <s v="TORRES AYALA DIEGO"/>
    <s v="CO1.PCCNTR.8997447"/>
    <n v="74750000"/>
    <m/>
    <m/>
    <m/>
    <n v="1733333"/>
    <n v="1733333"/>
    <n v="-1516667"/>
    <n v="6500000"/>
    <n v="6500000"/>
    <m/>
    <n v="6500000"/>
    <n v="6500000"/>
    <m/>
    <m/>
    <m/>
    <m/>
    <m/>
    <m/>
    <m/>
    <m/>
    <m/>
    <m/>
    <m/>
    <m/>
    <m/>
    <m/>
    <m/>
    <m/>
    <m/>
    <m/>
    <m/>
    <m/>
    <m/>
    <m/>
    <m/>
    <m/>
    <n v="73233333"/>
    <n v="14733333"/>
    <n v="14733333"/>
    <n v="58500000"/>
    <n v="0"/>
    <x v="0"/>
  </r>
  <r>
    <x v="0"/>
    <x v="7"/>
    <s v="Implementación de una solución integral para el acceso a los datos y a la información oportuna y de calidad del sector minero energético a nivel nacional"/>
    <s v="Gestión de la Información"/>
    <s v="Sí"/>
    <s v="Sí"/>
    <n v="68"/>
    <s v="131-4"/>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4 Prestación de servicios profesionales orientados a la gestión de proyectos asociados al Plan Estratégico de Tecnologías de la Información y a otros instrumentos de planeación de la Subdirección de Gestión de la Información"/>
    <s v="Enero "/>
    <s v="Enero "/>
    <s v="Enero "/>
    <n v="10"/>
    <s v="Meses"/>
    <s v="Contratación directa - Prestación de servicios profesionales "/>
    <s v="Propios - 20 - Ingresos corrientes"/>
    <n v="50000000"/>
    <n v="50000000"/>
    <s v="No"/>
    <s v="N/A"/>
    <s v="Guillermo Holguin"/>
    <s v="Subdirector de Gestión de la Información"/>
    <n v="6012220601"/>
    <s v="guillermo.holguin@upme.gov.co"/>
    <n v="0"/>
    <n v="0"/>
    <n v="50000000"/>
    <n v="0"/>
    <n v="0"/>
    <n v="5000000"/>
    <n v="0"/>
    <n v="5000000"/>
    <n v="0"/>
    <n v="5000000"/>
    <n v="0"/>
    <n v="5000000"/>
    <n v="0"/>
    <n v="5000000"/>
    <n v="0"/>
    <n v="5000000"/>
    <n v="0"/>
    <n v="5000000"/>
    <n v="0"/>
    <n v="5000000"/>
    <n v="0"/>
    <n v="5000000"/>
    <n v="0"/>
    <n v="5000000"/>
    <n v="50000000"/>
    <n v="50000000"/>
    <n v="0"/>
    <n v="0"/>
    <s v="Prestación de servicios profesionales orientados a la gestión de proyectos asociados al Plan Estratégico de Tecnologías de la Información y a otros instrumentos de planeación de la Subdirección de Gestión de la Información"/>
    <m/>
    <m/>
    <n v="50000000"/>
    <m/>
    <m/>
    <n v="5000000"/>
    <m/>
    <n v="5000000"/>
    <m/>
    <n v="5000000"/>
    <m/>
    <n v="5000000"/>
    <m/>
    <n v="5000000"/>
    <m/>
    <n v="5000000"/>
    <m/>
    <n v="5000000"/>
    <m/>
    <n v="5000000"/>
    <m/>
    <n v="5000000"/>
    <m/>
    <n v="5000000"/>
    <m/>
    <m/>
    <n v="50000000"/>
    <n v="50000000"/>
    <n v="0"/>
    <n v="0"/>
    <n v="18926"/>
    <d v="2026-01-11T00:00:00"/>
    <n v="50000000"/>
    <n v="0"/>
    <n v="41926"/>
    <d v="2026-02-05T00:00:00"/>
    <n v="50000000"/>
    <n v="0"/>
    <n v="0"/>
    <s v="ATENCIO ZAMBRANO JOHN JADER"/>
    <s v="CO1.PCCNTR.9202037"/>
    <m/>
    <m/>
    <m/>
    <n v="50000000"/>
    <m/>
    <m/>
    <m/>
    <n v="4333333"/>
    <n v="4333333"/>
    <m/>
    <n v="5000000"/>
    <n v="5000000"/>
    <m/>
    <m/>
    <m/>
    <m/>
    <m/>
    <m/>
    <m/>
    <m/>
    <m/>
    <m/>
    <m/>
    <m/>
    <m/>
    <m/>
    <m/>
    <m/>
    <m/>
    <m/>
    <m/>
    <m/>
    <m/>
    <m/>
    <m/>
    <m/>
    <n v="50000000"/>
    <n v="9333333"/>
    <n v="9333333"/>
    <n v="40666667"/>
    <n v="0"/>
    <x v="0"/>
  </r>
  <r>
    <x v="0"/>
    <x v="7"/>
    <s v="Implementación de una solución integral para el acceso a los datos y a la información oportuna y de calidad del sector minero energético a nivel nacional"/>
    <s v="Gestión de la Información"/>
    <s v="Sí"/>
    <s v="Sí"/>
    <n v="23"/>
    <s v="131-5"/>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5 Prestación de servicios de apoyo a la gestión para desarrollar la documentación integral del sistema de gestión de datos y brindar apoyo técnico en la implementación y actualización de la política de gobierno de datos y la metodología de gestión de "/>
    <s v="Enero "/>
    <s v="Enero "/>
    <s v="Enero "/>
    <n v="11"/>
    <s v="Meses"/>
    <s v="Contratación directa - Prestación de servicios profesionales "/>
    <s v="Propios - 20 - Ingresos corrientes"/>
    <n v="46200000"/>
    <n v="46200000"/>
    <s v="No"/>
    <s v="N/A"/>
    <s v="Guillermo Holguin"/>
    <s v="Subdirector de Gestión de la Información"/>
    <n v="6012220601"/>
    <s v="guillermo.holguin@upme.gov.co"/>
    <n v="0"/>
    <n v="0"/>
    <n v="46200000"/>
    <n v="0"/>
    <n v="0"/>
    <n v="4200000"/>
    <n v="0"/>
    <n v="4200000"/>
    <n v="0"/>
    <n v="4200000"/>
    <n v="0"/>
    <n v="4200000"/>
    <n v="0"/>
    <n v="4200000"/>
    <n v="0"/>
    <n v="4200000"/>
    <n v="0"/>
    <n v="4200000"/>
    <n v="0"/>
    <n v="4200000"/>
    <n v="0"/>
    <n v="4200000"/>
    <n v="0"/>
    <n v="8400000"/>
    <n v="46200000"/>
    <n v="46200000"/>
    <n v="0"/>
    <n v="0"/>
    <s v="Prestación de servicios de apoyo a la gestión para desarrollar la documentación integral del sistema de gestión de datos y brindar apoyo técnico en la implementación y actualización de la política de gobierno de datos y la metodología de gestión de inform"/>
    <m/>
    <m/>
    <n v="46200000"/>
    <m/>
    <m/>
    <n v="4200000"/>
    <m/>
    <n v="4200000"/>
    <m/>
    <n v="4200000"/>
    <m/>
    <n v="4200000"/>
    <m/>
    <n v="4200000"/>
    <m/>
    <n v="4200000"/>
    <m/>
    <n v="4200000"/>
    <m/>
    <n v="4200000"/>
    <m/>
    <n v="4200000"/>
    <m/>
    <n v="8400000"/>
    <m/>
    <m/>
    <n v="46200000"/>
    <n v="46200000"/>
    <n v="0"/>
    <n v="0"/>
    <n v="29326"/>
    <d v="2026-01-14T00:00:00"/>
    <n v="45780000"/>
    <n v="420000"/>
    <n v="38626"/>
    <d v="2026-02-03T00:00:00"/>
    <n v="45780000"/>
    <n v="420000"/>
    <n v="0"/>
    <s v="TOLEDO EDISON"/>
    <s v="CO1.PCCNTR.9189073"/>
    <m/>
    <m/>
    <m/>
    <n v="46200000"/>
    <m/>
    <m/>
    <n v="-420000"/>
    <n v="3780000"/>
    <n v="3780000"/>
    <m/>
    <n v="4200000"/>
    <n v="4200000"/>
    <m/>
    <m/>
    <m/>
    <m/>
    <m/>
    <m/>
    <m/>
    <m/>
    <m/>
    <m/>
    <m/>
    <m/>
    <m/>
    <m/>
    <m/>
    <m/>
    <m/>
    <m/>
    <m/>
    <m/>
    <m/>
    <m/>
    <m/>
    <m/>
    <n v="45780000"/>
    <n v="7980000"/>
    <n v="7980000"/>
    <n v="37800000"/>
    <n v="0"/>
    <x v="0"/>
  </r>
  <r>
    <x v="0"/>
    <x v="7"/>
    <s v="Implementación de una solución integral para el acceso a los datos y a la información oportuna y de calidad del sector minero energético a nivel nacional"/>
    <s v="Gestión de la Información"/>
    <s v="Sí"/>
    <s v="Sí"/>
    <n v="23"/>
    <s v="131-6"/>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6 Prestación de servicios profesionales para actualizar y fortalecer el documento de gestión de información sectorial, incluyendo la revisión, actualización e implementación de metodologías y políticas de gobierno de datos, alineados con las necesidad"/>
    <s v="Enero "/>
    <s v="Enero "/>
    <s v="Enero "/>
    <n v="7"/>
    <s v="Meses"/>
    <s v="Contratación directa - Prestación de servicios profesionales "/>
    <s v="Propios - 20 - Ingresos corrientes"/>
    <n v="49000000"/>
    <n v="49000000"/>
    <s v="No"/>
    <s v="N/A"/>
    <s v="Guillermo Holguin"/>
    <s v="Subdirector de Gestión de la Información"/>
    <n v="6012220601"/>
    <s v="guillermo.holguin@upme.gov.co"/>
    <n v="0"/>
    <n v="0"/>
    <n v="0"/>
    <n v="0"/>
    <n v="0"/>
    <n v="0"/>
    <n v="0"/>
    <n v="0"/>
    <n v="0"/>
    <n v="0"/>
    <n v="0"/>
    <n v="0"/>
    <n v="49000000"/>
    <n v="0"/>
    <n v="0"/>
    <n v="0"/>
    <n v="0"/>
    <n v="0"/>
    <n v="0"/>
    <n v="0"/>
    <n v="0"/>
    <n v="0"/>
    <n v="0"/>
    <n v="49000000"/>
    <n v="49000000"/>
    <n v="49000000"/>
    <n v="0"/>
    <n v="0"/>
    <s v="Prestación de servicios profesionales para actualizar y fortalecer el documento de gestión de información sectorial, incluyendo la revisión, actualización e implementación de metodologías y políticas de gobierno de datos, alineados con las necesidades del"/>
    <m/>
    <m/>
    <m/>
    <m/>
    <m/>
    <m/>
    <m/>
    <m/>
    <m/>
    <m/>
    <m/>
    <m/>
    <n v="49000000"/>
    <m/>
    <m/>
    <m/>
    <m/>
    <m/>
    <m/>
    <m/>
    <m/>
    <m/>
    <m/>
    <n v="49000000"/>
    <m/>
    <m/>
    <n v="49000000"/>
    <n v="49000000"/>
    <n v="0"/>
    <n v="0"/>
    <m/>
    <m/>
    <m/>
    <n v="49000000"/>
    <m/>
    <m/>
    <n v="0"/>
    <n v="490000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3"/>
    <s v="131-7"/>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7 Prestación de servicios profesionales para apoyar el fortalecimiento e implementación del Marco de Referencia de Arquitectura Empresarial en la Unidad de Planeación Minero Energética"/>
    <s v="Enero "/>
    <s v="Enero "/>
    <s v="Enero "/>
    <n v="11"/>
    <s v="Meses"/>
    <s v="Contratación directa - Prestación de servicios profesionales "/>
    <s v="Propios - 20 - Ingresos corrientes"/>
    <n v="77000000"/>
    <n v="77000000"/>
    <s v="No"/>
    <s v="N/A"/>
    <s v="Guillermo Holguin"/>
    <s v="Subdirector de Gestión de la Información"/>
    <n v="6012220601"/>
    <s v="guillermo.holguin@upme.gov.co"/>
    <n v="0"/>
    <n v="0"/>
    <n v="77000000"/>
    <n v="0"/>
    <n v="0"/>
    <n v="7000000"/>
    <n v="0"/>
    <n v="7000000"/>
    <n v="0"/>
    <n v="7000000"/>
    <n v="0"/>
    <n v="7000000"/>
    <n v="0"/>
    <n v="7000000"/>
    <n v="0"/>
    <n v="7000000"/>
    <n v="0"/>
    <n v="7000000"/>
    <n v="0"/>
    <n v="7000000"/>
    <n v="0"/>
    <n v="7000000"/>
    <n v="0"/>
    <n v="14000000"/>
    <n v="77000000"/>
    <n v="77000000"/>
    <n v="0"/>
    <n v="0"/>
    <s v="Prestación de servicios profesionales para apoyar el fortalecimiento e implementación del Marco de Referencia de Arquitectura Empresarial en la Unidad de Planeación Minero Energética"/>
    <m/>
    <m/>
    <n v="77000000"/>
    <m/>
    <m/>
    <n v="7000000"/>
    <m/>
    <n v="7000000"/>
    <m/>
    <n v="7000000"/>
    <m/>
    <n v="7000000"/>
    <m/>
    <n v="7000000"/>
    <m/>
    <n v="7000000"/>
    <m/>
    <n v="7000000"/>
    <m/>
    <n v="7000000"/>
    <m/>
    <n v="7000000"/>
    <m/>
    <n v="14000000"/>
    <m/>
    <m/>
    <n v="77000000"/>
    <n v="77000000"/>
    <n v="0"/>
    <n v="0"/>
    <n v="56026"/>
    <d v="2026-01-22T00:00:00"/>
    <n v="74666667"/>
    <n v="2333333"/>
    <n v="53026"/>
    <d v="2026-02-10T00:00:00"/>
    <n v="74666667"/>
    <n v="2333333"/>
    <n v="0"/>
    <s v="ESTEPA CARDENAS DIANA FERNANDA"/>
    <s v="CO1.PCCNTR.9290549"/>
    <m/>
    <m/>
    <m/>
    <n v="77000000"/>
    <m/>
    <m/>
    <n v="-2333333"/>
    <n v="4666666"/>
    <n v="4666666"/>
    <m/>
    <n v="7000000"/>
    <n v="7000000"/>
    <m/>
    <m/>
    <m/>
    <m/>
    <m/>
    <m/>
    <m/>
    <m/>
    <m/>
    <m/>
    <m/>
    <m/>
    <m/>
    <m/>
    <m/>
    <m/>
    <m/>
    <m/>
    <m/>
    <m/>
    <m/>
    <m/>
    <m/>
    <m/>
    <n v="74666667"/>
    <n v="11666666"/>
    <n v="11666666"/>
    <n v="63000001"/>
    <n v="0"/>
    <x v="0"/>
  </r>
  <r>
    <x v="0"/>
    <x v="7"/>
    <s v="Implementación de una solución integral para el acceso a los datos y a la información oportuna y de calidad del sector minero energético a nivel nacional"/>
    <s v="Gestión de la Información"/>
    <s v="Sí"/>
    <s v="Sí"/>
    <n v="23"/>
    <s v="131-8"/>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8 Prestar apoyo en la elaboración, actualización de los procesos, procedimientos y documentación en el marco de la Modernización de Procesos de la Entidad"/>
    <s v="Enero "/>
    <s v="Enero "/>
    <s v="Enero "/>
    <n v="11.5"/>
    <s v="Meses"/>
    <s v="Contratación directa - Prestación de servicios profesionales "/>
    <s v="Propios - 20 - Ingresos corrientes"/>
    <n v="41400000"/>
    <n v="41400000"/>
    <s v="No"/>
    <s v="N/A"/>
    <s v="Guillermo Holguin"/>
    <s v="Subdirector de Gestión de la Información"/>
    <n v="6012220601"/>
    <s v="guillermo.holguin@upme.gov.co"/>
    <n v="39600000"/>
    <n v="0"/>
    <n v="0"/>
    <n v="1800000"/>
    <n v="0"/>
    <n v="3600000"/>
    <n v="0"/>
    <n v="3600000"/>
    <n v="0"/>
    <n v="3600000"/>
    <n v="0"/>
    <n v="3600000"/>
    <n v="1800000"/>
    <n v="3600000"/>
    <n v="0"/>
    <n v="3600000"/>
    <n v="0"/>
    <n v="3600000"/>
    <n v="0"/>
    <n v="3600000"/>
    <n v="0"/>
    <n v="3600000"/>
    <n v="0"/>
    <n v="7200000"/>
    <n v="41400000"/>
    <n v="41400000"/>
    <n v="0"/>
    <n v="0"/>
    <s v="Prestar apoyo en la elaboración, actualización de los procesos, procedimientos y documentación en el marco de la Modernización de Procesos de la Entidad"/>
    <n v="39600000"/>
    <m/>
    <m/>
    <n v="1800000"/>
    <m/>
    <n v="3600000"/>
    <m/>
    <n v="3600000"/>
    <m/>
    <n v="3600000"/>
    <m/>
    <n v="3600000"/>
    <n v="1800000"/>
    <n v="3600000"/>
    <m/>
    <n v="3600000"/>
    <m/>
    <n v="3600000"/>
    <m/>
    <n v="3600000"/>
    <m/>
    <n v="3600000"/>
    <m/>
    <n v="7200000"/>
    <m/>
    <m/>
    <n v="41400000"/>
    <n v="41400000"/>
    <n v="0"/>
    <n v="0"/>
    <n v="38626"/>
    <d v="2026-01-15T00:00:00"/>
    <n v="39600000"/>
    <n v="1800000"/>
    <n v="27026"/>
    <d v="2026-01-28T00:00:00"/>
    <n v="39600000"/>
    <n v="1800000"/>
    <n v="0"/>
    <s v="DIAZ SANCHEZ NORELA"/>
    <s v="CO1.PCCNTR.9143308"/>
    <n v="39600000"/>
    <m/>
    <m/>
    <m/>
    <m/>
    <m/>
    <m/>
    <n v="3840000"/>
    <n v="3840000"/>
    <m/>
    <n v="3600000"/>
    <n v="3600000"/>
    <m/>
    <m/>
    <m/>
    <m/>
    <m/>
    <m/>
    <m/>
    <m/>
    <m/>
    <m/>
    <m/>
    <m/>
    <m/>
    <m/>
    <m/>
    <m/>
    <m/>
    <m/>
    <m/>
    <m/>
    <m/>
    <m/>
    <m/>
    <m/>
    <n v="39600000"/>
    <n v="7440000"/>
    <n v="7440000"/>
    <n v="32160000"/>
    <n v="0"/>
    <x v="0"/>
  </r>
  <r>
    <x v="0"/>
    <x v="7"/>
    <s v="Implementación de una solución integral para el acceso a los datos y a la información oportuna y de calidad del sector minero energético a nivel nacional"/>
    <s v="Gestión de la Información"/>
    <s v="Sí"/>
    <s v="Sí"/>
    <n v="68"/>
    <s v="131-9"/>
    <s v="Fortalecer la implementación de la política de gobierno de datos y gestión de información del sector minero energético."/>
    <s v="Documentos de Lineamientos Técnicos para el Gobierno de Datos y Gestión de la Información"/>
    <s v="Divulgación"/>
    <n v="80111620"/>
    <s v="C-2106-1900-14-53105B-2106010-02"/>
    <s v="Prestación de servicios profesionales y/o de apoyo a la gestión"/>
    <s v="131-9 Prestación de servicios profesionales para la construcción e implementación de los lineamientos sectoriales e institucionales en materia de gobierno de datos y gestión de información, considerando el marco normativo vigente."/>
    <s v="Enero "/>
    <s v="Enero "/>
    <s v="Enero "/>
    <n v="10"/>
    <s v="Meses"/>
    <s v="Contratación directa - Prestación de servicios profesionales "/>
    <s v="Propios - 20 - Ingresos corrientes"/>
    <n v="58300000"/>
    <n v="58300000"/>
    <s v="No"/>
    <s v="N/A"/>
    <s v="Guillermo Holguin"/>
    <s v="Subdirector de Gestión de la Información"/>
    <n v="6012220601"/>
    <s v="guillermo.holguin@upme.gov.co"/>
    <n v="58300000"/>
    <n v="0"/>
    <n v="0"/>
    <n v="0"/>
    <n v="0"/>
    <n v="0"/>
    <n v="0"/>
    <n v="0"/>
    <n v="0"/>
    <n v="0"/>
    <n v="0"/>
    <n v="3300000"/>
    <n v="0"/>
    <n v="10000000"/>
    <n v="0"/>
    <n v="10000000"/>
    <n v="0"/>
    <n v="10000000"/>
    <n v="0"/>
    <n v="10000000"/>
    <n v="0"/>
    <n v="10000000"/>
    <n v="0"/>
    <n v="5000000"/>
    <n v="58300000"/>
    <n v="58300000"/>
    <n v="0"/>
    <n v="0"/>
    <s v="Prestación de servicios profesionales para la construcción e implementación de los lineamientos sectoriales e institucionales en materia de gobierno de datos y gestión de información, considerando el marco normativo vigente."/>
    <n v="58300000"/>
    <m/>
    <m/>
    <m/>
    <m/>
    <m/>
    <m/>
    <m/>
    <m/>
    <m/>
    <m/>
    <n v="3300000"/>
    <m/>
    <n v="10000000"/>
    <m/>
    <n v="10000000"/>
    <m/>
    <n v="10000000"/>
    <m/>
    <n v="10000000"/>
    <m/>
    <n v="10000000"/>
    <m/>
    <n v="5000000"/>
    <m/>
    <m/>
    <n v="58300000"/>
    <n v="58300000"/>
    <n v="0"/>
    <n v="0"/>
    <n v="30326"/>
    <d v="2026-01-14T00:00:00"/>
    <n v="58300000"/>
    <n v="0"/>
    <n v="20926"/>
    <d v="2026-01-26T00:00:00"/>
    <n v="58300000"/>
    <n v="0"/>
    <n v="0"/>
    <s v="AVILA ARIAS JOHN JAIRO"/>
    <s v="CO1.PCCNTR.9054585"/>
    <n v="58300000"/>
    <m/>
    <m/>
    <m/>
    <m/>
    <m/>
    <m/>
    <m/>
    <m/>
    <m/>
    <n v="10000000"/>
    <n v="10000000"/>
    <m/>
    <m/>
    <m/>
    <m/>
    <m/>
    <m/>
    <m/>
    <m/>
    <m/>
    <m/>
    <m/>
    <m/>
    <m/>
    <m/>
    <m/>
    <m/>
    <m/>
    <m/>
    <m/>
    <m/>
    <m/>
    <m/>
    <m/>
    <m/>
    <n v="58300000"/>
    <n v="10000000"/>
    <n v="10000000"/>
    <n v="48300000"/>
    <n v="0"/>
    <x v="0"/>
  </r>
  <r>
    <x v="0"/>
    <x v="7"/>
    <s v="Implementación de una solución integral para el acceso a los datos y a la información oportuna y de calidad del sector minero energético a nivel nacional"/>
    <s v="Gestión de la Información"/>
    <s v="Sí"/>
    <s v="Sí"/>
    <n v="68"/>
    <s v="131-10"/>
    <s v="Fortalecer la implementación de la política de gobierno de datos y gestión de información del sector minero energético."/>
    <s v="Servicio de Información Implementado e Interoperado"/>
    <s v="Diseño técnico y funcional."/>
    <n v="80111620"/>
    <s v="C-2106-1900-14-53105B-2106034-02"/>
    <s v="Prestación de servicios profesionales y/o de apoyo a la gestión"/>
    <s v="131-10 Prestación de servicios profesionales para diseñar, documentar e implementar arquitecturas de datos robustas, escalables y seguras, incluyendo el modelo conceptual, lógico y físico que procure la integración de las diferentes fuentes de información"/>
    <s v="Enero "/>
    <s v="Enero "/>
    <s v="Enero "/>
    <n v="11.5"/>
    <s v="Meses"/>
    <s v="Contratación directa - Prestación de servicios profesionales "/>
    <s v="Propios - 20 - Ingresos corrientes"/>
    <n v="85100000"/>
    <n v="85100000"/>
    <s v="No"/>
    <s v="N/A"/>
    <s v="Guillermo Holguin"/>
    <s v="Subdirector de Gestión de la Información"/>
    <n v="6012220601"/>
    <s v="guillermo.holguin@upme.gov.co"/>
    <n v="85000000"/>
    <n v="0"/>
    <n v="0"/>
    <n v="3700000"/>
    <n v="0"/>
    <n v="7400000"/>
    <n v="0"/>
    <n v="7400000"/>
    <n v="0"/>
    <n v="7400000"/>
    <n v="0"/>
    <n v="7400000"/>
    <n v="100000"/>
    <n v="7400000"/>
    <n v="0"/>
    <n v="7400000"/>
    <n v="0"/>
    <n v="7400000"/>
    <n v="0"/>
    <n v="7400000"/>
    <n v="0"/>
    <n v="7400000"/>
    <n v="0"/>
    <n v="14800000"/>
    <n v="85100000"/>
    <n v="85100000"/>
    <n v="0"/>
    <n v="0"/>
    <s v="Prestación de servicios profesionales para diseñar, documentar e implementar arquitecturas de datos robustas, escalables y seguras, incluyendo el modelo conceptual, lógico y físico que procure la integración de las diferentes fuentes de información que re"/>
    <n v="85000000"/>
    <m/>
    <m/>
    <n v="3700000"/>
    <m/>
    <n v="7400000"/>
    <m/>
    <n v="7400000"/>
    <m/>
    <n v="7400000"/>
    <m/>
    <n v="7400000"/>
    <n v="100000"/>
    <n v="7400000"/>
    <m/>
    <n v="7400000"/>
    <m/>
    <n v="7400000"/>
    <m/>
    <n v="7400000"/>
    <m/>
    <n v="7400000"/>
    <m/>
    <n v="14800000"/>
    <m/>
    <m/>
    <n v="85100000"/>
    <n v="85100000"/>
    <n v="0"/>
    <n v="0"/>
    <n v="55526"/>
    <d v="2026-01-22T00:00:00"/>
    <n v="85000000"/>
    <n v="100000"/>
    <n v="33126"/>
    <d v="2026-01-29T00:00:00"/>
    <n v="85000000"/>
    <n v="100000"/>
    <n v="0"/>
    <s v="DOMINGUEZ JIMENEZ RAFAEL ANDRES"/>
    <s v="CO1.PCCNTR.9138557"/>
    <n v="85000000"/>
    <m/>
    <m/>
    <m/>
    <m/>
    <m/>
    <m/>
    <n v="10333333"/>
    <n v="10333333"/>
    <m/>
    <n v="10000000"/>
    <n v="10000000"/>
    <m/>
    <m/>
    <m/>
    <m/>
    <m/>
    <m/>
    <m/>
    <m/>
    <m/>
    <m/>
    <m/>
    <m/>
    <m/>
    <m/>
    <m/>
    <m/>
    <m/>
    <m/>
    <m/>
    <m/>
    <m/>
    <m/>
    <m/>
    <m/>
    <n v="85000000"/>
    <n v="20333333"/>
    <n v="20333333"/>
    <n v="64666667"/>
    <n v="0"/>
    <x v="0"/>
  </r>
  <r>
    <x v="0"/>
    <x v="7"/>
    <s v="Implementación de una solución integral para el acceso a los datos y a la información oportuna y de calidad del sector minero energético a nivel nacional"/>
    <s v="Gestión de la Información"/>
    <s v="Sí"/>
    <s v="Sí"/>
    <n v="22"/>
    <s v="131-11"/>
    <s v="Fortalecer la implementación de la política de gobierno de datos y gestión de información del sector minero energético."/>
    <s v="Servicio de Información Implementado e Interoperado"/>
    <s v="Diseño técnico y funcional."/>
    <n v="81112003"/>
    <s v="C-2106-1900-14-53105B-2106034-02"/>
    <s v="Software - Licencias"/>
    <s v="131-11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32116800"/>
    <n v="32116800"/>
    <s v="No"/>
    <s v="N/A"/>
    <s v="Guillermo Holguin"/>
    <s v="Subdirector de Gestión de la Información"/>
    <n v="6012220601"/>
    <s v="guillermo.holguin@upme.gov.co"/>
    <n v="0"/>
    <n v="0"/>
    <n v="0"/>
    <n v="0"/>
    <n v="0"/>
    <n v="0"/>
    <n v="32116800"/>
    <n v="0"/>
    <n v="0"/>
    <n v="32116800"/>
    <n v="0"/>
    <n v="0"/>
    <n v="0"/>
    <n v="0"/>
    <n v="0"/>
    <n v="0"/>
    <n v="0"/>
    <n v="0"/>
    <n v="0"/>
    <n v="0"/>
    <n v="0"/>
    <n v="0"/>
    <n v="0"/>
    <n v="0"/>
    <n v="32116800"/>
    <n v="32116800"/>
    <n v="0"/>
    <n v="0"/>
    <s v="servicios en la nube para la implementación de un lago de datos institucional que permita la consolidación, integración, centralización, acceso y exposición de la información de la UPME, incluyendo la asociada a electromovilidad."/>
    <n v="0"/>
    <n v="0"/>
    <n v="0"/>
    <n v="0"/>
    <n v="0"/>
    <n v="0"/>
    <n v="0"/>
    <n v="0"/>
    <n v="32116800"/>
    <n v="0"/>
    <n v="0"/>
    <n v="0"/>
    <n v="0"/>
    <n v="32116800"/>
    <n v="0"/>
    <n v="0"/>
    <n v="0"/>
    <n v="0"/>
    <n v="0"/>
    <n v="0"/>
    <n v="0"/>
    <n v="0"/>
    <n v="0"/>
    <n v="0"/>
    <m/>
    <m/>
    <n v="32116800"/>
    <n v="32116800"/>
    <n v="0"/>
    <n v="0"/>
    <m/>
    <m/>
    <m/>
    <n v="32116800"/>
    <m/>
    <m/>
    <n v="0"/>
    <n v="321168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8"/>
    <s v="131-12"/>
    <s v="Fortalecer la implementación de la política de gobierno de datos y gestión de información del sector minero energético."/>
    <s v="Servicio de Información Implementado e Interoperado"/>
    <s v="Diseño técnico y funcional."/>
    <n v="80111713"/>
    <s v="C-2106-1900-14-53105B-2106034-02"/>
    <s v="Software - Licencias"/>
    <s v="131-12 Adquirir el licenciamiento de las herramientas colaborativas en nube para la UPME"/>
    <s v="Agosto"/>
    <s v="Agosto"/>
    <s v="Septiembre"/>
    <n v="12"/>
    <s v="Meses"/>
    <s v="Seléccion abreviada - acuerdo marco"/>
    <s v="Propios - 21 - Otros recursos de tesorería"/>
    <n v="10812000"/>
    <n v="10812000"/>
    <s v="No"/>
    <s v="N/A"/>
    <s v="Guillermo Holguin"/>
    <s v="Subdirector de Gestión de la Información"/>
    <n v="6012220601"/>
    <s v="guillermo.holguin@upme.gov.co"/>
    <n v="0"/>
    <n v="0"/>
    <n v="0"/>
    <n v="0"/>
    <n v="0"/>
    <n v="0"/>
    <n v="0"/>
    <n v="0"/>
    <n v="0"/>
    <n v="0"/>
    <n v="0"/>
    <n v="0"/>
    <n v="0"/>
    <n v="0"/>
    <n v="0"/>
    <n v="0"/>
    <n v="0"/>
    <n v="0"/>
    <n v="10812000"/>
    <n v="0"/>
    <n v="0"/>
    <n v="0"/>
    <n v="0"/>
    <n v="10812000"/>
    <n v="10812000"/>
    <n v="10812000"/>
    <n v="0"/>
    <n v="0"/>
    <s v="Adquirir el licenciamiento de las herramientas colaborativas en nube para la UPME"/>
    <m/>
    <m/>
    <m/>
    <m/>
    <m/>
    <m/>
    <m/>
    <m/>
    <m/>
    <m/>
    <m/>
    <m/>
    <m/>
    <m/>
    <m/>
    <m/>
    <m/>
    <m/>
    <n v="10812000"/>
    <m/>
    <m/>
    <m/>
    <m/>
    <n v="10812000"/>
    <m/>
    <m/>
    <n v="10812000"/>
    <n v="10812000"/>
    <n v="0"/>
    <n v="0"/>
    <m/>
    <m/>
    <m/>
    <n v="10812000"/>
    <m/>
    <m/>
    <n v="0"/>
    <n v="108120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8"/>
    <s v="131-13"/>
    <s v="Fortalecer la implementación de la política de gobierno de datos y gestión de información del sector minero energético."/>
    <s v="Servicio de Información Implementado e Interoperado"/>
    <s v="Pruebas y aseguramiento de calidad."/>
    <n v="80111620"/>
    <s v="C-2106-1900-14-53105B-2106034-02"/>
    <s v="Prestación de servicios profesionales y/o de apoyo a la gestión"/>
    <s v="131-13 Prestación de servicios de apoyo a la gestión para el diseño, documentación e implementación de la arquitectura de integración y flujos de información sectoriales, garantizando la interoperabilidad entre los sistemas de información de la UPME y la "/>
    <s v="Enero "/>
    <s v="Enero "/>
    <s v="Enero "/>
    <n v="11"/>
    <s v="Meses"/>
    <s v="Contratación directa - Prestación de servicios profesionales "/>
    <s v="Propios - 20 - Ingresos corrientes"/>
    <n v="55440000"/>
    <n v="55440000"/>
    <s v="No"/>
    <s v="N/A"/>
    <s v="Guillermo Holguin"/>
    <s v="Subdirector de Gestión de la Información"/>
    <n v="6012220601"/>
    <s v="guillermo.holguin@upme.gov.co"/>
    <n v="0"/>
    <n v="0"/>
    <n v="55440000"/>
    <n v="0"/>
    <n v="0"/>
    <n v="5040000"/>
    <n v="0"/>
    <n v="5040000"/>
    <n v="0"/>
    <n v="5040000"/>
    <n v="0"/>
    <n v="5040000"/>
    <n v="0"/>
    <n v="5040000"/>
    <n v="0"/>
    <n v="5040000"/>
    <n v="0"/>
    <n v="5040000"/>
    <n v="0"/>
    <n v="5040000"/>
    <n v="0"/>
    <n v="5040000"/>
    <n v="0"/>
    <n v="10080000"/>
    <n v="55440000"/>
    <n v="55440000"/>
    <n v="0"/>
    <n v="0"/>
    <s v="Prestación de servicios de apoyo a la gestión para el diseño, documentación e implementación de la arquitectura de integración y flujos de información sectoriales, garantizando la interoperabilidad entre los sistemas de información de la UPME y la coheren"/>
    <m/>
    <m/>
    <n v="55440000"/>
    <m/>
    <m/>
    <n v="5040000"/>
    <m/>
    <n v="5040000"/>
    <m/>
    <n v="5040000"/>
    <m/>
    <n v="5040000"/>
    <m/>
    <n v="5040000"/>
    <m/>
    <n v="5040000"/>
    <m/>
    <n v="5040000"/>
    <m/>
    <n v="5040000"/>
    <m/>
    <n v="5040000"/>
    <m/>
    <n v="10080000"/>
    <m/>
    <m/>
    <n v="55440000"/>
    <n v="55440000"/>
    <n v="0"/>
    <n v="0"/>
    <n v="29226"/>
    <d v="2026-01-14T00:00:00"/>
    <n v="55440000"/>
    <n v="0"/>
    <n v="38926"/>
    <d v="2026-02-03T00:00:00"/>
    <n v="55440000"/>
    <n v="0"/>
    <n v="0"/>
    <s v="GARZON GARCIA FABIAN"/>
    <s v="CO1.PCCNTR.9188620"/>
    <m/>
    <m/>
    <m/>
    <n v="55440000"/>
    <m/>
    <m/>
    <m/>
    <m/>
    <m/>
    <m/>
    <n v="9576000"/>
    <n v="9576000"/>
    <m/>
    <m/>
    <m/>
    <m/>
    <m/>
    <m/>
    <m/>
    <m/>
    <m/>
    <m/>
    <m/>
    <m/>
    <m/>
    <m/>
    <m/>
    <m/>
    <m/>
    <m/>
    <m/>
    <m/>
    <m/>
    <m/>
    <m/>
    <m/>
    <n v="55440000"/>
    <n v="9576000"/>
    <n v="9576000"/>
    <n v="45864000"/>
    <n v="0"/>
    <x v="0"/>
  </r>
  <r>
    <x v="0"/>
    <x v="7"/>
    <s v="Implementación de una solución integral para el acceso a los datos y a la información oportuna y de calidad del sector minero energético a nivel nacional"/>
    <s v="Gestión de la Información"/>
    <s v="Sí"/>
    <s v="Sí"/>
    <n v="68"/>
    <s v="131-14"/>
    <s v="Fortalecer la implementación de la política de gobierno de datos y gestión de información del sector minero energético."/>
    <s v="Servicio de Información Implementado e Interoperado"/>
    <s v="Pruebas y aseguramiento de calidad."/>
    <n v="80111620"/>
    <s v="C-2106-1900-14-53105B-2106034-02"/>
    <s v="Prestación de servicios profesionales y/o de apoyo a la gestión"/>
    <s v="131-14 Prestación de servicios de apoyo a la gestión orientados al despliegue de microservicios y arquitecturas distribuidas, así como a la contribución en la integración e interoperabilidad de la información requerida por la entidad."/>
    <s v="Enero "/>
    <s v="Enero "/>
    <s v="Enero "/>
    <n v="11"/>
    <s v="Meses"/>
    <s v="Contratación directa - Prestación de servicios profesionales "/>
    <s v="Propios - 20 - Ingresos corrientes"/>
    <n v="55440000"/>
    <n v="55440000"/>
    <s v="No"/>
    <s v="N/A"/>
    <s v="Guillermo Holguin"/>
    <s v="Subdirector de Gestión de la Información"/>
    <n v="6012220601"/>
    <s v="guillermo.holguin@upme.gov.co"/>
    <n v="55440000"/>
    <n v="0"/>
    <n v="0"/>
    <n v="1260000"/>
    <n v="0"/>
    <n v="5040000"/>
    <n v="0"/>
    <n v="5040000"/>
    <n v="0"/>
    <n v="5040000"/>
    <n v="0"/>
    <n v="5040000"/>
    <n v="0"/>
    <n v="5040000"/>
    <n v="0"/>
    <n v="5040000"/>
    <n v="0"/>
    <n v="5040000"/>
    <n v="0"/>
    <n v="5040000"/>
    <n v="0"/>
    <n v="5040000"/>
    <n v="0"/>
    <n v="8820000"/>
    <n v="55440000"/>
    <n v="55440000"/>
    <n v="0"/>
    <n v="0"/>
    <s v="Prestación de servicios de apoyo a la gestión orientados al despliegue de microservicios y arquitecturas distribuidas, así como a la contribución en la integración e interoperabilidad de la información requerida por la entidad."/>
    <n v="55440000"/>
    <m/>
    <m/>
    <n v="1260000"/>
    <m/>
    <n v="5040000"/>
    <m/>
    <n v="5040000"/>
    <m/>
    <n v="5040000"/>
    <m/>
    <n v="5040000"/>
    <m/>
    <n v="5040000"/>
    <m/>
    <n v="5040000"/>
    <m/>
    <n v="5040000"/>
    <m/>
    <n v="5040000"/>
    <m/>
    <n v="5040000"/>
    <m/>
    <n v="8820000"/>
    <m/>
    <m/>
    <n v="55440000"/>
    <n v="55440000"/>
    <n v="0"/>
    <n v="0"/>
    <n v="30126"/>
    <d v="2026-01-14T00:00:00"/>
    <n v="55272000"/>
    <n v="168000"/>
    <n v="30626"/>
    <d v="2026-01-28T00:00:00"/>
    <n v="55272000"/>
    <n v="168000"/>
    <n v="0"/>
    <s v="ARNEDO MENDOZA RAFAEL SANTOS"/>
    <s v="CO1.PCCNTR.9053375"/>
    <n v="55440000"/>
    <m/>
    <m/>
    <m/>
    <m/>
    <m/>
    <m/>
    <n v="4872000"/>
    <n v="4872000"/>
    <n v="-168000"/>
    <n v="5040000"/>
    <n v="5040000"/>
    <m/>
    <m/>
    <m/>
    <m/>
    <m/>
    <m/>
    <m/>
    <m/>
    <m/>
    <m/>
    <m/>
    <m/>
    <m/>
    <m/>
    <m/>
    <m/>
    <m/>
    <m/>
    <m/>
    <m/>
    <m/>
    <m/>
    <m/>
    <m/>
    <n v="55272000"/>
    <n v="9912000"/>
    <n v="9912000"/>
    <n v="45360000"/>
    <n v="0"/>
    <x v="0"/>
  </r>
  <r>
    <x v="0"/>
    <x v="7"/>
    <s v="Implementación de una solución integral para el acceso a los datos y a la información oportuna y de calidad del sector minero energético a nivel nacional"/>
    <s v="Gestión de la Información"/>
    <s v="Sí"/>
    <s v="Sí"/>
    <n v="2"/>
    <s v="131-15"/>
    <s v="Fortalecer la implementación de la política de gobierno de datos y gestión de información del sector minero energético."/>
    <s v="Servicio de Información Implementado e Interoperado"/>
    <s v="Pruebas y aseguramiento de calidad."/>
    <n v="80111620"/>
    <s v="C-2106-1900-14-53105B-2106034-02"/>
    <s v="Prestación de servicios profesionales y/o de apoyo a la gestión"/>
    <s v="131-15 Prestación de servicios de apoyo a la gestión para la recolección y procesamiento de material audiovisual requerido para los sistemas de información y las comunicaciones institucionales"/>
    <s v="Enero "/>
    <s v="Enero "/>
    <s v="Enero "/>
    <n v="11"/>
    <s v="Meses"/>
    <s v="Contratación directa - Prestación de servicios profesionales "/>
    <s v="Propios - 20 - Ingresos corrientes"/>
    <n v="39297856"/>
    <n v="39297856"/>
    <s v="No"/>
    <s v="N/A"/>
    <s v="Guillermo Holguin"/>
    <s v="Subdirector de Gestión de la Información"/>
    <n v="6012220601"/>
    <s v="guillermo.holguin@upme.gov.co"/>
    <n v="39297856"/>
    <n v="0"/>
    <n v="0"/>
    <n v="333333"/>
    <n v="0"/>
    <n v="5000000"/>
    <n v="0"/>
    <n v="5000000"/>
    <n v="0"/>
    <n v="5000000"/>
    <n v="0"/>
    <n v="5000000"/>
    <n v="0"/>
    <n v="5000000"/>
    <n v="0"/>
    <n v="5000000"/>
    <n v="0"/>
    <n v="5000000"/>
    <n v="0"/>
    <n v="3964523"/>
    <n v="0"/>
    <n v="0"/>
    <n v="0"/>
    <n v="0"/>
    <n v="39297856"/>
    <n v="39297856"/>
    <n v="0"/>
    <n v="0"/>
    <s v="Prestación de servicios de apoyo a la gestión para la recolección y procesamiento de material audiovisual requerido para los sistemas de información y las comunicaciones institucionales"/>
    <n v="39297856"/>
    <m/>
    <m/>
    <n v="333333"/>
    <m/>
    <n v="5000000"/>
    <m/>
    <n v="5000000"/>
    <m/>
    <n v="5000000"/>
    <m/>
    <n v="5000000"/>
    <m/>
    <n v="5000000"/>
    <m/>
    <n v="5000000"/>
    <m/>
    <n v="5000000"/>
    <m/>
    <n v="3964523"/>
    <m/>
    <m/>
    <m/>
    <m/>
    <m/>
    <m/>
    <n v="39297856"/>
    <n v="39297856"/>
    <n v="0"/>
    <n v="0"/>
    <n v="24526"/>
    <d v="2026-01-13T00:00:00"/>
    <n v="39297856"/>
    <n v="0"/>
    <n v="20426"/>
    <d v="2026-01-26T00:00:00"/>
    <n v="39297856"/>
    <n v="0"/>
    <n v="0"/>
    <s v="CASTILLA ACEVEDO JOSE FERNANDO"/>
    <s v="CO1.PCCNTR.9034108"/>
    <n v="39297856"/>
    <m/>
    <m/>
    <m/>
    <m/>
    <m/>
    <m/>
    <m/>
    <m/>
    <m/>
    <n v="5000000"/>
    <n v="5000000"/>
    <m/>
    <m/>
    <m/>
    <m/>
    <m/>
    <m/>
    <m/>
    <m/>
    <m/>
    <m/>
    <m/>
    <m/>
    <m/>
    <m/>
    <m/>
    <m/>
    <m/>
    <m/>
    <m/>
    <m/>
    <m/>
    <m/>
    <m/>
    <m/>
    <n v="39297856"/>
    <n v="5000000"/>
    <n v="5000000"/>
    <n v="34297856"/>
    <n v="0"/>
    <x v="0"/>
  </r>
  <r>
    <x v="0"/>
    <x v="7"/>
    <s v="Implementación de una solución integral para el acceso a los datos y a la información oportuna y de calidad del sector minero energético a nivel nacional"/>
    <s v="Gestión de la Información"/>
    <s v="Sí"/>
    <s v="Sí"/>
    <n v="9"/>
    <s v="131-16"/>
    <s v="Fortalecer la implementación de la política de gobierno de datos y gestión de información del sector minero energético."/>
    <s v="Servicio de Información Implementado e Interoperado"/>
    <s v="Pruebas y aseguramiento de calidad."/>
    <n v="80111620"/>
    <s v="C-2106-1900-14-53105B-2106034-02"/>
    <s v="Prestación de servicios profesionales y/o de apoyo a la gestión"/>
    <s v="131-16 Prestación de servicios profesionales para apoyar la gestión, actualización y visualización de información geográfica, siguiendo los lineamientos técnicos definidos por la entidad."/>
    <s v="Enero "/>
    <s v="Enero "/>
    <s v="Enero "/>
    <n v="10.5"/>
    <s v="Meses"/>
    <s v="Contratación directa - Prestación de servicios profesionales "/>
    <s v="Propios - 20 - Ingresos corrientes"/>
    <n v="33681384"/>
    <n v="33681384"/>
    <s v="No"/>
    <s v="N/A"/>
    <s v="Guillermo Holguin"/>
    <s v="Subdirector de Gestión de la Información"/>
    <n v="6012220601"/>
    <s v="guillermo.holguin@upme.gov.co"/>
    <n v="0"/>
    <n v="0"/>
    <n v="33681384"/>
    <n v="0"/>
    <n v="0"/>
    <n v="3285450"/>
    <n v="0"/>
    <n v="3285450"/>
    <n v="0"/>
    <n v="3285450"/>
    <n v="0"/>
    <n v="3285450"/>
    <n v="0"/>
    <n v="3285450"/>
    <n v="0"/>
    <n v="3285450"/>
    <n v="0"/>
    <n v="3285450"/>
    <n v="0"/>
    <n v="3285450"/>
    <n v="0"/>
    <n v="3285450"/>
    <n v="0"/>
    <n v="4112334"/>
    <n v="33681384"/>
    <n v="33681384"/>
    <n v="0"/>
    <n v="0"/>
    <s v="Prestación de servicios profesionales para apoyar la gestión, actualización y visualización de información geográfica, siguiendo los lineamientos técnicos definidos por la entidad."/>
    <m/>
    <m/>
    <n v="33681384"/>
    <m/>
    <m/>
    <n v="3285450"/>
    <m/>
    <n v="3285450"/>
    <m/>
    <n v="3285450"/>
    <m/>
    <n v="3285450"/>
    <m/>
    <n v="3285450"/>
    <m/>
    <n v="3285450"/>
    <m/>
    <n v="3285450"/>
    <m/>
    <n v="3285450"/>
    <m/>
    <n v="3285450"/>
    <m/>
    <n v="4112334"/>
    <m/>
    <m/>
    <n v="33681384"/>
    <n v="33681384"/>
    <n v="0"/>
    <n v="0"/>
    <n v="66726"/>
    <d v="2026-01-29T00:00:00"/>
    <n v="33402075"/>
    <n v="279309"/>
    <n v="50326"/>
    <d v="2026-02-09T00:00:00"/>
    <n v="33402075"/>
    <n v="279309"/>
    <n v="0"/>
    <s v="RAMIREZ ESPITIA CATALINA"/>
    <s v="CO1.PCCNTR.9295326"/>
    <m/>
    <m/>
    <m/>
    <n v="33402075"/>
    <m/>
    <m/>
    <m/>
    <n v="2299815"/>
    <n v="2299815"/>
    <m/>
    <n v="3285450"/>
    <n v="3285450"/>
    <m/>
    <m/>
    <m/>
    <m/>
    <m/>
    <m/>
    <m/>
    <m/>
    <m/>
    <m/>
    <m/>
    <m/>
    <m/>
    <m/>
    <m/>
    <m/>
    <m/>
    <m/>
    <m/>
    <m/>
    <m/>
    <m/>
    <m/>
    <m/>
    <n v="33402075"/>
    <n v="5585265"/>
    <n v="5585265"/>
    <n v="27816810"/>
    <n v="0"/>
    <x v="0"/>
  </r>
  <r>
    <x v="0"/>
    <x v="7"/>
    <s v="Implementación de una solución integral para el acceso a los datos y a la información oportuna y de calidad del sector minero energético a nivel nacional"/>
    <s v="Gestión de la Información"/>
    <s v="Sí"/>
    <s v="Sí"/>
    <n v="2"/>
    <s v="131-17"/>
    <s v="Fortalecer la implementación de la política de gobierno de datos y gestión de información del sector minero energético."/>
    <s v="Servicio de Información Implementado e Interoperado"/>
    <s v="Pruebas y aseguramiento de calidad."/>
    <n v="80111620"/>
    <s v="C-2106-1900-14-53105B-2106034-02"/>
    <s v="Prestación de servicios profesionales y/o de apoyo a la gestión"/>
    <s v="131-17 Prestación de servicios de apoyo a la gestión para la creación de contenido digital asociado a los sistemas de información y las comunicaciones institucionales."/>
    <s v="Enero "/>
    <s v="Enero "/>
    <s v="Enero "/>
    <n v="10"/>
    <s v="Meses"/>
    <s v="Contratación directa - Prestación de servicios profesionales "/>
    <s v="Propios - 20 - Ingresos corrientes"/>
    <n v="50000000"/>
    <n v="50000000"/>
    <s v="No"/>
    <s v="N/A"/>
    <s v="Guillermo Holguin"/>
    <s v="Subdirector de Gestión de la Información"/>
    <n v="6012220601"/>
    <s v="guillermo.holguin@upme.gov.co"/>
    <n v="50000000"/>
    <n v="0"/>
    <n v="0"/>
    <n v="333333"/>
    <n v="0"/>
    <n v="5000000"/>
    <n v="0"/>
    <n v="5000000"/>
    <n v="0"/>
    <n v="5000000"/>
    <n v="0"/>
    <n v="5000000"/>
    <n v="0"/>
    <n v="5000000"/>
    <n v="0"/>
    <n v="5000000"/>
    <n v="0"/>
    <n v="5000000"/>
    <n v="0"/>
    <n v="5000000"/>
    <n v="0"/>
    <n v="5000000"/>
    <n v="0"/>
    <n v="4666667"/>
    <n v="50000000"/>
    <n v="50000000"/>
    <n v="0"/>
    <n v="0"/>
    <s v="Prestación de servicios de apoyo a la gestión para la creación de contenido digital asociado a los sistemas de información y las comunicaciones institucionales."/>
    <n v="50000000"/>
    <m/>
    <m/>
    <n v="333333"/>
    <m/>
    <n v="5000000"/>
    <m/>
    <n v="5000000"/>
    <m/>
    <n v="5000000"/>
    <m/>
    <n v="5000000"/>
    <m/>
    <n v="5000000"/>
    <m/>
    <n v="5000000"/>
    <m/>
    <n v="5000000"/>
    <m/>
    <n v="5000000"/>
    <m/>
    <n v="5000000"/>
    <m/>
    <n v="4666667"/>
    <m/>
    <m/>
    <n v="50000000"/>
    <n v="50000000"/>
    <n v="0"/>
    <n v="0"/>
    <n v="24626"/>
    <d v="2026-01-13T00:00:00"/>
    <n v="50000000"/>
    <n v="0"/>
    <n v="12426"/>
    <d v="2026-01-20T00:00:00"/>
    <n v="50000000"/>
    <n v="0"/>
    <n v="0"/>
    <s v="PERALTA MEZA LEIDY YINETH"/>
    <s v="CO1.PCCNTR.8954940"/>
    <n v="50000000"/>
    <m/>
    <m/>
    <m/>
    <m/>
    <m/>
    <m/>
    <n v="6666667"/>
    <n v="6666667"/>
    <m/>
    <n v="5000000"/>
    <n v="5000000"/>
    <m/>
    <m/>
    <m/>
    <m/>
    <m/>
    <m/>
    <m/>
    <m/>
    <m/>
    <m/>
    <m/>
    <m/>
    <m/>
    <m/>
    <m/>
    <m/>
    <m/>
    <m/>
    <m/>
    <m/>
    <m/>
    <m/>
    <m/>
    <m/>
    <n v="50000000"/>
    <n v="11666667"/>
    <n v="11666667"/>
    <n v="38333333"/>
    <n v="0"/>
    <x v="0"/>
  </r>
  <r>
    <x v="0"/>
    <x v="7"/>
    <s v="Implementación de una solución integral para el acceso a los datos y a la información oportuna y de calidad del sector minero energético a nivel nacional"/>
    <s v="Gestión de la Información"/>
    <s v="Sí"/>
    <s v="Sí"/>
    <n v="68"/>
    <s v="131-18"/>
    <s v="Fortalecer la implementación de la política de gobierno de datos y gestión de información del sector minero energético."/>
    <s v="Servicio de Información Implementado e Interoperado"/>
    <s v="Pruebas y aseguramiento de calidad."/>
    <n v="80111620"/>
    <s v="C-2106-1900-14-53105B-2106034-02"/>
    <s v="Prestación de servicios profesionales y/o de apoyo a la gestión"/>
    <s v="131-18 Prestación de servicios profesionales para el fortalecimiento de las comunicaciones y divulgación de los sistemas de información institucionales."/>
    <s v="Enero "/>
    <s v="Enero "/>
    <s v="Enero "/>
    <n v="11"/>
    <s v="Meses"/>
    <s v="Contratación directa - Prestación de servicios profesionales "/>
    <s v="Propios - 21 - Otros recursos de tesorería"/>
    <n v="33746160"/>
    <n v="33746160"/>
    <s v="No"/>
    <s v="N/A"/>
    <s v="Guillermo Holguin"/>
    <s v="Subdirector de Gestión de la Información"/>
    <n v="6012220601"/>
    <s v="guillermo.holguin@upme.gov.co"/>
    <n v="33730620"/>
    <n v="0"/>
    <n v="0"/>
    <n v="219030"/>
    <n v="0"/>
    <n v="3285450"/>
    <n v="0"/>
    <n v="3285450"/>
    <n v="0"/>
    <n v="3285450"/>
    <n v="0"/>
    <n v="3285450"/>
    <n v="15540"/>
    <n v="3285450"/>
    <n v="0"/>
    <n v="3285450"/>
    <n v="0"/>
    <n v="3285450"/>
    <n v="0"/>
    <n v="3285450"/>
    <n v="0"/>
    <n v="3285450"/>
    <n v="0"/>
    <n v="3958080"/>
    <n v="33746160"/>
    <n v="33746160"/>
    <n v="0"/>
    <n v="0"/>
    <s v="Prestación de servicios profesionales para el fortalecimiento de las comunicaciones y divulgación de los sistemas de información institucionales."/>
    <n v="33730620"/>
    <m/>
    <m/>
    <n v="219030"/>
    <m/>
    <n v="3285450"/>
    <m/>
    <n v="3285450"/>
    <m/>
    <n v="3285450"/>
    <m/>
    <n v="3285450"/>
    <n v="15540"/>
    <n v="3285450"/>
    <m/>
    <n v="3285450"/>
    <m/>
    <n v="3285450"/>
    <m/>
    <n v="3285450"/>
    <m/>
    <n v="3285450"/>
    <m/>
    <n v="3958080"/>
    <m/>
    <m/>
    <n v="33746160"/>
    <n v="33746160"/>
    <n v="0"/>
    <n v="0"/>
    <n v="24926"/>
    <d v="2026-01-13T00:00:00"/>
    <n v="33730620"/>
    <n v="15540"/>
    <n v="15126"/>
    <d v="2026-01-21T00:00:00"/>
    <n v="33730620"/>
    <n v="15540"/>
    <n v="0"/>
    <s v="ROJAS RINCON DANNA ALEJANDRA"/>
    <s v="CO1.PCCNTR.8943149"/>
    <n v="33730620"/>
    <m/>
    <m/>
    <m/>
    <m/>
    <m/>
    <m/>
    <n v="4271085"/>
    <n v="4271085"/>
    <m/>
    <n v="3285450"/>
    <n v="3285450"/>
    <m/>
    <m/>
    <m/>
    <m/>
    <m/>
    <m/>
    <m/>
    <m/>
    <m/>
    <m/>
    <m/>
    <m/>
    <m/>
    <m/>
    <m/>
    <m/>
    <m/>
    <m/>
    <m/>
    <m/>
    <m/>
    <m/>
    <m/>
    <m/>
    <n v="33730620"/>
    <n v="7556535"/>
    <n v="7556535"/>
    <n v="26174085"/>
    <n v="0"/>
    <x v="0"/>
  </r>
  <r>
    <x v="0"/>
    <x v="7"/>
    <s v="Implementación de una solución integral para el acceso a los datos y a la información oportuna y de calidad del sector minero energético a nivel nacional"/>
    <s v="Gestión de la Información"/>
    <s v="Sí"/>
    <s v="Sí"/>
    <n v="68"/>
    <s v="131-19"/>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s v="Prestación de servicios profesionales y/o de apoyo a la gestión"/>
    <s v="131-19 Prestación de servicios profesionales para la formulación e implementación de los lineamientos estadísticos sectoriales e institucionales orientados a la consolidación de planes y estrategias para el fortalecimiento y certificación de la informació"/>
    <s v="Enero "/>
    <s v="Enero "/>
    <s v="Enero "/>
    <n v="11.5"/>
    <s v="Meses"/>
    <s v="Contratación directa - Prestación de servicios profesionales "/>
    <s v="Propios - 20 - Ingresos corrientes"/>
    <n v="97750000"/>
    <n v="97750000"/>
    <s v="No"/>
    <s v="N/A"/>
    <s v="Guillermo Holguin"/>
    <s v="Subdirector de Gestión de la Información"/>
    <n v="6012220601"/>
    <s v="guillermo.holguin@upme.gov.co"/>
    <n v="96333333"/>
    <n v="0"/>
    <n v="0"/>
    <n v="4250000"/>
    <n v="0"/>
    <n v="8500000"/>
    <n v="0"/>
    <n v="8500000"/>
    <n v="0"/>
    <n v="8500000"/>
    <n v="0"/>
    <n v="8500000"/>
    <n v="1416667"/>
    <n v="8500000"/>
    <n v="0"/>
    <n v="8500000"/>
    <n v="0"/>
    <n v="8500000"/>
    <n v="0"/>
    <n v="8500000"/>
    <n v="0"/>
    <n v="8500000"/>
    <n v="0"/>
    <n v="17000000"/>
    <n v="97750000"/>
    <n v="97750000"/>
    <n v="0"/>
    <n v="0"/>
    <s v="Prestación de servicios profesionales para la formulación e implementación de los lineamientos estadísticos sectoriales e institucionales orientados a la consolidación de planes y estrategias para el fortalecimiento y certificación de la información estad"/>
    <n v="96333333"/>
    <m/>
    <m/>
    <n v="4250000"/>
    <m/>
    <n v="8500000"/>
    <m/>
    <n v="8500000"/>
    <m/>
    <n v="8500000"/>
    <m/>
    <n v="8500000"/>
    <n v="1416667"/>
    <n v="8500000"/>
    <m/>
    <n v="8500000"/>
    <m/>
    <n v="8500000"/>
    <m/>
    <n v="8500000"/>
    <m/>
    <n v="8500000"/>
    <m/>
    <n v="17000000"/>
    <m/>
    <m/>
    <n v="97750000"/>
    <n v="97750000"/>
    <n v="0"/>
    <n v="0"/>
    <n v="29026"/>
    <d v="2026-01-14T00:00:00"/>
    <n v="96050000"/>
    <n v="1700000"/>
    <n v="15626"/>
    <d v="2026-01-21T00:00:00"/>
    <n v="96050000"/>
    <n v="1700000"/>
    <n v="0"/>
    <s v="SANCHEZ GRANADOS SOFIA"/>
    <m/>
    <n v="96333333"/>
    <m/>
    <m/>
    <m/>
    <n v="2550000"/>
    <n v="2550000"/>
    <m/>
    <n v="8500000"/>
    <n v="8500000"/>
    <n v="-283333"/>
    <n v="8500000"/>
    <n v="8500000"/>
    <m/>
    <m/>
    <m/>
    <m/>
    <m/>
    <m/>
    <m/>
    <m/>
    <m/>
    <m/>
    <m/>
    <m/>
    <m/>
    <m/>
    <m/>
    <m/>
    <m/>
    <m/>
    <m/>
    <m/>
    <m/>
    <m/>
    <m/>
    <m/>
    <n v="96050000"/>
    <n v="19550000"/>
    <n v="19550000"/>
    <n v="76500000"/>
    <n v="0"/>
    <x v="0"/>
  </r>
  <r>
    <x v="0"/>
    <x v="7"/>
    <s v="Implementación de una solución integral para el acceso a los datos y a la información oportuna y de calidad del sector minero energético a nivel nacional"/>
    <s v="Gestión de la Información"/>
    <s v="Sí"/>
    <s v="Sí"/>
    <n v="68"/>
    <s v="131-20"/>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s v="Prestación de servicios profesionales y/o de apoyo a la gestión"/>
    <s v="131-20 Prestación de servicios profesionales orientados al fortalecimiento de la política MIPG de Gestión de Información Estadística, así como al mejoramiento continuo de registros administrativos y operaciones estadísticas."/>
    <s v="Enero "/>
    <s v="Enero "/>
    <s v="Enero "/>
    <n v="11"/>
    <s v="Meses"/>
    <s v="Contratación directa - Prestación de servicios profesionales "/>
    <s v="Propios - 20 - Ingresos corrientes"/>
    <n v="48400000"/>
    <n v="48400000"/>
    <s v="No"/>
    <s v="N/A"/>
    <s v="Guillermo Holguin"/>
    <s v="Subdirector de Gestión de la Información"/>
    <n v="6012220601"/>
    <s v="guillermo.holguin@upme.gov.co"/>
    <n v="48400000"/>
    <n v="0"/>
    <n v="0"/>
    <n v="1100000"/>
    <n v="0"/>
    <n v="4400000"/>
    <n v="0"/>
    <n v="4400000"/>
    <n v="0"/>
    <n v="4400000"/>
    <n v="0"/>
    <n v="4400000"/>
    <n v="0"/>
    <n v="4400000"/>
    <n v="0"/>
    <n v="4400000"/>
    <n v="0"/>
    <n v="4400000"/>
    <n v="0"/>
    <n v="4400000"/>
    <n v="0"/>
    <n v="4400000"/>
    <n v="0"/>
    <n v="7700000"/>
    <n v="48400000"/>
    <n v="48400000"/>
    <n v="0"/>
    <n v="0"/>
    <s v="Prestación de servicios profesionales orientados al fortalecimiento de la política MIPG de Gestión de Información Estadística, así como al mejoramiento continuo de registros administrativos y operaciones estadísticas."/>
    <n v="48400000"/>
    <m/>
    <m/>
    <n v="1100000"/>
    <m/>
    <n v="4400000"/>
    <m/>
    <n v="4400000"/>
    <m/>
    <n v="4400000"/>
    <m/>
    <n v="4400000"/>
    <m/>
    <n v="4400000"/>
    <m/>
    <n v="4400000"/>
    <m/>
    <n v="4400000"/>
    <m/>
    <n v="4400000"/>
    <m/>
    <n v="4400000"/>
    <m/>
    <n v="7700000"/>
    <m/>
    <m/>
    <n v="48400000"/>
    <n v="48400000"/>
    <n v="0"/>
    <n v="0"/>
    <n v="28726"/>
    <d v="2026-01-14T00:00:00"/>
    <n v="48400000"/>
    <n v="0"/>
    <n v="21126"/>
    <d v="2026-01-26T00:00:00"/>
    <n v="48400000"/>
    <n v="0"/>
    <n v="0"/>
    <s v="AVENDAÑO SUAREZ JUAN LIBARDO"/>
    <s v="CO1.PCCNTR.9050247"/>
    <n v="48400000"/>
    <m/>
    <m/>
    <m/>
    <m/>
    <m/>
    <m/>
    <n v="4986667"/>
    <n v="4986667"/>
    <m/>
    <n v="4400000"/>
    <n v="4400000"/>
    <m/>
    <m/>
    <m/>
    <m/>
    <m/>
    <m/>
    <m/>
    <m/>
    <m/>
    <m/>
    <m/>
    <m/>
    <m/>
    <m/>
    <m/>
    <m/>
    <m/>
    <m/>
    <m/>
    <m/>
    <m/>
    <m/>
    <m/>
    <m/>
    <n v="48400000"/>
    <n v="9386667"/>
    <n v="9386667"/>
    <n v="39013333"/>
    <n v="0"/>
    <x v="0"/>
  </r>
  <r>
    <x v="0"/>
    <x v="7"/>
    <s v="Implementación de una solución integral para el acceso a los datos y a la información oportuna y de calidad del sector minero energético a nivel nacional"/>
    <s v="Gestión de la Información"/>
    <s v="Sí"/>
    <s v="Sí"/>
    <n v="68"/>
    <s v="131-21"/>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s v="Prestación de servicios profesionales y/o de apoyo a la gestión"/>
    <s v="131-21 Prestar los servicios profesionales en el proceso de gestión documental en la implementación del Plan Institucional de Archivos – PINAR y en la gestión de los recursos bibliográficos a través de la biblioteca digital de la UPME para vigencia 2026."/>
    <s v="Enero "/>
    <s v="Enero "/>
    <s v="Enero "/>
    <n v="6"/>
    <s v="Meses"/>
    <s v="Contratación directa - Prestación de servicios profesionales "/>
    <s v="Propios - 20 - Ingresos corrientes"/>
    <n v="40360560"/>
    <n v="40360560"/>
    <s v="No"/>
    <s v="N/A"/>
    <s v="Guillermo Holguin"/>
    <s v="Subdirector de Gestión de la Información"/>
    <n v="6012220601"/>
    <s v="guillermo.holguin@upme.gov.co"/>
    <n v="40360560"/>
    <n v="0"/>
    <n v="0"/>
    <n v="3363380"/>
    <n v="0"/>
    <n v="6726760"/>
    <n v="0"/>
    <n v="6726760"/>
    <n v="0"/>
    <n v="6726760"/>
    <n v="0"/>
    <n v="6726760"/>
    <n v="0"/>
    <n v="6726760"/>
    <n v="0"/>
    <n v="3363380"/>
    <n v="0"/>
    <n v="0"/>
    <n v="0"/>
    <n v="0"/>
    <n v="0"/>
    <n v="0"/>
    <n v="0"/>
    <n v="0"/>
    <n v="40360560"/>
    <n v="40360560"/>
    <n v="0"/>
    <n v="0"/>
    <s v="Prestar los servicios profesionales en el proceso de gestión documental en la implementación del Plan Institucional de Archivos – PINAR y en la gestión de los recursos bibliográficos a través de la biblioteca digital de la UPME para vigencia 2026."/>
    <n v="40360560"/>
    <m/>
    <m/>
    <n v="3363380"/>
    <m/>
    <n v="6726760"/>
    <m/>
    <n v="6726760"/>
    <m/>
    <n v="6726760"/>
    <m/>
    <n v="6726760"/>
    <m/>
    <n v="6726760"/>
    <m/>
    <n v="3363380"/>
    <m/>
    <m/>
    <m/>
    <m/>
    <m/>
    <m/>
    <m/>
    <m/>
    <m/>
    <m/>
    <n v="40360560"/>
    <n v="40360560"/>
    <n v="0"/>
    <n v="0"/>
    <n v="20626"/>
    <d v="2026-01-11T00:00:00"/>
    <n v="40360560"/>
    <n v="0"/>
    <n v="25826"/>
    <d v="2026-01-28T00:00:00"/>
    <n v="40360560"/>
    <n v="0"/>
    <n v="0"/>
    <s v="ESTUPIÑAN HURTADO NUBIA MARINA"/>
    <s v="CO1.PCCNTR.9117441"/>
    <n v="40360560"/>
    <m/>
    <m/>
    <m/>
    <m/>
    <m/>
    <m/>
    <n v="7175210"/>
    <n v="7175210"/>
    <m/>
    <n v="6726760"/>
    <n v="6726760"/>
    <m/>
    <m/>
    <m/>
    <m/>
    <m/>
    <m/>
    <m/>
    <m/>
    <m/>
    <m/>
    <m/>
    <m/>
    <m/>
    <m/>
    <m/>
    <m/>
    <m/>
    <m/>
    <m/>
    <m/>
    <m/>
    <m/>
    <m/>
    <m/>
    <n v="40360560"/>
    <n v="13901970"/>
    <n v="13901970"/>
    <n v="26458590"/>
    <n v="0"/>
    <x v="0"/>
  </r>
  <r>
    <x v="0"/>
    <x v="7"/>
    <s v="Implementación de una solución integral para el acceso a los datos y a la información oportuna y de calidad del sector minero energético a nivel nacional"/>
    <s v="Gestión de la Información"/>
    <s v="Sí"/>
    <s v="Sí"/>
    <n v="22"/>
    <s v="131-22"/>
    <s v="Mejorar la calidad de la información producida por el sector minero energético."/>
    <s v="Documentos de Lineamientos Técnicos para la Producción de Información del Sector con Estándares de Calidad"/>
    <s v="Documento con la descripción de procesos, métodos y herramientas."/>
    <n v="81112003"/>
    <s v="C-2106-1900-14-53105B-2106010-02"/>
    <s v="Software - Licencias"/>
    <s v="131-22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3704440"/>
    <n v="3704440"/>
    <s v="No"/>
    <s v="N/A"/>
    <s v="Guillermo Holguin"/>
    <s v="Subdirector de Gestión de la Información"/>
    <n v="6012220601"/>
    <s v="guillermo.holguin@upme.gov.co"/>
    <n v="0"/>
    <n v="0"/>
    <n v="0"/>
    <n v="0"/>
    <n v="0"/>
    <n v="0"/>
    <n v="3704440"/>
    <n v="0"/>
    <n v="0"/>
    <n v="3704440"/>
    <n v="0"/>
    <n v="0"/>
    <n v="0"/>
    <n v="0"/>
    <n v="0"/>
    <n v="0"/>
    <n v="0"/>
    <n v="0"/>
    <n v="0"/>
    <n v="0"/>
    <n v="0"/>
    <n v="0"/>
    <n v="0"/>
    <n v="0"/>
    <n v="3704440"/>
    <n v="3704440"/>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3704440"/>
    <n v="0"/>
    <n v="0"/>
    <n v="0"/>
    <n v="0"/>
    <n v="3704440"/>
    <n v="0"/>
    <n v="0"/>
    <n v="0"/>
    <n v="0"/>
    <n v="0"/>
    <n v="0"/>
    <n v="0"/>
    <n v="0"/>
    <n v="0"/>
    <n v="0"/>
    <m/>
    <m/>
    <n v="3704440"/>
    <n v="3704440"/>
    <n v="0"/>
    <n v="0"/>
    <m/>
    <m/>
    <m/>
    <n v="3704440"/>
    <m/>
    <m/>
    <n v="0"/>
    <n v="370444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8"/>
    <s v="131-23"/>
    <s v="Mejorar la calidad de la información producida por el sector minero energético."/>
    <s v="Servicio de Información Actualizado para el Análisis y Toma de Decisiones Estratégicas del Sector"/>
    <s v="Diseño técnico y funcional."/>
    <n v="80111620"/>
    <s v="C-2106-1900-14-53105B-2106033-02"/>
    <s v="Prestación de servicios profesionales y/o de apoyo a la gestión"/>
    <s v="131-23 Prestación de servicios profesionales orientados a definir, estructurar y apoyar la implementación de modelos de analítica de datos e inteligencia artificial que permitan identificar patrones, tendencias y correlaciones significativas, utilizando h"/>
    <s v="Enero "/>
    <s v="Enero "/>
    <s v="Enero "/>
    <n v="11.5"/>
    <s v="Meses"/>
    <s v="Contratación directa - Prestación de servicios profesionales "/>
    <s v="Propios - 20 - Ingresos corrientes"/>
    <n v="63250000"/>
    <n v="63250000"/>
    <s v="No"/>
    <s v="N/A"/>
    <s v="Guillermo Holguin"/>
    <s v="Subdirector de Gestión de la Información"/>
    <n v="6012220601"/>
    <s v="guillermo.holguin@upme.gov.co"/>
    <n v="63250000"/>
    <n v="0"/>
    <n v="0"/>
    <n v="2750000"/>
    <n v="0"/>
    <n v="5500000"/>
    <n v="0"/>
    <n v="5500000"/>
    <n v="0"/>
    <n v="5500000"/>
    <n v="0"/>
    <n v="5500000"/>
    <n v="0"/>
    <n v="5500000"/>
    <n v="0"/>
    <n v="5500000"/>
    <n v="0"/>
    <n v="5500000"/>
    <n v="0"/>
    <n v="5500000"/>
    <n v="0"/>
    <n v="5500000"/>
    <n v="0"/>
    <n v="11000000"/>
    <n v="63250000"/>
    <n v="63250000"/>
    <n v="0"/>
    <n v="0"/>
    <s v="Prestación de servicios profesionales orientados a definir, estructurar y apoyar la implementación de modelos de analítica de datos e inteligencia artificial que permitan identificar patrones, tendencias y correlaciones significativas, utilizando herramie"/>
    <n v="63250000"/>
    <m/>
    <m/>
    <n v="2750000"/>
    <m/>
    <n v="5500000"/>
    <m/>
    <n v="5500000"/>
    <m/>
    <n v="5500000"/>
    <m/>
    <n v="5500000"/>
    <m/>
    <n v="5500000"/>
    <m/>
    <n v="5500000"/>
    <m/>
    <n v="5500000"/>
    <m/>
    <n v="5500000"/>
    <m/>
    <n v="5500000"/>
    <m/>
    <n v="11000000"/>
    <m/>
    <m/>
    <n v="63250000"/>
    <n v="63250000"/>
    <n v="0"/>
    <n v="0"/>
    <n v="30526"/>
    <d v="2026-01-14T00:00:00"/>
    <n v="63250000"/>
    <n v="0"/>
    <n v="23026"/>
    <d v="2026-01-27T00:00:00"/>
    <n v="63250000"/>
    <n v="0"/>
    <n v="0"/>
    <s v="GUTIERREZ RODRIGUEZ KAREN SOFIA"/>
    <s v="CO1.PCCNTR.9052807"/>
    <n v="63250000"/>
    <m/>
    <m/>
    <m/>
    <m/>
    <m/>
    <m/>
    <n v="550000"/>
    <n v="550000"/>
    <m/>
    <n v="11000000"/>
    <n v="11000000"/>
    <m/>
    <m/>
    <m/>
    <m/>
    <m/>
    <m/>
    <m/>
    <m/>
    <m/>
    <m/>
    <m/>
    <m/>
    <m/>
    <m/>
    <m/>
    <m/>
    <m/>
    <m/>
    <m/>
    <m/>
    <m/>
    <m/>
    <m/>
    <m/>
    <n v="63250000"/>
    <n v="11550000"/>
    <n v="11550000"/>
    <n v="51700000"/>
    <n v="0"/>
    <x v="0"/>
  </r>
  <r>
    <x v="0"/>
    <x v="7"/>
    <s v="Implementación de una solución integral para el acceso a los datos y a la información oportuna y de calidad del sector minero energético a nivel nacional"/>
    <s v="Gestión de la Información"/>
    <s v="Sí"/>
    <s v="Sí"/>
    <n v="22"/>
    <s v="131-24"/>
    <s v="Mejorar la calidad de la información producida por el sector minero energético."/>
    <s v="Servicio de Información Actualizado para el Análisis y Toma de Decisiones Estratégicas del Sector"/>
    <s v="Diseño técnico y funcional."/>
    <n v="81112003"/>
    <s v="C-2106-1900-14-53105B-2106033-02"/>
    <s v="Software - Licencias"/>
    <s v="131-24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12637520"/>
    <n v="12637520"/>
    <s v="No"/>
    <s v="N/A"/>
    <s v="Guillermo Holguin"/>
    <s v="Subdirector de Gestión de la Información"/>
    <n v="6012220601"/>
    <s v="guillermo.holguin@upme.gov.co"/>
    <n v="0"/>
    <n v="0"/>
    <n v="0"/>
    <n v="0"/>
    <n v="0"/>
    <n v="0"/>
    <n v="12637520"/>
    <n v="0"/>
    <n v="0"/>
    <n v="12637520"/>
    <n v="0"/>
    <n v="0"/>
    <n v="0"/>
    <n v="0"/>
    <n v="0"/>
    <n v="0"/>
    <n v="0"/>
    <n v="0"/>
    <n v="0"/>
    <n v="0"/>
    <n v="0"/>
    <n v="0"/>
    <n v="0"/>
    <n v="0"/>
    <n v="12637520"/>
    <n v="12637520"/>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12637520"/>
    <n v="0"/>
    <n v="0"/>
    <n v="0"/>
    <n v="0"/>
    <n v="12637520"/>
    <n v="0"/>
    <n v="0"/>
    <n v="0"/>
    <n v="0"/>
    <n v="0"/>
    <n v="0"/>
    <n v="0"/>
    <n v="0"/>
    <n v="0"/>
    <n v="0"/>
    <m/>
    <m/>
    <n v="12637520"/>
    <n v="12637520"/>
    <n v="0"/>
    <n v="0"/>
    <m/>
    <m/>
    <m/>
    <n v="12637520"/>
    <m/>
    <m/>
    <n v="0"/>
    <n v="1263752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2"/>
    <s v="131-25"/>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25 Prestación de servicios profesionales orientados a definir, desarrollar e implementar productos de interés sectorial a partir de la utilización de analítica de datos, que permita contribuir en el fortalecimiento de los sistemas de información de es"/>
    <s v="Enero "/>
    <s v="Enero "/>
    <s v="Enero "/>
    <n v="11"/>
    <s v="Meses"/>
    <s v="Contratación directa - Prestación de servicios profesionales "/>
    <s v="Propios - 20 - Ingresos corrientes"/>
    <n v="25228165"/>
    <n v="25228165"/>
    <s v="No"/>
    <s v="N/A"/>
    <s v="Guillermo Holguin"/>
    <s v="Subdirector de Gestión de la Información"/>
    <n v="6012220601"/>
    <s v="guillermo.holguin@upme.gov.co"/>
    <n v="0"/>
    <n v="0"/>
    <n v="0"/>
    <n v="0"/>
    <n v="0"/>
    <n v="0"/>
    <n v="0"/>
    <n v="0"/>
    <n v="0"/>
    <n v="0"/>
    <n v="0"/>
    <n v="0"/>
    <n v="0"/>
    <n v="0"/>
    <n v="44000000"/>
    <n v="0"/>
    <n v="0"/>
    <n v="0"/>
    <n v="0"/>
    <n v="0"/>
    <n v="0"/>
    <n v="0"/>
    <n v="0"/>
    <n v="44000000"/>
    <n v="44000000"/>
    <n v="44000000"/>
    <n v="-18771835"/>
    <n v="-18771835"/>
    <s v="Prestación de servicios profesionales orientados a definir, desarrollar e implementar productos de interés sectorial a partir de la utilización de analítica de datos, que permita contribuir en el fortalecimiento de los sistemas de información de este sect"/>
    <n v="0"/>
    <n v="0"/>
    <n v="0"/>
    <n v="0"/>
    <n v="0"/>
    <n v="0"/>
    <n v="0"/>
    <n v="0"/>
    <n v="0"/>
    <n v="0"/>
    <n v="0"/>
    <n v="0"/>
    <n v="0"/>
    <n v="0"/>
    <n v="0"/>
    <n v="0"/>
    <n v="25228165"/>
    <n v="0"/>
    <n v="0"/>
    <n v="0"/>
    <n v="0"/>
    <n v="25228165"/>
    <n v="0"/>
    <n v="0"/>
    <m/>
    <m/>
    <n v="25228165"/>
    <n v="25228165"/>
    <n v="0"/>
    <n v="0"/>
    <m/>
    <m/>
    <m/>
    <n v="25228165"/>
    <m/>
    <m/>
    <n v="0"/>
    <n v="25228165"/>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2"/>
    <s v="131-26"/>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26 Prestación de servicios profesionales orientados a definir, desarrollar e implementar herramientas de analítica y visualización de datos de interés sectorial, con especial énfasis en las variables del sector hidrocarburos, así como a contribuir en "/>
    <s v="Enero "/>
    <s v="Enero "/>
    <s v="Enero "/>
    <n v="11"/>
    <s v="Meses"/>
    <s v="Contratación directa - Prestación de servicios profesionales "/>
    <s v="Propios - 20 - Ingresos corrientes"/>
    <n v="81500000"/>
    <n v="81500000"/>
    <s v="No"/>
    <s v="N/A"/>
    <s v="Guillermo Holguin"/>
    <s v="Subdirector de Gestión de la Información"/>
    <n v="6012220601"/>
    <s v="guillermo.holguin@upme.gov.co"/>
    <n v="0"/>
    <n v="0"/>
    <n v="82500000"/>
    <n v="0"/>
    <n v="0"/>
    <n v="7500000"/>
    <n v="0"/>
    <n v="7500000"/>
    <n v="0"/>
    <n v="7500000"/>
    <n v="0"/>
    <n v="7500000"/>
    <n v="0"/>
    <n v="7500000"/>
    <n v="0"/>
    <n v="7500000"/>
    <n v="0"/>
    <n v="7500000"/>
    <n v="0"/>
    <n v="7500000"/>
    <n v="0"/>
    <n v="7500000"/>
    <n v="0"/>
    <n v="15000000"/>
    <n v="82500000"/>
    <n v="82500000"/>
    <n v="-1000000"/>
    <n v="-1000000"/>
    <s v="Prestación de servicios profesionales orientados a definir, desarrollar e implementar herramientas de analítica y visualización de datos de interés sectorial, con especial énfasis en las variables del sector hidrocarburos, así como a contribuir en el fort"/>
    <n v="0"/>
    <n v="0"/>
    <n v="81500000"/>
    <n v="0"/>
    <n v="0"/>
    <n v="7500000"/>
    <n v="0"/>
    <n v="7500000"/>
    <n v="0"/>
    <n v="7500000"/>
    <n v="0"/>
    <n v="7500000"/>
    <n v="0"/>
    <n v="7500000"/>
    <n v="0"/>
    <n v="7500000"/>
    <n v="0"/>
    <n v="7500000"/>
    <n v="0"/>
    <n v="7500000"/>
    <n v="0"/>
    <n v="7500000"/>
    <n v="0"/>
    <n v="14000000"/>
    <m/>
    <m/>
    <n v="81500000"/>
    <n v="81500000"/>
    <n v="0"/>
    <n v="0"/>
    <n v="56326"/>
    <d v="2026-01-22T00:00:00"/>
    <n v="81500000"/>
    <n v="0"/>
    <n v="40126"/>
    <d v="2026-02-03T00:00:00"/>
    <n v="81500000"/>
    <n v="0"/>
    <n v="0"/>
    <s v="FAJARDO GUIO LUIS FELIPE"/>
    <s v="CO1.PCCNTR.9237653"/>
    <m/>
    <m/>
    <m/>
    <n v="82500000"/>
    <m/>
    <m/>
    <n v="-1000000"/>
    <n v="6500000"/>
    <n v="6500000"/>
    <m/>
    <n v="7500000"/>
    <n v="7500000"/>
    <m/>
    <m/>
    <m/>
    <m/>
    <m/>
    <m/>
    <m/>
    <m/>
    <m/>
    <m/>
    <m/>
    <m/>
    <m/>
    <m/>
    <m/>
    <m/>
    <m/>
    <m/>
    <m/>
    <m/>
    <m/>
    <m/>
    <m/>
    <m/>
    <n v="81500000"/>
    <n v="14000000"/>
    <n v="14000000"/>
    <n v="67500000"/>
    <n v="0"/>
    <x v="0"/>
  </r>
  <r>
    <x v="0"/>
    <x v="7"/>
    <s v="Implementación de una solución integral para el acceso a los datos y a la información oportuna y de calidad del sector minero energético a nivel nacional"/>
    <s v="Gestión de la Información"/>
    <s v="Sí"/>
    <s v="Sí"/>
    <n v="68"/>
    <s v="131-27"/>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27 Prestación de servicios profesionales para el apoyo en la implementación efectiva de políticas y procedimientos adaptados para el cumplimiento del régimen de protección de datos personales"/>
    <s v="Enero "/>
    <s v="Enero "/>
    <s v="Enero "/>
    <n v="10.5"/>
    <s v="Meses"/>
    <s v="Contratación directa - Prestación de servicios profesionales "/>
    <s v="Propios - 20 - Ingresos corrientes"/>
    <n v="89250000"/>
    <n v="89250000"/>
    <s v="No"/>
    <s v="N/A"/>
    <s v="Guillermo Holguin"/>
    <s v="Subdirector de Gestión de la Información"/>
    <n v="6012220601"/>
    <s v="guillermo.holguin@upme.gov.co"/>
    <n v="0"/>
    <n v="0"/>
    <n v="89250000"/>
    <n v="0"/>
    <n v="0"/>
    <n v="8500000"/>
    <n v="0"/>
    <n v="8500000"/>
    <n v="0"/>
    <n v="8500000"/>
    <n v="0"/>
    <n v="8500000"/>
    <n v="0"/>
    <n v="8500000"/>
    <n v="0"/>
    <n v="8500000"/>
    <n v="0"/>
    <n v="8500000"/>
    <n v="0"/>
    <n v="8500000"/>
    <n v="0"/>
    <n v="8500000"/>
    <n v="0"/>
    <n v="12750000"/>
    <n v="89250000"/>
    <n v="89250000"/>
    <n v="0"/>
    <n v="0"/>
    <s v="Prestación de servicios profesionales para el apoyo en la implementación efectiva de políticas y procedimientos adaptados para el cumplimiento del régimen de protección de datos personales"/>
    <m/>
    <m/>
    <n v="89250000"/>
    <m/>
    <m/>
    <n v="8500000"/>
    <m/>
    <n v="8500000"/>
    <m/>
    <n v="8500000"/>
    <m/>
    <n v="8500000"/>
    <m/>
    <n v="8500000"/>
    <m/>
    <n v="8500000"/>
    <m/>
    <n v="8500000"/>
    <m/>
    <n v="8500000"/>
    <m/>
    <n v="8500000"/>
    <m/>
    <n v="12750000"/>
    <m/>
    <m/>
    <n v="89250000"/>
    <n v="89250000"/>
    <n v="0"/>
    <n v="0"/>
    <n v="55926"/>
    <d v="2026-01-22T00:00:00"/>
    <n v="89250000"/>
    <n v="0"/>
    <n v="38026"/>
    <d v="2026-02-02T00:00:00"/>
    <n v="89250000"/>
    <n v="0"/>
    <n v="0"/>
    <s v="CARBONO CARBONO DAYANA"/>
    <s v="CO1.PCCNTR.9161489"/>
    <m/>
    <m/>
    <m/>
    <n v="89250000"/>
    <m/>
    <m/>
    <m/>
    <n v="7933333"/>
    <n v="7933333"/>
    <m/>
    <n v="8500000"/>
    <n v="8500000"/>
    <m/>
    <m/>
    <m/>
    <m/>
    <m/>
    <m/>
    <m/>
    <m/>
    <m/>
    <m/>
    <m/>
    <m/>
    <m/>
    <m/>
    <m/>
    <m/>
    <m/>
    <m/>
    <m/>
    <m/>
    <m/>
    <m/>
    <m/>
    <m/>
    <n v="89250000"/>
    <n v="16433333"/>
    <n v="16433333"/>
    <n v="72816667"/>
    <n v="0"/>
    <x v="0"/>
  </r>
  <r>
    <x v="0"/>
    <x v="7"/>
    <s v="Implementación de una solución integral para el acceso a los datos y a la información oportuna y de calidad del sector minero energético a nivel nacional"/>
    <s v="Gestión de la Información"/>
    <s v="Sí"/>
    <s v="Sí"/>
    <n v="22"/>
    <s v="131-28"/>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28 Prestación de servicios profesionales orientados a definir, estructurar, implementar y gestionar la carga y manejo de datos para el desarrollo de modelos de analítica de datos aplicados al sector minero energético, garantizando la identificación de"/>
    <s v="Enero "/>
    <s v="Enero "/>
    <s v="Enero "/>
    <n v="11.5"/>
    <s v="Meses"/>
    <s v="Contratación directa - Prestación de servicios profesionales "/>
    <s v="Propios - 20 - Ingresos corrientes"/>
    <n v="74120000"/>
    <n v="74120000"/>
    <s v="No"/>
    <s v="N/A"/>
    <s v="Guillermo Holguin"/>
    <s v="Subdirector de Gestión de la Información"/>
    <n v="6012220601"/>
    <s v="guillermo.holguin@upme.gov.co"/>
    <n v="0"/>
    <n v="0"/>
    <n v="78200000"/>
    <n v="0"/>
    <n v="0"/>
    <n v="6800000"/>
    <n v="0"/>
    <n v="6800000"/>
    <n v="0"/>
    <n v="6800000"/>
    <n v="0"/>
    <n v="6800000"/>
    <n v="0"/>
    <n v="6800000"/>
    <n v="0"/>
    <n v="6800000"/>
    <n v="0"/>
    <n v="6800000"/>
    <n v="0"/>
    <n v="6800000"/>
    <n v="0"/>
    <n v="6800000"/>
    <n v="0"/>
    <n v="17000000"/>
    <n v="78200000"/>
    <n v="78200000"/>
    <n v="-4080000"/>
    <n v="-4080000"/>
    <s v="Prestación de servicios profesionales orientados a definir, estructurar, implementar y gestionar la carga y manejo de datos para el desarrollo de modelos de analítica de datos aplicados al sector minero energético, garantizando la identificación de patron"/>
    <n v="0"/>
    <n v="0"/>
    <n v="74120000"/>
    <n v="0"/>
    <n v="0"/>
    <n v="6800000"/>
    <n v="0"/>
    <n v="6800000"/>
    <n v="0"/>
    <n v="6800000"/>
    <n v="0"/>
    <n v="6800000"/>
    <n v="0"/>
    <n v="6800000"/>
    <n v="0"/>
    <n v="6800000"/>
    <n v="0"/>
    <n v="6800000"/>
    <n v="0"/>
    <n v="6800000"/>
    <n v="0"/>
    <n v="6800000"/>
    <n v="0"/>
    <n v="12920000"/>
    <m/>
    <m/>
    <n v="74120000"/>
    <n v="74120000"/>
    <n v="0"/>
    <n v="0"/>
    <n v="29526"/>
    <d v="2026-01-14T00:00:00"/>
    <n v="74120000"/>
    <n v="0"/>
    <n v="38326"/>
    <d v="2026-02-03T00:00:00"/>
    <n v="74120000"/>
    <n v="0"/>
    <n v="0"/>
    <s v="SANCHEZ DAZA JESUS EDUARDO"/>
    <s v="No. CO1.PCCNTR.9181173"/>
    <m/>
    <m/>
    <m/>
    <n v="78200000"/>
    <m/>
    <m/>
    <n v="-4080000"/>
    <n v="6120000"/>
    <n v="6120000"/>
    <m/>
    <n v="6800000"/>
    <n v="6800000"/>
    <m/>
    <m/>
    <m/>
    <m/>
    <m/>
    <m/>
    <m/>
    <m/>
    <m/>
    <m/>
    <m/>
    <m/>
    <m/>
    <m/>
    <m/>
    <m/>
    <m/>
    <m/>
    <m/>
    <m/>
    <m/>
    <m/>
    <m/>
    <m/>
    <n v="74120000"/>
    <n v="12920000"/>
    <n v="12920000"/>
    <n v="61200000"/>
    <n v="0"/>
    <x v="0"/>
  </r>
  <r>
    <x v="0"/>
    <x v="7"/>
    <s v="Implementación de una solución integral para el acceso a los datos y a la información oportuna y de calidad del sector minero energético a nivel nacional"/>
    <s v="Gestión de la Información"/>
    <s v="Sí"/>
    <s v="Sí"/>
    <n v="22"/>
    <s v="131-29"/>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29 Prestación de servicios profesionales orientados a la realización de labores de analítica de datos para las principales variables del sector minero energético, garantizando calidad en los datos."/>
    <s v="Enero "/>
    <s v="Enero "/>
    <s v="Enero "/>
    <n v="11"/>
    <s v="Meses"/>
    <s v="Contratación directa - Prestación de servicios profesionales "/>
    <s v="Propios - 20 - Ingresos corrientes"/>
    <n v="35154315"/>
    <n v="35154315"/>
    <s v="No"/>
    <s v="N/A"/>
    <s v="Guillermo Holguin"/>
    <s v="Subdirector de Gestión de la Información"/>
    <n v="6012220601"/>
    <s v="guillermo.holguin@upme.gov.co"/>
    <n v="0"/>
    <n v="0"/>
    <n v="36139950"/>
    <n v="0"/>
    <n v="0"/>
    <n v="3285450"/>
    <n v="0"/>
    <n v="3285450"/>
    <n v="0"/>
    <n v="3285450"/>
    <n v="0"/>
    <n v="3285450"/>
    <n v="0"/>
    <n v="3285450"/>
    <n v="2360050"/>
    <n v="3285450"/>
    <n v="0"/>
    <n v="3285450"/>
    <n v="0"/>
    <n v="3285450"/>
    <n v="0"/>
    <n v="3285450"/>
    <n v="0"/>
    <n v="8930950"/>
    <n v="38500000"/>
    <n v="38500000"/>
    <n v="-3345685"/>
    <n v="-3345685"/>
    <s v="Prestación de servicios profesionales orientados a la realización de labores de analítica de datos para las principales variables del sector minero energético, garantizando calidad en los datos."/>
    <n v="0"/>
    <n v="0"/>
    <n v="35154315"/>
    <n v="0"/>
    <n v="0"/>
    <n v="3285450"/>
    <n v="0"/>
    <n v="3285450"/>
    <n v="0"/>
    <n v="3285450"/>
    <n v="0"/>
    <n v="3285450"/>
    <n v="0"/>
    <n v="3285450"/>
    <n v="0"/>
    <n v="3285450"/>
    <n v="0"/>
    <n v="3285450"/>
    <n v="0"/>
    <n v="3285450"/>
    <n v="0"/>
    <n v="3285450"/>
    <n v="0"/>
    <n v="5585265"/>
    <m/>
    <m/>
    <n v="35154315"/>
    <n v="35154315"/>
    <n v="0"/>
    <n v="0"/>
    <n v="54526"/>
    <d v="2026-01-21T00:00:00"/>
    <n v="35154315"/>
    <n v="0"/>
    <n v="50526"/>
    <d v="2026-02-09T00:00:00"/>
    <n v="35154315"/>
    <n v="0"/>
    <n v="0"/>
    <s v="MARTINEZ PEREZ EDUARDO"/>
    <s v="CO1.PCCNTR.9294468"/>
    <m/>
    <m/>
    <m/>
    <n v="36139950"/>
    <m/>
    <m/>
    <n v="-985635"/>
    <n v="2299815"/>
    <n v="2299815"/>
    <m/>
    <n v="3285450"/>
    <n v="3285450"/>
    <m/>
    <m/>
    <m/>
    <m/>
    <m/>
    <m/>
    <m/>
    <m/>
    <m/>
    <m/>
    <m/>
    <m/>
    <m/>
    <m/>
    <m/>
    <m/>
    <m/>
    <m/>
    <m/>
    <m/>
    <m/>
    <m/>
    <m/>
    <m/>
    <n v="35154315"/>
    <n v="5585265"/>
    <n v="5585265"/>
    <n v="29569050"/>
    <n v="0"/>
    <x v="0"/>
  </r>
  <r>
    <x v="0"/>
    <x v="7"/>
    <s v="Implementación de una solución integral para el acceso a los datos y a la información oportuna y de calidad del sector minero energético a nivel nacional"/>
    <s v="Gestión de la Información"/>
    <s v="Sí"/>
    <s v="Sí"/>
    <n v="68"/>
    <s v="131-30"/>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30 Prestación de servicios profesionales orientados a la realización de analítica de datos y modelos para las principales variables del sector minero energético, garantizando la identificación de patrones, tendencias y correlaciones significativas uti"/>
    <s v="Enero "/>
    <s v="Enero "/>
    <s v="Enero "/>
    <n v="11"/>
    <s v="Meses"/>
    <s v="Contratación directa - Prestación de servicios profesionales "/>
    <s v="Propios - 20 - Ingresos corrientes"/>
    <n v="55000000"/>
    <n v="55000000"/>
    <s v="No"/>
    <s v="N/A"/>
    <s v="Guillermo Holguin"/>
    <s v="Subdirector de Gestión de la Información"/>
    <n v="6012220601"/>
    <s v="guillermo.holguin@upme.gov.co"/>
    <n v="0"/>
    <n v="0"/>
    <n v="0"/>
    <n v="0"/>
    <n v="0"/>
    <n v="0"/>
    <n v="0"/>
    <n v="0"/>
    <n v="0"/>
    <n v="0"/>
    <n v="0"/>
    <n v="0"/>
    <n v="0"/>
    <n v="0"/>
    <n v="55000000"/>
    <n v="0"/>
    <n v="0"/>
    <n v="0"/>
    <n v="0"/>
    <n v="0"/>
    <n v="0"/>
    <n v="0"/>
    <n v="0"/>
    <n v="55000000"/>
    <n v="55000000"/>
    <n v="55000000"/>
    <n v="0"/>
    <n v="0"/>
    <s v="Prestación de servicios profesionales orientados a la realización de analítica de datos y modelos para las principales variables del sector minero energético, garantizando la identificación de patrones, tendencias y correlaciones significativas utilizando"/>
    <m/>
    <m/>
    <m/>
    <m/>
    <m/>
    <m/>
    <m/>
    <m/>
    <m/>
    <m/>
    <m/>
    <m/>
    <m/>
    <m/>
    <n v="55000000"/>
    <m/>
    <m/>
    <m/>
    <m/>
    <m/>
    <m/>
    <m/>
    <m/>
    <n v="55000000"/>
    <m/>
    <m/>
    <n v="55000000"/>
    <n v="55000000"/>
    <n v="0"/>
    <n v="0"/>
    <n v="63326"/>
    <d v="2026-01-23T00:00:00"/>
    <n v="0"/>
    <n v="55000000"/>
    <m/>
    <m/>
    <n v="0"/>
    <n v="550000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2"/>
    <s v="131-31"/>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31 Prestación de servicios profesionales para diseñar, documentar y mantener la arquitectura de datos institucional, incluyendo modelos conceptuales, lógicos y físicos, así como la implementación de interoperabilidades y del Data Warehouse/Data Lake, "/>
    <s v="Enero "/>
    <s v="Enero "/>
    <s v="Enero "/>
    <n v="11"/>
    <s v="Meses"/>
    <s v="Contratación directa - Prestación de servicios profesionales "/>
    <s v="Propios - 20 - Ingresos corrientes"/>
    <n v="80000000"/>
    <n v="80000000"/>
    <s v="No"/>
    <s v="N/A"/>
    <s v="Guillermo Holguin"/>
    <s v="Subdirector de Gestión de la Información"/>
    <n v="6012220601"/>
    <s v="guillermo.holguin@upme.gov.co"/>
    <n v="80000000"/>
    <n v="0"/>
    <n v="0"/>
    <n v="500000"/>
    <n v="0"/>
    <n v="7500000"/>
    <n v="0"/>
    <n v="7500000"/>
    <n v="0"/>
    <n v="7500000"/>
    <n v="0"/>
    <n v="7500000"/>
    <n v="0"/>
    <n v="7500000"/>
    <n v="500000"/>
    <n v="7500000"/>
    <n v="0"/>
    <n v="7500000"/>
    <n v="0"/>
    <n v="7500000"/>
    <n v="0"/>
    <n v="7500000"/>
    <n v="0"/>
    <n v="12500000"/>
    <n v="80500000"/>
    <n v="80500000"/>
    <n v="-500000"/>
    <n v="-500000"/>
    <s v="Prestación de servicios profesionales para diseñar, documentar y mantener la arquitectura de datos institucional, incluyendo modelos conceptuales, lógicos y físicos, así como la implementación de interoperabilidades y del Data Warehouse/Data Lake, asegura"/>
    <n v="80000000"/>
    <n v="0"/>
    <n v="0"/>
    <n v="500000"/>
    <n v="0"/>
    <n v="7500000"/>
    <n v="0"/>
    <n v="7500000"/>
    <n v="0"/>
    <n v="7500000"/>
    <n v="0"/>
    <n v="7500000"/>
    <n v="0"/>
    <n v="7500000"/>
    <n v="0"/>
    <n v="7500000"/>
    <n v="0"/>
    <n v="7500000"/>
    <n v="0"/>
    <n v="7500000"/>
    <n v="0"/>
    <n v="7500000"/>
    <n v="0"/>
    <n v="12000000"/>
    <m/>
    <m/>
    <n v="80000000"/>
    <n v="80000000"/>
    <n v="0"/>
    <n v="0"/>
    <n v="31726"/>
    <d v="2026-01-14T00:00:00"/>
    <n v="80000000"/>
    <n v="0"/>
    <n v="36226"/>
    <d v="2026-01-30T00:00:00"/>
    <n v="80000000"/>
    <n v="0"/>
    <n v="0"/>
    <s v="SANTAMARIA MOSQUERA WILSON DIDIER"/>
    <s v="CO1.PCCNTR.9179134"/>
    <n v="80000000"/>
    <m/>
    <m/>
    <m/>
    <m/>
    <m/>
    <m/>
    <n v="7250000"/>
    <n v="7250000"/>
    <m/>
    <n v="7500000"/>
    <n v="7500000"/>
    <m/>
    <m/>
    <m/>
    <m/>
    <m/>
    <m/>
    <m/>
    <m/>
    <m/>
    <m/>
    <m/>
    <m/>
    <m/>
    <m/>
    <m/>
    <m/>
    <m/>
    <m/>
    <m/>
    <m/>
    <m/>
    <m/>
    <m/>
    <m/>
    <n v="80000000"/>
    <n v="14750000"/>
    <n v="14750000"/>
    <n v="65250000"/>
    <n v="0"/>
    <x v="0"/>
  </r>
  <r>
    <x v="0"/>
    <x v="7"/>
    <s v="Implementación de una solución integral para el acceso a los datos y a la información oportuna y de calidad del sector minero energético a nivel nacional"/>
    <s v="Gestión de la Información"/>
    <s v="Sí"/>
    <s v="Sí"/>
    <n v="6"/>
    <s v="131-32"/>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32 Prestación de servicios profesionales para la recopilación, análisis, depuración y reporte de datos y planes minerenergéticos, con especial énfasis en variables hidrocarburíferas a nivel nacional e internacional."/>
    <s v="Enero "/>
    <s v="Enero "/>
    <s v="Enero "/>
    <n v="11"/>
    <s v="Meses"/>
    <s v="Contratación directa - Prestación de servicios profesionales "/>
    <s v="Propios - 20 - Ingresos corrientes"/>
    <n v="55000000"/>
    <n v="55000000"/>
    <s v="No"/>
    <s v="N/A"/>
    <s v="Guillermo Holguin"/>
    <s v="Subdirector de Gestión de la Información"/>
    <n v="6012220601"/>
    <s v="guillermo.holguin@upme.gov.co"/>
    <n v="0"/>
    <n v="0"/>
    <n v="55000000"/>
    <n v="0"/>
    <n v="0"/>
    <n v="9500000"/>
    <n v="0"/>
    <n v="9500000"/>
    <n v="0"/>
    <n v="9500000"/>
    <n v="0"/>
    <n v="9500000"/>
    <n v="0"/>
    <n v="9500000"/>
    <n v="0"/>
    <n v="7500000"/>
    <n v="0"/>
    <n v="0"/>
    <n v="0"/>
    <n v="0"/>
    <n v="0"/>
    <n v="0"/>
    <n v="0"/>
    <n v="0"/>
    <n v="55000000"/>
    <n v="55000000"/>
    <n v="0"/>
    <n v="0"/>
    <s v="Prestación de servicios profesionales para la recopilación, análisis, depuración y reporte de datos y planes minerenergéticos, con especial énfasis en variables hidrocarburíferas a nivel nacional e internacional."/>
    <m/>
    <m/>
    <n v="55000000"/>
    <m/>
    <m/>
    <n v="9500000"/>
    <m/>
    <n v="9500000"/>
    <m/>
    <n v="9500000"/>
    <m/>
    <n v="9500000"/>
    <m/>
    <n v="9500000"/>
    <m/>
    <n v="7500000"/>
    <m/>
    <m/>
    <m/>
    <m/>
    <m/>
    <m/>
    <m/>
    <m/>
    <m/>
    <m/>
    <n v="55000000"/>
    <n v="55000000"/>
    <n v="0"/>
    <n v="0"/>
    <n v="63126"/>
    <d v="2026-01-23T00:00:00"/>
    <n v="55000000"/>
    <n v="0"/>
    <n v="37726"/>
    <d v="2026-02-02T00:00:00"/>
    <n v="55000000"/>
    <n v="0"/>
    <n v="0"/>
    <s v="BELTRAN MORATTO MAGDA LILIANA"/>
    <s v="CO1.PCCNTR.9160784"/>
    <m/>
    <m/>
    <m/>
    <n v="55000000"/>
    <m/>
    <m/>
    <m/>
    <n v="8866667"/>
    <n v="8866667"/>
    <m/>
    <n v="9500000"/>
    <n v="9500000"/>
    <m/>
    <m/>
    <m/>
    <m/>
    <m/>
    <m/>
    <m/>
    <m/>
    <m/>
    <m/>
    <m/>
    <m/>
    <m/>
    <m/>
    <m/>
    <m/>
    <m/>
    <m/>
    <m/>
    <m/>
    <m/>
    <m/>
    <m/>
    <m/>
    <n v="55000000"/>
    <n v="18366667"/>
    <n v="18366667"/>
    <n v="36633333"/>
    <n v="0"/>
    <x v="0"/>
  </r>
  <r>
    <x v="0"/>
    <x v="7"/>
    <s v="Implementación de una solución integral para el acceso a los datos y a la información oportuna y de calidad del sector minero energético a nivel nacional"/>
    <s v="Gestión de la Información"/>
    <s v="Sí"/>
    <s v="Sí"/>
    <n v="68"/>
    <s v="131-33"/>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33 Prestación de servicios profesionales para la gestión de procesos contractuales asociados al proyecto de inversión ejecutado por la Subdirección de Gestión de la Información, así como al ciclo de formulación, seguimiento y reporte de los instrument"/>
    <s v="Enero "/>
    <s v="Enero "/>
    <s v="Enero "/>
    <n v="11.5"/>
    <s v="Meses"/>
    <s v="Contratación directa - Prestación de servicios profesionales "/>
    <s v="Propios - 20 - Ingresos corrientes"/>
    <n v="92000000"/>
    <n v="92000000"/>
    <s v="No"/>
    <s v="N/A"/>
    <s v="Guillermo Holguin"/>
    <s v="Subdirector de Gestión de la Información"/>
    <n v="6012220601"/>
    <s v="guillermo.holguin@upme.gov.co"/>
    <n v="92000000"/>
    <n v="0"/>
    <n v="0"/>
    <n v="4000000"/>
    <n v="0"/>
    <n v="8000000"/>
    <n v="0"/>
    <n v="8000000"/>
    <n v="0"/>
    <n v="8000000"/>
    <n v="0"/>
    <n v="8000000"/>
    <n v="0"/>
    <n v="8000000"/>
    <n v="0"/>
    <n v="8000000"/>
    <n v="0"/>
    <n v="8000000"/>
    <n v="0"/>
    <n v="8000000"/>
    <n v="0"/>
    <n v="8000000"/>
    <n v="0"/>
    <n v="16000000"/>
    <n v="92000000"/>
    <n v="92000000"/>
    <n v="0"/>
    <n v="0"/>
    <s v="Prestación de servicios profesionales para la gestión de procesos contractuales asociados al proyecto de inversión ejecutado por la Subdirección de Gestión de la Información, así como al ciclo de formulación, seguimiento y reporte de los instrumentos de p"/>
    <n v="92000000"/>
    <m/>
    <m/>
    <n v="4000000"/>
    <m/>
    <n v="8000000"/>
    <m/>
    <n v="8000000"/>
    <m/>
    <n v="8000000"/>
    <m/>
    <n v="8000000"/>
    <m/>
    <n v="8000000"/>
    <m/>
    <n v="8000000"/>
    <m/>
    <n v="8000000"/>
    <m/>
    <n v="8000000"/>
    <m/>
    <n v="8000000"/>
    <m/>
    <n v="16000000"/>
    <m/>
    <m/>
    <n v="92000000"/>
    <n v="92000000"/>
    <n v="0"/>
    <n v="0"/>
    <n v="13426"/>
    <d v="2026-01-08T00:00:00"/>
    <n v="92000000"/>
    <n v="0"/>
    <n v="8226"/>
    <d v="2026-01-13T00:00:00"/>
    <n v="92000000"/>
    <n v="0"/>
    <n v="0"/>
    <s v="KUARAN LUQUEZ ARUCI MAURICIO"/>
    <s v="CO1.PCCNTR.8820080"/>
    <n v="92000000"/>
    <m/>
    <m/>
    <m/>
    <n v="4533333"/>
    <n v="4533333"/>
    <m/>
    <n v="8000000"/>
    <n v="8000000"/>
    <m/>
    <n v="8000000"/>
    <n v="8000000"/>
    <m/>
    <m/>
    <m/>
    <m/>
    <m/>
    <m/>
    <m/>
    <m/>
    <m/>
    <m/>
    <m/>
    <m/>
    <m/>
    <m/>
    <m/>
    <m/>
    <m/>
    <m/>
    <m/>
    <m/>
    <m/>
    <m/>
    <m/>
    <m/>
    <n v="92000000"/>
    <n v="20533333"/>
    <n v="20533333"/>
    <n v="71466667"/>
    <n v="0"/>
    <x v="0"/>
  </r>
  <r>
    <x v="0"/>
    <x v="7"/>
    <s v="Implementación de una solución integral para el acceso a los datos y a la información oportuna y de calidad del sector minero energético a nivel nacional"/>
    <s v="Gestión de la Información"/>
    <s v="Sí"/>
    <s v="Sí"/>
    <n v="68"/>
    <s v="131-34"/>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34 Prestación de servicios profesionales para la proyección oportuna y eficiente de los actos administrativos y memorandos de la Subdirección de Gestión de la Información, así como para el apoyo en la gestión contractual y documental de la dependencia"/>
    <s v="Enero "/>
    <s v="Enero "/>
    <s v="Enero "/>
    <n v="10"/>
    <s v="Meses"/>
    <s v="Contratación directa - Prestación de servicios profesionales "/>
    <s v="Propios - 20 - Ingresos corrientes"/>
    <n v="60000000"/>
    <n v="60000000"/>
    <s v="No"/>
    <s v="N/A"/>
    <s v="Guillermo Holguin"/>
    <s v="Subdirector de Gestión de la Información"/>
    <n v="6012220601"/>
    <s v="guillermo.holguin@upme.gov.co"/>
    <n v="60000000"/>
    <n v="0"/>
    <n v="0"/>
    <n v="600000"/>
    <n v="0"/>
    <n v="6000000"/>
    <n v="0"/>
    <n v="6000000"/>
    <n v="0"/>
    <n v="6000000"/>
    <n v="0"/>
    <n v="6000000"/>
    <n v="0"/>
    <n v="6000000"/>
    <n v="0"/>
    <n v="6000000"/>
    <n v="0"/>
    <n v="6000000"/>
    <n v="0"/>
    <n v="6000000"/>
    <n v="0"/>
    <n v="6000000"/>
    <n v="0"/>
    <n v="5400000"/>
    <n v="60000000"/>
    <n v="60000000"/>
    <n v="0"/>
    <n v="0"/>
    <s v="Prestación de servicios profesionales para la proyección oportuna y eficiente de los actos administrativos y memorandos de la Subdirección de Gestión de la Información, así como para el apoyo en la gestión contractual y documental de la dependencia y el s"/>
    <n v="60000000"/>
    <m/>
    <m/>
    <n v="600000"/>
    <m/>
    <n v="6000000"/>
    <m/>
    <n v="6000000"/>
    <m/>
    <n v="6000000"/>
    <m/>
    <n v="6000000"/>
    <m/>
    <n v="6000000"/>
    <m/>
    <n v="6000000"/>
    <m/>
    <n v="6000000"/>
    <m/>
    <n v="6000000"/>
    <m/>
    <n v="6000000"/>
    <m/>
    <n v="5400000"/>
    <m/>
    <m/>
    <n v="60000000"/>
    <n v="60000000"/>
    <n v="0"/>
    <n v="0"/>
    <n v="16026"/>
    <d v="2026-01-09T00:00:00"/>
    <n v="60000000"/>
    <n v="0"/>
    <n v="29226"/>
    <d v="2026-01-28T00:00:00"/>
    <n v="60000000"/>
    <n v="0"/>
    <n v="0"/>
    <s v="DURANGO SAEZ LINA MARIA"/>
    <s v="CO1.PCCNTR.9070639"/>
    <n v="60000000"/>
    <m/>
    <m/>
    <m/>
    <m/>
    <m/>
    <m/>
    <m/>
    <m/>
    <m/>
    <n v="12400000"/>
    <n v="12400000"/>
    <m/>
    <m/>
    <m/>
    <m/>
    <m/>
    <m/>
    <m/>
    <m/>
    <m/>
    <m/>
    <m/>
    <m/>
    <m/>
    <m/>
    <m/>
    <m/>
    <m/>
    <m/>
    <m/>
    <m/>
    <m/>
    <m/>
    <m/>
    <m/>
    <n v="60000000"/>
    <n v="12400000"/>
    <n v="12400000"/>
    <n v="47600000"/>
    <n v="0"/>
    <x v="0"/>
  </r>
  <r>
    <x v="0"/>
    <x v="7"/>
    <s v="Implementación de una solución integral para el acceso a los datos y a la información oportuna y de calidad del sector minero energético a nivel nacional"/>
    <s v="Gestión de la Información"/>
    <s v="Sí"/>
    <s v="Sí"/>
    <n v="22"/>
    <s v="131-35"/>
    <s v="Mejorar la calidad de la información producida por el sector minero energético."/>
    <s v="Servicio de Información Actualizado para el Análisis y Toma de Decisiones Estratégicas del Sector"/>
    <s v="Pruebas y aseguramiento de calidad."/>
    <s v="43201800;43233405;43212201"/>
    <s v="C-2106-1900-14-53105B-2106033-02"/>
    <s v="Hardware (Equipos de computo o partes físicas)"/>
    <s v="131-35 Adquirir el licenciamiento por suscripción para Plataforma de virtualización y almacenamiento en nube incluyendo la adquisición del hardware para Computación y Storage que soporta esta solución de Hiperconvergencia."/>
    <s v="Abril"/>
    <s v="Abril"/>
    <s v="Mayo"/>
    <n v="12"/>
    <s v="Meses"/>
    <s v="Contratación régimen especial (con ofertas)  - Régimen especial "/>
    <s v="Propios - 20 - Ingresos corrientes"/>
    <n v="100000000"/>
    <n v="100000000"/>
    <s v="No"/>
    <s v="N/A"/>
    <s v="Guillermo Holguin"/>
    <s v="Subdirector de Gestión de la Información"/>
    <n v="6012220601"/>
    <s v="guillermo.holguin@upme.gov.co"/>
    <n v="0"/>
    <n v="0"/>
    <n v="0"/>
    <n v="0"/>
    <n v="0"/>
    <n v="0"/>
    <n v="0"/>
    <n v="0"/>
    <n v="0"/>
    <n v="0"/>
    <n v="0"/>
    <n v="0"/>
    <n v="70000000"/>
    <n v="0"/>
    <n v="0"/>
    <n v="0"/>
    <n v="0"/>
    <n v="0"/>
    <n v="0"/>
    <n v="0"/>
    <n v="0"/>
    <n v="0"/>
    <n v="0"/>
    <n v="70000000"/>
    <n v="70000000"/>
    <n v="70000000"/>
    <n v="30000000"/>
    <n v="30000000"/>
    <s v="Adquirir el licenciamiento por suscripción para Plataforma de virtualización y almacenamiento en nube incluyendo la adquisición del hardware para Computación y Storage que soporta esta solución de Hiperconvergencia."/>
    <n v="0"/>
    <n v="0"/>
    <n v="0"/>
    <n v="0"/>
    <n v="0"/>
    <n v="0"/>
    <n v="0"/>
    <n v="0"/>
    <n v="100000000"/>
    <n v="0"/>
    <n v="0"/>
    <n v="100000000"/>
    <n v="0"/>
    <n v="0"/>
    <n v="0"/>
    <n v="0"/>
    <n v="0"/>
    <n v="0"/>
    <n v="0"/>
    <n v="0"/>
    <n v="0"/>
    <n v="0"/>
    <n v="0"/>
    <n v="0"/>
    <m/>
    <m/>
    <n v="100000000"/>
    <n v="100000000"/>
    <n v="0"/>
    <n v="0"/>
    <n v="19026"/>
    <d v="2026-01-11T00:00:00"/>
    <n v="0"/>
    <n v="100000000"/>
    <m/>
    <m/>
    <n v="0"/>
    <n v="1000000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2"/>
    <s v="131-36"/>
    <s v="Mejorar la calidad de la información producida por el sector minero energético."/>
    <s v="Servicio de Información Actualizado para el Análisis y Toma de Decisiones Estratégicas del Sector"/>
    <s v="Pruebas y aseguramiento de calidad."/>
    <n v="81112003"/>
    <s v="C-2106-1900-14-53105B-2106033-02"/>
    <s v="Software - Licencias"/>
    <s v="131-36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4119272"/>
    <n v="4119272"/>
    <s v="No"/>
    <s v="N/A"/>
    <s v="Guillermo Holguin"/>
    <s v="Subdirector de Gestión de la Información"/>
    <n v="6012220601"/>
    <s v="guillermo.holguin@upme.gov.co"/>
    <n v="0"/>
    <n v="0"/>
    <n v="0"/>
    <n v="0"/>
    <n v="0"/>
    <n v="0"/>
    <n v="4119272"/>
    <n v="0"/>
    <n v="0"/>
    <n v="4119272"/>
    <n v="0"/>
    <n v="0"/>
    <n v="0"/>
    <n v="0"/>
    <n v="0"/>
    <n v="0"/>
    <n v="0"/>
    <n v="0"/>
    <n v="0"/>
    <n v="0"/>
    <n v="0"/>
    <n v="0"/>
    <n v="0"/>
    <n v="0"/>
    <n v="4119272"/>
    <n v="4119272"/>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4119272"/>
    <n v="0"/>
    <n v="0"/>
    <n v="0"/>
    <n v="0"/>
    <n v="4119272"/>
    <n v="0"/>
    <n v="0"/>
    <n v="0"/>
    <n v="0"/>
    <n v="0"/>
    <n v="0"/>
    <n v="0"/>
    <n v="0"/>
    <n v="0"/>
    <n v="0"/>
    <m/>
    <m/>
    <n v="4119272"/>
    <n v="4119272"/>
    <n v="0"/>
    <n v="0"/>
    <m/>
    <m/>
    <m/>
    <n v="4119272"/>
    <m/>
    <m/>
    <n v="0"/>
    <n v="4119272"/>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8"/>
    <s v="131-37"/>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37 Prestación de servicios profesionales para el diseño, desarrollo e implementación de mejoras y requerimientos en los portales institucionales, la Intranet y las aplicaciones web de la UPME, asegurando la planeación, coordinación y articulación con "/>
    <s v="Enero "/>
    <s v="Enero "/>
    <s v="Enero "/>
    <n v="11.5"/>
    <s v="Meses"/>
    <s v="Contratación directa - Prestación de servicios profesionales "/>
    <s v="Propios - 20 - Ingresos corrientes"/>
    <n v="138000000"/>
    <n v="138000000"/>
    <s v="No"/>
    <s v="N/A"/>
    <s v="Guillermo Holguin"/>
    <s v="Subdirector de Gestión de la Información"/>
    <n v="6012220601"/>
    <s v="guillermo.holguin@upme.gov.co"/>
    <n v="120750000"/>
    <n v="0"/>
    <n v="0"/>
    <n v="0"/>
    <n v="0"/>
    <n v="10500000"/>
    <n v="0"/>
    <n v="10500000"/>
    <n v="0"/>
    <n v="10500000"/>
    <n v="0"/>
    <n v="10500000"/>
    <n v="0"/>
    <n v="10500000"/>
    <n v="17250000"/>
    <n v="10500000"/>
    <n v="0"/>
    <n v="10500000"/>
    <n v="0"/>
    <n v="10500000"/>
    <n v="0"/>
    <n v="10500000"/>
    <n v="0"/>
    <n v="43500000"/>
    <n v="138000000"/>
    <n v="138000000"/>
    <n v="0"/>
    <n v="0"/>
    <s v="Prestación de servicios profesionales para el diseño, desarrollo e implementación de mejoras y requerimientos en los portales institucionales, la Intranet y las aplicaciones web de la UPME, asegurando la planeación, coordinación y articulación con las áre"/>
    <n v="120750000"/>
    <m/>
    <m/>
    <m/>
    <m/>
    <n v="10500000"/>
    <m/>
    <n v="10500000"/>
    <m/>
    <n v="10500000"/>
    <m/>
    <n v="10500000"/>
    <m/>
    <n v="10500000"/>
    <n v="17250000"/>
    <n v="10500000"/>
    <m/>
    <n v="10500000"/>
    <m/>
    <n v="10500000"/>
    <m/>
    <n v="10500000"/>
    <m/>
    <n v="43500000"/>
    <m/>
    <m/>
    <n v="138000000"/>
    <n v="138000000"/>
    <n v="0"/>
    <n v="0"/>
    <n v="14826"/>
    <d v="2026-01-09T00:00:00"/>
    <n v="117250000"/>
    <n v="20750000"/>
    <n v="18526"/>
    <d v="2026-01-23T00:00:00"/>
    <n v="117250000"/>
    <n v="20750000"/>
    <n v="0"/>
    <s v="BERMUDEZ AURA"/>
    <s v="CO1.PCCNTR.8996779."/>
    <n v="120750000"/>
    <m/>
    <m/>
    <m/>
    <n v="1750000"/>
    <n v="1750000"/>
    <n v="-3500000"/>
    <n v="10500000"/>
    <n v="10500000"/>
    <m/>
    <n v="10500000"/>
    <n v="10500000"/>
    <m/>
    <m/>
    <m/>
    <m/>
    <m/>
    <m/>
    <m/>
    <m/>
    <m/>
    <m/>
    <m/>
    <m/>
    <m/>
    <m/>
    <m/>
    <m/>
    <m/>
    <m/>
    <m/>
    <m/>
    <m/>
    <m/>
    <m/>
    <m/>
    <n v="117250000"/>
    <n v="22750000"/>
    <n v="22750000"/>
    <n v="94500000"/>
    <n v="0"/>
    <x v="0"/>
  </r>
  <r>
    <x v="0"/>
    <x v="7"/>
    <s v="Implementación de una solución integral para el acceso a los datos y a la información oportuna y de calidad del sector minero energético a nivel nacional"/>
    <s v="Gestión de la Información"/>
    <s v="Sí"/>
    <s v="Sí"/>
    <n v="68"/>
    <s v="131-38"/>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38 Prestación de servicios profesionales para el desarrollo, actualización, integración y mantenimiento de los portales institucionales, sistemas de información y aplicaciones web de la UPME, incorporando componentes de backend, servicios API y estruc"/>
    <s v="Enero "/>
    <s v="Enero "/>
    <s v="Enero "/>
    <n v="11"/>
    <s v="Meses"/>
    <s v="Contratación directa - Prestación de servicios profesionales "/>
    <s v="Propios - 20 - Ingresos corrientes"/>
    <n v="80850000"/>
    <n v="80850000"/>
    <s v="No"/>
    <s v="N/A"/>
    <s v="Guillermo Holguin"/>
    <s v="Subdirector de Gestión de la Información"/>
    <n v="6012220601"/>
    <s v="guillermo.holguin@upme.gov.co"/>
    <n v="80850000"/>
    <n v="0"/>
    <n v="0"/>
    <n v="1837500"/>
    <n v="0"/>
    <n v="7350000"/>
    <n v="0"/>
    <n v="7350000"/>
    <n v="0"/>
    <n v="7350000"/>
    <n v="0"/>
    <n v="7350000"/>
    <n v="0"/>
    <n v="7350000"/>
    <n v="0"/>
    <n v="7350000"/>
    <n v="0"/>
    <n v="7350000"/>
    <n v="0"/>
    <n v="7350000"/>
    <n v="0"/>
    <n v="7350000"/>
    <n v="0"/>
    <n v="12862500"/>
    <n v="80850000"/>
    <n v="80850000"/>
    <n v="0"/>
    <n v="0"/>
    <s v="Prestación de servicios profesionales para el desarrollo, actualización, integración y mantenimiento de los portales institucionales, sistemas de información y aplicaciones web de la UPME, incorporando componentes de backend, servicios API y estructuras d"/>
    <n v="80850000"/>
    <m/>
    <m/>
    <n v="1837500"/>
    <m/>
    <n v="7350000"/>
    <m/>
    <n v="7350000"/>
    <m/>
    <n v="7350000"/>
    <m/>
    <n v="7350000"/>
    <m/>
    <n v="7350000"/>
    <m/>
    <n v="7350000"/>
    <m/>
    <n v="7350000"/>
    <m/>
    <n v="7350000"/>
    <m/>
    <n v="7350000"/>
    <m/>
    <n v="12862500"/>
    <m/>
    <m/>
    <n v="80850000"/>
    <n v="80850000"/>
    <n v="0"/>
    <n v="0"/>
    <n v="25326"/>
    <d v="2026-01-13T00:00:00"/>
    <n v="80850000"/>
    <n v="0"/>
    <n v="24326"/>
    <d v="2026-01-27T00:00:00"/>
    <n v="80850000"/>
    <n v="0"/>
    <n v="0"/>
    <s v="PEÑA MENESES JOSE DANIEL"/>
    <s v="CO1.PCCNTR.9059126"/>
    <n v="80850000"/>
    <m/>
    <m/>
    <m/>
    <m/>
    <m/>
    <m/>
    <n v="8085000"/>
    <n v="8085000"/>
    <m/>
    <n v="7350000"/>
    <n v="7350000"/>
    <m/>
    <m/>
    <m/>
    <m/>
    <m/>
    <m/>
    <m/>
    <m/>
    <m/>
    <m/>
    <m/>
    <m/>
    <m/>
    <m/>
    <m/>
    <m/>
    <m/>
    <m/>
    <m/>
    <m/>
    <m/>
    <m/>
    <m/>
    <m/>
    <n v="80850000"/>
    <n v="15435000"/>
    <n v="15435000"/>
    <n v="65415000"/>
    <n v="0"/>
    <x v="0"/>
  </r>
  <r>
    <x v="0"/>
    <x v="7"/>
    <s v="Implementación de una solución integral para el acceso a los datos y a la información oportuna y de calidad del sector minero energético a nivel nacional"/>
    <s v="Gestión de la Información"/>
    <s v="Sí"/>
    <s v="Sí"/>
    <n v="22"/>
    <s v="131-39"/>
    <s v="Implementar una adecuada estrategia de comunicación y divulgación de la información del sector minero energético."/>
    <s v="Servicio de Información Implementado para la Accesibilidad Sectorial"/>
    <s v="Desarrollo"/>
    <n v="81112003"/>
    <s v="C-2106-1900-14-53105B-2106034-02"/>
    <s v="Software - Licencias"/>
    <s v="131-39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16380041"/>
    <n v="16380041"/>
    <s v="No"/>
    <s v="N/A"/>
    <s v="Guillermo Holguin"/>
    <s v="Subdirector de Gestión de la Información"/>
    <n v="6012220601"/>
    <s v="guillermo.holguin@upme.gov.co"/>
    <n v="0"/>
    <n v="0"/>
    <n v="0"/>
    <n v="0"/>
    <n v="0"/>
    <n v="0"/>
    <n v="16380041"/>
    <n v="0"/>
    <n v="0"/>
    <n v="16380041"/>
    <n v="0"/>
    <n v="0"/>
    <n v="0"/>
    <n v="0"/>
    <n v="0"/>
    <n v="0"/>
    <n v="0"/>
    <n v="0"/>
    <n v="0"/>
    <n v="0"/>
    <n v="0"/>
    <n v="0"/>
    <n v="0"/>
    <n v="0"/>
    <n v="16380041"/>
    <n v="16380041"/>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16380041"/>
    <n v="0"/>
    <n v="0"/>
    <n v="0"/>
    <n v="0"/>
    <n v="16380041"/>
    <n v="0"/>
    <n v="0"/>
    <n v="0"/>
    <n v="0"/>
    <n v="0"/>
    <n v="0"/>
    <n v="0"/>
    <n v="0"/>
    <n v="0"/>
    <n v="0"/>
    <m/>
    <m/>
    <n v="16380041"/>
    <n v="16380041"/>
    <n v="0"/>
    <n v="0"/>
    <m/>
    <m/>
    <m/>
    <n v="16380041"/>
    <m/>
    <m/>
    <n v="0"/>
    <n v="16380041"/>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2"/>
    <s v="131-40"/>
    <s v="Implementar una adecuada estrategia de comunicación y divulgación de la información del sector minero energético."/>
    <s v="Servicio de Información Implementado para la Accesibilidad Sectorial"/>
    <s v="Desarrollo"/>
    <n v="81112003"/>
    <s v="C-2106-1900-14-53105B-2106034-02"/>
    <s v="Software - Licencias"/>
    <s v="131-40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1 - Otros recursos de tesorería"/>
    <n v="174384"/>
    <n v="174384"/>
    <s v="No"/>
    <s v="N/A"/>
    <s v="Guillermo Holguin"/>
    <s v="Subdirector de Gestión de la Información"/>
    <n v="6012220601"/>
    <s v="guillermo.holguin@upme.gov.co"/>
    <n v="0"/>
    <n v="0"/>
    <n v="0"/>
    <n v="0"/>
    <n v="0"/>
    <n v="0"/>
    <n v="174384"/>
    <n v="0"/>
    <n v="0"/>
    <n v="174384"/>
    <n v="0"/>
    <n v="0"/>
    <n v="0"/>
    <n v="0"/>
    <n v="0"/>
    <n v="0"/>
    <n v="0"/>
    <n v="0"/>
    <n v="0"/>
    <n v="0"/>
    <n v="0"/>
    <n v="0"/>
    <n v="0"/>
    <n v="0"/>
    <n v="174384"/>
    <n v="174384"/>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174384"/>
    <n v="0"/>
    <n v="0"/>
    <n v="0"/>
    <n v="0"/>
    <n v="174384"/>
    <n v="0"/>
    <n v="0"/>
    <n v="0"/>
    <n v="0"/>
    <n v="0"/>
    <n v="0"/>
    <n v="0"/>
    <n v="0"/>
    <n v="0"/>
    <n v="0"/>
    <m/>
    <m/>
    <n v="174384"/>
    <n v="174384"/>
    <n v="0"/>
    <n v="0"/>
    <m/>
    <m/>
    <m/>
    <n v="174384"/>
    <m/>
    <m/>
    <n v="0"/>
    <n v="174384"/>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7"/>
    <s v="131-41"/>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41  Prestación de servicios profesionales especializados en la Subdirección de Gestión de la Información para el direccionamiento de planes, programas y proyectos institucionales asociados al ejercicio efectivo del rol como Lider de la Gestión Estraté"/>
    <s v="Enero "/>
    <s v="Enero "/>
    <s v="Enero "/>
    <n v="11"/>
    <s v="Meses"/>
    <s v="Contratación directa - Prestación de servicios profesionales "/>
    <s v="Propios - 21 - Otros recursos de tesorería"/>
    <n v="36750000"/>
    <n v="36750000"/>
    <s v="No"/>
    <s v="N/A"/>
    <s v="Guillermo Holguin"/>
    <s v="Subdirector de Gestión de la Información"/>
    <n v="6012220601"/>
    <s v="guillermo.holguin@upme.gov.co"/>
    <n v="0"/>
    <n v="0"/>
    <n v="28816667"/>
    <n v="0"/>
    <n v="0"/>
    <n v="0"/>
    <n v="0"/>
    <n v="0"/>
    <n v="0"/>
    <n v="0"/>
    <n v="0"/>
    <n v="0"/>
    <n v="0"/>
    <n v="0"/>
    <n v="7933333"/>
    <n v="0"/>
    <n v="0"/>
    <n v="8416667"/>
    <n v="0"/>
    <n v="13600000"/>
    <n v="0"/>
    <n v="13600000"/>
    <n v="0"/>
    <n v="1133333"/>
    <n v="36750000"/>
    <n v="36750000"/>
    <n v="0"/>
    <n v="0"/>
    <s v=" Prestación de servicios profesionales especializados en la Subdirección de Gestión de la Información para el direccionamiento de planes, programas y proyectos institucionales asociados al ejercicio efectivo del rol como Lider de la Gestión Estratégica de"/>
    <m/>
    <m/>
    <n v="28816667"/>
    <m/>
    <m/>
    <m/>
    <m/>
    <m/>
    <m/>
    <m/>
    <m/>
    <m/>
    <m/>
    <m/>
    <n v="7933333"/>
    <m/>
    <m/>
    <n v="8416667"/>
    <m/>
    <n v="13600000"/>
    <m/>
    <n v="13600000"/>
    <m/>
    <n v="1133333"/>
    <m/>
    <m/>
    <n v="36750000"/>
    <n v="36750000"/>
    <n v="0"/>
    <n v="0"/>
    <n v="62426"/>
    <d v="2026-01-23T00:00:00"/>
    <n v="28816667"/>
    <n v="7933333"/>
    <n v="37426"/>
    <d v="2026-02-02T00:00:00"/>
    <n v="28816667"/>
    <n v="7933333"/>
    <n v="0"/>
    <s v="REMIREZ CARRERO RICARDO HUMBERTO"/>
    <s v="CO1.PCCNTR.9158997"/>
    <m/>
    <m/>
    <m/>
    <n v="28816667"/>
    <m/>
    <m/>
    <m/>
    <m/>
    <m/>
    <m/>
    <n v="12693333.33"/>
    <n v="12693333.33"/>
    <m/>
    <m/>
    <m/>
    <m/>
    <m/>
    <m/>
    <m/>
    <m/>
    <m/>
    <m/>
    <m/>
    <m/>
    <m/>
    <m/>
    <m/>
    <m/>
    <m/>
    <m/>
    <m/>
    <m/>
    <m/>
    <m/>
    <m/>
    <m/>
    <n v="28816667"/>
    <n v="12693333.33"/>
    <n v="12693333.33"/>
    <n v="16123333.67"/>
    <n v="0"/>
    <x v="0"/>
  </r>
  <r>
    <x v="0"/>
    <x v="7"/>
    <s v="Implementación de una solución integral para el acceso a los datos y a la información oportuna y de calidad del sector minero energético a nivel nacional"/>
    <s v="Gestión de la Información"/>
    <s v="Sí"/>
    <s v="Sí"/>
    <n v="68"/>
    <s v="131-42"/>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42 Prestación de servicios profesionales para el diseño, desarrollo, mantenimiento y optimización de los portales institucionales, micrositios y sistemas de información administrados por la UPME, garantizando la calidad técnica, la interoperabilidad y"/>
    <s v="Enero "/>
    <s v="Enero "/>
    <s v="Enero "/>
    <n v="8"/>
    <s v="Meses"/>
    <s v="Contratación directa - Prestación de servicios profesionales "/>
    <s v="Propios - 21 - Otros recursos de tesorería"/>
    <n v="58800000"/>
    <n v="58800000"/>
    <s v="No"/>
    <s v="N/A"/>
    <s v="Guillermo Holguin"/>
    <s v="Subdirector de Gestión de la Información"/>
    <n v="6012220601"/>
    <s v="guillermo.holguin@upme.gov.co"/>
    <n v="0"/>
    <n v="0"/>
    <n v="58800000"/>
    <n v="0"/>
    <n v="0"/>
    <n v="7350000"/>
    <n v="0"/>
    <n v="7350000"/>
    <n v="0"/>
    <n v="7350000"/>
    <n v="0"/>
    <n v="7350000"/>
    <n v="0"/>
    <n v="7350000"/>
    <n v="0"/>
    <n v="7350000"/>
    <n v="0"/>
    <n v="7350000"/>
    <n v="0"/>
    <n v="7350000"/>
    <n v="0"/>
    <n v="0"/>
    <n v="0"/>
    <n v="0"/>
    <n v="58800000"/>
    <n v="58800000"/>
    <n v="0"/>
    <n v="0"/>
    <s v="Prestación de servicios profesionales para el diseño, desarrollo, mantenimiento y optimización de los portales institucionales, micrositios y sistemas de información administrados por la UPME, garantizando la calidad técnica, la interoperabilidad y la ade"/>
    <m/>
    <m/>
    <n v="58800000"/>
    <m/>
    <m/>
    <n v="7350000"/>
    <m/>
    <n v="7350000"/>
    <m/>
    <n v="7350000"/>
    <m/>
    <n v="7350000"/>
    <m/>
    <n v="7350000"/>
    <m/>
    <n v="7350000"/>
    <m/>
    <n v="7350000"/>
    <m/>
    <n v="7350000"/>
    <m/>
    <m/>
    <m/>
    <m/>
    <m/>
    <m/>
    <n v="58800000"/>
    <n v="58800000"/>
    <n v="0"/>
    <n v="0"/>
    <n v="59026"/>
    <d v="2026-01-23T00:00:00"/>
    <n v="49000000"/>
    <n v="9800000"/>
    <n v="47026"/>
    <d v="2026-02-06T00:00:00"/>
    <n v="49000000"/>
    <n v="9800000"/>
    <n v="0"/>
    <s v="OSCAR EDUARDO BLUM CARRERO"/>
    <s v="CO1.PCCNTR.9238055"/>
    <m/>
    <m/>
    <m/>
    <n v="49000000"/>
    <m/>
    <m/>
    <m/>
    <n v="5133333"/>
    <n v="5133333"/>
    <m/>
    <n v="7000000"/>
    <n v="7000000"/>
    <m/>
    <m/>
    <m/>
    <m/>
    <m/>
    <m/>
    <m/>
    <m/>
    <m/>
    <m/>
    <m/>
    <m/>
    <m/>
    <m/>
    <m/>
    <m/>
    <m/>
    <m/>
    <m/>
    <m/>
    <m/>
    <m/>
    <m/>
    <m/>
    <n v="49000000"/>
    <n v="12133333"/>
    <n v="12133333"/>
    <n v="36866667"/>
    <n v="0"/>
    <x v="0"/>
  </r>
  <r>
    <x v="0"/>
    <x v="7"/>
    <s v="Implementación de una solución integral para el acceso a los datos y a la información oportuna y de calidad del sector minero energético a nivel nacional"/>
    <s v="Gestión de la Información"/>
    <s v="Sí"/>
    <s v="Sí"/>
    <n v="68"/>
    <s v="131-43"/>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43 Prestación de servicios profesionales para la actualización, mantenimiento y desarrollo de visores geográficos, así como el fortalecimiento del Geoportal Sectorial, la implementación de dashboards considerando especialmente las variables que integr"/>
    <s v="Enero "/>
    <s v="Enero "/>
    <s v="Enero "/>
    <n v="11.5"/>
    <s v="Meses"/>
    <s v="Contratación directa - Prestación de servicios profesionales "/>
    <s v="Propios - 21 - Otros recursos de tesorería"/>
    <n v="100050000"/>
    <n v="100050000"/>
    <s v="No"/>
    <s v="N/A"/>
    <s v="Guillermo Holguin"/>
    <s v="Subdirector de Gestión de la Información"/>
    <n v="6012220601"/>
    <s v="guillermo.holguin@upme.gov.co"/>
    <n v="100050000"/>
    <n v="0"/>
    <n v="0"/>
    <n v="4350000"/>
    <n v="0"/>
    <n v="8700000"/>
    <n v="0"/>
    <n v="8700000"/>
    <n v="0"/>
    <n v="8700000"/>
    <n v="0"/>
    <n v="8700000"/>
    <n v="0"/>
    <n v="8700000"/>
    <n v="0"/>
    <n v="8700000"/>
    <n v="0"/>
    <n v="8700000"/>
    <n v="0"/>
    <n v="8700000"/>
    <n v="0"/>
    <n v="8700000"/>
    <n v="0"/>
    <n v="17400000"/>
    <n v="100050000"/>
    <n v="100050000"/>
    <n v="0"/>
    <n v="0"/>
    <s v="Prestación de servicios profesionales para la actualización, mantenimiento y desarrollo de visores geográficos, así como el fortalecimiento del Geoportal Sectorial, la implementación de dashboards considerando especialmente las variables que integren y an"/>
    <n v="100050000"/>
    <m/>
    <m/>
    <n v="4350000"/>
    <m/>
    <n v="8700000"/>
    <m/>
    <n v="8700000"/>
    <m/>
    <n v="8700000"/>
    <m/>
    <n v="8700000"/>
    <m/>
    <n v="8700000"/>
    <m/>
    <n v="8700000"/>
    <m/>
    <n v="8700000"/>
    <m/>
    <n v="8700000"/>
    <m/>
    <n v="8700000"/>
    <m/>
    <n v="17400000"/>
    <m/>
    <m/>
    <n v="100050000"/>
    <n v="100050000"/>
    <n v="0"/>
    <n v="0"/>
    <n v="15026"/>
    <d v="2026-01-09T00:00:00"/>
    <n v="100050000"/>
    <n v="0"/>
    <n v="29126"/>
    <d v="2026-01-28T00:00:00"/>
    <n v="100050000"/>
    <n v="0"/>
    <n v="0"/>
    <s v="GARCIA VARGAS JULIETH MARCELA"/>
    <s v="CO1.PCCNTR.9067100"/>
    <n v="100050000"/>
    <m/>
    <m/>
    <m/>
    <n v="580000"/>
    <n v="580000"/>
    <m/>
    <n v="8700000"/>
    <n v="8700000"/>
    <m/>
    <n v="8700000"/>
    <n v="8700000"/>
    <m/>
    <m/>
    <m/>
    <m/>
    <m/>
    <m/>
    <m/>
    <m/>
    <m/>
    <m/>
    <m/>
    <m/>
    <m/>
    <m/>
    <m/>
    <m/>
    <m/>
    <m/>
    <m/>
    <m/>
    <m/>
    <m/>
    <m/>
    <m/>
    <n v="100050000"/>
    <n v="17980000"/>
    <n v="17980000"/>
    <n v="82070000"/>
    <n v="0"/>
    <x v="0"/>
  </r>
  <r>
    <x v="0"/>
    <x v="7"/>
    <s v="Implementación de una solución integral para el acceso a los datos y a la información oportuna y de calidad del sector minero energético a nivel nacional"/>
    <s v="Gestión de la Información"/>
    <s v="Sí"/>
    <s v="Sí"/>
    <n v="68"/>
    <s v="131-44"/>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44 Prestación de servicios de apoyo a la gestión para el análisis, integración y modelamiento de información geoespacial relacionada con la generación de energía a partir de fuentes no convencionales y renovables (FNCER), apoyando la planeación energé"/>
    <s v="Enero "/>
    <s v="Enero "/>
    <s v="Enero "/>
    <n v="11"/>
    <s v="Meses"/>
    <s v="Contratación directa - Prestación de servicios profesionales "/>
    <s v="Propios - 21 - Otros recursos de tesorería"/>
    <n v="25740000"/>
    <n v="25740000"/>
    <s v="No"/>
    <s v="N/A"/>
    <s v="Guillermo Holguin"/>
    <s v="Subdirector de Gestión de la Información"/>
    <n v="6012220601"/>
    <s v="guillermo.holguin@upme.gov.co"/>
    <n v="0"/>
    <n v="0"/>
    <n v="25740000"/>
    <n v="0"/>
    <n v="0"/>
    <n v="2340000"/>
    <n v="0"/>
    <n v="2340000"/>
    <n v="0"/>
    <n v="2340000"/>
    <n v="0"/>
    <n v="2340000"/>
    <n v="0"/>
    <n v="2340000"/>
    <n v="0"/>
    <n v="2340000"/>
    <n v="0"/>
    <n v="2340000"/>
    <n v="0"/>
    <n v="2340000"/>
    <n v="0"/>
    <n v="2340000"/>
    <n v="0"/>
    <n v="4680000"/>
    <n v="25740000"/>
    <n v="25740000"/>
    <n v="0"/>
    <n v="0"/>
    <s v="Prestación de servicios de apoyo a la gestión para el análisis, integración y modelamiento de información geoespacial relacionada con la generación de energía a partir de fuentes no convencionales y renovables (FNCER), apoyando la planeación energética me"/>
    <m/>
    <m/>
    <n v="25740000"/>
    <m/>
    <m/>
    <n v="2340000"/>
    <m/>
    <n v="2340000"/>
    <m/>
    <n v="2340000"/>
    <m/>
    <n v="2340000"/>
    <m/>
    <n v="2340000"/>
    <m/>
    <n v="2340000"/>
    <m/>
    <n v="2340000"/>
    <m/>
    <n v="2340000"/>
    <m/>
    <n v="2340000"/>
    <m/>
    <n v="4680000"/>
    <m/>
    <m/>
    <n v="25740000"/>
    <n v="25740000"/>
    <n v="0"/>
    <n v="0"/>
    <n v="29926"/>
    <d v="2026-01-14T00:00:00"/>
    <n v="25740000"/>
    <n v="0"/>
    <n v="40226"/>
    <d v="2026-02-03T00:00:00"/>
    <n v="25740000"/>
    <n v="0"/>
    <n v="0"/>
    <s v="VIDES ORTIZ ELIAS DAVID"/>
    <s v="CO1.PCCNTR.9244551"/>
    <m/>
    <m/>
    <m/>
    <n v="25740000"/>
    <m/>
    <m/>
    <m/>
    <n v="2028000"/>
    <n v="2028000"/>
    <m/>
    <n v="2340000"/>
    <n v="2340000"/>
    <m/>
    <m/>
    <m/>
    <m/>
    <m/>
    <m/>
    <m/>
    <m/>
    <m/>
    <m/>
    <m/>
    <m/>
    <m/>
    <m/>
    <m/>
    <m/>
    <m/>
    <m/>
    <m/>
    <m/>
    <m/>
    <m/>
    <m/>
    <m/>
    <n v="25740000"/>
    <n v="4368000"/>
    <n v="4368000"/>
    <n v="21372000"/>
    <n v="0"/>
    <x v="0"/>
  </r>
  <r>
    <x v="0"/>
    <x v="7"/>
    <s v="Implementación de una solución integral para el acceso a los datos y a la información oportuna y de calidad del sector minero energético a nivel nacional"/>
    <s v="Gestión de la Información"/>
    <s v="Sí"/>
    <s v="Sí"/>
    <n v="68"/>
    <s v="131-45"/>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45 Prestación de servicios profesionales para el diseño gráfico, la creación de interfaces de usuario (UI/UX), la estructuración y maquetación visual de los portales institucionales, micrositios, sistemas de información, la Intranet y demás aplicacion"/>
    <s v="Enero "/>
    <s v="Enero "/>
    <s v="Enero "/>
    <n v="9"/>
    <s v="Meses"/>
    <s v="Contratación directa - Prestación de servicios profesionales "/>
    <s v="Propios - 21 - Otros recursos de tesorería"/>
    <n v="63000000"/>
    <n v="63000000"/>
    <s v="No"/>
    <s v="N/A"/>
    <s v="Guillermo Holguin"/>
    <s v="Subdirector de Gestión de la Información"/>
    <n v="6012220601"/>
    <s v="guillermo.holguin@upme.gov.co"/>
    <n v="0"/>
    <n v="0"/>
    <n v="63000000"/>
    <n v="0"/>
    <n v="0"/>
    <n v="7000000"/>
    <n v="0"/>
    <n v="7000000"/>
    <n v="0"/>
    <n v="7000000"/>
    <n v="0"/>
    <n v="7000000"/>
    <n v="0"/>
    <n v="7000000"/>
    <n v="0"/>
    <n v="7000000"/>
    <n v="0"/>
    <n v="7000000"/>
    <n v="0"/>
    <n v="7000000"/>
    <n v="0"/>
    <n v="7000000"/>
    <n v="0"/>
    <n v="0"/>
    <n v="63000000"/>
    <n v="63000000"/>
    <n v="0"/>
    <n v="0"/>
    <s v="Prestación de servicios profesionales para el diseño gráfico, la creación de interfaces de usuario (UI/UX), la estructuración y maquetación visual de los portales institucionales, micrositios, sistemas de información, la Intranet y demás aplicaciones web "/>
    <m/>
    <m/>
    <n v="63000000"/>
    <m/>
    <m/>
    <n v="7000000"/>
    <m/>
    <n v="7000000"/>
    <m/>
    <n v="7000000"/>
    <m/>
    <n v="7000000"/>
    <m/>
    <n v="7000000"/>
    <m/>
    <n v="7000000"/>
    <m/>
    <n v="7000000"/>
    <m/>
    <n v="7000000"/>
    <m/>
    <n v="7000000"/>
    <m/>
    <m/>
    <m/>
    <m/>
    <n v="63000000"/>
    <n v="63000000"/>
    <n v="0"/>
    <n v="0"/>
    <n v="56226"/>
    <d v="2026-01-22T00:00:00"/>
    <n v="63000000"/>
    <n v="0"/>
    <n v="48026"/>
    <d v="2026-02-06T00:00:00"/>
    <n v="63000000"/>
    <n v="0"/>
    <n v="0"/>
    <s v="CHIA RODRIGUEZ JULIETH NATALIA"/>
    <s v="CO1.PCCNTR.9238011"/>
    <m/>
    <m/>
    <m/>
    <n v="63000000"/>
    <m/>
    <m/>
    <m/>
    <n v="5600000"/>
    <n v="5600000"/>
    <m/>
    <n v="7000000"/>
    <n v="7000000"/>
    <m/>
    <m/>
    <m/>
    <m/>
    <m/>
    <m/>
    <m/>
    <m/>
    <m/>
    <m/>
    <m/>
    <m/>
    <m/>
    <m/>
    <m/>
    <m/>
    <m/>
    <m/>
    <m/>
    <m/>
    <m/>
    <m/>
    <m/>
    <m/>
    <n v="63000000"/>
    <n v="12600000"/>
    <n v="12600000"/>
    <n v="50400000"/>
    <n v="0"/>
    <x v="0"/>
  </r>
  <r>
    <x v="0"/>
    <x v="7"/>
    <s v="Implementación de una solución integral para el acceso a los datos y a la información oportuna y de calidad del sector minero energético a nivel nacional"/>
    <s v="Gestión de la Información"/>
    <s v="Sí"/>
    <s v="Sí"/>
    <n v="68"/>
    <s v="131-46"/>
    <s v="Implementar una adecuada estrategia de comunicación y divulgación de la información del sector minero energético."/>
    <s v="Servicio de Información Implementado para la Accesibilidad Sectorial"/>
    <s v="Desarrollo"/>
    <n v="80111620"/>
    <s v="C-2106-1900-14-53105B-2106034-02"/>
    <s v="Prestación de servicios profesionales y/o de apoyo a la gestión"/>
    <s v="131-46 Prestación de servicios profesionales para el control de calidad, documentación y fortalecimiento del gobierno de datos geográficos y sectoriales de la UPME, mediante la verificación, normalización y documentación de la información geoespacial, la "/>
    <s v="Enero "/>
    <s v="Enero "/>
    <s v="Enero "/>
    <n v="11"/>
    <s v="Meses"/>
    <s v="Contratación directa - Prestación de servicios profesionales "/>
    <s v="Propios - 21 - Otros recursos de tesorería"/>
    <n v="5600000"/>
    <n v="5600000"/>
    <s v="No"/>
    <s v="N/A"/>
    <s v="Guillermo Holguin"/>
    <s v="Subdirector de Gestión de la Información"/>
    <n v="6012220601"/>
    <s v="guillermo.holguin@upme.gov.co"/>
    <n v="5600000"/>
    <n v="0"/>
    <n v="0"/>
    <n v="600000"/>
    <n v="0"/>
    <n v="5000000"/>
    <n v="0"/>
    <n v="0"/>
    <n v="0"/>
    <n v="0"/>
    <n v="0"/>
    <n v="0"/>
    <n v="0"/>
    <n v="0"/>
    <n v="0"/>
    <n v="0"/>
    <n v="0"/>
    <n v="0"/>
    <n v="0"/>
    <n v="0"/>
    <n v="0"/>
    <n v="0"/>
    <n v="0"/>
    <n v="0"/>
    <n v="5600000"/>
    <n v="5600000"/>
    <n v="0"/>
    <n v="0"/>
    <s v="Prestación de servicios profesionales para el control de calidad, documentación y fortalecimiento del gobierno de datos geográficos y sectoriales de la UPME, mediante la verificación, normalización y documentación de la información geoespacial, la gestión"/>
    <n v="5600000"/>
    <m/>
    <m/>
    <n v="600000"/>
    <m/>
    <n v="5000000"/>
    <m/>
    <m/>
    <m/>
    <m/>
    <m/>
    <m/>
    <m/>
    <m/>
    <m/>
    <m/>
    <m/>
    <m/>
    <m/>
    <m/>
    <m/>
    <m/>
    <m/>
    <m/>
    <m/>
    <m/>
    <n v="5600000"/>
    <n v="5600000"/>
    <n v="0"/>
    <n v="0"/>
    <n v="13626"/>
    <d v="2026-01-08T00:00:00"/>
    <n v="5600000"/>
    <n v="0"/>
    <n v="14426"/>
    <d v="2026-01-21T00:00:00"/>
    <n v="5600000"/>
    <n v="0"/>
    <n v="0"/>
    <s v="SIERRA BAUTISTA IVAN DARIO"/>
    <s v="CO1.PCCNTR.8965738"/>
    <n v="5600000"/>
    <m/>
    <m/>
    <m/>
    <m/>
    <m/>
    <m/>
    <m/>
    <m/>
    <m/>
    <m/>
    <m/>
    <m/>
    <m/>
    <m/>
    <m/>
    <m/>
    <m/>
    <m/>
    <m/>
    <m/>
    <m/>
    <m/>
    <m/>
    <m/>
    <m/>
    <m/>
    <m/>
    <m/>
    <m/>
    <m/>
    <m/>
    <m/>
    <m/>
    <m/>
    <m/>
    <n v="5600000"/>
    <n v="0"/>
    <n v="0"/>
    <n v="5600000"/>
    <n v="0"/>
    <x v="0"/>
  </r>
  <r>
    <x v="0"/>
    <x v="7"/>
    <s v="Implementación de una solución integral para el acceso a los datos y a la información oportuna y de calidad del sector minero energético a nivel nacional"/>
    <s v="Gestión de la Información"/>
    <s v="Sí"/>
    <s v="Sí"/>
    <n v="68"/>
    <s v="131-47"/>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47 Prestación de servicios profesionales para el diseño, estructuración y desarrollo visual de los portales institucionales, la Intranet y demás productos digitales de la UPME, aplicando principios de experiencia de usuario (UX/UI), accesibilidad y us"/>
    <s v="Enero "/>
    <s v="Enero "/>
    <s v="Enero "/>
    <n v="11.5"/>
    <s v="Meses"/>
    <s v="Contratación directa - Prestación de servicios profesionales "/>
    <s v="Propios - 21 - Otros recursos de tesorería"/>
    <n v="96600000"/>
    <n v="96600000"/>
    <s v="No"/>
    <s v="N/A"/>
    <s v="Guillermo Holguin"/>
    <s v="Subdirector de Gestión de la Información"/>
    <n v="6012220601"/>
    <s v="guillermo.holguin@upme.gov.co"/>
    <n v="96600000"/>
    <n v="0"/>
    <n v="0"/>
    <n v="4200000"/>
    <n v="0"/>
    <n v="8400000"/>
    <n v="0"/>
    <n v="8400000"/>
    <n v="0"/>
    <n v="8400000"/>
    <n v="0"/>
    <n v="8400000"/>
    <n v="0"/>
    <n v="8400000"/>
    <n v="0"/>
    <n v="8400000"/>
    <n v="0"/>
    <n v="8400000"/>
    <n v="0"/>
    <n v="8400000"/>
    <n v="0"/>
    <n v="8400000"/>
    <n v="0"/>
    <n v="16800000"/>
    <n v="96600000"/>
    <n v="96600000"/>
    <n v="0"/>
    <n v="0"/>
    <s v="Prestación de servicios profesionales para el diseño, estructuración y desarrollo visual de los portales institucionales, la Intranet y demás productos digitales de la UPME, aplicando principios de experiencia de usuario (UX/UI), accesibilidad y usabilida"/>
    <n v="96600000"/>
    <m/>
    <m/>
    <n v="4200000"/>
    <m/>
    <n v="8400000"/>
    <m/>
    <n v="8400000"/>
    <m/>
    <n v="8400000"/>
    <m/>
    <n v="8400000"/>
    <m/>
    <n v="8400000"/>
    <m/>
    <n v="8400000"/>
    <m/>
    <n v="8400000"/>
    <m/>
    <n v="8400000"/>
    <m/>
    <n v="8400000"/>
    <m/>
    <n v="16800000"/>
    <m/>
    <m/>
    <n v="96600000"/>
    <n v="96600000"/>
    <n v="0"/>
    <n v="0"/>
    <n v="25526"/>
    <d v="2026-01-13T00:00:00"/>
    <n v="93520000"/>
    <n v="3080000"/>
    <n v="21626"/>
    <d v="2026-01-26T00:00:00"/>
    <n v="93520000"/>
    <n v="3080000"/>
    <n v="0"/>
    <s v="ZUÑIGA BOLAÑOS JUAN MANUEL"/>
    <s v="CO1.PCCNTR.9051144"/>
    <n v="96600000"/>
    <m/>
    <m/>
    <m/>
    <n v="1120000"/>
    <n v="1120000"/>
    <n v="-3080000"/>
    <n v="8400000"/>
    <n v="8400000"/>
    <m/>
    <n v="8400000"/>
    <n v="8400000"/>
    <m/>
    <m/>
    <m/>
    <m/>
    <m/>
    <m/>
    <m/>
    <m/>
    <m/>
    <m/>
    <m/>
    <m/>
    <m/>
    <m/>
    <m/>
    <m/>
    <m/>
    <m/>
    <m/>
    <m/>
    <m/>
    <m/>
    <m/>
    <m/>
    <n v="93520000"/>
    <n v="17920000"/>
    <n v="17920000"/>
    <n v="75600000"/>
    <n v="0"/>
    <x v="0"/>
  </r>
  <r>
    <x v="0"/>
    <x v="7"/>
    <s v="Implementación de una solución integral para el acceso a los datos y a la información oportuna y de calidad del sector minero energético a nivel nacional"/>
    <s v="Gestión de la Información"/>
    <s v="Sí"/>
    <s v="Sí"/>
    <n v="68"/>
    <s v="131-48"/>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48 Prestación de servicios profesionales para el diseño, desarrollo y fortalecimiento de la estrategia de comunicación y divulgación de los portales interactivos, sistemas de información, trámites e instrumentos de planeación asociados a las Subdirecc"/>
    <s v="Enero "/>
    <s v="Enero "/>
    <s v="Enero "/>
    <n v="11.5"/>
    <s v="Meses"/>
    <s v="Contratación directa - Prestación de servicios profesionales "/>
    <s v="Propios - 21 - Otros recursos de tesorería"/>
    <n v="57500000"/>
    <n v="57500000"/>
    <s v="No"/>
    <s v="N/A"/>
    <s v="Guillermo Holguin"/>
    <s v="Subdirector de Gestión de la Información"/>
    <n v="6012220601"/>
    <s v="guillermo.holguin@upme.gov.co"/>
    <n v="57500000"/>
    <n v="0"/>
    <n v="0"/>
    <n v="0"/>
    <n v="0"/>
    <n v="0"/>
    <n v="0"/>
    <n v="0"/>
    <n v="0"/>
    <n v="0"/>
    <n v="0"/>
    <n v="0"/>
    <n v="0"/>
    <n v="0"/>
    <n v="0"/>
    <n v="7500000"/>
    <n v="0"/>
    <n v="10000000"/>
    <n v="0"/>
    <n v="10000000"/>
    <n v="0"/>
    <n v="10000000"/>
    <n v="0"/>
    <n v="20000000"/>
    <n v="57500000"/>
    <n v="57500000"/>
    <n v="0"/>
    <n v="0"/>
    <s v="Prestación de servicios profesionales para el diseño, desarrollo y fortalecimiento de la estrategia de comunicación y divulgación de los portales interactivos, sistemas de información, trámites e instrumentos de planeación asociados a las Subdirecciones d"/>
    <n v="57500000"/>
    <m/>
    <m/>
    <m/>
    <m/>
    <m/>
    <m/>
    <m/>
    <m/>
    <m/>
    <m/>
    <m/>
    <m/>
    <m/>
    <m/>
    <n v="7500000"/>
    <m/>
    <n v="10000000"/>
    <m/>
    <n v="10000000"/>
    <m/>
    <n v="10000000"/>
    <m/>
    <n v="20000000"/>
    <m/>
    <m/>
    <n v="57500000"/>
    <n v="57500000"/>
    <n v="0"/>
    <n v="0"/>
    <n v="29726"/>
    <d v="2026-01-14T00:00:00"/>
    <n v="55166667"/>
    <n v="2333333"/>
    <n v="16026"/>
    <d v="2026-01-22T00:00:00"/>
    <n v="55166667"/>
    <n v="2333333"/>
    <n v="0"/>
    <s v="ROJAS SOLORZANO OLGA LUCIA"/>
    <s v="CO1.PCCNTR.8992620"/>
    <n v="57500000"/>
    <m/>
    <m/>
    <m/>
    <m/>
    <m/>
    <n v="-2333333"/>
    <m/>
    <m/>
    <m/>
    <m/>
    <m/>
    <m/>
    <m/>
    <m/>
    <m/>
    <m/>
    <m/>
    <m/>
    <m/>
    <m/>
    <m/>
    <m/>
    <m/>
    <m/>
    <m/>
    <m/>
    <m/>
    <m/>
    <m/>
    <m/>
    <m/>
    <m/>
    <m/>
    <m/>
    <m/>
    <n v="55166667"/>
    <n v="0"/>
    <n v="0"/>
    <n v="55166667"/>
    <n v="0"/>
    <x v="0"/>
  </r>
  <r>
    <x v="0"/>
    <x v="7"/>
    <s v="Implementación de una solución integral para el acceso a los datos y a la información oportuna y de calidad del sector minero energético a nivel nacional"/>
    <s v="Gestión de la Información"/>
    <s v="Sí"/>
    <s v="Sí"/>
    <n v="68"/>
    <s v="131-49"/>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49 Prestación de servicios de apoyo técnico y funcional para la gestión, actualización, publicación y difusión de contenidos en los portales institucionales, micrositios e Intranet de la UPME, asegurando la accesibilidad de la información, la continui"/>
    <s v="Enero "/>
    <s v="Enero "/>
    <s v="Enero "/>
    <n v="11.5"/>
    <s v="Meses"/>
    <s v="Contratación directa - Prestación de servicios profesionales "/>
    <s v="Propios - 21 - Otros recursos de tesorería"/>
    <n v="50600000"/>
    <n v="50600000"/>
    <s v="No"/>
    <s v="N/A"/>
    <s v="Guillermo Holguin"/>
    <s v="Subdirector de Gestión de la Información"/>
    <n v="6012220601"/>
    <s v="guillermo.holguin@upme.gov.co"/>
    <n v="50600000"/>
    <n v="0"/>
    <n v="0"/>
    <n v="2200000"/>
    <n v="0"/>
    <n v="4400000"/>
    <n v="0"/>
    <n v="4400000"/>
    <n v="0"/>
    <n v="4400000"/>
    <n v="0"/>
    <n v="4400000"/>
    <n v="0"/>
    <n v="4400000"/>
    <n v="0"/>
    <n v="4400000"/>
    <n v="0"/>
    <n v="4400000"/>
    <n v="0"/>
    <n v="4400000"/>
    <n v="0"/>
    <n v="4400000"/>
    <n v="0"/>
    <n v="8800000"/>
    <n v="50600000"/>
    <n v="50600000"/>
    <n v="0"/>
    <n v="0"/>
    <s v="Prestación de servicios de apoyo técnico y funcional para la gestión, actualización, publicación y difusión de contenidos en los portales institucionales, micrositios e Intranet de la UPME, asegurando la accesibilidad de la información, la continuidad ope"/>
    <n v="50600000"/>
    <m/>
    <m/>
    <n v="2200000"/>
    <m/>
    <n v="4400000"/>
    <m/>
    <n v="4400000"/>
    <m/>
    <n v="4400000"/>
    <m/>
    <n v="4400000"/>
    <m/>
    <n v="4400000"/>
    <m/>
    <n v="4400000"/>
    <m/>
    <n v="4400000"/>
    <m/>
    <n v="4400000"/>
    <m/>
    <n v="4400000"/>
    <m/>
    <n v="8800000"/>
    <m/>
    <m/>
    <n v="50600000"/>
    <n v="50600000"/>
    <n v="0"/>
    <n v="0"/>
    <n v="15326"/>
    <d v="2026-01-09T00:00:00"/>
    <n v="50600000"/>
    <n v="0"/>
    <n v="31326"/>
    <d v="2026-01-29T00:00:00"/>
    <n v="50600000"/>
    <n v="0"/>
    <n v="0"/>
    <s v="CAMARGO BERNAL RICARDO ANTONIO"/>
    <s v="CO1.PCCNTR.9060712"/>
    <n v="50600000"/>
    <m/>
    <m/>
    <m/>
    <m/>
    <m/>
    <m/>
    <n v="4546667"/>
    <n v="4546667"/>
    <m/>
    <n v="4400000"/>
    <n v="4400000"/>
    <m/>
    <m/>
    <m/>
    <m/>
    <m/>
    <m/>
    <m/>
    <m/>
    <m/>
    <m/>
    <m/>
    <m/>
    <m/>
    <m/>
    <m/>
    <m/>
    <m/>
    <m/>
    <m/>
    <m/>
    <m/>
    <m/>
    <m/>
    <m/>
    <n v="50600000"/>
    <n v="8946667"/>
    <n v="8946667"/>
    <n v="41653333"/>
    <n v="0"/>
    <x v="0"/>
  </r>
  <r>
    <x v="0"/>
    <x v="7"/>
    <s v="Implementación de una solución integral para el acceso a los datos y a la información oportuna y de calidad del sector minero energético a nivel nacional"/>
    <s v="Gestión de la Información"/>
    <s v="Sí"/>
    <s v="Sí"/>
    <n v="68"/>
    <s v="131-50"/>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50 Prestación de servicios profesionales para el desarrollo, actualización, mantenimiento y mejora de las soluciones web, portales institucionales, aplicaciones y sistemas de información de la UPME, garantizando el cumplimiento de los estándares de ac"/>
    <s v="Enero "/>
    <s v="Enero "/>
    <s v="Enero "/>
    <n v="11"/>
    <s v="Meses"/>
    <s v="Contratación directa - Prestación de servicios profesionales "/>
    <s v="Propios - 21 - Otros recursos de tesorería"/>
    <n v="57750000"/>
    <n v="57750000"/>
    <s v="No"/>
    <s v="N/A"/>
    <s v="Guillermo Holguin"/>
    <s v="Subdirector de Gestión de la Información"/>
    <n v="6012220601"/>
    <s v="guillermo.holguin@upme.gov.co"/>
    <n v="57750000"/>
    <n v="0"/>
    <n v="0"/>
    <n v="1312500"/>
    <n v="0"/>
    <n v="5250000"/>
    <n v="0"/>
    <n v="5250000"/>
    <n v="0"/>
    <n v="5250000"/>
    <n v="0"/>
    <n v="5250000"/>
    <n v="0"/>
    <n v="5250000"/>
    <n v="0"/>
    <n v="5250000"/>
    <n v="0"/>
    <n v="5250000"/>
    <n v="0"/>
    <n v="5250000"/>
    <n v="0"/>
    <n v="5250000"/>
    <n v="0"/>
    <n v="9187500"/>
    <n v="57750000"/>
    <n v="57750000"/>
    <n v="0"/>
    <n v="0"/>
    <s v="Prestación de servicios profesionales para el desarrollo, actualización, mantenimiento y mejora de las soluciones web, portales institucionales, aplicaciones y sistemas de información de la UPME, garantizando el cumplimiento de los estándares de accesibil"/>
    <n v="57750000"/>
    <m/>
    <m/>
    <n v="1312500"/>
    <m/>
    <n v="5250000"/>
    <m/>
    <n v="5250000"/>
    <m/>
    <n v="5250000"/>
    <m/>
    <n v="5250000"/>
    <m/>
    <n v="5250000"/>
    <m/>
    <n v="5250000"/>
    <m/>
    <n v="5250000"/>
    <m/>
    <n v="5250000"/>
    <m/>
    <n v="5250000"/>
    <m/>
    <n v="9187500"/>
    <m/>
    <m/>
    <n v="57750000"/>
    <n v="57750000"/>
    <n v="0"/>
    <n v="0"/>
    <n v="29826"/>
    <d v="2026-01-14T00:00:00"/>
    <n v="57750000"/>
    <n v="0"/>
    <n v="33026"/>
    <d v="2026-01-29T00:00:00"/>
    <n v="57750000"/>
    <n v="0"/>
    <n v="0"/>
    <s v="BELTRAN MEZA JOSE FABIAN"/>
    <s v="CO1.PCCNTR.8994207"/>
    <n v="57750000"/>
    <m/>
    <m/>
    <m/>
    <m/>
    <m/>
    <m/>
    <n v="5425000"/>
    <n v="5425000"/>
    <m/>
    <n v="5250000"/>
    <n v="5250000"/>
    <m/>
    <m/>
    <m/>
    <m/>
    <m/>
    <m/>
    <m/>
    <m/>
    <m/>
    <m/>
    <m/>
    <m/>
    <m/>
    <m/>
    <m/>
    <m/>
    <m/>
    <m/>
    <m/>
    <m/>
    <m/>
    <m/>
    <m/>
    <m/>
    <n v="57750000"/>
    <n v="10675000"/>
    <n v="10675000"/>
    <n v="47075000"/>
    <n v="0"/>
    <x v="0"/>
  </r>
  <r>
    <x v="0"/>
    <x v="7"/>
    <s v="Implementación de una solución integral para el acceso a los datos y a la información oportuna y de calidad del sector minero energético a nivel nacional"/>
    <s v="Gestión de la Información"/>
    <s v="Sí"/>
    <s v="Sí"/>
    <n v="68"/>
    <s v="131-51"/>
    <s v="Implementar una adecuada estrategia de comunicación y divulgación de la información del sector minero energético."/>
    <s v="Servicio de Información Implementado para la Accesibilidad Sectorial"/>
    <s v="Pruebas y aseguramiento de calidad."/>
    <n v="81112103"/>
    <s v="C-2106-1900-14-53105B-2106034-02"/>
    <s v="Software - Licencias"/>
    <s v="131-51 Adquirir el licenciamiento de un conjunto de herramientas digitales destinadas al diseño de interfaces gráficas, así como al desarrollo y la optimización en la gestión de contenidos web de la Unidad de Planeación Minero Energética (UPME)."/>
    <s v="Octubre"/>
    <s v="Octubre"/>
    <s v="Noviembre"/>
    <n v="12"/>
    <s v="Meses"/>
    <s v="Contratación directa - Contratos menor cuantía"/>
    <s v="Propios - 21 - Otros recursos de tesorería"/>
    <n v="30000000"/>
    <n v="30000000"/>
    <s v="No"/>
    <s v="N/A"/>
    <s v="Guillermo Holguin"/>
    <s v="Subdirector de Gestión de la Información"/>
    <n v="6012220601"/>
    <s v="guillermo.holguin@upme.gov.co"/>
    <n v="0"/>
    <n v="0"/>
    <n v="0"/>
    <n v="0"/>
    <n v="0"/>
    <n v="0"/>
    <n v="0"/>
    <n v="0"/>
    <n v="0"/>
    <n v="0"/>
    <n v="0"/>
    <n v="0"/>
    <n v="0"/>
    <n v="0"/>
    <n v="0"/>
    <n v="0"/>
    <n v="0"/>
    <n v="0"/>
    <n v="0"/>
    <n v="0"/>
    <n v="30000000"/>
    <n v="0"/>
    <n v="0"/>
    <n v="30000000"/>
    <n v="30000000"/>
    <n v="30000000"/>
    <n v="0"/>
    <n v="0"/>
    <s v="Adquirir el licenciamiento de un conjunto de herramientas digitales destinadas al diseño de interfaces gráficas, así como al desarrollo y la optimización en la gestión de contenidos web de la Unidad de Planeación Minero Energética (UPME)."/>
    <m/>
    <m/>
    <m/>
    <m/>
    <m/>
    <m/>
    <m/>
    <m/>
    <m/>
    <m/>
    <m/>
    <m/>
    <m/>
    <m/>
    <m/>
    <m/>
    <m/>
    <m/>
    <m/>
    <m/>
    <n v="30000000"/>
    <m/>
    <m/>
    <n v="30000000"/>
    <m/>
    <m/>
    <n v="30000000"/>
    <n v="30000000"/>
    <n v="0"/>
    <n v="0"/>
    <m/>
    <m/>
    <m/>
    <n v="30000000"/>
    <m/>
    <m/>
    <n v="0"/>
    <n v="300000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8"/>
    <s v="131-52"/>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52 Prestación de servicios profesionales para apoyar en la identificación, caracterización técnica y metodológica de nuevos registros administrativos con potencial estadístico, así como el acompañamiento en la implementación de las fases del proceso e"/>
    <s v="Enero "/>
    <s v="Enero "/>
    <s v="Enero "/>
    <n v="11"/>
    <s v="Meses"/>
    <s v="Contratación directa - Prestación de servicios profesionales "/>
    <s v="Propios - 21 - Otros recursos de tesorería"/>
    <n v="53350000"/>
    <n v="53350000"/>
    <s v="No"/>
    <s v="N/A"/>
    <s v="Guillermo Holguin"/>
    <s v="Subdirector de Gestión de la Información"/>
    <n v="6012220601"/>
    <s v="guillermo.holguin@upme.gov.co"/>
    <n v="0"/>
    <n v="0"/>
    <n v="53350000"/>
    <n v="0"/>
    <n v="0"/>
    <n v="4850000"/>
    <n v="0"/>
    <n v="4850000"/>
    <n v="0"/>
    <n v="4850000"/>
    <n v="0"/>
    <n v="4850000"/>
    <n v="0"/>
    <n v="4850000"/>
    <n v="0"/>
    <n v="4850000"/>
    <n v="0"/>
    <n v="4850000"/>
    <n v="0"/>
    <n v="4850000"/>
    <n v="0"/>
    <n v="4850000"/>
    <n v="0"/>
    <n v="9700000"/>
    <n v="53350000"/>
    <n v="53350000"/>
    <n v="0"/>
    <n v="0"/>
    <s v="Prestación de servicios profesionales para apoyar en la identificación, caracterización técnica y metodológica de nuevos registros administrativos con potencial estadístico, así como el acompañamiento en la implementación de las fases del proceso estadíst"/>
    <m/>
    <m/>
    <n v="53350000"/>
    <m/>
    <m/>
    <n v="4850000"/>
    <m/>
    <n v="4850000"/>
    <m/>
    <n v="4850000"/>
    <m/>
    <n v="4850000"/>
    <m/>
    <n v="4850000"/>
    <m/>
    <n v="4850000"/>
    <m/>
    <n v="4850000"/>
    <m/>
    <n v="4850000"/>
    <m/>
    <n v="4850000"/>
    <m/>
    <n v="9700000"/>
    <m/>
    <m/>
    <n v="53350000"/>
    <n v="53350000"/>
    <n v="0"/>
    <n v="0"/>
    <n v="57126"/>
    <d v="2026-01-22T00:00:00"/>
    <n v="52703333"/>
    <n v="646667"/>
    <n v="39526"/>
    <d v="2026-02-03T00:00:00"/>
    <n v="52703333"/>
    <n v="646667"/>
    <n v="0"/>
    <s v="SIERRA CANTOR CLAUDIA"/>
    <s v="CO1.PCCNTR.9190165"/>
    <m/>
    <m/>
    <m/>
    <n v="53350000"/>
    <m/>
    <m/>
    <n v="-646667"/>
    <n v="4203333"/>
    <n v="4203333"/>
    <m/>
    <n v="4850000"/>
    <n v="4850000"/>
    <m/>
    <m/>
    <m/>
    <m/>
    <m/>
    <m/>
    <m/>
    <m/>
    <m/>
    <m/>
    <m/>
    <m/>
    <m/>
    <m/>
    <m/>
    <m/>
    <m/>
    <m/>
    <m/>
    <m/>
    <m/>
    <m/>
    <m/>
    <m/>
    <n v="52703333"/>
    <n v="9053333"/>
    <n v="9053333"/>
    <n v="43650000"/>
    <n v="0"/>
    <x v="0"/>
  </r>
  <r>
    <x v="0"/>
    <x v="7"/>
    <s v="Implementación de una solución integral para el acceso a los datos y a la información oportuna y de calidad del sector minero energético a nivel nacional"/>
    <s v="Gestión de la Información"/>
    <s v="Sí"/>
    <s v="Sí"/>
    <n v="68"/>
    <s v="131-53"/>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53 Prestación de servicios profesionales para el mantenimiento, administración, optimización y aseguramiento de la calidad de la Base de Datos Geográfica Corporativa (EGDBUPME), garantizando la integridad, interoperabilidad, seguridad y disponibilidad"/>
    <s v="Enero "/>
    <s v="Enero "/>
    <s v="Enero "/>
    <n v="11"/>
    <s v="Meses"/>
    <s v="Contratación directa - Prestación de servicios profesionales "/>
    <s v="Propios - 21 - Otros recursos de tesorería"/>
    <n v="95700000"/>
    <n v="95700000"/>
    <s v="No"/>
    <s v="N/A"/>
    <s v="Guillermo Holguin"/>
    <s v="Subdirector de Gestión de la Información"/>
    <n v="6012220601"/>
    <s v="guillermo.holguin@upme.gov.co"/>
    <n v="95700000"/>
    <n v="0"/>
    <n v="0"/>
    <n v="2175000"/>
    <n v="0"/>
    <n v="8700000"/>
    <n v="0"/>
    <n v="8700000"/>
    <n v="0"/>
    <n v="8700000"/>
    <n v="0"/>
    <n v="8700000"/>
    <n v="0"/>
    <n v="8700000"/>
    <n v="0"/>
    <n v="8700000"/>
    <n v="0"/>
    <n v="8700000"/>
    <n v="0"/>
    <n v="8700000"/>
    <n v="0"/>
    <n v="8700000"/>
    <n v="0"/>
    <n v="15225000"/>
    <n v="95700000"/>
    <n v="95700000"/>
    <n v="0"/>
    <n v="0"/>
    <s v="Prestación de servicios profesionales para el mantenimiento, administración, optimización y aseguramiento de la calidad de la Base de Datos Geográfica Corporativa (EGDBUPME), garantizando la integridad, interoperabilidad, seguridad y disponibilidad de la "/>
    <n v="95700000"/>
    <m/>
    <m/>
    <n v="2175000"/>
    <m/>
    <n v="8700000"/>
    <m/>
    <n v="8700000"/>
    <m/>
    <n v="8700000"/>
    <m/>
    <n v="8700000"/>
    <m/>
    <n v="8700000"/>
    <m/>
    <n v="8700000"/>
    <m/>
    <n v="8700000"/>
    <m/>
    <n v="8700000"/>
    <m/>
    <n v="8700000"/>
    <m/>
    <n v="15225000"/>
    <m/>
    <m/>
    <n v="95700000"/>
    <n v="95700000"/>
    <n v="0"/>
    <n v="0"/>
    <n v="29626"/>
    <d v="2026-01-14T00:00:00"/>
    <n v="95410000"/>
    <n v="290000"/>
    <n v="35626"/>
    <d v="2026-01-30T00:00:00"/>
    <n v="95410000"/>
    <n v="290000"/>
    <n v="0"/>
    <s v="DELGADO LOPEZ HERMES JOHANN"/>
    <s v="CO1.PCCNTR.9178180"/>
    <n v="95700000"/>
    <m/>
    <m/>
    <m/>
    <m/>
    <m/>
    <m/>
    <n v="8410000"/>
    <n v="8410000"/>
    <n v="-290000"/>
    <n v="8700000"/>
    <n v="8700000"/>
    <m/>
    <m/>
    <m/>
    <m/>
    <m/>
    <m/>
    <m/>
    <m/>
    <m/>
    <m/>
    <m/>
    <m/>
    <m/>
    <m/>
    <m/>
    <m/>
    <m/>
    <m/>
    <m/>
    <m/>
    <m/>
    <m/>
    <m/>
    <m/>
    <n v="95410000"/>
    <n v="17110000"/>
    <n v="17110000"/>
    <n v="78300000"/>
    <n v="0"/>
    <x v="0"/>
  </r>
  <r>
    <x v="0"/>
    <x v="7"/>
    <s v="Implementación de una solución integral para el acceso a los datos y a la información oportuna y de calidad del sector minero energético a nivel nacional"/>
    <s v="Gestión de la Información"/>
    <s v="Sí"/>
    <s v="Sí"/>
    <n v="1"/>
    <s v="131-54"/>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54 Prestación de servicios profesionales para al análisis y validación de la información territorial y normativa (POT, POMCA, áreas protegidas, catastro multipropósito y demás instrumentos de ordenamiento), integrándose a los análisis SIG de la UPME p"/>
    <s v="Enero "/>
    <s v="Enero "/>
    <s v="Enero "/>
    <n v="11"/>
    <s v="Meses"/>
    <s v="Contratación directa - Prestación de servicios profesionales "/>
    <s v="Propios - 21 - Otros recursos de tesorería"/>
    <n v="72600000"/>
    <n v="72600000"/>
    <s v="No"/>
    <s v="N/A"/>
    <s v="Guillermo Holguin"/>
    <s v="Subdirector de Gestión de la Información"/>
    <n v="6012220601"/>
    <s v="guillermo.holguin@upme.gov.co"/>
    <n v="0"/>
    <n v="0"/>
    <n v="72600000"/>
    <n v="0"/>
    <n v="0"/>
    <n v="6600000"/>
    <n v="0"/>
    <n v="6600000"/>
    <n v="0"/>
    <n v="6600000"/>
    <n v="0"/>
    <n v="6600000"/>
    <n v="0"/>
    <n v="6600000"/>
    <n v="0"/>
    <n v="6600000"/>
    <n v="0"/>
    <n v="6600000"/>
    <n v="0"/>
    <n v="6600000"/>
    <n v="0"/>
    <n v="6600000"/>
    <n v="0"/>
    <n v="13200000"/>
    <n v="72600000"/>
    <n v="72600000"/>
    <n v="0"/>
    <n v="0"/>
    <s v="Prestación de servicios profesionales para al análisis y validación de la información territorial y normativa (POT, POMCA, áreas protegidas, catastro multipropósito y demás instrumentos de ordenamiento), integrándose a los análisis SIG de la UPME para gar"/>
    <m/>
    <m/>
    <n v="72600000"/>
    <m/>
    <m/>
    <n v="6600000"/>
    <m/>
    <n v="6600000"/>
    <m/>
    <n v="6600000"/>
    <m/>
    <n v="6600000"/>
    <m/>
    <n v="6600000"/>
    <m/>
    <n v="6600000"/>
    <m/>
    <n v="6600000"/>
    <m/>
    <n v="6600000"/>
    <m/>
    <n v="6600000"/>
    <m/>
    <n v="13200000"/>
    <m/>
    <m/>
    <n v="72600000"/>
    <n v="72600000"/>
    <n v="0"/>
    <n v="0"/>
    <n v="31526"/>
    <d v="2026-01-14T00:00:00"/>
    <n v="71940000"/>
    <n v="660000"/>
    <n v="39026"/>
    <d v="2026-02-03T00:00:00"/>
    <n v="71940000"/>
    <n v="660000"/>
    <n v="0"/>
    <s v="SIERRA OCHOA MANUEL SANTIAGO"/>
    <s v="CO1.PCCNTR.9189741"/>
    <m/>
    <m/>
    <m/>
    <n v="72600000"/>
    <m/>
    <m/>
    <m/>
    <n v="5940000"/>
    <n v="5940000"/>
    <n v="-660000"/>
    <n v="6600000"/>
    <n v="6600000"/>
    <m/>
    <m/>
    <m/>
    <m/>
    <m/>
    <m/>
    <m/>
    <m/>
    <m/>
    <m/>
    <m/>
    <m/>
    <m/>
    <m/>
    <m/>
    <m/>
    <m/>
    <m/>
    <m/>
    <m/>
    <m/>
    <m/>
    <m/>
    <m/>
    <n v="71940000"/>
    <n v="12540000"/>
    <n v="12540000"/>
    <n v="59400000"/>
    <n v="0"/>
    <x v="0"/>
  </r>
  <r>
    <x v="0"/>
    <x v="7"/>
    <s v="Implementación de una solución integral para el acceso a los datos y a la información oportuna y de calidad del sector minero energético a nivel nacional"/>
    <s v="Gestión de la Información"/>
    <s v="Sí"/>
    <s v="Sí"/>
    <n v="68"/>
    <s v="131-55"/>
    <s v="Implementar una adecuada estrategia de comunicación y divulgación de la información del sector minero energético."/>
    <s v="Servicio de Información Implementado para la Accesibilidad Sectorial"/>
    <s v="Pruebas y aseguramiento de calidad."/>
    <n v="43232605"/>
    <s v="C-2106-1900-14-53105B-2106034-02"/>
    <s v="Software - Licencias"/>
    <s v="131-55 Actualizar y renovar el licenciamiento ESRI."/>
    <s v="Junio"/>
    <s v="Junio"/>
    <s v="Junio"/>
    <n v="12"/>
    <s v="Meses"/>
    <s v="Seléccion abreviada - acuerdo marco"/>
    <s v="Propios - 21 - Otros recursos de tesorería"/>
    <n v="50000000"/>
    <n v="50000000"/>
    <s v="No"/>
    <s v="N/A"/>
    <s v="Guillermo Holguin"/>
    <s v="Subdirector de Gestión de la Información"/>
    <n v="6012220601"/>
    <s v="guillermo.holguin@upme.gov.co"/>
    <n v="0"/>
    <n v="0"/>
    <n v="0"/>
    <n v="0"/>
    <n v="0"/>
    <n v="0"/>
    <n v="0"/>
    <n v="0"/>
    <n v="0"/>
    <n v="0"/>
    <n v="0"/>
    <n v="0"/>
    <n v="50000000"/>
    <n v="0"/>
    <n v="0"/>
    <n v="0"/>
    <n v="0"/>
    <n v="0"/>
    <n v="0"/>
    <n v="0"/>
    <n v="0"/>
    <n v="0"/>
    <n v="0"/>
    <n v="50000000"/>
    <n v="50000000"/>
    <n v="50000000"/>
    <n v="0"/>
    <n v="0"/>
    <s v="Actualizar y renovar el licenciamiento ESRI."/>
    <m/>
    <m/>
    <m/>
    <m/>
    <m/>
    <m/>
    <m/>
    <m/>
    <m/>
    <m/>
    <m/>
    <m/>
    <n v="50000000"/>
    <m/>
    <m/>
    <m/>
    <m/>
    <m/>
    <m/>
    <m/>
    <m/>
    <m/>
    <m/>
    <n v="50000000"/>
    <m/>
    <m/>
    <n v="50000000"/>
    <n v="50000000"/>
    <n v="0"/>
    <n v="0"/>
    <m/>
    <m/>
    <m/>
    <n v="50000000"/>
    <m/>
    <m/>
    <n v="0"/>
    <n v="500000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
    <s v="131-56"/>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56 Prestación de servicios de apoyo a la gestión para la recolección y procesamiento de material audiovisual requerido para los sistemas de información y las comunicaciones institucionales"/>
    <s v="Enero "/>
    <s v="Enero "/>
    <s v="Enero "/>
    <n v="11"/>
    <s v="Meses"/>
    <s v="Contratación directa - Prestación de servicios profesionales "/>
    <s v="Propios - 21 - Otros recursos de tesorería"/>
    <n v="15702144"/>
    <n v="15702144"/>
    <s v="No"/>
    <s v="N/A"/>
    <s v="Guillermo Holguin"/>
    <s v="Subdirector de Gestión de la Información"/>
    <n v="6012220601"/>
    <s v="guillermo.holguin@upme.gov.co"/>
    <n v="15702144"/>
    <n v="0"/>
    <n v="0"/>
    <n v="0"/>
    <n v="0"/>
    <n v="0"/>
    <n v="0"/>
    <n v="0"/>
    <n v="0"/>
    <n v="0"/>
    <n v="0"/>
    <n v="0"/>
    <n v="0"/>
    <n v="0"/>
    <n v="0"/>
    <n v="0"/>
    <n v="0"/>
    <n v="0"/>
    <n v="0"/>
    <n v="1035477"/>
    <n v="0"/>
    <n v="5000000"/>
    <n v="0"/>
    <n v="9666667"/>
    <n v="15702144"/>
    <n v="15702144"/>
    <n v="0"/>
    <n v="0"/>
    <s v="Prestación de servicios de apoyo a la gestión para la recolección y procesamiento de material audiovisual requerido para los sistemas de información y las comunicaciones institucionales"/>
    <n v="15702144"/>
    <m/>
    <m/>
    <m/>
    <m/>
    <m/>
    <m/>
    <m/>
    <m/>
    <m/>
    <m/>
    <m/>
    <m/>
    <m/>
    <m/>
    <m/>
    <m/>
    <m/>
    <m/>
    <n v="1035477"/>
    <m/>
    <n v="5000000"/>
    <m/>
    <n v="9666667"/>
    <m/>
    <m/>
    <n v="15702144"/>
    <n v="15702144"/>
    <n v="0"/>
    <n v="0"/>
    <n v="24526"/>
    <d v="2026-01-13T00:00:00"/>
    <n v="15702144"/>
    <n v="0"/>
    <n v="20426"/>
    <d v="2026-01-26T00:00:00"/>
    <n v="15702144"/>
    <n v="0"/>
    <n v="0"/>
    <s v="CASTILLA ACEVEDO JOSE FERNANDO"/>
    <s v="CO1.PCCNTR.9034108"/>
    <n v="15702144"/>
    <m/>
    <m/>
    <m/>
    <m/>
    <m/>
    <m/>
    <n v="5666667"/>
    <n v="5666667"/>
    <m/>
    <m/>
    <m/>
    <m/>
    <m/>
    <m/>
    <m/>
    <m/>
    <m/>
    <m/>
    <m/>
    <m/>
    <m/>
    <m/>
    <m/>
    <m/>
    <m/>
    <m/>
    <m/>
    <m/>
    <m/>
    <m/>
    <m/>
    <m/>
    <m/>
    <m/>
    <m/>
    <n v="15702144"/>
    <n v="5666667"/>
    <n v="5666667"/>
    <n v="10035477"/>
    <n v="0"/>
    <x v="0"/>
  </r>
  <r>
    <x v="0"/>
    <x v="7"/>
    <s v="Implementación de una solución integral para el acceso a los datos y a la información oportuna y de calidad del sector minero energético a nivel nacional"/>
    <s v="Gestión de la Información"/>
    <s v="Sí"/>
    <s v="Sí"/>
    <n v="22"/>
    <s v="131-57"/>
    <s v="Implementar una adecuada estrategia de comunicación y divulgación de la información del sector minero energético."/>
    <s v="Servicio de Información Implementado para la Accesibilidad Sectorial"/>
    <s v="Pruebas y aseguramiento de calidad."/>
    <n v="81112003"/>
    <s v="C-2106-1900-14-53105B-2106034-02"/>
    <s v="Software - Licencias"/>
    <s v="131-57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1 - Otros recursos de tesorería"/>
    <n v="73467716"/>
    <n v="73467716"/>
    <s v="No"/>
    <s v="N/A"/>
    <s v="Guillermo Holguin"/>
    <s v="Subdirector de Gestión de la Información"/>
    <n v="6012220601"/>
    <s v="guillermo.holguin@upme.gov.co"/>
    <n v="0"/>
    <n v="0"/>
    <n v="0"/>
    <n v="0"/>
    <n v="0"/>
    <n v="0"/>
    <n v="73467716"/>
    <n v="0"/>
    <n v="0"/>
    <n v="73467716"/>
    <n v="0"/>
    <n v="0"/>
    <n v="0"/>
    <n v="0"/>
    <n v="0"/>
    <n v="0"/>
    <n v="0"/>
    <n v="0"/>
    <n v="0"/>
    <n v="0"/>
    <n v="0"/>
    <n v="0"/>
    <n v="0"/>
    <n v="0"/>
    <n v="73467716"/>
    <n v="73467716"/>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73467716"/>
    <n v="0"/>
    <n v="0"/>
    <n v="0"/>
    <n v="0"/>
    <n v="73467716"/>
    <n v="0"/>
    <n v="0"/>
    <n v="0"/>
    <n v="0"/>
    <n v="0"/>
    <n v="0"/>
    <n v="0"/>
    <n v="0"/>
    <n v="0"/>
    <n v="0"/>
    <m/>
    <m/>
    <n v="73467716"/>
    <n v="73467716"/>
    <n v="0"/>
    <n v="0"/>
    <m/>
    <m/>
    <m/>
    <n v="73467716"/>
    <m/>
    <m/>
    <n v="0"/>
    <n v="73467716"/>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8"/>
    <s v="131-58"/>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58 Prestar servicios profesionales para la gestión de las fases contractuales de la entidad, con especial énfasis en los asuntos relativos a la Subdirección de Gestión de la Información, en asocio con el GIT de Gestión Contractual."/>
    <s v="Enero "/>
    <s v="Enero "/>
    <s v="Enero "/>
    <n v="6"/>
    <s v="Meses"/>
    <s v="Contratación directa - Prestación de servicios profesionales "/>
    <s v="Propios - 21 - Otros recursos de tesorería"/>
    <n v="27422400"/>
    <n v="27422400"/>
    <s v="No"/>
    <s v="N/A"/>
    <s v="Guillermo Holguin"/>
    <s v="Subdirector de Gestión de la Información"/>
    <n v="6012220601"/>
    <s v="guillermo.holguin@upme.gov.co"/>
    <n v="27422400"/>
    <n v="0"/>
    <n v="0"/>
    <n v="422400"/>
    <n v="0"/>
    <n v="3250000"/>
    <n v="0"/>
    <n v="5000000"/>
    <n v="0"/>
    <n v="5000000"/>
    <n v="0"/>
    <n v="5000000"/>
    <n v="0"/>
    <n v="5000000"/>
    <n v="0"/>
    <n v="3750000"/>
    <n v="0"/>
    <n v="0"/>
    <n v="0"/>
    <n v="0"/>
    <n v="0"/>
    <n v="0"/>
    <n v="0"/>
    <n v="0"/>
    <n v="27422400"/>
    <n v="27422400"/>
    <n v="0"/>
    <n v="0"/>
    <s v="Prestar servicios profesionales para la gestión de las fases contractuales de la entidad, con especial énfasis en los asuntos relativos a la Subdirección de Gestión de la Información, en asocio con el GIT de Gestión Contractual."/>
    <n v="27422400"/>
    <m/>
    <m/>
    <n v="422400"/>
    <m/>
    <n v="3250000"/>
    <m/>
    <n v="5000000"/>
    <m/>
    <n v="5000000"/>
    <m/>
    <n v="5000000"/>
    <m/>
    <n v="5000000"/>
    <m/>
    <n v="3750000"/>
    <m/>
    <m/>
    <m/>
    <m/>
    <m/>
    <m/>
    <m/>
    <m/>
    <m/>
    <m/>
    <n v="27422400"/>
    <n v="27422400"/>
    <n v="0"/>
    <n v="0"/>
    <n v="9426"/>
    <d v="2026-01-06T00:00:00"/>
    <n v="27422400"/>
    <n v="0"/>
    <n v="3026"/>
    <d v="2026-01-09T00:00:00"/>
    <n v="27422400"/>
    <n v="0"/>
    <n v="0"/>
    <s v="PINZON LEYVA MARIA DEL PILAR"/>
    <s v="CO1.PCCNTR.8786301"/>
    <n v="27422400"/>
    <m/>
    <m/>
    <m/>
    <m/>
    <m/>
    <m/>
    <n v="8000000"/>
    <n v="8000000"/>
    <m/>
    <n v="5000000"/>
    <n v="5000000"/>
    <m/>
    <m/>
    <m/>
    <m/>
    <m/>
    <m/>
    <m/>
    <m/>
    <m/>
    <m/>
    <m/>
    <m/>
    <m/>
    <m/>
    <m/>
    <m/>
    <m/>
    <m/>
    <m/>
    <m/>
    <m/>
    <m/>
    <m/>
    <m/>
    <n v="27422400"/>
    <n v="13000000"/>
    <n v="13000000"/>
    <n v="14422400"/>
    <n v="0"/>
    <x v="0"/>
  </r>
  <r>
    <x v="0"/>
    <x v="7"/>
    <s v="Implementación de una solución integral para el acceso a los datos y a la información oportuna y de calidad del sector minero energético a nivel nacional"/>
    <s v="Gestión de la Información"/>
    <s v="Sí"/>
    <s v="Sí"/>
    <n v="68"/>
    <s v="131-59"/>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59 Prestación de servicios profesionales para la gestión contractual de la entidad garantizando el cumplimiento de las disposiciones legales e institucionales."/>
    <s v="Enero "/>
    <s v="Enero "/>
    <s v="Enero "/>
    <n v="11.5"/>
    <s v="Meses"/>
    <s v="Contratación directa - Prestación de servicios profesionales "/>
    <s v="Propios - 21 - Otros recursos de tesorería"/>
    <n v="77357740"/>
    <n v="77357740"/>
    <s v="No"/>
    <s v="N/A"/>
    <s v="Guillermo Holguin"/>
    <s v="Subdirector de Gestión de la Información"/>
    <n v="6012220601"/>
    <s v="guillermo.holguin@upme.gov.co"/>
    <n v="77357740"/>
    <n v="0"/>
    <n v="0"/>
    <n v="3363380"/>
    <n v="0"/>
    <n v="6726760"/>
    <n v="0"/>
    <n v="6726760"/>
    <n v="0"/>
    <n v="6726760"/>
    <n v="0"/>
    <n v="6726760"/>
    <n v="0"/>
    <n v="6726760"/>
    <n v="0"/>
    <n v="6726760"/>
    <n v="0"/>
    <n v="6726760"/>
    <n v="0"/>
    <n v="6726760"/>
    <n v="0"/>
    <n v="6726760"/>
    <n v="0"/>
    <n v="13453520"/>
    <n v="77357740"/>
    <n v="77357740"/>
    <n v="0"/>
    <n v="0"/>
    <s v="Prestación de servicios profesionales para la gestión contractual de la entidad garantizando el cumplimiento de las disposiciones legales e institucionales."/>
    <n v="77357740"/>
    <m/>
    <m/>
    <n v="3363380"/>
    <m/>
    <n v="6726760"/>
    <m/>
    <n v="6726760"/>
    <m/>
    <n v="6726760"/>
    <m/>
    <n v="6726760"/>
    <m/>
    <n v="6726760"/>
    <m/>
    <n v="6726760"/>
    <m/>
    <n v="6726760"/>
    <m/>
    <n v="6726760"/>
    <m/>
    <n v="6726760"/>
    <m/>
    <n v="13453520"/>
    <m/>
    <m/>
    <n v="77357740"/>
    <n v="77357740"/>
    <n v="0"/>
    <n v="0"/>
    <n v="6426"/>
    <d v="2026-01-06T00:00:00"/>
    <n v="77357740"/>
    <n v="0"/>
    <n v="4226"/>
    <d v="2026-01-09T00:00:00"/>
    <n v="77357740"/>
    <n v="0"/>
    <n v="0"/>
    <s v="RESTREPO ORJUELA SANTIAGO"/>
    <s v="CO1.PCCNTR.8790677"/>
    <n v="77357740"/>
    <m/>
    <m/>
    <m/>
    <n v="4036056"/>
    <n v="4036056"/>
    <m/>
    <n v="6726760"/>
    <n v="6726760"/>
    <m/>
    <n v="6726760"/>
    <n v="6726760"/>
    <m/>
    <m/>
    <m/>
    <m/>
    <m/>
    <m/>
    <m/>
    <m/>
    <m/>
    <m/>
    <m/>
    <m/>
    <m/>
    <m/>
    <m/>
    <m/>
    <m/>
    <m/>
    <m/>
    <m/>
    <m/>
    <m/>
    <m/>
    <m/>
    <n v="77357740"/>
    <n v="17489576"/>
    <n v="17489576"/>
    <n v="59868164"/>
    <n v="0"/>
    <x v="0"/>
  </r>
  <r>
    <x v="0"/>
    <x v="7"/>
    <s v="Implementación de una solución integral para el acceso a los datos y a la información oportuna y de calidad del sector minero energético a nivel nacional"/>
    <s v="Gestión de la Información"/>
    <s v="Sí"/>
    <s v="Sí"/>
    <n v="7"/>
    <s v="131-60"/>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s v="Prestación de servicios profesionales y/o de apoyo a la gestión"/>
    <s v="131-60 Prestación de servicios profesionales en marketing para la gestión administrativa integral del equipo de comunicaciones de la UPME, asegurando la operatividad, trazabilidad y calidad de sus procesos internos y acciones de comunicación, en cumplimie"/>
    <s v="Enero "/>
    <s v="Enero "/>
    <s v="Enero "/>
    <n v="11"/>
    <s v="Meses"/>
    <s v="Contratación directa - Prestación de servicios profesionales "/>
    <s v="Propios - 21 - Otros recursos de tesorería"/>
    <n v="88000000"/>
    <n v="88000000"/>
    <s v="No"/>
    <s v="N/A"/>
    <s v="Guillermo Holguin"/>
    <s v="Subdirector de Gestión de la Información"/>
    <n v="6012220601"/>
    <s v="guillermo.holguin@upme.gov.co"/>
    <n v="0"/>
    <n v="0"/>
    <n v="88000000"/>
    <n v="0"/>
    <n v="0"/>
    <n v="8000000"/>
    <n v="0"/>
    <n v="8000000"/>
    <n v="0"/>
    <n v="8000000"/>
    <n v="0"/>
    <n v="8000000"/>
    <n v="0"/>
    <n v="8000000"/>
    <n v="0"/>
    <n v="8000000"/>
    <n v="0"/>
    <n v="8000000"/>
    <n v="0"/>
    <n v="8000000"/>
    <n v="0"/>
    <n v="8000000"/>
    <n v="0"/>
    <n v="16000000"/>
    <n v="88000000"/>
    <n v="88000000"/>
    <n v="0"/>
    <n v="0"/>
    <s v="Prestación de servicios profesionales en marketing para la gestión administrativa integral del equipo de comunicaciones de la UPME, asegurando la operatividad, trazabilidad y calidad de sus procesos internos y acciones de comunicación, en cumplimiento de "/>
    <m/>
    <m/>
    <n v="88000000"/>
    <m/>
    <m/>
    <n v="8000000"/>
    <m/>
    <n v="8000000"/>
    <m/>
    <n v="8000000"/>
    <m/>
    <n v="8000000"/>
    <m/>
    <n v="8000000"/>
    <m/>
    <n v="8000000"/>
    <m/>
    <n v="8000000"/>
    <m/>
    <n v="8000000"/>
    <m/>
    <n v="8000000"/>
    <m/>
    <n v="16000000"/>
    <m/>
    <m/>
    <n v="88000000"/>
    <n v="88000000"/>
    <n v="0"/>
    <n v="0"/>
    <n v="65326"/>
    <d v="2026-01-26T00:00:00"/>
    <n v="88000000"/>
    <n v="0"/>
    <n v="56926"/>
    <d v="2026-02-10T00:00:00"/>
    <n v="88000000"/>
    <n v="0"/>
    <n v="0"/>
    <s v="LUISA CARVAJAL"/>
    <s v="CO1.PCCNTR.9301618"/>
    <m/>
    <m/>
    <m/>
    <n v="88000000"/>
    <m/>
    <m/>
    <m/>
    <n v="5333333"/>
    <n v="5333333"/>
    <m/>
    <n v="8000000"/>
    <n v="8000000"/>
    <m/>
    <m/>
    <m/>
    <m/>
    <m/>
    <m/>
    <m/>
    <m/>
    <m/>
    <m/>
    <m/>
    <m/>
    <m/>
    <m/>
    <m/>
    <m/>
    <m/>
    <m/>
    <m/>
    <m/>
    <m/>
    <m/>
    <m/>
    <m/>
    <n v="88000000"/>
    <n v="13333333"/>
    <n v="13333333"/>
    <n v="74666667"/>
    <n v="0"/>
    <x v="0"/>
  </r>
  <r>
    <x v="0"/>
    <x v="7"/>
    <s v="Implementación de una solución integral para el acceso a los datos y a la información oportuna y de calidad del sector minero energético a nivel nacional"/>
    <s v="Gestión de la Información"/>
    <s v="Sí"/>
    <s v="Sí"/>
    <n v="6"/>
    <s v="131-61"/>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s v="Prestación de servicios profesionales y/o de apoyo a la gestión"/>
    <s v="131-61 Prestación de servicios profesionales para la recopilación, análisis, depuración y reporte de datos y planes minerenergéticos, con especial énfasis en variables hidrocarburíferas a nivel nacional e internacional."/>
    <s v="Enero "/>
    <s v="Enero "/>
    <s v="Enero "/>
    <n v="11"/>
    <s v="Meses"/>
    <s v="Contratación directa - Prestación de servicios profesionales "/>
    <s v="Propios - 21 - Otros recursos de tesorería"/>
    <n v="61486200"/>
    <n v="61486200"/>
    <s v="No"/>
    <s v="N/A"/>
    <s v="Guillermo Holguin"/>
    <s v="Subdirector de Gestión de la Información"/>
    <n v="6012220601"/>
    <s v="guillermo.holguin@upme.gov.co"/>
    <n v="0"/>
    <n v="0"/>
    <n v="51083333"/>
    <n v="0"/>
    <n v="0"/>
    <n v="0"/>
    <n v="0"/>
    <n v="0"/>
    <n v="0"/>
    <n v="0"/>
    <n v="0"/>
    <n v="0"/>
    <n v="0"/>
    <n v="0"/>
    <n v="10402867"/>
    <n v="2000000"/>
    <n v="0"/>
    <n v="9500000"/>
    <n v="0"/>
    <n v="9500000"/>
    <n v="0"/>
    <n v="9500000"/>
    <n v="0"/>
    <n v="30986200"/>
    <n v="61486200"/>
    <n v="61486200"/>
    <n v="0"/>
    <n v="0"/>
    <s v="Prestación de servicios profesionales para la recopilación, análisis, depuración y reporte de datos y planes minerenergéticos, con especial énfasis en variables hidrocarburíferas a nivel nacional e internacional."/>
    <m/>
    <m/>
    <n v="51083333"/>
    <m/>
    <m/>
    <m/>
    <m/>
    <m/>
    <m/>
    <m/>
    <m/>
    <m/>
    <m/>
    <m/>
    <n v="10402867"/>
    <n v="2000000"/>
    <m/>
    <n v="9500000"/>
    <m/>
    <n v="9500000"/>
    <m/>
    <n v="9500000"/>
    <m/>
    <n v="30986200"/>
    <m/>
    <m/>
    <n v="61486200"/>
    <n v="61486200"/>
    <n v="0"/>
    <n v="0"/>
    <n v="63126"/>
    <d v="2026-01-23T00:00:00"/>
    <n v="48866667"/>
    <n v="12619533"/>
    <n v="37726"/>
    <d v="2026-02-02T00:00:00"/>
    <n v="48866667"/>
    <n v="12619533"/>
    <n v="0"/>
    <s v="BELTRAN MORATTO MAGDA LILIANA"/>
    <s v="CO1.PCCNTR.9160784"/>
    <m/>
    <m/>
    <m/>
    <n v="51083333"/>
    <m/>
    <m/>
    <m/>
    <m/>
    <m/>
    <n v="-2216666"/>
    <m/>
    <m/>
    <m/>
    <m/>
    <m/>
    <m/>
    <m/>
    <m/>
    <m/>
    <m/>
    <m/>
    <m/>
    <m/>
    <m/>
    <m/>
    <m/>
    <m/>
    <m/>
    <m/>
    <m/>
    <m/>
    <m/>
    <m/>
    <m/>
    <m/>
    <m/>
    <n v="48866667"/>
    <n v="0"/>
    <n v="0"/>
    <n v="48866667"/>
    <n v="0"/>
    <x v="0"/>
  </r>
  <r>
    <x v="0"/>
    <x v="7"/>
    <s v="Implementación de una solución integral para el acceso a los datos y a la información oportuna y de calidad del sector minero energético a nivel nacional"/>
    <s v="Gestión de la Información"/>
    <s v="Sí"/>
    <s v="Sí"/>
    <n v="68"/>
    <s v="131-62"/>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s v="Prestación de servicios profesionales y/o de apoyo a la gestión"/>
    <s v="131-62 Prestación de servicios de apoyo a la gestión para la recolección, procesamiento y creación de productos audiovisuales para los diferentes canales de comunicación institucionales."/>
    <s v="Enero "/>
    <s v="Enero "/>
    <s v="Enero "/>
    <n v="11"/>
    <s v="Meses"/>
    <s v="Contratación directa - Prestación de servicios profesionales "/>
    <s v="Propios - 21 - Otros recursos de tesorería"/>
    <n v="61486200"/>
    <n v="61486200"/>
    <s v="No"/>
    <s v="N/A"/>
    <s v="Guillermo Holguin"/>
    <s v="Subdirector de Gestión de la Información"/>
    <n v="6012220601"/>
    <s v="guillermo.holguin@upme.gov.co"/>
    <n v="0"/>
    <n v="0"/>
    <n v="37500000"/>
    <n v="0"/>
    <n v="0"/>
    <n v="5000000"/>
    <n v="0"/>
    <n v="5000000"/>
    <n v="0"/>
    <n v="5000000"/>
    <n v="0"/>
    <n v="5000000"/>
    <n v="0"/>
    <n v="5000000"/>
    <n v="23986200"/>
    <n v="5000000"/>
    <n v="0"/>
    <n v="5000000"/>
    <n v="0"/>
    <n v="5000000"/>
    <n v="0"/>
    <n v="5000000"/>
    <n v="0"/>
    <n v="16486200"/>
    <n v="61486200"/>
    <n v="61486200"/>
    <n v="0"/>
    <n v="0"/>
    <s v="Prestación de servicios de apoyo a la gestión para la recolección, procesamiento y creación de productos audiovisuales para los diferentes canales de comunicación institucionales."/>
    <m/>
    <m/>
    <n v="37500000"/>
    <m/>
    <m/>
    <n v="5000000"/>
    <m/>
    <n v="5000000"/>
    <m/>
    <n v="5000000"/>
    <m/>
    <n v="5000000"/>
    <m/>
    <n v="5000000"/>
    <n v="23986200"/>
    <n v="5000000"/>
    <m/>
    <n v="5000000"/>
    <m/>
    <n v="5000000"/>
    <m/>
    <n v="5000000"/>
    <m/>
    <n v="16486200"/>
    <m/>
    <m/>
    <n v="61486200"/>
    <n v="61486200"/>
    <n v="0"/>
    <n v="0"/>
    <n v="56526"/>
    <d v="2026-01-22T00:00:00"/>
    <n v="38530800"/>
    <n v="22955400"/>
    <n v="47126"/>
    <d v="2026-02-06T00:00:00"/>
    <n v="37500000"/>
    <n v="23986200"/>
    <n v="1030800"/>
    <s v="FORERO RODRIGUEZ VERONICA RAFAELA"/>
    <s v="CO1.PCCNTR.9244480"/>
    <m/>
    <m/>
    <m/>
    <n v="37500000"/>
    <m/>
    <m/>
    <m/>
    <n v="4166666.67"/>
    <n v="4166666.67"/>
    <m/>
    <n v="5000000"/>
    <n v="5000000"/>
    <m/>
    <m/>
    <m/>
    <m/>
    <m/>
    <m/>
    <m/>
    <m/>
    <m/>
    <m/>
    <m/>
    <m/>
    <m/>
    <m/>
    <m/>
    <m/>
    <m/>
    <m/>
    <m/>
    <m/>
    <m/>
    <m/>
    <m/>
    <m/>
    <n v="37500000"/>
    <n v="9166666.6699999999"/>
    <n v="9166666.6699999999"/>
    <n v="28333333.329999998"/>
    <n v="0"/>
    <x v="0"/>
  </r>
  <r>
    <x v="0"/>
    <x v="7"/>
    <s v="Implementación de una solución integral para el acceso a los datos y a la información oportuna y de calidad del sector minero energético a nivel nacional"/>
    <s v="Gestión de la Información"/>
    <s v="Sí"/>
    <s v="Sí"/>
    <s v="Radicado 20261110012353"/>
    <s v="131-63"/>
    <s v="Implementar una adecuada estrategia de comunicación y divulgación de la información del sector minero energético."/>
    <s v="Servicio de Divulgación del Sector Minero Energético"/>
    <s v="Realizar la recolección y procesamiento de la información."/>
    <n v="78111502"/>
    <s v="C-2106-1900-14-53105B-2106019-02"/>
    <s v="Tiquetes"/>
    <s v="131-63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60878356"/>
    <n v="60878356"/>
    <s v="No"/>
    <s v="N/A"/>
    <s v="Guillermo Holguin"/>
    <s v="Subdirector de Gestión de la Información"/>
    <n v="6012220601"/>
    <s v="guillermo.holguin@upme.gov.co"/>
    <n v="60878356"/>
    <n v="0"/>
    <n v="0"/>
    <n v="0"/>
    <n v="0"/>
    <n v="0"/>
    <n v="0"/>
    <n v="0"/>
    <n v="0"/>
    <n v="0"/>
    <n v="0"/>
    <n v="0"/>
    <n v="0"/>
    <n v="30439178"/>
    <n v="0"/>
    <n v="0"/>
    <n v="0"/>
    <n v="0"/>
    <n v="0"/>
    <n v="0"/>
    <n v="0"/>
    <n v="0"/>
    <n v="0"/>
    <n v="30439178"/>
    <n v="60878356"/>
    <n v="60878356"/>
    <n v="0"/>
    <n v="0"/>
    <s v="Adquirir los servicios necesarios para garantizar el desplazamiento de servidores públicos y contratistas de la UPME a los eventos y espacios institucionales de planeación minero energética."/>
    <n v="60878356"/>
    <m/>
    <m/>
    <m/>
    <m/>
    <m/>
    <m/>
    <m/>
    <m/>
    <m/>
    <m/>
    <m/>
    <m/>
    <n v="30439178"/>
    <m/>
    <m/>
    <m/>
    <m/>
    <m/>
    <m/>
    <m/>
    <m/>
    <m/>
    <n v="30439178"/>
    <m/>
    <m/>
    <n v="60878356"/>
    <n v="60878356"/>
    <n v="0"/>
    <n v="0"/>
    <n v="38826"/>
    <d v="2026-01-15T00:00:00"/>
    <n v="60878356"/>
    <n v="0"/>
    <n v="20326"/>
    <d v="2026-01-26T00:00:00"/>
    <n v="60878356"/>
    <n v="0"/>
    <n v="0"/>
    <s v="FESTIVAL TOURS S.A.S"/>
    <s v="CO1.PCCNTR.9020125"/>
    <n v="60878356"/>
    <m/>
    <m/>
    <m/>
    <m/>
    <m/>
    <m/>
    <m/>
    <m/>
    <m/>
    <m/>
    <m/>
    <m/>
    <m/>
    <m/>
    <m/>
    <m/>
    <m/>
    <m/>
    <m/>
    <m/>
    <m/>
    <m/>
    <m/>
    <m/>
    <m/>
    <m/>
    <m/>
    <m/>
    <m/>
    <m/>
    <m/>
    <m/>
    <m/>
    <m/>
    <m/>
    <n v="60878356"/>
    <n v="0"/>
    <n v="0"/>
    <n v="60878356"/>
    <n v="0"/>
    <x v="0"/>
  </r>
  <r>
    <x v="0"/>
    <x v="7"/>
    <s v="Implementación de una solución integral para el acceso a los datos y a la información oportuna y de calidad del sector minero energético a nivel nacional"/>
    <s v="Gestión de la Información"/>
    <s v="No"/>
    <s v="Sí"/>
    <n v="68"/>
    <s v="131-64"/>
    <s v="Implementar una adecuada estrategia de comunicación y divulgación de la información del sector minero energético."/>
    <s v="Servicio de Divulgación del Sector Minero Energético"/>
    <s v="Realizar la recolección y procesamiento de la información."/>
    <s v="N/A"/>
    <s v="C-2106-1900-14-53105B-2106019-02"/>
    <s v="Viáticos o gastos de desplazamiento"/>
    <s v="131-64 Viáticos o gastos de desplazamiento"/>
    <s v="N/A"/>
    <s v="N/A"/>
    <s v="N/A"/>
    <s v="N/A"/>
    <s v="N/A"/>
    <s v="N/A"/>
    <s v="Propios - 21 - Otros recursos de tesorería"/>
    <n v="31441840"/>
    <n v="31441840"/>
    <s v="No"/>
    <s v="N/A"/>
    <s v="Guillermo Holguin"/>
    <s v="Subdirector de Gestión de la Información"/>
    <n v="6012220601"/>
    <s v="guillermo.holguin@upme.gov.co"/>
    <n v="0"/>
    <n v="0"/>
    <n v="0"/>
    <n v="0"/>
    <n v="3144184"/>
    <n v="3144184"/>
    <n v="3144184"/>
    <n v="3144184"/>
    <n v="3144184"/>
    <n v="3144184"/>
    <n v="3144184"/>
    <n v="3144184"/>
    <n v="3144184"/>
    <n v="3144184"/>
    <n v="3144184"/>
    <n v="3144184"/>
    <n v="3144184"/>
    <n v="3144184"/>
    <n v="3144184"/>
    <n v="3144184"/>
    <n v="3144184"/>
    <n v="3144184"/>
    <n v="3144184"/>
    <n v="3144184"/>
    <n v="31441840"/>
    <n v="31441840"/>
    <n v="0"/>
    <n v="0"/>
    <s v="Viáticos o gastos de desplazamiento"/>
    <m/>
    <m/>
    <m/>
    <m/>
    <n v="3144184"/>
    <n v="3144184"/>
    <n v="3144184"/>
    <n v="3144184"/>
    <n v="3144184"/>
    <n v="3144184"/>
    <n v="3144184"/>
    <n v="3144184"/>
    <n v="3144184"/>
    <n v="3144184"/>
    <n v="3144184"/>
    <n v="3144184"/>
    <n v="3144184"/>
    <n v="3144184"/>
    <n v="3144184"/>
    <n v="3144184"/>
    <n v="3144184"/>
    <n v="3144184"/>
    <n v="3144184"/>
    <n v="3144184"/>
    <m/>
    <m/>
    <n v="31441840"/>
    <n v="31441840"/>
    <n v="0"/>
    <n v="0"/>
    <n v="68926.697260000001"/>
    <d v="2026-02-10T00:00:00"/>
    <n v="31441840"/>
    <n v="0"/>
    <s v="69226,69926,72526"/>
    <d v="2026-04-14T00:00:00"/>
    <n v="1737293"/>
    <n v="29704547"/>
    <n v="29704547"/>
    <s v="CASTILLA ACEVEDO JOSE FERNANDO"/>
    <m/>
    <m/>
    <m/>
    <m/>
    <m/>
    <m/>
    <m/>
    <m/>
    <m/>
    <m/>
    <n v="1737293"/>
    <m/>
    <m/>
    <m/>
    <m/>
    <m/>
    <m/>
    <m/>
    <m/>
    <m/>
    <m/>
    <m/>
    <m/>
    <m/>
    <m/>
    <m/>
    <m/>
    <m/>
    <m/>
    <m/>
    <m/>
    <m/>
    <m/>
    <m/>
    <m/>
    <m/>
    <m/>
    <n v="1737293"/>
    <n v="0"/>
    <n v="0"/>
    <n v="1737293"/>
    <n v="0"/>
    <x v="0"/>
  </r>
  <r>
    <x v="0"/>
    <x v="7"/>
    <s v="Implementación de una solución integral para el acceso a los datos y a la información oportuna y de calidad del sector minero energético a nivel nacional"/>
    <s v="Gestión de la Información"/>
    <s v="Sí"/>
    <s v="Sí"/>
    <s v="Radicado 20261900002593"/>
    <s v="131-65"/>
    <s v="Implementar una adecuada estrategia de comunicación y divulgación de la información del sector minero energético."/>
    <s v="Servicio de Divulgación del Sector Minero Energético"/>
    <s v="Realizar la recolección y procesamiento de la información."/>
    <n v="80141607"/>
    <s v="C-2106-1900-14-53105B-2106019-02"/>
    <s v="Operador Logístico"/>
    <s v="131-65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40000000"/>
    <n v="40000000"/>
    <s v="No"/>
    <s v="N/A"/>
    <s v="Guillermo Holguin"/>
    <s v="Subdirector de Gestión de la Información"/>
    <n v="6012220601"/>
    <s v="guillermo.holguin@upme.gov.co"/>
    <n v="40000000"/>
    <n v="0"/>
    <n v="0"/>
    <n v="0"/>
    <n v="0"/>
    <n v="0"/>
    <n v="0"/>
    <n v="0"/>
    <n v="0"/>
    <n v="0"/>
    <n v="0"/>
    <n v="0"/>
    <n v="0"/>
    <n v="0"/>
    <n v="0"/>
    <n v="0"/>
    <n v="0"/>
    <n v="0"/>
    <n v="0"/>
    <n v="0"/>
    <n v="0"/>
    <n v="0"/>
    <n v="0"/>
    <n v="40000000"/>
    <n v="40000000"/>
    <n v="40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n v="40000000"/>
    <m/>
    <m/>
    <m/>
    <m/>
    <m/>
    <m/>
    <m/>
    <m/>
    <m/>
    <m/>
    <m/>
    <m/>
    <m/>
    <m/>
    <m/>
    <m/>
    <m/>
    <m/>
    <m/>
    <m/>
    <m/>
    <m/>
    <n v="40000000"/>
    <m/>
    <m/>
    <n v="40000000"/>
    <n v="40000000"/>
    <n v="0"/>
    <n v="0"/>
    <n v="15126"/>
    <d v="2026-01-09T00:00:00"/>
    <n v="40000000"/>
    <n v="0"/>
    <n v="26226"/>
    <d v="2026-01-28T00:00:00"/>
    <n v="40000000"/>
    <n v="0"/>
    <n v="0"/>
    <s v="M2C ESTRATEGIAS SAS"/>
    <s v="CO1.PCCNTR.9130164"/>
    <n v="40000000"/>
    <m/>
    <m/>
    <m/>
    <m/>
    <m/>
    <m/>
    <m/>
    <m/>
    <m/>
    <n v="11241492.720000001"/>
    <n v="11241492.720000001"/>
    <m/>
    <m/>
    <m/>
    <m/>
    <m/>
    <m/>
    <m/>
    <m/>
    <m/>
    <m/>
    <m/>
    <m/>
    <m/>
    <m/>
    <m/>
    <m/>
    <m/>
    <m/>
    <m/>
    <m/>
    <m/>
    <m/>
    <m/>
    <m/>
    <n v="40000000"/>
    <n v="11241492.720000001"/>
    <n v="11241492.720000001"/>
    <n v="28758507.280000001"/>
    <n v="0"/>
    <x v="0"/>
  </r>
  <r>
    <x v="0"/>
    <x v="7"/>
    <s v="Implementación de una solución integral para el acceso a los datos y a la información oportuna y de calidad del sector minero energético a nivel nacional"/>
    <s v="Gestión de la Información"/>
    <s v="Sí"/>
    <s v="Sí"/>
    <n v="68"/>
    <s v="131-66"/>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s v="Prestación de servicios profesionales y/o de apoyo a la gestión"/>
    <s v="131-66 Prestación de servicios profesionales con autonomía técnica y administrativa, para el acompañamiento jurídico especializado en la gestión contractual de la Subdirección de Gestión de la Información y de la entidad, en coordinación con el Git de Ges"/>
    <s v="Enero "/>
    <s v="Enero "/>
    <s v="Enero "/>
    <n v="6"/>
    <s v="Meses"/>
    <s v="Contratación directa - Prestación de servicios profesionales "/>
    <s v="Propios - 21 - Otros recursos de tesorería"/>
    <n v="45000000"/>
    <n v="45000000"/>
    <s v="No"/>
    <s v="N/A"/>
    <s v="Guillermo Holguin"/>
    <s v="Subdirector de Gestión de la Información"/>
    <n v="6012220601"/>
    <s v="guillermo.holguin@upme.gov.co"/>
    <n v="45000000"/>
    <n v="0"/>
    <n v="0"/>
    <n v="3750000"/>
    <n v="0"/>
    <n v="7500000"/>
    <n v="0"/>
    <n v="7500000"/>
    <n v="0"/>
    <n v="7500000"/>
    <n v="0"/>
    <n v="7500000"/>
    <n v="0"/>
    <n v="7500000"/>
    <n v="0"/>
    <n v="3750000"/>
    <n v="0"/>
    <n v="0"/>
    <n v="0"/>
    <n v="0"/>
    <n v="0"/>
    <n v="0"/>
    <n v="0"/>
    <n v="0"/>
    <n v="45000000"/>
    <n v="45000000"/>
    <n v="0"/>
    <n v="0"/>
    <s v="Prestación de servicios profesionales con autonomía técnica y administrativa, para el acompañamiento jurídico especializado en la gestión contractual de la Subdirección de Gestión de la Información y de la entidad, en coordinación con el Git de Gestión Co"/>
    <n v="45000000"/>
    <m/>
    <m/>
    <n v="3750000"/>
    <m/>
    <n v="7500000"/>
    <m/>
    <n v="7500000"/>
    <m/>
    <n v="7500000"/>
    <m/>
    <n v="7500000"/>
    <m/>
    <n v="7500000"/>
    <m/>
    <n v="3750000"/>
    <m/>
    <m/>
    <m/>
    <m/>
    <m/>
    <m/>
    <m/>
    <m/>
    <m/>
    <m/>
    <n v="45000000"/>
    <n v="45000000"/>
    <n v="0"/>
    <n v="0"/>
    <n v="9526"/>
    <d v="2026-01-06T00:00:00"/>
    <n v="45000000"/>
    <n v="0"/>
    <n v="9826"/>
    <d v="2026-01-16T00:00:00"/>
    <n v="45000000"/>
    <n v="0"/>
    <n v="0"/>
    <s v="HIGUERA SAAVEDRA ERIKA JOHANNA"/>
    <s v="CO1.PCCNTR.8846950"/>
    <n v="45000000"/>
    <m/>
    <m/>
    <m/>
    <n v="3500000"/>
    <n v="3500000"/>
    <m/>
    <n v="7500000"/>
    <n v="7500000"/>
    <m/>
    <n v="7500000"/>
    <n v="7500000"/>
    <m/>
    <m/>
    <m/>
    <m/>
    <m/>
    <m/>
    <m/>
    <m/>
    <m/>
    <m/>
    <m/>
    <m/>
    <m/>
    <m/>
    <m/>
    <m/>
    <m/>
    <m/>
    <m/>
    <m/>
    <m/>
    <m/>
    <m/>
    <m/>
    <n v="45000000"/>
    <n v="18500000"/>
    <n v="18500000"/>
    <n v="26500000"/>
    <n v="0"/>
    <x v="0"/>
  </r>
  <r>
    <x v="0"/>
    <x v="7"/>
    <s v="Implementación de una solución integral para el acceso a los datos y a la información oportuna y de calidad del sector minero energético a nivel nacional"/>
    <s v="Gestión de la Información"/>
    <s v="Sí"/>
    <s v="Sí"/>
    <n v="6"/>
    <s v="131-67"/>
    <s v="Implementar una adecuada estrategia de comunicación y divulgación de la información del sector minero energético."/>
    <s v="Servicio de Divulgación del Sector Minero Energético"/>
    <s v="Desarrollar el proceso de divulgación."/>
    <n v="80111620"/>
    <s v="C-2106-1900-14-53105B-2106019-02"/>
    <s v="Prestación de servicios profesionales y/o de apoyo a la gestión"/>
    <s v="131-67 Prestación de servicios profesionales de estructuración gráfica de documentos, diseño digital, presentaciones de diversa índole que sean requeridos por el área de comunicaciones."/>
    <s v="Enero "/>
    <s v="Enero "/>
    <s v="Enero "/>
    <n v="11"/>
    <s v="Meses"/>
    <s v="Contratación directa - Prestación de servicios profesionales "/>
    <s v="Propios - 21 - Otros recursos de tesorería"/>
    <n v="46500300"/>
    <n v="46500300"/>
    <s v="No"/>
    <s v="N/A"/>
    <s v="Guillermo Holguin"/>
    <s v="Subdirector de Gestión de la Información"/>
    <n v="6012220601"/>
    <s v="guillermo.holguin@upme.gov.co"/>
    <n v="0"/>
    <n v="0"/>
    <n v="0"/>
    <n v="0"/>
    <n v="0"/>
    <n v="0"/>
    <n v="0"/>
    <n v="0"/>
    <n v="0"/>
    <n v="0"/>
    <n v="0"/>
    <n v="0"/>
    <n v="0"/>
    <n v="0"/>
    <n v="46500300"/>
    <n v="0"/>
    <n v="0"/>
    <n v="0"/>
    <n v="0"/>
    <n v="0"/>
    <n v="0"/>
    <n v="0"/>
    <n v="0"/>
    <n v="46500300"/>
    <n v="46500300"/>
    <n v="46500300"/>
    <n v="0"/>
    <n v="0"/>
    <s v="Prestación de servicios profesionales de estructuración gráfica de documentos, diseño digital, presentaciones de diversa índole que sean requeridos por el área de comunicaciones."/>
    <m/>
    <m/>
    <m/>
    <m/>
    <m/>
    <m/>
    <m/>
    <m/>
    <m/>
    <m/>
    <m/>
    <m/>
    <m/>
    <m/>
    <n v="46500300"/>
    <m/>
    <m/>
    <m/>
    <m/>
    <m/>
    <m/>
    <m/>
    <m/>
    <n v="46500300"/>
    <m/>
    <m/>
    <n v="46500300"/>
    <n v="46500300"/>
    <n v="0"/>
    <n v="0"/>
    <n v="57226"/>
    <d v="2026-01-22T00:00:00"/>
    <n v="0"/>
    <n v="46500300"/>
    <m/>
    <m/>
    <n v="0"/>
    <n v="46500300"/>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
    <s v="131-68"/>
    <s v="Implementar una adecuada estrategia de comunicación y divulgación de la información del sector minero energético."/>
    <s v="Servicio de Divulgación del Sector Minero Energético"/>
    <s v="Desarrollar el proceso de divulgación."/>
    <n v="80111620"/>
    <s v="C-2106-1900-14-53105B-2106019-02"/>
    <s v="Prestación de servicios profesionales y/o de apoyo a la gestión"/>
    <s v="131-68 Prestación de servicios profesionales para la contribución técnica y metodológica en el desarrollo e implementación de estrategias y programas asociados a la transición energética justa."/>
    <s v="Enero "/>
    <s v="Enero "/>
    <s v="Enero "/>
    <n v="11"/>
    <s v="Meses"/>
    <s v="Contratación directa - Prestación de servicios profesionales "/>
    <s v="Propios - 21 - Otros recursos de tesorería"/>
    <n v="149600000"/>
    <n v="149600000"/>
    <s v="No"/>
    <s v="N/A"/>
    <s v="Guillermo Holguin"/>
    <s v="Subdirector de Gestión de la Información"/>
    <n v="6012220601"/>
    <s v="guillermo.holguin@upme.gov.co"/>
    <n v="0"/>
    <n v="0"/>
    <n v="129200000"/>
    <n v="0"/>
    <n v="0"/>
    <n v="13600000"/>
    <n v="0"/>
    <n v="13600000"/>
    <n v="0"/>
    <n v="13600000"/>
    <n v="0"/>
    <n v="13600000"/>
    <n v="0"/>
    <n v="13600000"/>
    <n v="20400000"/>
    <n v="13600000"/>
    <n v="0"/>
    <n v="13600000"/>
    <n v="0"/>
    <n v="13600000"/>
    <n v="0"/>
    <n v="13600000"/>
    <n v="0"/>
    <n v="27200000"/>
    <n v="149600000"/>
    <n v="149600000"/>
    <n v="0"/>
    <n v="0"/>
    <s v="Prestación de servicios profesionales para la contribución técnica y metodológica en el desarrollo e implementación de estrategias y programas asociados a la transición energética justa."/>
    <m/>
    <m/>
    <n v="129200000"/>
    <m/>
    <m/>
    <n v="13600000"/>
    <m/>
    <n v="13600000"/>
    <m/>
    <n v="13600000"/>
    <m/>
    <n v="13600000"/>
    <m/>
    <n v="13600000"/>
    <n v="20400000"/>
    <n v="13600000"/>
    <m/>
    <n v="13600000"/>
    <m/>
    <n v="13600000"/>
    <m/>
    <n v="13600000"/>
    <m/>
    <n v="27200000"/>
    <m/>
    <m/>
    <n v="149600000"/>
    <n v="149600000"/>
    <n v="0"/>
    <n v="0"/>
    <n v="56626"/>
    <d v="2026-01-22T00:00:00"/>
    <n v="129200000"/>
    <n v="20400000"/>
    <n v="37126"/>
    <d v="2026-02-02T00:00:00"/>
    <n v="129200000"/>
    <n v="20400000"/>
    <n v="0"/>
    <s v="RAMIREZ TOVAR ANA MARIA"/>
    <s v="CO1.PCCNTR.9161699"/>
    <m/>
    <m/>
    <m/>
    <n v="129200000"/>
    <m/>
    <m/>
    <m/>
    <n v="12693333"/>
    <n v="12693333"/>
    <m/>
    <n v="13600000"/>
    <n v="13600000"/>
    <m/>
    <m/>
    <m/>
    <m/>
    <m/>
    <m/>
    <m/>
    <m/>
    <m/>
    <m/>
    <m/>
    <m/>
    <m/>
    <m/>
    <m/>
    <m/>
    <m/>
    <m/>
    <m/>
    <m/>
    <m/>
    <m/>
    <m/>
    <m/>
    <n v="129200000"/>
    <n v="26293333"/>
    <n v="26293333"/>
    <n v="102906667"/>
    <n v="0"/>
    <x v="0"/>
  </r>
  <r>
    <x v="0"/>
    <x v="7"/>
    <s v="Implementación de una solución integral para el acceso a los datos y a la información oportuna y de calidad del sector minero energético a nivel nacional"/>
    <s v="Gestión de la Información"/>
    <s v="Sí"/>
    <s v="Sí"/>
    <n v="7"/>
    <s v="131-69"/>
    <s v="Implementar una adecuada estrategia de comunicación y divulgación de la información del sector minero energético."/>
    <s v="Servicio de Divulgación del Sector Minero Energético"/>
    <s v="Desarrollar el proceso de divulgación."/>
    <n v="80111620"/>
    <s v="C-2106-1900-14-53105B-2106019-02"/>
    <s v="Prestación de servicios profesionales y/o de apoyo a la gestión"/>
    <s v="131-69 Prestación de servicios profesionales especializados en la Subdirección de Gestión de la Información para el direccionamiento de planes, programas y proyectos institucionales asociados al ejercicio efectivo del rol como Lider de la Gestión Estratég"/>
    <s v="Enero "/>
    <s v="Enero "/>
    <s v="Enero "/>
    <n v="11"/>
    <s v="Meses"/>
    <s v="Contratación directa - Prestación de servicios profesionales "/>
    <s v="Propios - 21 - Otros recursos de tesorería"/>
    <n v="100383333"/>
    <n v="100383333"/>
    <s v="No"/>
    <s v="N/A"/>
    <s v="Guillermo Holguin"/>
    <s v="Subdirector de Gestión de la Información"/>
    <n v="6012220601"/>
    <s v="guillermo.holguin@upme.gov.co"/>
    <n v="0"/>
    <n v="0"/>
    <n v="100383333"/>
    <n v="0"/>
    <n v="0"/>
    <n v="13600000"/>
    <n v="0"/>
    <n v="13600000"/>
    <n v="0"/>
    <n v="13600000"/>
    <n v="0"/>
    <n v="13600000"/>
    <n v="0"/>
    <n v="13600000"/>
    <n v="0"/>
    <n v="13600000"/>
    <n v="0"/>
    <n v="5183333"/>
    <n v="0"/>
    <n v="0"/>
    <n v="0"/>
    <n v="0"/>
    <n v="0"/>
    <n v="13600000"/>
    <n v="100383333"/>
    <n v="100383333"/>
    <n v="0"/>
    <n v="0"/>
    <s v="Prestación de servicios profesionales especializados en la Subdirección de Gestión de la Información para el direccionamiento de planes, programas y proyectos institucionales asociados al ejercicio efectivo del rol como Lider de la Gestión Estratégica de "/>
    <m/>
    <m/>
    <n v="100383333"/>
    <m/>
    <m/>
    <n v="13600000"/>
    <m/>
    <n v="13600000"/>
    <m/>
    <n v="13600000"/>
    <m/>
    <n v="13600000"/>
    <m/>
    <n v="13600000"/>
    <m/>
    <n v="13600000"/>
    <m/>
    <n v="5183333"/>
    <m/>
    <m/>
    <m/>
    <m/>
    <m/>
    <n v="13600000"/>
    <m/>
    <m/>
    <n v="100383333"/>
    <n v="100383333"/>
    <n v="0"/>
    <n v="0"/>
    <n v="62426"/>
    <d v="2026-01-23T00:00:00"/>
    <n v="100383333"/>
    <n v="0"/>
    <n v="37426"/>
    <d v="2026-02-02T00:00:00"/>
    <n v="100383333"/>
    <n v="0"/>
    <n v="0"/>
    <s v="REMIREZ CARRERO RICARDO HUMBERTO"/>
    <s v="CO1.PCCNTR.9158997"/>
    <m/>
    <m/>
    <m/>
    <n v="100383333"/>
    <m/>
    <m/>
    <m/>
    <m/>
    <m/>
    <m/>
    <m/>
    <m/>
    <m/>
    <m/>
    <m/>
    <m/>
    <m/>
    <m/>
    <m/>
    <m/>
    <m/>
    <m/>
    <m/>
    <m/>
    <m/>
    <m/>
    <m/>
    <m/>
    <m/>
    <m/>
    <m/>
    <m/>
    <m/>
    <m/>
    <m/>
    <m/>
    <n v="100383333"/>
    <n v="0"/>
    <n v="0"/>
    <n v="100383333"/>
    <n v="0"/>
    <x v="0"/>
  </r>
  <r>
    <x v="0"/>
    <x v="7"/>
    <s v="Implementación de una solución integral para el acceso a los datos y a la información oportuna y de calidad del sector minero energético a nivel nacional"/>
    <s v="Gestión de la Información"/>
    <s v="Sí"/>
    <s v="Sí"/>
    <n v="68"/>
    <s v="131-70"/>
    <s v="Implementar una adecuada estrategia de comunicación y divulgación de la información del sector minero energético."/>
    <s v="Servicio de Divulgación del Sector Minero Energético"/>
    <s v="Desarrollar el proceso de divulgación."/>
    <n v="80111620"/>
    <s v="C-2106-1900-14-53105B-2106019-02"/>
    <s v="Prestación de servicios profesionales y/o de apoyo a la gestión"/>
    <s v="131-7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6312922"/>
    <n v="6312922"/>
    <s v="No"/>
    <s v="N/A"/>
    <s v="Guillermo Holguin"/>
    <s v="Subdirector de Gestión de la Información"/>
    <n v="6012220601"/>
    <s v="guillermo.holguin@upme.gov.co"/>
    <n v="0"/>
    <n v="0"/>
    <n v="6312922"/>
    <n v="0"/>
    <n v="0"/>
    <n v="0"/>
    <n v="0"/>
    <n v="0"/>
    <n v="0"/>
    <n v="0"/>
    <n v="0"/>
    <n v="3371320"/>
    <n v="0"/>
    <n v="2941602"/>
    <n v="0"/>
    <n v="0"/>
    <n v="0"/>
    <n v="0"/>
    <n v="0"/>
    <n v="0"/>
    <n v="0"/>
    <n v="0"/>
    <n v="0"/>
    <n v="0"/>
    <n v="6312922"/>
    <n v="6312922"/>
    <n v="0"/>
    <n v="0"/>
    <s v="Prestar servicios profesionales orientados al fortalecimiento de la Dimensión de Control Interno mediante la ejecución del Plan Anual de Auditorías Internas Independientes, con énfasis en la evaluación de la gestión administrativa de la UPME."/>
    <m/>
    <m/>
    <n v="6312922"/>
    <m/>
    <m/>
    <m/>
    <m/>
    <m/>
    <m/>
    <m/>
    <m/>
    <n v="3371320"/>
    <m/>
    <n v="2941602"/>
    <m/>
    <m/>
    <m/>
    <m/>
    <m/>
    <m/>
    <m/>
    <m/>
    <m/>
    <m/>
    <m/>
    <m/>
    <n v="6312922"/>
    <n v="6312922"/>
    <n v="0"/>
    <n v="0"/>
    <n v="64026"/>
    <d v="2026-01-23T00:00:00"/>
    <n v="6312922"/>
    <n v="0"/>
    <n v="59726"/>
    <d v="2026-02-12T00:00:00"/>
    <n v="6312922"/>
    <n v="0"/>
    <n v="0"/>
    <s v="NUÑEZ GANTIVA NATALIA ELIANA"/>
    <s v="CO1.PCCNTR.9306722"/>
    <m/>
    <m/>
    <m/>
    <n v="6312922"/>
    <m/>
    <m/>
    <m/>
    <m/>
    <m/>
    <m/>
    <m/>
    <m/>
    <m/>
    <m/>
    <m/>
    <m/>
    <m/>
    <m/>
    <m/>
    <m/>
    <m/>
    <m/>
    <m/>
    <m/>
    <m/>
    <m/>
    <m/>
    <m/>
    <m/>
    <m/>
    <m/>
    <m/>
    <m/>
    <m/>
    <m/>
    <m/>
    <n v="6312922"/>
    <n v="0"/>
    <n v="0"/>
    <n v="6312922"/>
    <n v="0"/>
    <x v="0"/>
  </r>
  <r>
    <x v="0"/>
    <x v="7"/>
    <s v="Implementación de una solución integral para el acceso a los datos y a la información oportuna y de calidad del sector minero energético a nivel nacional"/>
    <s v="Gestión de la Información"/>
    <s v="Sí"/>
    <s v="Sí"/>
    <n v="23"/>
    <s v="131-71"/>
    <s v="Implementar una adecuada estrategia de comunicación y divulgación de la información del sector minero energético."/>
    <s v="Servicio de Divulgación del Sector Minero Energético"/>
    <s v="Desarrollar el proceso de divulgación."/>
    <n v="80111620"/>
    <s v="C-2106-1900-14-53105B-2106019-02"/>
    <s v="Prestación de servicios profesionales y/o de apoyo a la gestión"/>
    <s v="131-71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1 - Otros recursos de tesorería"/>
    <n v="6312922"/>
    <n v="6312922"/>
    <s v="No"/>
    <s v="N/A"/>
    <s v="Guillermo Holguin"/>
    <s v="Subdirector de Gestión de la Información"/>
    <n v="6012220601"/>
    <s v="guillermo.holguin@upme.gov.co"/>
    <n v="0"/>
    <n v="0"/>
    <n v="0"/>
    <n v="0"/>
    <n v="0"/>
    <n v="0"/>
    <n v="0"/>
    <n v="0"/>
    <n v="0"/>
    <n v="0"/>
    <n v="0"/>
    <n v="0"/>
    <n v="6312922"/>
    <n v="0"/>
    <n v="0"/>
    <n v="0"/>
    <n v="0"/>
    <n v="0"/>
    <n v="0"/>
    <n v="2000000"/>
    <n v="0"/>
    <n v="2000000"/>
    <n v="0"/>
    <n v="2312922"/>
    <n v="6312922"/>
    <n v="6312922"/>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312922"/>
    <m/>
    <m/>
    <m/>
    <m/>
    <m/>
    <m/>
    <n v="2000000"/>
    <m/>
    <n v="2000000"/>
    <m/>
    <n v="2312922"/>
    <m/>
    <m/>
    <n v="6312922"/>
    <n v="6312922"/>
    <n v="0"/>
    <n v="0"/>
    <m/>
    <m/>
    <m/>
    <n v="6312922"/>
    <m/>
    <m/>
    <n v="0"/>
    <n v="6312922"/>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23"/>
    <s v="131-72"/>
    <s v="Implementar una adecuada estrategia de comunicación y divulgación de la información del sector minero energético."/>
    <s v="Servicio de Divulgación del Sector Minero Energético"/>
    <s v="Desarrollar el proceso de divulgación."/>
    <n v="80111620"/>
    <s v="C-2106-1900-14-53105B-2106019-02"/>
    <s v="Prestación de servicios profesionales y/o de apoyo a la gestión"/>
    <s v="131-72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6312923"/>
    <n v="6312923"/>
    <s v="No"/>
    <s v="N/A"/>
    <s v="Guillermo Holguin"/>
    <s v="Subdirector de Gestión de la Información"/>
    <n v="6012220601"/>
    <s v="guillermo.holguin@upme.gov.co"/>
    <n v="0"/>
    <n v="0"/>
    <n v="0"/>
    <n v="0"/>
    <n v="0"/>
    <n v="0"/>
    <n v="0"/>
    <n v="0"/>
    <n v="0"/>
    <n v="0"/>
    <n v="0"/>
    <n v="0"/>
    <n v="6312923"/>
    <n v="0"/>
    <n v="0"/>
    <n v="0"/>
    <n v="0"/>
    <n v="0"/>
    <n v="0"/>
    <n v="2000000"/>
    <n v="0"/>
    <n v="2000000"/>
    <n v="0"/>
    <n v="2312923"/>
    <n v="6312923"/>
    <n v="6312923"/>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312923"/>
    <m/>
    <m/>
    <m/>
    <m/>
    <m/>
    <m/>
    <n v="2000000"/>
    <m/>
    <n v="2000000"/>
    <m/>
    <n v="2312923"/>
    <m/>
    <m/>
    <n v="6312923"/>
    <n v="6312923"/>
    <n v="0"/>
    <n v="0"/>
    <m/>
    <m/>
    <m/>
    <n v="6312923"/>
    <m/>
    <m/>
    <n v="0"/>
    <n v="6312923"/>
    <n v="0"/>
    <m/>
    <m/>
    <m/>
    <m/>
    <m/>
    <m/>
    <m/>
    <m/>
    <m/>
    <m/>
    <m/>
    <m/>
    <m/>
    <m/>
    <m/>
    <m/>
    <m/>
    <m/>
    <m/>
    <m/>
    <m/>
    <m/>
    <m/>
    <m/>
    <m/>
    <m/>
    <m/>
    <m/>
    <m/>
    <m/>
    <m/>
    <m/>
    <m/>
    <m/>
    <m/>
    <m/>
    <m/>
    <m/>
    <n v="0"/>
    <n v="0"/>
    <n v="0"/>
    <n v="0"/>
    <n v="0"/>
    <x v="0"/>
  </r>
  <r>
    <x v="0"/>
    <x v="7"/>
    <s v="Implementación de una solución integral para el acceso a los datos y a la información oportuna y de calidad del sector minero energético a nivel nacional"/>
    <s v="Gestión de la Información"/>
    <s v="Sí"/>
    <s v="Sí"/>
    <n v="68"/>
    <s v="131-73"/>
    <s v="Implementar una adecuada estrategia de comunicación y divulgación de la información del sector minero energético."/>
    <s v="Servicio de Divulgación del Sector Minero Energético"/>
    <s v="Desarrollar el proceso de divulgación."/>
    <n v="80111620"/>
    <s v="C-2106-1900-14-53105B-2106019-02"/>
    <s v="Prestación de servicios profesionales y/o de apoyo a la gestión"/>
    <s v="131-73 Prestar servicios profesionales para la gestión de las fases contractuales de la entidad, con especial énfasis en los asuntos relativos a la Subdirección de Gestión de la Información, en asocio con el GIT de Gestión Contractual."/>
    <s v="Enero "/>
    <s v="Enero "/>
    <s v="Enero "/>
    <n v="6"/>
    <s v="Meses"/>
    <s v="Contratación directa - Prestación de servicios profesionales "/>
    <s v="Propios - 21 - Otros recursos de tesorería"/>
    <n v="2577600"/>
    <n v="2577600"/>
    <s v="No"/>
    <s v="N/A"/>
    <s v="Guillermo Holguin"/>
    <s v="Subdirector de Gestión de la Información"/>
    <n v="6012220601"/>
    <s v="guillermo.holguin@upme.gov.co"/>
    <n v="2577600"/>
    <n v="0"/>
    <n v="0"/>
    <n v="827600"/>
    <n v="0"/>
    <n v="1750000"/>
    <n v="0"/>
    <n v="0"/>
    <n v="0"/>
    <n v="0"/>
    <n v="0"/>
    <n v="0"/>
    <n v="0"/>
    <n v="0"/>
    <n v="0"/>
    <n v="0"/>
    <n v="0"/>
    <n v="0"/>
    <n v="0"/>
    <n v="0"/>
    <n v="0"/>
    <n v="0"/>
    <n v="0"/>
    <n v="0"/>
    <n v="2577600"/>
    <n v="2577600"/>
    <n v="0"/>
    <n v="0"/>
    <s v="Prestar servicios profesionales para la gestión de las fases contractuales de la entidad, con especial énfasis en los asuntos relativos a la Subdirección de Gestión de la Información, en asocio con el GIT de Gestión Contractual."/>
    <n v="2577600"/>
    <m/>
    <m/>
    <n v="827600"/>
    <m/>
    <n v="1750000"/>
    <m/>
    <m/>
    <m/>
    <m/>
    <m/>
    <m/>
    <m/>
    <m/>
    <m/>
    <m/>
    <m/>
    <m/>
    <m/>
    <m/>
    <m/>
    <m/>
    <m/>
    <m/>
    <m/>
    <m/>
    <n v="2577600"/>
    <n v="2577600"/>
    <n v="0"/>
    <n v="0"/>
    <n v="9426"/>
    <d v="2026-01-06T00:00:00"/>
    <n v="2577600"/>
    <n v="0"/>
    <n v="3026"/>
    <d v="2026-01-09T00:00:00"/>
    <n v="2577600"/>
    <n v="0"/>
    <n v="0"/>
    <s v="PINZON LEYVA MARIA DEL PILAR"/>
    <s v="CO1.PCCNTR.8786301"/>
    <n v="2577600"/>
    <m/>
    <m/>
    <m/>
    <m/>
    <m/>
    <m/>
    <m/>
    <m/>
    <m/>
    <m/>
    <m/>
    <m/>
    <m/>
    <m/>
    <m/>
    <m/>
    <m/>
    <m/>
    <m/>
    <m/>
    <m/>
    <m/>
    <m/>
    <m/>
    <m/>
    <m/>
    <m/>
    <m/>
    <m/>
    <m/>
    <m/>
    <m/>
    <m/>
    <m/>
    <m/>
    <n v="2577600"/>
    <n v="0"/>
    <n v="0"/>
    <n v="2577600"/>
    <n v="0"/>
    <x v="0"/>
  </r>
  <r>
    <x v="0"/>
    <x v="7"/>
    <s v="Implementación de una solución integral para el acceso a los datos y a la información oportuna y de calidad del sector minero energético a nivel nacional"/>
    <s v="Gestión de la Información"/>
    <s v="Sí"/>
    <s v="Sí"/>
    <n v="23"/>
    <s v="131-74"/>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74 Prestación de servicios de apoyo a la gestión orientados a la estructuración y organización documental de la Subdirección de Gestión de la Información"/>
    <s v="Enero "/>
    <s v="Enero "/>
    <s v="Enero "/>
    <n v="10"/>
    <s v="Meses"/>
    <s v="Contratación directa - Prestación de servicios profesionales "/>
    <s v="Propios - 20 - Ingresos corrientes"/>
    <n v="30000000"/>
    <n v="30000000"/>
    <s v="No"/>
    <s v="N/A"/>
    <s v="Guillermo Holguin"/>
    <s v="Subdirector de Gestión de la Información"/>
    <n v="6012220601"/>
    <s v="guillermo.holguin@upme.gov.co"/>
    <n v="0"/>
    <n v="0"/>
    <n v="30000000"/>
    <n v="0"/>
    <n v="0"/>
    <n v="3000000"/>
    <n v="0"/>
    <n v="3000000"/>
    <n v="0"/>
    <n v="3000000"/>
    <n v="0"/>
    <n v="3000000"/>
    <n v="0"/>
    <n v="3000000"/>
    <n v="0"/>
    <n v="3000000"/>
    <n v="0"/>
    <n v="3000000"/>
    <n v="0"/>
    <n v="3000000"/>
    <n v="0"/>
    <n v="3000000"/>
    <n v="0"/>
    <n v="3000000"/>
    <n v="30000000"/>
    <n v="30000000"/>
    <n v="0"/>
    <n v="0"/>
    <s v="Prestación de servicios de apoyo a la gestión orientados a la estructuración y organización documental de la Subdirección de Gestión de la Información"/>
    <m/>
    <m/>
    <n v="30000000"/>
    <m/>
    <m/>
    <n v="3000000"/>
    <m/>
    <n v="3000000"/>
    <m/>
    <n v="3000000"/>
    <m/>
    <n v="3000000"/>
    <m/>
    <n v="3000000"/>
    <m/>
    <n v="3000000"/>
    <m/>
    <n v="3000000"/>
    <m/>
    <n v="3000000"/>
    <m/>
    <n v="3000000"/>
    <m/>
    <n v="3000000"/>
    <m/>
    <m/>
    <n v="30000000"/>
    <n v="30000000"/>
    <n v="0"/>
    <n v="0"/>
    <n v="56126"/>
    <d v="2026-01-22T00:00:00"/>
    <n v="29952000"/>
    <n v="48000"/>
    <n v="40326"/>
    <d v="2026-02-03T00:00:00"/>
    <n v="29952000"/>
    <n v="48000"/>
    <n v="0"/>
    <s v="GOMEZ SILVA LUZ YESENIA"/>
    <s v="CO1.PCCNTR.9237614"/>
    <m/>
    <m/>
    <m/>
    <n v="29952000"/>
    <m/>
    <m/>
    <m/>
    <n v="3042000"/>
    <n v="3042000"/>
    <m/>
    <n v="3510000"/>
    <n v="3510000"/>
    <m/>
    <m/>
    <m/>
    <m/>
    <m/>
    <m/>
    <m/>
    <m/>
    <m/>
    <m/>
    <m/>
    <m/>
    <m/>
    <m/>
    <m/>
    <m/>
    <m/>
    <m/>
    <m/>
    <m/>
    <m/>
    <m/>
    <m/>
    <m/>
    <n v="29952000"/>
    <n v="6552000"/>
    <n v="6552000"/>
    <n v="23400000"/>
    <n v="0"/>
    <x v="0"/>
  </r>
  <r>
    <x v="0"/>
    <x v="7"/>
    <s v="Implementación de una solución integral para el acceso a los datos y a la información oportuna y de calidad del sector minero energético a nivel nacional"/>
    <s v="Gestión de la Información"/>
    <s v="Sí"/>
    <s v="Sí"/>
    <n v="23"/>
    <s v="131-75"/>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75 Prestar apoyo a la consolidación, actualización y revisión de los inventarios y bienes de la UPME la Modernización de Procesos de la Entidad."/>
    <s v="Enero "/>
    <s v="Enero "/>
    <s v="Enero "/>
    <n v="11.5"/>
    <s v="Meses"/>
    <s v="Contratación directa - Prestación de servicios profesionales "/>
    <s v="Propios - 20 - Ingresos corrientes"/>
    <n v="44850000"/>
    <n v="44850000"/>
    <s v="No"/>
    <s v="N/A"/>
    <s v="Guillermo Holguin"/>
    <s v="Subdirector de Gestión de la Información"/>
    <n v="6012220601"/>
    <s v="guillermo.holguin@upme.gov.co"/>
    <n v="0"/>
    <n v="0"/>
    <n v="44850000"/>
    <n v="0"/>
    <n v="0"/>
    <n v="3900000"/>
    <n v="0"/>
    <n v="3900000"/>
    <n v="0"/>
    <n v="3900000"/>
    <n v="0"/>
    <n v="3900000"/>
    <n v="0"/>
    <n v="3900000"/>
    <n v="0"/>
    <n v="3900000"/>
    <n v="0"/>
    <n v="3900000"/>
    <n v="0"/>
    <n v="3900000"/>
    <n v="0"/>
    <n v="3900000"/>
    <n v="0"/>
    <n v="9750000"/>
    <n v="44850000"/>
    <n v="44850000"/>
    <n v="0"/>
    <n v="0"/>
    <s v="Prestar apoyo a la consolidación, actualización y revisión de los inventarios y bienes de la UPME la Modernización de Procesos de la Entidad."/>
    <m/>
    <m/>
    <n v="44850000"/>
    <m/>
    <m/>
    <n v="3900000"/>
    <m/>
    <n v="3900000"/>
    <m/>
    <n v="3900000"/>
    <m/>
    <n v="3900000"/>
    <m/>
    <n v="3900000"/>
    <m/>
    <n v="3900000"/>
    <m/>
    <n v="3900000"/>
    <m/>
    <n v="3900000"/>
    <m/>
    <n v="3900000"/>
    <m/>
    <n v="9750000"/>
    <m/>
    <m/>
    <n v="44850000"/>
    <n v="44850000"/>
    <n v="0"/>
    <n v="0"/>
    <n v="41326"/>
    <d v="2026-01-16T00:00:00"/>
    <n v="42900000"/>
    <n v="1950000"/>
    <n v="42926"/>
    <d v="2026-02-05T00:00:00"/>
    <n v="42900000"/>
    <n v="1950000"/>
    <n v="0"/>
    <s v="PERALTA GRANADOS HEIDY MARGARITA"/>
    <s v="CO1.PCCNTR.9225965"/>
    <m/>
    <m/>
    <m/>
    <n v="42900000"/>
    <m/>
    <m/>
    <m/>
    <m/>
    <m/>
    <m/>
    <m/>
    <m/>
    <m/>
    <m/>
    <m/>
    <m/>
    <m/>
    <m/>
    <m/>
    <m/>
    <m/>
    <m/>
    <m/>
    <m/>
    <m/>
    <m/>
    <m/>
    <m/>
    <m/>
    <m/>
    <m/>
    <m/>
    <m/>
    <m/>
    <m/>
    <m/>
    <n v="42900000"/>
    <n v="0"/>
    <n v="0"/>
    <n v="42900000"/>
    <n v="0"/>
    <x v="0"/>
  </r>
  <r>
    <x v="0"/>
    <x v="7"/>
    <s v="Implementación de una solución integral para el acceso a los datos y a la información oportuna y de calidad del sector minero energético a nivel nacional"/>
    <s v="Gestión de la Información"/>
    <s v="Sí"/>
    <s v="Sí"/>
    <n v="23"/>
    <s v="131-76"/>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s v="Prestación de servicios profesionales y/o de apoyo a la gestión"/>
    <s v="131-76 Prestar servicios profesionales en psicología para apoyar los procesos de provisión y selección de personal de la entidad, de conformidad con los lineamientos institucionales y la normatividad vigente."/>
    <s v="Enero "/>
    <s v="Enero "/>
    <s v="Enero "/>
    <n v="11.5"/>
    <s v="Meses"/>
    <s v="Contratación directa - Prestación de servicios profesionales "/>
    <s v="Propios - 20 - Ingresos corrientes"/>
    <n v="30147856"/>
    <n v="30147856"/>
    <s v="No"/>
    <s v="N/A"/>
    <s v="Guillermo Holguin"/>
    <s v="Subdirector de Gestión de la Información"/>
    <n v="6012220601"/>
    <s v="guillermo.holguin@upme.gov.co"/>
    <n v="28300156"/>
    <n v="0"/>
    <n v="0"/>
    <n v="0"/>
    <n v="0"/>
    <n v="0"/>
    <n v="0"/>
    <n v="0"/>
    <n v="0"/>
    <n v="3046156"/>
    <n v="0"/>
    <n v="3900000"/>
    <n v="1847700"/>
    <n v="3900000"/>
    <n v="0"/>
    <n v="3900000"/>
    <n v="0"/>
    <n v="3900000"/>
    <n v="0"/>
    <n v="3900000"/>
    <n v="0"/>
    <n v="3900000"/>
    <n v="0"/>
    <n v="3701700"/>
    <n v="30147856"/>
    <n v="30147856"/>
    <n v="0"/>
    <n v="0"/>
    <s v="Prestar servicios profesionales en psicología para apoyar los procesos de provisión y selección de personal de la entidad, de conformidad con los lineamientos institucionales y la normatividad vigente."/>
    <n v="28300156"/>
    <m/>
    <m/>
    <m/>
    <m/>
    <m/>
    <m/>
    <m/>
    <m/>
    <n v="3046156"/>
    <m/>
    <n v="3900000"/>
    <n v="1847700"/>
    <n v="3900000"/>
    <m/>
    <n v="3900000"/>
    <m/>
    <n v="3900000"/>
    <m/>
    <n v="3900000"/>
    <m/>
    <n v="3900000"/>
    <m/>
    <n v="3701700"/>
    <m/>
    <m/>
    <n v="30147856"/>
    <n v="30147856"/>
    <n v="0"/>
    <n v="0"/>
    <n v="64426"/>
    <d v="2026-01-24T00:00:00"/>
    <n v="28300156"/>
    <n v="1847700"/>
    <n v="31026"/>
    <d v="2026-01-29T00:00:00"/>
    <n v="28300156"/>
    <n v="1847700"/>
    <n v="0"/>
    <s v="MENDEZ GUTIERREZ DIANA NATHALY"/>
    <s v="CO1.PCCNTR.9142109"/>
    <n v="28300156"/>
    <m/>
    <m/>
    <m/>
    <m/>
    <m/>
    <m/>
    <n v="3818580"/>
    <n v="3818580"/>
    <m/>
    <n v="3695400"/>
    <n v="3695400"/>
    <m/>
    <m/>
    <m/>
    <m/>
    <m/>
    <m/>
    <m/>
    <m/>
    <m/>
    <m/>
    <m/>
    <m/>
    <m/>
    <m/>
    <m/>
    <m/>
    <m/>
    <m/>
    <m/>
    <m/>
    <m/>
    <m/>
    <m/>
    <m/>
    <n v="28300156"/>
    <n v="7513980"/>
    <n v="7513980"/>
    <n v="20786176"/>
    <n v="0"/>
    <x v="0"/>
  </r>
  <r>
    <x v="0"/>
    <x v="7"/>
    <s v="Implementación de una solución integral para el acceso a los datos y a la información oportuna y de calidad del sector minero energético a nivel nacional"/>
    <s v="Gestión de la Información"/>
    <s v="Sí"/>
    <s v="Sí"/>
    <n v="68"/>
    <s v="131-77"/>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s v="Prestación de servicios profesionales y/o de apoyo a la gestión"/>
    <s v="131-77 Prestar servicios profesionales en psicología para apoyar los procesos de provisión y selección de personal de la entidad, de conformidad con los lineamientos institucionales y la normatividad vigente."/>
    <s v="Enero "/>
    <s v="Enero "/>
    <s v="Enero "/>
    <n v="11.5"/>
    <s v="Meses"/>
    <s v="Contratación directa - Prestación de servicios profesionales "/>
    <s v="Propios - 21 - Otros recursos de tesorería"/>
    <n v="12349244"/>
    <n v="12349244"/>
    <s v="No"/>
    <s v="N/A"/>
    <s v="Guillermo Holguin"/>
    <s v="Subdirector de Gestión de la Información"/>
    <n v="6012220601"/>
    <s v="guillermo.holguin@upme.gov.co"/>
    <n v="12349244"/>
    <n v="0"/>
    <n v="0"/>
    <n v="3695400"/>
    <n v="0"/>
    <n v="3900000"/>
    <n v="0"/>
    <n v="3900000"/>
    <n v="0"/>
    <n v="853844"/>
    <n v="0"/>
    <n v="0"/>
    <n v="0"/>
    <n v="0"/>
    <n v="0"/>
    <n v="0"/>
    <n v="0"/>
    <n v="0"/>
    <n v="0"/>
    <n v="0"/>
    <n v="0"/>
    <n v="0"/>
    <n v="0"/>
    <n v="0"/>
    <n v="12349244"/>
    <n v="12349244"/>
    <n v="0"/>
    <n v="0"/>
    <s v="Prestar servicios profesionales en psicología para apoyar los procesos de provisión y selección de personal de la entidad, de conformidad con los lineamientos institucionales y la normatividad vigente."/>
    <n v="12349244"/>
    <m/>
    <m/>
    <n v="3695400"/>
    <m/>
    <n v="3900000"/>
    <m/>
    <n v="3900000"/>
    <m/>
    <n v="853844"/>
    <m/>
    <m/>
    <m/>
    <m/>
    <m/>
    <m/>
    <m/>
    <m/>
    <m/>
    <m/>
    <m/>
    <m/>
    <m/>
    <m/>
    <m/>
    <m/>
    <n v="12349244"/>
    <n v="12349244"/>
    <n v="0"/>
    <n v="0"/>
    <n v="64426"/>
    <d v="2026-01-24T00:00:00"/>
    <n v="12349244"/>
    <n v="0"/>
    <n v="31026"/>
    <d v="2026-01-29T00:00:00"/>
    <n v="12349244"/>
    <n v="0"/>
    <n v="0"/>
    <s v="MENDEZ GUTIERREZ DIANA NATHALY"/>
    <s v="CO1.PCCNTR.9142109"/>
    <n v="12349244"/>
    <m/>
    <m/>
    <m/>
    <m/>
    <m/>
    <m/>
    <m/>
    <m/>
    <m/>
    <m/>
    <m/>
    <m/>
    <m/>
    <m/>
    <m/>
    <m/>
    <m/>
    <m/>
    <m/>
    <m/>
    <m/>
    <m/>
    <m/>
    <m/>
    <m/>
    <m/>
    <m/>
    <m/>
    <m/>
    <m/>
    <m/>
    <m/>
    <m/>
    <m/>
    <m/>
    <n v="12349244"/>
    <n v="0"/>
    <n v="0"/>
    <n v="12349244"/>
    <n v="0"/>
    <x v="0"/>
  </r>
  <r>
    <x v="0"/>
    <x v="7"/>
    <s v="Implementación de una solución integral para el acceso a los datos y a la información oportuna y de calidad del sector minero energético a nivel nacional"/>
    <s v="Gestión de la Información"/>
    <s v="Sí"/>
    <s v="Sí"/>
    <n v="68"/>
    <s v="131-78"/>
    <s v="Implementar una adecuada estrategia de comunicación y divulgación de la información del sector minero energético."/>
    <s v="Servicio de Información Implementado para la Accesibilidad Sectorial"/>
    <s v="Pruebas y aseguramiento de calidad."/>
    <n v="80111620"/>
    <s v="C-2106-1900-14-53105B-2106034-02"/>
    <s v="Prestación de servicios profesionales y/o de apoyo a la gestión"/>
    <s v="131-78 Prestación de servicios profesionales para contribuir en la estructuración, planificación, seguimiento y control de los proyectos, iniciativas y líneas estratégicas y de tecnologías de la información asociadas a la Subdirección de Gestión de la Inf"/>
    <s v="Enero "/>
    <s v="Enero "/>
    <s v="Enero "/>
    <n v="10"/>
    <s v="Meses"/>
    <s v="Contratación directa - Prestación de servicios profesionales "/>
    <s v="Propios - 21 - Otros recursos de tesorería"/>
    <n v="55000000"/>
    <n v="55000000"/>
    <s v="No"/>
    <s v="N/A"/>
    <s v="Guillermo Holguin"/>
    <s v="Subdirector de Gestión de la Información"/>
    <n v="6012220601"/>
    <s v="guillermo.holguin@upme.gov.co"/>
    <n v="0"/>
    <n v="0"/>
    <n v="55000000"/>
    <n v="0"/>
    <n v="0"/>
    <n v="5500000"/>
    <n v="0"/>
    <n v="5500000"/>
    <n v="0"/>
    <n v="5500000"/>
    <n v="0"/>
    <n v="5500000"/>
    <n v="0"/>
    <n v="5500000"/>
    <n v="0"/>
    <n v="5500000"/>
    <n v="0"/>
    <n v="5500000"/>
    <n v="0"/>
    <n v="5500000"/>
    <n v="0"/>
    <n v="5500000"/>
    <n v="0"/>
    <n v="5500000"/>
    <n v="55000000"/>
    <n v="55000000"/>
    <n v="0"/>
    <n v="0"/>
    <s v="Prestación de servicios profesionales para contribuir en la estructuración, planificación, seguimiento y control de los proyectos, iniciativas y líneas estratégicas y de tecnologías de la información asociadas a la Subdirección de Gestión de la Informació"/>
    <m/>
    <m/>
    <n v="55000000"/>
    <m/>
    <m/>
    <n v="5500000"/>
    <m/>
    <n v="5500000"/>
    <m/>
    <n v="5500000"/>
    <m/>
    <n v="5500000"/>
    <m/>
    <n v="5500000"/>
    <m/>
    <n v="5500000"/>
    <m/>
    <n v="5500000"/>
    <m/>
    <n v="5500000"/>
    <m/>
    <n v="5500000"/>
    <m/>
    <n v="5500000"/>
    <m/>
    <m/>
    <n v="55000000"/>
    <n v="55000000"/>
    <n v="0"/>
    <n v="0"/>
    <n v="20726"/>
    <d v="2026-01-11T00:00:00"/>
    <n v="55000000"/>
    <n v="0"/>
    <n v="42126"/>
    <d v="2026-02-05T00:00:00"/>
    <n v="55000000"/>
    <n v="0"/>
    <n v="0"/>
    <s v="NUÑEZ GOMEZ CARLOS AUGUSTO"/>
    <s v="CO1.PCCNTR.9199225"/>
    <m/>
    <m/>
    <m/>
    <n v="55000000"/>
    <m/>
    <m/>
    <m/>
    <n v="4766667"/>
    <n v="4766667"/>
    <m/>
    <n v="5500000"/>
    <n v="5500000"/>
    <m/>
    <m/>
    <m/>
    <m/>
    <m/>
    <m/>
    <m/>
    <m/>
    <m/>
    <m/>
    <m/>
    <m/>
    <m/>
    <m/>
    <m/>
    <m/>
    <m/>
    <m/>
    <m/>
    <m/>
    <m/>
    <m/>
    <m/>
    <m/>
    <n v="55000000"/>
    <n v="10266667"/>
    <n v="10266667"/>
    <n v="44733333"/>
    <n v="0"/>
    <x v="0"/>
  </r>
  <r>
    <x v="0"/>
    <x v="7"/>
    <s v="Implementación de una solución integral para el acceso a los datos y a la información oportuna y de calidad del sector minero energético a nivel nacional"/>
    <s v="Gestión de la Información"/>
    <s v="Sí"/>
    <s v="Sí"/>
    <n v="68"/>
    <s v="131-79"/>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s v="Prestación de servicios profesionales y/o de apoyo a la gestión"/>
    <s v="131-79 Prestación de servicios profesionales para el control de calidad, documentación y fortalecimiento del gobierno de datos geográficos y sectoriales de la UPME, mediante la verificación, normalización y documentación de la información geoespacial, la "/>
    <s v="Enero "/>
    <s v="Enero "/>
    <s v="Enero "/>
    <n v="11"/>
    <s v="Meses"/>
    <s v="Contratación directa - Prestación de servicios profesionales "/>
    <s v="Propios - 20 - Ingresos corrientes"/>
    <n v="49400000"/>
    <n v="49400000"/>
    <s v="No"/>
    <s v="N/A"/>
    <s v="Guillermo Holguin"/>
    <s v="Subdirector de Gestión de la Información"/>
    <n v="6012220601"/>
    <s v="guillermo.holguin@upme.gov.co"/>
    <n v="49400000"/>
    <n v="0"/>
    <n v="0"/>
    <n v="0"/>
    <n v="0"/>
    <n v="0"/>
    <n v="0"/>
    <n v="5000000"/>
    <n v="0"/>
    <n v="5000000"/>
    <n v="0"/>
    <n v="5000000"/>
    <n v="0"/>
    <n v="5000000"/>
    <n v="0"/>
    <n v="5000000"/>
    <n v="0"/>
    <n v="5000000"/>
    <n v="0"/>
    <n v="5000000"/>
    <n v="0"/>
    <n v="5000000"/>
    <n v="0"/>
    <n v="9400000"/>
    <n v="49400000"/>
    <n v="49400000"/>
    <n v="0"/>
    <n v="0"/>
    <s v="Prestación de servicios profesionales para el control de calidad, documentación y fortalecimiento del gobierno de datos geográficos y sectoriales de la UPME, mediante la verificación, normalización y documentación de la información geoespacial, la gestión"/>
    <n v="49400000"/>
    <m/>
    <m/>
    <m/>
    <m/>
    <m/>
    <m/>
    <n v="5000000"/>
    <m/>
    <n v="5000000"/>
    <m/>
    <n v="5000000"/>
    <m/>
    <n v="5000000"/>
    <m/>
    <n v="5000000"/>
    <m/>
    <n v="5000000"/>
    <m/>
    <n v="5000000"/>
    <m/>
    <n v="5000000"/>
    <m/>
    <n v="9400000"/>
    <m/>
    <m/>
    <n v="49400000"/>
    <n v="49400000"/>
    <n v="0"/>
    <n v="0"/>
    <n v="13626"/>
    <d v="2026-01-08T00:00:00"/>
    <n v="49400000"/>
    <n v="0"/>
    <n v="14426"/>
    <d v="2026-01-21T00:00:00"/>
    <n v="49400000"/>
    <n v="0"/>
    <n v="0"/>
    <s v="SIERRA BAUTISTA IVAN DARIO"/>
    <s v="CO1.PCCNTR.8965738"/>
    <n v="49400000"/>
    <m/>
    <m/>
    <m/>
    <n v="1500000"/>
    <n v="1500000"/>
    <m/>
    <n v="5000000"/>
    <n v="5000000"/>
    <m/>
    <n v="5000000"/>
    <n v="5000000"/>
    <m/>
    <m/>
    <m/>
    <m/>
    <m/>
    <m/>
    <m/>
    <m/>
    <m/>
    <m/>
    <m/>
    <m/>
    <m/>
    <m/>
    <m/>
    <m/>
    <m/>
    <m/>
    <m/>
    <m/>
    <m/>
    <m/>
    <m/>
    <m/>
    <n v="49400000"/>
    <n v="11500000"/>
    <n v="11500000"/>
    <n v="37900000"/>
    <n v="0"/>
    <x v="0"/>
  </r>
  <r>
    <x v="0"/>
    <x v="7"/>
    <s v="Implementación de una solución integral para el acceso a los datos y a la información oportuna y de calidad del sector minero energético a nivel nacional"/>
    <s v="Gestión de la Información"/>
    <s v="Sí"/>
    <s v="Sí"/>
    <n v="22"/>
    <s v="131-80"/>
    <s v="Mejorar la calidad de la información producida por el sector minero energético."/>
    <s v="Servicio de Información Actualizado para el Análisis y Toma de Decisiones Estratégicas del Sector"/>
    <s v="Pruebas y aseguramiento de calidad."/>
    <n v="80111620"/>
    <s v="C-2106-1900-14-53105B-2106033-02"/>
    <s v="Prestación de servicios profesionales y/o de apoyo a la gestión"/>
    <s v="131-80 Prestación de servicios de apoyo a la gestión para la exploración, limpieza y análisis de datos institucionales y sectoriales"/>
    <s v="Enero "/>
    <s v="Enero "/>
    <s v="Enero "/>
    <n v="11.5"/>
    <s v="Meses"/>
    <s v="Contratación directa - Prestación de servicios profesionales "/>
    <s v="Propios - 20 - Ingresos corrientes"/>
    <n v="30697520"/>
    <n v="30697520"/>
    <s v="No"/>
    <s v="N/A"/>
    <s v="Guillermo Holguin"/>
    <s v="Subdirector de Gestión de la Información"/>
    <n v="6012220601"/>
    <s v="guillermo.holguin@upme.gov.co"/>
    <n v="0"/>
    <n v="0"/>
    <n v="33000000"/>
    <n v="0"/>
    <n v="0"/>
    <n v="3000000"/>
    <n v="0"/>
    <n v="3000000"/>
    <n v="0"/>
    <n v="3000000"/>
    <n v="0"/>
    <n v="3000000"/>
    <n v="0"/>
    <n v="3000000"/>
    <n v="0"/>
    <n v="3000000"/>
    <n v="0"/>
    <n v="3000000"/>
    <n v="0"/>
    <n v="3000000"/>
    <n v="0"/>
    <n v="3000000"/>
    <n v="0"/>
    <n v="6000000"/>
    <n v="33000000"/>
    <n v="33000000"/>
    <n v="-2302480"/>
    <n v="-2302480"/>
    <s v="Prestación de servicios de apoyo a la gestión para la exploración, limpieza y análisis de datos institucionales y sectoriales"/>
    <n v="0"/>
    <n v="0"/>
    <n v="30697520"/>
    <n v="0"/>
    <n v="0"/>
    <n v="3000000"/>
    <n v="0"/>
    <n v="3000000"/>
    <n v="0"/>
    <n v="3000000"/>
    <n v="0"/>
    <n v="3000000"/>
    <n v="0"/>
    <n v="3000000"/>
    <n v="0"/>
    <n v="3000000"/>
    <n v="0"/>
    <n v="3000000"/>
    <n v="0"/>
    <n v="3000000"/>
    <n v="0"/>
    <n v="3000000"/>
    <n v="0"/>
    <n v="3697520"/>
    <m/>
    <m/>
    <n v="30697520"/>
    <n v="30697520"/>
    <n v="0"/>
    <n v="0"/>
    <n v="34526"/>
    <d v="2026-01-15T00:00:00"/>
    <n v="30697520"/>
    <n v="0"/>
    <n v="38126"/>
    <d v="2026-02-02T00:00:00"/>
    <n v="30697520"/>
    <n v="0"/>
    <n v="0"/>
    <s v="ARANGO CORREA ALEJANDRO"/>
    <s v="CO1.PCCNTR.9183437"/>
    <m/>
    <m/>
    <m/>
    <n v="30884700"/>
    <m/>
    <m/>
    <n v="-187180"/>
    <n v="2620520"/>
    <n v="2620520"/>
    <m/>
    <n v="2807700"/>
    <n v="2807700"/>
    <m/>
    <m/>
    <m/>
    <m/>
    <m/>
    <m/>
    <m/>
    <m/>
    <m/>
    <m/>
    <m/>
    <m/>
    <m/>
    <m/>
    <m/>
    <m/>
    <m/>
    <m/>
    <m/>
    <m/>
    <m/>
    <m/>
    <m/>
    <m/>
    <n v="30697520"/>
    <n v="5428220"/>
    <n v="5428220"/>
    <n v="25269300"/>
    <n v="0"/>
    <x v="0"/>
  </r>
  <r>
    <x v="0"/>
    <x v="7"/>
    <s v="Implementación de una solución integral para el acceso a los datos y a la información oportuna y de calidad del sector minero energético a nivel nacional"/>
    <s v="Gestión de la Información"/>
    <s v="Sí"/>
    <s v="Sí"/>
    <n v="9"/>
    <s v="131-81"/>
    <s v="Fortalecer la implementación de la política de gobierno de datos y gestión de información del sector minero energético."/>
    <s v="Servicio de Información Implementado e Interoperado"/>
    <s v="Pruebas y aseguramiento de calidad."/>
    <n v="80111620"/>
    <s v="C-2106-1900-14-53105B-2106034-02"/>
    <s v="Prestación de servicios profesionales y/o de apoyo a la gestión"/>
    <s v="131-81 Prestación de servicios profesionales para apoyar la proyección de actos administrativos y el cumplimiento de responsabilidades jurídico administrativas a cargo de la Subdirección de Gestión de la Información."/>
    <s v="Enero "/>
    <s v="Enero "/>
    <s v="Enero "/>
    <n v="10.5"/>
    <s v="Meses"/>
    <s v="Contratación directa - Prestación de servicios profesionales "/>
    <s v="Propios - 20 - Ingresos corrientes"/>
    <n v="33000000"/>
    <n v="33000000"/>
    <s v="No"/>
    <s v="N/A"/>
    <s v="Guillermo Holguin"/>
    <s v="Subdirector de Gestión de la Información"/>
    <n v="6012220601"/>
    <s v="guillermo.holguin@upme.gov.co"/>
    <n v="0"/>
    <n v="0"/>
    <n v="0"/>
    <n v="0"/>
    <n v="0"/>
    <n v="0"/>
    <n v="0"/>
    <n v="0"/>
    <n v="0"/>
    <n v="0"/>
    <n v="0"/>
    <n v="0"/>
    <n v="0"/>
    <n v="0"/>
    <n v="33000000"/>
    <n v="0"/>
    <n v="0"/>
    <n v="0"/>
    <n v="0"/>
    <n v="0"/>
    <n v="0"/>
    <n v="0"/>
    <n v="0"/>
    <n v="33000000"/>
    <n v="33000000"/>
    <n v="33000000"/>
    <n v="0"/>
    <n v="0"/>
    <s v="Prestación de servicios profesionales para apoyar la proyección de actos administrativos y el cumplimiento de responsabilidades jurídico administrativas a cargo de la Subdirección de Gestión de la Información."/>
    <m/>
    <m/>
    <m/>
    <m/>
    <m/>
    <m/>
    <m/>
    <m/>
    <m/>
    <m/>
    <m/>
    <m/>
    <m/>
    <m/>
    <n v="33000000"/>
    <m/>
    <m/>
    <m/>
    <m/>
    <m/>
    <m/>
    <m/>
    <m/>
    <n v="33000000"/>
    <m/>
    <m/>
    <n v="33000000"/>
    <n v="33000000"/>
    <n v="0"/>
    <n v="0"/>
    <m/>
    <m/>
    <m/>
    <n v="33000000"/>
    <m/>
    <m/>
    <n v="0"/>
    <n v="33000000"/>
    <n v="0"/>
    <m/>
    <m/>
    <m/>
    <m/>
    <m/>
    <m/>
    <m/>
    <m/>
    <m/>
    <m/>
    <m/>
    <m/>
    <m/>
    <m/>
    <m/>
    <m/>
    <m/>
    <m/>
    <m/>
    <m/>
    <m/>
    <m/>
    <m/>
    <m/>
    <m/>
    <m/>
    <m/>
    <m/>
    <m/>
    <m/>
    <m/>
    <m/>
    <m/>
    <m/>
    <m/>
    <m/>
    <m/>
    <m/>
    <n v="0"/>
    <n v="0"/>
    <n v="0"/>
    <n v="0"/>
    <n v="0"/>
    <x v="0"/>
  </r>
  <r>
    <x v="0"/>
    <x v="8"/>
    <s v="Mejoramiento de la planeación del abastecimiento y confiabilidad del subsector de hidrocarburos a nivel nacional"/>
    <s v="Hidrocarburos"/>
    <s v="Sí"/>
    <s v="Sí"/>
    <n v="8"/>
    <s v="170-1"/>
    <s v="Fortalecer la planificación de la oferta de hidrocarburos."/>
    <s v="Documentos de planeación estratégica del sector hidrocarburos"/>
    <s v="Documento de planeación preliminar."/>
    <n v="93151509"/>
    <s v="C-2103-1900-2-40301B-2103026-02"/>
    <s v="Software - Suscripciones"/>
    <s v="170-1 Realizar la renovación de la suscripción online de S&amp;P Global Commodity Insights."/>
    <s v="Septiembre"/>
    <s v="Octubre"/>
    <s v="Noviembre"/>
    <n v="12"/>
    <s v="Meses"/>
    <s v="Contratación directa  - único oferente"/>
    <s v="Propios - 20 - Ingresos corrientes"/>
    <n v="133781464"/>
    <n v="133781464"/>
    <s v="No"/>
    <s v="N/A"/>
    <s v="Ingrid Fernanda Vásquez Méndez"/>
    <s v="Subdirectora de hidrocarburos"/>
    <n v="6012220601"/>
    <s v="ingrid.vasquez@upme.gov.co"/>
    <n v="0"/>
    <n v="0"/>
    <n v="0"/>
    <n v="0"/>
    <n v="0"/>
    <n v="0"/>
    <n v="0"/>
    <n v="0"/>
    <n v="0"/>
    <n v="0"/>
    <n v="0"/>
    <n v="0"/>
    <n v="0"/>
    <n v="0"/>
    <n v="0"/>
    <n v="0"/>
    <n v="0"/>
    <n v="0"/>
    <n v="0"/>
    <n v="0"/>
    <n v="133781464"/>
    <n v="0"/>
    <n v="0"/>
    <n v="133781464"/>
    <n v="133781464"/>
    <n v="133781464"/>
    <n v="0"/>
    <n v="0"/>
    <s v="Realizar la renovación de la suscripción online de S&amp;P Global Commodity Insights."/>
    <m/>
    <m/>
    <m/>
    <m/>
    <m/>
    <m/>
    <m/>
    <m/>
    <m/>
    <m/>
    <m/>
    <m/>
    <m/>
    <m/>
    <m/>
    <m/>
    <m/>
    <m/>
    <m/>
    <m/>
    <n v="133781464"/>
    <m/>
    <m/>
    <n v="133781464"/>
    <m/>
    <m/>
    <n v="133781464"/>
    <n v="133781464"/>
    <n v="0"/>
    <n v="0"/>
    <m/>
    <m/>
    <m/>
    <n v="133781464"/>
    <m/>
    <m/>
    <n v="0"/>
    <n v="133781464"/>
    <n v="0"/>
    <m/>
    <m/>
    <m/>
    <m/>
    <m/>
    <m/>
    <m/>
    <m/>
    <m/>
    <m/>
    <m/>
    <m/>
    <m/>
    <m/>
    <m/>
    <m/>
    <m/>
    <m/>
    <m/>
    <m/>
    <m/>
    <m/>
    <m/>
    <m/>
    <m/>
    <m/>
    <m/>
    <m/>
    <m/>
    <m/>
    <m/>
    <m/>
    <m/>
    <m/>
    <m/>
    <m/>
    <m/>
    <m/>
    <n v="0"/>
    <n v="0"/>
    <n v="0"/>
    <n v="0"/>
    <n v="0"/>
    <x v="0"/>
  </r>
  <r>
    <x v="0"/>
    <x v="8"/>
    <s v="Mejoramiento de la planeación del abastecimiento y confiabilidad del subsector de hidrocarburos a nivel nacional"/>
    <s v="Hidrocarburos"/>
    <s v="Sí"/>
    <s v="Sí"/>
    <n v="21"/>
    <s v="170-2"/>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2 Prestar los servicios profesionales para realizar el seguimiento y control de las actividades de planeación estratégica, procesos contractuales, ejecución presupuestal y ejecución del proyecto de inversión para el cumplimiento de las metas y objetiv"/>
    <s v="Enero "/>
    <s v="Enero "/>
    <s v="Enero "/>
    <n v="11.7"/>
    <s v="Meses"/>
    <s v="Contratación directa - Prestación de servicios profesionales "/>
    <s v="Propios - 20 - Ingresos corrientes"/>
    <n v="111469661"/>
    <n v="111469661"/>
    <s v="No"/>
    <s v="N/A"/>
    <s v="Ingrid Fernanda Vásquez Méndez"/>
    <s v="Subdirectora de hidrocarburos"/>
    <n v="6012220601"/>
    <s v="ingrid.vasquez@upme.gov.co"/>
    <n v="111469661"/>
    <n v="0"/>
    <n v="0"/>
    <n v="4846507"/>
    <n v="0"/>
    <n v="9693014"/>
    <n v="0"/>
    <n v="9693014"/>
    <n v="0"/>
    <n v="9693014"/>
    <n v="0"/>
    <n v="9693014"/>
    <n v="1938603"/>
    <n v="9693014"/>
    <n v="0"/>
    <n v="9693014"/>
    <n v="0"/>
    <n v="9693014"/>
    <n v="0"/>
    <n v="9693014"/>
    <n v="0"/>
    <n v="9693014"/>
    <n v="0"/>
    <n v="21324631"/>
    <n v="113408264"/>
    <n v="113408264"/>
    <n v="-1938603"/>
    <n v="-1938603"/>
    <s v="Prestar los servicios profesionales para realizar el seguimiento y control de las actividades de planeación estratégica, procesos contractuales, ejecución presupuestal y ejecución del proyecto de inversión para el cumplimiento de las metas y objetivos de "/>
    <m/>
    <m/>
    <m/>
    <m/>
    <m/>
    <m/>
    <m/>
    <m/>
    <m/>
    <m/>
    <m/>
    <m/>
    <m/>
    <m/>
    <m/>
    <m/>
    <m/>
    <m/>
    <m/>
    <m/>
    <m/>
    <m/>
    <m/>
    <m/>
    <m/>
    <m/>
    <n v="111469661"/>
    <n v="111469661"/>
    <n v="0"/>
    <n v="0"/>
    <n v="3726"/>
    <d v="2026-01-05T00:00:00"/>
    <n v="111469661"/>
    <n v="0"/>
    <n v="9326"/>
    <d v="2026-01-15T00:00:00"/>
    <n v="111469661"/>
    <n v="0"/>
    <n v="0"/>
    <s v="CORTES PARRA SINDY ALEXANDRA"/>
    <s v="No. CO1.PCCNTR.8849277"/>
    <n v="111469661"/>
    <m/>
    <m/>
    <m/>
    <n v="4846507"/>
    <n v="4846507"/>
    <m/>
    <n v="9693014"/>
    <n v="9693014"/>
    <m/>
    <n v="9693014"/>
    <n v="9693014"/>
    <m/>
    <m/>
    <m/>
    <m/>
    <m/>
    <m/>
    <m/>
    <m/>
    <m/>
    <m/>
    <m/>
    <m/>
    <m/>
    <m/>
    <m/>
    <m/>
    <m/>
    <m/>
    <m/>
    <m/>
    <m/>
    <m/>
    <m/>
    <m/>
    <n v="111469661"/>
    <n v="24232535"/>
    <n v="24232535"/>
    <n v="87237126"/>
    <n v="0"/>
    <x v="0"/>
  </r>
  <r>
    <x v="0"/>
    <x v="8"/>
    <s v="Mejoramiento de la planeación del abastecimiento y confiabilidad del subsector de hidrocarburos a nivel nacional"/>
    <s v="Hidrocarburos"/>
    <s v="Sí"/>
    <s v="Sí"/>
    <n v="21"/>
    <s v="170-3"/>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3 Prestar servicios profesionales para brindar apoyo jurídico a la Subdirección de Hidrocarburos en la ejecución y seguimiento de la política pública correspondiente al sector."/>
    <s v="Enero "/>
    <s v="Enero "/>
    <s v="Enero "/>
    <n v="11.7"/>
    <s v="Meses"/>
    <s v="Contratación directa - Prestación de servicios profesionales "/>
    <s v="Propios - 20 - Ingresos corrientes"/>
    <n v="109207958"/>
    <n v="109207958"/>
    <s v="No"/>
    <s v="N/A"/>
    <s v="Ingrid Fernanda Vásquez Méndez"/>
    <s v="Subdirectora de hidrocarburos"/>
    <n v="6012220601"/>
    <s v="ingrid.vasquez@upme.gov.co"/>
    <n v="111469661"/>
    <n v="0"/>
    <n v="0"/>
    <n v="2584804"/>
    <n v="0"/>
    <n v="9693014"/>
    <n v="0"/>
    <n v="9693014"/>
    <n v="0"/>
    <n v="9693014"/>
    <n v="0"/>
    <n v="9693014"/>
    <n v="0"/>
    <n v="9693014"/>
    <n v="1938602"/>
    <n v="9693014"/>
    <n v="0"/>
    <n v="9693014"/>
    <n v="0"/>
    <n v="9693014"/>
    <n v="0"/>
    <n v="9693014"/>
    <n v="0"/>
    <n v="23586333"/>
    <n v="113408263"/>
    <n v="113408263"/>
    <n v="-4200305"/>
    <n v="-4200305"/>
    <s v="Prestar servicios profesionales para brindar apoyo jurídico a la Subdirección de Hidrocarburos en la ejecución y seguimiento de la política pública correspondiente al sector."/>
    <n v="111469661"/>
    <m/>
    <m/>
    <n v="4846507"/>
    <m/>
    <n v="9693014"/>
    <m/>
    <n v="9693014"/>
    <m/>
    <n v="9693014"/>
    <m/>
    <n v="9693014"/>
    <m/>
    <n v="9693014"/>
    <m/>
    <n v="9693014"/>
    <m/>
    <n v="9693014"/>
    <m/>
    <n v="9693014"/>
    <m/>
    <n v="9693014"/>
    <m/>
    <n v="19386028"/>
    <m/>
    <m/>
    <n v="109207958"/>
    <n v="109207958"/>
    <n v="0"/>
    <n v="0"/>
    <n v="20326"/>
    <d v="2026-01-11T00:00:00"/>
    <n v="109207958"/>
    <n v="0"/>
    <n v="17526"/>
    <d v="2026-01-22T00:00:00"/>
    <n v="109207958"/>
    <n v="0"/>
    <n v="0"/>
    <s v="RINCON MALAVER LUZ ALEXANDRA"/>
    <s v="CO1.PCCNTR.8980748"/>
    <n v="111469661"/>
    <m/>
    <m/>
    <n v="-2261703"/>
    <m/>
    <m/>
    <m/>
    <n v="2584804"/>
    <n v="2584804"/>
    <m/>
    <n v="9693014"/>
    <n v="9693014"/>
    <m/>
    <m/>
    <m/>
    <m/>
    <m/>
    <m/>
    <m/>
    <m/>
    <m/>
    <m/>
    <m/>
    <m/>
    <m/>
    <m/>
    <m/>
    <m/>
    <m/>
    <m/>
    <m/>
    <m/>
    <m/>
    <m/>
    <m/>
    <m/>
    <n v="109207958"/>
    <n v="12277818"/>
    <n v="12277818"/>
    <n v="96930140"/>
    <n v="0"/>
    <x v="0"/>
  </r>
  <r>
    <x v="0"/>
    <x v="8"/>
    <s v="Mejoramiento de la planeación del abastecimiento y confiabilidad del subsector de hidrocarburos a nivel nacional"/>
    <s v="Hidrocarburos"/>
    <s v="Sí"/>
    <s v="Sí"/>
    <n v="21"/>
    <s v="170-4"/>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4 Prestar servicios profesionales de asesoría jurídica en temas asociados a los procesos abiertos y competitivos que adelante la Subdirección de Hidrocarburos."/>
    <s v="Enero "/>
    <s v="Enero "/>
    <s v="Enero "/>
    <n v="11.7"/>
    <s v="Meses"/>
    <s v="Contratación directa - Prestación de servicios profesionales "/>
    <s v="Propios - 20 - Ingresos corrientes"/>
    <n v="93342000"/>
    <n v="93342000"/>
    <s v="No"/>
    <s v="N/A"/>
    <s v="Ingrid Fernanda Vásquez Méndez"/>
    <s v="Subdirectora de hidrocarburos"/>
    <n v="6012220601"/>
    <s v="ingrid.vasquez@upme.gov.co"/>
    <n v="94470000"/>
    <n v="0"/>
    <n v="0"/>
    <n v="0"/>
    <n v="0"/>
    <n v="7332000"/>
    <n v="0"/>
    <n v="8460000"/>
    <n v="0"/>
    <n v="8460000"/>
    <n v="0"/>
    <n v="8460000"/>
    <n v="0"/>
    <n v="8460000"/>
    <n v="4512000"/>
    <n v="8460000"/>
    <n v="0"/>
    <n v="8460000"/>
    <n v="0"/>
    <n v="8460000"/>
    <n v="0"/>
    <n v="8460000"/>
    <n v="0"/>
    <n v="23970000"/>
    <n v="98982000"/>
    <n v="98982000"/>
    <n v="-5640000"/>
    <n v="-5640000"/>
    <s v="Prestar servicios profesionales de asesoría jurídica en temas asociados a los procesos abiertos y competitivos que adelante la Subdirección de Hidrocarburos."/>
    <n v="109207958"/>
    <m/>
    <m/>
    <n v="2584804"/>
    <m/>
    <n v="9693014"/>
    <m/>
    <n v="9693014"/>
    <m/>
    <n v="9693014"/>
    <m/>
    <n v="9693014"/>
    <m/>
    <n v="9693014"/>
    <m/>
    <n v="9693014"/>
    <m/>
    <n v="9693014"/>
    <m/>
    <n v="9693014"/>
    <m/>
    <n v="9693014"/>
    <m/>
    <n v="19386028"/>
    <m/>
    <m/>
    <n v="93342000"/>
    <n v="93342000"/>
    <n v="0"/>
    <n v="0"/>
    <n v="21026"/>
    <d v="2026-01-11T00:00:00"/>
    <n v="93342000"/>
    <n v="0"/>
    <n v="28526"/>
    <d v="2026-01-28T00:00:00"/>
    <n v="93342000"/>
    <n v="0"/>
    <n v="0"/>
    <s v="HOYOS GOMEZ JUAN SEBASTIAN"/>
    <s v="CO1.PCCNTR.9139383"/>
    <n v="94470000"/>
    <m/>
    <m/>
    <n v="-1128000"/>
    <m/>
    <m/>
    <m/>
    <n v="8742000"/>
    <n v="8742000"/>
    <m/>
    <n v="8460000"/>
    <n v="8460000"/>
    <m/>
    <m/>
    <m/>
    <m/>
    <m/>
    <m/>
    <m/>
    <m/>
    <m/>
    <m/>
    <m/>
    <m/>
    <m/>
    <m/>
    <m/>
    <m/>
    <m/>
    <m/>
    <m/>
    <m/>
    <m/>
    <m/>
    <m/>
    <m/>
    <n v="93342000"/>
    <n v="17202000"/>
    <n v="17202000"/>
    <n v="76140000"/>
    <n v="0"/>
    <x v="0"/>
  </r>
  <r>
    <x v="0"/>
    <x v="8"/>
    <s v="Mejoramiento de la planeación del abastecimiento y confiabilidad del subsector de hidrocarburos a nivel nacional"/>
    <s v="Hidrocarburos"/>
    <s v="Sí"/>
    <s v="Sí"/>
    <n v="21"/>
    <s v="170-5"/>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5 Prestar servicios profesionales para apoyar la elaboración, desarrollo, análisis de información y demás actividades relacionadas con el Plan Indicativo de Combustibles Líquidos a cargo de la Subdirección de Hidrocarburos"/>
    <s v="Enero "/>
    <s v="Enero "/>
    <s v="Enero "/>
    <n v="11.7"/>
    <s v="Meses"/>
    <s v="Contratación directa - Prestación de servicios profesionales "/>
    <s v="Propios - 20 - Ingresos corrientes"/>
    <n v="102920000"/>
    <n v="102920000"/>
    <s v="No"/>
    <s v="N/A"/>
    <s v="Ingrid Fernanda Vásquez Méndez"/>
    <s v="Subdirectora de hidrocarburos"/>
    <n v="6012220601"/>
    <s v="ingrid.vasquez@upme.gov.co"/>
    <n v="104780000"/>
    <n v="0"/>
    <n v="0"/>
    <n v="0"/>
    <n v="0"/>
    <n v="8060000"/>
    <n v="0"/>
    <n v="9300000"/>
    <n v="0"/>
    <n v="9300000"/>
    <n v="0"/>
    <n v="9300000"/>
    <n v="0"/>
    <n v="9300000"/>
    <n v="4030000"/>
    <n v="9300000"/>
    <n v="0"/>
    <n v="9300000"/>
    <n v="0"/>
    <n v="9300000"/>
    <n v="0"/>
    <n v="9300000"/>
    <n v="0"/>
    <n v="26350000"/>
    <n v="108810000"/>
    <n v="108810000"/>
    <n v="-5890000"/>
    <n v="-5890000"/>
    <s v="Prestar servicios profesionales para apoyar la elaboración, desarrollo, análisis de información y demás actividades relacionadas con el Plan Indicativo de Combustibles Líquidos a cargo de la Subdirección de Hidrocarburos"/>
    <n v="93342000"/>
    <m/>
    <m/>
    <m/>
    <m/>
    <n v="7332000"/>
    <m/>
    <n v="8460000"/>
    <m/>
    <n v="8460000"/>
    <m/>
    <n v="8460000"/>
    <m/>
    <n v="8460000"/>
    <m/>
    <n v="8460000"/>
    <m/>
    <n v="8460000"/>
    <m/>
    <n v="9870000"/>
    <m/>
    <n v="8460000"/>
    <m/>
    <n v="16920000"/>
    <m/>
    <m/>
    <n v="102920000"/>
    <n v="102920000"/>
    <n v="0"/>
    <n v="0"/>
    <n v="43826"/>
    <d v="2026-01-17T00:00:00"/>
    <n v="102920000"/>
    <n v="0"/>
    <n v="26726"/>
    <d v="2026-01-28T00:00:00"/>
    <n v="102920000"/>
    <n v="0"/>
    <n v="0"/>
    <s v="GONZALEZ CLEVES NASHLA NAYELLI"/>
    <s v="CO1.PCCNTR.9119882"/>
    <n v="104780000"/>
    <m/>
    <m/>
    <n v="-1860000"/>
    <m/>
    <m/>
    <m/>
    <n v="9920000"/>
    <n v="9920000"/>
    <m/>
    <m/>
    <m/>
    <m/>
    <m/>
    <m/>
    <m/>
    <m/>
    <m/>
    <m/>
    <m/>
    <m/>
    <m/>
    <m/>
    <m/>
    <m/>
    <m/>
    <m/>
    <m/>
    <m/>
    <m/>
    <m/>
    <m/>
    <m/>
    <m/>
    <m/>
    <m/>
    <n v="102920000"/>
    <n v="9920000"/>
    <n v="9920000"/>
    <n v="93000000"/>
    <n v="0"/>
    <x v="0"/>
  </r>
  <r>
    <x v="0"/>
    <x v="8"/>
    <s v="Mejoramiento de la planeación del abastecimiento y confiabilidad del subsector de hidrocarburos a nivel nacional"/>
    <s v="Hidrocarburos"/>
    <s v="Sí"/>
    <s v="Sí"/>
    <n v="21"/>
    <s v="170-6"/>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6 Prestar los servicios profesionales para apoyar la estructuración, seguimiento, ejecución y control de los procesos abiertos y competitivos que adelante la Subdirección de Hidrocarburos."/>
    <s v="Enero "/>
    <s v="Enero "/>
    <s v="Enero "/>
    <n v="11.7"/>
    <s v="Meses"/>
    <s v="Contratación directa - Prestación de servicios profesionales "/>
    <s v="Propios - 20 - Ingresos corrientes"/>
    <n v="17966667"/>
    <n v="17966667"/>
    <s v="No"/>
    <s v="N/A"/>
    <s v="Ingrid Fernanda Vásquez Méndez"/>
    <s v="Subdirectora de hidrocarburos"/>
    <n v="6012220601"/>
    <s v="ingrid.vasquez@upme.gov.co"/>
    <n v="88550000"/>
    <n v="0"/>
    <n v="0"/>
    <n v="2566667"/>
    <n v="0"/>
    <n v="7700000"/>
    <n v="0"/>
    <n v="7700000"/>
    <n v="0"/>
    <n v="7700000"/>
    <n v="0"/>
    <n v="7700000"/>
    <n v="0"/>
    <n v="7700000"/>
    <n v="1540000"/>
    <n v="7700000"/>
    <n v="0"/>
    <n v="7700000"/>
    <n v="0"/>
    <n v="7700000"/>
    <n v="0"/>
    <n v="7700000"/>
    <n v="0"/>
    <n v="18223333"/>
    <n v="90090000"/>
    <n v="90090000"/>
    <n v="-72123333"/>
    <n v="-72123333"/>
    <s v="Prestar los servicios profesionales para apoyar la estructuración, seguimiento, ejecución y control de los procesos abiertos y competitivos que adelante la Subdirección de Hidrocarburos."/>
    <n v="102920000"/>
    <m/>
    <m/>
    <m/>
    <m/>
    <n v="8060000"/>
    <m/>
    <n v="9300000"/>
    <m/>
    <n v="9300000"/>
    <m/>
    <n v="9300000"/>
    <m/>
    <n v="9300000"/>
    <m/>
    <n v="9300000"/>
    <m/>
    <n v="9300000"/>
    <m/>
    <n v="11160000"/>
    <m/>
    <n v="9300000"/>
    <m/>
    <n v="18600000"/>
    <m/>
    <m/>
    <n v="17966667"/>
    <n v="17966667"/>
    <n v="0"/>
    <n v="0"/>
    <n v="13826"/>
    <d v="2026-01-08T00:00:00"/>
    <n v="17966667"/>
    <n v="0"/>
    <n v="13026"/>
    <d v="2026-01-20T00:00:00"/>
    <n v="17966667"/>
    <n v="0"/>
    <n v="0"/>
    <s v="SIERRA RAMIREZ LAURA MILENA"/>
    <s v="CO1.PCCNTR.8897373"/>
    <n v="88550000"/>
    <m/>
    <m/>
    <n v="-1283333"/>
    <n v="2566667"/>
    <n v="2566667"/>
    <m/>
    <n v="7700000"/>
    <n v="7700000"/>
    <n v="-69300000"/>
    <m/>
    <m/>
    <m/>
    <m/>
    <m/>
    <m/>
    <m/>
    <m/>
    <m/>
    <m/>
    <m/>
    <m/>
    <m/>
    <m/>
    <m/>
    <m/>
    <m/>
    <m/>
    <m/>
    <m/>
    <m/>
    <m/>
    <m/>
    <m/>
    <m/>
    <m/>
    <n v="17966667"/>
    <n v="10266667"/>
    <n v="10266667"/>
    <n v="7700000"/>
    <n v="0"/>
    <x v="0"/>
  </r>
  <r>
    <x v="0"/>
    <x v="8"/>
    <s v="Mejoramiento de la planeación del abastecimiento y confiabilidad del subsector de hidrocarburos a nivel nacional"/>
    <s v="Hidrocarburos"/>
    <s v="Sí"/>
    <s v="Sí"/>
    <n v="21"/>
    <s v="170-7"/>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7 Prestar servicios profesionales para apoyar la estructuración y desarrollo de lineamientos técnicos relacionados con procesos de selección y/o evaluación de proyectos de infraestructura que contribuyan al cumplimiento de los objetivos de la Subdirec"/>
    <s v="Enero "/>
    <s v="Enero "/>
    <s v="Enero "/>
    <n v="11.7"/>
    <s v="Meses"/>
    <s v="Contratación directa - Prestación de servicios profesionales "/>
    <s v="Propios - 20 - Ingresos corrientes"/>
    <n v="86933333"/>
    <n v="86933333"/>
    <s v="No"/>
    <s v="N/A"/>
    <s v="Ingrid Fernanda Vásquez Méndez"/>
    <s v="Subdirectora de hidrocarburos"/>
    <n v="6012220601"/>
    <s v="ingrid.vasquez@upme.gov.co"/>
    <n v="0"/>
    <n v="0"/>
    <n v="88000000"/>
    <n v="0"/>
    <n v="0"/>
    <n v="6933333"/>
    <n v="0"/>
    <n v="8000000"/>
    <n v="0"/>
    <n v="8000000"/>
    <n v="0"/>
    <n v="8000000"/>
    <n v="0"/>
    <n v="8000000"/>
    <n v="0"/>
    <n v="8000000"/>
    <n v="0"/>
    <n v="8000000"/>
    <n v="0"/>
    <n v="8000000"/>
    <n v="0"/>
    <n v="8000000"/>
    <n v="0"/>
    <n v="17066667"/>
    <n v="88000000"/>
    <n v="88000000"/>
    <n v="-1066667"/>
    <n v="-1066667"/>
    <s v="Prestar servicios profesionales para apoyar la estructuración y desarrollo de lineamientos técnicos relacionados con procesos de selección y/o evaluación de proyectos de infraestructura que contribuyan al cumplimiento de los objetivos de la Subdirección d"/>
    <n v="17966667"/>
    <m/>
    <m/>
    <n v="2566667"/>
    <m/>
    <n v="7700000"/>
    <m/>
    <n v="7700000"/>
    <m/>
    <m/>
    <m/>
    <m/>
    <m/>
    <m/>
    <m/>
    <m/>
    <m/>
    <m/>
    <m/>
    <m/>
    <m/>
    <m/>
    <m/>
    <m/>
    <m/>
    <m/>
    <n v="154212100"/>
    <n v="154212100"/>
    <n v="-67278767"/>
    <n v="-67278767"/>
    <n v="4726"/>
    <d v="2026-01-05T00:00:00"/>
    <n v="87200000"/>
    <n v="-266667"/>
    <n v="40626"/>
    <d v="2026-02-04T00:00:00"/>
    <n v="87200000"/>
    <n v="-266667"/>
    <n v="0"/>
    <s v="RODRIGUEZ LEON KATHERINE"/>
    <s v="CO1.PCCNTR.9245362"/>
    <m/>
    <m/>
    <m/>
    <n v="88000000"/>
    <m/>
    <m/>
    <n v="-800000"/>
    <n v="6933333"/>
    <n v="6933333"/>
    <m/>
    <n v="8000000"/>
    <n v="8000000"/>
    <m/>
    <m/>
    <m/>
    <m/>
    <m/>
    <m/>
    <m/>
    <m/>
    <m/>
    <m/>
    <m/>
    <m/>
    <m/>
    <m/>
    <m/>
    <m/>
    <m/>
    <m/>
    <m/>
    <m/>
    <m/>
    <m/>
    <m/>
    <m/>
    <n v="87200000"/>
    <n v="14933333"/>
    <n v="14933333"/>
    <n v="72266667"/>
    <n v="0"/>
    <x v="0"/>
  </r>
  <r>
    <x v="0"/>
    <x v="8"/>
    <s v="Mejoramiento de la planeación del abastecimiento y confiabilidad del subsector de hidrocarburos a nivel nacional"/>
    <s v="Hidrocarburos"/>
    <s v="Sí"/>
    <s v="Sí"/>
    <n v="21"/>
    <s v="170-8"/>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8 Prestar servicios profesionales de asesoría en la elaboración, estructuración y desarrollo de planes, así como acompañar la definición y desarrollo de lineamientos técnicos relacionados con los temas que requieran la Dirección General y la Subdirecc"/>
    <s v="Enero "/>
    <s v="Enero "/>
    <s v="Enero "/>
    <n v="11.7"/>
    <s v="Meses"/>
    <s v="Contratación directa - Prestación de servicios profesionales "/>
    <s v="Propios - 20 - Ingresos corrientes"/>
    <n v="154212100"/>
    <n v="154212100"/>
    <s v="No"/>
    <s v="N/A"/>
    <s v="Ingrid Fernanda Vásquez Méndez"/>
    <s v="Subdirectora de hidrocarburos"/>
    <n v="6012220601"/>
    <s v="ingrid.vasquez@upme.gov.co"/>
    <n v="154212100"/>
    <n v="0"/>
    <n v="0"/>
    <n v="4535650"/>
    <n v="0"/>
    <n v="13606950"/>
    <n v="0"/>
    <n v="13606950"/>
    <n v="0"/>
    <n v="13606950"/>
    <n v="0"/>
    <n v="13606950"/>
    <n v="0"/>
    <n v="13606950"/>
    <n v="4989215"/>
    <n v="13606950"/>
    <n v="0"/>
    <n v="13606950"/>
    <n v="0"/>
    <n v="13606950"/>
    <n v="0"/>
    <n v="13606950"/>
    <n v="0"/>
    <n v="32203115"/>
    <n v="159201315"/>
    <n v="159201315"/>
    <n v="-4989215"/>
    <n v="-4989215"/>
    <s v="Prestar servicios profesionales de asesoría en la elaboración, estructuración y desarrollo de planes, así como acompañar la definición y desarrollo de lineamientos técnicos relacionados con los temas que requieran la Dirección General y la Subdirección de"/>
    <n v="154212100"/>
    <m/>
    <m/>
    <n v="4535650"/>
    <m/>
    <n v="13606950"/>
    <m/>
    <n v="13606950"/>
    <m/>
    <n v="13606950"/>
    <m/>
    <n v="13606950"/>
    <m/>
    <n v="13606950"/>
    <m/>
    <n v="13606950"/>
    <m/>
    <n v="13606950"/>
    <m/>
    <n v="13606950"/>
    <m/>
    <n v="13606950"/>
    <m/>
    <n v="27213900"/>
    <m/>
    <m/>
    <e v="#REF!"/>
    <e v="#REF!"/>
    <e v="#REF!"/>
    <e v="#REF!"/>
    <n v="18526"/>
    <d v="2026-01-05T00:00:00"/>
    <n v="154212100"/>
    <n v="0"/>
    <n v="12226"/>
    <d v="2026-01-11T00:00:00"/>
    <n v="154212100"/>
    <n v="0"/>
    <n v="0"/>
    <s v="CERQUERA LOZADA HAYDEE DAISY"/>
    <s v="CO1.PCCNTR.8960035"/>
    <n v="154212100"/>
    <m/>
    <m/>
    <m/>
    <m/>
    <m/>
    <m/>
    <m/>
    <m/>
    <m/>
    <n v="31749550"/>
    <n v="31749550"/>
    <m/>
    <m/>
    <m/>
    <m/>
    <m/>
    <m/>
    <m/>
    <m/>
    <m/>
    <m/>
    <m/>
    <m/>
    <m/>
    <m/>
    <m/>
    <m/>
    <m/>
    <m/>
    <m/>
    <m/>
    <m/>
    <m/>
    <m/>
    <m/>
    <n v="154212100"/>
    <n v="31749550"/>
    <n v="31749550"/>
    <n v="122462550"/>
    <n v="0"/>
    <x v="0"/>
  </r>
  <r>
    <x v="0"/>
    <x v="8"/>
    <s v="Mejoramiento de la planeación del abastecimiento y confiabilidad del subsector de hidrocarburos a nivel nacional"/>
    <s v="Hidrocarburos"/>
    <s v="Sí"/>
    <s v="Sí"/>
    <n v="8"/>
    <s v="170-9"/>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9 Prestar servicios de apoyo a la gestión para el desarrollo de actividades administrativas y de gestión estratégica  institucional que le sean asignadas, de conformidad con las necesidades de la Subdirección de Hidrocarburos."/>
    <s v="Enero "/>
    <s v="Enero "/>
    <s v="Enero "/>
    <n v="11.7"/>
    <s v="Meses"/>
    <s v="Contratación directa - Prestación de servicios profesionales "/>
    <s v="Propios - 20 - Ingresos corrientes"/>
    <n v="55486200"/>
    <n v="55486200"/>
    <s v="No"/>
    <s v="N/A"/>
    <s v="Ingrid Fernanda Vásquez Méndez"/>
    <s v="Subdirectora de hidrocarburos"/>
    <n v="6012220601"/>
    <s v="ingrid.vasquez@upme.gov.co"/>
    <n v="55486200"/>
    <n v="0"/>
    <n v="0"/>
    <n v="0"/>
    <n v="0"/>
    <n v="4371640"/>
    <n v="0"/>
    <n v="5044200"/>
    <n v="0"/>
    <n v="5044200"/>
    <n v="0"/>
    <n v="5044200"/>
    <n v="0"/>
    <n v="5044200"/>
    <n v="0"/>
    <n v="5044200"/>
    <n v="0"/>
    <n v="5044200"/>
    <n v="0"/>
    <n v="5044200"/>
    <n v="0"/>
    <n v="5044200"/>
    <n v="0"/>
    <n v="10760960"/>
    <n v="55486200"/>
    <n v="55486200"/>
    <n v="0"/>
    <n v="0"/>
    <s v="Prestar servicios de apoyo a la gestión para el desarrollo de actividades administrativas y de gestión estratégica  institucional que le sean asignadas, de conformidad con las necesidades de la Subdirección de Hidrocarburos."/>
    <n v="55486200"/>
    <m/>
    <m/>
    <m/>
    <m/>
    <n v="4371640"/>
    <m/>
    <n v="5044200"/>
    <m/>
    <n v="5044200"/>
    <m/>
    <n v="5044200"/>
    <m/>
    <n v="5044200"/>
    <m/>
    <n v="5044200"/>
    <m/>
    <n v="5044200"/>
    <m/>
    <n v="5044200"/>
    <m/>
    <n v="5044200"/>
    <m/>
    <n v="10760960"/>
    <m/>
    <m/>
    <n v="55486200"/>
    <n v="55486200"/>
    <n v="0"/>
    <n v="0"/>
    <n v="61226"/>
    <d v="2026-01-23T00:00:00"/>
    <n v="55486200"/>
    <n v="0"/>
    <n v="34426"/>
    <d v="2026-01-29T00:00:00"/>
    <n v="55486200"/>
    <n v="0"/>
    <n v="0"/>
    <s v="PAEZ ESPITIA BIBIANA ELISA"/>
    <s v="CO1.PCCNTR.9172724"/>
    <n v="55486200"/>
    <m/>
    <m/>
    <m/>
    <m/>
    <m/>
    <m/>
    <n v="5212340"/>
    <n v="5212340"/>
    <m/>
    <n v="5044200"/>
    <n v="5044200"/>
    <m/>
    <m/>
    <m/>
    <m/>
    <m/>
    <m/>
    <m/>
    <m/>
    <m/>
    <m/>
    <m/>
    <m/>
    <m/>
    <m/>
    <m/>
    <m/>
    <m/>
    <m/>
    <m/>
    <m/>
    <m/>
    <m/>
    <m/>
    <m/>
    <n v="55486200"/>
    <n v="10256540"/>
    <n v="10256540"/>
    <n v="45229660"/>
    <n v="0"/>
    <x v="0"/>
  </r>
  <r>
    <x v="0"/>
    <x v="8"/>
    <s v="Mejoramiento de la planeación del abastecimiento y confiabilidad del subsector de hidrocarburos a nivel nacional"/>
    <s v="Hidrocarburos"/>
    <s v="Sí"/>
    <s v="Sí"/>
    <n v="21"/>
    <s v="170-10"/>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10 Prestar servicios profesionales de apoyo jurídico en la gestión de los temas asociados a las convocatorias y planes a cargo de la Subdirección de Hidrocarburos."/>
    <s v="Enero "/>
    <s v="Enero "/>
    <s v="Enero "/>
    <n v="11.5"/>
    <s v="Meses"/>
    <s v="Contratación directa - Prestación de servicios profesionales "/>
    <s v="Propios - 20 - Ingresos corrientes"/>
    <n v="103400000"/>
    <n v="103400000"/>
    <s v="No"/>
    <s v="N/A"/>
    <s v="Ingrid Fernanda Vásquez Méndez"/>
    <s v="Subdirectora de hidrocarburos"/>
    <n v="6012220601"/>
    <s v="ingrid.vasquez@upme.gov.co"/>
    <n v="103400000"/>
    <n v="0"/>
    <n v="0"/>
    <n v="0"/>
    <n v="0"/>
    <n v="9000000"/>
    <n v="0"/>
    <n v="9000000"/>
    <n v="0"/>
    <n v="9000000"/>
    <n v="0"/>
    <n v="9000000"/>
    <n v="0"/>
    <n v="9000000"/>
    <n v="100000"/>
    <n v="9000000"/>
    <n v="0"/>
    <n v="9000000"/>
    <n v="0"/>
    <n v="9000000"/>
    <n v="0"/>
    <n v="9000000"/>
    <n v="0"/>
    <n v="22500000"/>
    <n v="103500000"/>
    <n v="103500000"/>
    <n v="-100000"/>
    <n v="-100000"/>
    <s v="Prestar servicios profesionales de apoyo jurídico en la gestión de los temas asociados a las convocatorias y planes a cargo de la Subdirección de Hidrocarburos."/>
    <n v="103400000"/>
    <m/>
    <m/>
    <m/>
    <m/>
    <n v="9713333"/>
    <m/>
    <n v="9400000"/>
    <m/>
    <n v="9400000"/>
    <m/>
    <n v="9400000"/>
    <m/>
    <n v="9400000"/>
    <m/>
    <n v="9400000"/>
    <m/>
    <n v="9400000"/>
    <m/>
    <n v="9400000"/>
    <m/>
    <n v="9400000"/>
    <m/>
    <n v="18486667"/>
    <m/>
    <m/>
    <n v="103400000"/>
    <n v="103400000"/>
    <n v="0"/>
    <n v="0"/>
    <n v="43226"/>
    <d v="2026-01-17T00:00:00"/>
    <n v="103400000"/>
    <n v="0"/>
    <n v="33826"/>
    <d v="2026-01-29T00:00:00"/>
    <n v="103400000"/>
    <n v="0"/>
    <n v="0"/>
    <s v="ARIAS BUITRAGO DIANA CAROLINA"/>
    <s v="CO1.PCCNTR.9169885"/>
    <n v="103400000"/>
    <m/>
    <m/>
    <m/>
    <m/>
    <m/>
    <m/>
    <n v="9713333"/>
    <n v="9713333"/>
    <m/>
    <n v="9400000"/>
    <n v="9400000"/>
    <m/>
    <m/>
    <m/>
    <m/>
    <m/>
    <m/>
    <m/>
    <m/>
    <m/>
    <m/>
    <m/>
    <m/>
    <m/>
    <m/>
    <m/>
    <m/>
    <m/>
    <m/>
    <m/>
    <m/>
    <m/>
    <m/>
    <m/>
    <m/>
    <n v="103400000"/>
    <n v="19113333"/>
    <n v="19113333"/>
    <n v="84286667"/>
    <n v="0"/>
    <x v="0"/>
  </r>
  <r>
    <x v="0"/>
    <x v="8"/>
    <s v="Mejoramiento de la planeación del abastecimiento y confiabilidad del subsector de hidrocarburos a nivel nacional"/>
    <s v="Hidrocarburos"/>
    <s v="Sí"/>
    <s v="Sí"/>
    <n v="21"/>
    <s v="170-11"/>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11 Prestar servicios profesionales para apoyar el análisis y elaboración de metodologías para la proyección de precios de los energéticos en el contexto de las políticas energéticas a cargo de la Subdirección de Hidrocarburos."/>
    <s v="Enero "/>
    <s v="Enero "/>
    <s v="Enero "/>
    <n v="11.5"/>
    <s v="Meses"/>
    <s v="Contratación directa - Prestación de servicios profesionales "/>
    <s v="Propios - 20 - Ingresos corrientes"/>
    <n v="82500000"/>
    <n v="82500000"/>
    <s v="No"/>
    <s v="N/A"/>
    <s v="Ingrid Fernanda Vásquez Méndez"/>
    <s v="Subdirectora de hidrocarburos"/>
    <n v="6012220601"/>
    <s v="ingrid.vasquez@upme.gov.co"/>
    <n v="82500000"/>
    <n v="0"/>
    <n v="0"/>
    <n v="0"/>
    <n v="0"/>
    <n v="7500000"/>
    <n v="0"/>
    <n v="7500000"/>
    <n v="0"/>
    <n v="7500000"/>
    <n v="0"/>
    <n v="7500000"/>
    <n v="0"/>
    <n v="7500000"/>
    <n v="3750000"/>
    <n v="7500000"/>
    <n v="0"/>
    <n v="7500000"/>
    <n v="0"/>
    <n v="7500000"/>
    <n v="0"/>
    <n v="7500000"/>
    <n v="0"/>
    <n v="18750000"/>
    <n v="86250000"/>
    <n v="86250000"/>
    <n v="-3750000"/>
    <n v="-3750000"/>
    <s v="Prestar servicios profesionales para apoyar el análisis y elaboración de metodologías para la proyección de precios de los energéticos en el contexto de las políticas energéticas a cargo de la Subdirección de Hidrocarburos."/>
    <n v="82500000"/>
    <m/>
    <m/>
    <m/>
    <m/>
    <n v="7750000"/>
    <m/>
    <n v="7500000"/>
    <m/>
    <n v="7500000"/>
    <m/>
    <n v="7500000"/>
    <m/>
    <n v="7500000"/>
    <m/>
    <n v="7500000"/>
    <m/>
    <n v="7500000"/>
    <m/>
    <n v="7500000"/>
    <m/>
    <n v="7500000"/>
    <m/>
    <n v="14750000"/>
    <m/>
    <m/>
    <n v="82500000"/>
    <n v="82500000"/>
    <n v="0"/>
    <n v="0"/>
    <n v="50026"/>
    <d v="2026-01-20T00:00:00"/>
    <n v="82500000"/>
    <n v="0"/>
    <n v="33426"/>
    <d v="2026-01-29T00:00:00"/>
    <n v="82500000"/>
    <n v="0"/>
    <n v="0"/>
    <s v="CASTELLANOS URIBE LINA MARITZA"/>
    <s v="CO1.PCCNTR.9171295"/>
    <n v="82500000"/>
    <m/>
    <m/>
    <m/>
    <m/>
    <m/>
    <m/>
    <n v="7750000"/>
    <n v="7750000"/>
    <m/>
    <n v="7500000"/>
    <n v="7500000"/>
    <m/>
    <m/>
    <m/>
    <m/>
    <m/>
    <m/>
    <m/>
    <m/>
    <m/>
    <m/>
    <m/>
    <m/>
    <m/>
    <m/>
    <m/>
    <m/>
    <m/>
    <m/>
    <m/>
    <m/>
    <m/>
    <m/>
    <m/>
    <m/>
    <n v="82500000"/>
    <n v="15250000"/>
    <n v="15250000"/>
    <n v="67250000"/>
    <n v="0"/>
    <x v="0"/>
  </r>
  <r>
    <x v="0"/>
    <x v="8"/>
    <s v="Mejoramiento de la planeación del abastecimiento y confiabilidad del subsector de hidrocarburos a nivel nacional"/>
    <s v="Hidrocarburos"/>
    <s v="Sí"/>
    <s v="Sí"/>
    <n v="21"/>
    <s v="170-12"/>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12 Prestar los servicios profesionales para realizar el mantenimiento de la documentación, seguimiento y control de las herramientas de gestión, así como el acompañamiento de la gestión administrativa y de los convenios supervisados por la Subdirecció"/>
    <s v="Enero "/>
    <s v="Enero "/>
    <s v="Enero "/>
    <n v="11.5"/>
    <s v="Meses"/>
    <s v="Contratación directa - Prestación de servicios profesionales "/>
    <s v="Propios - 20 - Ingresos corrientes"/>
    <n v="48408920"/>
    <n v="48408920"/>
    <s v="No"/>
    <s v="N/A"/>
    <s v="Ingrid Fernanda Vásquez Méndez"/>
    <s v="Subdirectora de hidrocarburos"/>
    <n v="6012220601"/>
    <s v="ingrid.vasquez@upme.gov.co"/>
    <n v="49575400"/>
    <n v="0"/>
    <n v="0"/>
    <n v="0"/>
    <n v="0"/>
    <n v="4374300"/>
    <n v="0"/>
    <n v="4374300"/>
    <n v="0"/>
    <n v="4374300"/>
    <n v="0"/>
    <n v="4374300"/>
    <n v="0"/>
    <n v="4374300"/>
    <n v="729050"/>
    <n v="4374300"/>
    <n v="0"/>
    <n v="4374300"/>
    <n v="0"/>
    <n v="4374300"/>
    <n v="0"/>
    <n v="4374300"/>
    <n v="0"/>
    <n v="10935750"/>
    <n v="50304450"/>
    <n v="50304450"/>
    <n v="-1895530"/>
    <n v="-1895530"/>
    <s v="Prestar los servicios profesionales para realizar el mantenimiento de la documentación, seguimiento y control de las herramientas de gestión, así como el acompañamiento de la gestión administrativa y de los convenios supervisados por la Subdirección de Hi"/>
    <n v="48408920"/>
    <m/>
    <m/>
    <n v="291620"/>
    <m/>
    <n v="4374300"/>
    <m/>
    <n v="4374300"/>
    <m/>
    <n v="4374300"/>
    <m/>
    <n v="4374300"/>
    <m/>
    <n v="4374300"/>
    <m/>
    <n v="4374300"/>
    <m/>
    <n v="4374300"/>
    <m/>
    <n v="4374300"/>
    <m/>
    <n v="4374300"/>
    <m/>
    <n v="8748600"/>
    <m/>
    <m/>
    <n v="48408920"/>
    <n v="48408920"/>
    <n v="0"/>
    <n v="0"/>
    <n v="20426"/>
    <d v="2026-01-11T00:00:00"/>
    <n v="48408920"/>
    <n v="0"/>
    <n v="27326"/>
    <d v="2026-01-28T00:00:00"/>
    <n v="48408920"/>
    <n v="0"/>
    <n v="0"/>
    <s v="CASTRILLON MURILLO MONICA DEL CARMEN"/>
    <s v="CO1.PCCNTR.9120636"/>
    <n v="49575400"/>
    <m/>
    <m/>
    <m/>
    <m/>
    <m/>
    <n v="-1166480"/>
    <n v="4665920"/>
    <n v="4665920"/>
    <m/>
    <n v="4374300"/>
    <n v="4374300"/>
    <m/>
    <m/>
    <m/>
    <m/>
    <m/>
    <m/>
    <m/>
    <m/>
    <m/>
    <m/>
    <m/>
    <m/>
    <m/>
    <m/>
    <m/>
    <m/>
    <m/>
    <m/>
    <m/>
    <m/>
    <m/>
    <m/>
    <m/>
    <m/>
    <n v="48408920"/>
    <n v="9040220"/>
    <n v="9040220"/>
    <n v="39368700"/>
    <n v="0"/>
    <x v="0"/>
  </r>
  <r>
    <x v="0"/>
    <x v="8"/>
    <s v="Mejoramiento de la planeación del abastecimiento y confiabilidad del subsector de hidrocarburos a nivel nacional"/>
    <s v="Hidrocarburos"/>
    <s v="Sí"/>
    <s v="Sí"/>
    <n v="21"/>
    <s v="170-13"/>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13 Prestar servicios profesionales de apoyo jurídico, elaboración de actos administrativos y acompañamiento jurídico en los distintos procesos y actividades técnicas que adelanta la subdirección de hidrocarburos"/>
    <s v="Enero "/>
    <s v="Enero "/>
    <s v="Enero "/>
    <n v="11.5"/>
    <s v="Meses"/>
    <s v="Contratación directa - Prestación de servicios profesionales "/>
    <s v="Propios - 20 - Ingresos corrientes"/>
    <n v="93060000"/>
    <n v="93060000"/>
    <s v="No"/>
    <s v="N/A"/>
    <s v="Ingrid Fernanda Vásquez Méndez"/>
    <s v="Subdirectora de hidrocarburos"/>
    <n v="6012220601"/>
    <s v="ingrid.vasquez@upme.gov.co"/>
    <n v="93060000"/>
    <n v="0"/>
    <n v="0"/>
    <n v="0"/>
    <n v="0"/>
    <n v="7332000"/>
    <n v="0"/>
    <n v="8460000"/>
    <n v="0"/>
    <n v="8460000"/>
    <n v="0"/>
    <n v="8460000"/>
    <n v="0"/>
    <n v="8460000"/>
    <n v="4230000"/>
    <n v="8460000"/>
    <n v="0"/>
    <n v="8460000"/>
    <n v="0"/>
    <n v="8460000"/>
    <n v="0"/>
    <n v="8460000"/>
    <n v="0"/>
    <n v="22278000"/>
    <n v="97290000"/>
    <n v="97290000"/>
    <n v="-4230000"/>
    <n v="-4230000"/>
    <s v="Prestar servicios profesionales de apoyo jurídico, elaboración de actos administrativos y acompañamiento jurídico en los distintos procesos y actividades técnicas que adelanta la subdirección de hidrocarburos"/>
    <n v="93060000"/>
    <m/>
    <m/>
    <m/>
    <m/>
    <n v="8460000"/>
    <m/>
    <n v="8460000"/>
    <m/>
    <n v="8460000"/>
    <m/>
    <n v="8460000"/>
    <m/>
    <n v="8460000"/>
    <m/>
    <n v="8460000"/>
    <m/>
    <n v="8460000"/>
    <m/>
    <n v="8460000"/>
    <m/>
    <n v="8460000"/>
    <m/>
    <n v="16920000"/>
    <m/>
    <m/>
    <n v="93060000"/>
    <n v="93060000"/>
    <n v="0"/>
    <n v="0"/>
    <n v="19626"/>
    <d v="2026-01-11T00:00:00"/>
    <n v="93060000"/>
    <n v="0"/>
    <n v="24726"/>
    <d v="2026-01-27T00:00:00"/>
    <n v="93060000"/>
    <n v="0"/>
    <n v="0"/>
    <s v="GARCIA ALVIRA JHONATAN"/>
    <s v="CO1.PCCNTR.9142762"/>
    <n v="93060000"/>
    <m/>
    <m/>
    <m/>
    <m/>
    <m/>
    <m/>
    <n v="9024000"/>
    <n v="9024000"/>
    <m/>
    <n v="8460000"/>
    <n v="8460000"/>
    <m/>
    <m/>
    <m/>
    <m/>
    <m/>
    <m/>
    <m/>
    <m/>
    <m/>
    <m/>
    <m/>
    <m/>
    <m/>
    <m/>
    <m/>
    <m/>
    <m/>
    <m/>
    <m/>
    <m/>
    <m/>
    <m/>
    <m/>
    <m/>
    <n v="93060000"/>
    <n v="17484000"/>
    <n v="17484000"/>
    <n v="75576000"/>
    <n v="0"/>
    <x v="0"/>
  </r>
  <r>
    <x v="0"/>
    <x v="8"/>
    <s v="Mejoramiento de la planeación del abastecimiento y confiabilidad del subsector de hidrocarburos a nivel nacional"/>
    <s v="Hidrocarburos"/>
    <s v="Sí"/>
    <s v="Sí"/>
    <n v="21"/>
    <s v="170-14"/>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14 Prestar servicios profesionales para apoyar el diseño, desarrollo e implementación de modelos avanzados de simulación, para la integración e interoperabilidad de los planes de abastecimiento y confiabilidad de la Subdirección de Hidrocarburos."/>
    <s v="Enero "/>
    <s v="Enero "/>
    <s v="Enero "/>
    <n v="11.5"/>
    <s v="Meses"/>
    <s v="Contratación directa - Prestación de servicios profesionales "/>
    <s v="Propios - 20 - Ingresos corrientes"/>
    <n v="106623154"/>
    <n v="106623154"/>
    <s v="No"/>
    <s v="N/A"/>
    <s v="Ingrid Fernanda Vásquez Méndez"/>
    <s v="Subdirectora de hidrocarburos"/>
    <n v="6012220601"/>
    <s v="ingrid.vasquez@upme.gov.co"/>
    <n v="106623154"/>
    <n v="0"/>
    <n v="0"/>
    <n v="0"/>
    <n v="0"/>
    <n v="9693014"/>
    <n v="0"/>
    <n v="9693014"/>
    <n v="0"/>
    <n v="9693014"/>
    <n v="0"/>
    <n v="9693014"/>
    <n v="0"/>
    <n v="9693014"/>
    <n v="4846507"/>
    <n v="9693014"/>
    <n v="0"/>
    <n v="9693014"/>
    <n v="0"/>
    <n v="9693014"/>
    <n v="0"/>
    <n v="9693014"/>
    <n v="0"/>
    <n v="24232535"/>
    <n v="111469661"/>
    <n v="111469661"/>
    <n v="-4846507"/>
    <n v="-4846507"/>
    <s v="Prestar servicios profesionales para apoyar el diseño, desarrollo e implementación de modelos avanzados de simulación, para la integración e interoperabilidad de los planes de abastecimiento y confiabilidad de la Subdirección de Hidrocarburos."/>
    <n v="106623154"/>
    <m/>
    <m/>
    <m/>
    <m/>
    <n v="9693014"/>
    <m/>
    <n v="9693014"/>
    <m/>
    <n v="9693014"/>
    <m/>
    <n v="9693014"/>
    <m/>
    <n v="9693014"/>
    <m/>
    <n v="9693014"/>
    <m/>
    <n v="9693014"/>
    <m/>
    <n v="9693014"/>
    <m/>
    <n v="9693014"/>
    <m/>
    <n v="19386028"/>
    <m/>
    <m/>
    <n v="106623154"/>
    <n v="106623154"/>
    <n v="0"/>
    <n v="0"/>
    <n v="21126"/>
    <d v="2026-01-11T00:00:00"/>
    <n v="106623154"/>
    <n v="0"/>
    <n v="30826"/>
    <d v="2026-01-29T00:00:00"/>
    <n v="106623154"/>
    <n v="0"/>
    <n v="0"/>
    <s v="GALVIS PEÑUELA LUIS ALEJANDRO"/>
    <s v="CO1.PCCNTR.9139461"/>
    <n v="106623154"/>
    <m/>
    <m/>
    <m/>
    <m/>
    <m/>
    <m/>
    <n v="10016114.460000001"/>
    <n v="10016114.460000001"/>
    <m/>
    <n v="9693014"/>
    <n v="9693014"/>
    <m/>
    <m/>
    <m/>
    <m/>
    <m/>
    <m/>
    <m/>
    <m/>
    <m/>
    <m/>
    <m/>
    <m/>
    <m/>
    <m/>
    <m/>
    <m/>
    <m/>
    <m/>
    <m/>
    <m/>
    <m/>
    <m/>
    <m/>
    <m/>
    <n v="106623154"/>
    <n v="19709128.460000001"/>
    <n v="19709128.460000001"/>
    <n v="86914025.539999992"/>
    <n v="0"/>
    <x v="0"/>
  </r>
  <r>
    <x v="0"/>
    <x v="8"/>
    <s v="Mejoramiento de la planeación del abastecimiento y confiabilidad del subsector de hidrocarburos a nivel nacional"/>
    <s v="Hidrocarburos"/>
    <s v="Sí"/>
    <s v="Sí"/>
    <n v="68"/>
    <s v="170-15"/>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15 Prestar servicios profesionales para apoyar el análisis económico y de costos de infraestuctura, así como las demás actividades relacionadas con la elaboración y desarrollo de los Planes de abastecimiento y confiabilidad a cargo de la Subdirección "/>
    <s v="Enero "/>
    <s v="Enero "/>
    <s v="Enero "/>
    <n v="11.5"/>
    <s v="Meses"/>
    <s v="Contratación directa - Prestación de servicios profesionales "/>
    <s v="Propios - 20 - Ingresos corrientes"/>
    <n v="89700000"/>
    <n v="89700000"/>
    <s v="No"/>
    <s v="N/A"/>
    <s v="Ingrid Fernanda Vásquez Méndez"/>
    <s v="Subdirectora de hidrocarburos"/>
    <n v="6012220601"/>
    <s v="ingrid.vasquez@upme.gov.co"/>
    <n v="85800000"/>
    <n v="0"/>
    <n v="0"/>
    <n v="0"/>
    <n v="0"/>
    <n v="7800000"/>
    <n v="0"/>
    <n v="7800000"/>
    <n v="0"/>
    <n v="7800000"/>
    <n v="0"/>
    <n v="7800000"/>
    <n v="0"/>
    <n v="7800000"/>
    <n v="3900000"/>
    <n v="7800000"/>
    <n v="0"/>
    <n v="7800000"/>
    <n v="0"/>
    <n v="7800000"/>
    <n v="0"/>
    <n v="7800000"/>
    <n v="0"/>
    <n v="19500000"/>
    <n v="89700000"/>
    <n v="89700000"/>
    <n v="0"/>
    <n v="0"/>
    <s v="Prestar servicios profesionales para apoyar el análisis económico y de costos de infraestuctura, así como las demás actividades relacionadas con la elaboración y desarrollo de los Planes de abastecimiento y confiabilidad a cargo de la Subdirección de Hidr"/>
    <n v="85800000"/>
    <m/>
    <m/>
    <m/>
    <m/>
    <n v="7800000"/>
    <m/>
    <n v="7800000"/>
    <m/>
    <n v="7800000"/>
    <m/>
    <n v="7800000"/>
    <m/>
    <n v="7800000"/>
    <n v="3900000"/>
    <n v="7800000"/>
    <m/>
    <n v="7800000"/>
    <m/>
    <n v="7800000"/>
    <m/>
    <n v="7800000"/>
    <m/>
    <n v="19500000"/>
    <m/>
    <m/>
    <n v="89700000"/>
    <n v="89700000"/>
    <n v="0"/>
    <n v="0"/>
    <n v="49826"/>
    <d v="2026-01-20T00:00:00"/>
    <n v="89700000"/>
    <n v="0"/>
    <n v="29826"/>
    <d v="2026-01-28T00:00:00"/>
    <n v="85800000"/>
    <n v="3900000"/>
    <n v="3900000"/>
    <s v="AHUMADA FORIGUA ANDREA PAOLA"/>
    <s v="CO1.PCCNTR.9139808"/>
    <n v="85800000"/>
    <m/>
    <m/>
    <m/>
    <m/>
    <m/>
    <m/>
    <n v="8060000"/>
    <n v="8060000"/>
    <m/>
    <n v="7800000"/>
    <n v="7800000"/>
    <m/>
    <m/>
    <m/>
    <m/>
    <m/>
    <m/>
    <m/>
    <m/>
    <m/>
    <m/>
    <m/>
    <m/>
    <m/>
    <m/>
    <m/>
    <m/>
    <m/>
    <m/>
    <m/>
    <m/>
    <m/>
    <m/>
    <m/>
    <m/>
    <n v="85800000"/>
    <n v="15860000"/>
    <n v="15860000"/>
    <n v="69940000"/>
    <n v="0"/>
    <x v="0"/>
  </r>
  <r>
    <x v="0"/>
    <x v="8"/>
    <s v="Mejoramiento de la planeación del abastecimiento y confiabilidad del subsector de hidrocarburos a nivel nacional"/>
    <s v="Hidrocarburos"/>
    <s v="Sí"/>
    <s v="Sí"/>
    <n v="23"/>
    <s v="170-16"/>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16 Prestar servicios profesionales de asesoría orientados a la elaboración, estructuración y desarrollo estratégico de planes, así como a la evaluación de proyectos de infraestructura y al análisis regulatorio en los temas que requieran la Dirección G"/>
    <s v="Enero "/>
    <s v="Enero "/>
    <s v="Enero "/>
    <n v="11.5"/>
    <s v="Meses"/>
    <s v="Contratación directa - Prestación de servicios profesionales "/>
    <s v="Propios - 20 - Ingresos corrientes"/>
    <n v="138000000"/>
    <n v="138000000"/>
    <s v="No"/>
    <s v="N/A"/>
    <s v="Ingrid Fernanda Vásquez Méndez"/>
    <s v="Subdirectora de hidrocarburos"/>
    <n v="6012220601"/>
    <s v="ingrid.vasquez@upme.gov.co"/>
    <n v="0"/>
    <n v="0"/>
    <n v="136000000"/>
    <n v="0"/>
    <n v="0"/>
    <n v="12000000"/>
    <n v="0"/>
    <n v="12000000"/>
    <n v="0"/>
    <n v="12000000"/>
    <n v="0"/>
    <n v="12000000"/>
    <n v="0"/>
    <n v="12000000"/>
    <n v="2000000"/>
    <n v="12000000"/>
    <n v="0"/>
    <n v="12000000"/>
    <n v="0"/>
    <n v="12000000"/>
    <n v="0"/>
    <n v="12000000"/>
    <n v="0"/>
    <n v="30000000"/>
    <n v="138000000"/>
    <n v="138000000"/>
    <n v="0"/>
    <n v="0"/>
    <s v="Prestar servicios profesionales de asesoría orientados a la elaboración, estructuración y desarrollo estratégico de planes, así como a la evaluación de proyectos de infraestructura y al análisis regulatorio en los temas que requieran la Dirección General "/>
    <m/>
    <m/>
    <n v="136000000"/>
    <m/>
    <m/>
    <n v="12000000"/>
    <m/>
    <n v="12000000"/>
    <m/>
    <n v="12000000"/>
    <m/>
    <n v="12000000"/>
    <m/>
    <n v="12000000"/>
    <n v="2000000"/>
    <n v="12000000"/>
    <m/>
    <n v="12000000"/>
    <m/>
    <n v="12000000"/>
    <m/>
    <n v="12000000"/>
    <m/>
    <n v="30000000"/>
    <m/>
    <m/>
    <n v="138000000"/>
    <n v="138000000"/>
    <n v="0"/>
    <n v="0"/>
    <n v="19226"/>
    <d v="2026-01-11T00:00:00"/>
    <n v="130800000"/>
    <n v="7200000"/>
    <n v="38526"/>
    <d v="2026-02-03T00:00:00"/>
    <n v="130800000"/>
    <n v="7200000"/>
    <n v="0"/>
    <s v="PADILLA CAMACHO LUIS MARIA"/>
    <s v="CO1.PCCNTR.9183715"/>
    <m/>
    <m/>
    <m/>
    <n v="136000000"/>
    <m/>
    <m/>
    <m/>
    <n v="10800000"/>
    <n v="10800000"/>
    <n v="-5200000"/>
    <n v="12000000"/>
    <n v="12000000"/>
    <m/>
    <m/>
    <m/>
    <m/>
    <m/>
    <m/>
    <m/>
    <m/>
    <m/>
    <m/>
    <m/>
    <m/>
    <m/>
    <m/>
    <m/>
    <m/>
    <m/>
    <m/>
    <m/>
    <m/>
    <m/>
    <m/>
    <m/>
    <m/>
    <n v="130800000"/>
    <n v="22800000"/>
    <n v="22800000"/>
    <n v="108000000"/>
    <n v="0"/>
    <x v="0"/>
  </r>
  <r>
    <x v="0"/>
    <x v="8"/>
    <s v="Mejoramiento de la planeación del abastecimiento y confiabilidad del subsector de hidrocarburos a nivel nacional"/>
    <s v="Hidrocarburos"/>
    <s v="Sí"/>
    <s v="Sí"/>
    <n v="68"/>
    <s v="170-17"/>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17 Prestar servicios profesionales para apoyar la elaboración, desarrollo, análisis de información y demás actividades relacionadas con el Plan Nacional de Sustitución de Leña a cargo de la Subdireccion de Hidrocarburos."/>
    <s v="Enero "/>
    <s v="Enero "/>
    <s v="Enero "/>
    <n v="11.5"/>
    <s v="Meses"/>
    <s v="Contratación directa - Prestación de servicios profesionales "/>
    <s v="Propios - 20 - Ingresos corrientes"/>
    <n v="80500000"/>
    <n v="80500000"/>
    <s v="No"/>
    <s v="N/A"/>
    <s v="Ingrid Fernanda Vásquez Méndez"/>
    <s v="Subdirectora de hidrocarburos"/>
    <n v="6012220601"/>
    <s v="ingrid.vasquez@upme.gov.co"/>
    <n v="0"/>
    <n v="0"/>
    <n v="78166667"/>
    <n v="0"/>
    <n v="0"/>
    <n v="7000000"/>
    <n v="0"/>
    <n v="7000000"/>
    <n v="0"/>
    <n v="7000000"/>
    <n v="0"/>
    <n v="7000000"/>
    <n v="0"/>
    <n v="7000000"/>
    <n v="2333333"/>
    <n v="7000000"/>
    <n v="0"/>
    <n v="7000000"/>
    <n v="0"/>
    <n v="7000000"/>
    <n v="0"/>
    <n v="7000000"/>
    <n v="0"/>
    <n v="17500000"/>
    <n v="80500000"/>
    <n v="80500000"/>
    <n v="0"/>
    <n v="0"/>
    <s v="Prestar servicios profesionales para apoyar la elaboración, desarrollo, análisis de información y demás actividades relacionadas con el Plan Nacional de Sustitución de Leña a cargo de la Subdireccion de Hidrocarburos."/>
    <m/>
    <m/>
    <n v="78166667"/>
    <m/>
    <m/>
    <n v="7000000"/>
    <m/>
    <n v="7000000"/>
    <m/>
    <n v="7000000"/>
    <m/>
    <n v="7000000"/>
    <m/>
    <n v="7000000"/>
    <n v="2333333"/>
    <n v="7000000"/>
    <m/>
    <n v="7000000"/>
    <m/>
    <n v="7000000"/>
    <m/>
    <n v="7000000"/>
    <m/>
    <n v="17500000"/>
    <m/>
    <m/>
    <n v="80500000"/>
    <n v="80500000"/>
    <n v="0"/>
    <n v="0"/>
    <n v="49326"/>
    <d v="2026-01-19T00:00:00"/>
    <n v="80500000"/>
    <n v="0"/>
    <n v="46626"/>
    <d v="2026-02-05T00:00:00"/>
    <n v="78166667"/>
    <n v="2333333"/>
    <n v="2333333"/>
    <s v="RAMIREZ TRIANA LUDY KATHERINE"/>
    <s v="CO1.PCCNTR.9255316"/>
    <m/>
    <m/>
    <m/>
    <n v="78166667"/>
    <m/>
    <m/>
    <m/>
    <n v="5833333"/>
    <n v="5833333"/>
    <m/>
    <n v="7000000"/>
    <n v="7000000"/>
    <m/>
    <m/>
    <m/>
    <m/>
    <m/>
    <m/>
    <m/>
    <m/>
    <m/>
    <m/>
    <m/>
    <m/>
    <m/>
    <m/>
    <m/>
    <m/>
    <m/>
    <m/>
    <m/>
    <m/>
    <m/>
    <m/>
    <m/>
    <m/>
    <n v="78166667"/>
    <n v="12833333"/>
    <n v="12833333"/>
    <n v="65333334"/>
    <n v="0"/>
    <x v="0"/>
  </r>
  <r>
    <x v="0"/>
    <x v="8"/>
    <s v="Mejoramiento de la planeación del abastecimiento y confiabilidad del subsector de hidrocarburos a nivel nacional"/>
    <s v="Hidrocarburos"/>
    <s v="Sí"/>
    <s v="Sí"/>
    <n v="68"/>
    <s v="170-18"/>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18 Prestar servicios profesionales para apoyar la elaboración, desarrollo, análisis de información y demás actividades relacionadas con el Plan Indicativo de Bioenergía con el enfoque territorial a cargo de la Subdireccion de Hidrocarburos."/>
    <s v="Enero "/>
    <s v="Enero "/>
    <s v="Enero "/>
    <n v="11"/>
    <s v="Meses"/>
    <s v="Contratación directa - Prestación de servicios profesionales "/>
    <s v="Propios - 20 - Ingresos corrientes"/>
    <n v="77000000"/>
    <n v="77000000"/>
    <s v="No"/>
    <s v="N/A"/>
    <s v="Ingrid Fernanda Vásquez Méndez"/>
    <s v="Subdirectora de hidrocarburos"/>
    <n v="6012220601"/>
    <s v="ingrid.vasquez@upme.gov.co"/>
    <n v="77000000"/>
    <n v="0"/>
    <n v="0"/>
    <n v="0"/>
    <n v="0"/>
    <n v="7000000"/>
    <n v="0"/>
    <n v="7000000"/>
    <n v="0"/>
    <n v="7000000"/>
    <n v="0"/>
    <n v="7000000"/>
    <n v="0"/>
    <n v="7000000"/>
    <n v="0"/>
    <n v="7000000"/>
    <n v="0"/>
    <n v="7000000"/>
    <n v="0"/>
    <n v="7000000"/>
    <n v="0"/>
    <n v="7000000"/>
    <n v="0"/>
    <n v="14000000"/>
    <n v="77000000"/>
    <n v="77000000"/>
    <n v="0"/>
    <n v="0"/>
    <s v="Prestar servicios profesionales para apoyar la elaboración, desarrollo, análisis de información y demás actividades relacionadas con el Plan Indicativo de Bioenergía con el enfoque territorial a cargo de la Subdireccion de Hidrocarburos."/>
    <n v="77000000"/>
    <m/>
    <m/>
    <m/>
    <m/>
    <n v="7000000"/>
    <m/>
    <n v="7000000"/>
    <m/>
    <n v="7000000"/>
    <m/>
    <n v="7000000"/>
    <m/>
    <n v="7000000"/>
    <m/>
    <n v="7000000"/>
    <m/>
    <n v="7000000"/>
    <m/>
    <n v="7000000"/>
    <m/>
    <n v="7000000"/>
    <m/>
    <n v="14000000"/>
    <m/>
    <m/>
    <n v="77000000"/>
    <n v="77000000"/>
    <n v="0"/>
    <n v="0"/>
    <n v="46326"/>
    <d v="2026-01-19T00:00:00"/>
    <n v="77000000"/>
    <n v="0"/>
    <n v="33726"/>
    <d v="2026-01-29T00:00:00"/>
    <n v="77000000"/>
    <n v="0"/>
    <n v="0"/>
    <s v="CASTRO MUR DIANA CAROLINA"/>
    <s v="CO1.PCCNTR.9172108"/>
    <n v="77000000"/>
    <m/>
    <m/>
    <m/>
    <n v="233333"/>
    <n v="233333"/>
    <m/>
    <n v="7000000"/>
    <n v="7000000"/>
    <m/>
    <n v="7000000"/>
    <n v="7000000"/>
    <m/>
    <m/>
    <m/>
    <m/>
    <m/>
    <m/>
    <m/>
    <m/>
    <m/>
    <m/>
    <m/>
    <m/>
    <m/>
    <m/>
    <m/>
    <m/>
    <m/>
    <m/>
    <m/>
    <m/>
    <m/>
    <m/>
    <m/>
    <m/>
    <n v="77000000"/>
    <n v="14233333"/>
    <n v="14233333"/>
    <n v="62766667"/>
    <n v="0"/>
    <x v="0"/>
  </r>
  <r>
    <x v="0"/>
    <x v="8"/>
    <s v="Mejoramiento de la planeación del abastecimiento y confiabilidad del subsector de hidrocarburos a nivel nacional"/>
    <s v="Hidrocarburos"/>
    <s v="Sí"/>
    <s v="Sí"/>
    <n v="2"/>
    <s v="170-19"/>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19 Prestar servicios profesionales de asesoría en materia económica y financiera, orientados a la elaboración, análisis y seguimiento de planes, así como al desarrollo y aplicación de lineamientos técnicos en los temas que requieran la Dirección Gener"/>
    <s v="Enero "/>
    <s v="Enero "/>
    <s v="Enero "/>
    <n v="11"/>
    <s v="Meses"/>
    <s v="Contratación directa - Prestación de servicios profesionales "/>
    <s v="Propios - 20 - Ingresos corrientes"/>
    <n v="132000000"/>
    <n v="132000000"/>
    <s v="No"/>
    <s v="N/A"/>
    <s v="Ingrid Fernanda Vásquez Méndez"/>
    <s v="Subdirectora de hidrocarburos"/>
    <n v="6012220601"/>
    <s v="ingrid.vasquez@upme.gov.co"/>
    <n v="132000000"/>
    <n v="0"/>
    <n v="0"/>
    <n v="0"/>
    <n v="0"/>
    <n v="12000000"/>
    <n v="0"/>
    <n v="12000000"/>
    <n v="0"/>
    <n v="12000000"/>
    <n v="0"/>
    <n v="12000000"/>
    <n v="0"/>
    <n v="12000000"/>
    <n v="0"/>
    <n v="12000000"/>
    <n v="0"/>
    <n v="12000000"/>
    <n v="0"/>
    <n v="12000000"/>
    <n v="0"/>
    <n v="12000000"/>
    <n v="0"/>
    <n v="24000000"/>
    <n v="132000000"/>
    <n v="132000000"/>
    <n v="0"/>
    <n v="0"/>
    <s v="Prestar servicios profesionales de asesoría en materia económica y financiera, orientados a la elaboración, análisis y seguimiento de planes, así como al desarrollo y aplicación de lineamientos técnicos en los temas que requieran la Dirección General y la"/>
    <n v="132000000"/>
    <m/>
    <m/>
    <m/>
    <m/>
    <n v="12000000"/>
    <m/>
    <n v="12000000"/>
    <m/>
    <n v="12000000"/>
    <m/>
    <n v="12000000"/>
    <m/>
    <n v="12000000"/>
    <m/>
    <n v="12000000"/>
    <m/>
    <n v="12000000"/>
    <m/>
    <n v="12000000"/>
    <m/>
    <n v="12000000"/>
    <m/>
    <n v="24000000"/>
    <m/>
    <m/>
    <n v="132000000"/>
    <n v="132000000"/>
    <n v="0"/>
    <n v="0"/>
    <n v="18626"/>
    <d v="2026-01-11T00:00:00"/>
    <n v="132000000"/>
    <n v="0"/>
    <n v="31626"/>
    <d v="2026-01-29T00:00:00"/>
    <n v="132000000"/>
    <n v="0"/>
    <n v="0"/>
    <s v="ACEVEDO ACEVEDO ARIEL ALFONSO"/>
    <s v="CO1.PCCNTR.8993780"/>
    <n v="132000000"/>
    <m/>
    <m/>
    <m/>
    <m/>
    <m/>
    <m/>
    <n v="12400000"/>
    <n v="12400000"/>
    <m/>
    <n v="12000000"/>
    <n v="12000000"/>
    <m/>
    <m/>
    <m/>
    <m/>
    <m/>
    <m/>
    <m/>
    <m/>
    <m/>
    <m/>
    <m/>
    <m/>
    <m/>
    <m/>
    <m/>
    <m/>
    <m/>
    <m/>
    <m/>
    <m/>
    <m/>
    <m/>
    <m/>
    <m/>
    <n v="132000000"/>
    <n v="24400000"/>
    <n v="24400000"/>
    <n v="107600000"/>
    <n v="0"/>
    <x v="0"/>
  </r>
  <r>
    <x v="0"/>
    <x v="8"/>
    <s v="Mejoramiento de la planeación del abastecimiento y confiabilidad del subsector de hidrocarburos a nivel nacional"/>
    <s v="Hidrocarburos"/>
    <s v="Sí"/>
    <s v="Sí"/>
    <n v="68"/>
    <s v="170-20"/>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0 Prestar servicios profesionales para brindar apoyo jurídico en la ejecución y seguimiento de procesos de convocatorias públicas y demás actividades a cargo de la Subdirección de Hidrocarburos."/>
    <s v="Enero "/>
    <s v="Enero "/>
    <s v="Enero "/>
    <n v="11"/>
    <s v="Meses"/>
    <s v="Contratación directa - Prestación de servicios profesionales "/>
    <s v="Propios - 20 - Ingresos corrientes"/>
    <n v="106623154"/>
    <n v="106623154"/>
    <s v="No"/>
    <s v="N/A"/>
    <s v="Ingrid Fernanda Vásquez Méndez"/>
    <s v="Subdirectora de hidrocarburos"/>
    <n v="6012220601"/>
    <s v="ingrid.vasquez@upme.gov.co"/>
    <n v="106623154"/>
    <n v="0"/>
    <n v="0"/>
    <n v="0"/>
    <n v="0"/>
    <n v="7332000"/>
    <n v="0"/>
    <n v="8460000"/>
    <n v="0"/>
    <n v="8460000"/>
    <n v="0"/>
    <n v="8460000"/>
    <n v="0"/>
    <n v="8460000"/>
    <n v="0"/>
    <n v="8460000"/>
    <n v="0"/>
    <n v="8460000"/>
    <n v="0"/>
    <n v="8460000"/>
    <n v="0"/>
    <n v="8460000"/>
    <n v="0"/>
    <n v="31611154"/>
    <n v="106623154"/>
    <n v="106623154"/>
    <n v="0"/>
    <n v="0"/>
    <s v="Prestar servicios profesionales para brindar apoyo jurídico en la ejecución y seguimiento de procesos de convocatorias públicas y demás actividades a cargo de la Subdirección de Hidrocarburos."/>
    <n v="106623154"/>
    <m/>
    <m/>
    <m/>
    <m/>
    <n v="7332000"/>
    <m/>
    <n v="8460000"/>
    <m/>
    <n v="8460000"/>
    <m/>
    <n v="8460000"/>
    <m/>
    <n v="8460000"/>
    <m/>
    <n v="8460000"/>
    <m/>
    <n v="8460000"/>
    <m/>
    <n v="8460000"/>
    <m/>
    <n v="8460000"/>
    <m/>
    <n v="31611154"/>
    <m/>
    <m/>
    <n v="106623154"/>
    <n v="106623154"/>
    <n v="0"/>
    <n v="0"/>
    <n v="50326"/>
    <d v="2026-01-20T00:00:00"/>
    <n v="106623154"/>
    <n v="0"/>
    <n v="26126"/>
    <d v="2026-01-28T00:00:00"/>
    <n v="106623154"/>
    <n v="0"/>
    <n v="0"/>
    <s v="MATEUS DIAZ JOHANNA"/>
    <s v="CO1.PCCNTR.9121642"/>
    <n v="106623154"/>
    <m/>
    <m/>
    <m/>
    <m/>
    <m/>
    <m/>
    <m/>
    <m/>
    <m/>
    <m/>
    <m/>
    <m/>
    <m/>
    <m/>
    <m/>
    <m/>
    <m/>
    <m/>
    <m/>
    <m/>
    <m/>
    <m/>
    <m/>
    <m/>
    <m/>
    <m/>
    <m/>
    <m/>
    <m/>
    <m/>
    <m/>
    <m/>
    <m/>
    <m/>
    <m/>
    <n v="106623154"/>
    <n v="0"/>
    <n v="0"/>
    <n v="106623154"/>
    <n v="0"/>
    <x v="0"/>
  </r>
  <r>
    <x v="0"/>
    <x v="8"/>
    <s v="Mejoramiento de la planeación del abastecimiento y confiabilidad del subsector de hidrocarburos a nivel nacional"/>
    <s v="Hidrocarburos"/>
    <s v="Sí"/>
    <s v="Sí"/>
    <n v="2"/>
    <s v="170-21"/>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1 Prestar servicios profesionales para apoyar la elaboración, desarrollo, análisis de información y demás actividades relacionadas con el Plan Indicativo de GLP a cargo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la elaboración, desarrollo, análisis de información y demás actividades relacionadas con el Plan Indicativo de GLP a cargo de la Subdirección de Hidrocarburos"/>
    <n v="102300000"/>
    <m/>
    <m/>
    <m/>
    <m/>
    <n v="8060000"/>
    <m/>
    <n v="9300000"/>
    <m/>
    <n v="9300000"/>
    <m/>
    <n v="9300000"/>
    <m/>
    <n v="9300000"/>
    <m/>
    <n v="9300000"/>
    <m/>
    <n v="9300000"/>
    <m/>
    <n v="9300000"/>
    <m/>
    <n v="9300000"/>
    <m/>
    <n v="19840000"/>
    <m/>
    <m/>
    <n v="102300000"/>
    <n v="102300000"/>
    <n v="0"/>
    <n v="0"/>
    <n v="49626"/>
    <d v="2026-01-19T00:00:00"/>
    <n v="102300000"/>
    <n v="0"/>
    <n v="30126"/>
    <d v="2026-01-29T00:00:00"/>
    <n v="102300000"/>
    <n v="0"/>
    <n v="0"/>
    <s v="MARIÑO HIGUERA IVONN MARLLERY"/>
    <s v="CO1.PCCNTR.9139913"/>
    <n v="102300000"/>
    <m/>
    <m/>
    <m/>
    <n v="310000"/>
    <n v="310000"/>
    <m/>
    <n v="9300000"/>
    <n v="9300000"/>
    <m/>
    <n v="9300000"/>
    <n v="9300000"/>
    <m/>
    <m/>
    <m/>
    <m/>
    <m/>
    <m/>
    <m/>
    <m/>
    <m/>
    <m/>
    <m/>
    <m/>
    <m/>
    <m/>
    <m/>
    <m/>
    <m/>
    <m/>
    <m/>
    <m/>
    <m/>
    <m/>
    <m/>
    <m/>
    <n v="102300000"/>
    <n v="18910000"/>
    <n v="18910000"/>
    <n v="83390000"/>
    <n v="0"/>
    <x v="0"/>
  </r>
  <r>
    <x v="0"/>
    <x v="8"/>
    <s v="Mejoramiento de la planeación del abastecimiento y confiabilidad del subsector de hidrocarburos a nivel nacional"/>
    <s v="Hidrocarburos"/>
    <s v="Sí"/>
    <s v="Sí"/>
    <n v="23"/>
    <s v="170-22"/>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2 Prestar servicios profesionales para apoyar la elaboración, desarrollo, análisis de información y demás actividades relacionadas con el Estudio Técnico para el Plan de Abastecimiento de Gas Natural a cargo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0"/>
    <n v="0"/>
    <n v="102300000"/>
    <n v="0"/>
    <n v="0"/>
    <n v="8060000"/>
    <n v="0"/>
    <n v="9300000"/>
    <n v="0"/>
    <n v="9300000"/>
    <n v="0"/>
    <n v="9300000"/>
    <n v="0"/>
    <n v="9300000"/>
    <n v="0"/>
    <n v="9300000"/>
    <n v="0"/>
    <n v="9300000"/>
    <n v="0"/>
    <n v="9300000"/>
    <n v="0"/>
    <n v="9300000"/>
    <n v="0"/>
    <n v="19840000"/>
    <n v="102300000"/>
    <n v="102300000"/>
    <n v="0"/>
    <n v="0"/>
    <s v="Prestar servicios profesionales para apoyar la elaboración, desarrollo, análisis de información y demás actividades relacionadas con el Estudio Técnico para el Plan de Abastecimiento de Gas Natural a cargo de la Subdirección de Hidrocarburos"/>
    <m/>
    <m/>
    <n v="102300000"/>
    <m/>
    <m/>
    <n v="8060000"/>
    <m/>
    <n v="9300000"/>
    <m/>
    <n v="9300000"/>
    <m/>
    <n v="9300000"/>
    <m/>
    <n v="9300000"/>
    <m/>
    <n v="9300000"/>
    <m/>
    <n v="9300000"/>
    <m/>
    <n v="9300000"/>
    <m/>
    <n v="9300000"/>
    <m/>
    <n v="19840000"/>
    <m/>
    <m/>
    <n v="102300000"/>
    <n v="102300000"/>
    <n v="0"/>
    <n v="0"/>
    <n v="61026"/>
    <d v="2026-01-23T00:00:00"/>
    <n v="99200000"/>
    <n v="3100000"/>
    <n v="55026"/>
    <d v="2026-02-10T00:00:00"/>
    <n v="99200000"/>
    <n v="3100000"/>
    <n v="0"/>
    <s v="SANCHEZ GALVIS LUIS GABRIEL"/>
    <s v="CO1.PCCNTR.9283865"/>
    <m/>
    <m/>
    <m/>
    <n v="102300000"/>
    <m/>
    <m/>
    <m/>
    <n v="6200000"/>
    <n v="6200000"/>
    <n v="-3100000"/>
    <n v="9300000"/>
    <n v="9300000"/>
    <m/>
    <m/>
    <m/>
    <m/>
    <m/>
    <m/>
    <m/>
    <m/>
    <m/>
    <m/>
    <m/>
    <m/>
    <m/>
    <m/>
    <m/>
    <m/>
    <m/>
    <m/>
    <m/>
    <m/>
    <m/>
    <m/>
    <m/>
    <m/>
    <n v="99200000"/>
    <n v="15500000"/>
    <n v="15500000"/>
    <n v="83700000"/>
    <n v="0"/>
    <x v="0"/>
  </r>
  <r>
    <x v="0"/>
    <x v="8"/>
    <s v="Mejoramiento de la planeación del abastecimiento y confiabilidad del subsector de hidrocarburos a nivel nacional"/>
    <s v="Hidrocarburos"/>
    <s v="Sí"/>
    <s v="Sí"/>
    <n v="23"/>
    <s v="170-23"/>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3 Prestar servicios profesionales para apoyar el seguimiento y control de los procesos de selección y la evaluación de proyectos de infraestructura, así como, la elaboración de documentos técnicos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el seguimiento y control de los procesos de selección y la evaluación de proyectos de infraestructura, así como, la elaboración de documentos técnicos de la Subdirección de Hidrocarburos"/>
    <n v="102300000"/>
    <m/>
    <m/>
    <m/>
    <m/>
    <n v="8060000"/>
    <m/>
    <n v="9300000"/>
    <m/>
    <n v="9300000"/>
    <m/>
    <n v="9300000"/>
    <m/>
    <n v="9300000"/>
    <m/>
    <n v="9300000"/>
    <m/>
    <n v="9300000"/>
    <m/>
    <n v="9300000"/>
    <m/>
    <n v="9300000"/>
    <m/>
    <n v="19840000"/>
    <m/>
    <m/>
    <n v="102300000"/>
    <n v="102300000"/>
    <n v="0"/>
    <n v="0"/>
    <n v="43626"/>
    <d v="2026-01-17T00:00:00"/>
    <n v="101990000"/>
    <n v="310000"/>
    <n v="35826"/>
    <d v="2026-01-30T00:00:00"/>
    <n v="101990000"/>
    <n v="310000"/>
    <n v="0"/>
    <s v="MENDEZ LOZANO MARIO FERNANDO"/>
    <s v="CO1.PCCNTR.9178679"/>
    <n v="102300000"/>
    <m/>
    <m/>
    <m/>
    <m/>
    <m/>
    <m/>
    <n v="8990000"/>
    <n v="8990000"/>
    <n v="-310000"/>
    <n v="9300000"/>
    <n v="9300000"/>
    <m/>
    <m/>
    <m/>
    <m/>
    <m/>
    <m/>
    <m/>
    <m/>
    <m/>
    <m/>
    <m/>
    <m/>
    <m/>
    <m/>
    <m/>
    <m/>
    <m/>
    <m/>
    <m/>
    <m/>
    <m/>
    <m/>
    <m/>
    <m/>
    <n v="101990000"/>
    <n v="18290000"/>
    <n v="18290000"/>
    <n v="83700000"/>
    <n v="0"/>
    <x v="0"/>
  </r>
  <r>
    <x v="0"/>
    <x v="8"/>
    <s v="Mejoramiento de la planeación del abastecimiento y confiabilidad del subsector de hidrocarburos a nivel nacional"/>
    <s v="Hidrocarburos"/>
    <s v="Sí"/>
    <s v="Sí"/>
    <n v="23"/>
    <s v="170-24"/>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4 Prestar los servicios profesionales para apoyar la preparación y divulgación de documentos de planeación, participar en la aplicación de las metodologías de evaluación, análisis económicos, tarifarios y de los requisitos regulatorios aplicables a l"/>
    <s v="Enero "/>
    <s v="Enero "/>
    <s v="Enero "/>
    <n v="11"/>
    <s v="Meses"/>
    <s v="Contratación directa - Prestación de servicios profesionales "/>
    <s v="Propios - 20 - Ingresos corrientes"/>
    <n v="99000000"/>
    <n v="99000000"/>
    <s v="No"/>
    <s v="N/A"/>
    <s v="Ingrid Fernanda Vásquez Méndez"/>
    <s v="Subdirectora de hidrocarburos"/>
    <n v="6012220601"/>
    <s v="ingrid.vasquez@upme.gov.co"/>
    <n v="0"/>
    <n v="0"/>
    <n v="85800000"/>
    <n v="0"/>
    <n v="0"/>
    <n v="9000000"/>
    <n v="0"/>
    <n v="9000000"/>
    <n v="0"/>
    <n v="9000000"/>
    <n v="0"/>
    <n v="9000000"/>
    <n v="0"/>
    <n v="9000000"/>
    <n v="13200000"/>
    <n v="9000000"/>
    <n v="0"/>
    <n v="9000000"/>
    <n v="0"/>
    <n v="9000000"/>
    <n v="0"/>
    <n v="9000000"/>
    <n v="0"/>
    <n v="18000000"/>
    <n v="99000000"/>
    <n v="99000000"/>
    <n v="0"/>
    <n v="0"/>
    <s v="Prestar los servicios profesionales para apoyar la preparación y divulgación de documentos de planeación, participar en la aplicación de las metodologías de evaluación, análisis económicos, tarifarios y de los requisitos regulatorios aplicables a la Subdi"/>
    <m/>
    <m/>
    <n v="85800000"/>
    <m/>
    <m/>
    <n v="9000000"/>
    <m/>
    <n v="9000000"/>
    <m/>
    <n v="9000000"/>
    <m/>
    <n v="9000000"/>
    <m/>
    <n v="9000000"/>
    <n v="13200000"/>
    <n v="9000000"/>
    <m/>
    <n v="9000000"/>
    <m/>
    <n v="9000000"/>
    <m/>
    <n v="9000000"/>
    <m/>
    <n v="18000000"/>
    <m/>
    <m/>
    <n v="99000000"/>
    <n v="99000000"/>
    <n v="0"/>
    <n v="0"/>
    <n v="61326"/>
    <d v="2026-01-23T00:00:00"/>
    <n v="97500000"/>
    <n v="1500000"/>
    <n v="44826"/>
    <d v="2026-02-05T00:00:00"/>
    <n v="97500000"/>
    <n v="1500000"/>
    <n v="0"/>
    <s v="VILLANUEVA MELENDEZ WILLIAM ROY"/>
    <s v="CO1.PCCNTR.9211092"/>
    <m/>
    <m/>
    <m/>
    <n v="99000000"/>
    <m/>
    <m/>
    <m/>
    <m/>
    <m/>
    <n v="-1500000"/>
    <m/>
    <m/>
    <m/>
    <m/>
    <m/>
    <m/>
    <m/>
    <m/>
    <m/>
    <m/>
    <m/>
    <m/>
    <m/>
    <m/>
    <m/>
    <m/>
    <m/>
    <m/>
    <m/>
    <m/>
    <m/>
    <m/>
    <m/>
    <m/>
    <m/>
    <m/>
    <n v="97500000"/>
    <n v="0"/>
    <n v="0"/>
    <n v="97500000"/>
    <n v="0"/>
    <x v="0"/>
  </r>
  <r>
    <x v="0"/>
    <x v="8"/>
    <s v="Mejoramiento de la planeación del abastecimiento y confiabilidad del subsector de hidrocarburos a nivel nacional"/>
    <s v="Hidrocarburos"/>
    <s v="Sí"/>
    <s v="Sí"/>
    <n v="2"/>
    <s v="170-25"/>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5 Prestar servicios profesionales para apoyar la estructuración, evaluación y desarrollo de lineamientos técnicos de proyectos de infraestructura de hidrocarburos, en el marco de los procesos de convocatorias públicas y demás actividades a cargo de l"/>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0"/>
    <n v="0"/>
    <n v="102300000"/>
    <n v="0"/>
    <n v="0"/>
    <n v="8060000"/>
    <n v="0"/>
    <n v="9300000"/>
    <n v="0"/>
    <n v="9300000"/>
    <n v="0"/>
    <n v="9300000"/>
    <n v="0"/>
    <n v="9300000"/>
    <n v="0"/>
    <n v="9300000"/>
    <n v="0"/>
    <n v="9300000"/>
    <n v="0"/>
    <n v="9300000"/>
    <n v="0"/>
    <n v="9300000"/>
    <n v="0"/>
    <n v="19840000"/>
    <n v="102300000"/>
    <n v="102300000"/>
    <n v="0"/>
    <n v="0"/>
    <s v="Prestar servicios profesionales para apoyar la estructuración, evaluación y desarrollo de lineamientos técnicos de proyectos de infraestructura de hidrocarburos, en el marco de los procesos de convocatorias públicas y demás actividades a cargo de la Subdi"/>
    <m/>
    <m/>
    <n v="102300000"/>
    <m/>
    <m/>
    <n v="8060000"/>
    <m/>
    <n v="9300000"/>
    <m/>
    <n v="9300000"/>
    <m/>
    <n v="9300000"/>
    <m/>
    <n v="9300000"/>
    <m/>
    <n v="9300000"/>
    <m/>
    <n v="9300000"/>
    <m/>
    <n v="9300000"/>
    <m/>
    <n v="9300000"/>
    <m/>
    <n v="19840000"/>
    <m/>
    <m/>
    <n v="102300000"/>
    <n v="102300000"/>
    <n v="0"/>
    <n v="0"/>
    <n v="52426"/>
    <d v="2026-01-20T00:00:00"/>
    <n v="102300000"/>
    <n v="0"/>
    <n v="40526"/>
    <d v="2026-02-04T00:00:00"/>
    <n v="102300000"/>
    <n v="0"/>
    <n v="0"/>
    <s v="HERAZO MARTINEZ EDGAR JOSE"/>
    <s v="CO1.PCCNTR.9242101"/>
    <m/>
    <m/>
    <m/>
    <n v="102300000"/>
    <m/>
    <m/>
    <m/>
    <n v="8060000"/>
    <n v="8060000"/>
    <m/>
    <n v="9300000"/>
    <n v="9300000"/>
    <m/>
    <m/>
    <m/>
    <m/>
    <m/>
    <m/>
    <m/>
    <m/>
    <m/>
    <m/>
    <m/>
    <m/>
    <m/>
    <m/>
    <m/>
    <m/>
    <m/>
    <m/>
    <m/>
    <m/>
    <m/>
    <m/>
    <m/>
    <m/>
    <n v="102300000"/>
    <n v="17360000"/>
    <n v="17360000"/>
    <n v="84940000"/>
    <n v="0"/>
    <x v="0"/>
  </r>
  <r>
    <x v="0"/>
    <x v="8"/>
    <s v="Mejoramiento de la planeación del abastecimiento y confiabilidad del subsector de hidrocarburos a nivel nacional"/>
    <s v="Hidrocarburos"/>
    <s v="Sí"/>
    <s v="Sí"/>
    <n v="2"/>
    <s v="170-26"/>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6 Prestar servicios profesionales para apoyar el diseño, evaluación y análisis de los proyectos de infraestructura de hidrocarburos, así como en la  aplicación de metodologías para la gestión de información técnica en los procesos que adelante la Sub"/>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el diseño, evaluación y análisis de los proyectos de infraestructura de hidrocarburos, así como en la  aplicación de metodologías para la gestión de información técnica en los procesos que adelante la Subdirecci"/>
    <n v="102300000"/>
    <m/>
    <m/>
    <m/>
    <m/>
    <n v="8060000"/>
    <m/>
    <n v="9300000"/>
    <m/>
    <n v="9300000"/>
    <m/>
    <n v="9300000"/>
    <m/>
    <n v="9300000"/>
    <m/>
    <n v="9300000"/>
    <m/>
    <n v="9300000"/>
    <m/>
    <n v="9300000"/>
    <m/>
    <n v="9300000"/>
    <m/>
    <n v="19840000"/>
    <m/>
    <m/>
    <n v="102300000"/>
    <n v="102300000"/>
    <n v="0"/>
    <n v="0"/>
    <n v="19426"/>
    <d v="2026-01-11T00:00:00"/>
    <n v="102300000"/>
    <n v="0"/>
    <n v="29326"/>
    <d v="2026-01-28T00:00:00"/>
    <n v="102300000"/>
    <n v="0"/>
    <n v="0"/>
    <s v="BRICEÑO SANDREA LINO"/>
    <s v="CO1.PCCNTR.9139164"/>
    <n v="102300000"/>
    <m/>
    <m/>
    <m/>
    <m/>
    <m/>
    <m/>
    <m/>
    <m/>
    <m/>
    <m/>
    <m/>
    <m/>
    <m/>
    <m/>
    <m/>
    <m/>
    <m/>
    <m/>
    <m/>
    <m/>
    <m/>
    <m/>
    <m/>
    <m/>
    <m/>
    <m/>
    <m/>
    <m/>
    <m/>
    <m/>
    <m/>
    <m/>
    <m/>
    <m/>
    <m/>
    <n v="102300000"/>
    <n v="0"/>
    <n v="0"/>
    <n v="102300000"/>
    <n v="0"/>
    <x v="0"/>
  </r>
  <r>
    <x v="0"/>
    <x v="8"/>
    <s v="Mejoramiento de la planeación del abastecimiento y confiabilidad del subsector de hidrocarburos a nivel nacional"/>
    <s v="Hidrocarburos"/>
    <s v="Sí"/>
    <s v="Sí"/>
    <n v="68"/>
    <s v="170-27"/>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7 Prestar servicios profesionales para apoyar la ejecución de las diferentes actividades relacionadas con el Plan Nacional de Sustitución de Leña y procesos a cargo de la Subdirección de Hidrocarburos."/>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36139950"/>
    <n v="0"/>
    <n v="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Plan Nacional de Sustitución de Leña y procesos a cargo de la Subdirección de Hidrocarburos."/>
    <n v="36139950"/>
    <m/>
    <m/>
    <m/>
    <m/>
    <n v="3285450"/>
    <m/>
    <n v="3285450"/>
    <m/>
    <n v="3285450"/>
    <m/>
    <n v="3285450"/>
    <m/>
    <n v="3285450"/>
    <m/>
    <n v="3285450"/>
    <m/>
    <n v="3285450"/>
    <m/>
    <n v="3285450"/>
    <m/>
    <n v="3285450"/>
    <m/>
    <n v="6570900"/>
    <m/>
    <m/>
    <n v="36139950"/>
    <n v="36139950"/>
    <n v="0"/>
    <n v="0"/>
    <n v="4326"/>
    <d v="2026-01-05T00:00:00"/>
    <n v="36139950"/>
    <n v="0"/>
    <n v="8026"/>
    <d v="2026-01-13T00:00:00"/>
    <n v="36139950"/>
    <n v="0"/>
    <n v="0"/>
    <s v="ALZATE GAMARRA KARINA SIGNEY"/>
    <s v="CO1.PCCNTR.8817289"/>
    <n v="36139950"/>
    <m/>
    <m/>
    <m/>
    <m/>
    <m/>
    <m/>
    <n v="5147205"/>
    <n v="5147205"/>
    <m/>
    <n v="3285450"/>
    <n v="3285450"/>
    <m/>
    <m/>
    <m/>
    <m/>
    <m/>
    <m/>
    <m/>
    <m/>
    <m/>
    <m/>
    <m/>
    <m/>
    <m/>
    <m/>
    <m/>
    <m/>
    <m/>
    <m/>
    <m/>
    <m/>
    <m/>
    <m/>
    <m/>
    <m/>
    <n v="36139950"/>
    <n v="8432655"/>
    <n v="8432655"/>
    <n v="27707295"/>
    <n v="0"/>
    <x v="0"/>
  </r>
  <r>
    <x v="0"/>
    <x v="8"/>
    <s v="Mejoramiento de la planeación del abastecimiento y confiabilidad del subsector de hidrocarburos a nivel nacional"/>
    <s v="Hidrocarburos"/>
    <s v="Sí"/>
    <s v="Sí"/>
    <n v="23"/>
    <s v="170-28"/>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8 Prestar servicios profesionales para apoyar la ejecución de las diferentes actividades relacionadas con el Estudio Técnico para el Plan de Abastecimiento de Gas Natural y procesos a cargo de la Subdirección de Hidrocarburos."/>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Estudio Técnico para el Plan de Abastecimiento de Gas Natural y procesos a cargo de la Subdirección de Hidrocarburos."/>
    <m/>
    <m/>
    <n v="36139950"/>
    <m/>
    <m/>
    <n v="3285450"/>
    <m/>
    <n v="3285450"/>
    <m/>
    <n v="3285450"/>
    <m/>
    <n v="3285450"/>
    <m/>
    <n v="3285450"/>
    <m/>
    <n v="3285450"/>
    <m/>
    <n v="3285450"/>
    <m/>
    <n v="3285450"/>
    <m/>
    <n v="3285450"/>
    <m/>
    <n v="6570900"/>
    <m/>
    <m/>
    <n v="36139950"/>
    <n v="36139950"/>
    <n v="0"/>
    <n v="0"/>
    <n v="62926"/>
    <d v="2026-01-23T00:00:00"/>
    <n v="35592375"/>
    <n v="547575"/>
    <n v="49226"/>
    <d v="2026-02-06T00:00:00"/>
    <n v="35592375"/>
    <n v="547575"/>
    <n v="0"/>
    <s v="BARRERA ACOSTA HELIAN ARMANDO"/>
    <s v="CO1.PCCNTR.9259327"/>
    <m/>
    <m/>
    <m/>
    <n v="36139950"/>
    <m/>
    <m/>
    <m/>
    <n v="2737875"/>
    <n v="2737875"/>
    <n v="-547575"/>
    <n v="3285450"/>
    <n v="3285450"/>
    <m/>
    <m/>
    <m/>
    <m/>
    <m/>
    <m/>
    <m/>
    <m/>
    <m/>
    <m/>
    <m/>
    <m/>
    <m/>
    <m/>
    <m/>
    <m/>
    <m/>
    <m/>
    <m/>
    <m/>
    <m/>
    <m/>
    <m/>
    <m/>
    <n v="35592375"/>
    <n v="6023325"/>
    <n v="6023325"/>
    <n v="29569050"/>
    <n v="0"/>
    <x v="0"/>
  </r>
  <r>
    <x v="0"/>
    <x v="8"/>
    <s v="Mejoramiento de la planeación del abastecimiento y confiabilidad del subsector de hidrocarburos a nivel nacional"/>
    <s v="Hidrocarburos"/>
    <s v="Sí"/>
    <s v="Sí"/>
    <n v="23"/>
    <s v="170-29"/>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29 Prestar servicios profesionales para apoyar las actividades relacionadas con el desarrollo de modelos y simulación en el marco de los planes indicativos a cargo de la Subdirección de Hidrocarburos, así como de su ejercicio misional."/>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s actividades relacionadas con el desarrollo de modelos y simulación en el marco de los planes indicativos a cargo de la Subdirección de Hidrocarburos, así como de su ejercicio misional."/>
    <m/>
    <m/>
    <n v="36139950"/>
    <m/>
    <m/>
    <n v="3285450"/>
    <m/>
    <n v="3285450"/>
    <m/>
    <n v="3285450"/>
    <m/>
    <n v="3285450"/>
    <m/>
    <n v="3285450"/>
    <m/>
    <n v="3285450"/>
    <m/>
    <n v="3285450"/>
    <m/>
    <n v="3285450"/>
    <m/>
    <n v="3285450"/>
    <m/>
    <n v="6570900"/>
    <m/>
    <m/>
    <n v="36139950"/>
    <n v="36139950"/>
    <n v="0"/>
    <n v="0"/>
    <n v="63026"/>
    <d v="2026-01-23T00:00:00"/>
    <n v="35263830"/>
    <n v="876120"/>
    <n v="48926"/>
    <d v="2026-02-06T00:00:00"/>
    <n v="35263830"/>
    <n v="876120"/>
    <n v="0"/>
    <s v="ZORRILLA GUACA SANTIAGO"/>
    <s v="CO1.PCCNTR. 9272100"/>
    <m/>
    <m/>
    <m/>
    <n v="36139950"/>
    <m/>
    <m/>
    <m/>
    <n v="2409330"/>
    <n v="2409330"/>
    <n v="-876120"/>
    <n v="3285450"/>
    <n v="3285450"/>
    <m/>
    <m/>
    <m/>
    <m/>
    <m/>
    <m/>
    <m/>
    <m/>
    <m/>
    <m/>
    <m/>
    <m/>
    <m/>
    <m/>
    <m/>
    <m/>
    <m/>
    <m/>
    <m/>
    <m/>
    <m/>
    <m/>
    <m/>
    <m/>
    <n v="35263830"/>
    <n v="5694780"/>
    <n v="5694780"/>
    <n v="29569050"/>
    <n v="0"/>
    <x v="0"/>
  </r>
  <r>
    <x v="0"/>
    <x v="8"/>
    <s v="Mejoramiento de la planeación del abastecimiento y confiabilidad del subsector de hidrocarburos a nivel nacional"/>
    <s v="Hidrocarburos"/>
    <s v="Sí"/>
    <s v="Sí"/>
    <n v="23"/>
    <s v="170-30"/>
    <s v="Fortalecer la planificación de la oferta de hidrocarburos."/>
    <s v="Documentos de planeación estratégica del sector hidrocarburos"/>
    <s v="Documento de planeación validado."/>
    <n v="80111620"/>
    <s v="C-2103-1900-2-40301B-2103026-02"/>
    <s v="Prestación de servicios profesionales y/o de apoyo a la gestión"/>
    <s v="170-30 Prestar servicios profesionales para apoyar las actividades relacionadas con la incorporación del componente transición energética y sostenibilidad en el marco de los planes indicativos cargo de la Subdirección de Hidrocarburos, así como de su ejer"/>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s actividades relacionadas con la incorporación del componente transición energética y sostenibilidad en el marco de los planes indicativos cargo de la Subdirección de Hidrocarburos, así como de su ejercicio m"/>
    <m/>
    <m/>
    <n v="36139950"/>
    <m/>
    <m/>
    <n v="3285450"/>
    <m/>
    <n v="3285450"/>
    <m/>
    <n v="3285450"/>
    <m/>
    <n v="3285450"/>
    <m/>
    <n v="3285450"/>
    <m/>
    <n v="3285450"/>
    <m/>
    <n v="3285450"/>
    <m/>
    <n v="3285450"/>
    <m/>
    <n v="3285450"/>
    <m/>
    <n v="6570900"/>
    <m/>
    <m/>
    <n v="36139950"/>
    <n v="36139950"/>
    <n v="0"/>
    <n v="0"/>
    <n v="62826"/>
    <d v="2026-01-23T00:00:00"/>
    <n v="35044800"/>
    <n v="1095150"/>
    <n v="54226"/>
    <d v="2026-02-10T00:00:00"/>
    <n v="35044800"/>
    <n v="1095150"/>
    <n v="0"/>
    <s v="RENTERIA RIOS JUAN SEBASTIAN"/>
    <s v="CO1.PCCNTR.9278863"/>
    <m/>
    <m/>
    <m/>
    <n v="36139950"/>
    <m/>
    <m/>
    <m/>
    <n v="2190300"/>
    <n v="2190300"/>
    <n v="-1095150"/>
    <n v="3285450"/>
    <n v="3285450"/>
    <m/>
    <m/>
    <m/>
    <m/>
    <m/>
    <m/>
    <m/>
    <m/>
    <m/>
    <m/>
    <m/>
    <m/>
    <m/>
    <m/>
    <m/>
    <m/>
    <m/>
    <m/>
    <m/>
    <m/>
    <m/>
    <m/>
    <m/>
    <m/>
    <n v="35044800"/>
    <n v="5475750"/>
    <n v="5475750"/>
    <n v="29569050"/>
    <n v="0"/>
    <x v="0"/>
  </r>
  <r>
    <x v="0"/>
    <x v="8"/>
    <s v="Mejoramiento de la planeación del abastecimiento y confiabilidad del subsector de hidrocarburos a nivel nacional"/>
    <s v="Hidrocarburos"/>
    <s v="Sí"/>
    <s v="Sí"/>
    <n v="68"/>
    <s v="170-31"/>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31 Prestar servicios profesionales para apoyar las actividades relacionadas con la gestión de la información en el marco de los planes indicativos a cargo de la Subdirección de Hidrocarburos, así como de su ejercicio misional."/>
    <s v="Enero "/>
    <s v="Enero "/>
    <s v="Enero "/>
    <n v="11"/>
    <s v="Meses"/>
    <s v="Contratación directa - Prestación de servicios profesionales "/>
    <s v="Propios - 21 - Otros recursos de tesorería"/>
    <n v="63800000"/>
    <n v="63800000"/>
    <s v="No"/>
    <s v="N/A"/>
    <s v="Ingrid Fernanda Vásquez Méndez"/>
    <s v="Subdirectora de hidrocarburos"/>
    <n v="6012220601"/>
    <s v="ingrid.vasquez@upme.gov.co"/>
    <n v="0"/>
    <n v="0"/>
    <n v="63213150"/>
    <n v="0"/>
    <n v="0"/>
    <n v="5800000"/>
    <n v="0"/>
    <n v="5800000"/>
    <n v="0"/>
    <n v="5800000"/>
    <n v="0"/>
    <n v="5800000"/>
    <n v="0"/>
    <n v="5800000"/>
    <n v="586850"/>
    <n v="5800000"/>
    <n v="0"/>
    <n v="5800000"/>
    <n v="0"/>
    <n v="5800000"/>
    <n v="0"/>
    <n v="5800000"/>
    <n v="0"/>
    <n v="11600000"/>
    <n v="63800000"/>
    <n v="63800000"/>
    <n v="0"/>
    <n v="0"/>
    <s v="Prestar servicios profesionales para apoyar las actividades relacionadas con la gestión de la información en el marco de los planes indicativos a cargo de la Subdirección de Hidrocarburos, así como de su ejercicio misional."/>
    <m/>
    <m/>
    <n v="63213150"/>
    <m/>
    <m/>
    <n v="5800000"/>
    <m/>
    <n v="5800000"/>
    <m/>
    <n v="5800000"/>
    <m/>
    <n v="5800000"/>
    <m/>
    <n v="5800000"/>
    <n v="586850"/>
    <n v="5800000"/>
    <m/>
    <n v="5800000"/>
    <m/>
    <n v="5800000"/>
    <m/>
    <n v="5800000"/>
    <m/>
    <n v="11600000"/>
    <m/>
    <m/>
    <n v="63800000"/>
    <n v="63800000"/>
    <n v="0"/>
    <n v="0"/>
    <n v="63726"/>
    <d v="2026-01-23T00:00:00"/>
    <n v="62638485"/>
    <n v="1161515"/>
    <n v="51226"/>
    <d v="2026-02-09T00:00:00"/>
    <n v="62638485"/>
    <n v="1161515"/>
    <n v="0"/>
    <s v="RODRIGUEZ ORTIZ VICTOR YEFERSON"/>
    <s v="CO1.PCCNTR.9259274"/>
    <m/>
    <m/>
    <m/>
    <n v="63213150"/>
    <m/>
    <m/>
    <m/>
    <n v="5171985"/>
    <n v="5171985"/>
    <n v="-574665"/>
    <n v="5746650"/>
    <n v="5746650"/>
    <m/>
    <m/>
    <m/>
    <m/>
    <m/>
    <m/>
    <m/>
    <m/>
    <m/>
    <m/>
    <m/>
    <m/>
    <m/>
    <m/>
    <m/>
    <m/>
    <m/>
    <m/>
    <m/>
    <m/>
    <m/>
    <m/>
    <m/>
    <m/>
    <n v="62638485"/>
    <n v="10918635"/>
    <n v="10918635"/>
    <n v="51719850"/>
    <n v="0"/>
    <x v="0"/>
  </r>
  <r>
    <x v="0"/>
    <x v="8"/>
    <s v="Mejoramiento de la planeación del abastecimiento y confiabilidad del subsector de hidrocarburos a nivel nacional"/>
    <s v="Hidrocarburos"/>
    <s v="Sí"/>
    <s v="Sí"/>
    <n v="68"/>
    <s v="170-32"/>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32 Prestar servicios profesionales para apoyar la ejecución de las actividades relacionadas con los procesos de convocatorias públicas, así como la elaboración de documentos técnicos y asistencia a la gestión de la Subdirección de Hidrocarburos."/>
    <s v="Enero "/>
    <s v="Enero "/>
    <s v="Enero "/>
    <n v="11"/>
    <s v="Meses"/>
    <s v="Contratación directa - Prestación de servicios profesionales "/>
    <s v="Propios - 21 - Otros recursos de tesorería"/>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actividades relacionadas con los procesos de convocatorias públicas, así como la elaboración de documentos técnicos y asistencia a la gestión de la Subdirección de Hidrocarburos."/>
    <m/>
    <m/>
    <n v="36139950"/>
    <m/>
    <m/>
    <n v="3285450"/>
    <m/>
    <n v="3285450"/>
    <m/>
    <n v="3285450"/>
    <m/>
    <n v="3285450"/>
    <m/>
    <n v="3285450"/>
    <m/>
    <n v="3285450"/>
    <m/>
    <n v="3285450"/>
    <m/>
    <n v="3285450"/>
    <m/>
    <n v="3285450"/>
    <m/>
    <n v="6570900"/>
    <m/>
    <m/>
    <n v="36139950"/>
    <n v="36139950"/>
    <n v="0"/>
    <n v="0"/>
    <n v="63526"/>
    <d v="2026-01-23T00:00:00"/>
    <n v="36139950"/>
    <n v="0"/>
    <n v="51626"/>
    <d v="2026-02-09T00:00:00"/>
    <n v="36139950"/>
    <n v="0"/>
    <n v="0"/>
    <s v="CONTRERAS BELTRAN EDUARDO JOSE"/>
    <s v="CO1.PCCNTR. 9272888"/>
    <m/>
    <m/>
    <m/>
    <n v="36139950"/>
    <m/>
    <m/>
    <m/>
    <n v="2299815"/>
    <n v="2299815"/>
    <m/>
    <n v="3285450"/>
    <n v="3285450"/>
    <m/>
    <m/>
    <m/>
    <m/>
    <m/>
    <m/>
    <m/>
    <m/>
    <m/>
    <m/>
    <m/>
    <m/>
    <m/>
    <m/>
    <m/>
    <m/>
    <m/>
    <m/>
    <m/>
    <m/>
    <m/>
    <m/>
    <m/>
    <m/>
    <n v="36139950"/>
    <n v="5585265"/>
    <n v="5585265"/>
    <n v="30554685"/>
    <n v="0"/>
    <x v="0"/>
  </r>
  <r>
    <x v="0"/>
    <x v="8"/>
    <s v="Mejoramiento de la planeación del abastecimiento y confiabilidad del subsector de hidrocarburos a nivel nacional"/>
    <s v="Hidrocarburos"/>
    <s v="Sí"/>
    <s v="Sí"/>
    <n v="68"/>
    <s v="170-33"/>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33 Prestar servicios profesionales para apoyar la ejecución de las diferentes actividades relacionadas con el Plan Indicativo de Abastecimiento de Combustibles Líquidos y procesos a cargo de la Subdirección de Hidrocarburos."/>
    <s v="Enero "/>
    <s v="Enero "/>
    <s v="Enero "/>
    <n v="11"/>
    <s v="Meses"/>
    <s v="Contratación directa - Prestación de servicios profesionales "/>
    <s v="Propios - 21 - Otros recursos de tesorería"/>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Plan Indicativo de Abastecimiento de Combustibles Líquidos y procesos a cargo de la Subdirección de Hidrocarburos."/>
    <m/>
    <m/>
    <n v="36139950"/>
    <m/>
    <m/>
    <n v="3285450"/>
    <m/>
    <n v="3285450"/>
    <m/>
    <n v="3285450"/>
    <m/>
    <n v="3285450"/>
    <m/>
    <n v="3285450"/>
    <m/>
    <n v="3285450"/>
    <m/>
    <n v="3285450"/>
    <m/>
    <n v="3285450"/>
    <m/>
    <n v="3285450"/>
    <m/>
    <n v="6570900"/>
    <m/>
    <m/>
    <n v="36139950"/>
    <n v="36139950"/>
    <n v="0"/>
    <n v="0"/>
    <n v="52326"/>
    <d v="2026-01-20T00:00:00"/>
    <n v="36139950"/>
    <n v="0"/>
    <n v="54626"/>
    <d v="2026-02-10T00:00:00"/>
    <n v="36139950"/>
    <n v="0"/>
    <n v="0"/>
    <s v="GENERICO RADIO AFISIONADOS"/>
    <s v="CO1.PCCNTR.9279551"/>
    <m/>
    <m/>
    <m/>
    <n v="36139950"/>
    <m/>
    <m/>
    <m/>
    <n v="2190300"/>
    <n v="2190300"/>
    <m/>
    <n v="3285450"/>
    <n v="3285450"/>
    <m/>
    <m/>
    <m/>
    <m/>
    <m/>
    <m/>
    <m/>
    <m/>
    <m/>
    <m/>
    <m/>
    <m/>
    <m/>
    <m/>
    <m/>
    <m/>
    <m/>
    <m/>
    <m/>
    <m/>
    <m/>
    <m/>
    <m/>
    <m/>
    <n v="36139950"/>
    <n v="5475750"/>
    <n v="5475750"/>
    <n v="30664200"/>
    <n v="0"/>
    <x v="0"/>
  </r>
  <r>
    <x v="0"/>
    <x v="8"/>
    <s v="Mejoramiento de la planeación del abastecimiento y confiabilidad del subsector de hidrocarburos a nivel nacional"/>
    <s v="Hidrocarburos"/>
    <s v="Sí"/>
    <s v="Sí"/>
    <n v="23"/>
    <s v="170-34"/>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34 Prestar servicios profesionales para la gestión jurídica en la verificación y cumplimiento de requisitos legales y expedición de actos administrativos, en especial, lo relacionado con el sector hidrocarburos."/>
    <s v="Enero "/>
    <s v="Enero "/>
    <s v="Enero "/>
    <n v="11"/>
    <s v="Meses"/>
    <s v="Contratación directa - Prestación de servicios profesionales "/>
    <s v="Propios - 21 - Otros recursos de tesorería"/>
    <n v="55000000"/>
    <n v="55000000"/>
    <s v="No"/>
    <s v="N/A"/>
    <s v="Ingrid Fernanda Vásquez Méndez"/>
    <s v="Subdirectora de hidrocarburos"/>
    <n v="6012220601"/>
    <s v="ingrid.vasquez@upme.gov.co"/>
    <n v="0"/>
    <n v="0"/>
    <n v="0"/>
    <n v="0"/>
    <n v="0"/>
    <n v="0"/>
    <n v="0"/>
    <n v="0"/>
    <n v="0"/>
    <n v="0"/>
    <n v="0"/>
    <n v="0"/>
    <n v="55000000"/>
    <n v="0"/>
    <n v="0"/>
    <n v="10000000"/>
    <n v="0"/>
    <n v="0"/>
    <n v="0"/>
    <n v="10000000"/>
    <n v="0"/>
    <n v="35000000"/>
    <n v="0"/>
    <n v="0"/>
    <n v="55000000"/>
    <n v="55000000"/>
    <n v="0"/>
    <n v="0"/>
    <s v="Prestar servicios profesionales para la gestión jurídica en la verificación y cumplimiento de requisitos legales y expedición de actos administrativos, en especial, lo relacionado con el sector hidrocarburos."/>
    <m/>
    <m/>
    <m/>
    <m/>
    <m/>
    <m/>
    <m/>
    <m/>
    <m/>
    <m/>
    <m/>
    <m/>
    <n v="55000000"/>
    <m/>
    <m/>
    <n v="10000000"/>
    <m/>
    <m/>
    <m/>
    <n v="10000000"/>
    <m/>
    <n v="35000000"/>
    <m/>
    <m/>
    <m/>
    <m/>
    <n v="55000000"/>
    <n v="55000000"/>
    <n v="0"/>
    <n v="0"/>
    <m/>
    <m/>
    <m/>
    <n v="55000000"/>
    <m/>
    <m/>
    <n v="0"/>
    <n v="55000000"/>
    <n v="0"/>
    <m/>
    <m/>
    <m/>
    <m/>
    <m/>
    <m/>
    <m/>
    <m/>
    <m/>
    <m/>
    <m/>
    <m/>
    <m/>
    <m/>
    <m/>
    <m/>
    <m/>
    <m/>
    <m/>
    <m/>
    <m/>
    <m/>
    <m/>
    <m/>
    <m/>
    <m/>
    <m/>
    <m/>
    <m/>
    <m/>
    <m/>
    <m/>
    <m/>
    <m/>
    <m/>
    <m/>
    <m/>
    <m/>
    <n v="0"/>
    <n v="0"/>
    <n v="0"/>
    <n v="0"/>
    <n v="0"/>
    <x v="0"/>
  </r>
  <r>
    <x v="0"/>
    <x v="8"/>
    <s v="Mejoramiento de la planeación del abastecimiento y confiabilidad del subsector de hidrocarburos a nivel nacional"/>
    <s v="Hidrocarburos"/>
    <s v="Sí"/>
    <s v="Sí"/>
    <n v="68"/>
    <s v="170-35"/>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35 Prestar servicios de apoyo a la gestión para el desarrollo de actividades administrativas, operativas y de gestión institucional que le sean asignadas, de conformidad con las necesidades de la Subdirección de Hidrocarburos."/>
    <s v="Enero "/>
    <s v="Enero "/>
    <s v="Enero "/>
    <n v="11"/>
    <s v="Meses"/>
    <s v="Contratación directa - Prestación de servicios profesionales "/>
    <s v="Propios - 20 - Ingresos corrientes"/>
    <n v="21344400"/>
    <n v="21344400"/>
    <s v="No"/>
    <s v="N/A"/>
    <s v="Ingrid Fernanda Vásquez Méndez"/>
    <s v="Subdirectora de hidrocarburos"/>
    <n v="6012220601"/>
    <s v="ingrid.vasquez@upme.gov.co"/>
    <n v="0"/>
    <n v="0"/>
    <n v="21016800"/>
    <n v="0"/>
    <n v="0"/>
    <n v="2023840"/>
    <n v="0"/>
    <n v="2335200"/>
    <n v="0"/>
    <n v="2335200"/>
    <n v="0"/>
    <n v="2335200"/>
    <n v="0"/>
    <n v="2335200"/>
    <n v="327600"/>
    <n v="2335200"/>
    <n v="0"/>
    <n v="2335200"/>
    <n v="0"/>
    <n v="2335200"/>
    <n v="0"/>
    <n v="2335200"/>
    <n v="0"/>
    <n v="638960"/>
    <n v="21344400"/>
    <n v="21344400"/>
    <n v="0"/>
    <n v="0"/>
    <s v="Prestar servicios de apoyo a la gestión para el desarrollo de actividades administrativas, operativas y de gestión institucional que le sean asignadas, de conformidad con las necesidades de la Subdirección de Hidrocarburos."/>
    <m/>
    <m/>
    <n v="21016800"/>
    <m/>
    <m/>
    <n v="2023840"/>
    <m/>
    <n v="2335200"/>
    <m/>
    <n v="2335200"/>
    <m/>
    <n v="2335200"/>
    <m/>
    <n v="2335200"/>
    <n v="327600"/>
    <n v="2335200"/>
    <m/>
    <n v="2335200"/>
    <m/>
    <n v="2335200"/>
    <m/>
    <n v="2335200"/>
    <m/>
    <n v="638960"/>
    <m/>
    <m/>
    <n v="21344400"/>
    <n v="21344400"/>
    <n v="0"/>
    <n v="0"/>
    <n v="5026"/>
    <d v="2026-01-05T00:00:00"/>
    <n v="21344400"/>
    <n v="0"/>
    <n v="43426"/>
    <d v="2026-02-05T00:00:00"/>
    <n v="21016800"/>
    <n v="327600"/>
    <n v="327600"/>
    <s v="MONTALVO QUINTERO GABRIELA"/>
    <s v="CO1.PCCNTR.9232988"/>
    <m/>
    <m/>
    <m/>
    <n v="21016800"/>
    <m/>
    <m/>
    <m/>
    <n v="1946000"/>
    <n v="1946000"/>
    <m/>
    <n v="2335200"/>
    <n v="2335200"/>
    <m/>
    <m/>
    <m/>
    <m/>
    <m/>
    <m/>
    <m/>
    <m/>
    <m/>
    <m/>
    <m/>
    <m/>
    <m/>
    <m/>
    <m/>
    <m/>
    <m/>
    <m/>
    <m/>
    <m/>
    <m/>
    <m/>
    <m/>
    <m/>
    <n v="21016800"/>
    <n v="4281200"/>
    <n v="4281200"/>
    <n v="16735600"/>
    <n v="0"/>
    <x v="0"/>
  </r>
  <r>
    <x v="0"/>
    <x v="8"/>
    <s v="Mejoramiento de la planeación del abastecimiento y confiabilidad del subsector de hidrocarburos a nivel nacional"/>
    <s v="Hidrocarburos"/>
    <s v="Sí"/>
    <s v="Sí"/>
    <n v="68"/>
    <s v="170-36"/>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36 Prestar servicios profesionales para la elaboración, trámite y gestión de actuaciones administrativas, la verificación y cumplimiento de requisitos legales y demás actividades que se requieran de conformidad con las necesidades del sector de hidroc"/>
    <s v="Enero "/>
    <s v="Enero "/>
    <s v="Enero "/>
    <n v="11"/>
    <s v="Meses"/>
    <s v="Contratación directa - Prestación de servicios profesionales "/>
    <s v="Propios - 21 - Otros recursos de tesorería"/>
    <n v="55000000"/>
    <n v="55000000"/>
    <s v="No"/>
    <s v="N/A"/>
    <s v="Ingrid Fernanda Vásquez Méndez"/>
    <s v="Subdirectora de hidrocarburos"/>
    <n v="6012220601"/>
    <s v="ingrid.vasquez@upme.gov.co"/>
    <n v="55000000"/>
    <n v="0"/>
    <n v="0"/>
    <n v="0"/>
    <n v="0"/>
    <n v="5000000"/>
    <n v="0"/>
    <n v="5000000"/>
    <n v="0"/>
    <n v="5000000"/>
    <n v="0"/>
    <n v="5000000"/>
    <n v="0"/>
    <n v="5000000"/>
    <n v="0"/>
    <n v="5000000"/>
    <n v="0"/>
    <n v="5000000"/>
    <n v="0"/>
    <n v="5000000"/>
    <n v="0"/>
    <n v="5000000"/>
    <n v="0"/>
    <n v="10000000"/>
    <n v="55000000"/>
    <n v="55000000"/>
    <n v="0"/>
    <n v="0"/>
    <s v="Prestar servicios profesionales para la elaboración, trámite y gestión de actuaciones administrativas, la verificación y cumplimiento de requisitos legales y demás actividades que se requieran de conformidad con las necesidades del sector de hidrocarburos"/>
    <n v="55000000"/>
    <m/>
    <m/>
    <m/>
    <m/>
    <n v="5000000"/>
    <m/>
    <n v="5000000"/>
    <m/>
    <n v="5000000"/>
    <m/>
    <n v="5000000"/>
    <m/>
    <n v="5000000"/>
    <m/>
    <n v="5000000"/>
    <m/>
    <n v="5000000"/>
    <m/>
    <n v="5000000"/>
    <m/>
    <n v="5000000"/>
    <m/>
    <n v="10000000"/>
    <m/>
    <m/>
    <n v="55000000"/>
    <n v="55000000"/>
    <n v="0"/>
    <n v="0"/>
    <n v="5126"/>
    <d v="2026-01-05T00:00:00"/>
    <n v="55000000"/>
    <n v="0"/>
    <n v="17826"/>
    <d v="2026-01-22T00:00:00"/>
    <n v="55000000"/>
    <n v="0"/>
    <n v="0"/>
    <s v="PEREZ MUÑOZ URIEL ANDRES"/>
    <s v="CO1.PCCNTR.8993800"/>
    <n v="55000000"/>
    <m/>
    <m/>
    <m/>
    <m/>
    <m/>
    <m/>
    <n v="6333333"/>
    <n v="6333333"/>
    <m/>
    <n v="5000000"/>
    <n v="5000000"/>
    <m/>
    <m/>
    <m/>
    <m/>
    <m/>
    <m/>
    <m/>
    <m/>
    <m/>
    <m/>
    <m/>
    <m/>
    <m/>
    <m/>
    <m/>
    <m/>
    <m/>
    <m/>
    <m/>
    <m/>
    <m/>
    <m/>
    <m/>
    <m/>
    <n v="55000000"/>
    <n v="11333333"/>
    <n v="11333333"/>
    <n v="43666667"/>
    <n v="0"/>
    <x v="0"/>
  </r>
  <r>
    <x v="0"/>
    <x v="8"/>
    <s v="Mejoramiento de la planeación del abastecimiento y confiabilidad del subsector de hidrocarburos a nivel nacional"/>
    <s v="Hidrocarburos"/>
    <s v="Sí"/>
    <s v="Sí"/>
    <n v="23"/>
    <s v="170-37"/>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37 Prestar servicios profesionales para apoyar la ejecución de las actividades relacionadas con los procesos de convocatorias públicas, así como la elaboración de documentos técnicos y asistencia a la gestión de los diferentes planes y proyectos a car"/>
    <s v="Enero "/>
    <s v="Enero "/>
    <s v="Enero "/>
    <n v="11"/>
    <s v="Meses"/>
    <s v="Contratación directa - Prestación de servicios profesionales "/>
    <s v="Propios - 21 - Otros recursos de tesorería"/>
    <n v="81034800"/>
    <n v="81034800"/>
    <s v="No"/>
    <s v="N/A"/>
    <s v="Ingrid Fernanda Vásquez Méndez"/>
    <s v="Subdirectora de hidrocarburos"/>
    <n v="6012220601"/>
    <s v="ingrid.vasquez@upme.gov.co"/>
    <n v="0"/>
    <n v="0"/>
    <n v="81034800"/>
    <n v="0"/>
    <n v="0"/>
    <n v="7366800"/>
    <n v="0"/>
    <n v="7366800"/>
    <n v="0"/>
    <n v="7366800"/>
    <n v="0"/>
    <n v="7366800"/>
    <n v="0"/>
    <n v="7366800"/>
    <n v="0"/>
    <n v="7366800"/>
    <n v="0"/>
    <n v="7366800"/>
    <n v="0"/>
    <n v="7366800"/>
    <n v="0"/>
    <n v="7366800"/>
    <n v="0"/>
    <n v="14733600"/>
    <n v="81034800"/>
    <n v="81034800"/>
    <n v="0"/>
    <n v="0"/>
    <s v="Prestar servicios profesionales para apoyar la ejecución de las actividades relacionadas con los procesos de convocatorias públicas, así como la elaboración de documentos técnicos y asistencia a la gestión de los diferentes planes y proyectos a cargo de l"/>
    <m/>
    <m/>
    <n v="81034800"/>
    <m/>
    <m/>
    <n v="7366800"/>
    <m/>
    <n v="7366800"/>
    <m/>
    <n v="7366800"/>
    <m/>
    <n v="7366800"/>
    <m/>
    <n v="7366800"/>
    <m/>
    <n v="7366800"/>
    <m/>
    <n v="7366800"/>
    <m/>
    <n v="7366800"/>
    <m/>
    <n v="7366800"/>
    <m/>
    <n v="14733600"/>
    <m/>
    <m/>
    <n v="81034800"/>
    <n v="81034800"/>
    <n v="0"/>
    <n v="0"/>
    <n v="58426"/>
    <d v="2026-01-23T00:00:00"/>
    <n v="78579200"/>
    <n v="2455600"/>
    <n v="53426"/>
    <d v="2026-02-10T00:00:00"/>
    <n v="78579200"/>
    <n v="2455600"/>
    <n v="0"/>
    <s v="FACUNDO MENDEZ RAMIRO"/>
    <s v="CO1.PCCNTR.9298170"/>
    <m/>
    <m/>
    <m/>
    <n v="81034800"/>
    <m/>
    <m/>
    <m/>
    <n v="4911200"/>
    <n v="4911200"/>
    <n v="-2455600"/>
    <n v="7366800"/>
    <n v="7366800"/>
    <m/>
    <m/>
    <m/>
    <m/>
    <m/>
    <m/>
    <m/>
    <m/>
    <m/>
    <m/>
    <m/>
    <m/>
    <m/>
    <m/>
    <m/>
    <m/>
    <m/>
    <m/>
    <m/>
    <m/>
    <m/>
    <m/>
    <m/>
    <m/>
    <n v="78579200"/>
    <n v="12278000"/>
    <n v="12278000"/>
    <n v="66301200"/>
    <n v="0"/>
    <x v="0"/>
  </r>
  <r>
    <x v="0"/>
    <x v="8"/>
    <s v="Mejoramiento de la planeación del abastecimiento y confiabilidad del subsector de hidrocarburos a nivel nacional"/>
    <s v="Hidrocarburos"/>
    <s v="Sí"/>
    <s v="Sí"/>
    <s v="Radicado 20261110012353"/>
    <s v="170-38"/>
    <s v="Fortalecer la planificación de la oferta de hidrocarburos."/>
    <s v="Documentos de planeación estratégica del sector hidrocarburos"/>
    <s v="Documento de planeación preliminar."/>
    <n v="78111502"/>
    <s v="C-2103-1900-2-40301B-2103026-02"/>
    <s v="Tiquetes"/>
    <s v="170-38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25527771"/>
    <n v="25527771"/>
    <s v="No"/>
    <s v="N/A"/>
    <s v="Ingrid Fernanda Vásquez Méndez"/>
    <s v="Subdirectora de hidrocarburos"/>
    <n v="6012220601"/>
    <s v="ingrid.vasquez@upme.gov.co"/>
    <n v="0"/>
    <n v="0"/>
    <n v="0"/>
    <n v="0"/>
    <n v="0"/>
    <n v="0"/>
    <n v="0"/>
    <n v="0"/>
    <n v="0"/>
    <n v="0"/>
    <n v="0"/>
    <n v="0"/>
    <n v="0"/>
    <n v="0"/>
    <n v="0"/>
    <n v="0"/>
    <n v="25527771"/>
    <n v="0"/>
    <n v="0"/>
    <n v="2000000"/>
    <n v="0"/>
    <n v="11527771"/>
    <n v="0"/>
    <n v="12000000"/>
    <n v="25527771"/>
    <n v="25527771"/>
    <n v="0"/>
    <n v="0"/>
    <s v="Adquirir los servicios necesarios para garantizar el desplazamiento de servidores públicos y contratistas de la UPME a los eventos y espacios institucionales de planeación minero energética."/>
    <m/>
    <m/>
    <m/>
    <m/>
    <m/>
    <m/>
    <m/>
    <m/>
    <m/>
    <m/>
    <m/>
    <m/>
    <m/>
    <m/>
    <m/>
    <m/>
    <n v="25527771"/>
    <m/>
    <m/>
    <n v="2000000"/>
    <m/>
    <n v="11527771"/>
    <m/>
    <n v="12000000"/>
    <m/>
    <m/>
    <n v="25527771"/>
    <n v="25527771"/>
    <n v="0"/>
    <n v="0"/>
    <m/>
    <m/>
    <m/>
    <n v="25527771"/>
    <m/>
    <m/>
    <n v="0"/>
    <n v="25527771"/>
    <n v="0"/>
    <m/>
    <m/>
    <m/>
    <m/>
    <m/>
    <m/>
    <m/>
    <m/>
    <m/>
    <m/>
    <m/>
    <m/>
    <m/>
    <m/>
    <m/>
    <m/>
    <m/>
    <m/>
    <m/>
    <m/>
    <m/>
    <m/>
    <m/>
    <m/>
    <m/>
    <m/>
    <m/>
    <m/>
    <m/>
    <m/>
    <m/>
    <m/>
    <m/>
    <m/>
    <m/>
    <m/>
    <m/>
    <m/>
    <n v="0"/>
    <n v="0"/>
    <n v="0"/>
    <n v="0"/>
    <n v="0"/>
    <x v="0"/>
  </r>
  <r>
    <x v="0"/>
    <x v="8"/>
    <s v="Mejoramiento de la planeación del abastecimiento y confiabilidad del subsector de hidrocarburos a nivel nacional"/>
    <s v="Hidrocarburos"/>
    <s v="Sí"/>
    <s v="Sí"/>
    <s v="Radicado 20261110012353"/>
    <s v="170-39"/>
    <s v="Fortalecer la planificación de la oferta de hidrocarburos."/>
    <s v="Documentos de planeación estratégica del sector hidrocarburos"/>
    <s v="Documento de planeación validado."/>
    <n v="78111502"/>
    <s v="C-2103-1900-2-40301B-2103026-02"/>
    <s v="Tiquetes"/>
    <s v="170-39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2273520"/>
    <n v="2273520"/>
    <s v="No"/>
    <s v="N/A"/>
    <s v="Ingrid Fernanda Vásquez Méndez"/>
    <s v="Subdirectora de hidrocarburos"/>
    <n v="6012220601"/>
    <s v="ingrid.vasquez@upme.gov.co"/>
    <n v="2273520"/>
    <n v="0"/>
    <n v="0"/>
    <n v="0"/>
    <n v="0"/>
    <n v="0"/>
    <n v="0"/>
    <n v="0"/>
    <n v="0"/>
    <n v="0"/>
    <n v="0"/>
    <n v="0"/>
    <n v="0"/>
    <n v="0"/>
    <n v="0"/>
    <n v="0"/>
    <n v="0"/>
    <n v="0"/>
    <n v="0"/>
    <n v="0"/>
    <n v="0"/>
    <n v="2273520"/>
    <n v="0"/>
    <n v="0"/>
    <n v="2273520"/>
    <n v="2273520"/>
    <n v="0"/>
    <n v="0"/>
    <s v="Adquirir los servicios necesarios para garantizar el desplazamiento de servidores públicos y contratistas de la UPME a los eventos y espacios institucionales de planeación minero energética."/>
    <n v="2273520"/>
    <m/>
    <m/>
    <m/>
    <m/>
    <m/>
    <m/>
    <m/>
    <m/>
    <m/>
    <m/>
    <m/>
    <m/>
    <m/>
    <m/>
    <m/>
    <m/>
    <m/>
    <m/>
    <m/>
    <m/>
    <n v="2273520"/>
    <m/>
    <m/>
    <m/>
    <m/>
    <n v="2273520"/>
    <n v="2273520"/>
    <n v="0"/>
    <n v="0"/>
    <n v="38826"/>
    <d v="2026-01-15T00:00:00"/>
    <n v="2273520"/>
    <n v="0"/>
    <n v="20326"/>
    <d v="2026-01-26T00:00:00"/>
    <n v="2273520"/>
    <n v="0"/>
    <n v="0"/>
    <s v="FESTIVAL TOURS S.A.S"/>
    <s v="CO1.PCCNTR.9020125"/>
    <n v="2273520"/>
    <m/>
    <m/>
    <m/>
    <m/>
    <m/>
    <m/>
    <m/>
    <m/>
    <m/>
    <n v="1767360"/>
    <n v="1767360"/>
    <m/>
    <m/>
    <m/>
    <m/>
    <m/>
    <m/>
    <m/>
    <m/>
    <m/>
    <m/>
    <m/>
    <m/>
    <m/>
    <m/>
    <m/>
    <m/>
    <m/>
    <m/>
    <m/>
    <m/>
    <m/>
    <m/>
    <m/>
    <m/>
    <n v="2273520"/>
    <n v="1767360"/>
    <n v="1767360"/>
    <n v="506160"/>
    <n v="0"/>
    <x v="0"/>
  </r>
  <r>
    <x v="0"/>
    <x v="8"/>
    <s v="Mejoramiento de la planeación del abastecimiento y confiabilidad del subsector de hidrocarburos a nivel nacional"/>
    <s v="Hidrocarburos"/>
    <s v="Sí"/>
    <s v="Sí"/>
    <n v="68"/>
    <s v="170-40"/>
    <s v="Fortalecer la planificación de la oferta de hidrocarburos."/>
    <s v="Documentos de planeación estratégica del sector hidrocarburos"/>
    <s v="Documento de planeación preliminar."/>
    <n v="93151509"/>
    <s v="C-2103-1900-2-40301B-2103026-02"/>
    <s v="Software - Licencias"/>
    <s v="170-40 Renovar y prestar mantenimiento de Licencias MATLAB"/>
    <s v="Septiembre"/>
    <s v="Octubre"/>
    <s v="Noviembre"/>
    <n v="12"/>
    <s v="Meses"/>
    <s v="Contratación régimen especial - Régimen especial"/>
    <s v="Propios - 21 - Otros recursos de tesorería"/>
    <n v="45248539"/>
    <n v="45248539"/>
    <s v="No"/>
    <s v="N/A"/>
    <s v="Ingrid Fernanda Vásquez Méndez"/>
    <s v="Subdirectora de hidrocarburos"/>
    <n v="6012220601"/>
    <s v="ingrid.vasquez@upme.gov.co"/>
    <n v="0"/>
    <n v="0"/>
    <n v="0"/>
    <n v="0"/>
    <n v="0"/>
    <n v="0"/>
    <n v="0"/>
    <n v="0"/>
    <n v="0"/>
    <n v="0"/>
    <n v="0"/>
    <n v="0"/>
    <n v="0"/>
    <n v="0"/>
    <n v="0"/>
    <n v="0"/>
    <n v="0"/>
    <n v="0"/>
    <n v="0"/>
    <n v="0"/>
    <n v="45248539"/>
    <n v="0"/>
    <n v="0"/>
    <n v="45248539"/>
    <n v="45248539"/>
    <n v="45248539"/>
    <n v="0"/>
    <n v="0"/>
    <s v="Renovar y prestar mantenimiento de Licencias MATLAB"/>
    <m/>
    <m/>
    <m/>
    <m/>
    <m/>
    <m/>
    <m/>
    <m/>
    <m/>
    <m/>
    <m/>
    <m/>
    <m/>
    <m/>
    <m/>
    <m/>
    <m/>
    <m/>
    <m/>
    <m/>
    <n v="45248539"/>
    <m/>
    <m/>
    <n v="45248539"/>
    <m/>
    <m/>
    <n v="45248539"/>
    <n v="45248539"/>
    <n v="0"/>
    <n v="0"/>
    <m/>
    <m/>
    <m/>
    <n v="45248539"/>
    <m/>
    <m/>
    <n v="0"/>
    <n v="45248539"/>
    <n v="0"/>
    <m/>
    <m/>
    <m/>
    <m/>
    <m/>
    <m/>
    <m/>
    <m/>
    <m/>
    <m/>
    <m/>
    <m/>
    <m/>
    <m/>
    <m/>
    <m/>
    <m/>
    <m/>
    <m/>
    <m/>
    <m/>
    <m/>
    <m/>
    <m/>
    <m/>
    <m/>
    <m/>
    <m/>
    <m/>
    <m/>
    <m/>
    <m/>
    <m/>
    <m/>
    <m/>
    <m/>
    <m/>
    <m/>
    <n v="0"/>
    <n v="0"/>
    <n v="0"/>
    <n v="0"/>
    <n v="0"/>
    <x v="0"/>
  </r>
  <r>
    <x v="0"/>
    <x v="8"/>
    <s v="Mejoramiento de la planeación del abastecimiento y confiabilidad del subsector de hidrocarburos a nivel nacional"/>
    <s v="Hidrocarburos"/>
    <s v="Sí"/>
    <s v="Sí"/>
    <n v="23"/>
    <s v="170-41"/>
    <s v="Reducir limitaciones que afecten la expansión de infraestructura de suministro de hidrocarburos en el tiempo."/>
    <s v="Documentos de Lineamientos Técnicos - Para el Desarrollo del Sector Hidrocarburos"/>
    <s v="Documento con la descripción de procesos, métodos y herramientas."/>
    <s v="43201800,43233405,43212201"/>
    <s v="C-2103-1900-2-40301B-2103025-02"/>
    <s v="Hardware (Equipos de computo o partes físicas)"/>
    <s v="170-4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 Régimen especial"/>
    <s v="Propios - 21 - Otros recursos de tesorería"/>
    <n v="36864000"/>
    <n v="36864000"/>
    <s v="No"/>
    <s v="N/A"/>
    <s v="Ingrid Fernanda Vásquez Méndez"/>
    <s v="Subdirectora de hidrocarburos"/>
    <n v="6012220601"/>
    <s v="ingrid.vasquez@upme.gov.co"/>
    <n v="0"/>
    <n v="0"/>
    <n v="0"/>
    <n v="0"/>
    <n v="0"/>
    <n v="0"/>
    <n v="0"/>
    <n v="0"/>
    <n v="0"/>
    <n v="0"/>
    <n v="0"/>
    <n v="0"/>
    <n v="0"/>
    <n v="0"/>
    <n v="0"/>
    <n v="0"/>
    <n v="0"/>
    <n v="0"/>
    <n v="0"/>
    <n v="0"/>
    <n v="36864000"/>
    <n v="0"/>
    <n v="0"/>
    <n v="36864000"/>
    <n v="36864000"/>
    <n v="36864000"/>
    <n v="0"/>
    <n v="0"/>
    <s v="Adquirir el licenciamiento por suscripción para Plataforma de virtualización y almacenamiento en nube incluyendo la adquisición del hardware para Computación y Storage que soporta esta solución de Hiperconvergencia."/>
    <m/>
    <m/>
    <m/>
    <m/>
    <m/>
    <m/>
    <m/>
    <m/>
    <m/>
    <m/>
    <m/>
    <m/>
    <m/>
    <m/>
    <m/>
    <m/>
    <m/>
    <m/>
    <m/>
    <m/>
    <n v="36864000"/>
    <m/>
    <m/>
    <n v="36864000"/>
    <m/>
    <m/>
    <n v="36864000"/>
    <n v="36864000"/>
    <n v="0"/>
    <n v="0"/>
    <m/>
    <m/>
    <m/>
    <n v="36864000"/>
    <m/>
    <m/>
    <n v="0"/>
    <n v="36864000"/>
    <n v="0"/>
    <m/>
    <m/>
    <m/>
    <m/>
    <m/>
    <m/>
    <m/>
    <m/>
    <m/>
    <m/>
    <m/>
    <m/>
    <m/>
    <m/>
    <m/>
    <m/>
    <m/>
    <m/>
    <m/>
    <m/>
    <m/>
    <m/>
    <m/>
    <m/>
    <m/>
    <m/>
    <m/>
    <m/>
    <m/>
    <m/>
    <m/>
    <m/>
    <m/>
    <m/>
    <m/>
    <m/>
    <m/>
    <m/>
    <n v="0"/>
    <n v="0"/>
    <n v="0"/>
    <n v="0"/>
    <n v="0"/>
    <x v="0"/>
  </r>
  <r>
    <x v="0"/>
    <x v="8"/>
    <s v="Mejoramiento de la planeación del abastecimiento y confiabilidad del subsector de hidrocarburos a nivel nacional"/>
    <s v="Hidrocarburos"/>
    <s v="Sí"/>
    <s v="Sí"/>
    <s v="Radicado 20261110012353"/>
    <s v="170-42"/>
    <s v="Reducir limitaciones que afecten la expansión de infraestructura de suministro de hidrocarburos en el tiempo."/>
    <s v="Documentos de Lineamientos Técnicos - Para el Desarrollo del Sector Hidrocarburos"/>
    <s v="Documento con la descripción de procesos, métodos y herramientas."/>
    <n v="78111502"/>
    <s v="C-2103-1900-2-40301B-2103025-02"/>
    <s v="Tiquetes"/>
    <s v="170-42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7165024"/>
    <n v="7165024"/>
    <s v="No"/>
    <s v="N/A"/>
    <s v="Ingrid Fernanda Vásquez Méndez"/>
    <s v="Subdirectora de hidrocarburos"/>
    <n v="6012220601"/>
    <s v="ingrid.vasquez@upme.gov.co"/>
    <n v="7165024"/>
    <n v="0"/>
    <n v="0"/>
    <n v="0"/>
    <n v="0"/>
    <n v="0"/>
    <n v="0"/>
    <n v="0"/>
    <n v="0"/>
    <n v="0"/>
    <n v="0"/>
    <n v="0"/>
    <n v="0"/>
    <n v="0"/>
    <n v="0"/>
    <n v="0"/>
    <n v="0"/>
    <n v="0"/>
    <n v="0"/>
    <n v="7165024"/>
    <n v="0"/>
    <n v="0"/>
    <n v="0"/>
    <n v="0"/>
    <n v="7165024"/>
    <n v="7165024"/>
    <n v="0"/>
    <n v="0"/>
    <s v="Adquirir los servicios necesarios para garantizar el desplazamiento de servidores públicos y contratistas de la UPME a los eventos y espacios institucionales de planeación minero energética."/>
    <n v="7165024"/>
    <m/>
    <m/>
    <m/>
    <m/>
    <m/>
    <m/>
    <m/>
    <m/>
    <m/>
    <m/>
    <m/>
    <m/>
    <m/>
    <m/>
    <m/>
    <m/>
    <m/>
    <m/>
    <n v="7165024"/>
    <m/>
    <m/>
    <m/>
    <m/>
    <m/>
    <m/>
    <n v="7165024"/>
    <n v="7165024"/>
    <n v="0"/>
    <n v="0"/>
    <n v="38826"/>
    <d v="2026-01-15T00:00:00"/>
    <n v="7165024"/>
    <n v="0"/>
    <n v="20326"/>
    <d v="2026-01-26T00:00:00"/>
    <n v="7165024"/>
    <n v="0"/>
    <n v="0"/>
    <s v="FESTIVAL TOURS S.A.S"/>
    <s v="CO1.PCCNTR.9020125"/>
    <n v="7165024"/>
    <m/>
    <m/>
    <m/>
    <m/>
    <m/>
    <m/>
    <m/>
    <m/>
    <m/>
    <m/>
    <m/>
    <m/>
    <m/>
    <m/>
    <m/>
    <m/>
    <m/>
    <m/>
    <m/>
    <m/>
    <m/>
    <m/>
    <m/>
    <m/>
    <m/>
    <m/>
    <m/>
    <m/>
    <m/>
    <m/>
    <m/>
    <m/>
    <m/>
    <m/>
    <m/>
    <n v="7165024"/>
    <n v="0"/>
    <n v="0"/>
    <n v="7165024"/>
    <n v="0"/>
    <x v="0"/>
  </r>
  <r>
    <x v="0"/>
    <x v="8"/>
    <s v="Mejoramiento de la planeación del abastecimiento y confiabilidad del subsector de hidrocarburos a nivel nacional"/>
    <s v="Hidrocarburos"/>
    <s v="No"/>
    <s v="Sí"/>
    <n v="68"/>
    <s v="170-43"/>
    <s v="Fortalecer la planificación de la oferta de hidrocarburos."/>
    <s v="Documentos de planeación estratégica del sector hidrocarburos"/>
    <s v="Divulgación"/>
    <s v="N/A"/>
    <s v="C-2103-1900-2-40301B-2103026-02"/>
    <s v="Viáticos o gastos de desplazamiento"/>
    <s v="170-43 Viáticos o gastos de desplazamiento"/>
    <s v="N/A"/>
    <s v="N/A"/>
    <s v="N/A"/>
    <s v="N/A"/>
    <s v="N/A"/>
    <s v="N/A"/>
    <s v="Propios - 21 - Otros recursos de tesorería"/>
    <n v="10720000"/>
    <n v="10720000"/>
    <s v="No"/>
    <s v="N/A"/>
    <s v="Ingrid Fernanda Vásquez Méndez"/>
    <s v="Subdirectora de hidrocarburos"/>
    <n v="6012220601"/>
    <s v="ingrid.vasquez@upme.gov.co"/>
    <n v="0"/>
    <n v="0"/>
    <n v="0"/>
    <n v="0"/>
    <n v="1072000"/>
    <n v="1072000"/>
    <n v="1072000"/>
    <n v="1072000"/>
    <n v="1072000"/>
    <n v="1072000"/>
    <n v="1072000"/>
    <n v="1072000"/>
    <n v="1072000"/>
    <n v="1072000"/>
    <n v="1072000"/>
    <n v="1072000"/>
    <n v="1072000"/>
    <n v="1072000"/>
    <n v="1072000"/>
    <n v="1072000"/>
    <n v="1072000"/>
    <n v="1072000"/>
    <n v="1072000"/>
    <n v="1072000"/>
    <n v="10720000"/>
    <n v="10720000"/>
    <n v="0"/>
    <n v="0"/>
    <s v="Viáticos o gastos de desplazamiento"/>
    <m/>
    <m/>
    <m/>
    <m/>
    <n v="1072000"/>
    <n v="1072000"/>
    <n v="1072000"/>
    <n v="1072000"/>
    <n v="1072000"/>
    <n v="1072000"/>
    <n v="1072000"/>
    <n v="1072000"/>
    <n v="1072000"/>
    <n v="1072000"/>
    <n v="1072000"/>
    <n v="1072000"/>
    <n v="1072000"/>
    <n v="1072000"/>
    <n v="1072000"/>
    <n v="1072000"/>
    <n v="1072000"/>
    <n v="1072000"/>
    <n v="1072000"/>
    <n v="1072000"/>
    <m/>
    <m/>
    <n v="10720000"/>
    <n v="10720000"/>
    <n v="0"/>
    <n v="0"/>
    <n v="70726"/>
    <d v="2026-03-17T00:00:00"/>
    <n v="10720000"/>
    <n v="0"/>
    <m/>
    <m/>
    <n v="0"/>
    <n v="10720000"/>
    <n v="10720000"/>
    <m/>
    <m/>
    <m/>
    <m/>
    <m/>
    <m/>
    <m/>
    <m/>
    <m/>
    <m/>
    <m/>
    <m/>
    <m/>
    <m/>
    <m/>
    <m/>
    <m/>
    <m/>
    <m/>
    <m/>
    <m/>
    <m/>
    <m/>
    <m/>
    <m/>
    <m/>
    <m/>
    <m/>
    <m/>
    <m/>
    <m/>
    <m/>
    <m/>
    <m/>
    <m/>
    <m/>
    <m/>
    <m/>
    <n v="0"/>
    <n v="0"/>
    <n v="0"/>
    <n v="0"/>
    <n v="0"/>
    <x v="0"/>
  </r>
  <r>
    <x v="0"/>
    <x v="8"/>
    <s v="Mejoramiento de la planeación del abastecimiento y confiabilidad del subsector de hidrocarburos a nivel nacional"/>
    <s v="Hidrocarburos"/>
    <s v="Sí"/>
    <s v="Sí"/>
    <n v="23"/>
    <s v="170-44"/>
    <s v="Reducir limitaciones que afecten la expansión de infraestructura de suministro de hidrocarburos en el tiempo."/>
    <s v="Documentos de Lineamientos Técnicos - Para el Desarrollo del Sector Hidrocarburos"/>
    <s v="Documento con la descripción de procesos, métodos y herramientas."/>
    <n v="80121601"/>
    <s v="C-2103-1900-2-40301B-2103025-02"/>
    <s v="Consultoría"/>
    <s v="170-44 Definición de requisitos mínimos para establecer los parámetros técnicos y criterios de diseño, construcción, operación y mantenimiento de infraestructura de abastecimiento y confiabilidad de combustibles hidrocarburos en Colombia."/>
    <s v="Marzo"/>
    <s v="Abril"/>
    <s v="Mayo"/>
    <n v="7"/>
    <s v="Meses"/>
    <s v="Contratación régimen especial - Régimen especial"/>
    <s v="Propios - 21 - Otros recursos de tesorería"/>
    <n v="718965200"/>
    <n v="718965200"/>
    <s v="No"/>
    <s v="N/A"/>
    <s v="Ingrid Fernanda Vásquez Méndez"/>
    <s v="Subdirectora de hidrocarburos"/>
    <n v="6012220601"/>
    <s v="ingrid.vasquez@upme.gov.co"/>
    <n v="0"/>
    <n v="0"/>
    <n v="0"/>
    <n v="0"/>
    <n v="0"/>
    <n v="0"/>
    <n v="0"/>
    <n v="0"/>
    <n v="0"/>
    <n v="0"/>
    <n v="0"/>
    <n v="0"/>
    <n v="718965200"/>
    <n v="0"/>
    <n v="0"/>
    <n v="200000000"/>
    <n v="0"/>
    <n v="0"/>
    <n v="0"/>
    <n v="318965200"/>
    <n v="0"/>
    <n v="0"/>
    <n v="0"/>
    <n v="200000000"/>
    <n v="718965200"/>
    <n v="718965200"/>
    <n v="0"/>
    <n v="0"/>
    <s v="Definición de requisitos mínimos para establecer los parámetros técnicos y criterios de diseño, construcción, operación y mantenimiento de infraestructura de abastecimiento y confiabilidad de combustibles hidrocarburos en Colombia."/>
    <m/>
    <m/>
    <m/>
    <m/>
    <m/>
    <m/>
    <m/>
    <m/>
    <m/>
    <m/>
    <m/>
    <m/>
    <n v="718965200"/>
    <m/>
    <m/>
    <n v="200000000"/>
    <m/>
    <m/>
    <m/>
    <n v="318965200"/>
    <m/>
    <m/>
    <m/>
    <n v="200000000"/>
    <m/>
    <m/>
    <n v="718965200"/>
    <n v="718965200"/>
    <n v="0"/>
    <n v="0"/>
    <m/>
    <m/>
    <m/>
    <n v="718965200"/>
    <m/>
    <m/>
    <n v="0"/>
    <n v="718965200"/>
    <n v="0"/>
    <m/>
    <m/>
    <m/>
    <m/>
    <m/>
    <m/>
    <m/>
    <m/>
    <m/>
    <m/>
    <m/>
    <m/>
    <m/>
    <m/>
    <m/>
    <m/>
    <m/>
    <m/>
    <m/>
    <m/>
    <m/>
    <m/>
    <m/>
    <m/>
    <m/>
    <m/>
    <m/>
    <m/>
    <m/>
    <m/>
    <m/>
    <m/>
    <m/>
    <m/>
    <m/>
    <m/>
    <m/>
    <m/>
    <n v="0"/>
    <n v="0"/>
    <n v="0"/>
    <n v="0"/>
    <n v="0"/>
    <x v="0"/>
  </r>
  <r>
    <x v="0"/>
    <x v="8"/>
    <s v="Mejoramiento de la planeación del abastecimiento y confiabilidad del subsector de hidrocarburos a nivel nacional"/>
    <s v="Hidrocarburos"/>
    <s v="Sí"/>
    <s v="Sí"/>
    <n v="68"/>
    <s v="170-45"/>
    <s v="Reducir limitaciones que afecten la expansión de infraestructura de suministro de hidrocarburos en el tiempo."/>
    <s v="Documentos de Lineamientos Técnicos - Para el Desarrollo del Sector Hidrocarburos"/>
    <s v="Documento con la descripción de procesos, métodos y herramientas."/>
    <n v="80121601"/>
    <s v="C-2103-1900-2-40301B-2103025-02"/>
    <s v="Consultoría"/>
    <s v="170-45 Prestar servicios de auditoría externa para los procesos de convocatorias públicas de gas natural que adelante la subdirección de hidrocarburos."/>
    <s v="Enero "/>
    <s v="Febrero"/>
    <s v="Marzo"/>
    <n v="9"/>
    <s v="Meses"/>
    <s v="Contratación directa - Contratos menor cuantía"/>
    <s v="Propios - 21 - Otros recursos de tesorería"/>
    <n v="213351731"/>
    <n v="213351731"/>
    <s v="No"/>
    <s v="N/A"/>
    <s v="Ingrid Fernanda Vásquez Méndez"/>
    <s v="Subdirectora de hidrocarburos"/>
    <n v="6012220601"/>
    <s v="ingrid.vasquez@upme.gov.co"/>
    <n v="0"/>
    <n v="0"/>
    <n v="0"/>
    <n v="0"/>
    <n v="0"/>
    <n v="0"/>
    <n v="0"/>
    <n v="0"/>
    <n v="0"/>
    <n v="0"/>
    <n v="0"/>
    <n v="0"/>
    <n v="213351731"/>
    <n v="0"/>
    <n v="0"/>
    <n v="0"/>
    <n v="0"/>
    <n v="0"/>
    <n v="0"/>
    <n v="0"/>
    <n v="0"/>
    <n v="213351731"/>
    <n v="0"/>
    <n v="0"/>
    <n v="213351731"/>
    <n v="213351731"/>
    <n v="0"/>
    <n v="0"/>
    <s v="Prestar servicios de auditoría externa para los procesos de convocatorias públicas de gas natural que adelante la subdirección de hidrocarburos."/>
    <m/>
    <m/>
    <m/>
    <m/>
    <m/>
    <m/>
    <m/>
    <m/>
    <m/>
    <m/>
    <m/>
    <m/>
    <n v="213351731"/>
    <m/>
    <m/>
    <m/>
    <m/>
    <m/>
    <m/>
    <m/>
    <m/>
    <n v="213351731"/>
    <m/>
    <m/>
    <m/>
    <m/>
    <n v="213351731"/>
    <n v="213351731"/>
    <n v="0"/>
    <n v="0"/>
    <m/>
    <m/>
    <m/>
    <n v="213351731"/>
    <m/>
    <m/>
    <n v="0"/>
    <n v="213351731"/>
    <n v="0"/>
    <m/>
    <m/>
    <m/>
    <m/>
    <m/>
    <m/>
    <m/>
    <m/>
    <m/>
    <m/>
    <m/>
    <m/>
    <m/>
    <m/>
    <m/>
    <m/>
    <m/>
    <m/>
    <m/>
    <m/>
    <m/>
    <m/>
    <m/>
    <m/>
    <m/>
    <m/>
    <m/>
    <m/>
    <m/>
    <m/>
    <m/>
    <m/>
    <m/>
    <m/>
    <m/>
    <m/>
    <m/>
    <m/>
    <n v="0"/>
    <n v="0"/>
    <n v="0"/>
    <n v="0"/>
    <n v="0"/>
    <x v="0"/>
  </r>
  <r>
    <x v="0"/>
    <x v="8"/>
    <s v="Mejoramiento de la planeación del abastecimiento y confiabilidad del subsector de hidrocarburos a nivel nacional"/>
    <s v="Hidrocarburos"/>
    <s v="Sí"/>
    <s v="Sí"/>
    <n v="21"/>
    <s v="170-46"/>
    <s v="Reducir limitaciones que afecten la expansión de infraestructura de suministro de hidrocarburos en el tiempo."/>
    <s v="Documentos de Lineamientos Técnicos - Para el Desarrollo del Sector Hidrocarburos"/>
    <s v="Documento con la descripción de procesos, métodos y herramientas."/>
    <s v="43201800,43233405,43212201"/>
    <s v="C-2103-1900-2-40301B-2103025-02"/>
    <s v="Software - Licencias"/>
    <s v="170-46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 Régimen especial"/>
    <s v="Propios - 21 - Otros recursos de tesorería"/>
    <n v="220000000"/>
    <n v="220000000"/>
    <s v="No"/>
    <s v="N/A"/>
    <s v="Ingrid Fernanda Vásquez Méndez"/>
    <s v="Subdirectora de hidrocarburos"/>
    <n v="6012220601"/>
    <s v="ingrid.vasquez@upme.gov.co"/>
    <n v="0"/>
    <n v="0"/>
    <n v="0"/>
    <n v="0"/>
    <n v="0"/>
    <n v="0"/>
    <n v="220000000"/>
    <n v="0"/>
    <n v="0"/>
    <n v="0"/>
    <n v="0"/>
    <n v="220000000"/>
    <n v="0"/>
    <n v="0"/>
    <n v="0"/>
    <n v="0"/>
    <n v="0"/>
    <n v="0"/>
    <n v="0"/>
    <n v="0"/>
    <n v="0"/>
    <n v="0"/>
    <n v="0"/>
    <n v="0"/>
    <n v="220000000"/>
    <n v="220000000"/>
    <n v="0"/>
    <n v="0"/>
    <s v="Adquirir el licenciamiento por suscripción para Plataforma de virtualización y almacenamiento en nube incluyendo la adquisición del hardware para Computación y Storage que soporta esta solución de Hiperconvergencia."/>
    <m/>
    <m/>
    <m/>
    <m/>
    <m/>
    <m/>
    <n v="220000000"/>
    <m/>
    <m/>
    <m/>
    <m/>
    <n v="220000000"/>
    <m/>
    <m/>
    <m/>
    <m/>
    <m/>
    <m/>
    <m/>
    <m/>
    <m/>
    <m/>
    <m/>
    <m/>
    <m/>
    <m/>
    <n v="220000000"/>
    <n v="220000000"/>
    <n v="0"/>
    <n v="0"/>
    <m/>
    <m/>
    <m/>
    <n v="220000000"/>
    <m/>
    <m/>
    <n v="0"/>
    <n v="220000000"/>
    <n v="0"/>
    <m/>
    <m/>
    <m/>
    <m/>
    <m/>
    <m/>
    <m/>
    <m/>
    <m/>
    <m/>
    <m/>
    <m/>
    <m/>
    <m/>
    <m/>
    <m/>
    <m/>
    <m/>
    <m/>
    <m/>
    <m/>
    <m/>
    <m/>
    <m/>
    <m/>
    <m/>
    <m/>
    <m/>
    <m/>
    <m/>
    <m/>
    <m/>
    <m/>
    <m/>
    <m/>
    <m/>
    <m/>
    <m/>
    <n v="0"/>
    <n v="0"/>
    <n v="0"/>
    <n v="0"/>
    <n v="0"/>
    <x v="1"/>
  </r>
  <r>
    <x v="0"/>
    <x v="8"/>
    <s v="Mejoramiento de la planeación del abastecimiento y confiabilidad del subsector de hidrocarburos a nivel nacional"/>
    <s v="Hidrocarburos"/>
    <s v="Sí"/>
    <s v="Sí"/>
    <n v="68"/>
    <s v="170-47"/>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4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7222000"/>
    <n v="7222000"/>
    <s v="No"/>
    <s v="N/A"/>
    <s v="Ingrid Fernanda Vásquez Méndez"/>
    <s v="Subdirectora de hidrocarburos"/>
    <n v="6012220601"/>
    <s v="ingrid.vasquez@upme.gov.co"/>
    <n v="0"/>
    <n v="0"/>
    <n v="7222000"/>
    <n v="0"/>
    <n v="0"/>
    <n v="0"/>
    <n v="0"/>
    <n v="0"/>
    <n v="0"/>
    <n v="0"/>
    <n v="0"/>
    <n v="0"/>
    <n v="0"/>
    <n v="0"/>
    <n v="0"/>
    <n v="0"/>
    <n v="0"/>
    <n v="0"/>
    <n v="0"/>
    <n v="0"/>
    <n v="0"/>
    <n v="0"/>
    <n v="0"/>
    <n v="7222000"/>
    <n v="7222000"/>
    <n v="7222000"/>
    <n v="0"/>
    <n v="0"/>
    <s v="Prestar servicios profesionales orientados al fortalecimiento de la Dimensión de Control Interno mediante la ejecución del Plan Anual de Auditorías Internas Independientes, con énfasis en la evaluación de la gestión administrativa de la UPME"/>
    <m/>
    <m/>
    <n v="7222000"/>
    <m/>
    <m/>
    <m/>
    <m/>
    <m/>
    <m/>
    <m/>
    <m/>
    <m/>
    <m/>
    <m/>
    <m/>
    <m/>
    <m/>
    <m/>
    <m/>
    <m/>
    <m/>
    <m/>
    <m/>
    <n v="7222000"/>
    <m/>
    <m/>
    <n v="7222000"/>
    <n v="7222000"/>
    <n v="0"/>
    <n v="0"/>
    <n v="64026"/>
    <d v="2026-01-23T00:00:00"/>
    <n v="7222000"/>
    <n v="0"/>
    <n v="59726"/>
    <d v="2026-02-12T00:00:00"/>
    <n v="7222000"/>
    <n v="0"/>
    <n v="0"/>
    <s v="NUÑEZ GANTIVA NATALIA ELIANA"/>
    <s v="CO1.PCCNTR.9306722"/>
    <m/>
    <m/>
    <m/>
    <n v="7222000"/>
    <m/>
    <m/>
    <m/>
    <m/>
    <m/>
    <m/>
    <m/>
    <m/>
    <m/>
    <m/>
    <m/>
    <m/>
    <m/>
    <m/>
    <m/>
    <m/>
    <m/>
    <m/>
    <m/>
    <m/>
    <m/>
    <m/>
    <m/>
    <m/>
    <m/>
    <m/>
    <m/>
    <m/>
    <m/>
    <m/>
    <m/>
    <m/>
    <n v="7222000"/>
    <n v="0"/>
    <n v="0"/>
    <n v="7222000"/>
    <n v="0"/>
    <x v="0"/>
  </r>
  <r>
    <x v="0"/>
    <x v="8"/>
    <s v="Mejoramiento de la planeación del abastecimiento y confiabilidad del subsector de hidrocarburos a nivel nacional"/>
    <s v="Hidrocarburos"/>
    <s v="Sí"/>
    <s v="Sí"/>
    <n v="23"/>
    <s v="170-48"/>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48 Prestar servicios profesionales orientados al fortalecimiento de la Política Institucional de Control Interno  a través de la ejecución del Plan Anual de Auditorías Internas Independientes, con énfasis en la evaluación  de la gestión financiera de "/>
    <s v="Enero "/>
    <s v="Enero "/>
    <s v="Enero "/>
    <n v="11.5"/>
    <s v="Meses"/>
    <s v="Contratación directa - Prestación de servicios profesionales "/>
    <s v="Propios - 21 - Otros recursos de tesorería"/>
    <n v="7222000"/>
    <n v="7222000"/>
    <s v="No"/>
    <s v="N/A"/>
    <s v="Ingrid Fernanda Vásquez Méndez"/>
    <s v="Subdirectora de hidrocarburos"/>
    <n v="6012220601"/>
    <s v="ingrid.vasquez@upme.gov.co"/>
    <n v="0"/>
    <n v="0"/>
    <n v="0"/>
    <n v="0"/>
    <n v="0"/>
    <n v="0"/>
    <n v="0"/>
    <n v="0"/>
    <n v="0"/>
    <n v="0"/>
    <n v="0"/>
    <n v="0"/>
    <n v="7222000"/>
    <n v="0"/>
    <n v="0"/>
    <n v="0"/>
    <n v="0"/>
    <n v="0"/>
    <n v="0"/>
    <n v="2000000"/>
    <n v="0"/>
    <n v="2000000"/>
    <n v="0"/>
    <n v="3222000"/>
    <n v="7222000"/>
    <n v="7222000"/>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7222000"/>
    <m/>
    <m/>
    <m/>
    <m/>
    <m/>
    <m/>
    <n v="2000000"/>
    <m/>
    <n v="2000000"/>
    <m/>
    <n v="3222000"/>
    <m/>
    <m/>
    <n v="7222000"/>
    <n v="7222000"/>
    <n v="0"/>
    <n v="0"/>
    <m/>
    <m/>
    <m/>
    <n v="7222000"/>
    <m/>
    <m/>
    <n v="0"/>
    <n v="7222000"/>
    <n v="0"/>
    <m/>
    <m/>
    <m/>
    <m/>
    <m/>
    <m/>
    <m/>
    <m/>
    <m/>
    <m/>
    <m/>
    <m/>
    <m/>
    <m/>
    <m/>
    <m/>
    <m/>
    <m/>
    <m/>
    <m/>
    <m/>
    <m/>
    <m/>
    <m/>
    <m/>
    <m/>
    <m/>
    <m/>
    <m/>
    <m/>
    <m/>
    <m/>
    <m/>
    <m/>
    <m/>
    <m/>
    <m/>
    <m/>
    <n v="0"/>
    <n v="0"/>
    <n v="0"/>
    <n v="0"/>
    <n v="0"/>
    <x v="0"/>
  </r>
  <r>
    <x v="0"/>
    <x v="8"/>
    <s v="Mejoramiento de la planeación del abastecimiento y confiabilidad del subsector de hidrocarburos a nivel nacional"/>
    <s v="Hidrocarburos"/>
    <s v="Sí"/>
    <s v="Sí"/>
    <n v="23"/>
    <s v="170-49"/>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49 Prestar servicios profesionales orientados al fortalecimiento del componente de Información y Comunicación del Modelo Esta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7221999"/>
    <n v="7221999"/>
    <s v="No"/>
    <s v="N/A"/>
    <s v="Ingrid Fernanda Vásquez Méndez"/>
    <s v="Subdirectora de hidrocarburos"/>
    <n v="6012220601"/>
    <s v="ingrid.vasquez@upme.gov.co"/>
    <n v="0"/>
    <n v="0"/>
    <n v="0"/>
    <n v="0"/>
    <n v="0"/>
    <n v="0"/>
    <n v="0"/>
    <n v="0"/>
    <n v="0"/>
    <n v="0"/>
    <n v="0"/>
    <n v="0"/>
    <n v="7221999"/>
    <n v="0"/>
    <n v="0"/>
    <n v="0"/>
    <n v="0"/>
    <n v="0"/>
    <n v="0"/>
    <n v="2000000"/>
    <n v="0"/>
    <n v="2000000"/>
    <n v="0"/>
    <n v="3221999"/>
    <n v="7221999"/>
    <n v="7221999"/>
    <n v="0"/>
    <n v="0"/>
    <s v="Prestar servicios profesionales orientados al fortalecimiento del componente de Información y Comunicación del Modelo Estandar de Control Interno (MECI), a través de la ejecución del Plan Anual de Auditorías Internas Independientes, con énfasis en la eval"/>
    <m/>
    <m/>
    <m/>
    <m/>
    <m/>
    <m/>
    <m/>
    <m/>
    <m/>
    <m/>
    <m/>
    <m/>
    <n v="7221999"/>
    <m/>
    <m/>
    <m/>
    <m/>
    <m/>
    <m/>
    <n v="2000000"/>
    <m/>
    <n v="2000000"/>
    <m/>
    <n v="3221999"/>
    <m/>
    <m/>
    <n v="7221999"/>
    <n v="7221999"/>
    <n v="0"/>
    <n v="0"/>
    <m/>
    <m/>
    <m/>
    <n v="7221999"/>
    <m/>
    <m/>
    <n v="0"/>
    <n v="7221999"/>
    <n v="0"/>
    <m/>
    <m/>
    <m/>
    <m/>
    <m/>
    <m/>
    <m/>
    <m/>
    <m/>
    <m/>
    <m/>
    <m/>
    <m/>
    <m/>
    <m/>
    <m/>
    <m/>
    <m/>
    <m/>
    <m/>
    <m/>
    <m/>
    <m/>
    <m/>
    <m/>
    <m/>
    <m/>
    <m/>
    <m/>
    <m/>
    <m/>
    <m/>
    <m/>
    <m/>
    <m/>
    <m/>
    <m/>
    <m/>
    <n v="0"/>
    <n v="0"/>
    <n v="0"/>
    <n v="0"/>
    <n v="0"/>
    <x v="0"/>
  </r>
  <r>
    <x v="0"/>
    <x v="8"/>
    <s v="Mejoramiento de la planeación del abastecimiento y confiabilidad del subsector de hidrocarburos a nivel nacional"/>
    <s v="Hidrocarburos"/>
    <s v="Sí"/>
    <s v="Sí"/>
    <n v="68"/>
    <s v="170-50"/>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50 Prestar servicios profesionales en asuntos jurídicos y judiciales de la Unidad de Planeación Minero Energética."/>
    <s v="Enero "/>
    <s v="Enero "/>
    <s v="Enero "/>
    <n v="11.5"/>
    <s v="Meses"/>
    <s v="Contratación directa - Prestación de servicios profesionales "/>
    <s v="Propios - 21 - Otros recursos de tesorería"/>
    <n v="76627950"/>
    <n v="76627950"/>
    <s v="No"/>
    <s v="N/A"/>
    <s v="Ingrid Fernanda Vásquez Méndez"/>
    <s v="Subdirectora de hidrocarburos"/>
    <n v="6012220601"/>
    <s v="ingrid.vasquez@upme.gov.co"/>
    <n v="73296300"/>
    <n v="0"/>
    <n v="0"/>
    <n v="0"/>
    <n v="0"/>
    <n v="6500000"/>
    <n v="0"/>
    <n v="6500000"/>
    <n v="0"/>
    <n v="6500000"/>
    <n v="0"/>
    <n v="6500000"/>
    <n v="0"/>
    <n v="6500000"/>
    <n v="3331650"/>
    <n v="6500000"/>
    <n v="0"/>
    <n v="6500000"/>
    <n v="0"/>
    <n v="6500000"/>
    <n v="0"/>
    <n v="6500000"/>
    <n v="0"/>
    <n v="18127950"/>
    <n v="76627950"/>
    <n v="76627950"/>
    <n v="0"/>
    <n v="0"/>
    <s v="Prestar servicios profesionales en asuntos jurídicos y judiciales de la Unidad de Planeación Minero Energética."/>
    <n v="73296300"/>
    <m/>
    <m/>
    <m/>
    <m/>
    <n v="6500000"/>
    <m/>
    <n v="6500000"/>
    <m/>
    <n v="6500000"/>
    <m/>
    <n v="6500000"/>
    <m/>
    <n v="6500000"/>
    <n v="3331650"/>
    <n v="6500000"/>
    <m/>
    <n v="6500000"/>
    <m/>
    <n v="6500000"/>
    <m/>
    <n v="6500000"/>
    <m/>
    <n v="18127950"/>
    <m/>
    <m/>
    <n v="76627950"/>
    <n v="76627950"/>
    <n v="0"/>
    <n v="0"/>
    <n v="44926"/>
    <d v="2026-01-17T00:00:00"/>
    <n v="76627950"/>
    <n v="0"/>
    <n v="32826"/>
    <d v="2026-01-29T00:00:00"/>
    <n v="73296300"/>
    <n v="3331650"/>
    <n v="3331650"/>
    <s v="ROJAS POSADA ALEJANDRA"/>
    <s v="CO1.PCCNTR.9143647"/>
    <n v="73296300"/>
    <m/>
    <m/>
    <m/>
    <m/>
    <m/>
    <m/>
    <n v="6663300"/>
    <n v="6663300"/>
    <m/>
    <n v="6885410"/>
    <n v="6885410"/>
    <m/>
    <m/>
    <m/>
    <m/>
    <m/>
    <m/>
    <m/>
    <m/>
    <m/>
    <m/>
    <m/>
    <m/>
    <m/>
    <m/>
    <m/>
    <m/>
    <m/>
    <m/>
    <m/>
    <m/>
    <m/>
    <m/>
    <m/>
    <m/>
    <n v="73296300"/>
    <n v="13548710"/>
    <n v="13548710"/>
    <n v="59747590"/>
    <n v="0"/>
    <x v="0"/>
  </r>
  <r>
    <x v="0"/>
    <x v="8"/>
    <s v="Mejoramiento de la planeación del abastecimiento y confiabilidad del subsector de hidrocarburos a nivel nacional"/>
    <s v="Hidrocarburos"/>
    <s v="Sí"/>
    <s v="Sí"/>
    <n v="23"/>
    <s v="170-51"/>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51 Prestar servicios profesionales para la gestión jurídica en la verificación y cumplimiento de asuntos legales de competencia de la UPME, y lo que de ello se derive, en especial, lo relacionado con el sector hidrocarburos y energía."/>
    <s v="Enero "/>
    <s v="Enero "/>
    <s v="Enero "/>
    <n v="11.5"/>
    <s v="Meses"/>
    <s v="Contratación directa - Prestación de servicios profesionales "/>
    <s v="Propios - 21 - Otros recursos de tesorería"/>
    <n v="35200000"/>
    <n v="35200000"/>
    <s v="No"/>
    <s v="N/A"/>
    <s v="Ingrid Fernanda Vásquez Méndez"/>
    <s v="Subdirectora de hidrocarburos"/>
    <n v="6012220601"/>
    <s v="ingrid.vasquez@upme.gov.co"/>
    <n v="0"/>
    <n v="0"/>
    <n v="35200000"/>
    <n v="0"/>
    <n v="0"/>
    <n v="3200000"/>
    <n v="0"/>
    <n v="3200000"/>
    <n v="0"/>
    <n v="3200000"/>
    <n v="0"/>
    <n v="3200000"/>
    <n v="0"/>
    <n v="3200000"/>
    <n v="0"/>
    <n v="3200000"/>
    <n v="0"/>
    <n v="3200000"/>
    <n v="0"/>
    <n v="3200000"/>
    <n v="0"/>
    <n v="3200000"/>
    <n v="0"/>
    <n v="6400000"/>
    <n v="35200000"/>
    <n v="35200000"/>
    <n v="0"/>
    <n v="0"/>
    <s v="Prestar servicios profesionales para la gestión jurídica en la verificación y cumplimiento de asuntos legales de competencia de la UPME, y lo que de ello se derive, en especial, lo relacionado con el sector hidrocarburos y energía."/>
    <m/>
    <m/>
    <n v="35200000"/>
    <m/>
    <m/>
    <n v="3200000"/>
    <m/>
    <n v="3200000"/>
    <m/>
    <n v="3200000"/>
    <m/>
    <n v="3200000"/>
    <m/>
    <n v="3200000"/>
    <m/>
    <n v="3200000"/>
    <m/>
    <n v="3200000"/>
    <m/>
    <n v="3200000"/>
    <m/>
    <n v="3200000"/>
    <m/>
    <n v="6400000"/>
    <m/>
    <m/>
    <n v="35200000"/>
    <n v="35200000"/>
    <n v="0"/>
    <n v="0"/>
    <n v="62326"/>
    <d v="2026-01-23T00:00:00"/>
    <n v="34346666"/>
    <n v="853334"/>
    <n v="47426"/>
    <d v="2026-02-06T00:00:00"/>
    <n v="34346666"/>
    <n v="853334"/>
    <n v="0"/>
    <s v="LOPEZ MONROY KAREN JULIANA"/>
    <s v="CO1.PCCNTR.9279200"/>
    <m/>
    <m/>
    <m/>
    <n v="35200000"/>
    <m/>
    <m/>
    <m/>
    <n v="2346666"/>
    <n v="2346666"/>
    <n v="-853334"/>
    <n v="3200000"/>
    <n v="3200000"/>
    <m/>
    <m/>
    <m/>
    <m/>
    <m/>
    <m/>
    <m/>
    <m/>
    <m/>
    <m/>
    <m/>
    <m/>
    <m/>
    <m/>
    <m/>
    <m/>
    <m/>
    <m/>
    <m/>
    <m/>
    <m/>
    <m/>
    <m/>
    <m/>
    <n v="34346666"/>
    <n v="5546666"/>
    <n v="5546666"/>
    <n v="28800000"/>
    <n v="0"/>
    <x v="0"/>
  </r>
  <r>
    <x v="0"/>
    <x v="8"/>
    <s v="Mejoramiento de la planeación del abastecimiento y confiabilidad del subsector de hidrocarburos a nivel nacional"/>
    <s v="Hidrocarburos"/>
    <s v="Sí"/>
    <s v="Sí"/>
    <n v="68"/>
    <s v="170-52"/>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s v="Prestación de servicios profesionales y/o de apoyo a la gestión"/>
    <s v="170-52 Prestar servicios profesionales para apoyar la ejecución de las diferentes actividades relacionadas con la formulación de los planes a cargo de la Subdirección de Hidrocarburos y demás gestiones misionales."/>
    <s v="Enero "/>
    <s v="Enero "/>
    <s v="Enero "/>
    <n v="11.5"/>
    <s v="Meses"/>
    <s v="Contratación directa - Prestación de servicios profesionales "/>
    <s v="Propios - 21 - Otros recursos de tesorería"/>
    <n v="36139950"/>
    <n v="36139950"/>
    <s v="No"/>
    <s v="N/A"/>
    <s v="Ingrid Fernanda Vásquez Méndez"/>
    <s v="Subdirectora de hidrocarburos"/>
    <n v="6012220601"/>
    <s v="ingrid.vasquez@upme.gov.co"/>
    <n v="36139950"/>
    <n v="0"/>
    <n v="0"/>
    <n v="0"/>
    <n v="0"/>
    <n v="3200000"/>
    <n v="0"/>
    <n v="3200000"/>
    <n v="0"/>
    <n v="3200000"/>
    <n v="0"/>
    <n v="3200000"/>
    <n v="0"/>
    <n v="3200000"/>
    <n v="0"/>
    <n v="3200000"/>
    <n v="0"/>
    <n v="3200000"/>
    <n v="0"/>
    <n v="3200000"/>
    <n v="0"/>
    <n v="3200000"/>
    <n v="0"/>
    <n v="7339950"/>
    <n v="36139950"/>
    <n v="36139950"/>
    <n v="0"/>
    <n v="0"/>
    <s v="Prestar servicios profesionales para apoyar la ejecución de las diferentes actividades relacionadas con la formulación de los planes a cargo de la Subdirección de Hidrocarburos y demás gestiones misionales."/>
    <n v="36139950"/>
    <m/>
    <m/>
    <m/>
    <m/>
    <n v="3200000"/>
    <m/>
    <n v="3200000"/>
    <m/>
    <n v="3200000"/>
    <m/>
    <n v="3200000"/>
    <m/>
    <n v="3200000"/>
    <m/>
    <n v="3200000"/>
    <m/>
    <n v="3200000"/>
    <m/>
    <n v="3200000"/>
    <m/>
    <n v="3200000"/>
    <m/>
    <n v="7339950"/>
    <m/>
    <m/>
    <n v="36139950"/>
    <n v="36139950"/>
    <n v="0"/>
    <n v="0"/>
    <n v="4426"/>
    <d v="2026-01-05T00:00:00"/>
    <n v="36139950"/>
    <n v="0"/>
    <n v="7826"/>
    <d v="2026-01-13T00:00:00"/>
    <n v="36139950"/>
    <n v="0"/>
    <n v="0"/>
    <s v="MINOTTA PEREA JOSE THANCY"/>
    <s v="CO1.PCCNTR.8820163"/>
    <n v="36139950"/>
    <m/>
    <m/>
    <m/>
    <n v="1861755"/>
    <n v="1861755"/>
    <m/>
    <n v="3285450"/>
    <n v="3285450"/>
    <m/>
    <n v="3285450"/>
    <n v="3285450"/>
    <m/>
    <m/>
    <m/>
    <m/>
    <m/>
    <m/>
    <m/>
    <m/>
    <m/>
    <m/>
    <m/>
    <m/>
    <m/>
    <m/>
    <m/>
    <m/>
    <m/>
    <m/>
    <m/>
    <m/>
    <m/>
    <m/>
    <m/>
    <m/>
    <n v="36139950"/>
    <n v="8432655"/>
    <n v="8432655"/>
    <n v="27707295"/>
    <n v="0"/>
    <x v="0"/>
  </r>
  <r>
    <x v="0"/>
    <x v="8"/>
    <s v="Mejoramiento de la planeación del abastecimiento y confiabilidad del subsector de hidrocarburos a nivel nacional"/>
    <s v="Hidrocarburos"/>
    <s v="Sí"/>
    <s v="Sí"/>
    <s v="Radicado 20261700004963"/>
    <s v="170-53"/>
    <s v="Reducir limitaciones que afecten la expansión de infraestructura de suministro de hidrocarburos en el tiempo."/>
    <s v="Documentos de Lineamientos Técnicos - Para el Desarrollo del Sector Hidrocarburos"/>
    <s v="Documento con la descripción de procesos, métodos y herramientas."/>
    <n v="80141607"/>
    <s v="C-2103-1900-2-40301B-2103025-02"/>
    <s v="Operador Logístico"/>
    <s v="170-53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18000000"/>
    <n v="18000000"/>
    <s v="No"/>
    <s v="N/A"/>
    <s v="Ingrid Fernanda Vásquez Méndez"/>
    <s v="Subdirectora de hidrocarburos"/>
    <n v="6012220601"/>
    <s v="ingrid.vasquez@upme.gov.co"/>
    <n v="18000000"/>
    <n v="0"/>
    <n v="0"/>
    <n v="0"/>
    <n v="0"/>
    <n v="4500000"/>
    <n v="0"/>
    <n v="0"/>
    <n v="0"/>
    <n v="0"/>
    <n v="0"/>
    <n v="4500000"/>
    <n v="0"/>
    <n v="0"/>
    <n v="0"/>
    <n v="0"/>
    <n v="0"/>
    <n v="4500000"/>
    <n v="0"/>
    <n v="0"/>
    <n v="0"/>
    <n v="0"/>
    <n v="0"/>
    <n v="4500000"/>
    <n v="18000000"/>
    <n v="18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n v="18000000"/>
    <m/>
    <m/>
    <m/>
    <m/>
    <n v="4500000"/>
    <m/>
    <m/>
    <m/>
    <m/>
    <m/>
    <n v="4500000"/>
    <m/>
    <m/>
    <m/>
    <m/>
    <m/>
    <n v="4500000"/>
    <m/>
    <m/>
    <m/>
    <m/>
    <m/>
    <n v="4500000"/>
    <m/>
    <m/>
    <n v="18000000"/>
    <n v="18000000"/>
    <n v="0"/>
    <n v="0"/>
    <n v="15126"/>
    <d v="2026-01-09T00:00:00"/>
    <n v="18000000"/>
    <n v="0"/>
    <n v="26226"/>
    <d v="2026-01-28T00:00:00"/>
    <n v="18000000"/>
    <n v="0"/>
    <n v="0"/>
    <s v="M2C ESTRATEGIAS SAS"/>
    <s v="CO1.PCCNTR.9130164"/>
    <n v="18000000"/>
    <m/>
    <m/>
    <m/>
    <m/>
    <m/>
    <m/>
    <m/>
    <m/>
    <m/>
    <m/>
    <m/>
    <m/>
    <m/>
    <m/>
    <m/>
    <m/>
    <m/>
    <m/>
    <m/>
    <m/>
    <m/>
    <m/>
    <m/>
    <m/>
    <m/>
    <m/>
    <m/>
    <m/>
    <m/>
    <m/>
    <m/>
    <m/>
    <m/>
    <m/>
    <m/>
    <n v="18000000"/>
    <n v="0"/>
    <n v="0"/>
    <n v="18000000"/>
    <n v="0"/>
    <x v="0"/>
  </r>
  <r>
    <x v="0"/>
    <x v="8"/>
    <s v="Mejoramiento de la planeación del abastecimiento y confiabilidad del subsector de hidrocarburos a nivel nacional"/>
    <s v="Hidrocarburos"/>
    <s v="Sí"/>
    <s v="Sí"/>
    <s v="Radicado 20261110012353"/>
    <s v="170-54"/>
    <s v="Reducir limitaciones que afecten la expansión de infraestructura de suministro de hidrocarburos en el tiempo."/>
    <s v="Documentos de Lineamientos Técnicos - Para el Desarrollo del Sector Hidrocarburos"/>
    <s v="Divulgación"/>
    <n v="78111502"/>
    <s v="C-2103-1900-2-40301B-2103025-02"/>
    <s v="Tiquetes"/>
    <s v="170-5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6080000"/>
    <n v="16080000"/>
    <s v="No"/>
    <s v="N/A"/>
    <s v="Ingrid Fernanda Vásquez Méndez"/>
    <s v="Subdirectora de hidrocarburos"/>
    <n v="6012220601"/>
    <s v="ingrid.vasquez@upme.gov.co"/>
    <n v="16080000"/>
    <n v="0"/>
    <n v="0"/>
    <n v="0"/>
    <n v="0"/>
    <n v="0"/>
    <n v="0"/>
    <n v="0"/>
    <n v="0"/>
    <n v="0"/>
    <n v="0"/>
    <n v="0"/>
    <n v="0"/>
    <n v="0"/>
    <n v="0"/>
    <n v="0"/>
    <n v="0"/>
    <n v="0"/>
    <n v="0"/>
    <n v="16080000"/>
    <n v="0"/>
    <n v="0"/>
    <n v="0"/>
    <n v="0"/>
    <n v="16080000"/>
    <n v="16080000"/>
    <n v="0"/>
    <n v="0"/>
    <s v="Adquirir los servicios necesarios para garantizar el desplazamiento de servidores públicos y contratistas de la UPME a los eventos y espacios institucionales de planeación minero energética."/>
    <n v="16080000"/>
    <m/>
    <m/>
    <m/>
    <m/>
    <m/>
    <m/>
    <m/>
    <m/>
    <m/>
    <m/>
    <m/>
    <m/>
    <m/>
    <m/>
    <m/>
    <m/>
    <m/>
    <m/>
    <n v="16080000"/>
    <m/>
    <m/>
    <m/>
    <m/>
    <m/>
    <m/>
    <n v="16080000"/>
    <n v="16080000"/>
    <n v="0"/>
    <n v="0"/>
    <n v="38826"/>
    <d v="2026-01-15T00:00:00"/>
    <n v="16080000"/>
    <n v="0"/>
    <n v="20326"/>
    <d v="2026-01-26T00:00:00"/>
    <n v="16080000"/>
    <n v="0"/>
    <n v="0"/>
    <s v="FESTIVAL TOURS S.A.S"/>
    <s v="CO1.PCCNTR.9020125"/>
    <n v="16080000"/>
    <m/>
    <m/>
    <m/>
    <m/>
    <m/>
    <m/>
    <n v="3287554"/>
    <n v="3287554"/>
    <m/>
    <n v="3598049"/>
    <n v="3598049"/>
    <m/>
    <m/>
    <m/>
    <m/>
    <m/>
    <m/>
    <m/>
    <m/>
    <m/>
    <m/>
    <m/>
    <m/>
    <m/>
    <m/>
    <m/>
    <m/>
    <m/>
    <m/>
    <m/>
    <m/>
    <m/>
    <m/>
    <m/>
    <m/>
    <n v="16080000"/>
    <n v="6885603"/>
    <n v="6885603"/>
    <n v="9194397"/>
    <n v="0"/>
    <x v="0"/>
  </r>
  <r>
    <x v="0"/>
    <x v="8"/>
    <s v="Mejoramiento de la planeación del abastecimiento y confiabilidad del subsector de hidrocarburos a nivel nacional"/>
    <s v="Hidrocarburos"/>
    <s v="No"/>
    <s v="Sí"/>
    <n v="2"/>
    <s v="170-55"/>
    <s v="Fortalecer la planificación de la oferta de hidrocarburos."/>
    <s v="Documentos de planeación estratégica del sector hidrocarburos"/>
    <s v="Documento de planeación validado."/>
    <s v="N/A"/>
    <s v="C-2103-1900-2-40301B-2103026-02"/>
    <s v="Viáticos o gastos de desplazamiento"/>
    <s v="170-55 Viáticos o gastos de desplazamiento"/>
    <s v="N/A"/>
    <s v="N/A"/>
    <s v="N/A"/>
    <s v="N/A"/>
    <s v="N/A"/>
    <s v="N/A"/>
    <s v="Propios - 20 - Ingresos corrientes"/>
    <n v="9330426"/>
    <n v="9330426"/>
    <s v="No"/>
    <s v="N/A"/>
    <s v="Ingrid Fernanda Vásquez Méndez"/>
    <s v="Subdirectora de hidrocarburos"/>
    <n v="6012220601"/>
    <s v="ingrid.vasquez@upme.gov.co"/>
    <n v="0"/>
    <n v="0"/>
    <n v="0"/>
    <n v="0"/>
    <n v="933000"/>
    <n v="933000"/>
    <n v="933000"/>
    <n v="933000"/>
    <n v="933000"/>
    <n v="933000"/>
    <n v="933000"/>
    <n v="933000"/>
    <n v="933000"/>
    <n v="933000"/>
    <n v="933000"/>
    <n v="933000"/>
    <n v="933000"/>
    <n v="933000"/>
    <n v="933000"/>
    <n v="933000"/>
    <n v="933000"/>
    <n v="933000"/>
    <n v="933426"/>
    <n v="933426"/>
    <n v="9330426"/>
    <n v="9330426"/>
    <n v="0"/>
    <n v="0"/>
    <s v="Viáticos o gastos de desplazamiento"/>
    <m/>
    <m/>
    <m/>
    <m/>
    <n v="933000"/>
    <n v="933000"/>
    <n v="933000"/>
    <n v="933000"/>
    <n v="933000"/>
    <n v="933000"/>
    <n v="933000"/>
    <n v="933000"/>
    <n v="933000"/>
    <n v="933000"/>
    <n v="933000"/>
    <n v="933000"/>
    <n v="933000"/>
    <n v="933000"/>
    <n v="933000"/>
    <n v="933000"/>
    <n v="933000"/>
    <n v="933000"/>
    <n v="933426"/>
    <n v="933426"/>
    <m/>
    <m/>
    <n v="9330426"/>
    <n v="9330426"/>
    <n v="0"/>
    <n v="0"/>
    <n v="70026"/>
    <d v="2026-03-13T00:00:00"/>
    <n v="9330426"/>
    <n v="0"/>
    <m/>
    <m/>
    <n v="0"/>
    <n v="9330426"/>
    <n v="9330426"/>
    <m/>
    <m/>
    <m/>
    <m/>
    <m/>
    <m/>
    <m/>
    <m/>
    <m/>
    <m/>
    <m/>
    <m/>
    <m/>
    <m/>
    <m/>
    <m/>
    <m/>
    <m/>
    <m/>
    <m/>
    <m/>
    <m/>
    <m/>
    <m/>
    <m/>
    <m/>
    <m/>
    <m/>
    <m/>
    <m/>
    <m/>
    <m/>
    <m/>
    <m/>
    <m/>
    <m/>
    <m/>
    <m/>
    <n v="0"/>
    <n v="0"/>
    <n v="0"/>
    <n v="0"/>
    <n v="0"/>
    <x v="0"/>
  </r>
  <r>
    <x v="0"/>
    <x v="8"/>
    <s v="Mejoramiento de la planeación del abastecimiento y confiabilidad del subsector de hidrocarburos a nivel nacional"/>
    <s v="Hidrocarburos"/>
    <s v="Sí"/>
    <s v="Sí"/>
    <n v="68"/>
    <s v="170-56"/>
    <s v="Reducir limitaciones que afecten la expansión de infraestructura de suministro de hidrocarburos en el tiempo."/>
    <s v="Documentos de Lineamientos Técnicos - Para el Desarrollo del Sector Hidrocarburos"/>
    <s v="Documento con la descripción de procesos, métodos y herramientas."/>
    <s v="N/A"/>
    <s v="C-2103-1900-2-40301B-2103025-02"/>
    <s v="Prestación de servicios profesionales y/o de apoyo a la gestión"/>
    <s v="170-56 Prestar servicios de apoyo a la gestión para el desarrollo de actividades administrativas, de gestión operativa, de seguimiento y de gestión que le sean asignadas, de conformidad con las necesidades de la Subdirección de Hidrocarburos."/>
    <s v="Enero "/>
    <s v="Enero "/>
    <s v="Enero "/>
    <n v="10"/>
    <s v="Meses"/>
    <s v="Seléccion abreviada - acuerdo marco"/>
    <s v="Propios - 21 - Otros recursos de tesorería"/>
    <n v="71500000"/>
    <n v="71500000"/>
    <s v="No"/>
    <s v="N/A"/>
    <s v="Ingrid Fernanda Vásquez Méndez"/>
    <s v="Subdirectora de hidrocarburos"/>
    <n v="6012220601"/>
    <s v="ingrid.vasquez@upme.gov.co"/>
    <n v="0"/>
    <n v="0"/>
    <n v="55486200"/>
    <n v="0"/>
    <n v="0"/>
    <n v="5044200"/>
    <n v="0"/>
    <n v="5044200"/>
    <n v="0"/>
    <n v="5044200"/>
    <n v="0"/>
    <n v="5044200"/>
    <n v="16013800"/>
    <n v="5044200"/>
    <n v="0"/>
    <n v="5044200"/>
    <n v="0"/>
    <n v="5044200"/>
    <n v="0"/>
    <n v="5044200"/>
    <n v="0"/>
    <n v="5044200"/>
    <n v="0"/>
    <n v="26102200"/>
    <n v="71500000"/>
    <n v="71500000"/>
    <n v="0"/>
    <n v="0"/>
    <s v="Prestar servicios de apoyo a la gestión para el desarrollo de actividades administrativas, de gestión operativa, de seguimiento y de gestión que le sean asignadas, de conformidad con las necesidades de la Subdirección de Hidrocarburos."/>
    <m/>
    <m/>
    <n v="55486200"/>
    <m/>
    <m/>
    <n v="5044200"/>
    <m/>
    <n v="5044200"/>
    <m/>
    <n v="5044200"/>
    <m/>
    <n v="5044200"/>
    <n v="16013800"/>
    <n v="5044200"/>
    <m/>
    <n v="5044200"/>
    <m/>
    <n v="5044200"/>
    <m/>
    <n v="5044200"/>
    <m/>
    <n v="5044200"/>
    <m/>
    <n v="26102200"/>
    <m/>
    <m/>
    <n v="71500000"/>
    <n v="71500000"/>
    <n v="0"/>
    <n v="0"/>
    <n v="58726"/>
    <d v="2026-01-23T00:00:00"/>
    <n v="54141080"/>
    <n v="17358920"/>
    <n v="48526"/>
    <d v="2026-02-06T00:00:00"/>
    <n v="54141080"/>
    <n v="17358920"/>
    <n v="0"/>
    <s v="VARGAS LAGARES CINDY PAOLA"/>
    <s v="CO1.PCCNTR. 9271057"/>
    <m/>
    <m/>
    <m/>
    <n v="55486200"/>
    <m/>
    <m/>
    <m/>
    <n v="3699080"/>
    <n v="3699080"/>
    <n v="-1345120"/>
    <n v="5044200"/>
    <n v="5044200"/>
    <m/>
    <m/>
    <m/>
    <m/>
    <m/>
    <m/>
    <m/>
    <m/>
    <m/>
    <m/>
    <m/>
    <m/>
    <m/>
    <m/>
    <m/>
    <m/>
    <m/>
    <m/>
    <m/>
    <m/>
    <m/>
    <m/>
    <m/>
    <m/>
    <n v="54141080"/>
    <n v="8743280"/>
    <n v="8743280"/>
    <n v="45397800"/>
    <n v="0"/>
    <x v="0"/>
  </r>
  <r>
    <x v="0"/>
    <x v="8"/>
    <s v="Mejoramiento de la planeación del abastecimiento y confiabilidad del subsector de hidrocarburos a nivel nacional"/>
    <s v="Hidrocarburos"/>
    <s v="No"/>
    <s v="Sí"/>
    <n v="2"/>
    <s v="170-57"/>
    <s v="Fortalecer la planificación de la oferta de hidrocarburos."/>
    <s v="Documentos de planeación estratégica del sector hidrocarburos"/>
    <s v="Documento de planeación preliminar."/>
    <s v="N/A"/>
    <s v="C-2103-1900-2-40301B-2103026-02"/>
    <s v="Viáticos o gastos de desplazamiento"/>
    <s v="170-57 Viáticos o gastos de desplazamiento"/>
    <s v="N/A"/>
    <s v="N/A"/>
    <s v="N/A"/>
    <s v="N/A"/>
    <s v="N/A"/>
    <s v="N/A"/>
    <s v="Propios - 20 - Ingresos corrientes"/>
    <n v="2106332"/>
    <n v="2106332"/>
    <s v="No"/>
    <s v="N/A"/>
    <s v="Ingrid Fernanda Vásquez Méndez"/>
    <s v="Subdirectora de hidrocarburos"/>
    <n v="6012220601"/>
    <s v="ingrid.vasquez@upme.gov.co"/>
    <n v="0"/>
    <n v="0"/>
    <n v="0"/>
    <n v="0"/>
    <n v="210600"/>
    <n v="210600"/>
    <n v="210600"/>
    <n v="210600"/>
    <n v="210600"/>
    <n v="210600"/>
    <n v="210600"/>
    <n v="210600"/>
    <n v="210600"/>
    <n v="210600"/>
    <n v="210600"/>
    <n v="210600"/>
    <n v="210600"/>
    <n v="210600"/>
    <n v="210600"/>
    <n v="210600"/>
    <n v="210600"/>
    <n v="210600"/>
    <n v="210932"/>
    <n v="210932"/>
    <n v="2106332"/>
    <n v="2106332"/>
    <n v="0"/>
    <n v="0"/>
    <s v="Viáticos o gastos de desplazamiento"/>
    <m/>
    <m/>
    <m/>
    <m/>
    <n v="210600"/>
    <n v="210600"/>
    <n v="210600"/>
    <n v="210600"/>
    <n v="210600"/>
    <n v="210600"/>
    <n v="210600"/>
    <n v="210600"/>
    <n v="210600"/>
    <n v="210600"/>
    <n v="210600"/>
    <n v="210600"/>
    <n v="210600"/>
    <n v="210600"/>
    <n v="210600"/>
    <n v="210600"/>
    <n v="210600"/>
    <n v="210600"/>
    <n v="210932"/>
    <n v="210932"/>
    <m/>
    <m/>
    <n v="2106332"/>
    <n v="2106332"/>
    <n v="0"/>
    <n v="0"/>
    <n v="70726"/>
    <d v="2026-03-17T00:00:00"/>
    <n v="2106332"/>
    <n v="0"/>
    <m/>
    <m/>
    <n v="0"/>
    <n v="2106332"/>
    <n v="2106332"/>
    <m/>
    <m/>
    <m/>
    <m/>
    <m/>
    <m/>
    <m/>
    <m/>
    <m/>
    <m/>
    <m/>
    <m/>
    <m/>
    <m/>
    <m/>
    <m/>
    <m/>
    <m/>
    <m/>
    <m/>
    <m/>
    <m/>
    <m/>
    <m/>
    <m/>
    <m/>
    <m/>
    <m/>
    <m/>
    <m/>
    <m/>
    <m/>
    <m/>
    <m/>
    <m/>
    <m/>
    <m/>
    <m/>
    <n v="0"/>
    <n v="0"/>
    <n v="0"/>
    <n v="0"/>
    <n v="0"/>
    <x v="0"/>
  </r>
  <r>
    <x v="0"/>
    <x v="8"/>
    <s v="Mejoramiento de la planeación del abastecimiento y confiabilidad del subsector de hidrocarburos a nivel nacional"/>
    <s v="Hidrocarburos"/>
    <s v="No"/>
    <s v="Sí"/>
    <n v="23"/>
    <s v="170-58"/>
    <s v="Fortalecer la planificación de la oferta de hidrocarburos."/>
    <s v="Documentos de planeación estratégica del sector hidrocarburos"/>
    <s v="Documento de planeación preliminar."/>
    <n v="80121601"/>
    <s v="C-2103-1900-2-40301B-2103026-02"/>
    <s v="Consultoría"/>
    <s v="170-58 Definición de requisitos mínimos para establecer los parámetros técnicos y criterios de diseño, construcción, operación y mantenimiento de infraestructura de abastecimiento y confiabilidad de combustibles hidrocarburos en Colombia."/>
    <s v="Marzo"/>
    <s v="Abril"/>
    <s v="Mayo"/>
    <n v="7"/>
    <s v="Meses"/>
    <s v="Contratación régimen especial - Régimen especial"/>
    <s v="Propios - 20 - Ingresos corrientes"/>
    <n v="145670160"/>
    <n v="145670160"/>
    <s v="No"/>
    <s v="N/A"/>
    <s v="Ingrid Fernanda Vásquez Méndez"/>
    <s v="Subdirectora de hidrocarburos"/>
    <n v="6012220601"/>
    <s v="ingrid.vasquez@upme.gov.co"/>
    <n v="0"/>
    <n v="0"/>
    <n v="35000000"/>
    <n v="0"/>
    <n v="0"/>
    <n v="0"/>
    <n v="0"/>
    <n v="0"/>
    <n v="0"/>
    <n v="0"/>
    <n v="0"/>
    <n v="0"/>
    <n v="0"/>
    <n v="0"/>
    <n v="0"/>
    <n v="0"/>
    <n v="0"/>
    <n v="0"/>
    <n v="0"/>
    <n v="0"/>
    <n v="0"/>
    <n v="0"/>
    <n v="0"/>
    <n v="35000000"/>
    <n v="35000000"/>
    <n v="35000000"/>
    <n v="110670160"/>
    <n v="110670160"/>
    <s v="Definición de requisitos mínimos para establecer los parámetros técnicos y criterios de diseño, construcción, operación y mantenimiento de infraestructura de abastecimiento y confiabilidad de combustibles hidrocarburos en Colombia."/>
    <m/>
    <m/>
    <m/>
    <m/>
    <m/>
    <m/>
    <m/>
    <m/>
    <n v="145670160"/>
    <m/>
    <m/>
    <m/>
    <m/>
    <m/>
    <m/>
    <m/>
    <m/>
    <m/>
    <m/>
    <n v="145670160"/>
    <m/>
    <m/>
    <m/>
    <m/>
    <m/>
    <m/>
    <n v="145670160"/>
    <n v="145670160"/>
    <n v="0"/>
    <n v="0"/>
    <n v="65126"/>
    <d v="2026-01-26T00:00:00"/>
    <n v="0"/>
    <n v="145670160"/>
    <m/>
    <m/>
    <n v="0"/>
    <n v="145670160"/>
    <n v="0"/>
    <m/>
    <m/>
    <m/>
    <m/>
    <m/>
    <m/>
    <m/>
    <m/>
    <m/>
    <m/>
    <m/>
    <m/>
    <m/>
    <m/>
    <m/>
    <m/>
    <m/>
    <m/>
    <m/>
    <m/>
    <m/>
    <m/>
    <m/>
    <m/>
    <m/>
    <m/>
    <m/>
    <m/>
    <m/>
    <m/>
    <m/>
    <m/>
    <m/>
    <m/>
    <m/>
    <m/>
    <m/>
    <m/>
    <n v="0"/>
    <n v="0"/>
    <n v="0"/>
    <n v="0"/>
    <n v="0"/>
    <x v="0"/>
  </r>
  <r>
    <x v="0"/>
    <x v="8"/>
    <s v="Mejoramiento de la planeación del abastecimiento y confiabilidad del subsector de hidrocarburos a nivel nacional"/>
    <s v="Hidrocarburos"/>
    <s v="No"/>
    <s v="Sí"/>
    <n v="8"/>
    <s v="170-59"/>
    <s v="Fortalecer la planificación de la oferta de hidrocarburos."/>
    <s v="Documentos de planeación estratégica del sector hidrocarburos"/>
    <s v="Documento de planeación preliminar."/>
    <n v="80111620"/>
    <s v="C-2103-1900-2-40301B-2103026-02"/>
    <s v="Prestación de servicios profesionales y/o de apoyo a la gestión"/>
    <s v="170-59 Prestar servicios de apoyo a la gestión para el desarrollo de actividades requeridas en gestión administrativa, documental, correspondencia y demás asuntos administrativos,  de conformidad con las necesidades de la Subdirección de Hidrocarburos."/>
    <s v="Enero "/>
    <s v="Enero "/>
    <s v="Enero "/>
    <n v="11"/>
    <s v="Meses"/>
    <s v="Contratación directa - Prestación de servicios profesionales "/>
    <s v="Propios - 20 - Ingresos corrientes"/>
    <n v="27500000"/>
    <n v="27500000"/>
    <s v="No"/>
    <s v="N/A"/>
    <s v="Ingrid Fernanda Vásquez Méndez"/>
    <s v="Subdirectora de hidrocarburos"/>
    <n v="6012220601"/>
    <s v="ingrid.vasquez@upme.gov.co"/>
    <n v="0"/>
    <n v="0"/>
    <n v="27500000"/>
    <n v="0"/>
    <n v="0"/>
    <n v="2500000"/>
    <n v="0"/>
    <n v="2500000"/>
    <n v="0"/>
    <n v="2500000"/>
    <n v="0"/>
    <n v="2500000"/>
    <n v="0"/>
    <n v="2500000"/>
    <n v="0"/>
    <n v="2500000"/>
    <n v="0"/>
    <n v="2500000"/>
    <n v="0"/>
    <n v="2500000"/>
    <n v="0"/>
    <n v="2500000"/>
    <n v="0"/>
    <n v="5000000"/>
    <n v="27500000"/>
    <n v="27500000"/>
    <n v="0"/>
    <n v="0"/>
    <s v="Prestar servicios de apoyo a la gestión para el desarrollo de actividades requeridas en gestión administrativa, documental, correspondencia y demás asuntos administrativos,  de conformidad con las necesidades de la Subdirección de Hidrocarburos."/>
    <m/>
    <m/>
    <n v="27500000"/>
    <m/>
    <m/>
    <n v="2500000"/>
    <m/>
    <n v="2500000"/>
    <m/>
    <n v="2500000"/>
    <m/>
    <n v="2500000"/>
    <m/>
    <n v="2500000"/>
    <m/>
    <n v="2500000"/>
    <m/>
    <n v="2500000"/>
    <m/>
    <n v="2500000"/>
    <m/>
    <n v="2500000"/>
    <m/>
    <n v="5000000"/>
    <m/>
    <m/>
    <n v="27500000"/>
    <n v="27500000"/>
    <n v="0"/>
    <n v="0"/>
    <n v="65226"/>
    <d v="2026-01-26T00:00:00"/>
    <n v="27500000"/>
    <n v="0"/>
    <n v="55426"/>
    <d v="2026-02-10T00:00:00"/>
    <n v="27500000"/>
    <n v="0"/>
    <n v="0"/>
    <s v="PUENTES BARRERA FREDY ALEXANDER"/>
    <s v="CO1.PCCNTR.9307918"/>
    <m/>
    <m/>
    <m/>
    <n v="27500000"/>
    <m/>
    <m/>
    <m/>
    <n v="1666667"/>
    <n v="1666667"/>
    <m/>
    <n v="2500000"/>
    <n v="2500000"/>
    <m/>
    <m/>
    <m/>
    <m/>
    <m/>
    <m/>
    <m/>
    <m/>
    <m/>
    <m/>
    <m/>
    <m/>
    <m/>
    <m/>
    <m/>
    <m/>
    <m/>
    <m/>
    <m/>
    <m/>
    <m/>
    <m/>
    <m/>
    <m/>
    <n v="27500000"/>
    <n v="4166667"/>
    <n v="4166667"/>
    <n v="23333333"/>
    <n v="0"/>
    <x v="0"/>
  </r>
  <r>
    <x v="0"/>
    <x v="9"/>
    <s v="Fortalecimiento de la planeación para el desarrollo minero responsable con los territorios en el marco de la transición energética a nivel nacional"/>
    <s v="Minería"/>
    <s v="Sí"/>
    <s v="Sí"/>
    <n v="68"/>
    <s v="140-1"/>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s v="Prestación de servicios profesionales y/o de apoyo a la gestión"/>
    <s v="140-1 Prestar servicios profesionales para brindar apoyo en la Subdirección de Minería, en el soporte técnico para el análisis de los precios base de los minerales, conforme la metodología establecida."/>
    <s v="Enero "/>
    <s v="Enero "/>
    <s v="Enero "/>
    <n v="1.5"/>
    <s v="Meses"/>
    <s v="Contratación directa - Prestación de servicios profesionales "/>
    <s v="Propios - 21 - Otros recursos de tesorería"/>
    <n v="14250000"/>
    <n v="14250000"/>
    <s v="No"/>
    <s v="N/A"/>
    <s v="Germán Tiberio Ojeda"/>
    <s v="Subdirector de Minería"/>
    <n v="6012220601"/>
    <s v="german.ojeda@upme.gov.co"/>
    <n v="14250000"/>
    <n v="0"/>
    <n v="0"/>
    <n v="5383333"/>
    <n v="0"/>
    <n v="8866667"/>
    <n v="0"/>
    <n v="0"/>
    <n v="0"/>
    <n v="0"/>
    <n v="0"/>
    <n v="0"/>
    <n v="0"/>
    <n v="0"/>
    <n v="0"/>
    <n v="0"/>
    <n v="0"/>
    <n v="0"/>
    <n v="0"/>
    <n v="0"/>
    <n v="0"/>
    <n v="0"/>
    <n v="0"/>
    <n v="0"/>
    <n v="14250000"/>
    <n v="14250000"/>
    <n v="0"/>
    <n v="0"/>
    <s v="Prestar servicios profesionales para brindar apoyo en la Subdirección de Minería, en el soporte técnico para el análisis de los precios base de los minerales, conforme la metodología establecida."/>
    <n v="14250000"/>
    <m/>
    <m/>
    <n v="5383333"/>
    <m/>
    <n v="8866667"/>
    <m/>
    <m/>
    <m/>
    <m/>
    <m/>
    <m/>
    <m/>
    <m/>
    <m/>
    <m/>
    <m/>
    <m/>
    <m/>
    <m/>
    <m/>
    <m/>
    <m/>
    <m/>
    <m/>
    <m/>
    <n v="14250000"/>
    <n v="14250000"/>
    <n v="0"/>
    <n v="0"/>
    <n v="3126"/>
    <d v="2026-01-05T00:00:00"/>
    <n v="14250000"/>
    <n v="0"/>
    <n v="8726"/>
    <d v="2026-01-13T00:00:00"/>
    <n v="14250000"/>
    <n v="0"/>
    <n v="0"/>
    <s v="PIÑEROS GUZMAN ANGIE CAROLINA"/>
    <s v="CO1.PCCNTR.8847048"/>
    <n v="14250000"/>
    <m/>
    <m/>
    <m/>
    <n v="5383333"/>
    <n v="5383333"/>
    <m/>
    <n v="8866667"/>
    <n v="8866667"/>
    <m/>
    <m/>
    <m/>
    <m/>
    <m/>
    <m/>
    <m/>
    <m/>
    <m/>
    <m/>
    <m/>
    <m/>
    <m/>
    <m/>
    <m/>
    <m/>
    <m/>
    <m/>
    <m/>
    <m/>
    <m/>
    <m/>
    <m/>
    <m/>
    <m/>
    <m/>
    <m/>
    <n v="14250000"/>
    <n v="14250000"/>
    <n v="14250000"/>
    <n v="0"/>
    <n v="0"/>
    <x v="0"/>
  </r>
  <r>
    <x v="0"/>
    <x v="9"/>
    <s v="Fortalecimiento de la planeación para el desarrollo minero responsable con los territorios en el marco de la transición energética a nivel nacional"/>
    <s v="Minería"/>
    <s v="Sí"/>
    <s v="Sí"/>
    <n v="68"/>
    <s v="140-2"/>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s v="Prestación de servicios profesionales y/o de apoyo a la gestión"/>
    <s v="140-2 Prestar servicios profesionales de apoyo en la Subdirección de Minería, en el soporte técnico para la determinación del precio base de liquidación de regalías, análisis de datos a través de los sistemas de divulgación de información minera."/>
    <s v="Enero "/>
    <s v="Enero "/>
    <s v="Enero "/>
    <n v="11"/>
    <s v="Meses"/>
    <s v="Contratación directa - Prestación de servicios profesionales "/>
    <s v="Propios - 21 - Otros recursos de tesorería"/>
    <n v="30250000"/>
    <n v="30250000"/>
    <s v="No"/>
    <s v="N/A"/>
    <s v="Germán Tiberio Ojeda"/>
    <s v="Subdirector de Minería"/>
    <n v="6012220601"/>
    <s v="german.ojeda@upme.gov.co"/>
    <n v="30250000"/>
    <n v="0"/>
    <n v="0"/>
    <n v="1625085"/>
    <n v="0"/>
    <n v="5416950"/>
    <n v="0"/>
    <n v="5416950"/>
    <n v="0"/>
    <n v="5416950"/>
    <n v="0"/>
    <n v="5416950"/>
    <n v="0"/>
    <n v="5416950"/>
    <n v="0"/>
    <n v="1540165"/>
    <n v="0"/>
    <n v="0"/>
    <n v="0"/>
    <n v="0"/>
    <n v="0"/>
    <n v="0"/>
    <n v="0"/>
    <n v="0"/>
    <n v="30250000"/>
    <n v="30250000"/>
    <n v="0"/>
    <n v="0"/>
    <s v="Prestar servicios profesionales de apoyo en la Subdirección de Minería, en el soporte técnico para la determinación del precio base de liquidación de regalías, análisis de datos a través de los sistemas de divulgación de información minera."/>
    <n v="30250000"/>
    <m/>
    <m/>
    <n v="1625085"/>
    <m/>
    <n v="5416950"/>
    <m/>
    <n v="5416950"/>
    <m/>
    <n v="5416950"/>
    <m/>
    <n v="5416950"/>
    <m/>
    <n v="5416950"/>
    <m/>
    <n v="1540165"/>
    <m/>
    <m/>
    <m/>
    <m/>
    <m/>
    <m/>
    <m/>
    <m/>
    <m/>
    <m/>
    <n v="30250000"/>
    <n v="30250000"/>
    <n v="0"/>
    <n v="0"/>
    <n v="21526"/>
    <d v="2026-01-11T00:00:00"/>
    <n v="30250000"/>
    <n v="0"/>
    <n v="12326"/>
    <d v="2026-01-20T00:00:00"/>
    <n v="30250000"/>
    <n v="0"/>
    <n v="0"/>
    <s v="CASTILLO PEDRAZA MIGUEL ANGEL"/>
    <s v="CO1.PCCNTR.8944748"/>
    <n v="30250000"/>
    <m/>
    <m/>
    <m/>
    <m/>
    <m/>
    <m/>
    <m/>
    <m/>
    <m/>
    <m/>
    <m/>
    <m/>
    <m/>
    <m/>
    <m/>
    <m/>
    <m/>
    <m/>
    <m/>
    <m/>
    <m/>
    <m/>
    <m/>
    <m/>
    <m/>
    <m/>
    <m/>
    <m/>
    <m/>
    <m/>
    <m/>
    <m/>
    <m/>
    <m/>
    <m/>
    <n v="30250000"/>
    <n v="0"/>
    <n v="0"/>
    <n v="30250000"/>
    <n v="0"/>
    <x v="0"/>
  </r>
  <r>
    <x v="0"/>
    <x v="9"/>
    <s v="Fortalecimiento de la planeación para el desarrollo minero responsable con los territorios en el marco de la transición energética a nivel nacional"/>
    <s v="Minería"/>
    <s v="Sí"/>
    <s v="Sí"/>
    <n v="17"/>
    <s v="140-3"/>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s v="Prestación de servicios profesionales y/o de apoyo a la gestión"/>
    <s v="140-3 Prestar servicios profesionales orientados a la divulgación, socialización de los procesos y documentos técnicos del sector minero energético, bajo el marco de los objetivos institucionales de la UPME"/>
    <s v="Enero "/>
    <s v="Enero "/>
    <s v="Enero "/>
    <n v="10"/>
    <s v="Meses"/>
    <s v="Contratación directa - Prestación de servicios profesionales "/>
    <s v="Propios - 21 - Otros recursos de tesorería"/>
    <n v="0"/>
    <n v="0"/>
    <s v="No"/>
    <s v="N/A"/>
    <s v="Germán Tiberio Ojeda"/>
    <s v="Subdirector de Minería"/>
    <n v="6012220601"/>
    <s v="german.ojeda@upme.gov.co"/>
    <n v="0"/>
    <n v="0"/>
    <n v="0"/>
    <n v="0"/>
    <n v="0"/>
    <n v="0"/>
    <n v="0"/>
    <n v="0"/>
    <n v="0"/>
    <n v="0"/>
    <n v="0"/>
    <n v="0"/>
    <n v="0"/>
    <n v="0"/>
    <n v="0"/>
    <n v="0"/>
    <n v="0"/>
    <n v="0"/>
    <n v="0"/>
    <n v="0"/>
    <n v="0"/>
    <n v="0"/>
    <n v="20000000"/>
    <n v="20000000"/>
    <n v="20000000"/>
    <n v="20000000"/>
    <n v="-20000000"/>
    <n v="-20000000"/>
    <s v="Prestar servicios profesionales orientados a la divulgación, socialización de los procesos y documentos técnicos del sector minero energético, bajo el marco de los objetivos institucionales de la UPME"/>
    <m/>
    <m/>
    <m/>
    <m/>
    <m/>
    <m/>
    <m/>
    <m/>
    <m/>
    <m/>
    <m/>
    <m/>
    <m/>
    <m/>
    <m/>
    <m/>
    <m/>
    <m/>
    <m/>
    <m/>
    <m/>
    <m/>
    <n v="0"/>
    <n v="0"/>
    <m/>
    <m/>
    <n v="0"/>
    <n v="0"/>
    <n v="0"/>
    <n v="0"/>
    <n v="64526"/>
    <d v="2026-01-24T00:00:00"/>
    <m/>
    <n v="0"/>
    <m/>
    <m/>
    <n v="0"/>
    <n v="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4"/>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s v="Prestación de servicios profesionales y/o de apoyo a la gestión"/>
    <s v="140-4 Prestar servicios ​profesionales de asesoría en los asuntos jurídicos y judiciales de competencia de la UPME, al igual que asesoría en los documentos técnicos, de planeación y servicios de divulgación del sector minero y lo que de ello se derive, en"/>
    <s v="Enero "/>
    <s v="Enero "/>
    <s v="Enero "/>
    <n v="11.5"/>
    <s v="Meses"/>
    <s v="Contratación directa - Prestación de servicios profesionales "/>
    <s v="Propios - 21 - Otros recursos de tesorería"/>
    <n v="19340113"/>
    <n v="19340113"/>
    <s v="No"/>
    <s v="N/A"/>
    <s v="Germán Tiberio Ojeda"/>
    <s v="Subdirector de Minería"/>
    <n v="6012220601"/>
    <s v="german.ojeda@upme.gov.co"/>
    <n v="19340113"/>
    <n v="0"/>
    <n v="0"/>
    <n v="3630000"/>
    <n v="0"/>
    <n v="12100000"/>
    <n v="0"/>
    <n v="3610113"/>
    <n v="0"/>
    <n v="0"/>
    <n v="0"/>
    <n v="0"/>
    <n v="0"/>
    <n v="0"/>
    <n v="0"/>
    <n v="0"/>
    <n v="0"/>
    <n v="0"/>
    <n v="0"/>
    <n v="0"/>
    <n v="0"/>
    <n v="0"/>
    <n v="0"/>
    <n v="0"/>
    <n v="19340113"/>
    <n v="19340113"/>
    <n v="0"/>
    <n v="0"/>
    <s v="Prestar servicios ​profesionales de asesoría en los asuntos jurídicos y judiciales de competencia de la UPME, al igual que asesoría en los documentos técnicos, de planeación y servicios de divulgación del sector minero y lo que de ello se derive, en el ma"/>
    <n v="19340113"/>
    <m/>
    <m/>
    <n v="3630000"/>
    <m/>
    <n v="12100000"/>
    <m/>
    <n v="3610113"/>
    <m/>
    <m/>
    <m/>
    <m/>
    <m/>
    <m/>
    <m/>
    <m/>
    <m/>
    <m/>
    <m/>
    <m/>
    <m/>
    <m/>
    <m/>
    <m/>
    <m/>
    <m/>
    <n v="19340113"/>
    <n v="19340113"/>
    <n v="0"/>
    <n v="0"/>
    <n v="3626"/>
    <d v="2026-01-05T00:00:00"/>
    <n v="19340113"/>
    <n v="0"/>
    <n v="14326"/>
    <d v="2026-01-21T00:00:00"/>
    <n v="19340113"/>
    <n v="0"/>
    <n v="0"/>
    <s v="TOVAR PERILLA CAMILO ANDRES"/>
    <s v="CO1.PCCNTR.8926095"/>
    <n v="19340113"/>
    <m/>
    <m/>
    <m/>
    <m/>
    <m/>
    <m/>
    <m/>
    <m/>
    <m/>
    <m/>
    <m/>
    <m/>
    <m/>
    <m/>
    <m/>
    <m/>
    <m/>
    <m/>
    <m/>
    <m/>
    <m/>
    <m/>
    <m/>
    <m/>
    <m/>
    <m/>
    <m/>
    <m/>
    <m/>
    <m/>
    <m/>
    <m/>
    <m/>
    <m/>
    <m/>
    <n v="19340113"/>
    <n v="0"/>
    <n v="0"/>
    <n v="19340113"/>
    <n v="0"/>
    <x v="0"/>
  </r>
  <r>
    <x v="0"/>
    <x v="9"/>
    <s v="Fortalecimiento de la planeación para el desarrollo minero responsable con los territorios en el marco de la transición energética a nivel nacional"/>
    <s v="Minería"/>
    <s v="Sí"/>
    <s v="Sí"/>
    <n v="17"/>
    <s v="140-5"/>
    <s v="Fortalecer la gestión integral de la información de la planeación minera."/>
    <s v="Servicio de Divulgación del Sector Minero Energético"/>
    <s v="Apropiar Insumos para el análisis de Mercado Nacional e internacional de minerales y sus encadenamientos productivos."/>
    <n v="80141607"/>
    <s v="C-2106-1900-12-40302A-2106019-02"/>
    <s v="Operador Logístico"/>
    <s v="140-5 Prestación de los servicios de apoyo logístico para el desarrollo de la estrategia de comunicación y participación con actores nacionales y territoriales, así como para otros espacios interinstitucionales en el marco de la misionalidad de la entidad"/>
    <s v="Enero "/>
    <s v="Enero "/>
    <s v="Enero "/>
    <n v="11"/>
    <s v="Meses"/>
    <s v="Contratación directa"/>
    <s v="Propios - 21 - Otros recursos de tesorería"/>
    <n v="22400000"/>
    <n v="22400000"/>
    <s v="No"/>
    <s v="N/A"/>
    <s v="Germán Tiberio Ojeda"/>
    <s v="Subdirector de Minería"/>
    <n v="6012220601"/>
    <s v="german.ojeda@upme.gov.co"/>
    <n v="0"/>
    <n v="0"/>
    <n v="0"/>
    <n v="0"/>
    <n v="0"/>
    <n v="0"/>
    <n v="0"/>
    <n v="0"/>
    <n v="0"/>
    <n v="0"/>
    <n v="0"/>
    <n v="0"/>
    <n v="0"/>
    <n v="0"/>
    <n v="0"/>
    <n v="0"/>
    <n v="0"/>
    <n v="0"/>
    <n v="0"/>
    <n v="0"/>
    <n v="0"/>
    <n v="0"/>
    <n v="22400000"/>
    <n v="22400000"/>
    <n v="22400000"/>
    <n v="224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22400000"/>
    <n v="22400000"/>
    <m/>
    <m/>
    <n v="22400000"/>
    <n v="22400000"/>
    <n v="0"/>
    <n v="0"/>
    <n v="66326"/>
    <d v="2026-01-20T00:00:00"/>
    <m/>
    <n v="22400000"/>
    <m/>
    <m/>
    <n v="0"/>
    <n v="224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6"/>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s v="Prestación de servicios profesionales y/o de apoyo a la gestión"/>
    <s v="140-6 Prestar servicios profesionales para apoyar a la Subdirección de Minería en asuntos administrativos que contribuyan a la divulgación de la información a través del Sistema de Información Minero Colombiano (SIMCO), así como al soporte misional requer"/>
    <s v="Enero "/>
    <s v="Enero "/>
    <s v="Enero "/>
    <n v="11"/>
    <s v="Meses"/>
    <s v="Contratación directa - Prestación de servicios profesionales "/>
    <s v="Propios - 21 - Otros recursos de tesorería"/>
    <n v="2600000"/>
    <n v="2600000"/>
    <s v="No"/>
    <s v="N/A"/>
    <s v="Germán Tiberio Ojeda"/>
    <s v="Subdirector de Minería"/>
    <n v="6012220601"/>
    <s v="german.ojeda@upme.gov.co"/>
    <n v="2600000"/>
    <n v="0"/>
    <n v="0"/>
    <n v="1200000"/>
    <n v="0"/>
    <n v="1400000"/>
    <n v="0"/>
    <n v="0"/>
    <n v="0"/>
    <n v="0"/>
    <n v="0"/>
    <n v="0"/>
    <n v="0"/>
    <n v="0"/>
    <n v="0"/>
    <n v="0"/>
    <n v="0"/>
    <n v="0"/>
    <n v="0"/>
    <n v="0"/>
    <n v="0"/>
    <n v="0"/>
    <n v="0"/>
    <n v="0"/>
    <n v="2600000"/>
    <n v="26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600000"/>
    <m/>
    <m/>
    <n v="1200000"/>
    <m/>
    <n v="1400000"/>
    <m/>
    <m/>
    <m/>
    <m/>
    <m/>
    <m/>
    <m/>
    <m/>
    <m/>
    <m/>
    <m/>
    <m/>
    <m/>
    <m/>
    <m/>
    <m/>
    <m/>
    <m/>
    <m/>
    <m/>
    <n v="2600000"/>
    <n v="2600000"/>
    <n v="0"/>
    <n v="0"/>
    <n v="3926"/>
    <d v="2026-01-05T00:00:00"/>
    <n v="2600000"/>
    <n v="0"/>
    <n v="15426"/>
    <d v="2026-01-21T00:00:00"/>
    <n v="2600000"/>
    <n v="0"/>
    <n v="0"/>
    <s v="PICO TARRIBA JORDY DAVID"/>
    <s v="CO1.PCCNTR.8943624"/>
    <n v="2600000"/>
    <m/>
    <m/>
    <m/>
    <m/>
    <m/>
    <m/>
    <m/>
    <m/>
    <m/>
    <m/>
    <m/>
    <m/>
    <m/>
    <m/>
    <m/>
    <m/>
    <m/>
    <m/>
    <m/>
    <m/>
    <m/>
    <m/>
    <m/>
    <m/>
    <m/>
    <m/>
    <m/>
    <m/>
    <m/>
    <m/>
    <m/>
    <m/>
    <m/>
    <m/>
    <m/>
    <n v="2600000"/>
    <n v="0"/>
    <n v="0"/>
    <n v="2600000"/>
    <n v="0"/>
    <x v="0"/>
  </r>
  <r>
    <x v="0"/>
    <x v="9"/>
    <s v="Fortalecimiento de la planeación para el desarrollo minero responsable con los territorios en el marco de la transición energética a nivel nacional"/>
    <s v="Minería"/>
    <s v="Sí"/>
    <s v="Sí"/>
    <n v="68"/>
    <s v="140-7"/>
    <s v="Fortalecer la gestión integral de la información de la planeación minera."/>
    <s v="Servicio de Divulgación del Sector Minero Energético"/>
    <s v="Apropiar Insumos para el análisis de Mercado Nacional e internacional de minerales y sus encadenamientos productivos."/>
    <n v="80101507"/>
    <s v="C-2106-1900-12-40302A-2106019-02"/>
    <s v="Consultoría"/>
    <s v="140-7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100303787"/>
    <n v="100303787"/>
    <s v="No"/>
    <s v="N/A"/>
    <s v="Germán Tiberio Ojeda"/>
    <s v="Subdirector de Minería"/>
    <n v="6012220601"/>
    <s v="german.ojeda@upme.gov.co"/>
    <n v="0"/>
    <n v="0"/>
    <n v="0"/>
    <n v="0"/>
    <n v="0"/>
    <n v="0"/>
    <n v="0"/>
    <n v="0"/>
    <n v="0"/>
    <n v="0"/>
    <n v="0"/>
    <n v="0"/>
    <n v="100303787"/>
    <n v="0"/>
    <n v="0"/>
    <n v="0"/>
    <n v="0"/>
    <n v="100303787"/>
    <n v="0"/>
    <n v="0"/>
    <n v="0"/>
    <n v="0"/>
    <n v="0"/>
    <n v="0"/>
    <n v="100303787"/>
    <n v="100303787"/>
    <n v="0"/>
    <n v="0"/>
    <s v="Desarrollo de nuevos indicadores, analítica y tableros para el SIMCO basados en información sectorial agregando valor a la divulgación de las estadísticas del sector minero"/>
    <m/>
    <m/>
    <m/>
    <m/>
    <m/>
    <m/>
    <m/>
    <m/>
    <m/>
    <m/>
    <m/>
    <m/>
    <n v="100303787"/>
    <m/>
    <m/>
    <m/>
    <m/>
    <n v="100303787"/>
    <m/>
    <m/>
    <m/>
    <m/>
    <m/>
    <m/>
    <m/>
    <m/>
    <n v="100303787"/>
    <n v="100303787"/>
    <n v="0"/>
    <n v="0"/>
    <m/>
    <m/>
    <m/>
    <n v="100303787"/>
    <m/>
    <m/>
    <n v="0"/>
    <n v="100303787"/>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s v="Rad. 20261400038423"/>
    <s v="140-8"/>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s v="Software - Suscripciones"/>
    <s v="140-8 Prestar los servicios de suscripción ONLINE a Fast Markets MB"/>
    <s v="Febrero"/>
    <s v="Marzo"/>
    <s v="Abril"/>
    <s v="N/A"/>
    <s v="Meses"/>
    <s v="Contratación directa"/>
    <s v="Propios - 21 - Otros recursos de tesorería"/>
    <n v="300000000"/>
    <n v="300000000"/>
    <s v="No"/>
    <s v="N/A"/>
    <s v="Germán Tiberio Ojeda"/>
    <s v="Subdirector de Minería"/>
    <n v="6012220601"/>
    <s v="german.ojeda@upme.gov.co"/>
    <n v="0"/>
    <n v="0"/>
    <n v="0"/>
    <n v="0"/>
    <n v="0"/>
    <n v="0"/>
    <n v="0"/>
    <n v="0"/>
    <n v="0"/>
    <n v="0"/>
    <n v="300000000"/>
    <n v="0"/>
    <n v="0"/>
    <n v="0"/>
    <n v="0"/>
    <n v="300000000"/>
    <n v="0"/>
    <n v="0"/>
    <n v="0"/>
    <n v="0"/>
    <n v="0"/>
    <n v="0"/>
    <n v="0"/>
    <n v="0"/>
    <n v="300000000"/>
    <n v="300000000"/>
    <n v="0"/>
    <n v="0"/>
    <s v="Prestar los servicios de suscripción ONLINE a Fast Markets MB"/>
    <m/>
    <m/>
    <m/>
    <m/>
    <m/>
    <m/>
    <m/>
    <m/>
    <m/>
    <m/>
    <n v="300000000"/>
    <m/>
    <m/>
    <m/>
    <m/>
    <n v="300000000"/>
    <m/>
    <m/>
    <m/>
    <m/>
    <m/>
    <m/>
    <m/>
    <m/>
    <m/>
    <m/>
    <n v="300000000"/>
    <n v="300000000"/>
    <n v="0"/>
    <n v="0"/>
    <n v="69326"/>
    <d v="2026-03-04T00:00:00"/>
    <n v="218356417"/>
    <n v="81643583"/>
    <n v="67126"/>
    <d v="2026-03-31T00:00:00"/>
    <n v="218353200"/>
    <n v="81646800"/>
    <n v="3217"/>
    <s v="EUROMONEY GLOBAL LTD"/>
    <s v="AO-2025-001"/>
    <m/>
    <m/>
    <m/>
    <m/>
    <m/>
    <m/>
    <n v="218353200"/>
    <m/>
    <m/>
    <m/>
    <m/>
    <m/>
    <m/>
    <m/>
    <m/>
    <m/>
    <m/>
    <m/>
    <m/>
    <m/>
    <m/>
    <m/>
    <m/>
    <m/>
    <m/>
    <m/>
    <m/>
    <m/>
    <m/>
    <m/>
    <m/>
    <m/>
    <m/>
    <m/>
    <m/>
    <m/>
    <n v="218353200"/>
    <n v="0"/>
    <n v="0"/>
    <n v="218353200"/>
    <n v="0"/>
    <x v="0"/>
  </r>
  <r>
    <x v="0"/>
    <x v="9"/>
    <s v="Fortalecimiento de la planeación para el desarrollo minero responsable con los territorios en el marco de la transición energética a nivel nacional"/>
    <s v="Minería"/>
    <s v="Sí"/>
    <s v="Sí"/>
    <s v="Rad. 20261400038423"/>
    <s v="140-9"/>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s v="Software - Suscripciones"/>
    <s v="140-9 Realizar la renovación de la suscripción online de ARGUS MEDIA."/>
    <s v="Febrero"/>
    <s v="Marzo"/>
    <s v="Abril"/>
    <s v="N/A"/>
    <s v="Meses"/>
    <s v="Contratación directa"/>
    <s v="Propios - 21 - Otros recursos de tesorería"/>
    <n v="450000000"/>
    <n v="450000000"/>
    <s v="No"/>
    <s v="N/A"/>
    <s v="Germán Tiberio Ojeda"/>
    <s v="Subdirector de Minería"/>
    <n v="6012220601"/>
    <s v="german.ojeda@upme.gov.co"/>
    <n v="0"/>
    <n v="0"/>
    <n v="0"/>
    <n v="0"/>
    <n v="0"/>
    <n v="0"/>
    <n v="450000000"/>
    <n v="0"/>
    <n v="0"/>
    <n v="0"/>
    <n v="0"/>
    <n v="450000000"/>
    <n v="0"/>
    <n v="0"/>
    <n v="0"/>
    <n v="0"/>
    <n v="0"/>
    <n v="0"/>
    <n v="0"/>
    <n v="0"/>
    <n v="0"/>
    <n v="0"/>
    <n v="0"/>
    <n v="0"/>
    <n v="450000000"/>
    <n v="450000000"/>
    <n v="0"/>
    <n v="0"/>
    <s v="Realizar la renovación de la suscripción online de ARGUS MEDIA."/>
    <m/>
    <m/>
    <m/>
    <m/>
    <m/>
    <m/>
    <n v="450000000"/>
    <m/>
    <m/>
    <m/>
    <m/>
    <n v="450000000"/>
    <m/>
    <m/>
    <m/>
    <m/>
    <m/>
    <m/>
    <m/>
    <m/>
    <m/>
    <m/>
    <m/>
    <m/>
    <m/>
    <m/>
    <n v="450000000"/>
    <n v="450000000"/>
    <n v="0"/>
    <n v="0"/>
    <n v="69626"/>
    <d v="2026-03-05T00:00:00"/>
    <n v="376833620"/>
    <n v="73166380"/>
    <n v="67026"/>
    <d v="2026-03-31T00:00:00"/>
    <n v="376820939"/>
    <n v="73179061"/>
    <n v="12681"/>
    <s v="ARGUS MEDIA INC"/>
    <s v="AO-2025-002"/>
    <m/>
    <m/>
    <m/>
    <m/>
    <m/>
    <m/>
    <n v="376820939"/>
    <m/>
    <m/>
    <m/>
    <m/>
    <m/>
    <m/>
    <m/>
    <m/>
    <m/>
    <m/>
    <m/>
    <m/>
    <m/>
    <m/>
    <m/>
    <m/>
    <m/>
    <m/>
    <m/>
    <m/>
    <m/>
    <m/>
    <m/>
    <m/>
    <m/>
    <m/>
    <m/>
    <m/>
    <m/>
    <n v="376820939"/>
    <n v="0"/>
    <n v="0"/>
    <n v="376820939"/>
    <n v="0"/>
    <x v="0"/>
  </r>
  <r>
    <x v="0"/>
    <x v="9"/>
    <s v="Fortalecimiento de la planeación para el desarrollo minero responsable con los territorios en el marco de la transición energética a nivel nacional"/>
    <s v="Minería"/>
    <s v="Sí"/>
    <s v="Sí"/>
    <s v="Rad. 20261400038423"/>
    <s v="140-10"/>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s v="Software - Suscripciones"/>
    <s v="140-10 Renovación de la suscripción ONLINE de Baltic Exchange."/>
    <s v="Septiembre"/>
    <s v="Octubre"/>
    <s v="Noviembre"/>
    <s v="N/A"/>
    <s v="Meses"/>
    <s v="Contratación directa"/>
    <s v="Propios - 21 - Otros recursos de tesorería"/>
    <n v="50000000"/>
    <n v="50000000"/>
    <s v="No"/>
    <s v="N/A"/>
    <s v="Germán Tiberio Ojeda"/>
    <s v="Subdirector de Minería"/>
    <n v="6012220601"/>
    <s v="german.ojeda@upme.gov.co"/>
    <n v="0"/>
    <n v="0"/>
    <n v="0"/>
    <n v="0"/>
    <n v="0"/>
    <n v="0"/>
    <n v="0"/>
    <n v="0"/>
    <n v="0"/>
    <n v="0"/>
    <n v="0"/>
    <n v="0"/>
    <n v="0"/>
    <n v="0"/>
    <n v="0"/>
    <n v="0"/>
    <n v="0"/>
    <n v="0"/>
    <n v="0"/>
    <n v="0"/>
    <n v="50000000"/>
    <n v="0"/>
    <n v="0"/>
    <n v="50000000"/>
    <n v="50000000"/>
    <n v="50000000"/>
    <n v="0"/>
    <n v="0"/>
    <s v="Renovación de la suscripción ONLINE de Baltic Exchange."/>
    <m/>
    <m/>
    <m/>
    <m/>
    <m/>
    <m/>
    <m/>
    <m/>
    <m/>
    <m/>
    <m/>
    <m/>
    <m/>
    <m/>
    <m/>
    <m/>
    <m/>
    <m/>
    <m/>
    <m/>
    <n v="50000000"/>
    <m/>
    <m/>
    <n v="50000000"/>
    <m/>
    <m/>
    <n v="50000000"/>
    <n v="50000000"/>
    <n v="0"/>
    <n v="0"/>
    <m/>
    <m/>
    <m/>
    <n v="50000000"/>
    <m/>
    <m/>
    <n v="0"/>
    <n v="50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23"/>
    <s v="140-11"/>
    <s v="Fortalecer la gestión integral de la información de la planeación minera."/>
    <s v="Servicio de Divulgación del Sector Minero Energético"/>
    <s v="Apropiar Insumos para el análisis de Mercado Nacional e internacional de minerales y sus encadenamientos productivos."/>
    <s v="43201800;43233405;43212201"/>
    <s v="C-2106-1900-12-40302A-2106019-02"/>
    <s v="Hardware (Equipos de computo o partes físicas)"/>
    <s v="140-1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20000000"/>
    <n v="120000000"/>
    <s v="No"/>
    <s v="N/A"/>
    <s v="Germán Tiberio Ojeda"/>
    <s v="Subdirector de Minería"/>
    <n v="6012220601"/>
    <s v="german.ojeda@upme.gov.co"/>
    <n v="0"/>
    <n v="0"/>
    <n v="0"/>
    <n v="0"/>
    <n v="0"/>
    <n v="0"/>
    <n v="120000000"/>
    <n v="0"/>
    <n v="0"/>
    <n v="0"/>
    <n v="0"/>
    <n v="120000000"/>
    <n v="0"/>
    <n v="0"/>
    <n v="0"/>
    <n v="0"/>
    <n v="0"/>
    <n v="0"/>
    <n v="0"/>
    <n v="0"/>
    <n v="0"/>
    <n v="0"/>
    <n v="0"/>
    <n v="0"/>
    <n v="120000000"/>
    <n v="120000000"/>
    <n v="0"/>
    <n v="0"/>
    <s v="Adquirir el licenciamiento por suscripción para Plataforma de virtualización y almacenamiento en nube incluyendo la adquisición del hardware para Computación y Storage que soporta esta solución de Hiperconvergencia."/>
    <m/>
    <m/>
    <m/>
    <m/>
    <m/>
    <m/>
    <n v="120000000"/>
    <m/>
    <m/>
    <m/>
    <m/>
    <n v="120000000"/>
    <m/>
    <m/>
    <m/>
    <m/>
    <m/>
    <m/>
    <m/>
    <m/>
    <m/>
    <m/>
    <m/>
    <m/>
    <m/>
    <m/>
    <n v="120000000"/>
    <n v="120000000"/>
    <n v="0"/>
    <n v="0"/>
    <m/>
    <m/>
    <m/>
    <n v="120000000"/>
    <m/>
    <m/>
    <n v="0"/>
    <n v="120000000"/>
    <n v="0"/>
    <m/>
    <m/>
    <m/>
    <m/>
    <m/>
    <m/>
    <m/>
    <m/>
    <m/>
    <m/>
    <m/>
    <m/>
    <m/>
    <m/>
    <m/>
    <m/>
    <m/>
    <m/>
    <m/>
    <m/>
    <m/>
    <m/>
    <m/>
    <m/>
    <m/>
    <m/>
    <m/>
    <m/>
    <m/>
    <m/>
    <m/>
    <m/>
    <m/>
    <m/>
    <m/>
    <m/>
    <m/>
    <m/>
    <n v="0"/>
    <n v="0"/>
    <n v="0"/>
    <n v="0"/>
    <n v="0"/>
    <x v="1"/>
  </r>
  <r>
    <x v="0"/>
    <x v="9"/>
    <s v="Fortalecimiento de la planeación para el desarrollo minero responsable con los territorios en el marco de la transición energética a nivel nacional"/>
    <s v="Minería"/>
    <s v="Sí"/>
    <s v="Sí"/>
    <n v="68"/>
    <s v="140-12"/>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s v="Prestación de servicios profesionales y/o de apoyo a la gestión"/>
    <s v="140-12 Prestar servicios profesionales de apoyo a la Subdirección de Minería para la elaboración de informes asociados a aspectos técnicos, estudios y divulgación de la información del sector minero."/>
    <s v="Enero "/>
    <s v="Enero "/>
    <s v="Enero "/>
    <n v="11"/>
    <s v="Meses"/>
    <s v="Contratación directa - Prestación de servicios profesionales "/>
    <s v="Propios - 21 - Otros recursos de tesorería"/>
    <n v="5950000"/>
    <n v="5950000"/>
    <s v="No"/>
    <s v="N/A"/>
    <s v="Germán Tiberio Ojeda"/>
    <s v="Subdirector de Minería"/>
    <n v="6012220601"/>
    <s v="german.ojeda@upme.gov.co"/>
    <n v="5950000"/>
    <n v="0"/>
    <n v="0"/>
    <n v="0"/>
    <n v="0"/>
    <n v="4950000"/>
    <n v="0"/>
    <n v="1000000"/>
    <n v="0"/>
    <n v="0"/>
    <n v="0"/>
    <n v="0"/>
    <n v="0"/>
    <n v="0"/>
    <n v="0"/>
    <n v="0"/>
    <n v="0"/>
    <n v="0"/>
    <n v="0"/>
    <n v="0"/>
    <n v="0"/>
    <n v="0"/>
    <n v="0"/>
    <n v="0"/>
    <n v="5950000"/>
    <n v="5950000"/>
    <n v="0"/>
    <n v="0"/>
    <s v="Prestar servicios profesionales de apoyo a la Subdirección de Minería para la elaboración de informes asociados a aspectos técnicos, estudios y divulgación de la información del sector minero."/>
    <n v="5950000"/>
    <m/>
    <m/>
    <m/>
    <m/>
    <n v="4950000"/>
    <m/>
    <n v="1000000"/>
    <m/>
    <m/>
    <m/>
    <m/>
    <m/>
    <m/>
    <m/>
    <m/>
    <m/>
    <m/>
    <m/>
    <m/>
    <m/>
    <m/>
    <m/>
    <m/>
    <m/>
    <m/>
    <n v="5950000"/>
    <n v="5950000"/>
    <n v="0"/>
    <n v="0"/>
    <n v="33126"/>
    <d v="2026-01-15T00:00:00"/>
    <n v="5950000"/>
    <n v="0"/>
    <n v="35426"/>
    <d v="2026-01-30T00:00:00"/>
    <n v="5950000"/>
    <n v="0"/>
    <n v="0"/>
    <s v="RANGEL MAYORGA LIBIA PASTORA"/>
    <s v="CO1.PCCNTR.9197584"/>
    <n v="5950000"/>
    <m/>
    <m/>
    <m/>
    <m/>
    <m/>
    <m/>
    <n v="2750000"/>
    <n v="2750000"/>
    <m/>
    <n v="3200000"/>
    <n v="3200000"/>
    <m/>
    <m/>
    <m/>
    <m/>
    <m/>
    <m/>
    <m/>
    <m/>
    <m/>
    <m/>
    <m/>
    <m/>
    <m/>
    <m/>
    <m/>
    <m/>
    <m/>
    <m/>
    <m/>
    <m/>
    <m/>
    <m/>
    <m/>
    <m/>
    <n v="5950000"/>
    <n v="5950000"/>
    <n v="5950000"/>
    <n v="0"/>
    <n v="0"/>
    <x v="0"/>
  </r>
  <r>
    <x v="0"/>
    <x v="9"/>
    <s v="Fortalecimiento de la planeación para el desarrollo minero responsable con los territorios en el marco de la transición energética a nivel nacional"/>
    <s v="Minería"/>
    <s v="Sí"/>
    <s v="Sí"/>
    <n v="17"/>
    <s v="140-13"/>
    <s v="Fortalecer la gestión integral de la información de la planeación minera."/>
    <s v="Servicio de Divulgación del Sector Minero Energético"/>
    <s v="Apropiar insumos para el análisis de Mercado Internacional de minerales y sus tendencias a largo plazo."/>
    <n v="80141607"/>
    <s v="C-2106-1900-12-40302A-2106019-02"/>
    <s v="Operador Logístico"/>
    <s v="140-13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22800000"/>
    <n v="22800000"/>
    <s v="No"/>
    <s v="N/A"/>
    <s v="Germán Tiberio Ojeda"/>
    <s v="Subdirector de Minería"/>
    <n v="6012220601"/>
    <s v="german.ojeda@upme.gov.co"/>
    <n v="0"/>
    <n v="0"/>
    <n v="0"/>
    <n v="0"/>
    <n v="0"/>
    <n v="0"/>
    <n v="0"/>
    <n v="0"/>
    <n v="0"/>
    <n v="0"/>
    <n v="0"/>
    <n v="0"/>
    <n v="0"/>
    <n v="0"/>
    <n v="0"/>
    <n v="0"/>
    <n v="0"/>
    <n v="0"/>
    <n v="0"/>
    <n v="0"/>
    <n v="0"/>
    <n v="0"/>
    <n v="22800000"/>
    <n v="22800000"/>
    <n v="22800000"/>
    <n v="228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22800000"/>
    <n v="22800000"/>
    <m/>
    <m/>
    <n v="22800000"/>
    <n v="22800000"/>
    <n v="0"/>
    <n v="0"/>
    <n v="66326"/>
    <d v="2026-01-20T00:00:00"/>
    <m/>
    <n v="22800000"/>
    <m/>
    <m/>
    <n v="0"/>
    <n v="228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14"/>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s v="Prestación de servicios profesionales y/o de apoyo a la gestión"/>
    <s v="140-14 Prestar servicios profesionales de apoyo a la Subdirección de Minería en los aspectos técnicos asociados al cumplimiento de su misionalidad, así como en el acompañamiento en las actividades de divulgación, planeación e investigación del sector mine"/>
    <s v="Enero "/>
    <s v="Enero "/>
    <s v="Enero "/>
    <n v="11"/>
    <s v="Meses"/>
    <s v="Contratación directa - Prestación de servicios profesionales "/>
    <s v="Propios - 21 - Otros recursos de tesorería"/>
    <n v="12388961"/>
    <n v="12388961"/>
    <s v="No"/>
    <s v="N/A"/>
    <s v="Germán Tiberio Ojeda"/>
    <s v="Subdirector de Minería"/>
    <n v="6012220601"/>
    <s v="german.ojeda@upme.gov.co"/>
    <n v="12388961"/>
    <n v="0"/>
    <n v="0"/>
    <n v="5666667"/>
    <n v="0"/>
    <n v="6722294"/>
    <n v="0"/>
    <n v="0"/>
    <n v="0"/>
    <n v="0"/>
    <n v="0"/>
    <n v="0"/>
    <n v="0"/>
    <n v="0"/>
    <n v="0"/>
    <n v="0"/>
    <n v="0"/>
    <n v="0"/>
    <n v="0"/>
    <n v="0"/>
    <n v="0"/>
    <n v="0"/>
    <n v="0"/>
    <n v="0"/>
    <n v="12388961"/>
    <n v="12388961"/>
    <n v="0"/>
    <n v="0"/>
    <s v="Prestar servicios profesionales de apoyo a la Subdirección de Minería en los aspectos técnicos asociados al cumplimiento de su misionalidad, así como en el acompañamiento en las actividades de divulgación, planeación e investigación del sector minero."/>
    <n v="12388961"/>
    <m/>
    <m/>
    <n v="5666667"/>
    <m/>
    <n v="6722294"/>
    <m/>
    <m/>
    <m/>
    <m/>
    <m/>
    <m/>
    <m/>
    <m/>
    <m/>
    <m/>
    <m/>
    <m/>
    <m/>
    <m/>
    <m/>
    <m/>
    <m/>
    <m/>
    <m/>
    <m/>
    <n v="12388961"/>
    <n v="12388961"/>
    <n v="0"/>
    <n v="0"/>
    <n v="4026"/>
    <d v="2026-01-05T00:00:00"/>
    <n v="12388961"/>
    <n v="0"/>
    <n v="8826"/>
    <d v="2026-01-13T00:00:00"/>
    <n v="12388961"/>
    <n v="0"/>
    <n v="0"/>
    <s v="MORENO LOMBANA LUISA FERNANDA"/>
    <s v="CO1.PCCNTR.8847108"/>
    <n v="12388961"/>
    <m/>
    <m/>
    <m/>
    <m/>
    <m/>
    <m/>
    <n v="6722295"/>
    <n v="6722295"/>
    <m/>
    <m/>
    <m/>
    <m/>
    <m/>
    <m/>
    <m/>
    <m/>
    <m/>
    <m/>
    <m/>
    <m/>
    <m/>
    <m/>
    <m/>
    <m/>
    <m/>
    <m/>
    <m/>
    <m/>
    <m/>
    <m/>
    <m/>
    <m/>
    <m/>
    <m/>
    <m/>
    <n v="12388961"/>
    <n v="6722295"/>
    <n v="6722295"/>
    <n v="5666666"/>
    <n v="0"/>
    <x v="0"/>
  </r>
  <r>
    <x v="0"/>
    <x v="9"/>
    <s v="Fortalecimiento de la planeación para el desarrollo minero responsable con los territorios en el marco de la transición energética a nivel nacional"/>
    <s v="Minería"/>
    <s v="Sí"/>
    <s v="Sí"/>
    <n v="68"/>
    <s v="140-15"/>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s v="Prestación de servicios profesionales y/o de apoyo a la gestión"/>
    <s v="140-15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1 - Otros recursos de tesorería"/>
    <n v="53775813"/>
    <n v="53775813"/>
    <s v="No"/>
    <s v="N/A"/>
    <s v="Germán Tiberio Ojeda"/>
    <s v="Subdirector de Minería"/>
    <n v="6012220601"/>
    <s v="german.ojeda@upme.gov.co"/>
    <n v="53775813"/>
    <n v="0"/>
    <n v="0"/>
    <n v="3300000"/>
    <n v="0"/>
    <n v="11000000"/>
    <n v="0"/>
    <n v="11000000"/>
    <n v="0"/>
    <n v="11000000"/>
    <n v="0"/>
    <n v="11000000"/>
    <n v="0"/>
    <n v="6475813"/>
    <n v="0"/>
    <n v="0"/>
    <n v="0"/>
    <n v="0"/>
    <n v="0"/>
    <n v="0"/>
    <n v="0"/>
    <n v="0"/>
    <n v="0"/>
    <n v="0"/>
    <n v="53775813"/>
    <n v="53775813"/>
    <n v="0"/>
    <n v="0"/>
    <s v="Prestar servicios profesionales de apoyo a la Subdirección de Minería en los asuntos relacionados con el cumplimiento de su misionalidad, así como en el acompañamiento en las actividades de divulgación, planeación e investigación del sector minero."/>
    <n v="53775813"/>
    <m/>
    <m/>
    <n v="3300000"/>
    <m/>
    <n v="11000000"/>
    <m/>
    <n v="11000000"/>
    <m/>
    <n v="11000000"/>
    <m/>
    <n v="11000000"/>
    <m/>
    <n v="6475813"/>
    <m/>
    <m/>
    <m/>
    <m/>
    <m/>
    <m/>
    <m/>
    <m/>
    <m/>
    <m/>
    <m/>
    <m/>
    <n v="53775813"/>
    <n v="53775813"/>
    <n v="0"/>
    <n v="0"/>
    <n v="4626"/>
    <d v="2026-01-05T00:00:00"/>
    <n v="53775813"/>
    <n v="0"/>
    <n v="13226"/>
    <d v="2026-01-20T00:00:00"/>
    <n v="53775813"/>
    <n v="0"/>
    <n v="0"/>
    <s v="HERNANDEZ MARIN CRISTHIAN OCTAVIO"/>
    <s v="CO1.PCCNTR.8960645"/>
    <n v="53775813"/>
    <m/>
    <m/>
    <m/>
    <n v="3666667"/>
    <n v="3666667"/>
    <m/>
    <n v="11000000"/>
    <n v="11000000"/>
    <m/>
    <n v="11000000"/>
    <n v="11000000"/>
    <m/>
    <m/>
    <m/>
    <m/>
    <m/>
    <m/>
    <m/>
    <m/>
    <m/>
    <m/>
    <m/>
    <m/>
    <m/>
    <m/>
    <m/>
    <m/>
    <m/>
    <m/>
    <m/>
    <m/>
    <m/>
    <m/>
    <m/>
    <m/>
    <n v="53775813"/>
    <n v="25666667"/>
    <n v="25666667"/>
    <n v="28109146"/>
    <n v="0"/>
    <x v="0"/>
  </r>
  <r>
    <x v="0"/>
    <x v="9"/>
    <s v="Fortalecimiento de la planeación para el desarrollo minero responsable con los territorios en el marco de la transición energética a nivel nacional"/>
    <s v="Minería"/>
    <s v="Sí"/>
    <s v="Sí"/>
    <n v="68"/>
    <s v="140-16"/>
    <s v="Fortalecer la gestión integral de la información de la planeación minera."/>
    <s v="Servicio de Divulgación del Sector Minero Energético"/>
    <s v="Apropiar insumos para el análisis de Mercado Internacional de minerales y sus tendencias a largo plazo."/>
    <n v="80101507"/>
    <s v="C-2106-1900-12-40302A-2106019-02"/>
    <s v="Consultoría"/>
    <s v="140-16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129631439"/>
    <n v="129631439"/>
    <s v="No"/>
    <s v="N/A"/>
    <s v="Germán Tiberio Ojeda"/>
    <s v="Subdirector de Minería"/>
    <n v="6012220601"/>
    <s v="german.ojeda@upme.gov.co"/>
    <n v="0"/>
    <n v="0"/>
    <n v="0"/>
    <n v="0"/>
    <n v="0"/>
    <n v="0"/>
    <n v="0"/>
    <n v="0"/>
    <n v="0"/>
    <n v="0"/>
    <n v="0"/>
    <n v="0"/>
    <n v="129631439"/>
    <n v="0"/>
    <n v="0"/>
    <n v="0"/>
    <n v="0"/>
    <n v="25238702"/>
    <n v="0"/>
    <n v="0"/>
    <n v="0"/>
    <n v="104392737"/>
    <n v="0"/>
    <n v="0"/>
    <n v="129631439"/>
    <n v="129631439"/>
    <n v="0"/>
    <n v="0"/>
    <s v="Desarrollo de nuevos indicadores, analítica y tableros para el SIMCO basados en información sectorial agregando valor a la divulgación de las estadísticas del sector minero"/>
    <m/>
    <m/>
    <m/>
    <m/>
    <m/>
    <m/>
    <m/>
    <m/>
    <m/>
    <m/>
    <m/>
    <m/>
    <n v="129631439"/>
    <m/>
    <m/>
    <m/>
    <m/>
    <n v="25238702"/>
    <m/>
    <m/>
    <m/>
    <n v="104392737"/>
    <m/>
    <m/>
    <m/>
    <m/>
    <n v="129631439"/>
    <n v="129631439"/>
    <n v="0"/>
    <n v="0"/>
    <m/>
    <m/>
    <m/>
    <n v="129631439"/>
    <m/>
    <m/>
    <n v="0"/>
    <n v="129631439"/>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17"/>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s v="Prestación de servicios profesionales y/o de apoyo a la gestión"/>
    <s v="140-17 Prestar servicios profesionales para apoyar a la Subdirección de Minería en asuntos administrativos que contribuyan a la divulgación de la información a través del Sistema de Información Minero Colombiano (SIMCO), así como al soporte misional reque"/>
    <s v="Enero "/>
    <s v="Enero "/>
    <s v="Enero "/>
    <n v="11"/>
    <s v="Meses"/>
    <s v="Contratación directa - Prestación de servicios profesionales "/>
    <s v="Propios - 21 - Otros recursos de tesorería"/>
    <n v="21900000"/>
    <n v="21900000"/>
    <s v="No"/>
    <s v="N/A"/>
    <s v="Germán Tiberio Ojeda"/>
    <s v="Subdirector de Minería"/>
    <n v="6012220601"/>
    <s v="german.ojeda@upme.gov.co"/>
    <n v="21900000"/>
    <n v="0"/>
    <n v="0"/>
    <n v="0"/>
    <n v="0"/>
    <n v="3100000"/>
    <n v="0"/>
    <n v="4500000"/>
    <n v="0"/>
    <n v="4500000"/>
    <n v="0"/>
    <n v="4500000"/>
    <n v="0"/>
    <n v="4500000"/>
    <n v="0"/>
    <n v="800000"/>
    <n v="0"/>
    <n v="0"/>
    <n v="0"/>
    <n v="0"/>
    <n v="0"/>
    <n v="0"/>
    <n v="0"/>
    <n v="0"/>
    <n v="21900000"/>
    <n v="219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1900000"/>
    <m/>
    <m/>
    <m/>
    <m/>
    <n v="3100000"/>
    <m/>
    <n v="4500000"/>
    <m/>
    <n v="4500000"/>
    <m/>
    <n v="4500000"/>
    <m/>
    <n v="4500000"/>
    <m/>
    <n v="800000"/>
    <m/>
    <m/>
    <m/>
    <m/>
    <m/>
    <m/>
    <m/>
    <m/>
    <m/>
    <m/>
    <n v="21900000"/>
    <n v="21900000"/>
    <n v="0"/>
    <n v="0"/>
    <n v="3926"/>
    <d v="2026-01-05T00:00:00"/>
    <n v="21900000"/>
    <n v="0"/>
    <n v="15426"/>
    <d v="2026-01-21T00:00:00"/>
    <n v="21900000"/>
    <n v="0"/>
    <n v="0"/>
    <s v="PICO TARRIBA JORDY DAVID"/>
    <s v="CO1.PCCNTR.8943624"/>
    <n v="21900000"/>
    <m/>
    <m/>
    <m/>
    <m/>
    <m/>
    <m/>
    <n v="4500000"/>
    <n v="4500000"/>
    <m/>
    <n v="4500000"/>
    <n v="4500000"/>
    <m/>
    <m/>
    <m/>
    <m/>
    <m/>
    <m/>
    <m/>
    <m/>
    <m/>
    <m/>
    <m/>
    <m/>
    <m/>
    <m/>
    <m/>
    <m/>
    <m/>
    <m/>
    <m/>
    <m/>
    <m/>
    <m/>
    <m/>
    <m/>
    <n v="21900000"/>
    <n v="9000000"/>
    <n v="9000000"/>
    <n v="12900000"/>
    <n v="0"/>
    <x v="0"/>
  </r>
  <r>
    <x v="0"/>
    <x v="9"/>
    <s v="Fortalecimiento de la planeación para el desarrollo minero responsable con los territorios en el marco de la transición energética a nivel nacional"/>
    <s v="Minería"/>
    <s v="Sí"/>
    <s v="Sí"/>
    <n v="68"/>
    <s v="140-18"/>
    <s v="Fortalecer la gestión integral de la información de la planeación minera."/>
    <s v="Servicio de Divulgación del Sector Minero Energético"/>
    <s v="Desarrollar herramientas para el análisis, proyección y divulgación de la información minera."/>
    <n v="80101507"/>
    <s v="C-2106-1900-12-40302A-2106019-02"/>
    <s v="Consultoría"/>
    <s v="140-18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79750000"/>
    <n v="79750000"/>
    <s v="No"/>
    <s v="N/A"/>
    <s v="Germán Tiberio Ojeda"/>
    <s v="Subdirector de Minería"/>
    <n v="6012220601"/>
    <s v="german.ojeda@upme.gov.co"/>
    <n v="0"/>
    <n v="0"/>
    <n v="0"/>
    <n v="0"/>
    <n v="0"/>
    <n v="0"/>
    <n v="0"/>
    <n v="0"/>
    <n v="0"/>
    <n v="0"/>
    <n v="0"/>
    <n v="0"/>
    <n v="79750000"/>
    <n v="0"/>
    <n v="0"/>
    <n v="0"/>
    <n v="0"/>
    <n v="0"/>
    <n v="0"/>
    <n v="0"/>
    <n v="0"/>
    <n v="50477404"/>
    <n v="0"/>
    <n v="29272596"/>
    <n v="79750000"/>
    <n v="79750000"/>
    <n v="0"/>
    <n v="0"/>
    <s v="Desarrollo de nuevos indicadores, analítica y tableros para el SIMCO basados en información sectorial agregando valor a la divulgación de las estadísticas del sector minero"/>
    <m/>
    <m/>
    <m/>
    <m/>
    <m/>
    <m/>
    <m/>
    <m/>
    <m/>
    <m/>
    <m/>
    <m/>
    <n v="79750000"/>
    <m/>
    <m/>
    <m/>
    <m/>
    <m/>
    <m/>
    <m/>
    <m/>
    <n v="50477404"/>
    <m/>
    <n v="29272596"/>
    <m/>
    <m/>
    <n v="79750000"/>
    <n v="79750000"/>
    <n v="0"/>
    <n v="0"/>
    <m/>
    <m/>
    <m/>
    <n v="79750000"/>
    <m/>
    <m/>
    <n v="0"/>
    <n v="7975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19"/>
    <s v="Fortalecer la gestión integral de la información de la planeación minera."/>
    <s v="Servicio de Divulgación del Sector Minero Energético"/>
    <s v="Desarrollar herramientas para el análisis, proyección y divulgación de la información minera."/>
    <n v="80111620"/>
    <s v="C-2106-1900-12-40302A-2106019-02"/>
    <s v="Prestación de servicios profesionales y/o de apoyo a la gestión"/>
    <s v="140-19 Prestar servicios profesionales de apoyo a la Subdirección de Minería, en la visibilización de la industria minera a través de los sistemas de divulgación de información minera y la entrega de conocimiento al sector."/>
    <s v="Enero "/>
    <s v="Enero "/>
    <s v="Enero "/>
    <n v="11"/>
    <s v="Meses"/>
    <s v="Contratación directa - Prestación de servicios profesionales "/>
    <s v="Propios - 21 - Otros recursos de tesorería"/>
    <n v="10250000"/>
    <n v="10250000"/>
    <s v="No"/>
    <s v="N/A"/>
    <s v="Germán Tiberio Ojeda"/>
    <s v="Subdirector de Minería"/>
    <n v="6012220601"/>
    <s v="german.ojeda@upme.gov.co"/>
    <n v="10250000"/>
    <n v="0"/>
    <n v="0"/>
    <n v="1444520"/>
    <n v="0"/>
    <n v="5416950"/>
    <n v="0"/>
    <n v="3388530"/>
    <n v="0"/>
    <n v="0"/>
    <n v="0"/>
    <n v="0"/>
    <n v="0"/>
    <n v="0"/>
    <n v="0"/>
    <n v="0"/>
    <n v="0"/>
    <n v="0"/>
    <n v="0"/>
    <n v="0"/>
    <n v="0"/>
    <n v="0"/>
    <n v="0"/>
    <n v="0"/>
    <n v="10250000"/>
    <n v="10250000"/>
    <n v="0"/>
    <n v="0"/>
    <s v="Prestar servicios profesionales de apoyo a la Subdirección de Minería, en la visibilización de la industria minera a través de los sistemas de divulgación de información minera y la entrega de conocimiento al sector."/>
    <n v="10250000"/>
    <m/>
    <m/>
    <n v="1444520"/>
    <m/>
    <n v="5416950"/>
    <m/>
    <n v="3388530"/>
    <m/>
    <m/>
    <m/>
    <m/>
    <m/>
    <m/>
    <m/>
    <m/>
    <m/>
    <m/>
    <m/>
    <m/>
    <m/>
    <m/>
    <m/>
    <m/>
    <m/>
    <m/>
    <n v="10250000"/>
    <n v="10250000"/>
    <n v="0"/>
    <n v="0"/>
    <n v="18726"/>
    <d v="2026-01-11T00:00:00"/>
    <n v="10250000"/>
    <n v="0"/>
    <n v="14926"/>
    <d v="2026-01-21T00:00:00"/>
    <n v="10250000"/>
    <n v="0"/>
    <n v="0"/>
    <s v="RODRIGUEZ PEDRAZA KAREN MAYELI"/>
    <s v="??"/>
    <n v="10250000"/>
    <m/>
    <m/>
    <m/>
    <m/>
    <m/>
    <m/>
    <n v="5416950"/>
    <n v="5416950"/>
    <m/>
    <m/>
    <m/>
    <m/>
    <m/>
    <m/>
    <m/>
    <m/>
    <m/>
    <m/>
    <m/>
    <m/>
    <m/>
    <m/>
    <m/>
    <m/>
    <m/>
    <m/>
    <m/>
    <m/>
    <m/>
    <m/>
    <m/>
    <m/>
    <m/>
    <m/>
    <m/>
    <n v="10250000"/>
    <n v="5416950"/>
    <n v="5416950"/>
    <n v="4833050"/>
    <n v="0"/>
    <x v="0"/>
  </r>
  <r>
    <x v="0"/>
    <x v="9"/>
    <s v="Fortalecimiento de la planeación para el desarrollo minero responsable con los territorios en el marco de la transición energética a nivel nacional"/>
    <s v="Minería"/>
    <s v="Sí"/>
    <s v="Sí"/>
    <n v="17"/>
    <s v="140-20"/>
    <s v="Ampliar el conocimiento de los encadenamientos productivos asociados a la actividad minera por parte de los actores del sector."/>
    <s v="Documentos de Investigación"/>
    <s v="Resultados análisis de información."/>
    <n v="81121503"/>
    <s v="C-2106-1900-12-40302A-2106002-02"/>
    <s v="Estudios"/>
    <s v="140-20  Elaborar los balances oferta utilización de productos mineros y la cuenta de producción y generación del ingreso en versión provisional para la operación estadística cuenta satélite de minería - CSM, en el marco del modelo genérico del proceso est"/>
    <s v="Enero "/>
    <s v="Enero "/>
    <s v="Enero "/>
    <n v="5"/>
    <s v="Meses"/>
    <s v="Contratación directa - Contratos interadministrativos"/>
    <s v="Propios - 21 - Otros recursos de tesorería"/>
    <n v="24750000"/>
    <n v="24750000"/>
    <s v="No"/>
    <s v="N/A"/>
    <s v="Germán Tiberio Ojeda"/>
    <s v="Subdirector de Minería"/>
    <n v="6012220601"/>
    <s v="german.ojeda@upme.gov.co"/>
    <n v="0"/>
    <n v="0"/>
    <n v="0"/>
    <n v="0"/>
    <n v="0"/>
    <n v="0"/>
    <n v="0"/>
    <n v="0"/>
    <n v="0"/>
    <n v="0"/>
    <n v="0"/>
    <n v="0"/>
    <n v="0"/>
    <n v="0"/>
    <n v="0"/>
    <n v="0"/>
    <n v="0"/>
    <n v="0"/>
    <n v="0"/>
    <n v="0"/>
    <n v="0"/>
    <n v="0"/>
    <n v="24750000"/>
    <n v="24750000"/>
    <n v="24750000"/>
    <n v="24750000"/>
    <n v="0"/>
    <n v="0"/>
    <s v=" Elaborar los balances oferta utilización de productos mineros y la cuenta de producción y generación del ingreso en versión provisional para la operación estadística cuenta satélite de minería - CSM, en el marco del modelo genérico del proceso estadístic"/>
    <m/>
    <m/>
    <m/>
    <m/>
    <m/>
    <m/>
    <m/>
    <m/>
    <m/>
    <m/>
    <m/>
    <m/>
    <m/>
    <m/>
    <m/>
    <m/>
    <m/>
    <m/>
    <m/>
    <m/>
    <m/>
    <m/>
    <n v="24750000"/>
    <n v="24750000"/>
    <m/>
    <m/>
    <n v="24750000"/>
    <n v="24750000"/>
    <n v="0"/>
    <n v="0"/>
    <n v="68626"/>
    <d v="2026-01-30T00:00:00"/>
    <m/>
    <n v="24750000"/>
    <m/>
    <m/>
    <n v="0"/>
    <n v="2475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s v="Radicado 20261400019863"/>
    <s v="140-21"/>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1 Prestar servicios profesionales para brindar apoyo en la Subdirección de Minería, en la elaboración de estudios técnicos asociados a la actividad minera y documentos de investigación."/>
    <s v="Enero "/>
    <s v="Enero "/>
    <s v="Enero "/>
    <n v="8"/>
    <s v="Meses"/>
    <s v="Contratación directa - Prestación de servicios profesionales "/>
    <s v="Propios - 21 - Otros recursos de tesorería"/>
    <n v="8600000"/>
    <n v="8600000"/>
    <s v="No"/>
    <s v="N/A"/>
    <s v="Germán Tiberio Ojeda"/>
    <s v="Subdirector de Minería"/>
    <n v="6012220601"/>
    <s v="german.ojeda@upme.gov.co"/>
    <n v="0"/>
    <n v="0"/>
    <n v="8600000"/>
    <n v="0"/>
    <n v="0"/>
    <n v="4837500"/>
    <n v="0"/>
    <n v="3762500"/>
    <n v="0"/>
    <n v="0"/>
    <n v="0"/>
    <n v="0"/>
    <n v="0"/>
    <n v="0"/>
    <n v="0"/>
    <n v="0"/>
    <n v="0"/>
    <n v="0"/>
    <n v="0"/>
    <n v="0"/>
    <n v="0"/>
    <n v="0"/>
    <n v="0"/>
    <n v="0"/>
    <n v="8600000"/>
    <n v="8600000"/>
    <n v="0"/>
    <n v="0"/>
    <s v="Prestar servicios profesionales para brindar apoyo en la Subdirección de Minería, en la elaboración de estudios técnicos asociados a la actividad minera y documentos de investigación."/>
    <m/>
    <m/>
    <n v="8600000"/>
    <m/>
    <m/>
    <n v="4837500"/>
    <m/>
    <n v="3762500"/>
    <m/>
    <m/>
    <m/>
    <m/>
    <m/>
    <m/>
    <m/>
    <m/>
    <m/>
    <m/>
    <m/>
    <m/>
    <m/>
    <m/>
    <m/>
    <m/>
    <m/>
    <m/>
    <n v="8600000"/>
    <n v="8600000"/>
    <n v="0"/>
    <n v="0"/>
    <n v="46826"/>
    <d v="2026-01-19T00:00:00"/>
    <n v="8600000"/>
    <n v="0"/>
    <n v="37026"/>
    <d v="2026-02-02T00:00:00"/>
    <n v="8600000"/>
    <n v="0"/>
    <n v="0"/>
    <s v="CORREALES ROJAS LUCIO ALFREDO"/>
    <s v="CO1.PCCNTR.9158755"/>
    <m/>
    <m/>
    <m/>
    <n v="8600000"/>
    <m/>
    <m/>
    <m/>
    <m/>
    <m/>
    <m/>
    <m/>
    <m/>
    <m/>
    <m/>
    <m/>
    <m/>
    <m/>
    <m/>
    <m/>
    <m/>
    <m/>
    <m/>
    <m/>
    <m/>
    <m/>
    <m/>
    <m/>
    <m/>
    <m/>
    <m/>
    <m/>
    <m/>
    <m/>
    <m/>
    <m/>
    <m/>
    <n v="8600000"/>
    <n v="0"/>
    <n v="0"/>
    <n v="8600000"/>
    <n v="0"/>
    <x v="0"/>
  </r>
  <r>
    <x v="0"/>
    <x v="9"/>
    <s v="Fortalecimiento de la planeación para el desarrollo minero responsable con los territorios en el marco de la transición energética a nivel nacional"/>
    <s v="Minería"/>
    <s v="Sí"/>
    <s v="Sí"/>
    <n v="68"/>
    <s v="140-22"/>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2 Prestar servicios profesionales para apoyar a la Subdirección de Minería mediante la generación de análisis técnicos y sociales que contribuyan a la elaboración de documentos de investigación y variables interseccionales."/>
    <s v="Enero "/>
    <s v="Enero "/>
    <s v="Enero "/>
    <n v="10"/>
    <s v="Meses"/>
    <s v="Contratación directa - Prestación de servicios profesionales "/>
    <s v="Propios - 21 - Otros recursos de tesorería"/>
    <n v="23000000"/>
    <n v="23000000"/>
    <s v="No"/>
    <s v="N/A"/>
    <s v="Germán Tiberio Ojeda"/>
    <s v="Subdirector de Minería"/>
    <n v="6012220601"/>
    <s v="german.ojeda@upme.gov.co"/>
    <n v="23000000"/>
    <n v="0"/>
    <n v="0"/>
    <n v="213333"/>
    <n v="0"/>
    <n v="3200000"/>
    <n v="0"/>
    <n v="3200000"/>
    <n v="0"/>
    <n v="3200000"/>
    <n v="0"/>
    <n v="3200000"/>
    <n v="0"/>
    <n v="3200000"/>
    <n v="0"/>
    <n v="3200000"/>
    <n v="0"/>
    <n v="3200000"/>
    <n v="0"/>
    <n v="386667"/>
    <n v="0"/>
    <n v="0"/>
    <n v="0"/>
    <n v="0"/>
    <n v="23000000"/>
    <n v="23000000"/>
    <n v="0"/>
    <n v="0"/>
    <s v="Prestar servicios profesionales para apoyar a la Subdirección de Minería mediante la generación de análisis técnicos y sociales que contribuyan a la elaboración de documentos de investigación y variables interseccionales."/>
    <n v="23000000"/>
    <m/>
    <m/>
    <n v="213333"/>
    <m/>
    <n v="3200000"/>
    <m/>
    <n v="3200000"/>
    <m/>
    <n v="3200000"/>
    <m/>
    <n v="3200000"/>
    <m/>
    <n v="3200000"/>
    <m/>
    <n v="3200000"/>
    <m/>
    <n v="3200000"/>
    <m/>
    <n v="386667"/>
    <m/>
    <m/>
    <m/>
    <m/>
    <m/>
    <m/>
    <n v="23000000"/>
    <n v="23000000"/>
    <n v="0"/>
    <n v="0"/>
    <n v="47026"/>
    <d v="2026-01-19T00:00:00"/>
    <n v="23000000"/>
    <n v="0"/>
    <n v="23626"/>
    <d v="2026-01-27T00:00:00"/>
    <n v="23000000"/>
    <n v="0"/>
    <n v="0"/>
    <s v="ROJAS ROJAS ALVARO ANDRES"/>
    <s v="CO1.PCCNTR.9085139"/>
    <n v="23000000"/>
    <m/>
    <m/>
    <m/>
    <n v="320000"/>
    <n v="320000"/>
    <m/>
    <n v="3200000"/>
    <n v="3200000"/>
    <m/>
    <m/>
    <m/>
    <m/>
    <m/>
    <m/>
    <m/>
    <m/>
    <m/>
    <m/>
    <m/>
    <m/>
    <m/>
    <m/>
    <m/>
    <m/>
    <m/>
    <m/>
    <m/>
    <m/>
    <m/>
    <m/>
    <m/>
    <m/>
    <m/>
    <m/>
    <m/>
    <n v="23000000"/>
    <n v="3520000"/>
    <n v="3520000"/>
    <n v="19480000"/>
    <n v="0"/>
    <x v="0"/>
  </r>
  <r>
    <x v="0"/>
    <x v="9"/>
    <s v="Fortalecimiento de la planeación para el desarrollo minero responsable con los territorios en el marco de la transición energética a nivel nacional"/>
    <s v="Minería"/>
    <s v="Sí"/>
    <s v="Sí"/>
    <n v="68"/>
    <s v="140-23"/>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3 Prestar servicios profesionales de apoyo jurídico para acompañar las gestiones necesarias orientadas al cumplimiento de las actividades de la Subdirección de Minería, así como para apoyar la elaboración de documentos de investigación."/>
    <s v="Enero "/>
    <s v="Enero "/>
    <s v="Enero "/>
    <n v="11"/>
    <s v="Meses"/>
    <s v="Contratación directa - Prestación de servicios profesionales "/>
    <s v="Propios - 21 - Otros recursos de tesorería"/>
    <n v="71500000"/>
    <n v="71500000"/>
    <s v="No"/>
    <s v="N/A"/>
    <s v="Germán Tiberio Ojeda"/>
    <s v="Subdirector de Minería"/>
    <n v="6012220601"/>
    <s v="german.ojeda@upme.gov.co"/>
    <n v="0"/>
    <n v="0"/>
    <n v="71500000"/>
    <n v="0"/>
    <n v="0"/>
    <n v="5850000"/>
    <n v="0"/>
    <n v="6500000"/>
    <n v="0"/>
    <n v="6500000"/>
    <n v="0"/>
    <n v="6500000"/>
    <n v="0"/>
    <n v="6500000"/>
    <n v="0"/>
    <n v="6500000"/>
    <n v="0"/>
    <n v="6500000"/>
    <n v="0"/>
    <n v="6500000"/>
    <n v="0"/>
    <n v="6500000"/>
    <n v="0"/>
    <n v="13650000"/>
    <n v="71500000"/>
    <n v="71500000"/>
    <n v="0"/>
    <n v="0"/>
    <s v="Prestar servicios profesionales de apoyo jurídico para acompañar las gestiones necesarias orientadas al cumplimiento de las actividades de la Subdirección de Minería, así como para apoyar la elaboración de documentos de investigación."/>
    <m/>
    <m/>
    <n v="71500000"/>
    <m/>
    <m/>
    <n v="5850000"/>
    <m/>
    <n v="6500000"/>
    <m/>
    <n v="6500000"/>
    <m/>
    <n v="6500000"/>
    <m/>
    <n v="6500000"/>
    <m/>
    <n v="6500000"/>
    <m/>
    <n v="6500000"/>
    <m/>
    <n v="6500000"/>
    <m/>
    <n v="6500000"/>
    <m/>
    <n v="13650000"/>
    <m/>
    <m/>
    <n v="71500000"/>
    <n v="71500000"/>
    <n v="0"/>
    <n v="0"/>
    <n v="47126"/>
    <d v="2026-01-19T00:00:00"/>
    <n v="71500000"/>
    <n v="0"/>
    <n v="37926"/>
    <d v="2026-02-02T00:00:00"/>
    <n v="71500000"/>
    <n v="0"/>
    <n v="0"/>
    <s v="NAVARRO MENDIVELSO JULIAN FELIPE"/>
    <s v="CO1.PCCNTR.9139480"/>
    <m/>
    <m/>
    <m/>
    <n v="71500000"/>
    <m/>
    <m/>
    <m/>
    <n v="6066667"/>
    <n v="6066667"/>
    <m/>
    <n v="6500000"/>
    <n v="6500000"/>
    <m/>
    <m/>
    <m/>
    <m/>
    <m/>
    <m/>
    <m/>
    <m/>
    <m/>
    <m/>
    <m/>
    <m/>
    <m/>
    <m/>
    <m/>
    <m/>
    <m/>
    <m/>
    <m/>
    <m/>
    <m/>
    <m/>
    <m/>
    <m/>
    <n v="71500000"/>
    <n v="12566667"/>
    <n v="12566667"/>
    <n v="58933333"/>
    <n v="0"/>
    <x v="0"/>
  </r>
  <r>
    <x v="0"/>
    <x v="9"/>
    <s v="Fortalecimiento de la planeación para el desarrollo minero responsable con los territorios en el marco de la transición energética a nivel nacional"/>
    <s v="Minería"/>
    <s v="Sí"/>
    <s v="Sí"/>
    <n v="68"/>
    <s v="140-24"/>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4 Prestar servicios profesionales de apoyo en la Subdirección de Minería, en el soporte técnico para la determinación del precio base de liquidación de regalías, análisis de datos a través de los sistemas de divulgación de información minera."/>
    <s v="Enero "/>
    <s v="Enero "/>
    <s v="Enero "/>
    <n v="11"/>
    <s v="Meses"/>
    <s v="Contratación directa - Prestación de servicios profesionales "/>
    <s v="Propios - 21 - Otros recursos de tesorería"/>
    <n v="30250000"/>
    <n v="30250000"/>
    <s v="No"/>
    <s v="N/A"/>
    <s v="Germán Tiberio Ojeda"/>
    <s v="Subdirector de Minería"/>
    <n v="6012220601"/>
    <s v="german.ojeda@upme.gov.co"/>
    <n v="29336450"/>
    <n v="0"/>
    <n v="0"/>
    <n v="0"/>
    <n v="0"/>
    <n v="0"/>
    <n v="0"/>
    <n v="0"/>
    <n v="0"/>
    <n v="0"/>
    <n v="0"/>
    <n v="0"/>
    <n v="0"/>
    <n v="0"/>
    <n v="0"/>
    <n v="3876785"/>
    <n v="0"/>
    <n v="5416950"/>
    <n v="0"/>
    <n v="5416950"/>
    <n v="0"/>
    <n v="5416950"/>
    <n v="913550"/>
    <n v="10122365"/>
    <n v="30250000"/>
    <n v="30250000"/>
    <n v="0"/>
    <n v="0"/>
    <s v="Prestar servicios profesionales de apoyo en la Subdirección de Minería, en el soporte técnico para la determinación del precio base de liquidación de regalías, análisis de datos a través de los sistemas de divulgación de información minera."/>
    <n v="29336450"/>
    <m/>
    <m/>
    <m/>
    <m/>
    <m/>
    <m/>
    <m/>
    <m/>
    <m/>
    <m/>
    <m/>
    <m/>
    <m/>
    <m/>
    <n v="3876785"/>
    <m/>
    <n v="5416950"/>
    <m/>
    <n v="5416950"/>
    <m/>
    <n v="5416950"/>
    <n v="913550"/>
    <n v="10122365"/>
    <m/>
    <m/>
    <n v="30250000"/>
    <n v="30250000"/>
    <n v="0"/>
    <n v="0"/>
    <n v="21526"/>
    <d v="2026-01-11T00:00:00"/>
    <n v="29336450"/>
    <n v="913550"/>
    <n v="12326"/>
    <d v="2026-01-20T00:00:00"/>
    <n v="29336450"/>
    <n v="913550"/>
    <n v="0"/>
    <s v="CASTILLO PEDRAZA MIGUEL ANGEL"/>
    <s v="CO1.PCCNTR.8944748"/>
    <n v="29336450"/>
    <m/>
    <m/>
    <m/>
    <n v="1805650"/>
    <n v="1805650"/>
    <m/>
    <n v="5416950"/>
    <n v="5416950"/>
    <m/>
    <n v="5416950"/>
    <n v="5416950"/>
    <m/>
    <m/>
    <m/>
    <m/>
    <m/>
    <m/>
    <m/>
    <m/>
    <m/>
    <m/>
    <m/>
    <m/>
    <m/>
    <m/>
    <m/>
    <m/>
    <m/>
    <m/>
    <m/>
    <m/>
    <m/>
    <m/>
    <m/>
    <m/>
    <n v="29336450"/>
    <n v="12639550"/>
    <n v="12639550"/>
    <n v="16696900"/>
    <n v="0"/>
    <x v="0"/>
  </r>
  <r>
    <x v="0"/>
    <x v="9"/>
    <s v="Fortalecimiento de la planeación para el desarrollo minero responsable con los territorios en el marco de la transición energética a nivel nacional"/>
    <s v="Minería"/>
    <s v="Sí"/>
    <s v="Sí"/>
    <n v="68"/>
    <s v="140-25"/>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5 Prestar servicios profesionales de apoyo a la Subdirección de Minería, en la visibilización de la industria minera a través de los sistemas de divulgación de información minera y la entrega de conocimiento al sector."/>
    <s v="Enero "/>
    <s v="Enero "/>
    <s v="Enero "/>
    <n v="11"/>
    <s v="Meses"/>
    <s v="Contratación directa - Prestación de servicios profesionales "/>
    <s v="Propios - 21 - Otros recursos de tesorería"/>
    <n v="50250000"/>
    <n v="50250000"/>
    <s v="No"/>
    <s v="N/A"/>
    <s v="Germán Tiberio Ojeda"/>
    <s v="Subdirector de Minería"/>
    <n v="6012220601"/>
    <s v="german.ojeda@upme.gov.co"/>
    <n v="49336450"/>
    <n v="0"/>
    <n v="0"/>
    <n v="0"/>
    <n v="0"/>
    <n v="0"/>
    <n v="0"/>
    <n v="2028420"/>
    <n v="0"/>
    <n v="5416950"/>
    <n v="0"/>
    <n v="5416950"/>
    <n v="0"/>
    <n v="5416950"/>
    <n v="0"/>
    <n v="5416950"/>
    <n v="0"/>
    <n v="5416950"/>
    <n v="0"/>
    <n v="5416950"/>
    <n v="0"/>
    <n v="5416950"/>
    <n v="913550"/>
    <n v="10302930"/>
    <n v="50250000"/>
    <n v="50250000"/>
    <n v="0"/>
    <n v="0"/>
    <s v="Prestar servicios profesionales de apoyo a la Subdirección de Minería, en la visibilización de la industria minera a través de los sistemas de divulgación de información minera y la entrega de conocimiento al sector."/>
    <n v="49336450"/>
    <m/>
    <m/>
    <m/>
    <m/>
    <m/>
    <m/>
    <n v="2028420"/>
    <m/>
    <n v="5416950"/>
    <m/>
    <n v="5416950"/>
    <m/>
    <n v="5416950"/>
    <m/>
    <n v="5416950"/>
    <m/>
    <n v="5416950"/>
    <m/>
    <n v="5416950"/>
    <m/>
    <n v="5416950"/>
    <n v="913550"/>
    <n v="10302930"/>
    <m/>
    <m/>
    <n v="50250000"/>
    <n v="50250000"/>
    <n v="0"/>
    <n v="0"/>
    <n v="18726"/>
    <d v="2026-01-11T00:00:00"/>
    <n v="49336450"/>
    <n v="913550"/>
    <n v="14926"/>
    <d v="2026-01-21T00:00:00"/>
    <n v="49336450"/>
    <n v="913550"/>
    <n v="0"/>
    <s v="RODRIGUEZ PEDRAZA KAREN MAYELI"/>
    <s v="??"/>
    <n v="49336450"/>
    <m/>
    <m/>
    <m/>
    <n v="1625085"/>
    <n v="1625085"/>
    <m/>
    <m/>
    <m/>
    <m/>
    <n v="5416950"/>
    <n v="5416950"/>
    <m/>
    <m/>
    <m/>
    <m/>
    <m/>
    <m/>
    <m/>
    <m/>
    <m/>
    <m/>
    <m/>
    <m/>
    <m/>
    <m/>
    <m/>
    <m/>
    <m/>
    <m/>
    <m/>
    <m/>
    <m/>
    <m/>
    <m/>
    <m/>
    <n v="49336450"/>
    <n v="7042035"/>
    <n v="7042035"/>
    <n v="42294415"/>
    <n v="0"/>
    <x v="0"/>
  </r>
  <r>
    <x v="0"/>
    <x v="9"/>
    <s v="Fortalecimiento de la planeación para el desarrollo minero responsable con los territorios en el marco de la transición energética a nivel nacional"/>
    <s v="Minería"/>
    <s v="Sí"/>
    <s v="Sí"/>
    <n v="68"/>
    <s v="140-26"/>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6 Prestar servicios profesionales a la Subdirección de Minería para apoyar la implementación de mejoras funcionales y operativas del Sistema de Información Minero Colombiano (SIMCO), así como el diseño y desarrollo de modelos geoespaciales mediante S"/>
    <s v="Enero "/>
    <s v="Enero "/>
    <s v="Enero "/>
    <n v="11"/>
    <s v="Meses"/>
    <s v="Contratación directa - Prestación de servicios profesionales "/>
    <s v="Propios - 21 - Otros recursos de tesorería"/>
    <n v="89715113"/>
    <n v="89715113"/>
    <s v="No"/>
    <s v="N/A"/>
    <s v="Germán Tiberio Ojeda"/>
    <s v="Subdirector de Minería"/>
    <n v="6012220601"/>
    <s v="german.ojeda@upme.gov.co"/>
    <n v="89715113"/>
    <n v="0"/>
    <n v="0"/>
    <n v="3150000"/>
    <n v="0"/>
    <n v="10500000"/>
    <n v="0"/>
    <n v="10500000"/>
    <n v="0"/>
    <n v="10500000"/>
    <n v="0"/>
    <n v="10500000"/>
    <n v="0"/>
    <n v="10500000"/>
    <n v="0"/>
    <n v="10500000"/>
    <n v="0"/>
    <n v="10500000"/>
    <n v="0"/>
    <n v="10500000"/>
    <n v="0"/>
    <n v="2565113"/>
    <n v="0"/>
    <n v="0"/>
    <n v="89715113"/>
    <n v="89715113"/>
    <n v="0"/>
    <n v="0"/>
    <s v="Prestar servicios profesionales a la Subdirección de Minería para apoyar la implementación de mejoras funcionales y operativas del Sistema de Información Minero Colombiano (SIMCO), así como el diseño y desarrollo de modelos geoespaciales mediante Sistemas"/>
    <n v="89715113"/>
    <m/>
    <m/>
    <n v="3150000"/>
    <m/>
    <n v="10500000"/>
    <m/>
    <n v="10500000"/>
    <m/>
    <n v="10500000"/>
    <m/>
    <n v="10500000"/>
    <m/>
    <n v="10500000"/>
    <m/>
    <n v="10500000"/>
    <m/>
    <n v="10500000"/>
    <m/>
    <n v="10500000"/>
    <m/>
    <n v="2565113"/>
    <m/>
    <m/>
    <m/>
    <m/>
    <n v="89715113"/>
    <n v="89715113"/>
    <n v="0"/>
    <n v="0"/>
    <n v="3526"/>
    <d v="2026-01-05T00:00:00"/>
    <n v="89715113"/>
    <n v="0"/>
    <n v="12126"/>
    <d v="2026-01-20T00:00:00"/>
    <n v="89715113"/>
    <n v="0"/>
    <n v="0"/>
    <s v="PEÑA SOLANO LUIS GIOVANNY"/>
    <s v="CO1.PCCNTR 8965898"/>
    <n v="89715113"/>
    <m/>
    <m/>
    <m/>
    <n v="3500000"/>
    <n v="3500000"/>
    <m/>
    <n v="10500000"/>
    <n v="10500000"/>
    <m/>
    <n v="10500000"/>
    <n v="10500000"/>
    <m/>
    <m/>
    <m/>
    <m/>
    <m/>
    <m/>
    <m/>
    <m/>
    <m/>
    <m/>
    <m/>
    <m/>
    <m/>
    <m/>
    <m/>
    <m/>
    <m/>
    <m/>
    <m/>
    <m/>
    <m/>
    <m/>
    <m/>
    <m/>
    <n v="89715113"/>
    <n v="24500000"/>
    <n v="24500000"/>
    <n v="65215113"/>
    <n v="0"/>
    <x v="0"/>
  </r>
  <r>
    <x v="0"/>
    <x v="9"/>
    <s v="Fortalecimiento de la planeación para el desarrollo minero responsable con los territorios en el marco de la transición energética a nivel nacional"/>
    <s v="Minería"/>
    <s v="Sí"/>
    <s v="Sí"/>
    <n v="68"/>
    <s v="140-27"/>
    <s v="Ampliar el conocimiento de los encadenamientos productivos asociados a la actividad minera por parte de los actores del sector."/>
    <s v="Documentos de Investigación"/>
    <s v="Resultados análisis de información."/>
    <n v="43232605"/>
    <s v="C-2106-1900-12-40302A-2106002-02"/>
    <s v="Software - Licencias"/>
    <s v="140-27 Actualizar y renovar el licenciamiento ESRI."/>
    <s v="Junio"/>
    <s v="Junio"/>
    <s v="Junio"/>
    <n v="6"/>
    <s v="Meses"/>
    <s v="Seléccion abreviada - acuerdo marco"/>
    <s v="Propios - 21 - Otros recursos de tesorería"/>
    <n v="30000000"/>
    <n v="30000000"/>
    <s v="No"/>
    <s v="N/A"/>
    <s v="Germán Tiberio Ojeda"/>
    <s v="Subdirector de Minería"/>
    <n v="6012220601"/>
    <s v="german.ojeda@upme.gov.co"/>
    <n v="0"/>
    <n v="0"/>
    <n v="0"/>
    <n v="0"/>
    <n v="0"/>
    <n v="0"/>
    <n v="0"/>
    <n v="0"/>
    <n v="0"/>
    <n v="0"/>
    <n v="0"/>
    <n v="0"/>
    <n v="30000000"/>
    <n v="0"/>
    <n v="0"/>
    <n v="0"/>
    <n v="0"/>
    <n v="0"/>
    <n v="0"/>
    <n v="0"/>
    <n v="0"/>
    <n v="0"/>
    <n v="0"/>
    <n v="30000000"/>
    <n v="30000000"/>
    <n v="30000000"/>
    <n v="0"/>
    <n v="0"/>
    <s v="Actualizar y renovar el licenciamiento ESRI."/>
    <m/>
    <m/>
    <m/>
    <m/>
    <m/>
    <m/>
    <m/>
    <m/>
    <m/>
    <m/>
    <m/>
    <m/>
    <n v="30000000"/>
    <m/>
    <m/>
    <m/>
    <m/>
    <m/>
    <m/>
    <m/>
    <m/>
    <m/>
    <m/>
    <n v="30000000"/>
    <m/>
    <m/>
    <n v="30000000"/>
    <n v="30000000"/>
    <n v="0"/>
    <n v="0"/>
    <m/>
    <m/>
    <m/>
    <n v="30000000"/>
    <m/>
    <m/>
    <n v="0"/>
    <n v="30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28"/>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8 Prestar servicios profesionales para apoyar a la Subdirección de Minería en la incorporación de aspectos técnicos y sociales que contribuyan al fortalecimiento de la investigación del sector minero."/>
    <s v="Enero "/>
    <s v="Enero "/>
    <s v="Enero "/>
    <n v="11"/>
    <s v="Meses"/>
    <s v="Contratación directa - Prestación de servicios profesionales "/>
    <s v="Propios - 21 - Otros recursos de tesorería"/>
    <n v="10500000"/>
    <n v="10500000"/>
    <s v="No"/>
    <s v="N/A"/>
    <s v="Germán Tiberio Ojeda"/>
    <s v="Subdirector de Minería"/>
    <n v="6012220601"/>
    <s v="german.ojeda@upme.gov.co"/>
    <n v="10500000"/>
    <n v="0"/>
    <n v="0"/>
    <n v="960000"/>
    <n v="0"/>
    <n v="3200000"/>
    <n v="0"/>
    <n v="3200000"/>
    <n v="0"/>
    <n v="3140000"/>
    <n v="0"/>
    <n v="0"/>
    <n v="0"/>
    <n v="0"/>
    <n v="0"/>
    <n v="0"/>
    <n v="0"/>
    <n v="0"/>
    <n v="0"/>
    <n v="0"/>
    <n v="0"/>
    <n v="0"/>
    <n v="0"/>
    <n v="0"/>
    <n v="10500000"/>
    <n v="10500000"/>
    <n v="0"/>
    <n v="0"/>
    <s v="Prestar servicios profesionales para apoyar a la Subdirección de Minería en la incorporación de aspectos técnicos y sociales que contribuyan al fortalecimiento de la investigación del sector minero."/>
    <n v="10500000"/>
    <m/>
    <m/>
    <n v="960000"/>
    <m/>
    <n v="3200000"/>
    <m/>
    <n v="3200000"/>
    <m/>
    <n v="3140000"/>
    <m/>
    <m/>
    <m/>
    <m/>
    <m/>
    <m/>
    <m/>
    <m/>
    <m/>
    <m/>
    <m/>
    <m/>
    <m/>
    <m/>
    <m/>
    <m/>
    <n v="10500000"/>
    <n v="10500000"/>
    <n v="0"/>
    <n v="0"/>
    <n v="3826"/>
    <d v="2026-01-05T00:00:00"/>
    <n v="10500000"/>
    <n v="0"/>
    <n v="13426"/>
    <d v="2026-01-20T00:00:00"/>
    <n v="10500000"/>
    <n v="0"/>
    <n v="0"/>
    <s v="SIERRA CARREÑO JESSICA TATHIANA"/>
    <s v="CO1.PCCNTR.8958706"/>
    <n v="10500000"/>
    <m/>
    <m/>
    <m/>
    <n v="1066667"/>
    <n v="1066667"/>
    <m/>
    <n v="3200000"/>
    <n v="3200000"/>
    <m/>
    <n v="3200000"/>
    <n v="3200000"/>
    <m/>
    <m/>
    <m/>
    <m/>
    <m/>
    <m/>
    <m/>
    <m/>
    <m/>
    <m/>
    <m/>
    <m/>
    <m/>
    <m/>
    <m/>
    <m/>
    <m/>
    <m/>
    <m/>
    <m/>
    <m/>
    <m/>
    <m/>
    <m/>
    <n v="10500000"/>
    <n v="7466667"/>
    <n v="7466667"/>
    <n v="3033333"/>
    <n v="0"/>
    <x v="0"/>
  </r>
  <r>
    <x v="0"/>
    <x v="9"/>
    <s v="Fortalecimiento de la planeación para el desarrollo minero responsable con los territorios en el marco de la transición energética a nivel nacional"/>
    <s v="Minería"/>
    <s v="Sí"/>
    <s v="Sí"/>
    <n v="68"/>
    <s v="140-29"/>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29 Prestar servicios profesionales de apoyo a la Subdirección de Minería en los aspectos técnicos asociados al cumplimiento de su misionalidad, así como en el acompañamiento en las actividades de planeación e investigación del sector minero."/>
    <s v="Enero "/>
    <s v="Enero "/>
    <s v="Enero "/>
    <n v="11"/>
    <s v="Meses"/>
    <s v="Contratación directa - Prestación de servicios profesionales "/>
    <s v="Propios - 21 - Otros recursos de tesorería"/>
    <n v="19925198"/>
    <n v="19925198"/>
    <s v="No"/>
    <s v="N/A"/>
    <s v="Germán Tiberio Ojeda"/>
    <s v="Subdirector de Minería"/>
    <n v="6012220601"/>
    <s v="german.ojeda@upme.gov.co"/>
    <n v="19925198"/>
    <n v="0"/>
    <n v="0"/>
    <n v="740000"/>
    <n v="0"/>
    <n v="7400000"/>
    <n v="0"/>
    <n v="7400000"/>
    <n v="0"/>
    <n v="4385198"/>
    <n v="0"/>
    <n v="0"/>
    <n v="0"/>
    <n v="0"/>
    <n v="0"/>
    <n v="0"/>
    <n v="0"/>
    <n v="0"/>
    <n v="0"/>
    <n v="0"/>
    <n v="0"/>
    <n v="0"/>
    <n v="0"/>
    <n v="0"/>
    <n v="19925198"/>
    <n v="19925198"/>
    <n v="0"/>
    <n v="0"/>
    <s v="Prestar servicios profesionales de apoyo a la Subdirección de Minería en los aspectos técnicos asociados al cumplimiento de su misionalidad, así como en el acompañamiento en las actividades de planeación e investigación del sector minero."/>
    <n v="19925198"/>
    <m/>
    <m/>
    <n v="740000"/>
    <m/>
    <n v="7400000"/>
    <m/>
    <n v="7400000"/>
    <m/>
    <n v="4385198"/>
    <m/>
    <m/>
    <m/>
    <m/>
    <m/>
    <m/>
    <m/>
    <m/>
    <m/>
    <m/>
    <m/>
    <m/>
    <m/>
    <m/>
    <m/>
    <m/>
    <n v="19925198"/>
    <n v="19925198"/>
    <n v="0"/>
    <n v="0"/>
    <n v="21426"/>
    <d v="2026-01-11T00:00:00"/>
    <n v="19925198"/>
    <n v="0"/>
    <n v="20526"/>
    <d v="2026-01-26T00:00:00"/>
    <n v="19925198"/>
    <n v="0"/>
    <n v="0"/>
    <s v="LONDOÑO PALACINO CATALINA"/>
    <s v="CO1.PCCNTR.9037106"/>
    <n v="19925198"/>
    <m/>
    <m/>
    <m/>
    <m/>
    <m/>
    <m/>
    <n v="7646667"/>
    <n v="7646667"/>
    <m/>
    <n v="7400000"/>
    <n v="7400000"/>
    <m/>
    <m/>
    <m/>
    <m/>
    <m/>
    <m/>
    <m/>
    <m/>
    <m/>
    <m/>
    <m/>
    <m/>
    <m/>
    <m/>
    <m/>
    <m/>
    <m/>
    <m/>
    <m/>
    <m/>
    <m/>
    <m/>
    <m/>
    <m/>
    <n v="19925198"/>
    <n v="15046667"/>
    <n v="15046667"/>
    <n v="4878531"/>
    <n v="0"/>
    <x v="0"/>
  </r>
  <r>
    <x v="0"/>
    <x v="9"/>
    <s v="Fortalecimiento de la planeación para el desarrollo minero responsable con los territorios en el marco de la transición energética a nivel nacional"/>
    <s v="Minería"/>
    <s v="No"/>
    <s v="Sí"/>
    <n v="68"/>
    <s v="140-30"/>
    <s v="Ampliar el conocimiento de los encadenamientos productivos asociados a la actividad minera por parte de los actores del sector."/>
    <s v="Documentos de Investigación"/>
    <s v="Resultados análisis de información."/>
    <s v="N/A"/>
    <s v="C-2106-1900-12-40302A-2106002-02"/>
    <s v="Viáticos o gastos de desplazamiento"/>
    <s v="140-30 Viáticos o gastos de desplazamiento"/>
    <s v="N/A"/>
    <s v="N/A"/>
    <s v="N/A"/>
    <s v="N/A"/>
    <s v="N/A"/>
    <s v="N/A"/>
    <s v="Propios - 21 - Otros recursos de tesorería"/>
    <n v="19393571"/>
    <n v="19393571"/>
    <s v="No"/>
    <s v="N/A"/>
    <s v="Germán Tiberio Ojeda"/>
    <s v="Subdirector de Minería"/>
    <n v="6012220601"/>
    <s v="german.ojeda@upme.gov.co"/>
    <n v="0"/>
    <n v="0"/>
    <n v="0"/>
    <n v="0"/>
    <n v="1939357"/>
    <n v="1939357"/>
    <n v="1939357"/>
    <n v="1939357"/>
    <n v="1939357"/>
    <n v="1939357"/>
    <n v="1939357"/>
    <n v="1939357"/>
    <n v="1939357"/>
    <n v="1939357"/>
    <n v="1939357"/>
    <n v="1939357"/>
    <n v="1939357"/>
    <n v="1939357"/>
    <n v="1939357"/>
    <n v="1939357"/>
    <n v="1939358"/>
    <n v="1939358"/>
    <n v="1939357"/>
    <n v="1939357"/>
    <n v="19393571"/>
    <n v="19393571"/>
    <n v="0"/>
    <n v="0"/>
    <s v="Viáticos o gastos de desplazamiento"/>
    <m/>
    <m/>
    <m/>
    <m/>
    <n v="1939357"/>
    <n v="1939357"/>
    <n v="1939357"/>
    <n v="1939357"/>
    <n v="1939357"/>
    <n v="1939357"/>
    <n v="1939357"/>
    <n v="1939357"/>
    <n v="1939357"/>
    <n v="1939357"/>
    <n v="1939357"/>
    <n v="1939357"/>
    <n v="1939357"/>
    <n v="1939357"/>
    <n v="1939357"/>
    <n v="1939357"/>
    <n v="1939358"/>
    <n v="1939358"/>
    <n v="1939357"/>
    <n v="1939357"/>
    <m/>
    <m/>
    <n v="19393571"/>
    <n v="19393571"/>
    <n v="0"/>
    <n v="0"/>
    <n v="55326"/>
    <d v="2026-01-22T00:00:00"/>
    <n v="19393571"/>
    <n v="0"/>
    <m/>
    <m/>
    <n v="0"/>
    <n v="19393571"/>
    <n v="19393571"/>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No"/>
    <s v="Sí"/>
    <n v="68"/>
    <s v="140-31"/>
    <s v="Ampliar el conocimiento de los encadenamientos productivos asociados a la actividad minera por parte de los actores del sector."/>
    <s v="Documentos de Investigación"/>
    <s v="Resultados análisis de información."/>
    <s v="N/A"/>
    <s v="C-2106-1900-12-40302A-2106002-02"/>
    <s v="Viáticos o gastos de desplazamiento"/>
    <s v="140-31 Viáticos o gastos de desplazamiento"/>
    <s v="N/A"/>
    <s v="N/A"/>
    <s v="N/A"/>
    <s v="N/A"/>
    <s v="N/A"/>
    <s v="N/A"/>
    <s v="Propios - 20 - Ingresos corrientes"/>
    <n v="5606429"/>
    <n v="5606429"/>
    <s v="No"/>
    <s v="N/A"/>
    <s v="Germán Tiberio Ojeda"/>
    <s v="Subdirector de Minería"/>
    <n v="6012220601"/>
    <s v="german.ojeda@upme.gov.co"/>
    <n v="0"/>
    <n v="0"/>
    <n v="0"/>
    <n v="0"/>
    <n v="560642"/>
    <n v="560642"/>
    <n v="560642"/>
    <n v="560642"/>
    <n v="560642"/>
    <n v="560642"/>
    <n v="560642"/>
    <n v="560642"/>
    <n v="560642"/>
    <n v="560642"/>
    <n v="560642"/>
    <n v="560642"/>
    <n v="560642"/>
    <n v="560642"/>
    <n v="560642"/>
    <n v="560642"/>
    <n v="560651"/>
    <n v="560651"/>
    <n v="560642"/>
    <n v="560642"/>
    <n v="5606429"/>
    <n v="5606429"/>
    <n v="0"/>
    <n v="0"/>
    <s v="Viáticos o gastos de desplazamiento"/>
    <m/>
    <m/>
    <m/>
    <m/>
    <n v="560642"/>
    <n v="560642"/>
    <n v="560642"/>
    <n v="560642"/>
    <n v="560642"/>
    <n v="560642"/>
    <n v="560642"/>
    <n v="560642"/>
    <n v="560642"/>
    <n v="560642"/>
    <n v="560642"/>
    <n v="560642"/>
    <n v="560642"/>
    <n v="560642"/>
    <n v="560642"/>
    <n v="560642"/>
    <n v="560651"/>
    <n v="560651"/>
    <n v="560642"/>
    <n v="560642"/>
    <m/>
    <m/>
    <n v="5606429"/>
    <n v="5606429"/>
    <n v="0"/>
    <n v="0"/>
    <n v="55326"/>
    <d v="2026-01-22T00:00:00"/>
    <n v="5606429"/>
    <n v="0"/>
    <s v="55726,62426,62626,63426,63526,63626"/>
    <s v="10/02/2026,10/03/2026,17/03/2026"/>
    <n v="3079029"/>
    <n v="2527400"/>
    <n v="2527400"/>
    <s v="OJEDA PEDRAZA GERMAN TIBERIO,POVEDA FORERO GERMAN ANDRES,OBANDO VARGAS MARIA CAROLINA,POVEDA FORERO GERMAN ANDRES_x000a_"/>
    <m/>
    <m/>
    <m/>
    <m/>
    <n v="1530263"/>
    <n v="1530263"/>
    <n v="1530263"/>
    <n v="1548766"/>
    <n v="1548766"/>
    <n v="1548766"/>
    <m/>
    <n v="2672367"/>
    <n v="2672367"/>
    <m/>
    <m/>
    <m/>
    <m/>
    <m/>
    <m/>
    <m/>
    <m/>
    <m/>
    <m/>
    <m/>
    <m/>
    <m/>
    <m/>
    <m/>
    <m/>
    <m/>
    <m/>
    <m/>
    <m/>
    <m/>
    <m/>
    <m/>
    <m/>
    <n v="3079029"/>
    <n v="5751396"/>
    <n v="5751396"/>
    <n v="-2672367"/>
    <n v="0"/>
    <x v="0"/>
  </r>
  <r>
    <x v="0"/>
    <x v="9"/>
    <s v="Fortalecimiento de la planeación para el desarrollo minero responsable con los territorios en el marco de la transición energética a nivel nacional"/>
    <s v="Minería"/>
    <s v="Sí"/>
    <s v="Sí"/>
    <n v="68"/>
    <s v="140-32"/>
    <s v="Ampliar el conocimiento de los encadenamientos productivos asociados a la actividad minera por parte de los actores del sector."/>
    <s v="Documentos de Investigación"/>
    <s v="Resultados análisis de información."/>
    <n v="80111620"/>
    <s v="C-2106-1900-12-40302A-2106002-02"/>
    <s v="Prestación de servicios profesionales y/o de apoyo a la gestión"/>
    <s v="140-32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1 - Otros recursos de tesorería"/>
    <n v="21890389"/>
    <n v="21890389"/>
    <s v="No"/>
    <s v="N/A"/>
    <s v="Germán Tiberio Ojeda"/>
    <s v="Subdirector de Minería"/>
    <n v="6012220601"/>
    <s v="german.ojeda@upme.gov.co"/>
    <n v="21890389"/>
    <n v="0"/>
    <n v="0"/>
    <n v="0"/>
    <n v="0"/>
    <n v="3200000"/>
    <n v="0"/>
    <n v="3200000"/>
    <n v="0"/>
    <n v="3200000"/>
    <n v="0"/>
    <n v="3200000"/>
    <n v="0"/>
    <n v="3200000"/>
    <n v="0"/>
    <n v="3200000"/>
    <n v="0"/>
    <n v="2690389"/>
    <n v="0"/>
    <n v="0"/>
    <n v="0"/>
    <n v="0"/>
    <n v="0"/>
    <n v="0"/>
    <n v="21890389"/>
    <n v="21890389"/>
    <n v="0"/>
    <n v="0"/>
    <s v="Prestar servicios profesionales de apoyo a la Subdirección de Minería para la gestión de datos y el desarrollo de modelos asociados al sector minero, desde un enfoque técnico y de investigación que contribuya al análisis y fortalecimiento del sector"/>
    <n v="21890389"/>
    <m/>
    <m/>
    <m/>
    <m/>
    <n v="3200000"/>
    <m/>
    <n v="3200000"/>
    <m/>
    <n v="3200000"/>
    <m/>
    <n v="3200000"/>
    <m/>
    <n v="3200000"/>
    <m/>
    <n v="3200000"/>
    <m/>
    <n v="2690389"/>
    <m/>
    <m/>
    <m/>
    <m/>
    <m/>
    <m/>
    <m/>
    <m/>
    <n v="21890389"/>
    <n v="21890389"/>
    <n v="0"/>
    <n v="0"/>
    <n v="35626"/>
    <d v="2026-01-15T00:00:00"/>
    <n v="21890389"/>
    <n v="0"/>
    <n v="28826"/>
    <d v="2026-01-28T00:00:00"/>
    <n v="21890389"/>
    <n v="0"/>
    <n v="0"/>
    <s v="SEPULVEDA AMADO JUAN SEBASTIAN"/>
    <s v="CO1.PCCNTR.9129820"/>
    <n v="21890389"/>
    <m/>
    <m/>
    <m/>
    <n v="213332"/>
    <n v="213332"/>
    <m/>
    <n v="3200000"/>
    <n v="3200000"/>
    <m/>
    <n v="3200000"/>
    <n v="3200000"/>
    <m/>
    <m/>
    <m/>
    <m/>
    <m/>
    <m/>
    <m/>
    <m/>
    <m/>
    <m/>
    <m/>
    <m/>
    <m/>
    <m/>
    <m/>
    <m/>
    <m/>
    <m/>
    <m/>
    <m/>
    <m/>
    <m/>
    <m/>
    <m/>
    <n v="21890389"/>
    <n v="6613332"/>
    <n v="6613332"/>
    <n v="15277057"/>
    <n v="0"/>
    <x v="0"/>
  </r>
  <r>
    <x v="0"/>
    <x v="9"/>
    <s v="Fortalecimiento de la planeación para el desarrollo minero responsable con los territorios en el marco de la transición energética a nivel nacional"/>
    <s v="Minería"/>
    <s v="Sí"/>
    <s v="Sí"/>
    <n v="68"/>
    <s v="140-33"/>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33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50349187"/>
    <n v="50349187"/>
    <s v="No"/>
    <s v="N/A"/>
    <s v="Germán Tiberio Ojeda"/>
    <s v="Subdirector de Minería"/>
    <n v="6012220601"/>
    <s v="german.ojeda@upme.gov.co"/>
    <n v="50349187"/>
    <n v="0"/>
    <n v="0"/>
    <n v="0"/>
    <n v="0"/>
    <n v="0"/>
    <n v="0"/>
    <n v="0"/>
    <n v="0"/>
    <n v="0"/>
    <n v="0"/>
    <n v="0"/>
    <n v="0"/>
    <n v="4524187"/>
    <n v="0"/>
    <n v="11000000"/>
    <n v="0"/>
    <n v="11000000"/>
    <n v="0"/>
    <n v="11000000"/>
    <n v="0"/>
    <n v="11000000"/>
    <n v="0"/>
    <n v="1825000"/>
    <n v="50349187"/>
    <n v="50349187"/>
    <n v="0"/>
    <n v="0"/>
    <s v="Prestar servicios profesionales de apoyo a la Subdirección de Minería en los asuntos relacionados con el cumplimiento de su misionalidad, así como en el acompañamiento en las actividades de divulgación, planeación e investigación del sector minero."/>
    <n v="50349187"/>
    <m/>
    <m/>
    <m/>
    <m/>
    <m/>
    <m/>
    <m/>
    <m/>
    <m/>
    <m/>
    <m/>
    <m/>
    <n v="4524187"/>
    <m/>
    <n v="11000000"/>
    <m/>
    <n v="11000000"/>
    <m/>
    <n v="11000000"/>
    <m/>
    <n v="11000000"/>
    <m/>
    <n v="1825000"/>
    <m/>
    <m/>
    <n v="50349187"/>
    <n v="50349187"/>
    <n v="0"/>
    <n v="0"/>
    <n v="4626"/>
    <d v="2026-01-05T00:00:00"/>
    <n v="50349187"/>
    <n v="0"/>
    <n v="13226"/>
    <d v="2026-01-20T00:00:00"/>
    <n v="50349187"/>
    <n v="0"/>
    <n v="0"/>
    <s v="HERNANDEZ MARIN CRISTHIAN OCTAVIO"/>
    <s v="CO1.PCCNTR.8960645"/>
    <n v="50349187"/>
    <m/>
    <m/>
    <m/>
    <m/>
    <m/>
    <m/>
    <m/>
    <m/>
    <m/>
    <m/>
    <m/>
    <m/>
    <m/>
    <m/>
    <m/>
    <m/>
    <m/>
    <m/>
    <m/>
    <m/>
    <m/>
    <m/>
    <m/>
    <m/>
    <m/>
    <m/>
    <m/>
    <m/>
    <m/>
    <m/>
    <m/>
    <m/>
    <m/>
    <m/>
    <m/>
    <n v="50349187"/>
    <n v="0"/>
    <n v="0"/>
    <n v="50349187"/>
    <n v="0"/>
    <x v="0"/>
  </r>
  <r>
    <x v="0"/>
    <x v="9"/>
    <s v="Fortalecimiento de la planeación para el desarrollo minero responsable con los territorios en el marco de la transición energética a nivel nacional"/>
    <s v="Minería"/>
    <s v="Sí"/>
    <s v="Sí"/>
    <n v="68"/>
    <s v="140-34"/>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34 Prestar servicios profesionales para apoyar a la Subdirección de Minería en asuntos administrativos y financieros, así como en la elaboración y apoyo a documentos técnicos y de investigación de la Subdirección."/>
    <s v="Enero "/>
    <s v="Enero "/>
    <s v="Enero "/>
    <n v="11"/>
    <s v="Meses"/>
    <s v="Contratación directa - Prestación de servicios profesionales "/>
    <s v="Propios - 20 - Ingresos corrientes"/>
    <n v="38400000"/>
    <n v="38400000"/>
    <s v="No"/>
    <s v="N/A"/>
    <s v="Germán Tiberio Ojeda"/>
    <s v="Subdirector de Minería"/>
    <n v="6012220601"/>
    <s v="german.ojeda@upme.gov.co"/>
    <n v="38400000"/>
    <n v="0"/>
    <n v="0"/>
    <n v="0"/>
    <n v="0"/>
    <n v="4500000"/>
    <n v="0"/>
    <n v="5000000"/>
    <n v="0"/>
    <n v="5000000"/>
    <n v="0"/>
    <n v="5000000"/>
    <n v="0"/>
    <n v="5000000"/>
    <n v="0"/>
    <n v="5000000"/>
    <n v="0"/>
    <n v="5000000"/>
    <n v="0"/>
    <n v="3900000"/>
    <n v="0"/>
    <n v="0"/>
    <n v="0"/>
    <n v="0"/>
    <n v="38400000"/>
    <n v="38400000"/>
    <n v="0"/>
    <n v="0"/>
    <s v="Prestar servicios profesionales para apoyar a la Subdirección de Minería en asuntos administrativos y financieros, así como en la elaboración y apoyo a documentos técnicos y de investigación de la Subdirección."/>
    <n v="38400000"/>
    <m/>
    <m/>
    <m/>
    <m/>
    <n v="4500000"/>
    <m/>
    <n v="5000000"/>
    <m/>
    <n v="5000000"/>
    <m/>
    <n v="5000000"/>
    <m/>
    <n v="5000000"/>
    <m/>
    <n v="5000000"/>
    <m/>
    <n v="5000000"/>
    <m/>
    <n v="3900000"/>
    <m/>
    <m/>
    <m/>
    <m/>
    <m/>
    <m/>
    <n v="38400000"/>
    <n v="38400000"/>
    <n v="0"/>
    <n v="0"/>
    <n v="39526"/>
    <d v="2026-01-15T00:00:00"/>
    <n v="38400000"/>
    <n v="0"/>
    <n v="35526"/>
    <d v="2026-01-30T00:00:00"/>
    <n v="38400000"/>
    <n v="0"/>
    <n v="0"/>
    <s v="ARRIETA MARTINEZ YISSETH VIVIANA"/>
    <s v="CO1.PCCNTR.9176351"/>
    <n v="38400000"/>
    <m/>
    <m/>
    <m/>
    <m/>
    <m/>
    <m/>
    <n v="4833333"/>
    <n v="4833333"/>
    <m/>
    <n v="5000000"/>
    <n v="5000000"/>
    <m/>
    <m/>
    <m/>
    <m/>
    <m/>
    <m/>
    <m/>
    <m/>
    <m/>
    <m/>
    <m/>
    <m/>
    <m/>
    <m/>
    <m/>
    <m/>
    <m/>
    <m/>
    <m/>
    <m/>
    <m/>
    <m/>
    <m/>
    <m/>
    <n v="38400000"/>
    <n v="9833333"/>
    <n v="9833333"/>
    <n v="28566667"/>
    <n v="0"/>
    <x v="0"/>
  </r>
  <r>
    <x v="0"/>
    <x v="9"/>
    <s v="Fortalecimiento de la planeación para el desarrollo minero responsable con los territorios en el marco de la transición energética a nivel nacional"/>
    <s v="Minería"/>
    <s v="Sí"/>
    <s v="Sí"/>
    <n v="17"/>
    <s v="140-35"/>
    <s v="Ampliar el conocimiento de los encadenamientos productivos asociados a la actividad minera por parte de los actores del sector."/>
    <s v="Documentos de Investigación"/>
    <s v="Documento con el diseño metodológico."/>
    <n v="81121503"/>
    <s v="C-2106-1900-12-40302A-2106002-02"/>
    <s v="Estudios"/>
    <s v="140-35  Elaborar los balances oferta utilización de productos mineros y la cuenta de producción y generación del ingreso en versión provisional para la operación estadística cuenta satélite de minería - CSM, en el marco del modelo genérico del proceso est"/>
    <s v="Enero "/>
    <s v="Enero "/>
    <s v="Enero "/>
    <n v="5"/>
    <s v="Meses"/>
    <s v="Contratación directa - Contratos interadministrativos"/>
    <s v="Propios - 20 - Ingresos corrientes"/>
    <n v="7250000"/>
    <n v="7250000"/>
    <s v="No"/>
    <s v="N/A"/>
    <s v="Germán Tiberio Ojeda"/>
    <s v="Subdirector de Minería"/>
    <n v="6012220601"/>
    <s v="german.ojeda@upme.gov.co"/>
    <n v="0"/>
    <n v="0"/>
    <n v="0"/>
    <n v="0"/>
    <n v="0"/>
    <n v="0"/>
    <n v="0"/>
    <n v="0"/>
    <n v="0"/>
    <n v="0"/>
    <n v="0"/>
    <n v="0"/>
    <n v="0"/>
    <n v="0"/>
    <n v="0"/>
    <n v="0"/>
    <n v="0"/>
    <n v="0"/>
    <n v="0"/>
    <n v="0"/>
    <n v="0"/>
    <n v="0"/>
    <n v="7250000"/>
    <n v="7250000"/>
    <n v="7250000"/>
    <n v="7250000"/>
    <n v="0"/>
    <n v="0"/>
    <s v=" Elaborar los balances oferta utilización de productos mineros y la cuenta de producción y generación del ingreso en versión provisional para la operación estadística cuenta satélite de minería - CSM, en el marco del modelo genérico del proceso estadístic"/>
    <m/>
    <m/>
    <m/>
    <m/>
    <m/>
    <m/>
    <m/>
    <m/>
    <m/>
    <m/>
    <m/>
    <m/>
    <m/>
    <m/>
    <m/>
    <m/>
    <m/>
    <m/>
    <m/>
    <m/>
    <m/>
    <m/>
    <n v="7250000"/>
    <n v="7250000"/>
    <m/>
    <m/>
    <n v="7250000"/>
    <n v="7250000"/>
    <n v="0"/>
    <n v="0"/>
    <m/>
    <m/>
    <m/>
    <n v="7250000"/>
    <m/>
    <m/>
    <n v="0"/>
    <n v="725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36"/>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36 Prestar servicios profesionales para apoyar a la Subdirección de Minería mediante la generación de análisis técnicos y sociales que contribuyan a la elaboración de documentos de investigación y variables interseccionales."/>
    <s v="Enero "/>
    <s v="Enero "/>
    <s v="Enero "/>
    <n v="10"/>
    <s v="Meses"/>
    <s v="Contratación directa - Prestación de servicios profesionales "/>
    <s v="Propios - 20 - Ingresos corrientes"/>
    <n v="9000000"/>
    <n v="9000000"/>
    <s v="No"/>
    <s v="N/A"/>
    <s v="Germán Tiberio Ojeda"/>
    <s v="Subdirector de Minería"/>
    <n v="6012220601"/>
    <s v="german.ojeda@upme.gov.co"/>
    <n v="9000000"/>
    <n v="0"/>
    <n v="0"/>
    <n v="0"/>
    <n v="0"/>
    <n v="0"/>
    <n v="0"/>
    <n v="0"/>
    <n v="0"/>
    <n v="0"/>
    <n v="0"/>
    <n v="0"/>
    <n v="0"/>
    <n v="0"/>
    <n v="0"/>
    <n v="0"/>
    <n v="0"/>
    <n v="0"/>
    <n v="0"/>
    <n v="2813333"/>
    <n v="0"/>
    <n v="3200000"/>
    <n v="0"/>
    <n v="2986667"/>
    <n v="9000000"/>
    <n v="9000000"/>
    <n v="0"/>
    <n v="0"/>
    <s v="Prestar servicios profesionales para apoyar a la Subdirección de Minería mediante la generación de análisis técnicos y sociales que contribuyan a la elaboración de documentos de investigación y variables interseccionales."/>
    <n v="9000000"/>
    <m/>
    <m/>
    <m/>
    <m/>
    <m/>
    <m/>
    <m/>
    <m/>
    <m/>
    <m/>
    <m/>
    <m/>
    <m/>
    <m/>
    <m/>
    <m/>
    <m/>
    <m/>
    <n v="2813333"/>
    <m/>
    <n v="3200000"/>
    <m/>
    <n v="2986667"/>
    <m/>
    <m/>
    <n v="9000000"/>
    <n v="9000000"/>
    <n v="0"/>
    <n v="0"/>
    <n v="47026"/>
    <d v="2026-01-19T00:00:00"/>
    <n v="9000000"/>
    <n v="0"/>
    <n v="23626"/>
    <d v="2026-01-27T00:00:00"/>
    <n v="9000000"/>
    <n v="0"/>
    <n v="0"/>
    <s v="ROJAS ROJAS ALVARO ANDRES"/>
    <s v="CO1.PCCNTR.9085139"/>
    <n v="9000000"/>
    <m/>
    <m/>
    <m/>
    <m/>
    <m/>
    <m/>
    <m/>
    <m/>
    <m/>
    <n v="3200000"/>
    <n v="3200000"/>
    <m/>
    <m/>
    <m/>
    <m/>
    <m/>
    <m/>
    <m/>
    <m/>
    <m/>
    <m/>
    <m/>
    <m/>
    <m/>
    <m/>
    <m/>
    <m/>
    <m/>
    <m/>
    <m/>
    <m/>
    <m/>
    <m/>
    <m/>
    <m/>
    <n v="9000000"/>
    <n v="3200000"/>
    <n v="3200000"/>
    <n v="5800000"/>
    <n v="0"/>
    <x v="0"/>
  </r>
  <r>
    <x v="0"/>
    <x v="9"/>
    <s v="Fortalecimiento de la planeación para el desarrollo minero responsable con los territorios en el marco de la transición energética a nivel nacional"/>
    <s v="Minería"/>
    <s v="Sí"/>
    <s v="Sí"/>
    <n v="68"/>
    <s v="140-37"/>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37 Prestar servicios profesionales para apoyar a la Subdirección de Minería en la realización de análisis económicos, de mercado, prospectivos y de encadenamientos productivos, orientados a la elaboración, seguimiento y evaluación de los instrumentos "/>
    <s v="Enero "/>
    <s v="Enero "/>
    <s v="Enero "/>
    <n v="11"/>
    <s v="Meses"/>
    <s v="Contratación directa - Prestación de servicios profesionales "/>
    <s v="Propios - 20 - Ingresos corrientes"/>
    <n v="41840424"/>
    <n v="41840424"/>
    <s v="No"/>
    <s v="N/A"/>
    <s v="Germán Tiberio Ojeda"/>
    <s v="Subdirector de Minería"/>
    <n v="6012220601"/>
    <s v="german.ojeda@upme.gov.co"/>
    <n v="41840424"/>
    <n v="0"/>
    <n v="0"/>
    <n v="750000"/>
    <n v="0"/>
    <n v="7500000"/>
    <n v="0"/>
    <n v="7500000"/>
    <n v="0"/>
    <n v="7500000"/>
    <n v="0"/>
    <n v="7500000"/>
    <n v="0"/>
    <n v="7500000"/>
    <n v="0"/>
    <n v="3590424"/>
    <n v="0"/>
    <n v="0"/>
    <n v="0"/>
    <n v="0"/>
    <n v="0"/>
    <n v="0"/>
    <n v="0"/>
    <n v="0"/>
    <n v="41840424"/>
    <n v="41840424"/>
    <n v="0"/>
    <n v="0"/>
    <s v="Prestar servicios profesionales para apoyar a la Subdirección de Minería en la realización de análisis económicos, de mercado, prospectivos y de encadenamientos productivos, orientados a la elaboración, seguimiento y evaluación de los instrumentos de plan"/>
    <n v="41840424"/>
    <m/>
    <m/>
    <n v="750000"/>
    <m/>
    <n v="7500000"/>
    <m/>
    <n v="7500000"/>
    <m/>
    <n v="7500000"/>
    <m/>
    <n v="7500000"/>
    <m/>
    <n v="7500000"/>
    <m/>
    <n v="3590424"/>
    <m/>
    <m/>
    <m/>
    <m/>
    <m/>
    <m/>
    <m/>
    <m/>
    <m/>
    <m/>
    <n v="41840424"/>
    <n v="41840424"/>
    <n v="0"/>
    <n v="0"/>
    <n v="24726"/>
    <d v="2026-01-13T00:00:00"/>
    <n v="41840424"/>
    <n v="0"/>
    <n v="21326"/>
    <d v="2026-01-26T00:00:00"/>
    <n v="41840424"/>
    <n v="0"/>
    <n v="0"/>
    <s v="ACHURY RODRIGUEZ CAMILO ENRIQUE"/>
    <s v="CO1.PCCNTR.9060975"/>
    <n v="41840424"/>
    <m/>
    <m/>
    <m/>
    <m/>
    <m/>
    <m/>
    <n v="8500000"/>
    <n v="8500000"/>
    <m/>
    <n v="7500000"/>
    <n v="7500000"/>
    <m/>
    <m/>
    <m/>
    <m/>
    <m/>
    <m/>
    <m/>
    <m/>
    <m/>
    <m/>
    <m/>
    <m/>
    <m/>
    <m/>
    <m/>
    <m/>
    <m/>
    <m/>
    <m/>
    <m/>
    <m/>
    <m/>
    <m/>
    <m/>
    <n v="41840424"/>
    <n v="16000000"/>
    <n v="16000000"/>
    <n v="25840424"/>
    <n v="0"/>
    <x v="0"/>
  </r>
  <r>
    <x v="0"/>
    <x v="9"/>
    <s v="Fortalecimiento de la planeación para el desarrollo minero responsable con los territorios en el marco de la transición energética a nivel nacional"/>
    <s v="Minería"/>
    <s v="Sí"/>
    <s v="Sí"/>
    <n v="68"/>
    <s v="140-38"/>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38 Prestar servicios profesionales para brindar apoyo en la Subdirección de Minería, para el análisis de datos técnicos para documentos de investigación que contribuyan a los estudios y análisis de datos del sector minero colombiano."/>
    <s v="Enero "/>
    <s v="Enero "/>
    <s v="Enero "/>
    <n v="11"/>
    <s v="Meses"/>
    <s v="Contratación directa - Prestación de servicios profesionales "/>
    <s v="Propios - 20 - Ingresos corrientes"/>
    <n v="66000000"/>
    <n v="66000000"/>
    <s v="No"/>
    <s v="N/A"/>
    <s v="Germán Tiberio Ojeda"/>
    <s v="Subdirector de Minería"/>
    <n v="6012220601"/>
    <s v="german.ojeda@upme.gov.co"/>
    <n v="66000000"/>
    <n v="0"/>
    <n v="0"/>
    <n v="0"/>
    <n v="0"/>
    <n v="6000000"/>
    <n v="0"/>
    <n v="6000000"/>
    <n v="0"/>
    <n v="6000000"/>
    <n v="0"/>
    <n v="6000000"/>
    <n v="0"/>
    <n v="6000000"/>
    <n v="0"/>
    <n v="6000000"/>
    <n v="0"/>
    <n v="6000000"/>
    <n v="0"/>
    <n v="6000000"/>
    <n v="0"/>
    <n v="6000000"/>
    <n v="0"/>
    <n v="12000000"/>
    <n v="66000000"/>
    <n v="66000000"/>
    <n v="0"/>
    <n v="0"/>
    <s v="Prestar servicios profesionales para brindar apoyo en la Subdirección de Minería, para el análisis de datos técnicos para documentos de investigación que contribuyan a los estudios y análisis de datos del sector minero colombiano."/>
    <n v="66000000"/>
    <m/>
    <m/>
    <m/>
    <m/>
    <n v="6000000"/>
    <m/>
    <n v="6000000"/>
    <m/>
    <n v="6000000"/>
    <m/>
    <n v="6000000"/>
    <m/>
    <n v="6000000"/>
    <m/>
    <n v="6000000"/>
    <m/>
    <n v="6000000"/>
    <m/>
    <n v="6000000"/>
    <m/>
    <n v="6000000"/>
    <m/>
    <n v="12000000"/>
    <m/>
    <m/>
    <n v="66000000"/>
    <n v="66000000"/>
    <n v="0"/>
    <n v="0"/>
    <n v="18826"/>
    <d v="2026-01-11T00:00:00"/>
    <n v="66000000"/>
    <n v="0"/>
    <n v="28626"/>
    <d v="2026-01-28T00:00:00"/>
    <n v="66000000"/>
    <n v="0"/>
    <n v="0"/>
    <s v="CACERES REMOLINA LUDWING FERNEY"/>
    <s v="CO1.PCCNTR. 9132553"/>
    <n v="66000000"/>
    <m/>
    <m/>
    <m/>
    <m/>
    <m/>
    <m/>
    <n v="6400000"/>
    <n v="6400000"/>
    <m/>
    <n v="6000000"/>
    <n v="6000000"/>
    <m/>
    <m/>
    <m/>
    <m/>
    <m/>
    <m/>
    <m/>
    <m/>
    <m/>
    <m/>
    <m/>
    <m/>
    <m/>
    <m/>
    <m/>
    <m/>
    <m/>
    <m/>
    <m/>
    <m/>
    <m/>
    <m/>
    <m/>
    <m/>
    <n v="66000000"/>
    <n v="12400000"/>
    <n v="12400000"/>
    <n v="53600000"/>
    <n v="0"/>
    <x v="0"/>
  </r>
  <r>
    <x v="0"/>
    <x v="9"/>
    <s v="Fortalecimiento de la planeación para el desarrollo minero responsable con los territorios en el marco de la transición energética a nivel nacional"/>
    <s v="Minería"/>
    <s v="Sí"/>
    <s v="Sí"/>
    <n v="17"/>
    <s v="140-39"/>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39 Prestar servicios profesionales para apoyar a la Subdirección de Minería en el análisis y la gestión de datos que contribuyan a la formulación de los instrumentos de planeación, variables interseccionales para la elaboración de documentos de invest"/>
    <s v="Enero "/>
    <s v="Enero "/>
    <s v="Enero "/>
    <n v="10"/>
    <s v="Meses"/>
    <s v="Contratación directa - Prestación de servicios profesionales "/>
    <s v="Propios - 20 - Ingresos corrientes"/>
    <n v="0"/>
    <n v="0"/>
    <s v="No"/>
    <s v="N/A"/>
    <s v="Germán Tiberio Ojeda"/>
    <s v="Subdirector de Minería"/>
    <n v="6012220601"/>
    <s v="german.ojeda@upme.gov.co"/>
    <n v="0"/>
    <n v="0"/>
    <n v="0"/>
    <n v="0"/>
    <n v="0"/>
    <n v="0"/>
    <n v="0"/>
    <n v="0"/>
    <n v="0"/>
    <n v="0"/>
    <n v="0"/>
    <n v="0"/>
    <n v="0"/>
    <n v="0"/>
    <n v="0"/>
    <n v="0"/>
    <n v="0"/>
    <n v="0"/>
    <n v="0"/>
    <n v="0"/>
    <n v="0"/>
    <n v="0"/>
    <n v="54000000"/>
    <n v="54000000"/>
    <n v="54000000"/>
    <n v="54000000"/>
    <n v="-54000000"/>
    <n v="-54000000"/>
    <s v="Prestar servicios profesionales para apoyar a la Subdirección de Minería en el análisis y la gestión de datos que contribuyan a la formulación de los instrumentos de planeación, variables interseccionales para la elaboración de documentos de investigación"/>
    <m/>
    <m/>
    <m/>
    <m/>
    <m/>
    <m/>
    <m/>
    <m/>
    <m/>
    <m/>
    <m/>
    <m/>
    <m/>
    <m/>
    <m/>
    <m/>
    <m/>
    <m/>
    <m/>
    <m/>
    <m/>
    <m/>
    <n v="0"/>
    <n v="0"/>
    <m/>
    <m/>
    <n v="0"/>
    <n v="0"/>
    <n v="0"/>
    <n v="0"/>
    <n v="56726"/>
    <d v="2026-01-22T00:00:00"/>
    <m/>
    <n v="0"/>
    <m/>
    <m/>
    <n v="0"/>
    <n v="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40"/>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4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6009896"/>
    <n v="6009896"/>
    <s v="No"/>
    <s v="N/A"/>
    <s v="Germán Tiberio Ojeda"/>
    <s v="Subdirector de Minería"/>
    <n v="6012220601"/>
    <s v="german.ojeda@upme.gov.co"/>
    <n v="0"/>
    <n v="0"/>
    <n v="6009896"/>
    <n v="0"/>
    <n v="0"/>
    <n v="0"/>
    <n v="0"/>
    <n v="0"/>
    <n v="0"/>
    <n v="0"/>
    <n v="0"/>
    <n v="0"/>
    <n v="0"/>
    <n v="5558398"/>
    <n v="0"/>
    <n v="451498"/>
    <n v="0"/>
    <n v="0"/>
    <n v="0"/>
    <n v="0"/>
    <n v="0"/>
    <n v="0"/>
    <n v="0"/>
    <n v="0"/>
    <n v="6009896"/>
    <n v="6009896"/>
    <n v="0"/>
    <n v="0"/>
    <s v="Prestar servicios profesionales orientados al fortalecimiento de la Dimensión de Control Interno mediante la ejecución del Plan Anual de Auditorías Internas Independientes, con énfasis en la evaluación de la gestión administrativa de la UPME."/>
    <m/>
    <m/>
    <n v="6009896"/>
    <m/>
    <m/>
    <m/>
    <m/>
    <m/>
    <m/>
    <m/>
    <m/>
    <m/>
    <m/>
    <n v="5558398"/>
    <m/>
    <n v="451498"/>
    <m/>
    <m/>
    <m/>
    <m/>
    <m/>
    <m/>
    <m/>
    <m/>
    <m/>
    <m/>
    <n v="6009896"/>
    <n v="6009896"/>
    <n v="0"/>
    <n v="0"/>
    <n v="64026"/>
    <d v="2026-01-23T00:00:00"/>
    <n v="6009896"/>
    <n v="0"/>
    <n v="59726"/>
    <d v="2026-02-12T00:00:00"/>
    <n v="6009896"/>
    <n v="0"/>
    <n v="0"/>
    <s v="NUÑEZ GANTIVA NATALIA ELIANA"/>
    <s v="CO1.PCCNTR.9306722"/>
    <m/>
    <m/>
    <m/>
    <n v="6009896"/>
    <m/>
    <m/>
    <m/>
    <m/>
    <m/>
    <m/>
    <m/>
    <m/>
    <m/>
    <m/>
    <m/>
    <m/>
    <m/>
    <m/>
    <m/>
    <m/>
    <m/>
    <m/>
    <m/>
    <m/>
    <m/>
    <m/>
    <m/>
    <m/>
    <m/>
    <m/>
    <m/>
    <m/>
    <m/>
    <m/>
    <m/>
    <m/>
    <n v="6009896"/>
    <n v="0"/>
    <n v="0"/>
    <n v="6009896"/>
    <n v="0"/>
    <x v="0"/>
  </r>
  <r>
    <x v="0"/>
    <x v="9"/>
    <s v="Fortalecimiento de la planeación para el desarrollo minero responsable con los territorios en el marco de la transición energética a nivel nacional"/>
    <s v="Minería"/>
    <s v="Sí"/>
    <s v="Sí"/>
    <n v="68"/>
    <s v="140-41"/>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41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6009896"/>
    <n v="6009896"/>
    <s v="No"/>
    <s v="N/A"/>
    <s v="Germán Tiberio Ojeda"/>
    <s v="Subdirector de Minería"/>
    <n v="6012220601"/>
    <s v="german.ojeda@upme.gov.co"/>
    <n v="0"/>
    <n v="0"/>
    <n v="0"/>
    <n v="0"/>
    <n v="0"/>
    <n v="0"/>
    <n v="0"/>
    <n v="0"/>
    <n v="0"/>
    <n v="0"/>
    <n v="0"/>
    <n v="0"/>
    <n v="6009896"/>
    <n v="0"/>
    <n v="0"/>
    <n v="0"/>
    <n v="0"/>
    <n v="0"/>
    <n v="0"/>
    <n v="2000000"/>
    <n v="0"/>
    <n v="2000000"/>
    <n v="0"/>
    <n v="2009896"/>
    <n v="6009896"/>
    <n v="6009896"/>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009896"/>
    <m/>
    <m/>
    <m/>
    <m/>
    <m/>
    <m/>
    <n v="2000000"/>
    <m/>
    <n v="2000000"/>
    <m/>
    <n v="2009896"/>
    <m/>
    <m/>
    <n v="6009896"/>
    <n v="6009896"/>
    <n v="0"/>
    <n v="0"/>
    <m/>
    <m/>
    <m/>
    <n v="6009896"/>
    <m/>
    <m/>
    <n v="0"/>
    <n v="6009896"/>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42"/>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42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6009897"/>
    <n v="6009897"/>
    <s v="No"/>
    <s v="N/A"/>
    <s v="Germán Tiberio Ojeda"/>
    <s v="Subdirector de Minería"/>
    <n v="6012220601"/>
    <s v="german.ojeda@upme.gov.co"/>
    <n v="0"/>
    <n v="0"/>
    <n v="0"/>
    <n v="0"/>
    <n v="0"/>
    <n v="0"/>
    <n v="0"/>
    <n v="0"/>
    <n v="0"/>
    <n v="0"/>
    <n v="0"/>
    <n v="0"/>
    <n v="6009897"/>
    <n v="0"/>
    <n v="0"/>
    <n v="0"/>
    <n v="0"/>
    <n v="0"/>
    <n v="0"/>
    <n v="2000000"/>
    <n v="0"/>
    <n v="2000000"/>
    <n v="0"/>
    <n v="2009897"/>
    <n v="6009897"/>
    <n v="6009897"/>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009897"/>
    <m/>
    <m/>
    <m/>
    <m/>
    <m/>
    <m/>
    <n v="2000000"/>
    <m/>
    <n v="2000000"/>
    <m/>
    <n v="2009897"/>
    <m/>
    <m/>
    <n v="6009897"/>
    <n v="6009897"/>
    <n v="0"/>
    <n v="0"/>
    <m/>
    <m/>
    <m/>
    <n v="6009897"/>
    <m/>
    <m/>
    <n v="0"/>
    <n v="6009897"/>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1"/>
    <s v="140-43"/>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43 Prestar servicios profesionales para la proyección y/o revisión jurídica de los documentos de tipo legal producto de las actuaciones administrativas de competencia de la UPME, y lo que de ello se derive, en el marco de la gestión institucional de l"/>
    <s v="Enero "/>
    <s v="Enero "/>
    <s v="Enero "/>
    <n v="11"/>
    <s v="Meses"/>
    <s v="Contratación directa - Prestación de servicios profesionales "/>
    <s v="Propios - 20 - Ingresos corrientes"/>
    <n v="47850000"/>
    <n v="47850000"/>
    <s v="No"/>
    <s v="N/A"/>
    <s v="Germán Tiberio Ojeda"/>
    <s v="Subdirector de Minería"/>
    <n v="6012220601"/>
    <s v="german.ojeda@upme.gov.co"/>
    <n v="47850000"/>
    <n v="0"/>
    <n v="0"/>
    <n v="0"/>
    <n v="0"/>
    <n v="8700000"/>
    <n v="0"/>
    <n v="8700000"/>
    <n v="0"/>
    <n v="8700000"/>
    <n v="0"/>
    <n v="8700000"/>
    <n v="0"/>
    <n v="8700000"/>
    <n v="0"/>
    <n v="4350000"/>
    <n v="0"/>
    <n v="0"/>
    <n v="0"/>
    <n v="0"/>
    <n v="0"/>
    <n v="0"/>
    <n v="0"/>
    <n v="0"/>
    <n v="47850000"/>
    <n v="47850000"/>
    <n v="0"/>
    <n v="0"/>
    <s v="Prestar servicios profesionales para la proyección y/o revisión jurídica de los documentos de tipo legal producto de las actuaciones administrativas de competencia de la UPME, y lo que de ello se derive, en el marco de la gestión institucional de la Entid"/>
    <n v="47850000"/>
    <m/>
    <m/>
    <m/>
    <m/>
    <n v="8700000"/>
    <m/>
    <n v="8700000"/>
    <m/>
    <n v="8700000"/>
    <m/>
    <n v="8700000"/>
    <m/>
    <n v="8700000"/>
    <m/>
    <n v="4350000"/>
    <m/>
    <m/>
    <m/>
    <m/>
    <m/>
    <m/>
    <m/>
    <m/>
    <m/>
    <m/>
    <n v="47850000"/>
    <n v="47850000"/>
    <n v="0"/>
    <n v="0"/>
    <n v="14026"/>
    <d v="2026-01-09T00:00:00"/>
    <n v="47850000"/>
    <n v="0"/>
    <n v="24926"/>
    <d v="2026-01-28T00:00:00"/>
    <n v="47850000"/>
    <n v="0"/>
    <n v="0"/>
    <s v="MONROY CADAVID HECTOR GUSTAVO"/>
    <s v="CO1.PCCNTR.9044345"/>
    <n v="47850000"/>
    <m/>
    <m/>
    <m/>
    <n v="580000"/>
    <n v="580000"/>
    <m/>
    <n v="8700000"/>
    <n v="8700000"/>
    <m/>
    <n v="8700000"/>
    <n v="8700000"/>
    <m/>
    <m/>
    <m/>
    <m/>
    <m/>
    <m/>
    <m/>
    <m/>
    <m/>
    <m/>
    <m/>
    <m/>
    <m/>
    <m/>
    <m/>
    <m/>
    <m/>
    <m/>
    <m/>
    <m/>
    <m/>
    <m/>
    <m/>
    <m/>
    <n v="47850000"/>
    <n v="17980000"/>
    <n v="17980000"/>
    <n v="29870000"/>
    <n v="0"/>
    <x v="0"/>
  </r>
  <r>
    <x v="0"/>
    <x v="9"/>
    <s v="Fortalecimiento de la planeación para el desarrollo minero responsable con los territorios en el marco de la transición energética a nivel nacional"/>
    <s v="Minería"/>
    <s v="Sí"/>
    <s v="Sí"/>
    <n v="2"/>
    <s v="140-44"/>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44  Prestar servicios ​profesionales en asuntos jurídicos relacionados con los procesos ​y procedimientos de competencia de la Subdirección de Minería, en el marco de la gestión institucional de la Entidad."/>
    <s v="Enero "/>
    <s v="Enero "/>
    <s v="Enero "/>
    <n v="11"/>
    <s v="Meses"/>
    <s v="Contratación directa - Prestación de servicios profesionales "/>
    <s v="Propios - 20 - Ingresos corrientes"/>
    <n v="27500000"/>
    <n v="27500000"/>
    <s v="No"/>
    <s v="N/A"/>
    <s v="Germán Tiberio Ojeda"/>
    <s v="Subdirector de Minería"/>
    <n v="6012220601"/>
    <s v="german.ojeda@upme.gov.co"/>
    <n v="27500000"/>
    <n v="0"/>
    <n v="0"/>
    <n v="0"/>
    <n v="0"/>
    <n v="5000000"/>
    <n v="0"/>
    <n v="5000000"/>
    <n v="0"/>
    <n v="5000000"/>
    <n v="0"/>
    <n v="5000000"/>
    <n v="0"/>
    <n v="5000000"/>
    <n v="0"/>
    <n v="2500000"/>
    <n v="0"/>
    <n v="0"/>
    <n v="0"/>
    <n v="0"/>
    <n v="0"/>
    <n v="0"/>
    <n v="0"/>
    <n v="0"/>
    <n v="27500000"/>
    <n v="27500000"/>
    <n v="0"/>
    <n v="0"/>
    <s v=" Prestar servicios ​profesionales en asuntos jurídicos relacionados con los procesos ​y procedimientos de competencia de la Subdirección de Minería, en el marco de la gestión institucional de la Entidad."/>
    <n v="27500000"/>
    <m/>
    <m/>
    <m/>
    <m/>
    <n v="5000000"/>
    <m/>
    <n v="5000000"/>
    <m/>
    <n v="5000000"/>
    <m/>
    <n v="5000000"/>
    <m/>
    <n v="5000000"/>
    <m/>
    <n v="2500000"/>
    <m/>
    <m/>
    <m/>
    <m/>
    <m/>
    <m/>
    <m/>
    <m/>
    <m/>
    <m/>
    <n v="27500000"/>
    <n v="27500000"/>
    <n v="0"/>
    <n v="0"/>
    <n v="39126"/>
    <d v="2026-01-15T00:00:00"/>
    <n v="27500000"/>
    <n v="0"/>
    <n v="27526"/>
    <d v="2026-01-28T00:00:00"/>
    <n v="27500000"/>
    <n v="0"/>
    <n v="0"/>
    <s v="FUENTES LOZANO CARLOS EDUARDO"/>
    <s v="CO1.PCCNTR.9129388"/>
    <n v="27500000"/>
    <m/>
    <m/>
    <m/>
    <m/>
    <m/>
    <m/>
    <n v="5333333"/>
    <n v="5333333"/>
    <m/>
    <n v="5000000"/>
    <n v="5000000"/>
    <m/>
    <m/>
    <m/>
    <m/>
    <m/>
    <m/>
    <m/>
    <m/>
    <m/>
    <m/>
    <m/>
    <m/>
    <m/>
    <m/>
    <m/>
    <m/>
    <m/>
    <m/>
    <m/>
    <m/>
    <m/>
    <m/>
    <m/>
    <m/>
    <n v="27500000"/>
    <n v="10333333"/>
    <n v="10333333"/>
    <n v="17166667"/>
    <n v="0"/>
    <x v="0"/>
  </r>
  <r>
    <x v="0"/>
    <x v="9"/>
    <s v="Fortalecimiento de la planeación para el desarrollo minero responsable con los territorios en el marco de la transición energética a nivel nacional"/>
    <s v="Minería"/>
    <s v="Sí"/>
    <s v="Sí"/>
    <s v="Radicado 20261400019863"/>
    <s v="140-45"/>
    <s v="Ampliar el conocimiento de los encadenamientos productivos asociados a la actividad minera por parte de los actores del sector."/>
    <s v="Documentos de Investigación"/>
    <s v="Documento con el diseño metodológico."/>
    <n v="80111620"/>
    <s v="C-2106-1900-12-40302A-2106002-02"/>
    <s v="Prestación de servicios profesionales y/o de apoyo a la gestión"/>
    <s v="140-45 Prestar servicios profesionales para brindar apoyo en la Subdirección de Minería, en la elaboración de estudios técnicos asociados a la actividad minera y documentos de investigación."/>
    <s v="Enero "/>
    <s v="Enero "/>
    <s v="Enero "/>
    <n v="8"/>
    <s v="Meses"/>
    <s v="Contratación directa - Prestación de servicios profesionales "/>
    <s v="Propios - 20 - Ingresos corrientes"/>
    <n v="34400000"/>
    <n v="34400000"/>
    <s v="No"/>
    <s v="N/A"/>
    <s v="Germán Tiberio Ojeda"/>
    <s v="Subdirector de Minería"/>
    <n v="6012220601"/>
    <s v="german.ojeda@upme.gov.co"/>
    <n v="0"/>
    <n v="0"/>
    <n v="34400000"/>
    <n v="0"/>
    <n v="0"/>
    <n v="0"/>
    <n v="0"/>
    <n v="1612500"/>
    <n v="0"/>
    <n v="5375000"/>
    <n v="0"/>
    <n v="5375000"/>
    <n v="0"/>
    <n v="5375000"/>
    <n v="0"/>
    <n v="5375000"/>
    <n v="0"/>
    <n v="5375000"/>
    <n v="0"/>
    <n v="5912500"/>
    <n v="0"/>
    <n v="0"/>
    <n v="0"/>
    <n v="0"/>
    <n v="34400000"/>
    <n v="34400000"/>
    <n v="0"/>
    <n v="0"/>
    <s v="Prestar servicios profesionales para brindar apoyo en la Subdirección de Minería, en la elaboración de estudios técnicos asociados a la actividad minera y documentos de investigación."/>
    <m/>
    <m/>
    <n v="34400000"/>
    <m/>
    <m/>
    <m/>
    <m/>
    <n v="1612500"/>
    <m/>
    <n v="5375000"/>
    <m/>
    <n v="5375000"/>
    <m/>
    <n v="5375000"/>
    <m/>
    <n v="5375000"/>
    <m/>
    <n v="5375000"/>
    <m/>
    <n v="5912500"/>
    <m/>
    <m/>
    <m/>
    <m/>
    <m/>
    <m/>
    <n v="34400000"/>
    <n v="34400000"/>
    <n v="0"/>
    <n v="0"/>
    <n v="46826"/>
    <d v="2026-01-19T00:00:00"/>
    <n v="34400000"/>
    <n v="0"/>
    <n v="37026"/>
    <d v="2026-02-02T00:00:00"/>
    <n v="34400000"/>
    <n v="0"/>
    <n v="0"/>
    <s v="CORREALES ROJAS LUCIO ALFREDO"/>
    <s v="CO1.PCCNTR.9158755"/>
    <m/>
    <m/>
    <m/>
    <n v="34400000"/>
    <m/>
    <m/>
    <m/>
    <m/>
    <m/>
    <m/>
    <n v="10391667"/>
    <n v="10391667"/>
    <m/>
    <m/>
    <m/>
    <m/>
    <m/>
    <m/>
    <m/>
    <m/>
    <m/>
    <m/>
    <m/>
    <m/>
    <m/>
    <m/>
    <m/>
    <m/>
    <m/>
    <m/>
    <m/>
    <m/>
    <m/>
    <m/>
    <m/>
    <m/>
    <n v="34400000"/>
    <n v="10391667"/>
    <n v="10391667"/>
    <n v="24008333"/>
    <n v="0"/>
    <x v="0"/>
  </r>
  <r>
    <x v="0"/>
    <x v="9"/>
    <s v="Fortalecimiento de la planeación para el desarrollo minero responsable con los territorios en el marco de la transición energética a nivel nacional"/>
    <s v="Minería"/>
    <s v="Sí"/>
    <s v="Sí"/>
    <n v="2"/>
    <s v="140-46"/>
    <s v="Ampliar el conocimiento de los encadenamientos productivos asociados a la actividad minera por parte de los actores del sector."/>
    <s v="Documentos de Planeación"/>
    <s v="Diagnóstico"/>
    <n v="80111620"/>
    <s v="C-2106-1900-12-40302A-2106003-02"/>
    <s v="Prestación de servicios profesionales y/o de apoyo a la gestión"/>
    <s v="140-46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31200000"/>
    <n v="31200000"/>
    <s v="No"/>
    <s v="N/A"/>
    <s v="Germán Tiberio Ojeda"/>
    <s v="Subdirector de Minería"/>
    <n v="6012220601"/>
    <s v="german.ojeda@upme.gov.co"/>
    <n v="31200000"/>
    <n v="0"/>
    <n v="0"/>
    <n v="750000"/>
    <n v="0"/>
    <n v="7500000"/>
    <n v="0"/>
    <n v="7500000"/>
    <n v="0"/>
    <n v="7500000"/>
    <n v="0"/>
    <n v="7500000"/>
    <n v="0"/>
    <n v="450000"/>
    <n v="0"/>
    <n v="0"/>
    <n v="0"/>
    <n v="0"/>
    <n v="0"/>
    <n v="0"/>
    <n v="0"/>
    <n v="0"/>
    <n v="0"/>
    <n v="0"/>
    <n v="31200000"/>
    <n v="31200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31200000"/>
    <m/>
    <m/>
    <n v="750000"/>
    <m/>
    <n v="7500000"/>
    <m/>
    <n v="7500000"/>
    <m/>
    <n v="7500000"/>
    <m/>
    <n v="7500000"/>
    <m/>
    <n v="450000"/>
    <m/>
    <m/>
    <m/>
    <m/>
    <m/>
    <m/>
    <m/>
    <m/>
    <m/>
    <m/>
    <m/>
    <m/>
    <n v="31200000"/>
    <n v="31200000"/>
    <n v="0"/>
    <n v="0"/>
    <n v="21226"/>
    <d v="2026-01-11T00:00:00"/>
    <n v="31200000"/>
    <n v="0"/>
    <n v="20126"/>
    <d v="2026-01-26T00:00:00"/>
    <n v="31200000"/>
    <n v="0"/>
    <n v="0"/>
    <s v="NEGRETE FLORES JOVANA"/>
    <s v=".CO1.PCCNTR.8997355"/>
    <n v="31200000"/>
    <m/>
    <m/>
    <m/>
    <m/>
    <m/>
    <m/>
    <n v="7500000"/>
    <n v="7500000"/>
    <m/>
    <n v="7500000"/>
    <n v="7500000"/>
    <m/>
    <m/>
    <m/>
    <m/>
    <m/>
    <m/>
    <m/>
    <m/>
    <m/>
    <m/>
    <m/>
    <m/>
    <m/>
    <m/>
    <m/>
    <m/>
    <m/>
    <m/>
    <m/>
    <m/>
    <m/>
    <m/>
    <m/>
    <m/>
    <n v="31200000"/>
    <n v="15000000"/>
    <n v="15000000"/>
    <n v="16200000"/>
    <n v="0"/>
    <x v="0"/>
  </r>
  <r>
    <x v="0"/>
    <x v="9"/>
    <s v="Fortalecimiento de la planeación para el desarrollo minero responsable con los territorios en el marco de la transición energética a nivel nacional"/>
    <s v="Minería"/>
    <s v="Sí"/>
    <s v="Sí"/>
    <n v="17"/>
    <s v="140-47"/>
    <s v="Ampliar el conocimiento de los encadenamientos productivos asociados a la actividad minera por parte de los actores del sector."/>
    <s v="Documentos de Planeación"/>
    <s v="Diagnóstico"/>
    <n v="80111620"/>
    <s v="C-2106-1900-12-40302A-2106003-02"/>
    <s v="Prestación de servicios profesionales y/o de apoyo a la gestión"/>
    <s v="140-47 Prestar servicios profesionales para apoyar a la Subdirección de Minería en la realización de análisis económicos, orientados a la elaboración, seguimiento y evaluación de los instrumentos de planeación del sector minero, así como en la generación "/>
    <s v="Enero "/>
    <s v="Enero "/>
    <s v="Enero "/>
    <n v="6"/>
    <s v="Meses"/>
    <s v="Contratación directa - Prestación de servicios profesionales "/>
    <s v="Propios - 20 - Ingresos corrientes"/>
    <n v="15800000"/>
    <n v="15800000"/>
    <s v="No"/>
    <s v="N/A"/>
    <s v="Germán Tiberio Ojeda"/>
    <s v="Subdirector de Minería"/>
    <n v="6012220601"/>
    <s v="german.ojeda@upme.gov.co"/>
    <n v="0"/>
    <n v="0"/>
    <n v="0"/>
    <n v="0"/>
    <n v="0"/>
    <n v="0"/>
    <n v="0"/>
    <n v="0"/>
    <n v="0"/>
    <n v="0"/>
    <n v="0"/>
    <n v="0"/>
    <n v="0"/>
    <n v="0"/>
    <n v="0"/>
    <n v="0"/>
    <n v="0"/>
    <n v="0"/>
    <n v="0"/>
    <n v="0"/>
    <n v="0"/>
    <n v="0"/>
    <n v="33000000"/>
    <n v="33000000"/>
    <n v="33000000"/>
    <n v="33000000"/>
    <n v="-17200000"/>
    <n v="-17200000"/>
    <s v="Prestar servicios profesionales para apoyar a la Subdirección de Minería en la realización de análisis económicos, orientados a la elaboración, seguimiento y evaluación de los instrumentos de planeación del sector minero, así como en la generación de insu"/>
    <n v="0"/>
    <n v="0"/>
    <n v="0"/>
    <n v="0"/>
    <n v="0"/>
    <n v="0"/>
    <n v="3100000"/>
    <n v="3100000"/>
    <n v="3100000"/>
    <n v="3100000"/>
    <n v="3100000"/>
    <n v="3100000"/>
    <n v="3100000"/>
    <n v="3100000"/>
    <n v="3400000"/>
    <n v="3400000"/>
    <n v="0"/>
    <n v="0"/>
    <n v="0"/>
    <n v="0"/>
    <n v="0"/>
    <n v="0"/>
    <n v="0"/>
    <n v="0"/>
    <m/>
    <m/>
    <n v="15800000"/>
    <n v="15800000"/>
    <n v="0"/>
    <n v="0"/>
    <n v="68726"/>
    <d v="2026-01-30T00:00:00"/>
    <m/>
    <n v="15800000"/>
    <m/>
    <m/>
    <n v="0"/>
    <n v="158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No"/>
    <s v="Sí"/>
    <n v="23"/>
    <s v="140-48"/>
    <s v="Ampliar el conocimiento de los encadenamientos productivos asociados a la actividad minera por parte de los actores del sector."/>
    <s v="Documentos de Planeación"/>
    <s v="Diagnóstico"/>
    <s v="N/A"/>
    <s v="C-2106-1900-12-40302A-2106003-02"/>
    <s v="Viáticos o gastos de desplazamiento"/>
    <s v="140-48 Viáticos o gastos de desplazamiento"/>
    <s v="N/A"/>
    <s v="N/A"/>
    <s v="N/A"/>
    <s v="N/A"/>
    <s v="N/A"/>
    <s v="N/A"/>
    <s v="Propios - 20 - Ingresos corrientes"/>
    <n v="75700000"/>
    <n v="75700000"/>
    <s v="No"/>
    <s v="N/A"/>
    <s v="Germán Tiberio Ojeda"/>
    <s v="Subdirector de Minería"/>
    <n v="6012220601"/>
    <s v="german.ojeda@upme.gov.co"/>
    <n v="0"/>
    <n v="0"/>
    <n v="6000000"/>
    <n v="6000000"/>
    <n v="6000000"/>
    <n v="6000000"/>
    <n v="6000000"/>
    <n v="6000000"/>
    <n v="6000000"/>
    <n v="6000000"/>
    <n v="5000000"/>
    <n v="5000000"/>
    <n v="5000000"/>
    <n v="5000000"/>
    <n v="5000000"/>
    <n v="5000000"/>
    <n v="5000000"/>
    <n v="5000000"/>
    <n v="5000000"/>
    <n v="5000000"/>
    <n v="4500000"/>
    <n v="4500000"/>
    <n v="5000000"/>
    <n v="5000000"/>
    <n v="58500000"/>
    <n v="58500000"/>
    <n v="17200000"/>
    <n v="17200000"/>
    <s v="Viáticos o gastos de desplazamiento"/>
    <n v="0"/>
    <n v="0"/>
    <n v="6000000"/>
    <n v="6000000"/>
    <n v="8000000"/>
    <n v="8000000"/>
    <n v="8000000"/>
    <n v="8000000"/>
    <n v="8000000"/>
    <n v="8000000"/>
    <n v="7000000"/>
    <n v="7000000"/>
    <n v="7000000"/>
    <n v="7000000"/>
    <n v="7000000"/>
    <n v="7000000"/>
    <n v="7000000"/>
    <n v="7000000"/>
    <n v="7000000"/>
    <n v="7000000"/>
    <n v="5500000"/>
    <n v="5500000"/>
    <n v="5200000"/>
    <n v="5200000"/>
    <m/>
    <m/>
    <n v="75700000"/>
    <n v="75700000"/>
    <n v="0"/>
    <n v="0"/>
    <n v="55326.556259999998"/>
    <d v="2026-01-22T00:00:00"/>
    <n v="58500000"/>
    <n v="17200000"/>
    <s v="63425,63526,63626,63926,64026,6412,64226,68126,66426,66526,66626,71126,71226"/>
    <s v="12/03/2026,10/04/2026"/>
    <n v="16004377"/>
    <n v="59695623"/>
    <n v="42495623"/>
    <s v="OBANDO VARGAS MARIA CAROLINA,POVEDA FORERO GERMAN ANDRES,OJEDA PEDRAZA GERMAN TIBERIO,OBANDO VARGAS MARIA CAROLINA,POVEDA FORERO GERMAN ANDRES,ALVAREZ MEJIA JUAN GUILLERMO,OJEDA PEDRAZA GERMAN TIBERIO,POVEDA FORERO GERMAN ANDRES_x000a_"/>
    <m/>
    <m/>
    <m/>
    <m/>
    <m/>
    <m/>
    <m/>
    <n v="12685826"/>
    <n v="10173872"/>
    <n v="10173872"/>
    <n v="3318551"/>
    <n v="3158138"/>
    <n v="3158138"/>
    <m/>
    <m/>
    <m/>
    <m/>
    <m/>
    <m/>
    <m/>
    <m/>
    <m/>
    <m/>
    <m/>
    <m/>
    <m/>
    <m/>
    <m/>
    <m/>
    <m/>
    <m/>
    <m/>
    <m/>
    <m/>
    <m/>
    <m/>
    <m/>
    <n v="16004377"/>
    <n v="13332010"/>
    <n v="13332010"/>
    <n v="2672367"/>
    <n v="0"/>
    <x v="0"/>
  </r>
  <r>
    <x v="0"/>
    <x v="9"/>
    <s v="Fortalecimiento de la planeación para el desarrollo minero responsable con los territorios en el marco de la transición energética a nivel nacional"/>
    <s v="Minería"/>
    <s v="Sí"/>
    <s v="Sí"/>
    <s v="Radicado 20261400002193"/>
    <s v="140-49"/>
    <s v="Ampliar el conocimiento de los encadenamientos productivos asociados a la actividad minera por parte de los actores del sector."/>
    <s v="Documentos de Planeación"/>
    <s v="Diagnóstico"/>
    <n v="78111502"/>
    <s v="C-2106-1900-12-40302A-2106003-02"/>
    <s v="Tiquetes"/>
    <s v="140-49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2000000"/>
    <n v="52000000"/>
    <s v="No"/>
    <s v="N/A"/>
    <s v="Germán Tiberio Ojeda"/>
    <s v="Subdirector de Minería"/>
    <n v="6012220601"/>
    <s v="german.ojeda@upme.gov.co"/>
    <n v="0"/>
    <n v="0"/>
    <n v="0"/>
    <n v="0"/>
    <n v="0"/>
    <n v="0"/>
    <n v="0"/>
    <n v="0"/>
    <n v="0"/>
    <n v="0"/>
    <n v="0"/>
    <n v="0"/>
    <n v="0"/>
    <n v="0"/>
    <n v="0"/>
    <n v="0"/>
    <n v="52000000"/>
    <n v="0"/>
    <n v="0"/>
    <n v="7428571"/>
    <n v="0"/>
    <n v="7428571"/>
    <n v="0"/>
    <n v="37142858"/>
    <n v="52000000"/>
    <n v="52000000"/>
    <n v="0"/>
    <n v="0"/>
    <s v="Adquirir los servicios necesarios para garantizar el desplazamiento de servidores públicos y contratistas de la UPME a los eventos y espacios institucionales de planeación minero energética."/>
    <m/>
    <m/>
    <m/>
    <m/>
    <m/>
    <m/>
    <m/>
    <m/>
    <m/>
    <m/>
    <m/>
    <m/>
    <m/>
    <m/>
    <m/>
    <m/>
    <n v="52000000"/>
    <m/>
    <m/>
    <n v="7428571"/>
    <m/>
    <n v="7428571"/>
    <m/>
    <n v="37142858"/>
    <m/>
    <m/>
    <n v="52000000"/>
    <n v="52000000"/>
    <n v="0"/>
    <n v="0"/>
    <m/>
    <m/>
    <m/>
    <n v="52000000"/>
    <m/>
    <m/>
    <n v="0"/>
    <n v="52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50"/>
    <s v="Ampliar el conocimiento de los encadenamientos productivos asociados a la actividad minera por parte de los actores del sector."/>
    <s v="Documentos de Planeación"/>
    <s v="Documento de planeación preliminar."/>
    <n v="80111620"/>
    <s v="C-2106-1900-12-40302A-2106003-02"/>
    <s v="Prestación de servicios profesionales y/o de apoyo a la gestión"/>
    <s v="140-50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11750000"/>
    <n v="11750000"/>
    <s v="No"/>
    <s v="N/A"/>
    <s v="Germán Tiberio Ojeda"/>
    <s v="Subdirector de Minería"/>
    <n v="6012220601"/>
    <s v="german.ojeda@upme.gov.co"/>
    <n v="11750000"/>
    <n v="0"/>
    <n v="0"/>
    <n v="0"/>
    <n v="0"/>
    <n v="0"/>
    <n v="0"/>
    <n v="0"/>
    <n v="0"/>
    <n v="0"/>
    <n v="0"/>
    <n v="0"/>
    <n v="0"/>
    <n v="0"/>
    <n v="0"/>
    <n v="0"/>
    <n v="0"/>
    <n v="0"/>
    <n v="0"/>
    <n v="0"/>
    <n v="0"/>
    <n v="0"/>
    <n v="0"/>
    <n v="11750000"/>
    <n v="11750000"/>
    <n v="11750000"/>
    <n v="0"/>
    <n v="0"/>
    <s v="Prestar servicios profesionales de apoyo a la Subdirección de Minería en los asuntos relacionados con el cumplimiento de su misionalidad, así como en el acompañamiento en las actividades de divulgación, planeación e investigación del sector minero."/>
    <n v="11750000"/>
    <m/>
    <m/>
    <m/>
    <m/>
    <m/>
    <m/>
    <m/>
    <m/>
    <m/>
    <m/>
    <m/>
    <m/>
    <m/>
    <m/>
    <m/>
    <m/>
    <m/>
    <m/>
    <m/>
    <m/>
    <m/>
    <m/>
    <n v="11750000"/>
    <m/>
    <m/>
    <n v="11750000"/>
    <n v="11750000"/>
    <n v="0"/>
    <n v="0"/>
    <n v="4626"/>
    <d v="2026-01-05T00:00:00"/>
    <n v="11750000"/>
    <n v="0"/>
    <n v="13226"/>
    <d v="2026-01-20T00:00:00"/>
    <n v="11750000"/>
    <n v="0"/>
    <n v="0"/>
    <s v="HERNANDEZ MARIN CRISTHIAN OCTAVIO"/>
    <s v="CO1.PCCNTR.8960645"/>
    <n v="11750000"/>
    <m/>
    <m/>
    <m/>
    <m/>
    <m/>
    <m/>
    <m/>
    <m/>
    <m/>
    <m/>
    <m/>
    <m/>
    <m/>
    <m/>
    <m/>
    <m/>
    <m/>
    <m/>
    <m/>
    <m/>
    <m/>
    <m/>
    <m/>
    <m/>
    <m/>
    <m/>
    <m/>
    <m/>
    <m/>
    <m/>
    <m/>
    <m/>
    <m/>
    <m/>
    <m/>
    <n v="11750000"/>
    <n v="0"/>
    <n v="0"/>
    <n v="11750000"/>
    <n v="0"/>
    <x v="0"/>
  </r>
  <r>
    <x v="0"/>
    <x v="9"/>
    <s v="Fortalecimiento de la planeación para el desarrollo minero responsable con los territorios en el marco de la transición energética a nivel nacional"/>
    <s v="Minería"/>
    <s v="Sí"/>
    <s v="Sí"/>
    <n v="68"/>
    <s v="140-51"/>
    <s v="Ampliar el conocimiento de los encadenamientos productivos asociados a la actividad minera por parte de los actores del sector."/>
    <s v="Documentos de Planeación"/>
    <s v="Documento de planeación preliminar."/>
    <n v="80111620"/>
    <s v="C-2106-1900-12-40302A-2106003-02"/>
    <s v="Prestación de servicios profesionales y/o de apoyo a la gestión"/>
    <s v="140-51 Prestar servicios profesionales para brindar apoyo a la subdirección de minería para el modelamiento del sector minero colombiano a través de las herramientas como dinámica de sistemas y Python, como soporte a los documentos técnicos y de planeació"/>
    <s v="Enero "/>
    <s v="Enero "/>
    <s v="Enero "/>
    <n v="11"/>
    <s v="Meses"/>
    <s v="Contratación directa - Prestación de servicios profesionales "/>
    <s v="Propios - 20 - Ingresos corrientes"/>
    <n v="36250000"/>
    <n v="36250000"/>
    <s v="No"/>
    <s v="N/A"/>
    <s v="Germán Tiberio Ojeda"/>
    <s v="Subdirector de Minería"/>
    <n v="6012220601"/>
    <s v="german.ojeda@upme.gov.co"/>
    <n v="36250000"/>
    <n v="0"/>
    <n v="0"/>
    <n v="750000"/>
    <n v="0"/>
    <n v="7500000"/>
    <n v="0"/>
    <n v="7500000"/>
    <n v="0"/>
    <n v="7500000"/>
    <n v="0"/>
    <n v="7500000"/>
    <n v="0"/>
    <n v="5500000"/>
    <n v="0"/>
    <n v="0"/>
    <n v="0"/>
    <n v="0"/>
    <n v="0"/>
    <n v="0"/>
    <n v="0"/>
    <n v="0"/>
    <n v="0"/>
    <n v="0"/>
    <n v="36250000"/>
    <n v="36250000"/>
    <n v="0"/>
    <n v="0"/>
    <s v="Prestar servicios profesionales para brindar apoyo a la subdirección de minería para el modelamiento del sector minero colombiano a través de las herramientas como dinámica de sistemas y Python, como soporte a los documentos técnicos y de planeación miner"/>
    <n v="36250000"/>
    <m/>
    <m/>
    <n v="750000"/>
    <m/>
    <n v="7500000"/>
    <m/>
    <n v="7500000"/>
    <m/>
    <n v="7500000"/>
    <m/>
    <n v="7500000"/>
    <m/>
    <n v="5500000"/>
    <m/>
    <m/>
    <m/>
    <m/>
    <m/>
    <m/>
    <m/>
    <m/>
    <m/>
    <m/>
    <m/>
    <m/>
    <n v="36250000"/>
    <n v="36250000"/>
    <n v="0"/>
    <n v="0"/>
    <n v="40726"/>
    <d v="2026-01-16T00:00:00"/>
    <n v="36250000"/>
    <n v="0"/>
    <n v="21026"/>
    <d v="2026-01-26T00:00:00"/>
    <n v="36250000"/>
    <n v="0"/>
    <n v="0"/>
    <s v="AVILA CHOCONTA HAROL ANDREY"/>
    <s v="CO1.PCCNTR.9060266"/>
    <n v="36250000"/>
    <m/>
    <m/>
    <m/>
    <n v="1000000"/>
    <n v="1000000"/>
    <m/>
    <n v="7500000"/>
    <n v="7500000"/>
    <m/>
    <n v="7500000"/>
    <n v="7500000"/>
    <m/>
    <m/>
    <m/>
    <m/>
    <m/>
    <m/>
    <m/>
    <m/>
    <m/>
    <m/>
    <m/>
    <m/>
    <m/>
    <m/>
    <m/>
    <m/>
    <m/>
    <m/>
    <m/>
    <m/>
    <m/>
    <m/>
    <m/>
    <m/>
    <n v="36250000"/>
    <n v="16000000"/>
    <n v="16000000"/>
    <n v="20250000"/>
    <n v="0"/>
    <x v="0"/>
  </r>
  <r>
    <x v="0"/>
    <x v="9"/>
    <s v="Fortalecimiento de la planeación para el desarrollo minero responsable con los territorios en el marco de la transición energética a nivel nacional"/>
    <s v="Minería"/>
    <s v="Sí"/>
    <s v="Sí"/>
    <n v="68"/>
    <s v="140-52"/>
    <s v="Ampliar el conocimiento de los encadenamientos productivos asociados a la actividad minera por parte de los actores del sector."/>
    <s v="Documentos de Planeación"/>
    <s v="Documento de planeación preliminar."/>
    <n v="80111620"/>
    <s v="C-2106-1900-12-40302A-2106003-02"/>
    <s v="Prestación de servicios profesionales y/o de apoyo a la gestión"/>
    <s v="140-52 Prestar servicios ​profesionales de asesoría en los asuntos jurídicos y judiciales de competencia de la UPME, al igual que asesoría en los documentos técnicos, de planeación y servicios de divulgación del sector minero y lo que de ello se derive, e"/>
    <s v="Enero "/>
    <s v="Enero "/>
    <s v="Enero "/>
    <n v="11.5"/>
    <s v="Meses"/>
    <s v="Contratación directa - Prestación de servicios profesionales "/>
    <s v="Propios - 20 - Ingresos corrientes"/>
    <n v="68534887"/>
    <n v="68534887"/>
    <s v="No"/>
    <s v="N/A"/>
    <s v="Germán Tiberio Ojeda"/>
    <s v="Subdirector de Minería"/>
    <n v="6012220601"/>
    <s v="german.ojeda@upme.gov.co"/>
    <n v="68534887"/>
    <n v="0"/>
    <n v="0"/>
    <n v="0"/>
    <n v="0"/>
    <n v="0"/>
    <n v="0"/>
    <n v="8489887"/>
    <n v="0"/>
    <n v="12100000"/>
    <n v="0"/>
    <n v="12100000"/>
    <n v="0"/>
    <n v="12100000"/>
    <n v="0"/>
    <n v="12100000"/>
    <n v="0"/>
    <n v="11645000"/>
    <n v="0"/>
    <n v="0"/>
    <n v="0"/>
    <n v="0"/>
    <n v="0"/>
    <n v="0"/>
    <n v="68534887"/>
    <n v="68534887"/>
    <n v="0"/>
    <n v="0"/>
    <s v="Prestar servicios ​profesionales de asesoría en los asuntos jurídicos y judiciales de competencia de la UPME, al igual que asesoría en los documentos técnicos, de planeación y servicios de divulgación del sector minero y lo que de ello se derive, en el ma"/>
    <n v="68534887"/>
    <m/>
    <m/>
    <m/>
    <m/>
    <m/>
    <m/>
    <n v="8489887"/>
    <m/>
    <n v="12100000"/>
    <m/>
    <n v="12100000"/>
    <m/>
    <n v="12100000"/>
    <m/>
    <n v="12100000"/>
    <m/>
    <n v="11645000"/>
    <m/>
    <m/>
    <m/>
    <m/>
    <m/>
    <m/>
    <m/>
    <m/>
    <n v="68534887"/>
    <n v="68534887"/>
    <n v="0"/>
    <n v="0"/>
    <n v="3626"/>
    <d v="2026-01-05T00:00:00"/>
    <n v="68534887"/>
    <n v="0"/>
    <n v="14326"/>
    <d v="2026-01-21T00:00:00"/>
    <n v="68534887"/>
    <n v="0"/>
    <n v="0"/>
    <s v="TOVAR PERILLA CAMILO ANDRES"/>
    <s v="CO1.PCCNTR.8926095"/>
    <n v="68534887"/>
    <m/>
    <m/>
    <m/>
    <n v="3630000"/>
    <n v="3630000"/>
    <m/>
    <n v="12100000"/>
    <n v="12100000"/>
    <m/>
    <n v="12100000"/>
    <n v="12100000"/>
    <m/>
    <m/>
    <m/>
    <m/>
    <m/>
    <m/>
    <m/>
    <m/>
    <m/>
    <m/>
    <m/>
    <m/>
    <m/>
    <m/>
    <m/>
    <m/>
    <m/>
    <m/>
    <m/>
    <m/>
    <m/>
    <m/>
    <m/>
    <m/>
    <n v="68534887"/>
    <n v="27830000"/>
    <n v="27830000"/>
    <n v="40704887"/>
    <n v="0"/>
    <x v="0"/>
  </r>
  <r>
    <x v="0"/>
    <x v="9"/>
    <s v="Fortalecimiento de la planeación para el desarrollo minero responsable con los territorios en el marco de la transición energética a nivel nacional"/>
    <s v="Minería"/>
    <s v="Sí"/>
    <s v="Sí"/>
    <n v="2"/>
    <s v="140-53"/>
    <s v="Ampliar el conocimiento de los encadenamientos productivos asociados a la actividad minera por parte de los actores del sector."/>
    <s v="Documentos de Planeación"/>
    <s v="Documento de planeación preliminar."/>
    <n v="80111620"/>
    <s v="C-2106-1900-12-40302A-2106003-02"/>
    <s v="Prestación de servicios profesionales y/o de apoyo a la gestión"/>
    <s v="140-53 Prestar servicios profesionales para apoyar a la Subdirección de Minería en la articulación, funcionamiento y coordinación de los procesos de planeación del sector minero, mediante la elaboración de documentos técnicos, la evaluación de los planes "/>
    <s v="Enero "/>
    <s v="Enero "/>
    <s v="Enero "/>
    <n v="11"/>
    <s v="Meses"/>
    <s v="Contratación directa - Prestación de servicios profesionales "/>
    <s v="Propios - 20 - Ingresos corrientes"/>
    <n v="54715113"/>
    <n v="54715113"/>
    <s v="No"/>
    <s v="N/A"/>
    <s v="Germán Tiberio Ojeda"/>
    <s v="Subdirector de Minería"/>
    <n v="6012220601"/>
    <s v="german.ojeda@upme.gov.co"/>
    <n v="54715113"/>
    <n v="0"/>
    <n v="0"/>
    <n v="2700000"/>
    <n v="0"/>
    <n v="9000000"/>
    <n v="0"/>
    <n v="9000000"/>
    <n v="0"/>
    <n v="9000000"/>
    <n v="0"/>
    <n v="9000000"/>
    <n v="0"/>
    <n v="9000000"/>
    <n v="0"/>
    <n v="7015113"/>
    <n v="0"/>
    <n v="0"/>
    <n v="0"/>
    <n v="0"/>
    <n v="0"/>
    <n v="0"/>
    <n v="0"/>
    <n v="0"/>
    <n v="54715113"/>
    <n v="54715113"/>
    <n v="0"/>
    <n v="0"/>
    <s v="Prestar servicios profesionales para apoyar a la Subdirección de Minería en la articulación, funcionamiento y coordinación de los procesos de planeación del sector minero, mediante la elaboración de documentos técnicos, la evaluación de los planes subsect"/>
    <n v="54715113"/>
    <m/>
    <m/>
    <n v="2700000"/>
    <m/>
    <n v="9000000"/>
    <m/>
    <n v="9000000"/>
    <m/>
    <n v="9000000"/>
    <m/>
    <n v="9000000"/>
    <m/>
    <n v="9000000"/>
    <m/>
    <n v="7015113"/>
    <m/>
    <m/>
    <m/>
    <m/>
    <m/>
    <m/>
    <m/>
    <m/>
    <m/>
    <m/>
    <n v="54715113"/>
    <n v="54715113"/>
    <n v="0"/>
    <n v="0"/>
    <n v="21626"/>
    <d v="2026-01-11T00:00:00"/>
    <n v="54715113"/>
    <n v="0"/>
    <n v="12726"/>
    <d v="2026-01-20T00:00:00"/>
    <n v="54715113"/>
    <n v="0"/>
    <n v="0"/>
    <s v="SANTAMARIA ARAGON JULIAN ESTEBAN"/>
    <s v="CO1.PCCNTR.8938523"/>
    <n v="54715113"/>
    <m/>
    <m/>
    <m/>
    <n v="3000000"/>
    <n v="3000000"/>
    <m/>
    <n v="9000000"/>
    <n v="9000000"/>
    <m/>
    <n v="9000000"/>
    <n v="9000000"/>
    <m/>
    <m/>
    <m/>
    <m/>
    <m/>
    <m/>
    <m/>
    <m/>
    <m/>
    <m/>
    <m/>
    <m/>
    <m/>
    <m/>
    <m/>
    <m/>
    <m/>
    <m/>
    <m/>
    <m/>
    <m/>
    <m/>
    <m/>
    <m/>
    <n v="54715113"/>
    <n v="21000000"/>
    <n v="21000000"/>
    <n v="33715113"/>
    <n v="0"/>
    <x v="0"/>
  </r>
  <r>
    <x v="0"/>
    <x v="9"/>
    <s v="Fortalecimiento de la planeación para el desarrollo minero responsable con los territorios en el marco de la transición energética a nivel nacional"/>
    <s v="Minería"/>
    <s v="Sí"/>
    <s v="Sí"/>
    <n v="68"/>
    <s v="140-54"/>
    <s v="Ampliar el conocimiento de los encadenamientos productivos asociados a la actividad minera por parte de los actores del sector."/>
    <s v="Documentos de Planeación"/>
    <s v="Documento de planeación preliminar."/>
    <n v="80111620"/>
    <s v="C-2106-1900-12-40302A-2106003-02"/>
    <s v="Consultoría"/>
    <s v="140-54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0 - Ingresos corrientes"/>
    <n v="9780518"/>
    <n v="9780518"/>
    <s v="No"/>
    <s v="N/A"/>
    <s v="Germán Tiberio Ojeda"/>
    <s v="Subdirector de Minería"/>
    <n v="6012220601"/>
    <s v="german.ojeda@upme.gov.co"/>
    <n v="0"/>
    <n v="0"/>
    <n v="0"/>
    <n v="0"/>
    <n v="0"/>
    <n v="0"/>
    <n v="0"/>
    <n v="0"/>
    <n v="0"/>
    <n v="0"/>
    <n v="0"/>
    <n v="0"/>
    <n v="9780518"/>
    <n v="0"/>
    <n v="0"/>
    <n v="0"/>
    <n v="0"/>
    <n v="0"/>
    <n v="0"/>
    <n v="0"/>
    <n v="0"/>
    <n v="0"/>
    <n v="0"/>
    <n v="9780518"/>
    <n v="9780518"/>
    <n v="9780518"/>
    <n v="0"/>
    <n v="0"/>
    <s v="Desarrollo de nuevos indicadores, analítica y tableros para el SIMCO basados en información sectorial agregando valor a la divulgación de las estadísticas del sector minero"/>
    <m/>
    <m/>
    <m/>
    <m/>
    <m/>
    <m/>
    <m/>
    <m/>
    <m/>
    <m/>
    <m/>
    <m/>
    <n v="9780518"/>
    <m/>
    <m/>
    <m/>
    <m/>
    <m/>
    <m/>
    <m/>
    <m/>
    <m/>
    <m/>
    <n v="9780518"/>
    <m/>
    <m/>
    <n v="9780518"/>
    <n v="9780518"/>
    <n v="0"/>
    <n v="0"/>
    <m/>
    <m/>
    <m/>
    <n v="9780518"/>
    <m/>
    <m/>
    <n v="0"/>
    <n v="9780518"/>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55"/>
    <s v="Ampliar el conocimiento de los encadenamientos productivos asociados a la actividad minera por parte de los actores del sector."/>
    <s v="Documentos de Planeación"/>
    <s v="Documento de planeación validado."/>
    <n v="80111620"/>
    <s v="C-2106-1900-12-40302A-2106003-02"/>
    <s v="Prestación de servicios profesionales y/o de apoyo a la gestión"/>
    <s v="140-55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5125000"/>
    <n v="5125000"/>
    <s v="No"/>
    <s v="N/A"/>
    <s v="Germán Tiberio Ojeda"/>
    <s v="Subdirector de Minería"/>
    <n v="6012220601"/>
    <s v="german.ojeda@upme.gov.co"/>
    <n v="5125000"/>
    <n v="0"/>
    <n v="0"/>
    <n v="0"/>
    <n v="0"/>
    <n v="0"/>
    <n v="0"/>
    <n v="0"/>
    <n v="0"/>
    <n v="0"/>
    <n v="0"/>
    <n v="0"/>
    <n v="0"/>
    <n v="0"/>
    <n v="0"/>
    <n v="0"/>
    <n v="0"/>
    <n v="0"/>
    <n v="0"/>
    <n v="0"/>
    <n v="0"/>
    <n v="0"/>
    <n v="0"/>
    <n v="5125000"/>
    <n v="5125000"/>
    <n v="5125000"/>
    <n v="0"/>
    <n v="0"/>
    <s v="Prestar servicios profesionales de apoyo a la Subdirección de Minería en los asuntos relacionados con el cumplimiento de su misionalidad, así como en el acompañamiento en las actividades de divulgación, planeación e investigación del sector minero."/>
    <n v="5125000"/>
    <m/>
    <m/>
    <m/>
    <m/>
    <m/>
    <m/>
    <m/>
    <m/>
    <m/>
    <m/>
    <m/>
    <m/>
    <m/>
    <m/>
    <m/>
    <m/>
    <m/>
    <m/>
    <m/>
    <m/>
    <m/>
    <m/>
    <n v="5125000"/>
    <m/>
    <m/>
    <n v="5125000"/>
    <n v="5125000"/>
    <n v="0"/>
    <n v="0"/>
    <n v="4626"/>
    <d v="2026-01-05T00:00:00"/>
    <n v="5125000"/>
    <n v="0"/>
    <n v="13226"/>
    <d v="2026-01-20T00:00:00"/>
    <n v="5125000"/>
    <n v="0"/>
    <n v="0"/>
    <s v="HERNANDEZ MARIN CRISTHIAN OCTAVIO"/>
    <s v="CO1.PCCNTR.8960645"/>
    <n v="5125000"/>
    <m/>
    <m/>
    <m/>
    <m/>
    <m/>
    <m/>
    <m/>
    <m/>
    <m/>
    <m/>
    <m/>
    <m/>
    <m/>
    <m/>
    <m/>
    <m/>
    <m/>
    <m/>
    <m/>
    <m/>
    <m/>
    <m/>
    <m/>
    <m/>
    <m/>
    <m/>
    <m/>
    <m/>
    <m/>
    <m/>
    <m/>
    <m/>
    <m/>
    <m/>
    <m/>
    <n v="5125000"/>
    <n v="0"/>
    <n v="0"/>
    <n v="5125000"/>
    <n v="0"/>
    <x v="0"/>
  </r>
  <r>
    <x v="0"/>
    <x v="9"/>
    <s v="Fortalecimiento de la planeación para el desarrollo minero responsable con los territorios en el marco de la transición energética a nivel nacional"/>
    <s v="Minería"/>
    <s v="Sí"/>
    <s v="Sí"/>
    <n v="68"/>
    <s v="140-56"/>
    <s v="Ampliar el conocimiento de los encadenamientos productivos asociados a la actividad minera por parte de los actores del sector."/>
    <s v="Documentos de Planeación"/>
    <s v="Documento de planeación validado."/>
    <n v="80111620"/>
    <s v="C-2106-1900-12-40302A-2106003-02"/>
    <s v="Prestación de servicios profesionales y/o de apoyo a la gestión"/>
    <s v="140-56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1675000"/>
    <n v="1675000"/>
    <s v="No"/>
    <s v="N/A"/>
    <s v="Germán Tiberio Ojeda"/>
    <s v="Subdirector de Minería"/>
    <n v="6012220601"/>
    <s v="german.ojeda@upme.gov.co"/>
    <n v="1675000"/>
    <n v="0"/>
    <n v="0"/>
    <n v="0"/>
    <n v="0"/>
    <n v="0"/>
    <n v="0"/>
    <n v="0"/>
    <n v="0"/>
    <n v="0"/>
    <n v="0"/>
    <n v="0"/>
    <n v="0"/>
    <n v="1675000"/>
    <n v="0"/>
    <n v="0"/>
    <n v="0"/>
    <n v="0"/>
    <n v="0"/>
    <n v="0"/>
    <n v="0"/>
    <n v="0"/>
    <n v="0"/>
    <n v="0"/>
    <n v="1675000"/>
    <n v="1675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1675000"/>
    <m/>
    <m/>
    <m/>
    <m/>
    <m/>
    <m/>
    <m/>
    <m/>
    <m/>
    <m/>
    <m/>
    <m/>
    <n v="1675000"/>
    <m/>
    <m/>
    <m/>
    <m/>
    <m/>
    <m/>
    <m/>
    <m/>
    <m/>
    <m/>
    <m/>
    <m/>
    <n v="1675000"/>
    <n v="1675000"/>
    <n v="0"/>
    <n v="0"/>
    <n v="21226"/>
    <d v="2026-01-11T00:00:00"/>
    <n v="1675000"/>
    <n v="0"/>
    <n v="20126"/>
    <d v="2026-01-26T00:00:00"/>
    <n v="1675000"/>
    <n v="0"/>
    <n v="0"/>
    <s v="NEGRETE FLORES JOVANA"/>
    <s v=".CO1.PCCNTR.8997355"/>
    <n v="1675000"/>
    <m/>
    <m/>
    <m/>
    <n v="1000000"/>
    <n v="1000000"/>
    <m/>
    <m/>
    <m/>
    <m/>
    <m/>
    <m/>
    <m/>
    <m/>
    <m/>
    <m/>
    <m/>
    <m/>
    <m/>
    <m/>
    <m/>
    <m/>
    <m/>
    <m/>
    <m/>
    <m/>
    <m/>
    <m/>
    <m/>
    <m/>
    <m/>
    <m/>
    <m/>
    <m/>
    <m/>
    <m/>
    <n v="1675000"/>
    <n v="1000000"/>
    <n v="1000000"/>
    <n v="675000"/>
    <n v="0"/>
    <x v="0"/>
  </r>
  <r>
    <x v="0"/>
    <x v="9"/>
    <s v="Fortalecimiento de la planeación para el desarrollo minero responsable con los territorios en el marco de la transición energética a nivel nacional"/>
    <s v="Minería"/>
    <s v="Sí"/>
    <s v="Sí"/>
    <n v="68"/>
    <s v="140-57"/>
    <s v="Ampliar el conocimiento de los encadenamientos productivos asociados a la actividad minera por parte de los actores del sector."/>
    <s v="Documentos de Planeación"/>
    <s v="Documento de planeación validado."/>
    <n v="80111620"/>
    <s v="C-2106-1900-12-40302A-2106003-02"/>
    <s v="Prestación de servicios profesionales y/o de apoyo a la gestión"/>
    <s v="140-57 Prestar servicios profesionales para apoyar las actividades relacionadas con el seguimiento financiero del proyecto de inversión y de planeación de la Subdirección de Minería"/>
    <s v="Enero "/>
    <s v="Enero "/>
    <s v="Enero "/>
    <n v="11"/>
    <s v="Meses"/>
    <s v="Contratación directa - Prestación de servicios profesionales "/>
    <s v="Propios - 20 - Ingresos corrientes"/>
    <n v="30250000"/>
    <n v="30250000"/>
    <s v="No"/>
    <s v="N/A"/>
    <s v="Germán Tiberio Ojeda"/>
    <s v="Subdirector de Minería"/>
    <n v="6012220601"/>
    <s v="german.ojeda@upme.gov.co"/>
    <n v="30250000"/>
    <n v="0"/>
    <n v="0"/>
    <n v="1625085"/>
    <n v="0"/>
    <n v="5416950"/>
    <n v="0"/>
    <n v="5416950"/>
    <n v="0"/>
    <n v="5416950"/>
    <n v="0"/>
    <n v="5416950"/>
    <n v="0"/>
    <n v="5416950"/>
    <n v="0"/>
    <n v="1540165"/>
    <n v="0"/>
    <n v="0"/>
    <n v="0"/>
    <n v="0"/>
    <n v="0"/>
    <n v="0"/>
    <n v="0"/>
    <n v="0"/>
    <n v="30250000"/>
    <n v="30250000"/>
    <n v="0"/>
    <n v="0"/>
    <s v="Prestar servicios profesionales para apoyar las actividades relacionadas con el seguimiento financiero del proyecto de inversión y de planeación de la Subdirección de Minería"/>
    <n v="30250000"/>
    <m/>
    <m/>
    <n v="1625085"/>
    <m/>
    <n v="5416950"/>
    <m/>
    <n v="5416950"/>
    <m/>
    <n v="5416950"/>
    <m/>
    <n v="5416950"/>
    <m/>
    <n v="5416950"/>
    <m/>
    <n v="1540165"/>
    <m/>
    <m/>
    <m/>
    <m/>
    <m/>
    <m/>
    <m/>
    <m/>
    <m/>
    <m/>
    <n v="30250000"/>
    <n v="30250000"/>
    <n v="0"/>
    <n v="0"/>
    <n v="21726"/>
    <d v="2026-01-11T00:00:00"/>
    <n v="30250000"/>
    <n v="0"/>
    <n v="12526"/>
    <d v="2026-01-20T00:00:00"/>
    <n v="30250000"/>
    <n v="0"/>
    <n v="0"/>
    <s v="MANOSALVA BALLESTEROS JUAN SEBASTIAN"/>
    <s v="CO1.PCCNTR.8942368"/>
    <n v="30250000"/>
    <m/>
    <m/>
    <m/>
    <m/>
    <m/>
    <m/>
    <n v="7222600"/>
    <n v="7222600"/>
    <m/>
    <n v="5416950"/>
    <n v="5416950"/>
    <m/>
    <m/>
    <m/>
    <m/>
    <m/>
    <m/>
    <m/>
    <m/>
    <m/>
    <m/>
    <m/>
    <m/>
    <m/>
    <m/>
    <m/>
    <m/>
    <m/>
    <m/>
    <m/>
    <m/>
    <m/>
    <m/>
    <m/>
    <m/>
    <n v="30250000"/>
    <n v="12639550"/>
    <n v="12639550"/>
    <n v="17610450"/>
    <n v="0"/>
    <x v="0"/>
  </r>
  <r>
    <x v="0"/>
    <x v="9"/>
    <s v="Fortalecimiento de la planeación para el desarrollo minero responsable con los territorios en el marco de la transición energética a nivel nacional"/>
    <s v="Minería"/>
    <s v="Sí"/>
    <s v="Sí"/>
    <n v="68"/>
    <s v="140-58"/>
    <s v="Ampliar el conocimiento de los encadenamientos productivos asociados a la actividad minera por parte de los actores del sector."/>
    <s v="Documentos de Planeación"/>
    <s v="Documento de planeación validado."/>
    <n v="80101507"/>
    <s v="C-2106-1900-12-40302A-2106003-02"/>
    <s v="Consultoría"/>
    <s v="140-58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0 - Ingresos corrientes"/>
    <n v="102219482"/>
    <n v="102219482"/>
    <s v="No"/>
    <s v="N/A"/>
    <s v="Germán Tiberio Ojeda"/>
    <s v="Subdirector de Minería"/>
    <n v="6012220601"/>
    <s v="german.ojeda@upme.gov.co"/>
    <n v="0"/>
    <n v="0"/>
    <n v="0"/>
    <n v="0"/>
    <n v="0"/>
    <n v="0"/>
    <n v="0"/>
    <n v="0"/>
    <n v="0"/>
    <n v="0"/>
    <n v="0"/>
    <n v="0"/>
    <n v="102219482"/>
    <n v="0"/>
    <n v="0"/>
    <n v="0"/>
    <n v="0"/>
    <n v="0"/>
    <n v="0"/>
    <n v="0"/>
    <n v="0"/>
    <n v="0"/>
    <n v="0"/>
    <n v="102219482"/>
    <n v="102219482"/>
    <n v="102219482"/>
    <n v="0"/>
    <n v="0"/>
    <s v="Desarrollo de nuevos indicadores, analítica y tableros para el SIMCO basados en información sectorial agregando valor a la divulgación de las estadísticas del sector minero"/>
    <m/>
    <m/>
    <m/>
    <m/>
    <m/>
    <m/>
    <m/>
    <m/>
    <m/>
    <m/>
    <m/>
    <m/>
    <n v="102219482"/>
    <m/>
    <m/>
    <m/>
    <m/>
    <m/>
    <m/>
    <m/>
    <m/>
    <m/>
    <m/>
    <n v="102219482"/>
    <m/>
    <m/>
    <n v="102219482"/>
    <n v="102219482"/>
    <n v="0"/>
    <n v="0"/>
    <m/>
    <m/>
    <m/>
    <n v="102219482"/>
    <m/>
    <m/>
    <n v="0"/>
    <n v="102219482"/>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59"/>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59 Prestar servicios profesionales de apoyo a la Subdirección de Minería en los aspectos técnicos asociados al cumplimiento de su misionalidad, así como en el acompañamiento en las actividades de divulgación, planeación e investigación del sector mine"/>
    <s v="Enero "/>
    <s v="Enero "/>
    <s v="Enero "/>
    <n v="11"/>
    <s v="Meses"/>
    <s v="Contratación directa - Prestación de servicios profesionales "/>
    <s v="Propios - 20 - Ingresos corrientes"/>
    <n v="97611039"/>
    <n v="97611039"/>
    <s v="No"/>
    <s v="N/A"/>
    <s v="Germán Tiberio Ojeda"/>
    <s v="Subdirector de Minería"/>
    <n v="6012220601"/>
    <s v="german.ojeda@upme.gov.co"/>
    <n v="97611039"/>
    <n v="0"/>
    <n v="0"/>
    <n v="0"/>
    <n v="0"/>
    <n v="3277705"/>
    <n v="0"/>
    <n v="10000000"/>
    <n v="0"/>
    <n v="10000000"/>
    <n v="0"/>
    <n v="10000000"/>
    <n v="0"/>
    <n v="10000000"/>
    <n v="0"/>
    <n v="10000000"/>
    <n v="0"/>
    <n v="10000000"/>
    <n v="0"/>
    <n v="10000000"/>
    <n v="0"/>
    <n v="10000000"/>
    <n v="0"/>
    <n v="14333334"/>
    <n v="97611039"/>
    <n v="97611039"/>
    <n v="0"/>
    <n v="0"/>
    <s v="Prestar servicios profesionales de apoyo a la Subdirección de Minería en los aspectos técnicos asociados al cumplimiento de su misionalidad, así como en el acompañamiento en las actividades de divulgación, planeación e investigación del sector minero."/>
    <n v="97611039"/>
    <m/>
    <m/>
    <m/>
    <m/>
    <n v="3277705"/>
    <m/>
    <n v="10000000"/>
    <m/>
    <n v="10000000"/>
    <m/>
    <n v="10000000"/>
    <m/>
    <n v="10000000"/>
    <m/>
    <n v="10000000"/>
    <m/>
    <n v="10000000"/>
    <m/>
    <n v="10000000"/>
    <m/>
    <n v="10000000"/>
    <m/>
    <n v="14333334"/>
    <m/>
    <m/>
    <n v="97611039"/>
    <n v="97611039"/>
    <n v="0"/>
    <n v="0"/>
    <n v="4026"/>
    <d v="2026-01-05T00:00:00"/>
    <n v="97611039"/>
    <n v="0"/>
    <n v="8826"/>
    <d v="2026-01-13T00:00:00"/>
    <n v="97611039"/>
    <n v="0"/>
    <n v="0"/>
    <s v="MORENO LOMBANA LUISA FERNANDA"/>
    <s v="CO1.PCCNTR.8847108"/>
    <n v="97611039"/>
    <m/>
    <m/>
    <m/>
    <n v="5666667"/>
    <n v="5666667"/>
    <m/>
    <n v="3277705"/>
    <n v="3277705"/>
    <m/>
    <n v="10000000"/>
    <n v="10000000"/>
    <m/>
    <m/>
    <m/>
    <m/>
    <m/>
    <m/>
    <m/>
    <m/>
    <m/>
    <m/>
    <m/>
    <m/>
    <m/>
    <m/>
    <m/>
    <m/>
    <m/>
    <m/>
    <m/>
    <m/>
    <m/>
    <m/>
    <m/>
    <m/>
    <n v="97611039"/>
    <n v="18944372"/>
    <n v="18944372"/>
    <n v="78666667"/>
    <n v="0"/>
    <x v="0"/>
  </r>
  <r>
    <x v="0"/>
    <x v="9"/>
    <s v="Fortalecimiento de la planeación para el desarrollo minero responsable con los territorios en el marco de la transición energética a nivel nacional"/>
    <s v="Minería"/>
    <s v="Sí"/>
    <s v="Sí"/>
    <n v="68"/>
    <s v="140-60"/>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0 Prestar servicios profesionales de apoyo a la Subdirección de Minería para la elaboración de informes asociados a aspectos técnicos, estudios y divulgación de la información del sector minero."/>
    <s v="Enero "/>
    <s v="Enero "/>
    <s v="Enero "/>
    <n v="11"/>
    <s v="Meses"/>
    <s v="Contratación directa - Prestación de servicios profesionales "/>
    <s v="Propios - 20 - Ingresos corrientes"/>
    <n v="54550000"/>
    <n v="54550000"/>
    <s v="No"/>
    <s v="N/A"/>
    <s v="Germán Tiberio Ojeda"/>
    <s v="Subdirector de Minería"/>
    <n v="6012220601"/>
    <s v="german.ojeda@upme.gov.co"/>
    <n v="54550000"/>
    <n v="0"/>
    <n v="0"/>
    <n v="0"/>
    <n v="0"/>
    <n v="0"/>
    <n v="0"/>
    <n v="4500000"/>
    <n v="0"/>
    <n v="5500000"/>
    <n v="0"/>
    <n v="5500000"/>
    <n v="0"/>
    <n v="5500000"/>
    <n v="0"/>
    <n v="5500000"/>
    <n v="0"/>
    <n v="5500000"/>
    <n v="0"/>
    <n v="5500000"/>
    <n v="0"/>
    <n v="5500000"/>
    <n v="0"/>
    <n v="11550000"/>
    <n v="54550000"/>
    <n v="54550000"/>
    <n v="0"/>
    <n v="0"/>
    <s v="Prestar servicios profesionales de apoyo a la Subdirección de Minería para la elaboración de informes asociados a aspectos técnicos, estudios y divulgación de la información del sector minero."/>
    <n v="54550000"/>
    <m/>
    <m/>
    <m/>
    <m/>
    <m/>
    <m/>
    <n v="4500000"/>
    <m/>
    <n v="5500000"/>
    <m/>
    <n v="5500000"/>
    <m/>
    <n v="5500000"/>
    <m/>
    <n v="5500000"/>
    <m/>
    <n v="5500000"/>
    <m/>
    <n v="5500000"/>
    <m/>
    <n v="5500000"/>
    <m/>
    <n v="11550000"/>
    <m/>
    <m/>
    <n v="54550000"/>
    <n v="54550000"/>
    <n v="0"/>
    <n v="0"/>
    <n v="33126"/>
    <d v="2026-01-15T00:00:00"/>
    <n v="51800000"/>
    <n v="2750000"/>
    <n v="35426"/>
    <d v="2026-01-30T00:00:00"/>
    <n v="51800000"/>
    <n v="2750000"/>
    <n v="0"/>
    <s v="RANGEL MAYORGA LIBIA PASTORA"/>
    <s v="CO1.PCCNTR.9197584"/>
    <n v="54550000"/>
    <m/>
    <m/>
    <m/>
    <m/>
    <m/>
    <n v="-2750000"/>
    <m/>
    <m/>
    <m/>
    <n v="2300000"/>
    <n v="2300000"/>
    <m/>
    <m/>
    <m/>
    <m/>
    <m/>
    <m/>
    <m/>
    <m/>
    <m/>
    <m/>
    <m/>
    <m/>
    <m/>
    <m/>
    <m/>
    <m/>
    <m/>
    <m/>
    <m/>
    <m/>
    <m/>
    <m/>
    <m/>
    <m/>
    <n v="51800000"/>
    <n v="2300000"/>
    <n v="2300000"/>
    <n v="49500000"/>
    <n v="0"/>
    <x v="0"/>
  </r>
  <r>
    <x v="0"/>
    <x v="9"/>
    <s v="Fortalecimiento de la planeación para el desarrollo minero responsable con los territorios en el marco de la transición energética a nivel nacional"/>
    <s v="Minería"/>
    <s v="Sí"/>
    <s v="Sí"/>
    <n v="68"/>
    <s v="140-61"/>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1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0 - Ingresos corrientes"/>
    <n v="6484611"/>
    <n v="6484611"/>
    <s v="No"/>
    <s v="N/A"/>
    <s v="Germán Tiberio Ojeda"/>
    <s v="Subdirector de Minería"/>
    <n v="6012220601"/>
    <s v="german.ojeda@upme.gov.co"/>
    <n v="6484611"/>
    <n v="0"/>
    <n v="0"/>
    <n v="0"/>
    <n v="0"/>
    <n v="0"/>
    <n v="0"/>
    <n v="0"/>
    <n v="0"/>
    <n v="0"/>
    <n v="0"/>
    <n v="0"/>
    <n v="0"/>
    <n v="0"/>
    <n v="0"/>
    <n v="0"/>
    <n v="0"/>
    <n v="509611"/>
    <n v="0"/>
    <n v="3200000"/>
    <n v="0"/>
    <n v="2775000"/>
    <n v="0"/>
    <n v="0"/>
    <n v="6484611"/>
    <n v="6484611"/>
    <n v="0"/>
    <n v="0"/>
    <s v="Prestar servicios profesionales de apoyo a la Subdirección de Minería para la gestión de datos y el desarrollo de modelos asociados al sector minero, desde un enfoque técnico y de investigación que contribuya al análisis y fortalecimiento del sector"/>
    <n v="6484611"/>
    <m/>
    <m/>
    <m/>
    <m/>
    <m/>
    <m/>
    <m/>
    <m/>
    <m/>
    <m/>
    <m/>
    <m/>
    <m/>
    <m/>
    <m/>
    <m/>
    <n v="509611"/>
    <m/>
    <n v="3200000"/>
    <m/>
    <n v="2775000"/>
    <m/>
    <m/>
    <m/>
    <m/>
    <n v="6484611"/>
    <n v="6484611"/>
    <n v="0"/>
    <n v="0"/>
    <n v="35626"/>
    <d v="2026-01-15T00:00:00"/>
    <n v="6484611"/>
    <n v="0"/>
    <n v="28826"/>
    <d v="2026-01-28T00:00:00"/>
    <n v="6484611"/>
    <n v="0"/>
    <n v="0"/>
    <s v="SEPULVEDA AMADO JUAN SEBASTIAN"/>
    <s v="CO1.PCCNTR.9129820"/>
    <n v="6484611"/>
    <m/>
    <m/>
    <m/>
    <m/>
    <m/>
    <m/>
    <m/>
    <m/>
    <m/>
    <m/>
    <m/>
    <m/>
    <m/>
    <m/>
    <m/>
    <m/>
    <m/>
    <m/>
    <m/>
    <m/>
    <m/>
    <m/>
    <m/>
    <m/>
    <m/>
    <m/>
    <m/>
    <m/>
    <m/>
    <m/>
    <m/>
    <m/>
    <m/>
    <m/>
    <m/>
    <n v="6484611"/>
    <n v="0"/>
    <n v="0"/>
    <n v="6484611"/>
    <n v="0"/>
    <x v="0"/>
  </r>
  <r>
    <x v="0"/>
    <x v="9"/>
    <s v="Fortalecimiento de la planeación para el desarrollo minero responsable con los territorios en el marco de la transición energética a nivel nacional"/>
    <s v="Minería"/>
    <s v="Sí"/>
    <s v="Sí"/>
    <n v="68"/>
    <s v="140-62"/>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2 Prestar servicios profesionales para apoyar a la Subdirección de Minería en la realización de análisis económicos, de mercado, prospectivos y de encadenamientos productivos, orientados a la elaboración, seguimiento y evaluación de los instrumentos "/>
    <s v="Enero "/>
    <s v="Enero "/>
    <s v="Enero "/>
    <n v="11"/>
    <s v="Meses"/>
    <s v="Contratación directa - Prestación de servicios profesionales "/>
    <s v="Propios - 20 - Ingresos corrientes"/>
    <n v="40659576"/>
    <n v="40659576"/>
    <s v="No"/>
    <s v="N/A"/>
    <s v="Germán Tiberio Ojeda"/>
    <s v="Subdirector de Minería"/>
    <n v="6012220601"/>
    <s v="german.ojeda@upme.gov.co"/>
    <n v="40659576"/>
    <n v="0"/>
    <n v="0"/>
    <n v="0"/>
    <n v="0"/>
    <n v="0"/>
    <n v="0"/>
    <n v="0"/>
    <n v="0"/>
    <n v="0"/>
    <n v="0"/>
    <n v="0"/>
    <n v="0"/>
    <n v="0"/>
    <n v="0"/>
    <n v="3909576"/>
    <n v="0"/>
    <n v="7500000"/>
    <n v="0"/>
    <n v="7500000"/>
    <n v="0"/>
    <n v="7500000"/>
    <n v="0"/>
    <n v="14250000"/>
    <n v="40659576"/>
    <n v="40659576"/>
    <n v="0"/>
    <n v="0"/>
    <s v="Prestar servicios profesionales para apoyar a la Subdirección de Minería en la realización de análisis económicos, de mercado, prospectivos y de encadenamientos productivos, orientados a la elaboración, seguimiento y evaluación de los instrumentos de plan"/>
    <n v="40659576"/>
    <m/>
    <m/>
    <m/>
    <m/>
    <m/>
    <m/>
    <m/>
    <m/>
    <m/>
    <m/>
    <m/>
    <m/>
    <m/>
    <m/>
    <n v="3909576"/>
    <m/>
    <n v="7500000"/>
    <m/>
    <n v="7500000"/>
    <m/>
    <n v="7500000"/>
    <m/>
    <n v="14250000"/>
    <m/>
    <m/>
    <n v="40659576"/>
    <n v="40659576"/>
    <n v="0"/>
    <n v="0"/>
    <n v="24726"/>
    <d v="2026-01-13T00:00:00"/>
    <n v="40659576"/>
    <n v="0"/>
    <n v="21326"/>
    <d v="2026-01-26T00:00:00"/>
    <n v="40659576"/>
    <n v="0"/>
    <n v="0"/>
    <s v="ACHURY RODRIGUEZ CAMILO ENRIQUE"/>
    <s v="CO1.PCCNTR.9060975"/>
    <n v="40659576"/>
    <m/>
    <m/>
    <m/>
    <m/>
    <m/>
    <m/>
    <m/>
    <m/>
    <m/>
    <m/>
    <m/>
    <m/>
    <m/>
    <m/>
    <m/>
    <m/>
    <m/>
    <m/>
    <m/>
    <m/>
    <m/>
    <m/>
    <m/>
    <m/>
    <m/>
    <m/>
    <m/>
    <m/>
    <m/>
    <m/>
    <m/>
    <m/>
    <m/>
    <m/>
    <m/>
    <n v="40659576"/>
    <n v="0"/>
    <n v="0"/>
    <n v="40659576"/>
    <n v="0"/>
    <x v="0"/>
  </r>
  <r>
    <x v="0"/>
    <x v="9"/>
    <s v="Fortalecimiento de la planeación para el desarrollo minero responsable con los territorios en el marco de la transición energética a nivel nacional"/>
    <s v="Minería"/>
    <s v="Sí"/>
    <s v="Sí"/>
    <n v="17"/>
    <s v="140-63"/>
    <s v="Fortalecer la articulación de las entidades del sector en la formulación, ejecución y seguimiento de la planeación minera."/>
    <s v="Documentos de Lineamientos Técnicos"/>
    <s v="Plan de trabajo."/>
    <s v="N/A"/>
    <s v="C-2106-1900-12-40302A-2106010-02"/>
    <s v="Viáticos o gastos de desplazamiento"/>
    <s v="140-63 Viáticos o gastos de desplazamiento"/>
    <s v="Enero "/>
    <s v="Enero "/>
    <s v="Enero "/>
    <s v="N/A"/>
    <s v="Meses"/>
    <s v="N/A"/>
    <s v="Propios - 20 - Ingresos corrientes"/>
    <n v="2200000"/>
    <n v="2200000"/>
    <s v="No"/>
    <s v="N/A"/>
    <s v="Germán Tiberio Ojeda"/>
    <s v="Subdirector de Minería"/>
    <n v="6012220601"/>
    <s v="german.ojeda@upme.gov.co"/>
    <n v="0"/>
    <n v="0"/>
    <n v="0"/>
    <n v="0"/>
    <n v="0"/>
    <n v="0"/>
    <n v="0"/>
    <n v="0"/>
    <n v="0"/>
    <n v="0"/>
    <n v="0"/>
    <n v="0"/>
    <n v="0"/>
    <n v="0"/>
    <n v="0"/>
    <n v="0"/>
    <n v="0"/>
    <n v="0"/>
    <n v="0"/>
    <n v="0"/>
    <n v="0"/>
    <n v="0"/>
    <n v="2200000"/>
    <n v="2200000"/>
    <n v="2200000"/>
    <n v="2200000"/>
    <n v="0"/>
    <n v="0"/>
    <s v="Viáticos o gastos de desplazamiento"/>
    <m/>
    <m/>
    <m/>
    <m/>
    <m/>
    <m/>
    <m/>
    <m/>
    <m/>
    <m/>
    <m/>
    <m/>
    <m/>
    <m/>
    <m/>
    <m/>
    <m/>
    <m/>
    <m/>
    <m/>
    <m/>
    <m/>
    <n v="2200000"/>
    <n v="2200000"/>
    <m/>
    <m/>
    <n v="2200000"/>
    <n v="2200000"/>
    <n v="0"/>
    <n v="0"/>
    <m/>
    <m/>
    <m/>
    <n v="2200000"/>
    <m/>
    <m/>
    <n v="0"/>
    <n v="22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64"/>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4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49625000"/>
    <n v="49625000"/>
    <s v="No"/>
    <s v="N/A"/>
    <s v="Germán Tiberio Ojeda"/>
    <s v="Subdirector de Minería"/>
    <n v="6012220601"/>
    <s v="german.ojeda@upme.gov.co"/>
    <n v="49625000"/>
    <n v="0"/>
    <n v="0"/>
    <n v="0"/>
    <n v="0"/>
    <n v="0"/>
    <n v="0"/>
    <n v="0"/>
    <n v="0"/>
    <n v="0"/>
    <n v="0"/>
    <n v="0"/>
    <n v="0"/>
    <n v="5375000"/>
    <n v="0"/>
    <n v="7500000"/>
    <n v="0"/>
    <n v="7500000"/>
    <n v="0"/>
    <n v="7500000"/>
    <n v="0"/>
    <n v="7500000"/>
    <n v="0"/>
    <n v="14250000"/>
    <n v="49625000"/>
    <n v="49625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49625000"/>
    <m/>
    <m/>
    <m/>
    <m/>
    <m/>
    <m/>
    <m/>
    <m/>
    <m/>
    <m/>
    <m/>
    <m/>
    <n v="5375000"/>
    <m/>
    <n v="7500000"/>
    <m/>
    <n v="7500000"/>
    <m/>
    <n v="7500000"/>
    <m/>
    <n v="7500000"/>
    <m/>
    <n v="14250000"/>
    <m/>
    <m/>
    <n v="49625000"/>
    <n v="49625000"/>
    <n v="0"/>
    <n v="0"/>
    <n v="21226"/>
    <d v="2026-01-11T00:00:00"/>
    <n v="49625000"/>
    <n v="0"/>
    <n v="20126"/>
    <d v="2026-01-26T00:00:00"/>
    <n v="49625000"/>
    <n v="0"/>
    <n v="0"/>
    <s v="NEGRETE FLORES JOVANA"/>
    <s v=".CO1.PCCNTR.8997355"/>
    <n v="49625000"/>
    <m/>
    <m/>
    <m/>
    <m/>
    <m/>
    <m/>
    <m/>
    <m/>
    <m/>
    <m/>
    <m/>
    <m/>
    <m/>
    <m/>
    <m/>
    <m/>
    <m/>
    <m/>
    <m/>
    <m/>
    <m/>
    <m/>
    <m/>
    <m/>
    <m/>
    <m/>
    <m/>
    <m/>
    <m/>
    <m/>
    <m/>
    <m/>
    <m/>
    <m/>
    <m/>
    <n v="49625000"/>
    <n v="0"/>
    <n v="0"/>
    <n v="49625000"/>
    <n v="0"/>
    <x v="0"/>
  </r>
  <r>
    <x v="0"/>
    <x v="9"/>
    <s v="Fortalecimiento de la planeación para el desarrollo minero responsable con los territorios en el marco de la transición energética a nivel nacional"/>
    <s v="Minería"/>
    <s v="Sí"/>
    <s v="Sí"/>
    <n v="68"/>
    <s v="140-65"/>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5 Prestar servicios profesionales para brindar apoyo a la subdirección de minería para el modelamiento del sector minero colombiano a través de las herramientas como dinámica de sistemas y Python, como soporte a los documentos técnicos y de planeació"/>
    <s v="Enero "/>
    <s v="Enero "/>
    <s v="Enero "/>
    <n v="11"/>
    <s v="Meses"/>
    <s v="Contratación directa - Prestación de servicios profesionales "/>
    <s v="Propios - 20 - Ingresos corrientes"/>
    <n v="46250000"/>
    <n v="46250000"/>
    <s v="No"/>
    <s v="N/A"/>
    <s v="Germán Tiberio Ojeda"/>
    <s v="Subdirector de Minería"/>
    <n v="6012220601"/>
    <s v="german.ojeda@upme.gov.co"/>
    <n v="46250000"/>
    <n v="0"/>
    <n v="0"/>
    <n v="0"/>
    <n v="0"/>
    <n v="0"/>
    <n v="0"/>
    <n v="0"/>
    <n v="0"/>
    <n v="0"/>
    <n v="0"/>
    <n v="0"/>
    <n v="0"/>
    <n v="2000000"/>
    <n v="0"/>
    <n v="7500000"/>
    <n v="0"/>
    <n v="7500000"/>
    <n v="0"/>
    <n v="7500000"/>
    <n v="0"/>
    <n v="7500000"/>
    <n v="0"/>
    <n v="14250000"/>
    <n v="46250000"/>
    <n v="46250000"/>
    <n v="0"/>
    <n v="0"/>
    <s v="Prestar servicios profesionales para brindar apoyo a la subdirección de minería para el modelamiento del sector minero colombiano a través de las herramientas como dinámica de sistemas y Python, como soporte a los documentos técnicos y de planeación miner"/>
    <n v="46250000"/>
    <m/>
    <m/>
    <m/>
    <m/>
    <m/>
    <m/>
    <m/>
    <m/>
    <m/>
    <m/>
    <m/>
    <m/>
    <n v="2000000"/>
    <m/>
    <n v="7500000"/>
    <m/>
    <n v="7500000"/>
    <m/>
    <n v="7500000"/>
    <m/>
    <n v="7500000"/>
    <m/>
    <n v="14250000"/>
    <m/>
    <m/>
    <n v="46250000"/>
    <n v="46250000"/>
    <n v="0"/>
    <n v="0"/>
    <n v="40726"/>
    <d v="2026-01-16T00:00:00"/>
    <n v="46250000"/>
    <n v="0"/>
    <n v="21026"/>
    <d v="2026-01-26T00:00:00"/>
    <n v="46250000"/>
    <s v="&lt;"/>
    <n v="0"/>
    <s v="AVILA CHOCONTA HAROL ANDREY"/>
    <s v="CO1.PCCNTR.9060266"/>
    <n v="46250000"/>
    <m/>
    <m/>
    <m/>
    <m/>
    <m/>
    <m/>
    <m/>
    <m/>
    <m/>
    <m/>
    <m/>
    <m/>
    <m/>
    <m/>
    <m/>
    <m/>
    <m/>
    <m/>
    <m/>
    <m/>
    <m/>
    <m/>
    <m/>
    <m/>
    <m/>
    <m/>
    <m/>
    <m/>
    <m/>
    <m/>
    <m/>
    <m/>
    <m/>
    <m/>
    <m/>
    <n v="46250000"/>
    <n v="0"/>
    <n v="0"/>
    <n v="46250000"/>
    <n v="0"/>
    <x v="0"/>
  </r>
  <r>
    <x v="0"/>
    <x v="9"/>
    <s v="Fortalecimiento de la planeación para el desarrollo minero responsable con los territorios en el marco de la transición energética a nivel nacional"/>
    <s v="Minería"/>
    <s v="Sí"/>
    <s v="Sí"/>
    <n v="68"/>
    <s v="140-66"/>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6 Prestar servicios profesionales para apoyar las actividades relacionadas con el seguimiento financiero del proyecto de inversión y de planeación de la Subdirección de Minería"/>
    <s v="Enero "/>
    <s v="Enero "/>
    <s v="Enero "/>
    <n v="11"/>
    <s v="Meses"/>
    <s v="Contratación directa - Prestación de servicios profesionales "/>
    <s v="Propios - 20 - Ingresos corrientes"/>
    <n v="30250000"/>
    <n v="30250000"/>
    <s v="No"/>
    <s v="N/A"/>
    <s v="Germán Tiberio Ojeda"/>
    <s v="Subdirector de Minería"/>
    <n v="6012220601"/>
    <s v="german.ojeda@upme.gov.co"/>
    <n v="29336450"/>
    <n v="0"/>
    <n v="0"/>
    <n v="0"/>
    <n v="0"/>
    <n v="0"/>
    <n v="0"/>
    <n v="0"/>
    <n v="0"/>
    <n v="0"/>
    <n v="0"/>
    <n v="0"/>
    <n v="0"/>
    <n v="0"/>
    <n v="0"/>
    <n v="3876785"/>
    <n v="0"/>
    <n v="5416950"/>
    <n v="0"/>
    <n v="5416950"/>
    <n v="0"/>
    <n v="5416950"/>
    <n v="913550"/>
    <n v="10122365"/>
    <n v="30250000"/>
    <n v="30250000"/>
    <n v="0"/>
    <n v="0"/>
    <s v="Prestar servicios profesionales para apoyar las actividades relacionadas con el seguimiento financiero del proyecto de inversión y de planeación de la Subdirección de Minería"/>
    <n v="29336450"/>
    <m/>
    <m/>
    <m/>
    <m/>
    <m/>
    <m/>
    <m/>
    <m/>
    <m/>
    <m/>
    <m/>
    <m/>
    <m/>
    <m/>
    <n v="3876785"/>
    <m/>
    <n v="5416950"/>
    <m/>
    <n v="5416950"/>
    <m/>
    <n v="5416950"/>
    <n v="913550"/>
    <n v="10122365"/>
    <m/>
    <m/>
    <n v="30250000"/>
    <n v="30250000"/>
    <n v="0"/>
    <n v="0"/>
    <n v="21726"/>
    <d v="2026-01-11T00:00:00"/>
    <n v="29336450"/>
    <n v="913550"/>
    <n v="12526"/>
    <d v="2026-01-20T00:00:00"/>
    <n v="29336450"/>
    <n v="913550"/>
    <n v="0"/>
    <s v="MANOSALVA BALLESTEROS JUAN SEBASTIAN"/>
    <s v="CO1.PCCNTR.8942368"/>
    <n v="29336450"/>
    <m/>
    <m/>
    <m/>
    <m/>
    <m/>
    <m/>
    <m/>
    <m/>
    <m/>
    <m/>
    <m/>
    <m/>
    <m/>
    <m/>
    <m/>
    <m/>
    <m/>
    <m/>
    <m/>
    <m/>
    <m/>
    <m/>
    <m/>
    <m/>
    <m/>
    <m/>
    <m/>
    <m/>
    <m/>
    <m/>
    <m/>
    <m/>
    <m/>
    <m/>
    <m/>
    <n v="29336450"/>
    <n v="0"/>
    <n v="0"/>
    <n v="29336450"/>
    <n v="0"/>
    <x v="0"/>
  </r>
  <r>
    <x v="0"/>
    <x v="9"/>
    <s v="Fortalecimiento de la planeación para el desarrollo minero responsable con los territorios en el marco de la transición energética a nivel nacional"/>
    <s v="Minería"/>
    <s v="Sí"/>
    <s v="Sí"/>
    <n v="1"/>
    <s v="140-67"/>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7 Prestar servicios profesionales para apoyar a la Subdirección de Minería en la articulación, funcionamiento y coordinación de los procesos de planeación del sector minero, mediante la elaboración de documentos técnicos, la evaluación de los planes "/>
    <s v="Enero "/>
    <s v="Enero "/>
    <s v="Enero "/>
    <n v="11"/>
    <s v="Meses"/>
    <s v="Contratación directa - Prestación de servicios profesionales "/>
    <s v="Propios - 20 - Ingresos corrientes"/>
    <n v="44284887"/>
    <n v="44284887"/>
    <s v="No"/>
    <s v="N/A"/>
    <s v="Germán Tiberio Ojeda"/>
    <s v="Subdirector de Minería"/>
    <n v="6012220601"/>
    <s v="german.ojeda@upme.gov.co"/>
    <n v="44284887"/>
    <n v="0"/>
    <n v="0"/>
    <n v="0"/>
    <n v="0"/>
    <n v="0"/>
    <n v="0"/>
    <n v="0"/>
    <n v="0"/>
    <n v="0"/>
    <n v="0"/>
    <n v="0"/>
    <n v="0"/>
    <n v="0"/>
    <n v="0"/>
    <n v="1984887"/>
    <n v="0"/>
    <n v="9000000"/>
    <n v="0"/>
    <n v="9000000"/>
    <n v="0"/>
    <n v="9000000"/>
    <n v="0"/>
    <n v="15300000"/>
    <n v="44284887"/>
    <n v="44284887"/>
    <n v="0"/>
    <n v="0"/>
    <s v="Prestar servicios profesionales para apoyar a la Subdirección de Minería en la articulación, funcionamiento y coordinación de los procesos de planeación del sector minero, mediante la elaboración de documentos técnicos, la evaluación de los planes subsect"/>
    <n v="44284887"/>
    <m/>
    <m/>
    <m/>
    <m/>
    <m/>
    <m/>
    <m/>
    <m/>
    <m/>
    <m/>
    <m/>
    <m/>
    <m/>
    <m/>
    <n v="1984887"/>
    <m/>
    <n v="9000000"/>
    <m/>
    <n v="9000000"/>
    <m/>
    <n v="9000000"/>
    <m/>
    <n v="15300000"/>
    <m/>
    <m/>
    <n v="44284887"/>
    <n v="44284887"/>
    <n v="0"/>
    <n v="0"/>
    <n v="21626"/>
    <d v="2026-01-11T00:00:00"/>
    <n v="44284887"/>
    <n v="0"/>
    <n v="12726"/>
    <d v="2026-01-20T00:00:00"/>
    <n v="44284887"/>
    <n v="0"/>
    <n v="0"/>
    <s v="SANTAMARIA ARAGON JULIAN ESTEBAN"/>
    <s v="CO1.PCCNTR.8938523"/>
    <n v="44284887"/>
    <m/>
    <m/>
    <m/>
    <m/>
    <m/>
    <m/>
    <m/>
    <m/>
    <m/>
    <m/>
    <m/>
    <m/>
    <m/>
    <m/>
    <m/>
    <m/>
    <m/>
    <m/>
    <m/>
    <m/>
    <m/>
    <m/>
    <m/>
    <m/>
    <m/>
    <m/>
    <m/>
    <m/>
    <m/>
    <m/>
    <m/>
    <m/>
    <m/>
    <m/>
    <m/>
    <n v="44284887"/>
    <n v="0"/>
    <n v="0"/>
    <n v="44284887"/>
    <n v="0"/>
    <x v="0"/>
  </r>
  <r>
    <x v="0"/>
    <x v="9"/>
    <s v="Fortalecimiento de la planeación para el desarrollo minero responsable con los territorios en el marco de la transición energética a nivel nacional"/>
    <s v="Minería"/>
    <s v="Sí"/>
    <s v="Sí"/>
    <n v="68"/>
    <s v="140-68"/>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68 Prestar servicios profesionales a la Subdirección de Minería para apoyar la implementación de mejoras funcionales y operativas del Sistema de Información Minero Colombiano (SIMCO), así como el diseño y desarrollo de modelos geoespaciales mediante S"/>
    <s v="Enero "/>
    <s v="Enero "/>
    <s v="Enero "/>
    <n v="11"/>
    <s v="Meses"/>
    <s v="Contratación directa - Prestación de servicios profesionales "/>
    <s v="Propios - 20 - Ingresos corrientes"/>
    <n v="25784887"/>
    <n v="25784887"/>
    <s v="No"/>
    <s v="N/A"/>
    <s v="Germán Tiberio Ojeda"/>
    <s v="Subdirector de Minería"/>
    <n v="6012220601"/>
    <s v="german.ojeda@upme.gov.co"/>
    <n v="25784887"/>
    <n v="0"/>
    <n v="0"/>
    <n v="0"/>
    <n v="0"/>
    <n v="0"/>
    <n v="0"/>
    <n v="0"/>
    <n v="0"/>
    <n v="0"/>
    <n v="0"/>
    <n v="0"/>
    <n v="0"/>
    <n v="0"/>
    <n v="0"/>
    <n v="0"/>
    <n v="0"/>
    <n v="0"/>
    <n v="0"/>
    <n v="0"/>
    <n v="0"/>
    <n v="7934887"/>
    <n v="0"/>
    <n v="17850000"/>
    <n v="25784887"/>
    <n v="25784887"/>
    <n v="0"/>
    <n v="0"/>
    <s v="Prestar servicios profesionales a la Subdirección de Minería para apoyar la implementación de mejoras funcionales y operativas del Sistema de Información Minero Colombiano (SIMCO), así como el diseño y desarrollo de modelos geoespaciales mediante Sistemas"/>
    <n v="25784887"/>
    <m/>
    <m/>
    <m/>
    <m/>
    <m/>
    <m/>
    <m/>
    <m/>
    <m/>
    <m/>
    <m/>
    <m/>
    <m/>
    <m/>
    <m/>
    <m/>
    <m/>
    <m/>
    <m/>
    <m/>
    <n v="7934887"/>
    <m/>
    <n v="17850000"/>
    <m/>
    <m/>
    <n v="25784887"/>
    <n v="25784887"/>
    <n v="0"/>
    <n v="0"/>
    <n v="3526"/>
    <d v="2026-01-05T00:00:00"/>
    <n v="25784887"/>
    <n v="0"/>
    <n v="12126"/>
    <d v="2026-01-20T00:00:00"/>
    <n v="25784887"/>
    <n v="0"/>
    <n v="0"/>
    <s v="PEÑA SOLANO LUIS GIOVANNY"/>
    <s v="CO1.PCCNTR 8965898"/>
    <n v="25784887"/>
    <m/>
    <m/>
    <m/>
    <m/>
    <m/>
    <m/>
    <m/>
    <m/>
    <m/>
    <m/>
    <m/>
    <m/>
    <m/>
    <m/>
    <m/>
    <m/>
    <m/>
    <m/>
    <m/>
    <m/>
    <m/>
    <m/>
    <m/>
    <m/>
    <m/>
    <m/>
    <m/>
    <m/>
    <m/>
    <m/>
    <m/>
    <m/>
    <m/>
    <m/>
    <m/>
    <n v="25784887"/>
    <n v="0"/>
    <n v="0"/>
    <n v="25784887"/>
    <n v="0"/>
    <x v="0"/>
  </r>
  <r>
    <x v="0"/>
    <x v="9"/>
    <s v="Fortalecimiento de la planeación para el desarrollo minero responsable con los territorios en el marco de la transición energética a nivel nacional"/>
    <s v="Minería"/>
    <s v="Sí"/>
    <s v="Sí"/>
    <n v="23"/>
    <s v="140-69"/>
    <s v="Fortalecer la articulación de las entidades del sector en la formulación, ejecución y seguimiento de la planeación minera."/>
    <s v="Documentos de Lineamientos Técnicos"/>
    <s v="Plan de trabajo."/>
    <s v="N/A"/>
    <s v="C-2106-1900-12-40302A-2106010-02"/>
    <s v="Viáticos o gastos de desplazamiento"/>
    <s v="140-69 Viáticos o gastos de desplazamiento"/>
    <s v="Enero "/>
    <s v="Enero "/>
    <s v="Enero "/>
    <s v="N/A"/>
    <s v="Meses"/>
    <s v="N/A"/>
    <s v="Propios - 20 - Ingresos corrientes"/>
    <n v="47300000"/>
    <n v="47300000"/>
    <s v="No"/>
    <s v="N/A"/>
    <s v="Germán Tiberio Ojeda"/>
    <s v="Subdirector de Minería"/>
    <n v="6012220601"/>
    <s v="german.ojeda@upme.gov.co"/>
    <n v="0"/>
    <n v="0"/>
    <n v="0"/>
    <n v="0"/>
    <n v="0"/>
    <n v="0"/>
    <n v="0"/>
    <n v="0"/>
    <n v="0"/>
    <n v="0"/>
    <n v="0"/>
    <n v="0"/>
    <n v="0"/>
    <n v="0"/>
    <n v="0"/>
    <n v="0"/>
    <n v="0"/>
    <n v="0"/>
    <n v="0"/>
    <n v="0"/>
    <n v="0"/>
    <n v="0"/>
    <n v="47300000"/>
    <n v="47300000"/>
    <n v="47300000"/>
    <n v="47300000"/>
    <n v="0"/>
    <n v="0"/>
    <s v="Viáticos o gastos de desplazamiento"/>
    <m/>
    <m/>
    <m/>
    <m/>
    <m/>
    <m/>
    <m/>
    <m/>
    <m/>
    <m/>
    <m/>
    <m/>
    <m/>
    <m/>
    <m/>
    <m/>
    <m/>
    <m/>
    <m/>
    <m/>
    <m/>
    <m/>
    <n v="47300000"/>
    <n v="47300000"/>
    <m/>
    <m/>
    <n v="47300000"/>
    <n v="47300000"/>
    <n v="0"/>
    <n v="0"/>
    <n v="66226"/>
    <d v="2026-01-29T00:00:00"/>
    <m/>
    <n v="47300000"/>
    <m/>
    <m/>
    <n v="0"/>
    <n v="473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1"/>
    <s v="140-70"/>
    <s v="Fortalecer la articulación de las entidades del sector en la formulación, ejecución y seguimiento de la planeación minera."/>
    <s v="Documentos de Lineamientos Técnicos"/>
    <s v="Plan de trabajo."/>
    <n v="81121503"/>
    <s v="C-2106-1900-12-40302A-2106010-02"/>
    <s v="Estudios"/>
    <s v="140-70 Elaborar los balances oferta utilización de 34 productos mineros y la cuenta de producción y generación del ingreso de 10 actividades económicas mineras CIIU Rev. 4 A.C. para 2023 y 2024 en versión provisional para la operación estadística cuenta s"/>
    <s v="Mayo"/>
    <s v="Junio"/>
    <s v="Julio"/>
    <n v="5"/>
    <s v="Meses"/>
    <s v="Contratación directa - Contratos interadministrativos "/>
    <s v="Propios - 20 - Ingresos corrientes"/>
    <n v="46000000"/>
    <n v="46000000"/>
    <s v="No"/>
    <s v="N/A"/>
    <s v="Germán Tiberio Ojeda"/>
    <s v="Subdirector de Minería"/>
    <n v="6012220601"/>
    <s v="german.ojeda@upme.gov.co"/>
    <n v="0"/>
    <n v="0"/>
    <n v="0"/>
    <n v="0"/>
    <n v="0"/>
    <n v="0"/>
    <n v="0"/>
    <n v="0"/>
    <n v="0"/>
    <n v="0"/>
    <n v="0"/>
    <n v="0"/>
    <n v="46000000"/>
    <n v="0"/>
    <n v="0"/>
    <n v="0"/>
    <n v="0"/>
    <n v="27333333"/>
    <n v="0"/>
    <n v="0"/>
    <n v="0"/>
    <n v="18666667"/>
    <n v="0"/>
    <n v="0"/>
    <n v="46000000"/>
    <n v="46000000"/>
    <n v="0"/>
    <n v="0"/>
    <s v="Elaborar los balances oferta utilización de 34 productos mineros y la cuenta de producción y generación del ingreso de 10 actividades económicas mineras CIIU Rev. 4 A.C. para 2023 y 2024 en versión provisional para la operación estadística cuenta satélite"/>
    <m/>
    <m/>
    <m/>
    <m/>
    <m/>
    <m/>
    <m/>
    <m/>
    <m/>
    <m/>
    <m/>
    <m/>
    <n v="46000000"/>
    <m/>
    <m/>
    <m/>
    <m/>
    <n v="27333333"/>
    <m/>
    <m/>
    <m/>
    <n v="18666667"/>
    <m/>
    <m/>
    <m/>
    <m/>
    <n v="46000000"/>
    <n v="46000000"/>
    <n v="0"/>
    <n v="0"/>
    <m/>
    <m/>
    <m/>
    <n v="46000000"/>
    <m/>
    <m/>
    <n v="0"/>
    <n v="46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71"/>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71 Prestar servicios profesionales de apoyo a la Subdirección de Minería en la organización y gestión de la información asociada a los estudios técnicos del sector minero."/>
    <s v="Enero "/>
    <s v="Enero "/>
    <s v="Enero "/>
    <n v="11"/>
    <s v="Meses"/>
    <s v="Contratación directa - Prestación de servicios profesionales "/>
    <s v="Propios - 20 - Ingresos corrientes"/>
    <n v="35200000"/>
    <n v="35200000"/>
    <s v="No"/>
    <s v="N/A"/>
    <s v="Germán Tiberio Ojeda"/>
    <s v="Subdirector de Minería"/>
    <n v="6012220601"/>
    <s v="german.ojeda@upme.gov.co"/>
    <n v="35200000"/>
    <n v="0"/>
    <n v="0"/>
    <n v="233000"/>
    <n v="0"/>
    <n v="3200000"/>
    <n v="0"/>
    <n v="3200000"/>
    <n v="0"/>
    <n v="3200000"/>
    <n v="0"/>
    <n v="3200000"/>
    <n v="0"/>
    <n v="3200000"/>
    <n v="0"/>
    <n v="3200000"/>
    <n v="0"/>
    <n v="3200000"/>
    <n v="0"/>
    <n v="3200000"/>
    <n v="0"/>
    <n v="3200000"/>
    <n v="0"/>
    <n v="6167000"/>
    <n v="35200000"/>
    <n v="35200000"/>
    <n v="0"/>
    <n v="0"/>
    <s v="Prestar servicios profesionales de apoyo a la Subdirección de Minería en la organización y gestión de la información asociada a los estudios técnicos del sector minero."/>
    <n v="35200000"/>
    <m/>
    <m/>
    <n v="233000"/>
    <m/>
    <n v="3200000"/>
    <m/>
    <n v="3200000"/>
    <m/>
    <n v="3200000"/>
    <m/>
    <n v="3200000"/>
    <m/>
    <n v="3200000"/>
    <m/>
    <n v="3200000"/>
    <m/>
    <n v="3200000"/>
    <m/>
    <n v="3200000"/>
    <m/>
    <n v="3200000"/>
    <m/>
    <n v="6167000"/>
    <m/>
    <m/>
    <n v="35200000"/>
    <n v="35200000"/>
    <n v="0"/>
    <n v="0"/>
    <n v="39026"/>
    <d v="2026-01-15T00:00:00"/>
    <n v="35200000"/>
    <n v="0"/>
    <n v="23226"/>
    <d v="2026-01-27T00:00:00"/>
    <n v="35200000"/>
    <n v="0"/>
    <n v="0"/>
    <s v="SUAREZ PEÑALOZA JHON ALEXIS"/>
    <s v="CO1.PCCNTR.9083174"/>
    <n v="35200000"/>
    <m/>
    <m/>
    <m/>
    <n v="320000"/>
    <n v="320000"/>
    <m/>
    <n v="3200000"/>
    <n v="3200000"/>
    <m/>
    <n v="3200000"/>
    <n v="3200000"/>
    <m/>
    <m/>
    <m/>
    <m/>
    <m/>
    <m/>
    <m/>
    <m/>
    <m/>
    <m/>
    <m/>
    <m/>
    <m/>
    <m/>
    <m/>
    <m/>
    <m/>
    <m/>
    <m/>
    <m/>
    <m/>
    <m/>
    <m/>
    <m/>
    <n v="35200000"/>
    <n v="6720000"/>
    <n v="6720000"/>
    <n v="28480000"/>
    <n v="0"/>
    <x v="0"/>
  </r>
  <r>
    <x v="0"/>
    <x v="9"/>
    <s v="Fortalecimiento de la planeación para el desarrollo minero responsable con los territorios en el marco de la transición energética a nivel nacional"/>
    <s v="Minería"/>
    <s v="Sí"/>
    <s v="Sí"/>
    <n v="68"/>
    <s v="140-72"/>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72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0 - Ingresos corrientes"/>
    <n v="6825000"/>
    <n v="6825000"/>
    <s v="No"/>
    <s v="N/A"/>
    <s v="Germán Tiberio Ojeda"/>
    <s v="Subdirector de Minería"/>
    <n v="6012220601"/>
    <s v="german.ojeda@upme.gov.co"/>
    <n v="6825000"/>
    <n v="0"/>
    <n v="0"/>
    <n v="0"/>
    <n v="0"/>
    <n v="0"/>
    <n v="0"/>
    <n v="0"/>
    <n v="0"/>
    <n v="0"/>
    <n v="0"/>
    <n v="0"/>
    <n v="0"/>
    <n v="0"/>
    <n v="0"/>
    <n v="0"/>
    <n v="0"/>
    <n v="0"/>
    <n v="0"/>
    <n v="0"/>
    <n v="0"/>
    <n v="425000"/>
    <n v="0"/>
    <n v="6400000"/>
    <n v="6825000"/>
    <n v="6825000"/>
    <n v="0"/>
    <n v="0"/>
    <s v="Prestar servicios profesionales de apoyo a la Subdirección de Minería para la gestión de datos y el desarrollo de modelos asociados al sector minero, desde un enfoque técnico y de investigación que contribuya al análisis y fortalecimiento del sector"/>
    <n v="6825000"/>
    <m/>
    <m/>
    <m/>
    <m/>
    <m/>
    <m/>
    <m/>
    <m/>
    <m/>
    <m/>
    <m/>
    <m/>
    <m/>
    <m/>
    <m/>
    <m/>
    <m/>
    <m/>
    <m/>
    <m/>
    <n v="425000"/>
    <m/>
    <n v="6400000"/>
    <m/>
    <m/>
    <n v="6825000"/>
    <n v="6825000"/>
    <n v="0"/>
    <n v="0"/>
    <n v="35626"/>
    <d v="2026-01-15T00:00:00"/>
    <n v="6825000"/>
    <n v="0"/>
    <n v="28826"/>
    <d v="2026-01-28T00:00:00"/>
    <n v="6825000"/>
    <n v="0"/>
    <n v="0"/>
    <s v="SEPULVEDA AMADO JUAN SEBASTIAN"/>
    <s v="CO1.PCCNTR.9129820"/>
    <n v="6825000"/>
    <m/>
    <m/>
    <m/>
    <m/>
    <m/>
    <m/>
    <m/>
    <m/>
    <m/>
    <m/>
    <m/>
    <m/>
    <m/>
    <m/>
    <m/>
    <m/>
    <m/>
    <m/>
    <m/>
    <m/>
    <m/>
    <m/>
    <m/>
    <m/>
    <m/>
    <m/>
    <m/>
    <m/>
    <m/>
    <m/>
    <m/>
    <m/>
    <m/>
    <m/>
    <m/>
    <n v="6825000"/>
    <n v="0"/>
    <n v="0"/>
    <n v="6825000"/>
    <n v="0"/>
    <x v="0"/>
  </r>
  <r>
    <x v="0"/>
    <x v="9"/>
    <s v="Fortalecimiento de la planeación para el desarrollo minero responsable con los territorios en el marco de la transición energética a nivel nacional"/>
    <s v="Minería"/>
    <s v="Sí"/>
    <s v="Sí"/>
    <n v="68"/>
    <s v="140-73"/>
    <s v="Fortalecer la articulación de las entidades del sector en la formulación, ejecución y seguimiento de la planeación minera."/>
    <s v="Documentos de Lineamientos Técnicos"/>
    <s v="Documento con la descripción de procesos, métodos y herramientas."/>
    <n v="81121503"/>
    <s v="C-2106-1900-12-40302A-2106010-02"/>
    <s v="Estudios"/>
    <s v="140-73 Elaborar los balances oferta utilización de 34 productos mineros y la cuenta de producción y generación del ingreso de 10 actividades económicas mineras CIIU Rev. 4 A.C. para 2023 y 2024 en versión provisional para la operación estadística cuenta s"/>
    <s v="Mayo"/>
    <s v="Junio"/>
    <s v="Julio"/>
    <n v="5"/>
    <s v="Meses"/>
    <s v="Contratación directa - Contratos interadministrativos "/>
    <s v="Propios - 20 - Ingresos corrientes"/>
    <n v="36000000"/>
    <n v="36000000"/>
    <s v="No"/>
    <s v="N/A"/>
    <s v="Germán Tiberio Ojeda"/>
    <s v="Subdirector de Minería"/>
    <n v="6012220601"/>
    <s v="german.ojeda@upme.gov.co"/>
    <n v="0"/>
    <n v="0"/>
    <n v="0"/>
    <n v="0"/>
    <n v="0"/>
    <n v="0"/>
    <n v="0"/>
    <n v="0"/>
    <n v="0"/>
    <n v="0"/>
    <n v="0"/>
    <n v="0"/>
    <n v="36000000"/>
    <n v="0"/>
    <n v="0"/>
    <n v="0"/>
    <n v="0"/>
    <n v="0"/>
    <n v="0"/>
    <n v="0"/>
    <n v="0"/>
    <n v="0"/>
    <n v="0"/>
    <n v="36000000"/>
    <n v="36000000"/>
    <n v="36000000"/>
    <n v="0"/>
    <n v="0"/>
    <s v="Elaborar los balances oferta utilización de 34 productos mineros y la cuenta de producción y generación del ingreso de 10 actividades económicas mineras CIIU Rev. 4 A.C. para 2023 y 2024 en versión provisional para la operación estadística cuenta satélite"/>
    <m/>
    <m/>
    <m/>
    <m/>
    <m/>
    <m/>
    <m/>
    <m/>
    <m/>
    <m/>
    <m/>
    <m/>
    <n v="36000000"/>
    <m/>
    <m/>
    <m/>
    <m/>
    <m/>
    <m/>
    <m/>
    <m/>
    <m/>
    <m/>
    <n v="36000000"/>
    <m/>
    <m/>
    <n v="36000000"/>
    <n v="36000000"/>
    <n v="0"/>
    <n v="0"/>
    <m/>
    <m/>
    <m/>
    <n v="36000000"/>
    <m/>
    <m/>
    <n v="0"/>
    <n v="36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74"/>
    <s v="Fortalecer la articulación de las entidades del sector en la formulación, ejecución y seguimiento de la planeación minera."/>
    <s v="Documentos de Lineamientos Técnicos"/>
    <s v="Documento con la descripción de procesos, métodos y herramientas."/>
    <n v="80101507"/>
    <s v="C-2106-1900-12-40302A-2106010-02"/>
    <s v="Consultoría"/>
    <s v="140-74 Desarrollo de nuevos indicadores, analítica y tableros para el SIMCO basados en información sectorial agregando valor a la divulgación de las estadísticas del sector minero"/>
    <s v="Mayo"/>
    <s v="Junio"/>
    <s v="Julio"/>
    <n v="5"/>
    <s v="Meses"/>
    <s v="Contratación directa - Contratos interadministrativos "/>
    <s v="Propios - 20 - Ingresos corrientes"/>
    <n v="42925198"/>
    <n v="42925198"/>
    <s v="No"/>
    <s v="N/A"/>
    <s v="Germán Tiberio Ojeda"/>
    <s v="Subdirector de Minería"/>
    <n v="6012220601"/>
    <s v="german.ojeda@upme.gov.co"/>
    <n v="0"/>
    <n v="0"/>
    <n v="0"/>
    <n v="0"/>
    <n v="0"/>
    <n v="0"/>
    <n v="0"/>
    <n v="0"/>
    <n v="0"/>
    <n v="0"/>
    <n v="0"/>
    <n v="0"/>
    <n v="42925198"/>
    <n v="0"/>
    <n v="0"/>
    <n v="0"/>
    <n v="0"/>
    <n v="0"/>
    <n v="0"/>
    <n v="0"/>
    <n v="0"/>
    <n v="0"/>
    <n v="0"/>
    <n v="42925198"/>
    <n v="42925198"/>
    <n v="42925198"/>
    <n v="0"/>
    <n v="0"/>
    <s v="Desarrollo de nuevos indicadores, analítica y tableros para el SIMCO basados en información sectorial agregando valor a la divulgación de las estadísticas del sector minero"/>
    <m/>
    <m/>
    <m/>
    <m/>
    <m/>
    <m/>
    <m/>
    <m/>
    <m/>
    <m/>
    <m/>
    <m/>
    <n v="42925198"/>
    <m/>
    <m/>
    <m/>
    <m/>
    <m/>
    <m/>
    <m/>
    <m/>
    <m/>
    <m/>
    <n v="42925198"/>
    <m/>
    <m/>
    <n v="42925198"/>
    <n v="42925198"/>
    <n v="0"/>
    <n v="0"/>
    <m/>
    <m/>
    <m/>
    <n v="42925198"/>
    <m/>
    <m/>
    <n v="0"/>
    <n v="42925198"/>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1"/>
    <s v="140-75"/>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75 Prestar servicios profesionales de apoyo a la Subdirección de Minería en los aspectos técnicos asociados al cumplimiento de su misionalidad, así como en el acompañamiento en las actividades de planeación e investigación del sector minero."/>
    <s v="Enero "/>
    <s v="Enero "/>
    <s v="Enero "/>
    <n v="11"/>
    <s v="Meses"/>
    <s v="Contratación directa - Prestación de servicios profesionales "/>
    <s v="Propios - 20 - Ingresos corrientes"/>
    <n v="61474802"/>
    <n v="61474802"/>
    <s v="No"/>
    <s v="N/A"/>
    <s v="Germán Tiberio Ojeda"/>
    <s v="Subdirector de Minería"/>
    <n v="2220601"/>
    <s v="german.ojeda@upme.gov.co"/>
    <n v="61474802"/>
    <n v="0"/>
    <n v="0"/>
    <n v="0"/>
    <n v="0"/>
    <n v="0"/>
    <n v="0"/>
    <n v="0"/>
    <n v="0"/>
    <n v="3014802"/>
    <n v="0"/>
    <n v="7400000"/>
    <n v="0"/>
    <n v="7400000"/>
    <n v="0"/>
    <n v="7400000"/>
    <n v="0"/>
    <n v="7400000"/>
    <n v="0"/>
    <n v="7400000"/>
    <n v="0"/>
    <n v="7400000"/>
    <n v="0"/>
    <n v="14060000"/>
    <n v="61474802"/>
    <n v="61474802"/>
    <n v="0"/>
    <n v="0"/>
    <s v="Prestar servicios profesionales de apoyo a la Subdirección de Minería en los aspectos técnicos asociados al cumplimiento de su misionalidad, así como en el acompañamiento en las actividades de planeación e investigación del sector minero."/>
    <n v="61474802"/>
    <m/>
    <m/>
    <m/>
    <m/>
    <m/>
    <m/>
    <m/>
    <m/>
    <n v="3014802"/>
    <m/>
    <n v="7400000"/>
    <m/>
    <n v="7400000"/>
    <m/>
    <n v="7400000"/>
    <m/>
    <n v="7400000"/>
    <m/>
    <n v="7400000"/>
    <m/>
    <n v="7400000"/>
    <m/>
    <n v="14060000"/>
    <m/>
    <m/>
    <n v="61474802"/>
    <n v="61474802"/>
    <n v="0"/>
    <n v="0"/>
    <n v="21426"/>
    <d v="2026-01-11T00:00:00"/>
    <n v="61474802"/>
    <n v="0"/>
    <n v="20526"/>
    <d v="2026-01-26T00:00:00"/>
    <n v="61474802"/>
    <n v="0"/>
    <n v="0"/>
    <s v="LONDOÑO PALACINO CATALINA"/>
    <s v="CO1.PCCNTR.9037106"/>
    <n v="61474802"/>
    <m/>
    <m/>
    <m/>
    <m/>
    <m/>
    <m/>
    <m/>
    <m/>
    <m/>
    <m/>
    <m/>
    <m/>
    <m/>
    <m/>
    <m/>
    <m/>
    <m/>
    <m/>
    <m/>
    <m/>
    <m/>
    <m/>
    <m/>
    <m/>
    <m/>
    <m/>
    <m/>
    <m/>
    <m/>
    <m/>
    <m/>
    <m/>
    <m/>
    <m/>
    <m/>
    <n v="61474802"/>
    <n v="0"/>
    <n v="0"/>
    <n v="61474802"/>
    <n v="0"/>
    <x v="0"/>
  </r>
  <r>
    <x v="0"/>
    <x v="9"/>
    <s v="Fortalecimiento de la planeación para el desarrollo minero responsable con los territorios en el marco de la transición energética a nivel nacional"/>
    <s v="Minería"/>
    <s v="Sí"/>
    <s v="Sí"/>
    <n v="68"/>
    <s v="140-76"/>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76 Prestar servicios profesionales para apoyar a la Subdirección de Minería en asuntos administrativos y financieros, así como en la elaboración y apoyo a documentos técnicos y de investigación de la Subdirección."/>
    <s v="Enero "/>
    <s v="Enero "/>
    <s v="Enero "/>
    <n v="11"/>
    <s v="Meses"/>
    <s v="Contratación directa - Prestación de servicios profesionales "/>
    <s v="Propios - 20 - Ingresos corrientes"/>
    <n v="16600000"/>
    <n v="16600000"/>
    <s v="No"/>
    <s v="N/A"/>
    <s v="Germán Tiberio Ojeda"/>
    <s v="Subdirector de Minería"/>
    <n v="6012220601"/>
    <s v="german.ojeda@upme.gov.co"/>
    <n v="16600000"/>
    <n v="0"/>
    <n v="0"/>
    <n v="0"/>
    <n v="0"/>
    <n v="0"/>
    <n v="0"/>
    <n v="0"/>
    <n v="0"/>
    <n v="0"/>
    <n v="0"/>
    <n v="0"/>
    <n v="0"/>
    <n v="0"/>
    <n v="0"/>
    <n v="0"/>
    <n v="0"/>
    <n v="0"/>
    <n v="0"/>
    <n v="1100000"/>
    <n v="0"/>
    <n v="5000000"/>
    <n v="0"/>
    <n v="10500000"/>
    <n v="16600000"/>
    <n v="16600000"/>
    <n v="0"/>
    <n v="0"/>
    <s v="Prestar servicios profesionales para apoyar a la Subdirección de Minería en asuntos administrativos y financieros, así como en la elaboración y apoyo a documentos técnicos y de investigación de la Subdirección."/>
    <n v="16600000"/>
    <m/>
    <m/>
    <m/>
    <m/>
    <m/>
    <m/>
    <m/>
    <m/>
    <m/>
    <m/>
    <m/>
    <m/>
    <m/>
    <m/>
    <m/>
    <m/>
    <m/>
    <m/>
    <n v="1100000"/>
    <m/>
    <n v="5000000"/>
    <m/>
    <n v="10500000"/>
    <m/>
    <m/>
    <n v="16600000"/>
    <n v="16600000"/>
    <n v="0"/>
    <n v="0"/>
    <n v="39526"/>
    <d v="2026-01-15T00:00:00"/>
    <n v="16433333"/>
    <n v="166667"/>
    <n v="35526"/>
    <d v="2026-01-30T00:00:00"/>
    <n v="16433333"/>
    <n v="166667"/>
    <n v="0"/>
    <s v="ARRIETA MARTINEZ YISSETH VIVIANA"/>
    <s v="CO1.PCCNTR.9176351"/>
    <n v="16600000"/>
    <m/>
    <m/>
    <m/>
    <m/>
    <m/>
    <n v="-166667"/>
    <m/>
    <m/>
    <m/>
    <m/>
    <m/>
    <m/>
    <m/>
    <m/>
    <m/>
    <m/>
    <m/>
    <m/>
    <m/>
    <m/>
    <m/>
    <m/>
    <m/>
    <m/>
    <m/>
    <m/>
    <m/>
    <m/>
    <m/>
    <m/>
    <m/>
    <m/>
    <m/>
    <m/>
    <m/>
    <n v="16433333"/>
    <n v="0"/>
    <n v="0"/>
    <n v="16433333"/>
    <n v="0"/>
    <x v="0"/>
  </r>
  <r>
    <x v="0"/>
    <x v="9"/>
    <s v="Fortalecimiento de la planeación para el desarrollo minero responsable con los territorios en el marco de la transición energética a nivel nacional"/>
    <s v="Minería"/>
    <s v="Sí"/>
    <s v="Sí"/>
    <n v="68"/>
    <s v="140-77"/>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77 Prestar servicios ​profesionales de asesoría en los asuntos jurídicos y judiciales de competencia de la UPME, al igual que asesoría en los documentos técnicos, de planeación y servicios de divulgación del sector minero y lo que de ello se derive, e"/>
    <s v="Enero "/>
    <s v="Enero "/>
    <s v="Enero "/>
    <n v="11.5"/>
    <s v="Meses"/>
    <s v="Contratación directa - Prestación de servicios profesionales "/>
    <s v="Propios - 20 - Ingresos corrientes"/>
    <n v="51275000"/>
    <n v="51275000"/>
    <s v="No"/>
    <s v="N/A"/>
    <s v="Germán Tiberio Ojeda"/>
    <s v="Subdirector de Minería"/>
    <n v="6012220601"/>
    <s v="german.ojeda@upme.gov.co"/>
    <n v="51275000"/>
    <n v="0"/>
    <n v="0"/>
    <n v="0"/>
    <n v="0"/>
    <n v="0"/>
    <n v="0"/>
    <n v="0"/>
    <n v="0"/>
    <n v="0"/>
    <n v="0"/>
    <n v="0"/>
    <n v="0"/>
    <n v="0"/>
    <n v="0"/>
    <n v="0"/>
    <n v="0"/>
    <n v="455000"/>
    <n v="0"/>
    <n v="12100000"/>
    <n v="0"/>
    <n v="12100000"/>
    <n v="0"/>
    <n v="26620000"/>
    <n v="51275000"/>
    <n v="51275000"/>
    <n v="0"/>
    <n v="0"/>
    <s v="Prestar servicios ​profesionales de asesoría en los asuntos jurídicos y judiciales de competencia de la UPME, al igual que asesoría en los documentos técnicos, de planeación y servicios de divulgación del sector minero y lo que de ello se derive, en el ma"/>
    <n v="51275000"/>
    <m/>
    <m/>
    <m/>
    <m/>
    <m/>
    <m/>
    <m/>
    <m/>
    <m/>
    <m/>
    <m/>
    <m/>
    <m/>
    <m/>
    <m/>
    <m/>
    <n v="455000"/>
    <m/>
    <n v="12100000"/>
    <m/>
    <n v="12100000"/>
    <m/>
    <n v="26620000"/>
    <m/>
    <m/>
    <n v="51275000"/>
    <n v="51275000"/>
    <n v="0"/>
    <n v="0"/>
    <n v="3626"/>
    <d v="2026-01-05T00:00:00"/>
    <n v="51275000"/>
    <n v="0"/>
    <n v="14326"/>
    <d v="2026-01-21T00:00:00"/>
    <n v="51275000"/>
    <n v="0"/>
    <n v="0"/>
    <s v="TOVAR PERILLA CAMILO ANDRES"/>
    <s v="CO1.PCCNTR.8926095"/>
    <n v="51275000"/>
    <m/>
    <m/>
    <m/>
    <m/>
    <m/>
    <m/>
    <m/>
    <m/>
    <m/>
    <m/>
    <m/>
    <m/>
    <m/>
    <m/>
    <m/>
    <m/>
    <m/>
    <m/>
    <m/>
    <m/>
    <m/>
    <m/>
    <m/>
    <m/>
    <m/>
    <m/>
    <m/>
    <m/>
    <m/>
    <m/>
    <m/>
    <m/>
    <m/>
    <m/>
    <m/>
    <n v="51275000"/>
    <n v="0"/>
    <n v="0"/>
    <n v="51275000"/>
    <n v="0"/>
    <x v="0"/>
  </r>
  <r>
    <x v="0"/>
    <x v="9"/>
    <s v="Fortalecimiento de la planeación para el desarrollo minero responsable con los territorios en el marco de la transición energética a nivel nacional"/>
    <s v="Minería"/>
    <s v="Sí"/>
    <s v="Sí"/>
    <n v="68"/>
    <s v="140-78"/>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78 Prestar Servicios profesionales en el apoyo a la subdirección de minería en temas normativos, jurídicos para los instrumentos de planeación y documentos técnicos de la subdirección."/>
    <s v="Enero "/>
    <s v="Enero "/>
    <s v="Enero "/>
    <n v="10"/>
    <s v="Meses"/>
    <s v="Contratación directa - Prestación de servicios profesionales "/>
    <s v="Propios - 20 - Ingresos corrientes"/>
    <n v="70000000"/>
    <n v="70000000"/>
    <s v="No"/>
    <s v="N/A"/>
    <s v="Germán Tiberio Ojeda"/>
    <s v="Subdirector de Minería"/>
    <n v="6012220601"/>
    <s v="german.ojeda@upme.gov.co"/>
    <n v="0"/>
    <n v="0"/>
    <n v="70000000"/>
    <n v="0"/>
    <n v="0"/>
    <n v="5133333"/>
    <n v="0"/>
    <n v="7000000"/>
    <n v="0"/>
    <n v="7000000"/>
    <n v="0"/>
    <n v="7000000"/>
    <n v="0"/>
    <n v="7000000"/>
    <n v="0"/>
    <n v="7000000"/>
    <n v="0"/>
    <n v="7000000"/>
    <n v="0"/>
    <n v="7000000"/>
    <n v="0"/>
    <n v="7000000"/>
    <n v="0"/>
    <n v="8866667"/>
    <n v="70000000"/>
    <n v="70000000"/>
    <n v="0"/>
    <n v="0"/>
    <s v="Prestar Servicios profesionales en el apoyo a la subdirección de minería en temas normativos, jurídicos para los instrumentos de planeación y documentos técnicos de la subdirección."/>
    <m/>
    <m/>
    <n v="70000000"/>
    <m/>
    <m/>
    <n v="5133333"/>
    <m/>
    <n v="7000000"/>
    <m/>
    <n v="7000000"/>
    <m/>
    <n v="7000000"/>
    <m/>
    <n v="7000000"/>
    <m/>
    <n v="7000000"/>
    <m/>
    <n v="7000000"/>
    <m/>
    <n v="7000000"/>
    <m/>
    <n v="7000000"/>
    <m/>
    <n v="8866667"/>
    <m/>
    <m/>
    <n v="70000000"/>
    <n v="70000000"/>
    <n v="0"/>
    <n v="0"/>
    <n v="4126"/>
    <d v="2026-01-05T00:00:00"/>
    <n v="70000000"/>
    <n v="0"/>
    <n v="48826"/>
    <d v="2026-02-06T00:00:00"/>
    <n v="70000000"/>
    <n v="0"/>
    <n v="0"/>
    <s v="QUESADA SALGADO CARLOS ALBERTO"/>
    <s v=".CO1.PCCNTR 9271728"/>
    <m/>
    <m/>
    <m/>
    <n v="70000000"/>
    <m/>
    <m/>
    <m/>
    <n v="5133333"/>
    <n v="5133333"/>
    <m/>
    <n v="7000000"/>
    <n v="7000000"/>
    <m/>
    <m/>
    <m/>
    <m/>
    <m/>
    <m/>
    <m/>
    <m/>
    <m/>
    <m/>
    <m/>
    <m/>
    <m/>
    <m/>
    <m/>
    <m/>
    <m/>
    <m/>
    <m/>
    <m/>
    <m/>
    <m/>
    <m/>
    <m/>
    <n v="70000000"/>
    <n v="12133333"/>
    <n v="12133333"/>
    <n v="57866667"/>
    <n v="0"/>
    <x v="0"/>
  </r>
  <r>
    <x v="0"/>
    <x v="9"/>
    <s v="Fortalecimiento de la planeación para el desarrollo minero responsable con los territorios en el marco de la transición energética a nivel nacional"/>
    <s v="Minería"/>
    <s v="Sí"/>
    <s v="Sí"/>
    <n v="17"/>
    <s v="140-79"/>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79 Prestar servicios profesionales orientados a la divulgación, socialización de los procesos y documentos técnicos del sector minero energético, bajo el marco de los objetivos institucionales de la UPME"/>
    <s v="Enero "/>
    <s v="Enero "/>
    <s v="Enero "/>
    <n v="10"/>
    <s v="Meses"/>
    <s v="Contratación directa - Prestación de servicios profesionales "/>
    <s v="Propios - 20 - Ingresos corrientes"/>
    <n v="0"/>
    <n v="0"/>
    <s v="No"/>
    <s v="N/A"/>
    <s v="Germán Tiberio Ojeda"/>
    <s v="Subdirector de Minería"/>
    <n v="6012220601"/>
    <s v="german.ojeda@upme.gov.co"/>
    <n v="0"/>
    <n v="0"/>
    <n v="0"/>
    <n v="0"/>
    <n v="0"/>
    <n v="0"/>
    <n v="0"/>
    <n v="0"/>
    <n v="0"/>
    <n v="0"/>
    <n v="0"/>
    <n v="0"/>
    <n v="0"/>
    <n v="0"/>
    <n v="0"/>
    <n v="0"/>
    <n v="0"/>
    <n v="0"/>
    <n v="0"/>
    <n v="0"/>
    <n v="0"/>
    <n v="0"/>
    <n v="30000000"/>
    <n v="30000000"/>
    <n v="30000000"/>
    <n v="30000000"/>
    <n v="-30000000"/>
    <n v="-30000000"/>
    <s v="Prestar servicios profesionales orientados a la divulgación, socialización de los procesos y documentos técnicos del sector minero energético, bajo el marco de los objetivos institucionales de la UPME"/>
    <m/>
    <m/>
    <m/>
    <m/>
    <m/>
    <m/>
    <m/>
    <m/>
    <m/>
    <m/>
    <m/>
    <m/>
    <m/>
    <m/>
    <m/>
    <m/>
    <m/>
    <m/>
    <m/>
    <m/>
    <m/>
    <m/>
    <n v="0"/>
    <n v="0"/>
    <m/>
    <m/>
    <n v="0"/>
    <n v="0"/>
    <n v="0"/>
    <n v="0"/>
    <n v="64526"/>
    <d v="2026-01-24T00:00:00"/>
    <m/>
    <n v="0"/>
    <m/>
    <m/>
    <n v="0"/>
    <n v="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68"/>
    <s v="140-80"/>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80 Prestar servicios profesionales para la proyección y/o revisión jurídica de los documentos de tipo legal producto de las actuaciones administrativas de competencia de la UPME, y lo que de ello se derive, en el marco de la gestión institucional de l"/>
    <s v="Enero "/>
    <s v="Enero "/>
    <s v="Enero "/>
    <n v="11"/>
    <s v="Meses"/>
    <s v="Contratación directa - Prestación de servicios profesionales "/>
    <s v="Propios - 20 - Ingresos corrientes"/>
    <n v="47850000"/>
    <n v="47850000"/>
    <s v="No"/>
    <s v="N/A"/>
    <s v="Germán Tiberio Ojeda"/>
    <s v="Subdirector de Minería"/>
    <n v="6012220601"/>
    <s v="german.ojeda@upme.gov.co"/>
    <n v="47850000"/>
    <n v="0"/>
    <n v="0"/>
    <n v="0"/>
    <n v="0"/>
    <n v="0"/>
    <n v="0"/>
    <n v="0"/>
    <n v="0"/>
    <n v="0"/>
    <n v="0"/>
    <n v="0"/>
    <n v="0"/>
    <n v="0"/>
    <n v="0"/>
    <n v="4350000"/>
    <n v="0"/>
    <n v="8700000"/>
    <n v="0"/>
    <n v="8700000"/>
    <n v="0"/>
    <n v="8700000"/>
    <n v="0"/>
    <n v="17400000"/>
    <n v="47850000"/>
    <n v="47850000"/>
    <n v="0"/>
    <n v="0"/>
    <s v="Prestar servicios profesionales para la proyección y/o revisión jurídica de los documentos de tipo legal producto de las actuaciones administrativas de competencia de la UPME, y lo que de ello se derive, en el marco de la gestión institucional de la Entid"/>
    <n v="47850000"/>
    <m/>
    <m/>
    <m/>
    <m/>
    <m/>
    <m/>
    <m/>
    <m/>
    <m/>
    <m/>
    <m/>
    <m/>
    <m/>
    <m/>
    <n v="4350000"/>
    <m/>
    <n v="8700000"/>
    <m/>
    <n v="8700000"/>
    <m/>
    <n v="8700000"/>
    <m/>
    <n v="17400000"/>
    <m/>
    <m/>
    <n v="47850000"/>
    <n v="47850000"/>
    <n v="0"/>
    <n v="0"/>
    <n v="14026"/>
    <d v="2026-01-09T00:00:00"/>
    <n v="47850000"/>
    <n v="0"/>
    <n v="24926"/>
    <d v="2026-01-28T00:00:00"/>
    <n v="47850000"/>
    <n v="0"/>
    <n v="0"/>
    <s v="MONROY CADAVID HECTOR GUSTAVO"/>
    <s v="CO1.PCCNTR.9044345"/>
    <n v="47850000"/>
    <m/>
    <m/>
    <m/>
    <m/>
    <m/>
    <m/>
    <m/>
    <m/>
    <m/>
    <m/>
    <m/>
    <m/>
    <m/>
    <m/>
    <m/>
    <m/>
    <m/>
    <m/>
    <m/>
    <m/>
    <m/>
    <m/>
    <m/>
    <m/>
    <m/>
    <m/>
    <m/>
    <m/>
    <m/>
    <m/>
    <m/>
    <m/>
    <m/>
    <m/>
    <m/>
    <n v="47850000"/>
    <n v="0"/>
    <n v="0"/>
    <n v="47850000"/>
    <n v="0"/>
    <x v="0"/>
  </r>
  <r>
    <x v="0"/>
    <x v="9"/>
    <s v="Fortalecimiento de la planeación para el desarrollo minero responsable con los territorios en el marco de la transición energética a nivel nacional"/>
    <s v="Minería"/>
    <s v="Sí"/>
    <s v="Sí"/>
    <n v="2"/>
    <s v="140-81"/>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81  Prestar servicios ​profesionales en asuntos jurídicos relacionados con los procesos ​y procedimientos de competencia de la Subdirección de Minería, en el marco de la gestión institucional de la Entidad."/>
    <s v="Enero "/>
    <s v="Enero "/>
    <s v="Enero "/>
    <n v="11"/>
    <s v="Meses"/>
    <s v="Contratación directa - Prestación de servicios profesionales "/>
    <s v="Propios - 20 - Ingresos corrientes"/>
    <n v="27500000"/>
    <n v="27500000"/>
    <s v="No"/>
    <s v="N/A"/>
    <s v="Germán Tiberio Ojeda"/>
    <s v="Subdirector de Minería"/>
    <n v="6012220601"/>
    <s v="german.ojeda@upme.gov.co"/>
    <n v="27500000"/>
    <n v="0"/>
    <n v="0"/>
    <n v="0"/>
    <n v="0"/>
    <n v="0"/>
    <n v="0"/>
    <n v="0"/>
    <n v="0"/>
    <n v="0"/>
    <n v="0"/>
    <n v="0"/>
    <n v="0"/>
    <n v="0"/>
    <n v="0"/>
    <n v="5000000"/>
    <n v="0"/>
    <n v="5000000"/>
    <n v="0"/>
    <n v="5000000"/>
    <n v="0"/>
    <n v="5000000"/>
    <n v="0"/>
    <n v="7500000"/>
    <n v="27500000"/>
    <n v="27500000"/>
    <n v="0"/>
    <n v="0"/>
    <s v=" Prestar servicios ​profesionales en asuntos jurídicos relacionados con los procesos ​y procedimientos de competencia de la Subdirección de Minería, en el marco de la gestión institucional de la Entidad."/>
    <n v="27500000"/>
    <m/>
    <m/>
    <m/>
    <m/>
    <m/>
    <m/>
    <m/>
    <m/>
    <m/>
    <m/>
    <m/>
    <m/>
    <m/>
    <m/>
    <n v="5000000"/>
    <m/>
    <n v="5000000"/>
    <m/>
    <n v="5000000"/>
    <m/>
    <n v="5000000"/>
    <m/>
    <n v="7500000"/>
    <m/>
    <m/>
    <n v="27500000"/>
    <n v="27500000"/>
    <n v="0"/>
    <n v="0"/>
    <n v="39126"/>
    <d v="2026-01-15T00:00:00"/>
    <n v="27500000"/>
    <n v="0"/>
    <n v="27526"/>
    <d v="2026-01-28T00:00:00"/>
    <n v="27500000"/>
    <n v="0"/>
    <n v="0"/>
    <s v="FUENTES LOZANO CARLOS EDUARDO"/>
    <s v="CO1.PCCNTR.9129388"/>
    <n v="27500000"/>
    <m/>
    <m/>
    <m/>
    <m/>
    <m/>
    <m/>
    <m/>
    <m/>
    <m/>
    <m/>
    <m/>
    <m/>
    <m/>
    <m/>
    <m/>
    <m/>
    <m/>
    <m/>
    <m/>
    <m/>
    <m/>
    <m/>
    <m/>
    <m/>
    <m/>
    <m/>
    <m/>
    <m/>
    <m/>
    <m/>
    <m/>
    <m/>
    <m/>
    <m/>
    <m/>
    <n v="27500000"/>
    <n v="0"/>
    <n v="0"/>
    <n v="27500000"/>
    <n v="0"/>
    <x v="0"/>
  </r>
  <r>
    <x v="0"/>
    <x v="9"/>
    <s v="Fortalecimiento de la planeación para el desarrollo minero responsable con los territorios en el marco de la transición energética a nivel nacional"/>
    <s v="Minería"/>
    <s v="Sí"/>
    <s v="Sí"/>
    <n v="68"/>
    <s v="140-82"/>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82 Prestar servicios profesionales para apoyar a la Subdirección de Minería en la incorporación de aspectos técnicos y sociales que contribuyan al fortalecimiento de la investigación del sector minero."/>
    <s v="Enero "/>
    <s v="Enero "/>
    <s v="Enero "/>
    <n v="11"/>
    <s v="Meses"/>
    <s v="Contratación directa - Prestación de servicios profesionales "/>
    <s v="Propios - 20 - Ingresos corrientes"/>
    <n v="24700000"/>
    <n v="24700000"/>
    <s v="No"/>
    <s v="N/A"/>
    <s v="Germán Tiberio Ojeda"/>
    <s v="Subdirector de Minería"/>
    <n v="6012220601"/>
    <s v="german.ojeda@upme.gov.co"/>
    <n v="24700000"/>
    <n v="0"/>
    <n v="0"/>
    <n v="0"/>
    <n v="0"/>
    <n v="0"/>
    <n v="0"/>
    <n v="0"/>
    <n v="0"/>
    <n v="60000"/>
    <n v="0"/>
    <n v="3200000"/>
    <n v="0"/>
    <n v="3200000"/>
    <n v="0"/>
    <n v="3200000"/>
    <n v="0"/>
    <n v="3200000"/>
    <n v="0"/>
    <n v="3200000"/>
    <n v="0"/>
    <n v="3200000"/>
    <n v="0"/>
    <n v="5440000"/>
    <n v="24700000"/>
    <n v="24700000"/>
    <n v="0"/>
    <n v="0"/>
    <s v="Prestar servicios profesionales para apoyar a la Subdirección de Minería en la incorporación de aspectos técnicos y sociales que contribuyan al fortalecimiento de la investigación del sector minero."/>
    <n v="24700000"/>
    <m/>
    <m/>
    <m/>
    <m/>
    <m/>
    <m/>
    <m/>
    <m/>
    <n v="60000"/>
    <m/>
    <n v="3200000"/>
    <m/>
    <n v="3200000"/>
    <m/>
    <n v="3200000"/>
    <m/>
    <n v="3200000"/>
    <m/>
    <n v="3200000"/>
    <m/>
    <n v="3200000"/>
    <m/>
    <n v="5440000"/>
    <m/>
    <m/>
    <n v="24700000"/>
    <n v="24700000"/>
    <n v="0"/>
    <n v="0"/>
    <n v="3826"/>
    <d v="2026-01-05T00:00:00"/>
    <n v="24700000"/>
    <n v="0"/>
    <n v="13426"/>
    <d v="2026-01-20T00:00:00"/>
    <n v="24700000"/>
    <n v="0"/>
    <n v="0"/>
    <s v="SIERRA CARREÑO JESSICA TATHIANA"/>
    <s v="CO1.PCCNTR.8958706"/>
    <n v="24700000"/>
    <m/>
    <m/>
    <m/>
    <m/>
    <m/>
    <m/>
    <m/>
    <m/>
    <m/>
    <m/>
    <m/>
    <m/>
    <m/>
    <m/>
    <m/>
    <m/>
    <m/>
    <m/>
    <m/>
    <m/>
    <m/>
    <m/>
    <m/>
    <m/>
    <m/>
    <m/>
    <m/>
    <m/>
    <m/>
    <m/>
    <m/>
    <m/>
    <m/>
    <m/>
    <m/>
    <n v="24700000"/>
    <n v="0"/>
    <n v="0"/>
    <n v="24700000"/>
    <n v="0"/>
    <x v="0"/>
  </r>
  <r>
    <x v="0"/>
    <x v="9"/>
    <s v="Fortalecimiento de la planeación para el desarrollo minero responsable con los territorios en el marco de la transición energética a nivel nacional"/>
    <s v="Minería"/>
    <s v="Sí"/>
    <s v="Sí"/>
    <s v="Radicado 20261400002193"/>
    <s v="140-83"/>
    <s v="Fortalecer la articulación de las entidades del sector en la formulación, ejecución y seguimiento de la planeación minera."/>
    <s v="Documentos de Lineamientos Técnicos"/>
    <s v="Documento con la descripción de procesos, métodos y herramientas."/>
    <n v="78111502"/>
    <s v="C-2106-1900-12-40302A-2106010-02"/>
    <s v="Tiquetes"/>
    <s v="140-83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78000000"/>
    <n v="78000000"/>
    <s v="No"/>
    <s v="N/A"/>
    <s v="Germán Tiberio Ojeda"/>
    <s v="Subdirector de Minería"/>
    <n v="6012220601"/>
    <s v="german.ojeda@upme.gov.co"/>
    <n v="78000000"/>
    <n v="0"/>
    <n v="0"/>
    <n v="0"/>
    <n v="0"/>
    <n v="7800000"/>
    <n v="0"/>
    <n v="7800000"/>
    <n v="0"/>
    <n v="7800000"/>
    <n v="0"/>
    <n v="7800000"/>
    <n v="0"/>
    <n v="7800000"/>
    <n v="0"/>
    <n v="7800000"/>
    <n v="0"/>
    <n v="7800000"/>
    <n v="0"/>
    <n v="7800000"/>
    <n v="0"/>
    <n v="7800000"/>
    <n v="0"/>
    <n v="7800000"/>
    <n v="78000000"/>
    <n v="78000000"/>
    <n v="0"/>
    <n v="0"/>
    <s v="Adquirir los servicios necesarios para garantizar el desplazamiento de servidores públicos y contratistas de la UPME a los eventos y espacios institucionales de planeación minero energética."/>
    <n v="78000000"/>
    <m/>
    <m/>
    <m/>
    <m/>
    <n v="7800000"/>
    <m/>
    <n v="7800000"/>
    <m/>
    <n v="7800000"/>
    <m/>
    <n v="7800000"/>
    <m/>
    <n v="7800000"/>
    <m/>
    <n v="7800000"/>
    <m/>
    <n v="7800000"/>
    <m/>
    <n v="7800000"/>
    <m/>
    <n v="7800000"/>
    <m/>
    <n v="7800000"/>
    <m/>
    <m/>
    <n v="78000000"/>
    <n v="78000000"/>
    <n v="0"/>
    <n v="0"/>
    <n v="38826"/>
    <d v="2026-01-15T00:00:00"/>
    <n v="78000000"/>
    <n v="0"/>
    <n v="20326"/>
    <d v="2026-01-26T00:00:00"/>
    <n v="78000000"/>
    <n v="0"/>
    <n v="0"/>
    <s v="FESTIVAL TOURS S.A.S"/>
    <s v="CO1.PCCNTR.9020125"/>
    <n v="78000000"/>
    <m/>
    <m/>
    <m/>
    <m/>
    <m/>
    <m/>
    <m/>
    <m/>
    <m/>
    <n v="13632143"/>
    <n v="13632143"/>
    <m/>
    <m/>
    <m/>
    <m/>
    <m/>
    <m/>
    <m/>
    <m/>
    <m/>
    <m/>
    <m/>
    <m/>
    <m/>
    <m/>
    <m/>
    <m/>
    <m/>
    <m/>
    <m/>
    <m/>
    <m/>
    <m/>
    <m/>
    <m/>
    <n v="78000000"/>
    <n v="13632143"/>
    <n v="13632143"/>
    <n v="64367857"/>
    <n v="0"/>
    <x v="0"/>
  </r>
  <r>
    <x v="0"/>
    <x v="9"/>
    <s v="Fortalecimiento de la planeación para el desarrollo minero responsable con los territorios en el marco de la transición energética a nivel nacional"/>
    <s v="Minería"/>
    <s v="No"/>
    <s v="Sí"/>
    <n v="68"/>
    <s v="140-84"/>
    <s v="Fortalecer la articulación de las entidades del sector en la formulación, ejecución y seguimiento de la planeación minera."/>
    <s v="Documentos de Lineamientos Técnicos"/>
    <s v="Documento con la descripción de procesos, métodos y herramientas."/>
    <s v="N/A"/>
    <s v="C-2106-1900-12-40302A-2106010-02"/>
    <s v="Viáticos o gastos de desplazamiento"/>
    <s v="140-84 Viáticos o gastos de desplazamiento"/>
    <s v="N/A"/>
    <s v="N/A"/>
    <s v="N/A"/>
    <s v="N/A"/>
    <s v="N/A"/>
    <s v="N/A"/>
    <s v="Propios - 20 - Ingresos corrientes"/>
    <n v="75000000"/>
    <n v="75000000"/>
    <s v="No"/>
    <s v="N/A"/>
    <s v="Germán Tiberio Ojeda"/>
    <s v="Subdirector de Minería"/>
    <n v="6012220601"/>
    <s v="german.ojeda@upme.gov.co"/>
    <n v="1623918"/>
    <n v="0"/>
    <n v="3500000"/>
    <n v="3500000"/>
    <n v="3500000"/>
    <n v="3500000"/>
    <n v="3500000"/>
    <n v="3500000"/>
    <n v="3500000"/>
    <n v="3500000"/>
    <n v="3500000"/>
    <n v="3500000"/>
    <n v="10750000"/>
    <n v="10750000"/>
    <n v="10750000"/>
    <n v="10750000"/>
    <n v="10750000"/>
    <n v="10750000"/>
    <n v="10750000"/>
    <n v="10750000"/>
    <n v="10750000"/>
    <n v="10750000"/>
    <n v="2126082"/>
    <n v="3750000"/>
    <n v="75000000"/>
    <n v="75000000"/>
    <n v="0"/>
    <n v="0"/>
    <s v="Viáticos o gastos de desplazamiento"/>
    <n v="1623918"/>
    <m/>
    <n v="3500000"/>
    <n v="3500000"/>
    <n v="3500000"/>
    <n v="3500000"/>
    <n v="3500000"/>
    <n v="3500000"/>
    <n v="3500000"/>
    <n v="3500000"/>
    <n v="3500000"/>
    <n v="3500000"/>
    <n v="10750000"/>
    <n v="10750000"/>
    <n v="10750000"/>
    <n v="10750000"/>
    <n v="10750000"/>
    <n v="10750000"/>
    <n v="10750000"/>
    <n v="10750000"/>
    <n v="10750000"/>
    <n v="10750000"/>
    <n v="2126082"/>
    <n v="3750000"/>
    <m/>
    <m/>
    <n v="75000000"/>
    <n v="75000000"/>
    <n v="0"/>
    <n v="0"/>
    <n v="55326"/>
    <d v="2026-01-22T00:00:00"/>
    <n v="75000000"/>
    <n v="0"/>
    <n v="19526.196260000001"/>
    <d v="2026-01-24T00:00:00"/>
    <n v="1623918"/>
    <n v="73376082"/>
    <n v="73376082"/>
    <s v="POVEDA FORERO GERMAN ANDRES,OJEDA PEDRAZA GERMAN TIBERIO_x000a_"/>
    <m/>
    <n v="1623918"/>
    <m/>
    <m/>
    <m/>
    <n v="1623918"/>
    <n v="1623918"/>
    <m/>
    <m/>
    <m/>
    <m/>
    <m/>
    <m/>
    <m/>
    <m/>
    <m/>
    <m/>
    <m/>
    <m/>
    <m/>
    <m/>
    <m/>
    <m/>
    <m/>
    <m/>
    <m/>
    <m/>
    <m/>
    <m/>
    <m/>
    <m/>
    <m/>
    <m/>
    <m/>
    <m/>
    <m/>
    <m/>
    <n v="1623918"/>
    <n v="1623918"/>
    <n v="1623918"/>
    <n v="0"/>
    <n v="0"/>
    <x v="0"/>
  </r>
  <r>
    <x v="0"/>
    <x v="9"/>
    <s v="Fortalecimiento de la planeación para el desarrollo minero responsable con los territorios en el marco de la transición energética a nivel nacional"/>
    <s v="Minería"/>
    <s v="Sí"/>
    <s v="Sí"/>
    <n v="68"/>
    <s v="140-85"/>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85 Prestar servicios profesionales para apoyar a la Subdirección de Minería en asuntos administrativos que contribuyan a la divulgación de la información a través del Sistema de Información Minero Colombiano (SIMCO), así como al soporte misional reque"/>
    <s v="Enero "/>
    <s v="Enero "/>
    <s v="Enero "/>
    <n v="11"/>
    <s v="Meses"/>
    <s v="Contratación directa - Prestación de servicios profesionales "/>
    <s v="Propios - 20 - Ingresos corrientes"/>
    <n v="25000000"/>
    <n v="25000000"/>
    <s v="No"/>
    <s v="N/A"/>
    <s v="Germán Tiberio Ojeda"/>
    <s v="Subdirector de Minería"/>
    <n v="6012220601"/>
    <s v="german.ojeda@upme.gov.co"/>
    <n v="25000000"/>
    <n v="0"/>
    <n v="0"/>
    <n v="0"/>
    <n v="0"/>
    <n v="0"/>
    <n v="0"/>
    <n v="0"/>
    <n v="0"/>
    <n v="0"/>
    <n v="0"/>
    <n v="0"/>
    <n v="0"/>
    <n v="0"/>
    <n v="0"/>
    <n v="3700000"/>
    <n v="0"/>
    <n v="4500000"/>
    <n v="0"/>
    <n v="4500000"/>
    <n v="0"/>
    <n v="4500000"/>
    <n v="0"/>
    <n v="7800000"/>
    <n v="25000000"/>
    <n v="250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5000000"/>
    <m/>
    <m/>
    <m/>
    <m/>
    <m/>
    <m/>
    <m/>
    <m/>
    <m/>
    <m/>
    <m/>
    <m/>
    <m/>
    <m/>
    <n v="3700000"/>
    <m/>
    <n v="4500000"/>
    <m/>
    <n v="4500000"/>
    <m/>
    <n v="4500000"/>
    <m/>
    <n v="7800000"/>
    <m/>
    <m/>
    <n v="25000000"/>
    <n v="25000000"/>
    <n v="0"/>
    <n v="0"/>
    <n v="3926"/>
    <d v="2026-01-05T00:00:00"/>
    <n v="25000000"/>
    <n v="0"/>
    <n v="15426"/>
    <d v="2026-01-21T00:00:00"/>
    <n v="25000000"/>
    <n v="0"/>
    <n v="0"/>
    <s v="PICO TARRIBA JORDY DAVID"/>
    <s v="CO1.PCCNTR.8943624"/>
    <n v="25000000"/>
    <m/>
    <m/>
    <m/>
    <n v="1350000"/>
    <n v="1350000"/>
    <m/>
    <m/>
    <m/>
    <m/>
    <m/>
    <m/>
    <m/>
    <m/>
    <m/>
    <m/>
    <m/>
    <m/>
    <m/>
    <m/>
    <m/>
    <m/>
    <m/>
    <m/>
    <m/>
    <m/>
    <m/>
    <m/>
    <m/>
    <m/>
    <m/>
    <m/>
    <m/>
    <m/>
    <m/>
    <m/>
    <n v="25000000"/>
    <n v="1350000"/>
    <n v="1350000"/>
    <n v="23650000"/>
    <n v="0"/>
    <x v="0"/>
  </r>
  <r>
    <x v="0"/>
    <x v="9"/>
    <s v="Fortalecimiento de la planeación para el desarrollo minero responsable con los territorios en el marco de la transición energética a nivel nacional"/>
    <s v="Minería"/>
    <s v="Sí"/>
    <s v="Sí"/>
    <s v="Radicado 20261400003283"/>
    <s v="140-86"/>
    <s v="Fortalecer la articulación de las entidades del sector en la formulación, ejecución y seguimiento de la planeación minera."/>
    <s v="Documentos de Lineamientos Técnicos"/>
    <s v="Documento con la descripción de procesos, métodos y herramientas."/>
    <n v="55101519"/>
    <s v="C-2106-1900-12-40302A-2106010-02"/>
    <s v="Adquisición de bienes y/o servicios (otros)"/>
    <s v="140-86 Prestar el servicio de publicación en el diario oficial de los actos administrativos de carácter general emitidos por la UPME."/>
    <s v="Enero "/>
    <s v="Enero "/>
    <s v="Enero "/>
    <n v="11"/>
    <s v="Meses"/>
    <s v="Contratación directa - Contratos menor cuantía"/>
    <s v="Propios - 20 - Ingresos corrientes"/>
    <n v="25000000"/>
    <n v="25000000"/>
    <s v="No"/>
    <s v="N/A"/>
    <s v="Germán Tiberio Ojeda"/>
    <s v="Subdirector de Minería"/>
    <n v="6012220601"/>
    <s v="german.ojeda@upme.gov.co"/>
    <n v="25000000"/>
    <n v="0"/>
    <n v="0"/>
    <n v="1000000"/>
    <n v="0"/>
    <n v="0"/>
    <n v="0"/>
    <n v="6000000"/>
    <n v="0"/>
    <n v="0"/>
    <n v="0"/>
    <n v="0"/>
    <n v="0"/>
    <n v="6000000"/>
    <n v="0"/>
    <n v="0"/>
    <n v="0"/>
    <n v="0"/>
    <n v="0"/>
    <n v="6000000"/>
    <n v="0"/>
    <n v="0"/>
    <n v="0"/>
    <n v="6000000"/>
    <n v="25000000"/>
    <n v="25000000"/>
    <n v="0"/>
    <n v="0"/>
    <s v="Prestar el servicio de publicación en el diario oficial de los actos administrativos de carácter general emitidos por la UPME."/>
    <n v="25000000"/>
    <m/>
    <m/>
    <n v="1000000"/>
    <m/>
    <m/>
    <m/>
    <n v="6000000"/>
    <m/>
    <m/>
    <m/>
    <m/>
    <m/>
    <n v="6000000"/>
    <m/>
    <m/>
    <m/>
    <m/>
    <m/>
    <n v="6000000"/>
    <m/>
    <m/>
    <m/>
    <n v="6000000"/>
    <m/>
    <m/>
    <n v="25000000"/>
    <n v="25000000"/>
    <n v="0"/>
    <n v="0"/>
    <n v="14626"/>
    <d v="2026-01-09T00:00:00"/>
    <n v="25000000"/>
    <n v="0"/>
    <n v="18026"/>
    <d v="2026-01-23T00:00:00"/>
    <n v="25000000"/>
    <n v="0"/>
    <n v="0"/>
    <s v="IMPRENTA NACIONAL DE COLOMBIA"/>
    <s v="CO1.PCCNTR.8993966"/>
    <n v="25000000"/>
    <m/>
    <m/>
    <m/>
    <m/>
    <m/>
    <m/>
    <m/>
    <m/>
    <m/>
    <n v="8289300"/>
    <n v="8289300"/>
    <m/>
    <m/>
    <m/>
    <m/>
    <m/>
    <m/>
    <m/>
    <m/>
    <m/>
    <m/>
    <m/>
    <m/>
    <m/>
    <m/>
    <m/>
    <m/>
    <m/>
    <m/>
    <m/>
    <m/>
    <m/>
    <m/>
    <m/>
    <m/>
    <n v="25000000"/>
    <n v="8289300"/>
    <n v="8289300"/>
    <n v="16710700"/>
    <n v="0"/>
    <x v="0"/>
  </r>
  <r>
    <x v="0"/>
    <x v="9"/>
    <s v="Fortalecimiento de la planeación para el desarrollo minero responsable con los territorios en el marco de la transición energética a nivel nacional"/>
    <s v="Minería"/>
    <s v="Sí"/>
    <s v="Sí"/>
    <n v="68"/>
    <s v="140-87"/>
    <s v="Fortalecer la articulación de las entidades del sector en la formulación, ejecución y seguimiento de la planeación minera."/>
    <s v="Documentos de Lineamientos Técnicos"/>
    <s v="Documento con la descripción de procesos, métodos y herramientas."/>
    <n v="80111713"/>
    <s v="C-2106-1900-12-40302A-2106010-02"/>
    <s v="Software - Licencias"/>
    <s v="140-87 Adquirir el licenciamiento de las herramientas colaborativas en nube para la UPME"/>
    <s v="Agosto"/>
    <s v="Agosto"/>
    <s v="Septiembre"/>
    <n v="4"/>
    <s v="Meses"/>
    <s v="Seléccion abreviada - acuerdo marco"/>
    <s v="Propios - 20 - Ingresos corrientes"/>
    <n v="16050000"/>
    <n v="16050000"/>
    <s v="No"/>
    <s v="N/A"/>
    <s v="Germán Tiberio Ojeda"/>
    <s v="Subdirector de Minería"/>
    <n v="6012220601"/>
    <s v="german.ojeda@upme.gov.co"/>
    <n v="0"/>
    <n v="0"/>
    <n v="0"/>
    <n v="0"/>
    <n v="0"/>
    <n v="0"/>
    <n v="0"/>
    <n v="0"/>
    <n v="0"/>
    <n v="0"/>
    <n v="0"/>
    <n v="0"/>
    <n v="0"/>
    <n v="0"/>
    <n v="0"/>
    <n v="0"/>
    <n v="0"/>
    <n v="0"/>
    <n v="16050000"/>
    <n v="0"/>
    <n v="0"/>
    <n v="0"/>
    <n v="0"/>
    <n v="16050000"/>
    <n v="16050000"/>
    <n v="16050000"/>
    <n v="0"/>
    <n v="0"/>
    <s v="Adquirir el licenciamiento de las herramientas colaborativas en nube para la UPME"/>
    <m/>
    <m/>
    <m/>
    <m/>
    <m/>
    <m/>
    <m/>
    <m/>
    <m/>
    <m/>
    <m/>
    <m/>
    <m/>
    <m/>
    <m/>
    <m/>
    <m/>
    <m/>
    <n v="16050000"/>
    <m/>
    <m/>
    <m/>
    <m/>
    <n v="16050000"/>
    <m/>
    <m/>
    <n v="16050000"/>
    <n v="16050000"/>
    <n v="0"/>
    <n v="0"/>
    <m/>
    <m/>
    <m/>
    <n v="16050000"/>
    <m/>
    <m/>
    <n v="0"/>
    <n v="1605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í"/>
    <s v="Sí"/>
    <n v="1"/>
    <s v="140-88"/>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s v="Prestación de servicios profesionales y/o de apoyo a la gestión"/>
    <s v="140-88 Prestar servicios profesionales para apoyar en la identificación y análisis de variables para planes subsectoriales, mediante la recopilación, organización y documentación de información socioambiental que contribuya a la planificación sostenible d"/>
    <s v="Enero "/>
    <s v="Enero "/>
    <s v="Enero "/>
    <n v="11"/>
    <s v="Meses"/>
    <s v="Contratación directa - Prestación de servicios profesionales "/>
    <s v="Propios - 20 - Ingresos corrientes"/>
    <n v="28600000"/>
    <n v="28600000"/>
    <s v="No"/>
    <s v="N/A"/>
    <s v="Germán Tiberio Ojeda"/>
    <s v="Subdirector de Minería"/>
    <n v="2220601"/>
    <s v="german.ojeda@upme.gov.co"/>
    <n v="28600000"/>
    <n v="0"/>
    <n v="0"/>
    <n v="0"/>
    <n v="0"/>
    <n v="3600000"/>
    <n v="0"/>
    <n v="3600000"/>
    <n v="0"/>
    <n v="3600000"/>
    <n v="0"/>
    <n v="3600000"/>
    <n v="0"/>
    <n v="3600000"/>
    <n v="0"/>
    <n v="3600000"/>
    <n v="0"/>
    <n v="3600000"/>
    <n v="0"/>
    <n v="3400000"/>
    <n v="0"/>
    <n v="0"/>
    <n v="0"/>
    <n v="0"/>
    <n v="28600000"/>
    <n v="28600000"/>
    <n v="0"/>
    <n v="0"/>
    <s v="Prestar servicios profesionales para apoyar en la identificación y análisis de variables para planes subsectoriales, mediante la recopilación, organización y documentación de información socioambiental que contribuya a la planificación sostenible de la UP"/>
    <n v="28600000"/>
    <m/>
    <m/>
    <m/>
    <m/>
    <n v="3600000"/>
    <m/>
    <n v="3600000"/>
    <m/>
    <n v="3600000"/>
    <m/>
    <n v="3600000"/>
    <m/>
    <n v="3600000"/>
    <m/>
    <n v="3600000"/>
    <m/>
    <n v="3600000"/>
    <m/>
    <n v="3400000"/>
    <m/>
    <m/>
    <m/>
    <m/>
    <m/>
    <m/>
    <n v="28600000"/>
    <n v="28600000"/>
    <n v="0"/>
    <n v="0"/>
    <n v="21326"/>
    <d v="2026-01-11T00:00:00"/>
    <n v="28600000"/>
    <n v="0"/>
    <n v="29426"/>
    <d v="2026-01-28T00:00:00"/>
    <n v="28600000"/>
    <n v="0"/>
    <n v="0"/>
    <s v="FERNANDEZ CARMONA ERICK ALEXANDER"/>
    <s v="CO1.PCCNTR. 9132142"/>
    <n v="28600000"/>
    <m/>
    <m/>
    <m/>
    <n v="240000"/>
    <n v="240000"/>
    <m/>
    <m/>
    <m/>
    <m/>
    <n v="3600000"/>
    <n v="3600000"/>
    <m/>
    <m/>
    <m/>
    <m/>
    <m/>
    <m/>
    <m/>
    <m/>
    <m/>
    <m/>
    <m/>
    <m/>
    <m/>
    <m/>
    <m/>
    <m/>
    <m/>
    <m/>
    <m/>
    <m/>
    <m/>
    <m/>
    <m/>
    <m/>
    <n v="28600000"/>
    <n v="3840000"/>
    <n v="3840000"/>
    <n v="24760000"/>
    <n v="0"/>
    <x v="0"/>
  </r>
  <r>
    <x v="0"/>
    <x v="9"/>
    <s v="Fortalecimiento de la planeación para el desarrollo minero responsable con los territorios en el marco de la transición energética a nivel nacional"/>
    <s v="Minería"/>
    <s v="Sí"/>
    <s v="Sí"/>
    <n v="3"/>
    <s v="140-89"/>
    <s v="Fortalecer la articulación de las entidades del sector en la formulación, ejecución y seguimiento de la planeación minera."/>
    <s v="Documentos de Lineamientos Técnicos"/>
    <s v="Plan de trabajo."/>
    <n v="80111620"/>
    <s v="C-2106-1900-12-40302A-2106010-02"/>
    <s v="Prestación de servicios profesionales y/o de apoyo a la gestión"/>
    <s v="140-89  Prestar servicios profesionales para apoyar en la identificación y análisis de variables para planes subsectoriales, mediante la recopilación, organización y documentación de información socioambiental que contribuya a la planificación sostenible "/>
    <s v="Enero "/>
    <s v="Enero "/>
    <s v="Enero "/>
    <n v="11"/>
    <s v="Meses"/>
    <s v="Contratación directa - Prestación de servicios profesionales "/>
    <s v="Propios - 20 - Ingresos corrientes"/>
    <n v="11000000"/>
    <n v="11000000"/>
    <s v="No"/>
    <s v="N/A"/>
    <s v="Germán Tiberio Ojeda"/>
    <s v="Subdirector de Minería"/>
    <n v="2220601"/>
    <s v="german.ojeda@upme.gov.co"/>
    <n v="11000000"/>
    <n v="0"/>
    <n v="0"/>
    <n v="0"/>
    <n v="0"/>
    <n v="0"/>
    <n v="0"/>
    <n v="0"/>
    <n v="0"/>
    <n v="0"/>
    <n v="0"/>
    <n v="0"/>
    <n v="0"/>
    <n v="0"/>
    <n v="0"/>
    <n v="0"/>
    <n v="0"/>
    <n v="0"/>
    <n v="0"/>
    <n v="200000"/>
    <n v="0"/>
    <n v="3600000"/>
    <n v="0"/>
    <n v="7200000"/>
    <n v="11000000"/>
    <n v="11000000"/>
    <n v="0"/>
    <n v="0"/>
    <s v=" Prestar servicios profesionales para apoyar en la identificación y análisis de variables para planes subsectoriales, mediante la recopilación, organización y documentación de información socioambiental que contribuya a la planificación sostenible de la U"/>
    <n v="11000000"/>
    <m/>
    <m/>
    <m/>
    <m/>
    <m/>
    <m/>
    <m/>
    <m/>
    <m/>
    <m/>
    <m/>
    <m/>
    <m/>
    <m/>
    <m/>
    <m/>
    <m/>
    <m/>
    <n v="200000"/>
    <m/>
    <n v="3600000"/>
    <m/>
    <n v="7200000"/>
    <m/>
    <m/>
    <n v="11000000"/>
    <n v="11000000"/>
    <n v="0"/>
    <n v="0"/>
    <n v="21326"/>
    <d v="2026-01-11T00:00:00"/>
    <n v="11000000"/>
    <n v="0"/>
    <n v="29426"/>
    <d v="2026-01-28T00:00:00"/>
    <n v="11000000"/>
    <n v="0"/>
    <n v="0"/>
    <s v="FERNANDEZ CARMONA ERICK ALEXANDER"/>
    <m/>
    <n v="11000000"/>
    <m/>
    <m/>
    <m/>
    <m/>
    <m/>
    <m/>
    <n v="3600000"/>
    <n v="3600000"/>
    <m/>
    <m/>
    <m/>
    <m/>
    <m/>
    <m/>
    <m/>
    <m/>
    <m/>
    <m/>
    <m/>
    <m/>
    <m/>
    <m/>
    <m/>
    <m/>
    <m/>
    <m/>
    <m/>
    <m/>
    <m/>
    <m/>
    <m/>
    <m/>
    <m/>
    <m/>
    <m/>
    <n v="11000000"/>
    <n v="3600000"/>
    <n v="3600000"/>
    <n v="7400000"/>
    <n v="0"/>
    <x v="0"/>
  </r>
  <r>
    <x v="0"/>
    <x v="9"/>
    <s v="Fortalecimiento de la planeación para el desarrollo minero responsable con los territorios en el marco de la transición energética a nivel nacional"/>
    <s v="Minería"/>
    <s v="No"/>
    <s v="Sí"/>
    <n v="2"/>
    <s v="140-90"/>
    <s v="Ampliar el conocimiento de los encadenamientos productivos asociados a la actividad minera por parte de los actores del sector."/>
    <s v="Documentos de Planeación"/>
    <s v="Documento de planeación preliminar."/>
    <s v="NA"/>
    <s v="C-2106-1900-12-40302A-2106003-02"/>
    <s v="Viáticos o gastos de desplazamiento"/>
    <s v="140-90 Viáticos o gastos de desplazamiento"/>
    <s v="N/A"/>
    <s v="N/A"/>
    <s v="N/A"/>
    <s v="N/A"/>
    <s v="N/A"/>
    <s v="N/A"/>
    <s v="Propios - 20 - Ingresos corrientes"/>
    <n v="5000000"/>
    <n v="5000000"/>
    <s v="No"/>
    <s v="N/A"/>
    <s v="Germán Tiberio Ojeda"/>
    <s v="Subdirector de Minería"/>
    <n v="2220601"/>
    <s v="german.ojeda@upme.gov.co"/>
    <n v="0"/>
    <n v="0"/>
    <n v="0"/>
    <n v="0"/>
    <n v="0"/>
    <n v="0"/>
    <n v="2500000"/>
    <n v="2500000"/>
    <n v="2500000"/>
    <n v="2500000"/>
    <n v="0"/>
    <n v="0"/>
    <n v="0"/>
    <n v="0"/>
    <n v="0"/>
    <n v="0"/>
    <n v="0"/>
    <n v="0"/>
    <n v="0"/>
    <n v="0"/>
    <n v="0"/>
    <n v="0"/>
    <n v="0"/>
    <n v="0"/>
    <n v="5000000"/>
    <n v="5000000"/>
    <n v="0"/>
    <n v="0"/>
    <s v="Viáticos o gastos de desplazamiento"/>
    <m/>
    <m/>
    <m/>
    <m/>
    <m/>
    <m/>
    <n v="2500000"/>
    <n v="2500000"/>
    <n v="2500000"/>
    <n v="2500000"/>
    <m/>
    <m/>
    <m/>
    <m/>
    <m/>
    <m/>
    <m/>
    <m/>
    <m/>
    <m/>
    <m/>
    <m/>
    <m/>
    <m/>
    <m/>
    <m/>
    <n v="5000000"/>
    <n v="5000000"/>
    <n v="0"/>
    <n v="0"/>
    <n v="55626"/>
    <d v="2026-01-22T00:00:00"/>
    <n v="5000000"/>
    <n v="0"/>
    <s v="67226,69126,69326"/>
    <s v="01/04/2026,14/04/2026"/>
    <n v="3057099"/>
    <n v="1942901"/>
    <n v="1942901"/>
    <s v="MANOSALVA BALLESTEROS JUAN SEBASTIAN"/>
    <n v="202601100002235"/>
    <m/>
    <m/>
    <m/>
    <m/>
    <m/>
    <m/>
    <m/>
    <m/>
    <m/>
    <n v="3057099"/>
    <m/>
    <m/>
    <m/>
    <m/>
    <m/>
    <m/>
    <m/>
    <m/>
    <m/>
    <m/>
    <m/>
    <m/>
    <m/>
    <m/>
    <m/>
    <m/>
    <m/>
    <m/>
    <m/>
    <m/>
    <m/>
    <m/>
    <m/>
    <m/>
    <m/>
    <m/>
    <n v="3057099"/>
    <n v="0"/>
    <n v="0"/>
    <n v="3057099"/>
    <n v="0"/>
    <x v="0"/>
  </r>
  <r>
    <x v="0"/>
    <x v="9"/>
    <s v="Fortalecimiento de la planeación para el desarrollo minero responsable con los territorios en el marco de la transición energética a nivel nacional"/>
    <s v="Minería"/>
    <s v="Si"/>
    <s v="Sí"/>
    <n v="17"/>
    <s v="140-91"/>
    <s v="Fortalecer la gestión integral de la información de la planeación minera."/>
    <s v="Servicio de Divulgación del Sector Minero Energético"/>
    <s v="Apropiar insumos para el análisis de Mercado Internacional de minerales y sus tendencias a largo plazo."/>
    <n v="80141607"/>
    <s v="C-2106-1900-12-40302A-2106019-02"/>
    <s v="Operador Logístico"/>
    <s v="140-91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1000000"/>
    <n v="1000000"/>
    <s v="No"/>
    <s v="N/A"/>
    <s v="Germán Tiberio Ojeda"/>
    <s v="Subdirector de Minería"/>
    <n v="2220601"/>
    <s v="german.ojeda@upme.gov.co"/>
    <n v="0"/>
    <n v="0"/>
    <n v="0"/>
    <n v="0"/>
    <n v="0"/>
    <n v="0"/>
    <n v="0"/>
    <n v="0"/>
    <n v="0"/>
    <n v="0"/>
    <n v="0"/>
    <n v="0"/>
    <n v="0"/>
    <n v="0"/>
    <n v="0"/>
    <n v="0"/>
    <n v="0"/>
    <n v="0"/>
    <n v="0"/>
    <n v="0"/>
    <n v="0"/>
    <n v="0"/>
    <n v="1000000"/>
    <n v="1000000"/>
    <n v="1000000"/>
    <n v="1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1000000"/>
    <n v="1000000"/>
    <m/>
    <m/>
    <n v="1000000"/>
    <n v="1000000"/>
    <n v="0"/>
    <n v="0"/>
    <m/>
    <m/>
    <m/>
    <n v="1000000"/>
    <m/>
    <m/>
    <n v="0"/>
    <n v="1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i"/>
    <s v="Sí"/>
    <n v="17"/>
    <s v="140-92"/>
    <s v="Fortalecer la gestión integral de la información de la planeación minera."/>
    <s v="Servicio de Divulgación del Sector Minero Energético"/>
    <s v="Apropiar Insumos para el análisis de Mercado Nacional e internacional de minerales y sus encadenamientos productivos."/>
    <n v="80141607"/>
    <s v="C-2106-1900-12-40302A-2106019-02"/>
    <s v="Operador Logístico"/>
    <s v="140-92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 Contratación directa."/>
    <s v="Propios - 21 - Otros recursos de tesorería"/>
    <n v="20000000"/>
    <n v="20000000"/>
    <s v="No"/>
    <s v="N/A"/>
    <s v="Germán Tiberio Ojeda"/>
    <s v="Subdirector de Minería"/>
    <n v="2220601"/>
    <s v="german.ojeda@upme.gov.co"/>
    <m/>
    <m/>
    <m/>
    <m/>
    <m/>
    <m/>
    <m/>
    <m/>
    <m/>
    <m/>
    <m/>
    <m/>
    <m/>
    <m/>
    <m/>
    <m/>
    <m/>
    <m/>
    <m/>
    <m/>
    <m/>
    <m/>
    <m/>
    <m/>
    <n v="0"/>
    <n v="0"/>
    <n v="20000000"/>
    <n v="20000000"/>
    <s v="Prestación de los servicios de apoyo logístico para el desarrollo de la estrategia de comunicación y participación con actores nacionales y territoriales, así como para otros espacios interinstitucionales en el marco de la misionalidad de la entidad y el "/>
    <n v="0"/>
    <n v="0"/>
    <n v="0"/>
    <n v="0"/>
    <n v="0"/>
    <n v="0"/>
    <n v="20000000"/>
    <n v="0"/>
    <n v="0"/>
    <n v="0"/>
    <n v="0"/>
    <n v="0"/>
    <n v="0"/>
    <n v="0"/>
    <n v="0"/>
    <n v="0"/>
    <n v="0"/>
    <n v="0"/>
    <n v="0"/>
    <n v="0"/>
    <n v="0"/>
    <n v="0"/>
    <n v="0"/>
    <n v="20000000"/>
    <m/>
    <m/>
    <n v="20000000"/>
    <n v="20000000"/>
    <n v="0"/>
    <n v="0"/>
    <m/>
    <m/>
    <m/>
    <n v="20000000"/>
    <m/>
    <m/>
    <n v="0"/>
    <n v="20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i"/>
    <s v="Sí"/>
    <n v="17"/>
    <s v="140-93"/>
    <s v="Fortalecer la articulación de las entidades del sector en la formulación, ejecución y seguimiento de la planeación minera."/>
    <s v="Documentos de Lineamientos Técnicos"/>
    <s v="Documento con la descripción de procesos, métodos y herramientas."/>
    <s v="N/A"/>
    <s v="C-2106-1900-12-40302A-2106010-02"/>
    <s v="Viáticos o gastos de desplazamiento"/>
    <s v="140-93 Viáticos o gastos de desplazamiento"/>
    <s v="N/A"/>
    <s v="N/A"/>
    <s v="N/A"/>
    <s v="N/A"/>
    <s v="N/A"/>
    <s v="N/A"/>
    <s v="Propios - 20 - Ingresos corrientes"/>
    <n v="30000000"/>
    <n v="30000000"/>
    <s v="No"/>
    <s v="N/A"/>
    <s v="Germán Tiberio Ojeda"/>
    <s v="Subdirector de Minería"/>
    <n v="2220601"/>
    <s v="german.ojeda@upme.gov.co"/>
    <m/>
    <m/>
    <m/>
    <m/>
    <m/>
    <m/>
    <m/>
    <m/>
    <m/>
    <m/>
    <m/>
    <m/>
    <m/>
    <m/>
    <m/>
    <m/>
    <m/>
    <m/>
    <m/>
    <m/>
    <m/>
    <m/>
    <m/>
    <m/>
    <n v="0"/>
    <n v="0"/>
    <n v="30000000"/>
    <n v="30000000"/>
    <m/>
    <n v="0"/>
    <n v="0"/>
    <n v="2500000"/>
    <n v="2500000"/>
    <n v="2500000"/>
    <n v="2500000"/>
    <n v="2500000"/>
    <n v="2500000"/>
    <n v="2500000"/>
    <n v="2500000"/>
    <n v="5000000"/>
    <n v="5000000"/>
    <n v="2500000"/>
    <n v="2500000"/>
    <n v="2500000"/>
    <n v="2500000"/>
    <n v="2500000"/>
    <n v="2500000"/>
    <n v="2500000"/>
    <n v="2500000"/>
    <n v="2500000"/>
    <n v="2500000"/>
    <n v="2500000"/>
    <n v="2500000"/>
    <m/>
    <m/>
    <n v="30000000"/>
    <n v="30000000"/>
    <n v="0"/>
    <n v="0"/>
    <m/>
    <m/>
    <m/>
    <n v="30000000"/>
    <m/>
    <m/>
    <n v="0"/>
    <n v="30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i"/>
    <s v="Sí"/>
    <n v="17"/>
    <s v="140-94"/>
    <s v="Ampliar el conocimiento de los encadenamientos productivos asociados a la actividad minera por parte de los actores del sector."/>
    <s v="Documentos de Investigación"/>
    <s v="Documento con el diseño metodológico."/>
    <s v="N/A"/>
    <s v="C-2106-1900-12-40302A-2106002-02"/>
    <s v="Viáticos o gastos de desplazamiento"/>
    <s v="140-94 Viáticos o gastos de desplazamiento"/>
    <s v="N/A"/>
    <s v="N/A"/>
    <s v="N/A"/>
    <s v="N/A"/>
    <s v="N/A"/>
    <s v="N/A"/>
    <s v="Propios - 20 - Ingresos corrientes"/>
    <n v="7250000"/>
    <n v="7250000"/>
    <s v="No"/>
    <s v="N/A"/>
    <s v="Germán Tiberio Ojeda"/>
    <s v="Subdirector de Minería"/>
    <n v="2220601"/>
    <s v="german.ojeda@upme.gov.co"/>
    <m/>
    <m/>
    <m/>
    <m/>
    <m/>
    <m/>
    <m/>
    <m/>
    <m/>
    <m/>
    <m/>
    <m/>
    <m/>
    <m/>
    <m/>
    <m/>
    <m/>
    <m/>
    <m/>
    <m/>
    <m/>
    <m/>
    <m/>
    <m/>
    <n v="0"/>
    <n v="0"/>
    <n v="7250000"/>
    <n v="7250000"/>
    <m/>
    <n v="0"/>
    <n v="0"/>
    <n v="0"/>
    <n v="0"/>
    <n v="0"/>
    <n v="0"/>
    <n v="0"/>
    <n v="0"/>
    <n v="0"/>
    <n v="0"/>
    <n v="1000000"/>
    <n v="1000000"/>
    <n v="1000000"/>
    <n v="1000000"/>
    <n v="1000000"/>
    <n v="1000000"/>
    <n v="1000000"/>
    <n v="1000000"/>
    <n v="1000000"/>
    <n v="1000000"/>
    <n v="1000000"/>
    <n v="1000000"/>
    <n v="1250000"/>
    <n v="1250000"/>
    <m/>
    <m/>
    <n v="7250000"/>
    <n v="7250000"/>
    <n v="0"/>
    <n v="0"/>
    <m/>
    <m/>
    <m/>
    <n v="7250000"/>
    <m/>
    <m/>
    <n v="0"/>
    <n v="725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i"/>
    <s v="Sí"/>
    <n v="17"/>
    <s v="140-95"/>
    <s v="Ampliar el conocimiento de los encadenamientos productivos asociados a la actividad minera por parte de los actores del sector."/>
    <s v="Documentos de Investigación"/>
    <s v="Documento con el diseño metodológico."/>
    <n v="81121503"/>
    <s v="C-2106-1900-12-40302A-2106002-02"/>
    <s v="Estudios"/>
    <s v="140-95  Elaborar los balances oferta utilización de productos mineros y la cuenta de producción y generación del ingreso en versión provisional para la operación estadística cuenta satélite de minería - CSM, en el marco del modelo genérico del proceso est"/>
    <s v="Junio"/>
    <s v="Julio"/>
    <s v="Agosto"/>
    <n v="5"/>
    <s v="Meses"/>
    <s v=" Contratación directa - Contratos interadministrativos"/>
    <s v="Propios - 20 - Ingresos corrientes"/>
    <n v="6000000"/>
    <n v="6000000"/>
    <s v="No"/>
    <s v="N/A"/>
    <s v="Germán Tiberio Ojeda"/>
    <s v="Subdirector de Minería"/>
    <n v="2220601"/>
    <s v="german.ojeda@upme.gov.co"/>
    <m/>
    <m/>
    <m/>
    <m/>
    <m/>
    <m/>
    <m/>
    <m/>
    <m/>
    <m/>
    <m/>
    <m/>
    <m/>
    <m/>
    <m/>
    <m/>
    <m/>
    <m/>
    <m/>
    <m/>
    <m/>
    <m/>
    <m/>
    <m/>
    <n v="0"/>
    <n v="0"/>
    <n v="6000000"/>
    <n v="6000000"/>
    <m/>
    <n v="0"/>
    <n v="0"/>
    <n v="0"/>
    <n v="0"/>
    <n v="0"/>
    <n v="0"/>
    <n v="0"/>
    <n v="0"/>
    <n v="0"/>
    <n v="0"/>
    <n v="0"/>
    <n v="0"/>
    <n v="6000000"/>
    <n v="0"/>
    <n v="0"/>
    <n v="0"/>
    <n v="0"/>
    <n v="6000000"/>
    <n v="0"/>
    <n v="0"/>
    <n v="0"/>
    <n v="0"/>
    <n v="0"/>
    <n v="0"/>
    <m/>
    <m/>
    <n v="6000000"/>
    <n v="6000000"/>
    <n v="0"/>
    <n v="0"/>
    <m/>
    <m/>
    <m/>
    <n v="6000000"/>
    <m/>
    <m/>
    <n v="0"/>
    <n v="60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i"/>
    <s v="Sí"/>
    <n v="17"/>
    <s v="140-96"/>
    <s v="Ampliar el conocimiento de los encadenamientos productivos asociados a la actividad minera por parte de los actores del sector."/>
    <s v="Documentos de Investigación"/>
    <s v="Documento con el diseño metodológico."/>
    <s v="N/A"/>
    <s v="C-2106-1900-12-40302A-2106002-02"/>
    <s v="Viáticos o gastos de desplazamiento"/>
    <s v="140-96 Viáticos o gastos de desplazamiento"/>
    <s v="N/A"/>
    <s v="N/A"/>
    <s v="N/A"/>
    <s v="N/A"/>
    <s v="N/A"/>
    <s v="N/A"/>
    <s v="Propios - 20 - Ingresos corrientes"/>
    <n v="20800000"/>
    <n v="20800000"/>
    <s v="No"/>
    <s v="N/A"/>
    <s v="Germán Tiberio Ojeda"/>
    <s v="Subdirector de Minería"/>
    <n v="2220601"/>
    <s v="german.ojeda@upme.gov.co"/>
    <m/>
    <m/>
    <m/>
    <m/>
    <m/>
    <m/>
    <m/>
    <m/>
    <m/>
    <m/>
    <m/>
    <m/>
    <m/>
    <m/>
    <m/>
    <m/>
    <m/>
    <m/>
    <m/>
    <m/>
    <m/>
    <m/>
    <m/>
    <m/>
    <n v="0"/>
    <n v="0"/>
    <n v="20800000"/>
    <n v="20800000"/>
    <m/>
    <n v="0"/>
    <n v="0"/>
    <n v="0"/>
    <n v="0"/>
    <n v="0"/>
    <n v="0"/>
    <n v="1000000"/>
    <n v="1000000"/>
    <n v="1000000"/>
    <n v="1000000"/>
    <n v="1000000"/>
    <n v="1000000"/>
    <n v="1000000"/>
    <n v="1000000"/>
    <n v="1000000"/>
    <n v="1000000"/>
    <n v="1000000"/>
    <n v="1000000"/>
    <n v="1000000"/>
    <n v="1000000"/>
    <n v="1000000"/>
    <n v="1000000"/>
    <n v="12800000"/>
    <n v="12800000"/>
    <m/>
    <m/>
    <n v="20800000"/>
    <n v="20800000"/>
    <n v="0"/>
    <n v="0"/>
    <m/>
    <m/>
    <m/>
    <n v="20800000"/>
    <m/>
    <m/>
    <n v="0"/>
    <n v="20800000"/>
    <n v="0"/>
    <m/>
    <m/>
    <m/>
    <m/>
    <m/>
    <m/>
    <m/>
    <m/>
    <m/>
    <m/>
    <m/>
    <m/>
    <m/>
    <m/>
    <m/>
    <m/>
    <m/>
    <m/>
    <m/>
    <m/>
    <m/>
    <m/>
    <m/>
    <m/>
    <m/>
    <m/>
    <m/>
    <m/>
    <m/>
    <m/>
    <m/>
    <m/>
    <m/>
    <m/>
    <m/>
    <m/>
    <m/>
    <m/>
    <n v="0"/>
    <n v="0"/>
    <n v="0"/>
    <n v="0"/>
    <n v="0"/>
    <x v="0"/>
  </r>
  <r>
    <x v="0"/>
    <x v="9"/>
    <s v="Fortalecimiento de la planeación para el desarrollo minero responsable con los territorios en el marco de la transición energética a nivel nacional"/>
    <s v="Minería"/>
    <s v="Si"/>
    <s v="Sí"/>
    <n v="17"/>
    <s v="140-97"/>
    <s v="Ampliar el conocimiento de los encadenamientos productivos asociados a la actividad minera por parte de los actores del sector."/>
    <s v="Documentos de Investigación"/>
    <s v="Documento con el diseño metodológico."/>
    <n v="78111502"/>
    <s v="C-2106-1900-12-40302A-2106002-02"/>
    <s v="Tiquetes"/>
    <s v="140-97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9950000"/>
    <n v="19950000"/>
    <s v="No"/>
    <s v="N/A"/>
    <s v="Germán Tiberio Ojeda"/>
    <s v="Subdirector de Minería"/>
    <n v="2220601"/>
    <s v="german.ojeda@upme.gov.co"/>
    <m/>
    <m/>
    <m/>
    <m/>
    <m/>
    <m/>
    <m/>
    <m/>
    <m/>
    <m/>
    <m/>
    <m/>
    <m/>
    <m/>
    <m/>
    <m/>
    <m/>
    <m/>
    <m/>
    <m/>
    <m/>
    <m/>
    <m/>
    <m/>
    <n v="0"/>
    <n v="0"/>
    <n v="19950000"/>
    <n v="19950000"/>
    <m/>
    <m/>
    <m/>
    <m/>
    <m/>
    <m/>
    <m/>
    <m/>
    <m/>
    <m/>
    <m/>
    <m/>
    <m/>
    <m/>
    <m/>
    <m/>
    <m/>
    <m/>
    <m/>
    <m/>
    <m/>
    <m/>
    <m/>
    <m/>
    <m/>
    <m/>
    <m/>
    <n v="0"/>
    <n v="0"/>
    <n v="19950000"/>
    <n v="19950000"/>
    <m/>
    <m/>
    <m/>
    <n v="19950000"/>
    <m/>
    <m/>
    <n v="0"/>
    <n v="19950000"/>
    <n v="0"/>
    <m/>
    <m/>
    <m/>
    <m/>
    <m/>
    <m/>
    <m/>
    <m/>
    <m/>
    <m/>
    <m/>
    <m/>
    <m/>
    <m/>
    <m/>
    <m/>
    <m/>
    <m/>
    <m/>
    <m/>
    <m/>
    <m/>
    <m/>
    <m/>
    <m/>
    <m/>
    <m/>
    <m/>
    <m/>
    <m/>
    <m/>
    <m/>
    <m/>
    <m/>
    <m/>
    <m/>
    <m/>
    <m/>
    <n v="0"/>
    <n v="0"/>
    <n v="0"/>
    <n v="0"/>
    <n v="0"/>
    <x v="0"/>
  </r>
  <r>
    <x v="1"/>
    <x v="4"/>
    <s v="N/A"/>
    <s v="N/A"/>
    <s v="Sí"/>
    <s v="Sí"/>
    <n v="19"/>
    <s v="111-1"/>
    <s v="N.A"/>
    <s v="N.A"/>
    <s v="N.A"/>
    <s v="72101511"/>
    <s v="A-02-02-02-008-007"/>
    <s v="Mantenimientos y/o mejoras"/>
    <s v="111-1 Prestar servicios de mantenimiento preventivo, correctivo y de emergencia a los equipos de aire acondicionado ubicados en la sede administrativa de la Upme."/>
    <s v="Enero "/>
    <s v="Enero "/>
    <s v="Enero "/>
    <n v="12"/>
    <s v="Meses"/>
    <s v="Contratación directa - Contratos menor cuantía"/>
    <s v="Propios - 20 - Ingresos corrientes"/>
    <n v="7379736"/>
    <n v="7379736"/>
    <s v="No"/>
    <s v="N/A"/>
    <s v="Jenny Patricia Peña Rozo"/>
    <s v="Coordinador GIT Gestión Administrativa y Servicio al Ciudadano"/>
    <n v="6012220601"/>
    <s v="jenny.pena@upme.gov.co"/>
    <m/>
    <m/>
    <m/>
    <m/>
    <m/>
    <m/>
    <m/>
    <m/>
    <m/>
    <m/>
    <m/>
    <m/>
    <m/>
    <m/>
    <m/>
    <m/>
    <m/>
    <m/>
    <m/>
    <m/>
    <m/>
    <m/>
    <m/>
    <m/>
    <m/>
    <m/>
    <m/>
    <m/>
    <s v="Prestar servicios de mantenimiento preventivo, correctivo y de emergencia a los equipos de aire acondicionado ubicados en la sede administrativa de la Upme."/>
    <m/>
    <m/>
    <m/>
    <m/>
    <m/>
    <m/>
    <m/>
    <n v="1925000"/>
    <m/>
    <m/>
    <m/>
    <n v="1925000"/>
    <m/>
    <m/>
    <m/>
    <m/>
    <m/>
    <n v="1925000"/>
    <m/>
    <m/>
    <m/>
    <m/>
    <m/>
    <n v="1925000"/>
    <m/>
    <m/>
    <n v="0"/>
    <n v="7700000"/>
    <n v="7379736"/>
    <n v="-320264"/>
    <m/>
    <m/>
    <m/>
    <n v="7379736"/>
    <m/>
    <m/>
    <n v="0"/>
    <n v="7379736"/>
    <n v="0"/>
    <m/>
    <m/>
    <m/>
    <m/>
    <m/>
    <m/>
    <m/>
    <m/>
    <m/>
    <m/>
    <m/>
    <m/>
    <m/>
    <m/>
    <m/>
    <m/>
    <m/>
    <m/>
    <m/>
    <m/>
    <m/>
    <m/>
    <m/>
    <m/>
    <m/>
    <m/>
    <m/>
    <m/>
    <m/>
    <m/>
    <m/>
    <m/>
    <m/>
    <m/>
    <m/>
    <m/>
    <m/>
    <m/>
    <n v="0"/>
    <n v="0"/>
    <n v="0"/>
    <n v="0"/>
    <n v="0"/>
    <x v="0"/>
  </r>
  <r>
    <x v="1"/>
    <x v="4"/>
    <s v="N/A"/>
    <s v="N/A"/>
    <s v="Sí"/>
    <s v="Sí"/>
    <n v="68"/>
    <s v="111-10"/>
    <s v="N.A"/>
    <s v="N.A"/>
    <s v="N.A"/>
    <s v="84131607;84131500"/>
    <s v="A-02-02-02-007-001"/>
    <s v="Adquisición de bienes y/o servicios (otros)"/>
    <s v="111-10 Adquirir el servicio de seguro obligatorio de accidente de tránsito &quot;SOAT&quot; para los dos vehículos oficiales de la Upme."/>
    <s v="Octubre"/>
    <s v="Octubre"/>
    <s v="Noviembre"/>
    <n v="1"/>
    <s v="Meses"/>
    <s v="Contratación directa - Contratos menor cuantía"/>
    <s v="Propios - 20 - Ingresos corrientes"/>
    <n v="2600000"/>
    <n v="2600000"/>
    <s v="No"/>
    <s v="N/A"/>
    <s v="Jenny Patricia Peña Rozo"/>
    <s v="Coordinador GIT Gestión Administrativa y Servicio al Ciudadano"/>
    <n v="6012220601"/>
    <s v="jenny.pena@upme.gov.co"/>
    <m/>
    <m/>
    <m/>
    <m/>
    <m/>
    <m/>
    <m/>
    <m/>
    <m/>
    <m/>
    <m/>
    <m/>
    <m/>
    <m/>
    <m/>
    <m/>
    <m/>
    <m/>
    <m/>
    <m/>
    <m/>
    <m/>
    <m/>
    <m/>
    <m/>
    <m/>
    <m/>
    <m/>
    <s v="Adquirir el servicio de seguro obligatorio de accidente de tránsito &quot;SOAT&quot; para los dos vehículos oficiales de la Upme."/>
    <m/>
    <m/>
    <m/>
    <m/>
    <m/>
    <m/>
    <m/>
    <m/>
    <m/>
    <m/>
    <m/>
    <m/>
    <m/>
    <m/>
    <m/>
    <m/>
    <m/>
    <m/>
    <m/>
    <m/>
    <m/>
    <m/>
    <n v="2600000"/>
    <n v="2600000"/>
    <m/>
    <m/>
    <n v="2600000"/>
    <n v="2600000"/>
    <n v="0"/>
    <n v="0"/>
    <m/>
    <m/>
    <m/>
    <n v="2600000"/>
    <m/>
    <m/>
    <n v="0"/>
    <n v="2600000"/>
    <n v="0"/>
    <m/>
    <m/>
    <m/>
    <m/>
    <m/>
    <m/>
    <m/>
    <m/>
    <m/>
    <m/>
    <m/>
    <m/>
    <m/>
    <m/>
    <m/>
    <m/>
    <m/>
    <m/>
    <m/>
    <m/>
    <m/>
    <m/>
    <m/>
    <m/>
    <m/>
    <m/>
    <m/>
    <m/>
    <m/>
    <m/>
    <m/>
    <m/>
    <m/>
    <m/>
    <m/>
    <m/>
    <m/>
    <m/>
    <n v="0"/>
    <n v="0"/>
    <n v="0"/>
    <n v="0"/>
    <n v="0"/>
    <x v="0"/>
  </r>
  <r>
    <x v="1"/>
    <x v="4"/>
    <s v="N/A"/>
    <s v="N/A"/>
    <s v="Sí"/>
    <s v="Sí"/>
    <n v="68"/>
    <s v="111-11"/>
    <s v="N.A"/>
    <s v="N.A"/>
    <s v="N.A"/>
    <s v="15101506"/>
    <s v="A-02-02-01-003-003"/>
    <s v="Adquisición de bienes y/o servicios (otros)"/>
    <s v="111-11 Suministrar la gasolina requerida a los vehículos oficiales de propiedad de la Upme."/>
    <s v="Enero "/>
    <s v="Enero "/>
    <s v="Enero "/>
    <n v="12"/>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Suministrar la gasolina requerida a los vehículos oficiales de propiedad de la Upme."/>
    <m/>
    <m/>
    <m/>
    <n v="900000"/>
    <m/>
    <n v="900000"/>
    <m/>
    <n v="900000"/>
    <m/>
    <n v="900000"/>
    <m/>
    <n v="900000"/>
    <m/>
    <n v="900000"/>
    <m/>
    <n v="900000"/>
    <m/>
    <n v="900000"/>
    <m/>
    <n v="900000"/>
    <m/>
    <n v="900000"/>
    <m/>
    <n v="1000000"/>
    <m/>
    <m/>
    <n v="0"/>
    <n v="10000000"/>
    <n v="10000000"/>
    <n v="0"/>
    <m/>
    <m/>
    <n v="10000000"/>
    <n v="0"/>
    <m/>
    <m/>
    <n v="0"/>
    <n v="10000000"/>
    <n v="10000000"/>
    <m/>
    <m/>
    <m/>
    <m/>
    <m/>
    <m/>
    <m/>
    <m/>
    <m/>
    <m/>
    <m/>
    <m/>
    <m/>
    <m/>
    <m/>
    <m/>
    <m/>
    <m/>
    <m/>
    <m/>
    <m/>
    <m/>
    <m/>
    <m/>
    <m/>
    <m/>
    <m/>
    <m/>
    <m/>
    <m/>
    <m/>
    <m/>
    <m/>
    <m/>
    <m/>
    <m/>
    <m/>
    <m/>
    <n v="0"/>
    <n v="0"/>
    <n v="0"/>
    <n v="0"/>
    <n v="0"/>
    <x v="0"/>
  </r>
  <r>
    <x v="1"/>
    <x v="4"/>
    <s v="N/A"/>
    <s v="N/A"/>
    <s v="Sí"/>
    <s v="Sí"/>
    <n v="68"/>
    <s v="111-12"/>
    <s v="N.A"/>
    <s v="N.A"/>
    <s v="N.A"/>
    <s v="80111707"/>
    <s v="A-02-02-01-002-008"/>
    <s v="Adquisición de bienes y/o servicios (otros)"/>
    <s v="111-12 Suministrar el calzado y vestido de labor para la dotación de los servidores de la UPME para la vigencia 2026 mediante la entrega de tarjetas electrónicas canjeables."/>
    <s v="Enero "/>
    <s v="Enero "/>
    <s v="Enero "/>
    <n v="12"/>
    <s v="Meses"/>
    <s v="Contratación directa - Contratos menor cuantía"/>
    <s v="Propios - 20 - Ingresos corrientes"/>
    <n v="9300000"/>
    <n v="9300000"/>
    <s v="No"/>
    <s v="N/A"/>
    <s v="Jenny Patricia Peña Rozo"/>
    <s v="Coordinador GIT Gestión Administrativa y Servicio al Ciudadano"/>
    <n v="6012220601"/>
    <s v="jenny.pena@upme.gov.co"/>
    <m/>
    <m/>
    <m/>
    <m/>
    <m/>
    <m/>
    <m/>
    <m/>
    <m/>
    <m/>
    <m/>
    <m/>
    <m/>
    <m/>
    <m/>
    <m/>
    <m/>
    <m/>
    <m/>
    <m/>
    <m/>
    <m/>
    <m/>
    <m/>
    <m/>
    <m/>
    <m/>
    <m/>
    <s v="Suministrar el calzado y vestido de labor para la dotación de los servidores de la UPME para la vigencia 2026 mediante la entrega de tarjetas electrónicas canjeables."/>
    <m/>
    <m/>
    <m/>
    <m/>
    <m/>
    <m/>
    <m/>
    <n v="3100000"/>
    <m/>
    <m/>
    <m/>
    <m/>
    <m/>
    <m/>
    <m/>
    <n v="3100000"/>
    <m/>
    <m/>
    <m/>
    <m/>
    <m/>
    <m/>
    <m/>
    <n v="3100000"/>
    <m/>
    <m/>
    <n v="0"/>
    <n v="9300000"/>
    <n v="9300000"/>
    <n v="0"/>
    <n v="51926"/>
    <d v="2026-01-20T00:00:00"/>
    <n v="9300000"/>
    <n v="0"/>
    <m/>
    <m/>
    <n v="0"/>
    <n v="9300000"/>
    <n v="9300000"/>
    <m/>
    <m/>
    <m/>
    <m/>
    <m/>
    <m/>
    <m/>
    <m/>
    <m/>
    <m/>
    <m/>
    <m/>
    <m/>
    <m/>
    <m/>
    <m/>
    <m/>
    <m/>
    <m/>
    <m/>
    <m/>
    <m/>
    <m/>
    <m/>
    <m/>
    <m/>
    <m/>
    <m/>
    <m/>
    <m/>
    <m/>
    <m/>
    <m/>
    <m/>
    <m/>
    <m/>
    <m/>
    <m/>
    <n v="0"/>
    <n v="0"/>
    <n v="0"/>
    <n v="0"/>
    <n v="0"/>
    <x v="0"/>
  </r>
  <r>
    <x v="1"/>
    <x v="4"/>
    <s v="N/A"/>
    <s v="N/A"/>
    <s v="Sí"/>
    <s v="Sí"/>
    <n v="68"/>
    <s v="111-13"/>
    <s v="N.A"/>
    <s v="N.A"/>
    <s v="N.A"/>
    <s v="44121600"/>
    <s v="A-02-02-01-003-002 "/>
    <s v="Adquisición de bienes y/o servicios (otros)"/>
    <s v="111-13 Adquirir elementos de oficina y papelería requeridos por los servidores de la Upme."/>
    <s v="Julio"/>
    <s v="Junio"/>
    <s v="Agosto"/>
    <n v="1"/>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Adquirir elementos de oficina y papelería requeridos por los servidores de la Upme."/>
    <m/>
    <m/>
    <m/>
    <m/>
    <m/>
    <m/>
    <m/>
    <m/>
    <m/>
    <m/>
    <m/>
    <m/>
    <m/>
    <m/>
    <m/>
    <m/>
    <m/>
    <n v="10000000"/>
    <m/>
    <m/>
    <m/>
    <m/>
    <m/>
    <m/>
    <m/>
    <m/>
    <n v="0"/>
    <n v="10000000"/>
    <n v="10000000"/>
    <n v="0"/>
    <m/>
    <m/>
    <m/>
    <n v="10000000"/>
    <m/>
    <m/>
    <n v="0"/>
    <n v="10000000"/>
    <n v="0"/>
    <m/>
    <m/>
    <m/>
    <m/>
    <m/>
    <m/>
    <m/>
    <m/>
    <m/>
    <m/>
    <m/>
    <m/>
    <m/>
    <m/>
    <m/>
    <m/>
    <m/>
    <m/>
    <m/>
    <m/>
    <m/>
    <m/>
    <m/>
    <m/>
    <m/>
    <m/>
    <m/>
    <m/>
    <m/>
    <m/>
    <m/>
    <m/>
    <m/>
    <m/>
    <m/>
    <m/>
    <m/>
    <m/>
    <n v="0"/>
    <n v="0"/>
    <n v="0"/>
    <n v="0"/>
    <n v="0"/>
    <x v="0"/>
  </r>
  <r>
    <x v="1"/>
    <x v="4"/>
    <s v="N/A"/>
    <s v="N/A"/>
    <s v="Sí"/>
    <s v="Sí"/>
    <n v="12"/>
    <s v="111-14"/>
    <s v="N.A"/>
    <s v="N.A"/>
    <s v="N.A"/>
    <s v="80131500"/>
    <s v="A-02-02-02-009-007"/>
    <s v="Arrendamientos"/>
    <s v="111-14 Prestar el servicio de arrendamiento para la administración integral del archivo central de la Upme y su respectivo bodegaje."/>
    <s v="Junio"/>
    <s v="Junio"/>
    <s v="Julio"/>
    <n v="12"/>
    <s v="Meses"/>
    <s v="Contratación directa - Contratos menor cuantía"/>
    <s v="Propios - 20 - Ingresos corrientes"/>
    <n v="29198590"/>
    <n v="29198590"/>
    <s v="No"/>
    <s v="N/A"/>
    <s v="Jenny Patricia Peña Rozo"/>
    <s v="Coordinador GIT Gestión Administrativa y Servicio al Ciudadano"/>
    <n v="6012220601"/>
    <s v="jenny.pena@upme.gov.co"/>
    <m/>
    <m/>
    <m/>
    <m/>
    <m/>
    <m/>
    <m/>
    <m/>
    <m/>
    <m/>
    <m/>
    <m/>
    <m/>
    <m/>
    <m/>
    <m/>
    <m/>
    <m/>
    <m/>
    <m/>
    <m/>
    <m/>
    <m/>
    <m/>
    <m/>
    <m/>
    <m/>
    <m/>
    <s v="Prestar el servicio de arrendamiento para la administración integral del archivo central de la Upme y su respectivo bodegaje."/>
    <m/>
    <m/>
    <m/>
    <m/>
    <m/>
    <m/>
    <m/>
    <m/>
    <m/>
    <m/>
    <m/>
    <m/>
    <n v="60000000"/>
    <n v="10000000"/>
    <m/>
    <n v="10000000"/>
    <m/>
    <n v="10000000"/>
    <m/>
    <n v="10000000"/>
    <m/>
    <n v="10000000"/>
    <m/>
    <n v="10000000"/>
    <m/>
    <m/>
    <n v="60000000"/>
    <n v="60000000"/>
    <n v="-30801410"/>
    <n v="-30801410"/>
    <m/>
    <m/>
    <m/>
    <n v="29198590"/>
    <m/>
    <m/>
    <n v="0"/>
    <n v="29198590"/>
    <n v="0"/>
    <m/>
    <m/>
    <m/>
    <m/>
    <m/>
    <m/>
    <m/>
    <m/>
    <m/>
    <m/>
    <m/>
    <m/>
    <m/>
    <m/>
    <m/>
    <m/>
    <m/>
    <m/>
    <m/>
    <m/>
    <m/>
    <m/>
    <m/>
    <m/>
    <m/>
    <m/>
    <m/>
    <m/>
    <m/>
    <m/>
    <m/>
    <m/>
    <m/>
    <m/>
    <m/>
    <m/>
    <m/>
    <m/>
    <n v="0"/>
    <n v="0"/>
    <n v="0"/>
    <n v="0"/>
    <n v="0"/>
    <x v="0"/>
  </r>
  <r>
    <x v="1"/>
    <x v="4"/>
    <s v="N/A"/>
    <s v="N/A"/>
    <s v="Sí"/>
    <s v="Sí"/>
    <n v="68"/>
    <s v="111-15"/>
    <s v="N.A"/>
    <s v="N.A"/>
    <s v="N.A"/>
    <s v="55101519"/>
    <s v="A-02-02-02-008-009"/>
    <s v="Adquisición de bienes y/o servicios (otros)"/>
    <s v="111-15 Prestar el servicio de publicación en el diario oficial de los actos administrativos de carácter general emitidos por la UPME."/>
    <s v="Junio"/>
    <s v="Junio"/>
    <s v="Agosto"/>
    <n v="5"/>
    <s v="Meses"/>
    <s v="Contratación directa - Contratos menor cuantía"/>
    <s v="Propios - 20 - Ingresos corrientes"/>
    <n v="20000000"/>
    <n v="20000000"/>
    <s v="No"/>
    <s v="N/A"/>
    <s v="Jenny Patricia Peña Rozo"/>
    <s v="Coordinador GIT Gestión Administrativa y Servicio al Ciudadano"/>
    <n v="6012220601"/>
    <s v="jenny.pena@upme.gov.co"/>
    <m/>
    <m/>
    <m/>
    <m/>
    <m/>
    <m/>
    <m/>
    <m/>
    <m/>
    <m/>
    <m/>
    <m/>
    <m/>
    <m/>
    <m/>
    <m/>
    <m/>
    <m/>
    <m/>
    <m/>
    <m/>
    <m/>
    <m/>
    <m/>
    <m/>
    <m/>
    <m/>
    <m/>
    <s v="Prestar el servicio de publicación en el diario oficial de los actos administrativos de carácter general emitidos por la UPME."/>
    <m/>
    <m/>
    <m/>
    <m/>
    <m/>
    <m/>
    <m/>
    <m/>
    <m/>
    <m/>
    <m/>
    <m/>
    <m/>
    <m/>
    <m/>
    <n v="4000000"/>
    <m/>
    <n v="4000000"/>
    <m/>
    <n v="4000000"/>
    <m/>
    <n v="4000000"/>
    <m/>
    <n v="4000000"/>
    <m/>
    <m/>
    <n v="0"/>
    <n v="20000000"/>
    <n v="20000000"/>
    <n v="0"/>
    <n v="14626"/>
    <d v="2026-01-09T00:00:00"/>
    <n v="20000000"/>
    <n v="0"/>
    <m/>
    <m/>
    <n v="0"/>
    <n v="20000000"/>
    <n v="20000000"/>
    <m/>
    <m/>
    <m/>
    <m/>
    <m/>
    <m/>
    <m/>
    <m/>
    <m/>
    <m/>
    <m/>
    <m/>
    <m/>
    <m/>
    <m/>
    <m/>
    <m/>
    <m/>
    <m/>
    <m/>
    <m/>
    <m/>
    <m/>
    <m/>
    <m/>
    <m/>
    <m/>
    <m/>
    <m/>
    <m/>
    <m/>
    <m/>
    <m/>
    <m/>
    <m/>
    <m/>
    <m/>
    <m/>
    <n v="0"/>
    <n v="0"/>
    <n v="0"/>
    <n v="0"/>
    <n v="0"/>
    <x v="0"/>
  </r>
  <r>
    <x v="1"/>
    <x v="4"/>
    <s v="N/A"/>
    <s v="N/A"/>
    <s v="Sí"/>
    <s v="Sí"/>
    <n v="19"/>
    <s v="111-16"/>
    <s v="N.A"/>
    <s v="N.A"/>
    <s v="N.A"/>
    <s v="80111620"/>
    <s v="A-02-02-02-008-003"/>
    <s v="Prestación de servicios profesionales y/o de apoyo a la gestión"/>
    <s v="111-16 Brindar apoyo en los procesos administrativos, documentales y de servicio al ciudadano en el marco de la Modernización de Procesos de la Entidad UPME"/>
    <s v="Enero "/>
    <s v="Enero "/>
    <s v="Enero "/>
    <s v="11.5"/>
    <s v="Meses"/>
    <s v="Contratación directa - Contratos menor cuantía"/>
    <s v="Propios - 20 - Ingresos corrientes"/>
    <n v="42900000"/>
    <n v="42900000"/>
    <s v="No"/>
    <s v="N/A"/>
    <s v="Jenny Patricia Peña Rozo"/>
    <s v="Coordinador GIT Gestión Administrativa y Servicio al Ciudadano"/>
    <n v="6012220601"/>
    <s v="jenny.pena@upme.gov.co"/>
    <m/>
    <m/>
    <m/>
    <m/>
    <m/>
    <m/>
    <m/>
    <m/>
    <m/>
    <m/>
    <m/>
    <m/>
    <m/>
    <m/>
    <m/>
    <m/>
    <m/>
    <m/>
    <m/>
    <m/>
    <m/>
    <m/>
    <m/>
    <m/>
    <m/>
    <m/>
    <m/>
    <m/>
    <s v="Brindar apoyo en los procesos administrativos, documentales y de servicio al ciudadano en el marco de la Modernización de Procesos de la Entidad UPME"/>
    <m/>
    <m/>
    <m/>
    <n v="1950000"/>
    <m/>
    <n v="3900000"/>
    <m/>
    <n v="3900000"/>
    <m/>
    <n v="3900000"/>
    <m/>
    <n v="3900000"/>
    <m/>
    <n v="3900000"/>
    <m/>
    <n v="3900000"/>
    <m/>
    <n v="3900000"/>
    <m/>
    <n v="3900000"/>
    <m/>
    <n v="3900000"/>
    <m/>
    <n v="7800000"/>
    <m/>
    <m/>
    <n v="0"/>
    <n v="44850000"/>
    <n v="42900000"/>
    <n v="-1950000"/>
    <n v="38326"/>
    <d v="2026-01-15T00:00:00"/>
    <n v="44850000"/>
    <n v="-1950000"/>
    <n v="26626"/>
    <d v="2026-01-28T00:00:00"/>
    <n v="42900000"/>
    <n v="0"/>
    <n v="1950000"/>
    <s v="MOLINA MEZA TATIANA MARCELA"/>
    <s v="CO1.PCCNTR.9117461"/>
    <n v="42900000"/>
    <m/>
    <m/>
    <m/>
    <m/>
    <m/>
    <m/>
    <m/>
    <m/>
    <m/>
    <m/>
    <m/>
    <m/>
    <m/>
    <m/>
    <m/>
    <m/>
    <m/>
    <m/>
    <m/>
    <m/>
    <m/>
    <m/>
    <m/>
    <m/>
    <m/>
    <m/>
    <m/>
    <m/>
    <m/>
    <m/>
    <m/>
    <m/>
    <m/>
    <m/>
    <m/>
    <n v="42900000"/>
    <n v="0"/>
    <n v="0"/>
    <n v="42900000"/>
    <n v="0"/>
    <x v="0"/>
  </r>
  <r>
    <x v="1"/>
    <x v="4"/>
    <s v="N/A"/>
    <s v="N/A"/>
    <s v="Sí"/>
    <s v="Sí"/>
    <n v="68"/>
    <s v="111-17"/>
    <s v="N.A"/>
    <s v="N.A"/>
    <s v="N.A"/>
    <s v="80111620"/>
    <s v="A-02-02-02-008-003"/>
    <s v="Prestación de servicios profesionales y/o de apoyo a la gestión"/>
    <s v="111-17 Prestar servicios profesionales en el apoyo a la supervisión de contratos, control de pagos y seguimiento a la ejecución del PAA y correcto funcionamiento de bienes y servicios requeridos de la UPME."/>
    <s v="Enero "/>
    <s v="Enero "/>
    <s v="Enero "/>
    <n v="6"/>
    <s v="Meses"/>
    <s v="Contratación directa - Prestación de servicios profesionales "/>
    <s v="Propios - 20 - Ingresos corrientes"/>
    <n v="36000000"/>
    <n v="36000000"/>
    <s v="No"/>
    <s v="N/A"/>
    <s v="Jenny Patricia Peña Rozo"/>
    <s v="Coordinador GIT Gestión Administrativa y Servicio al Ciudadano"/>
    <n v="6012220601"/>
    <s v="jenny.pena@upme.gov.co"/>
    <m/>
    <m/>
    <m/>
    <m/>
    <m/>
    <m/>
    <m/>
    <m/>
    <m/>
    <m/>
    <m/>
    <m/>
    <m/>
    <m/>
    <m/>
    <m/>
    <m/>
    <m/>
    <m/>
    <m/>
    <m/>
    <m/>
    <m/>
    <m/>
    <m/>
    <m/>
    <m/>
    <m/>
    <s v="Prestar servicios profesionales en el apoyo a la supervisión de contratos, control de pagos y seguimiento a la ejecución del PAA y correcto funcionamiento de bienes y servicios requeridos de la UPME."/>
    <m/>
    <m/>
    <m/>
    <n v="3000000"/>
    <m/>
    <n v="6000000"/>
    <m/>
    <n v="6000000"/>
    <m/>
    <n v="6000000"/>
    <m/>
    <n v="6000000"/>
    <m/>
    <n v="6000000"/>
    <m/>
    <n v="3000000"/>
    <m/>
    <m/>
    <m/>
    <m/>
    <m/>
    <m/>
    <m/>
    <m/>
    <m/>
    <m/>
    <n v="0"/>
    <n v="36000000"/>
    <n v="36000000"/>
    <n v="0"/>
    <m/>
    <m/>
    <m/>
    <n v="36000000"/>
    <m/>
    <m/>
    <n v="0"/>
    <n v="36000000"/>
    <n v="0"/>
    <m/>
    <m/>
    <m/>
    <m/>
    <m/>
    <m/>
    <m/>
    <m/>
    <m/>
    <m/>
    <m/>
    <m/>
    <m/>
    <m/>
    <m/>
    <m/>
    <m/>
    <m/>
    <m/>
    <m/>
    <m/>
    <m/>
    <m/>
    <m/>
    <m/>
    <m/>
    <m/>
    <m/>
    <m/>
    <m/>
    <m/>
    <m/>
    <m/>
    <m/>
    <m/>
    <m/>
    <m/>
    <m/>
    <n v="0"/>
    <n v="0"/>
    <n v="0"/>
    <n v="0"/>
    <n v="0"/>
    <x v="0"/>
  </r>
  <r>
    <x v="1"/>
    <x v="4"/>
    <s v="N/A"/>
    <s v="N/A"/>
    <s v="Sí"/>
    <s v="Sí"/>
    <n v="68"/>
    <s v="111-18"/>
    <s v="N.A"/>
    <s v="N.A"/>
    <s v="N.A"/>
    <s v="80111620"/>
    <s v="A-02-02-02-008-003"/>
    <s v="Prestación de servicios profesionales y/o de apoyo a la gestión"/>
    <s v="111-18 Prestar servicios profesionales en la interventoría de la tercera fase de adecuaciones a la infraestructura de la sede administrativa de la Upme."/>
    <s v="Julio"/>
    <s v="Julio"/>
    <s v="Agosto"/>
    <n v="5"/>
    <s v="Meses"/>
    <s v="Contratación directa - Prestación de servicios profesionales "/>
    <s v="Propios - 20 - Ingresos corrientes"/>
    <n v="26000000"/>
    <n v="26000000"/>
    <s v="No"/>
    <s v="N/A"/>
    <s v="Jenny Patricia Peña Rozo"/>
    <s v="Coordinador GIT Gestión Administrativa y Servicio al Ciudadano"/>
    <n v="6012220601"/>
    <s v="jenny.pena@upme.gov.co"/>
    <m/>
    <m/>
    <m/>
    <m/>
    <m/>
    <m/>
    <m/>
    <m/>
    <m/>
    <m/>
    <m/>
    <m/>
    <m/>
    <m/>
    <m/>
    <m/>
    <m/>
    <m/>
    <m/>
    <m/>
    <m/>
    <m/>
    <m/>
    <m/>
    <m/>
    <m/>
    <m/>
    <m/>
    <s v="Prestar servicios profesionales en la interventoría de la tercera fase de adecuaciones a la infraestructura de la sede administrativa de la Upme."/>
    <m/>
    <m/>
    <m/>
    <m/>
    <m/>
    <m/>
    <m/>
    <m/>
    <m/>
    <n v="6500000"/>
    <m/>
    <n v="6500000"/>
    <m/>
    <n v="6500000"/>
    <m/>
    <n v="6500000"/>
    <m/>
    <m/>
    <m/>
    <m/>
    <m/>
    <m/>
    <m/>
    <m/>
    <m/>
    <m/>
    <n v="0"/>
    <n v="26000000"/>
    <n v="26000000"/>
    <n v="0"/>
    <m/>
    <m/>
    <m/>
    <n v="26000000"/>
    <m/>
    <m/>
    <n v="0"/>
    <n v="26000000"/>
    <n v="0"/>
    <m/>
    <m/>
    <m/>
    <m/>
    <m/>
    <m/>
    <m/>
    <m/>
    <m/>
    <m/>
    <m/>
    <m/>
    <m/>
    <m/>
    <m/>
    <m/>
    <m/>
    <m/>
    <m/>
    <m/>
    <m/>
    <m/>
    <m/>
    <m/>
    <m/>
    <m/>
    <m/>
    <m/>
    <m/>
    <m/>
    <m/>
    <m/>
    <m/>
    <m/>
    <m/>
    <m/>
    <m/>
    <m/>
    <n v="0"/>
    <n v="0"/>
    <n v="0"/>
    <n v="0"/>
    <n v="0"/>
    <x v="0"/>
  </r>
  <r>
    <x v="1"/>
    <x v="4"/>
    <s v="N/A"/>
    <s v="N/A"/>
    <s v="Sí"/>
    <s v="Sí"/>
    <n v="68"/>
    <s v="111-19"/>
    <s v="N.A"/>
    <s v="N.A"/>
    <s v="N.A"/>
    <s v="80111620"/>
    <s v="A-02-02-02-008-003"/>
    <s v="Prestación de servicios profesionales y/o de apoyo a la gestión"/>
    <s v="111-19 Prestar los servicios profesionales para apoyar las actividades relacionadas con la gestión administrativa de la Secretaría General de la UPME."/>
    <s v="Enero "/>
    <s v="Enero "/>
    <s v="Enero "/>
    <n v="6"/>
    <s v="Meses"/>
    <s v="Contratación directa - Prestación de servicios profesionales "/>
    <s v="Propios - 20 - Ingresos corrientes"/>
    <n v="36000000"/>
    <n v="36000000"/>
    <s v="No"/>
    <s v="N/A"/>
    <s v="Jenny Patricia Peña Rozo"/>
    <s v="Coordinador GIT Gestión Administrativa y Servicio al Ciudadano"/>
    <n v="6012220601"/>
    <s v="jenny.pena@upme.gov.co"/>
    <m/>
    <m/>
    <m/>
    <m/>
    <m/>
    <m/>
    <m/>
    <m/>
    <m/>
    <m/>
    <m/>
    <m/>
    <m/>
    <m/>
    <m/>
    <m/>
    <m/>
    <m/>
    <m/>
    <m/>
    <m/>
    <m/>
    <m/>
    <m/>
    <m/>
    <m/>
    <m/>
    <m/>
    <s v="Prestar los servicios profesionales para apoyar las actividades relacionadas con la gestión administrativa de la Secretaría General de la UPME."/>
    <m/>
    <m/>
    <m/>
    <n v="3000000"/>
    <m/>
    <n v="6000000"/>
    <m/>
    <n v="6000000"/>
    <m/>
    <n v="6000000"/>
    <m/>
    <n v="6000000"/>
    <m/>
    <n v="6000000"/>
    <m/>
    <n v="3000000"/>
    <m/>
    <m/>
    <m/>
    <m/>
    <m/>
    <m/>
    <m/>
    <m/>
    <m/>
    <m/>
    <n v="0"/>
    <n v="36000000"/>
    <n v="36000000"/>
    <n v="0"/>
    <n v="9626"/>
    <d v="2026-01-07T00:00:00"/>
    <n v="36000000"/>
    <n v="0"/>
    <n v="37326"/>
    <d v="2026-02-02T00:00:00"/>
    <n v="36000000"/>
    <n v="0"/>
    <n v="0"/>
    <s v="REAL SALINAS EDMA MARITZA"/>
    <s v="CO1.PCCNTR.9182871"/>
    <m/>
    <m/>
    <m/>
    <n v="36000000"/>
    <m/>
    <m/>
    <m/>
    <m/>
    <m/>
    <m/>
    <m/>
    <m/>
    <m/>
    <m/>
    <m/>
    <m/>
    <m/>
    <m/>
    <m/>
    <m/>
    <m/>
    <m/>
    <m/>
    <m/>
    <m/>
    <m/>
    <m/>
    <m/>
    <m/>
    <m/>
    <m/>
    <m/>
    <m/>
    <m/>
    <m/>
    <m/>
    <n v="36000000"/>
    <n v="0"/>
    <n v="0"/>
    <n v="36000000"/>
    <n v="0"/>
    <x v="0"/>
  </r>
  <r>
    <x v="1"/>
    <x v="4"/>
    <s v="N/A"/>
    <s v="N/A"/>
    <s v="Sí"/>
    <s v="Sí"/>
    <n v="19"/>
    <s v="111-2"/>
    <s v="N.A"/>
    <s v="N.A"/>
    <s v="N.A"/>
    <s v="72101509"/>
    <s v="A-02-02-02-008-007"/>
    <s v="Mantenimientos y/o mejoras"/>
    <s v="111-2 Prestar servicios de mantenimiento preventivo y correctivo en el sistema de protección de red contraincendios en las instalaciones de la UPME."/>
    <s v="Enero "/>
    <s v="Enero "/>
    <s v="Enero "/>
    <n v="12"/>
    <s v="Meses"/>
    <s v="Contratación directa - Contratos menor cuantía"/>
    <s v="Propios - 20 - Ingresos corrientes"/>
    <n v="21745650"/>
    <n v="21745650"/>
    <s v="No"/>
    <s v="N/A"/>
    <s v="Jenny Patricia Peña Rozo"/>
    <s v="Coordinador GIT Gestión Administrativa y Servicio al Ciudadano"/>
    <n v="6012220601"/>
    <s v="jenny.pena@upme.gov.co"/>
    <m/>
    <m/>
    <m/>
    <m/>
    <m/>
    <m/>
    <m/>
    <m/>
    <m/>
    <m/>
    <m/>
    <m/>
    <m/>
    <m/>
    <m/>
    <m/>
    <m/>
    <m/>
    <m/>
    <m/>
    <m/>
    <m/>
    <m/>
    <m/>
    <m/>
    <m/>
    <m/>
    <m/>
    <s v="Prestar servicios de mantenimiento preventivo y correctivo en el sistema de protección de red contraincendios en las instalaciones de la UPME."/>
    <m/>
    <m/>
    <m/>
    <m/>
    <m/>
    <m/>
    <m/>
    <n v="7566667"/>
    <m/>
    <m/>
    <m/>
    <m/>
    <m/>
    <m/>
    <m/>
    <n v="7566667"/>
    <m/>
    <m/>
    <m/>
    <m/>
    <m/>
    <n v="7566666"/>
    <m/>
    <m/>
    <m/>
    <m/>
    <n v="0"/>
    <n v="22700000"/>
    <n v="21745650"/>
    <n v="-954350"/>
    <n v="16226"/>
    <d v="2026-01-09T00:00:00"/>
    <n v="22700000"/>
    <n v="-954350"/>
    <m/>
    <m/>
    <n v="0"/>
    <n v="21745650"/>
    <n v="22700000"/>
    <m/>
    <m/>
    <m/>
    <m/>
    <m/>
    <m/>
    <m/>
    <m/>
    <m/>
    <m/>
    <m/>
    <m/>
    <m/>
    <m/>
    <m/>
    <m/>
    <m/>
    <m/>
    <m/>
    <m/>
    <m/>
    <m/>
    <m/>
    <m/>
    <m/>
    <m/>
    <m/>
    <m/>
    <m/>
    <m/>
    <m/>
    <m/>
    <m/>
    <m/>
    <m/>
    <m/>
    <m/>
    <m/>
    <n v="0"/>
    <n v="0"/>
    <n v="0"/>
    <n v="0"/>
    <n v="0"/>
    <x v="0"/>
  </r>
  <r>
    <x v="1"/>
    <x v="4"/>
    <s v="N/A"/>
    <s v="N/A"/>
    <s v="Sí"/>
    <s v="Sí"/>
    <n v="19"/>
    <s v="111-20"/>
    <s v="N.A"/>
    <s v="N.A"/>
    <s v="N.A"/>
    <s v="80111620"/>
    <s v="A-02-02-02-008-002"/>
    <s v="Prestación de servicios profesionales y/o de apoyo a la gestión"/>
    <s v="111-20 Prestar servicios profesionales para apoyar la sustanciación y revisión de actos administrativos, respuestas a derechos de petición, conceptos y circulares adelantadas en la Secretaría General de la UPME."/>
    <s v="Enero "/>
    <s v="Enero "/>
    <s v="Enero "/>
    <s v="11.5"/>
    <s v="Meses"/>
    <s v="Contratación directa - Prestación de servicios profesionales "/>
    <s v="Propios - 20 - Ingresos corrientes"/>
    <n v="60500000"/>
    <n v="60500000"/>
    <s v="No"/>
    <s v="N/A"/>
    <s v="Jenny Patricia Peña Rozo"/>
    <s v="Coordinador GIT Gestión Administrativa y Servicio al Ciudadano"/>
    <n v="6012220601"/>
    <s v="jenny.pena@upme.gov.co"/>
    <m/>
    <m/>
    <m/>
    <m/>
    <m/>
    <m/>
    <m/>
    <m/>
    <m/>
    <m/>
    <m/>
    <m/>
    <m/>
    <m/>
    <m/>
    <m/>
    <m/>
    <m/>
    <m/>
    <m/>
    <m/>
    <m/>
    <m/>
    <m/>
    <m/>
    <m/>
    <m/>
    <m/>
    <s v="Prestar servicios profesionales para apoyar la sustanciación y revisión de actos administrativos, respuestas a derechos de petición, conceptos y circulares adelantadas en la Secretaría General de la UPME."/>
    <m/>
    <m/>
    <m/>
    <n v="2750000"/>
    <m/>
    <n v="5500000"/>
    <m/>
    <n v="5500000"/>
    <m/>
    <n v="5500000"/>
    <m/>
    <n v="5500000"/>
    <m/>
    <n v="5500000"/>
    <m/>
    <n v="5500000"/>
    <m/>
    <n v="5500000"/>
    <m/>
    <n v="5500000"/>
    <m/>
    <n v="5500000"/>
    <m/>
    <n v="11000000"/>
    <m/>
    <m/>
    <n v="0"/>
    <n v="63250000"/>
    <n v="60500000"/>
    <n v="-2750000"/>
    <n v="39326"/>
    <d v="2026-01-16T00:00:00"/>
    <n v="63250000"/>
    <n v="-2750000"/>
    <m/>
    <m/>
    <n v="0"/>
    <n v="60500000"/>
    <n v="63250000"/>
    <m/>
    <m/>
    <m/>
    <m/>
    <m/>
    <m/>
    <m/>
    <m/>
    <m/>
    <m/>
    <m/>
    <m/>
    <m/>
    <m/>
    <m/>
    <m/>
    <m/>
    <m/>
    <m/>
    <m/>
    <m/>
    <m/>
    <m/>
    <m/>
    <m/>
    <m/>
    <m/>
    <m/>
    <m/>
    <m/>
    <m/>
    <m/>
    <m/>
    <m/>
    <m/>
    <m/>
    <m/>
    <m/>
    <n v="0"/>
    <n v="0"/>
    <n v="0"/>
    <n v="0"/>
    <n v="0"/>
    <x v="0"/>
  </r>
  <r>
    <x v="1"/>
    <x v="4"/>
    <s v="N/A"/>
    <s v="N/A"/>
    <s v="Sí"/>
    <s v="Sí"/>
    <n v="68"/>
    <s v="111-21"/>
    <s v="N.A"/>
    <s v="N.A"/>
    <s v="N.A"/>
    <s v="84131501;84131607;84131514;84131500;84131603"/>
    <s v="A-02-02-02-007-001"/>
    <s v="Adquisición de bienes y/o servicios (otros)"/>
    <s v="111-21 Prestar servicios de intermediación y asesoría en la formulación y manejo de los programas de seguros para la Upme."/>
    <s v="Enero "/>
    <s v="Enero "/>
    <s v="Enero "/>
    <n v="12"/>
    <s v="Meses"/>
    <s v="Contratación régimen especial (con ofertas)  - Régimen especial"/>
    <s v="Propios - 20 - Ingresos corrientes"/>
    <n v="0"/>
    <n v="0"/>
    <s v="No"/>
    <s v="N/A"/>
    <s v="Jenny Patricia Peña Rozo"/>
    <s v="Coordinador GIT Gestión Administrativa y Servicio al Ciudadano"/>
    <n v="6012220601"/>
    <s v="jenny.pena@upme.gov.co"/>
    <m/>
    <m/>
    <m/>
    <m/>
    <m/>
    <m/>
    <m/>
    <m/>
    <m/>
    <m/>
    <m/>
    <m/>
    <m/>
    <m/>
    <m/>
    <m/>
    <m/>
    <m/>
    <m/>
    <m/>
    <m/>
    <m/>
    <m/>
    <m/>
    <m/>
    <m/>
    <m/>
    <m/>
    <s v="Prestar servicios de intermediación y asesoría en la formulación y manejo de los programas de seguros para la Upme."/>
    <m/>
    <m/>
    <m/>
    <m/>
    <m/>
    <m/>
    <m/>
    <m/>
    <m/>
    <m/>
    <m/>
    <m/>
    <m/>
    <m/>
    <m/>
    <m/>
    <m/>
    <m/>
    <m/>
    <m/>
    <m/>
    <m/>
    <m/>
    <m/>
    <m/>
    <m/>
    <n v="0"/>
    <n v="0"/>
    <n v="0"/>
    <n v="0"/>
    <m/>
    <m/>
    <m/>
    <n v="0"/>
    <m/>
    <m/>
    <n v="0"/>
    <n v="0"/>
    <n v="0"/>
    <m/>
    <m/>
    <m/>
    <m/>
    <m/>
    <m/>
    <m/>
    <m/>
    <m/>
    <m/>
    <m/>
    <m/>
    <m/>
    <m/>
    <m/>
    <m/>
    <m/>
    <m/>
    <m/>
    <m/>
    <m/>
    <m/>
    <m/>
    <m/>
    <m/>
    <m/>
    <m/>
    <m/>
    <m/>
    <m/>
    <m/>
    <m/>
    <m/>
    <m/>
    <m/>
    <m/>
    <m/>
    <m/>
    <n v="0"/>
    <n v="0"/>
    <n v="0"/>
    <n v="0"/>
    <n v="0"/>
    <x v="0"/>
  </r>
  <r>
    <x v="1"/>
    <x v="4"/>
    <s v="N/A"/>
    <s v="N/A"/>
    <s v="Sí"/>
    <s v="Sí"/>
    <n v="68"/>
    <s v="111-22"/>
    <s v="N.A"/>
    <s v="N.A"/>
    <s v="N.A"/>
    <s v="84131501;84131607;84131514;84131500;84131603"/>
    <s v="A-02-02-02-007-001"/>
    <s v="Adquisición de bienes y/o servicios (otros)"/>
    <s v="111-22 Adquirir las pólizas de seguros que amparen los bienes muebles, inmuebles e intereses patrimoniales asegurables de propiedad de la Upme y de aquellos por los que sea o llegase a ser legalmente responsable a nivel nacional."/>
    <s v="Febrero"/>
    <s v="Febrero"/>
    <s v="Febrero"/>
    <n v="12"/>
    <s v="Meses"/>
    <s v="Contratación directa - Contratos menor cuantía"/>
    <s v="Propios - 20 - Ingresos corrientes"/>
    <n v="310000000"/>
    <n v="310000000"/>
    <s v="No"/>
    <s v="N/A"/>
    <s v="Jenny Patricia Peña Rozo"/>
    <s v="Coordinador GIT Gestión Administrativa y Servicio al Ciudadano"/>
    <n v="6012220601"/>
    <s v="jenny.pena@upme.gov.co"/>
    <m/>
    <m/>
    <m/>
    <m/>
    <m/>
    <m/>
    <m/>
    <m/>
    <m/>
    <m/>
    <m/>
    <m/>
    <m/>
    <m/>
    <m/>
    <m/>
    <m/>
    <m/>
    <m/>
    <m/>
    <m/>
    <m/>
    <m/>
    <m/>
    <m/>
    <m/>
    <m/>
    <m/>
    <s v="Adquirir las pólizas de seguros que amparen los bienes muebles, inmuebles e intereses patrimoniales asegurables de propiedad de la Upme y de aquellos por los que sea o llegase a ser legalmente responsable a nivel nacional."/>
    <m/>
    <m/>
    <m/>
    <m/>
    <m/>
    <m/>
    <m/>
    <m/>
    <m/>
    <n v="310000000"/>
    <m/>
    <m/>
    <m/>
    <m/>
    <m/>
    <m/>
    <m/>
    <m/>
    <m/>
    <m/>
    <m/>
    <m/>
    <m/>
    <m/>
    <m/>
    <m/>
    <n v="0"/>
    <n v="310000000"/>
    <n v="310000000"/>
    <n v="0"/>
    <m/>
    <m/>
    <m/>
    <n v="310000000"/>
    <m/>
    <m/>
    <n v="0"/>
    <n v="310000000"/>
    <n v="0"/>
    <m/>
    <m/>
    <m/>
    <m/>
    <m/>
    <m/>
    <m/>
    <m/>
    <m/>
    <m/>
    <m/>
    <m/>
    <m/>
    <m/>
    <m/>
    <m/>
    <m/>
    <m/>
    <m/>
    <m/>
    <m/>
    <m/>
    <m/>
    <m/>
    <m/>
    <m/>
    <m/>
    <m/>
    <m/>
    <m/>
    <m/>
    <m/>
    <m/>
    <m/>
    <m/>
    <m/>
    <m/>
    <m/>
    <n v="0"/>
    <n v="0"/>
    <n v="0"/>
    <n v="0"/>
    <n v="0"/>
    <x v="0"/>
  </r>
  <r>
    <x v="1"/>
    <x v="4"/>
    <s v="N/A"/>
    <s v="N/A"/>
    <s v="Sí"/>
    <s v="Sí"/>
    <n v="6"/>
    <s v="111-23"/>
    <s v="N.A"/>
    <s v="N.A"/>
    <s v="N.A"/>
    <s v="78102203;78102206"/>
    <s v="A-02-02-02-006-008"/>
    <s v="Adquisición de bienes y/o servicios (otros)"/>
    <s v="111-23 Prestar los servicios de correo certificado electrónico, mensajería motorizada y especializada a nivel urbano, nacional e internacional, incluyendo la actividad de notificaciones judiciales de los actos administrativos de la UPME, garantizando el c"/>
    <s v="Enero "/>
    <s v="Enero "/>
    <s v="Enero "/>
    <n v="12"/>
    <s v="Meses"/>
    <s v="Contratación directa - Contratos menor cuantía"/>
    <s v="Propios - 20 - Ingresos corrientes"/>
    <n v="0"/>
    <n v="0"/>
    <s v="No"/>
    <s v="N/A"/>
    <s v="Jenny Patricia Peña Rozo"/>
    <s v="Coordinador GIT Gestión Administrativa y Servicio al Ciudadano"/>
    <n v="6012220601"/>
    <s v="jenny.pena@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0"/>
    <n v="0"/>
    <n v="0"/>
    <n v="0"/>
    <n v="0"/>
    <n v="0"/>
    <n v="0"/>
    <n v="0"/>
    <n v="0"/>
    <n v="0"/>
    <n v="0"/>
    <n v="0"/>
    <n v="0"/>
    <n v="0"/>
    <n v="0"/>
    <n v="0"/>
    <n v="0"/>
    <n v="0"/>
    <n v="0"/>
    <n v="0"/>
    <n v="0"/>
    <m/>
    <m/>
    <n v="0"/>
    <n v="0"/>
    <n v="0"/>
    <n v="0"/>
    <m/>
    <m/>
    <m/>
    <n v="0"/>
    <m/>
    <m/>
    <n v="0"/>
    <n v="0"/>
    <n v="0"/>
    <m/>
    <m/>
    <m/>
    <m/>
    <m/>
    <m/>
    <m/>
    <m/>
    <m/>
    <m/>
    <m/>
    <m/>
    <m/>
    <m/>
    <m/>
    <m/>
    <m/>
    <m/>
    <m/>
    <m/>
    <m/>
    <m/>
    <m/>
    <m/>
    <m/>
    <m/>
    <m/>
    <m/>
    <m/>
    <m/>
    <m/>
    <m/>
    <m/>
    <m/>
    <m/>
    <m/>
    <m/>
    <m/>
    <n v="0"/>
    <n v="0"/>
    <n v="0"/>
    <n v="0"/>
    <n v="0"/>
    <x v="0"/>
  </r>
  <r>
    <x v="1"/>
    <x v="4"/>
    <s v="N/A"/>
    <s v="N/A"/>
    <s v="Sí"/>
    <s v="Sí"/>
    <n v="68"/>
    <s v="111-24"/>
    <s v="N.A"/>
    <s v="N.A"/>
    <s v="N.A"/>
    <n v="92101501"/>
    <s v="A-02-02-02-008-005 "/>
    <s v="Adquisición de bienes y/o servicios (otros)"/>
    <s v="111-24 Prestar el servicio integral de recepción, seguridad privada y vigilancia en la sede de la Upme."/>
    <s v="Mayo"/>
    <s v="Mayo"/>
    <s v="Agosto"/>
    <n v="5"/>
    <s v="Meses"/>
    <s v="Contratación directa - Contratos menor cuantía"/>
    <s v="Propios - 20 - Ingresos corrientes"/>
    <n v="48200000"/>
    <n v="48200000"/>
    <s v="No"/>
    <s v="N/A"/>
    <s v="Jenny Patricia Peña Rozo"/>
    <s v="Coordinador GIT Gestión Administrativa y Servicio al Ciudadano"/>
    <n v="6012220601"/>
    <s v="jenny.pena@upme.gov.co"/>
    <m/>
    <m/>
    <m/>
    <m/>
    <m/>
    <m/>
    <m/>
    <m/>
    <m/>
    <m/>
    <m/>
    <m/>
    <m/>
    <m/>
    <m/>
    <m/>
    <m/>
    <m/>
    <m/>
    <m/>
    <m/>
    <m/>
    <m/>
    <m/>
    <m/>
    <m/>
    <m/>
    <m/>
    <s v="Prestar el servicio integral de recepción, seguridad privada y vigilancia en la sede de la Upme."/>
    <m/>
    <m/>
    <m/>
    <m/>
    <m/>
    <m/>
    <m/>
    <m/>
    <m/>
    <m/>
    <m/>
    <m/>
    <m/>
    <m/>
    <m/>
    <n v="9640000"/>
    <m/>
    <n v="9640000"/>
    <m/>
    <n v="9640000"/>
    <m/>
    <n v="9640000"/>
    <m/>
    <n v="9640000"/>
    <m/>
    <m/>
    <n v="0"/>
    <n v="48200000"/>
    <n v="48200000"/>
    <n v="0"/>
    <n v="126"/>
    <d v="2026-01-04T00:00:00"/>
    <n v="23555648"/>
    <n v="24644352"/>
    <n v="126"/>
    <d v="2026-01-04T00:00:00"/>
    <n v="23555648"/>
    <n v="24644352"/>
    <n v="0"/>
    <s v="LENKOR SEGURIDAD LTDA"/>
    <s v="CO1.PCCNTR.6572443"/>
    <n v="23555648"/>
    <m/>
    <m/>
    <m/>
    <m/>
    <m/>
    <m/>
    <m/>
    <m/>
    <m/>
    <m/>
    <m/>
    <m/>
    <m/>
    <m/>
    <m/>
    <m/>
    <m/>
    <m/>
    <m/>
    <m/>
    <m/>
    <m/>
    <m/>
    <m/>
    <m/>
    <m/>
    <m/>
    <m/>
    <m/>
    <m/>
    <m/>
    <m/>
    <m/>
    <m/>
    <m/>
    <n v="23555648"/>
    <n v="0"/>
    <n v="0"/>
    <n v="23555648"/>
    <n v="0"/>
    <x v="0"/>
  </r>
  <r>
    <x v="1"/>
    <x v="4"/>
    <s v="N/A"/>
    <s v="N/A"/>
    <s v="Sí"/>
    <s v="Sí"/>
    <n v="10"/>
    <s v="111-25"/>
    <s v="N.A"/>
    <s v="N.A"/>
    <s v="N.A"/>
    <s v="72121103"/>
    <s v="A-02-02-02-008-007 "/>
    <s v="Adquisición de bienes y/o servicios (otros)"/>
    <s v="111-25 Adelantar la tercera fase de las adecuaciones a la infraestructura de la sede administrativa de la Upme."/>
    <s v="Julio"/>
    <s v="Julio"/>
    <s v="Agosto"/>
    <n v="5"/>
    <s v="Meses"/>
    <s v="Contratación directa  - único oferente"/>
    <s v="Propios - 20 - Ingresos corrientes"/>
    <n v="281036348"/>
    <n v="281036348"/>
    <s v="No"/>
    <s v="N/A"/>
    <s v="Jenny Patricia Peña Rozo"/>
    <s v="Coordinador GIT Gestión Administrativa y Servicio al Ciudadano"/>
    <n v="6012220601"/>
    <s v="jenny.pena@upme.gov.co"/>
    <m/>
    <m/>
    <m/>
    <m/>
    <m/>
    <m/>
    <m/>
    <m/>
    <m/>
    <m/>
    <m/>
    <m/>
    <m/>
    <m/>
    <m/>
    <m/>
    <m/>
    <m/>
    <m/>
    <m/>
    <m/>
    <m/>
    <m/>
    <m/>
    <m/>
    <m/>
    <m/>
    <m/>
    <s v="Adelantar la tercera fase de las adecuaciones a la infraestructura de la sede administrativa de la Upme."/>
    <m/>
    <m/>
    <n v="0"/>
    <n v="0"/>
    <n v="0"/>
    <n v="0"/>
    <n v="0"/>
    <n v="0"/>
    <n v="0"/>
    <n v="0"/>
    <n v="0"/>
    <n v="0"/>
    <n v="0"/>
    <n v="0"/>
    <n v="281036348"/>
    <n v="0"/>
    <n v="0"/>
    <n v="56207270"/>
    <n v="0"/>
    <n v="56207270"/>
    <n v="0"/>
    <n v="56207270"/>
    <n v="0"/>
    <n v="112414538"/>
    <m/>
    <m/>
    <n v="281036348"/>
    <n v="281036348"/>
    <n v="0"/>
    <n v="0"/>
    <m/>
    <m/>
    <m/>
    <n v="281036348"/>
    <m/>
    <m/>
    <n v="0"/>
    <n v="281036348"/>
    <n v="0"/>
    <m/>
    <m/>
    <m/>
    <m/>
    <m/>
    <m/>
    <m/>
    <m/>
    <m/>
    <m/>
    <m/>
    <m/>
    <m/>
    <m/>
    <m/>
    <m/>
    <m/>
    <m/>
    <m/>
    <m/>
    <m/>
    <m/>
    <m/>
    <m/>
    <m/>
    <m/>
    <m/>
    <m/>
    <m/>
    <m/>
    <m/>
    <m/>
    <m/>
    <m/>
    <m/>
    <m/>
    <m/>
    <m/>
    <n v="0"/>
    <n v="0"/>
    <n v="0"/>
    <n v="0"/>
    <n v="0"/>
    <x v="0"/>
  </r>
  <r>
    <x v="1"/>
    <x v="4"/>
    <s v="N/A"/>
    <s v="N/A"/>
    <s v="Sí"/>
    <s v="Sí"/>
    <n v="68"/>
    <s v="111-26"/>
    <s v="N.A"/>
    <s v="N.A"/>
    <s v="N.A"/>
    <s v="90101700;76111500"/>
    <s v="A-02-02-02-008-005 "/>
    <s v="Adquisición de bienes y/o servicios (otros)"/>
    <s v="111-26 Prestar el servicio integral de aseo y cafetería para la Upme incluidos los insumos básicos de aseo y cafetería requeridos."/>
    <s v="Mayo"/>
    <s v="Mayo"/>
    <s v="Agosto"/>
    <n v="5"/>
    <s v="Meses"/>
    <s v="Selección abreviada - acuerdo marco"/>
    <s v="Propios - 20 - Ingresos corrientes"/>
    <n v="133000000"/>
    <n v="133000000"/>
    <s v="No"/>
    <s v="N/A"/>
    <s v="Jenny Patricia Peña Rozo"/>
    <s v="Coordinador GIT Gestión Administrativa y Servicio al Ciudadano"/>
    <n v="6012220601"/>
    <s v="jenny.pena@upme.gov.co"/>
    <m/>
    <m/>
    <m/>
    <m/>
    <m/>
    <m/>
    <m/>
    <m/>
    <m/>
    <m/>
    <m/>
    <m/>
    <m/>
    <m/>
    <m/>
    <m/>
    <m/>
    <m/>
    <m/>
    <m/>
    <m/>
    <m/>
    <m/>
    <m/>
    <m/>
    <m/>
    <m/>
    <m/>
    <s v="Prestar el servicio integral de aseo y cafetería para la Upme incluidos los insumos básicos de aseo y cafetería requeridos."/>
    <m/>
    <m/>
    <m/>
    <m/>
    <m/>
    <m/>
    <m/>
    <m/>
    <m/>
    <m/>
    <m/>
    <m/>
    <m/>
    <m/>
    <m/>
    <n v="26600000"/>
    <m/>
    <n v="26600000"/>
    <m/>
    <n v="26600000"/>
    <m/>
    <n v="26600000"/>
    <m/>
    <n v="26600000"/>
    <m/>
    <m/>
    <n v="0"/>
    <n v="133000000"/>
    <n v="133000000"/>
    <n v="0"/>
    <n v="226"/>
    <d v="2026-01-04T00:00:00"/>
    <n v="133821897"/>
    <n v="-821897"/>
    <n v="226"/>
    <d v="2026-01-04T00:00:00"/>
    <n v="133821897"/>
    <n v="-821897"/>
    <n v="0"/>
    <s v="SERVIASEO S A"/>
    <n v="132180"/>
    <n v="133821897"/>
    <m/>
    <m/>
    <m/>
    <m/>
    <m/>
    <m/>
    <m/>
    <m/>
    <m/>
    <m/>
    <m/>
    <m/>
    <m/>
    <m/>
    <m/>
    <m/>
    <m/>
    <m/>
    <m/>
    <m/>
    <m/>
    <m/>
    <m/>
    <m/>
    <m/>
    <m/>
    <m/>
    <m/>
    <m/>
    <m/>
    <m/>
    <m/>
    <m/>
    <m/>
    <m/>
    <n v="133821897"/>
    <n v="0"/>
    <n v="0"/>
    <n v="133821897"/>
    <n v="0"/>
    <x v="0"/>
  </r>
  <r>
    <x v="1"/>
    <x v="4"/>
    <s v="N/A"/>
    <s v="N/A"/>
    <s v="Sí"/>
    <s v="Sí"/>
    <n v="68"/>
    <s v="111-27"/>
    <s v="N.A"/>
    <s v="N.A"/>
    <s v="N.A"/>
    <s v="42172001"/>
    <s v="A-02-02-01-003-005"/>
    <s v="Adquisición de bienes y/o servicios (otros)"/>
    <s v="111-27 Adquirir los insumos y elementos necesarios para dotar los botiquines de las brigadas de emergencia y comprar los elementos de bioseguridad para los servidores públicos de la Upme."/>
    <s v="Agosto"/>
    <s v="Agosto"/>
    <s v="Agosto"/>
    <n v="5"/>
    <s v="Meses"/>
    <s v="Contratación directa - Contratos menor cuantía"/>
    <s v="Propios - 20 - Ingresos corrientes"/>
    <n v="4500000"/>
    <n v="4500000"/>
    <s v="No"/>
    <s v="N/A"/>
    <s v="Liliana Castillo"/>
    <s v="Coordinadora GIT Gestión del Talento Humano"/>
    <n v="6012220601"/>
    <s v="liliana.castillo@upme.gov.co"/>
    <m/>
    <m/>
    <m/>
    <m/>
    <m/>
    <m/>
    <m/>
    <m/>
    <m/>
    <m/>
    <m/>
    <m/>
    <m/>
    <m/>
    <m/>
    <m/>
    <m/>
    <m/>
    <m/>
    <m/>
    <m/>
    <m/>
    <m/>
    <m/>
    <m/>
    <m/>
    <m/>
    <m/>
    <s v="Adquirir los insumos y elementos necesarios para dotar los botiquines de las brigadas de emergencia y comprar los elementos de bioseguridad para los servidores públicos de la Upme."/>
    <m/>
    <m/>
    <m/>
    <m/>
    <m/>
    <m/>
    <m/>
    <m/>
    <m/>
    <m/>
    <m/>
    <m/>
    <m/>
    <m/>
    <m/>
    <m/>
    <m/>
    <n v="1500000"/>
    <m/>
    <n v="1500000"/>
    <m/>
    <n v="1500000"/>
    <m/>
    <m/>
    <m/>
    <m/>
    <n v="0"/>
    <n v="4500000"/>
    <n v="4500000"/>
    <n v="0"/>
    <n v="51626"/>
    <d v="2026-01-20T00:00:00"/>
    <n v="4500000"/>
    <n v="0"/>
    <m/>
    <m/>
    <n v="0"/>
    <n v="4500000"/>
    <n v="4500000"/>
    <m/>
    <m/>
    <m/>
    <m/>
    <m/>
    <m/>
    <m/>
    <m/>
    <m/>
    <m/>
    <m/>
    <m/>
    <m/>
    <m/>
    <m/>
    <m/>
    <m/>
    <m/>
    <m/>
    <m/>
    <m/>
    <m/>
    <m/>
    <m/>
    <m/>
    <m/>
    <m/>
    <m/>
    <m/>
    <m/>
    <m/>
    <m/>
    <m/>
    <m/>
    <m/>
    <m/>
    <m/>
    <m/>
    <n v="0"/>
    <n v="0"/>
    <n v="0"/>
    <n v="0"/>
    <n v="0"/>
    <x v="0"/>
  </r>
  <r>
    <x v="1"/>
    <x v="4"/>
    <s v="N/A"/>
    <s v="N/A"/>
    <s v="Sí"/>
    <s v="Sí"/>
    <n v="68"/>
    <s v="111-28"/>
    <s v="N.A"/>
    <s v="N.A"/>
    <s v="N.A"/>
    <s v="85101503"/>
    <s v="A-02-02-02-009-003"/>
    <s v="Adquisición de bienes y/o servicios (otros)"/>
    <s v="111-28 Prestar los servicios requeridos para gestionar los exámenes médicos periódicos ocupacionales de la vigencia 2026 para los servidores públicos de la Upme."/>
    <s v="Septiembre"/>
    <s v="Septiembre"/>
    <s v="Septiembre"/>
    <n v="4"/>
    <s v="Meses"/>
    <s v="Contratación directa - Contratos menor cuantía"/>
    <s v="Propios - 20 - Ingresos corrientes"/>
    <n v="45000000"/>
    <n v="45000000"/>
    <s v="No"/>
    <s v="N/A"/>
    <s v="Liliana Castillo"/>
    <s v="Coordinadora GIT Gestión del Talento Humano"/>
    <n v="6012220601"/>
    <s v="liliana.castillo@upme.gov.co"/>
    <m/>
    <m/>
    <m/>
    <m/>
    <m/>
    <m/>
    <m/>
    <m/>
    <m/>
    <m/>
    <m/>
    <m/>
    <m/>
    <m/>
    <m/>
    <m/>
    <m/>
    <m/>
    <m/>
    <m/>
    <m/>
    <m/>
    <m/>
    <m/>
    <m/>
    <m/>
    <m/>
    <m/>
    <s v="Prestar los servicios requeridos para gestionar los exámenes médicos periódicos ocupacionales de la vigencia 2026 para los servidores públicos de la Upme."/>
    <m/>
    <m/>
    <m/>
    <m/>
    <m/>
    <m/>
    <m/>
    <m/>
    <m/>
    <m/>
    <m/>
    <m/>
    <m/>
    <m/>
    <m/>
    <m/>
    <m/>
    <m/>
    <m/>
    <n v="15000000"/>
    <m/>
    <n v="15000000"/>
    <m/>
    <n v="15000000"/>
    <m/>
    <m/>
    <n v="0"/>
    <n v="45000000"/>
    <n v="45000000"/>
    <n v="0"/>
    <n v="45126"/>
    <d v="2026-01-17T00:00:00"/>
    <n v="45000000"/>
    <n v="0"/>
    <m/>
    <m/>
    <n v="0"/>
    <n v="45000000"/>
    <n v="45000000"/>
    <m/>
    <m/>
    <m/>
    <m/>
    <m/>
    <m/>
    <m/>
    <m/>
    <m/>
    <m/>
    <m/>
    <m/>
    <m/>
    <m/>
    <m/>
    <m/>
    <m/>
    <m/>
    <m/>
    <m/>
    <m/>
    <m/>
    <m/>
    <m/>
    <m/>
    <m/>
    <m/>
    <m/>
    <m/>
    <m/>
    <m/>
    <m/>
    <m/>
    <m/>
    <m/>
    <m/>
    <m/>
    <m/>
    <n v="0"/>
    <n v="0"/>
    <n v="0"/>
    <n v="0"/>
    <n v="0"/>
    <x v="0"/>
  </r>
  <r>
    <x v="1"/>
    <x v="4"/>
    <s v="N/A"/>
    <s v="N/A"/>
    <s v="Sí"/>
    <s v="Sí"/>
    <n v="68"/>
    <s v="111-29"/>
    <s v="N.A"/>
    <s v="N.A"/>
    <s v="N.A"/>
    <s v="85122201"/>
    <s v="A-02-02-02-009-003"/>
    <s v="Adquisición de bienes y/o servicios (otros)"/>
    <s v="111-29 Prestar los servicios requeridos para gestionar los exámenes médicos de vinculación y desvinculación de los funcionarios de la Upme."/>
    <s v="Enero "/>
    <s v="Enero "/>
    <s v="Enero "/>
    <n v="12"/>
    <s v="Meses"/>
    <s v="Contratación directa - Contratos menor cuantía"/>
    <s v="Propios - 20 - Ingresos corrientes"/>
    <n v="20000000"/>
    <n v="20000000"/>
    <s v="No"/>
    <s v="N/A"/>
    <s v="Liliana Castillo"/>
    <s v="Coordinadora GIT Gestión del Talento Humano"/>
    <n v="6012220601"/>
    <s v="liliana.castillo@upme.gov.co"/>
    <m/>
    <m/>
    <m/>
    <m/>
    <m/>
    <m/>
    <m/>
    <m/>
    <m/>
    <m/>
    <m/>
    <m/>
    <m/>
    <m/>
    <m/>
    <m/>
    <m/>
    <m/>
    <m/>
    <m/>
    <m/>
    <m/>
    <m/>
    <m/>
    <m/>
    <m/>
    <m/>
    <m/>
    <s v="Prestar los servicios requeridos para gestionar los exámenes médicos de vinculación y desvinculación de los funcionarios de la Upme."/>
    <m/>
    <m/>
    <m/>
    <m/>
    <m/>
    <m/>
    <m/>
    <n v="4000000"/>
    <m/>
    <m/>
    <m/>
    <n v="4000000"/>
    <m/>
    <m/>
    <m/>
    <n v="4000000"/>
    <m/>
    <m/>
    <m/>
    <n v="4000000"/>
    <m/>
    <m/>
    <m/>
    <n v="4000000"/>
    <m/>
    <m/>
    <n v="0"/>
    <n v="20000000"/>
    <n v="20000000"/>
    <n v="0"/>
    <m/>
    <m/>
    <m/>
    <n v="20000000"/>
    <m/>
    <m/>
    <n v="0"/>
    <n v="20000000"/>
    <n v="0"/>
    <m/>
    <m/>
    <m/>
    <m/>
    <m/>
    <m/>
    <m/>
    <m/>
    <m/>
    <m/>
    <m/>
    <m/>
    <m/>
    <m/>
    <m/>
    <m/>
    <m/>
    <m/>
    <m/>
    <m/>
    <m/>
    <m/>
    <m/>
    <m/>
    <m/>
    <m/>
    <m/>
    <m/>
    <m/>
    <m/>
    <m/>
    <m/>
    <m/>
    <m/>
    <m/>
    <m/>
    <m/>
    <m/>
    <n v="0"/>
    <n v="0"/>
    <n v="0"/>
    <n v="0"/>
    <n v="0"/>
    <x v="0"/>
  </r>
  <r>
    <x v="1"/>
    <x v="4"/>
    <s v="N/A"/>
    <s v="N/A"/>
    <s v="Sí"/>
    <s v="Sí"/>
    <n v="68"/>
    <s v="111-3"/>
    <s v="N.A"/>
    <s v="N.A"/>
    <s v="N.A"/>
    <s v="78181507"/>
    <s v="A-02-02-02-008-007"/>
    <s v="Mantenimientos y/o mejoras"/>
    <s v="111-3 Prestar servicios de mantenimiento preventivo y correctivo para los dos vehículos oficiales de propiedad de la Upme."/>
    <s v="Enero "/>
    <s v="Enero "/>
    <s v="Enero "/>
    <n v="12"/>
    <s v="Meses"/>
    <s v="Contratación directa - Contratos menor cuantía"/>
    <s v="Propios - 20 - Ingresos corrientes"/>
    <n v="27300000"/>
    <n v="27300000"/>
    <s v="No"/>
    <s v="N/A"/>
    <s v="Jenny Patricia Peña Rozo"/>
    <s v="Coordinador GIT Gestión Administrativa y Servicio al Ciudadano"/>
    <n v="6012220601"/>
    <s v="jenny.pena@upme.gov.co"/>
    <m/>
    <m/>
    <m/>
    <m/>
    <m/>
    <m/>
    <m/>
    <m/>
    <m/>
    <m/>
    <m/>
    <m/>
    <m/>
    <m/>
    <m/>
    <m/>
    <m/>
    <m/>
    <m/>
    <m/>
    <m/>
    <m/>
    <m/>
    <m/>
    <m/>
    <m/>
    <m/>
    <m/>
    <s v="Prestar servicios de mantenimiento preventivo y correctivo para los dos vehículos oficiales de propiedad de la Upme."/>
    <m/>
    <m/>
    <m/>
    <m/>
    <m/>
    <m/>
    <m/>
    <m/>
    <m/>
    <m/>
    <m/>
    <m/>
    <m/>
    <n v="9000000"/>
    <m/>
    <m/>
    <m/>
    <n v="9000000"/>
    <m/>
    <m/>
    <m/>
    <m/>
    <m/>
    <n v="9300000"/>
    <m/>
    <m/>
    <n v="0"/>
    <n v="27300000"/>
    <n v="27300000"/>
    <n v="0"/>
    <n v="67226"/>
    <d v="2026-01-29T00:00:00"/>
    <n v="3230350"/>
    <n v="24069650"/>
    <m/>
    <m/>
    <n v="0"/>
    <n v="27300000"/>
    <n v="3230350"/>
    <m/>
    <m/>
    <m/>
    <m/>
    <m/>
    <m/>
    <m/>
    <m/>
    <m/>
    <m/>
    <m/>
    <m/>
    <m/>
    <m/>
    <m/>
    <m/>
    <m/>
    <m/>
    <m/>
    <m/>
    <m/>
    <m/>
    <m/>
    <m/>
    <m/>
    <m/>
    <m/>
    <m/>
    <m/>
    <m/>
    <m/>
    <m/>
    <m/>
    <m/>
    <m/>
    <m/>
    <m/>
    <m/>
    <n v="0"/>
    <n v="0"/>
    <n v="0"/>
    <n v="0"/>
    <n v="0"/>
    <x v="0"/>
  </r>
  <r>
    <x v="1"/>
    <x v="4"/>
    <s v="N/A"/>
    <s v="N/A"/>
    <s v="Sí"/>
    <s v="Sí"/>
    <s v="Radicado 20261130017173"/>
    <s v="111-30"/>
    <s v="N.A"/>
    <s v="N.A"/>
    <s v="N.A"/>
    <n v="80111620"/>
    <s v="A-02-02-02-009-002"/>
    <s v="Adquisición de bienes y/o servicios (otros)"/>
    <s v="111-30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2"/>
    <s v="Meses"/>
    <s v="Contratación directa - Contratos menor cuantía"/>
    <s v="Propios - 20 - Ingresos corrientes"/>
    <n v="196528500"/>
    <n v="196528500"/>
    <s v="No"/>
    <s v="N/A"/>
    <s v="Liliana Castillo"/>
    <s v="Coordinadora GIT Gestión del Talento Humano"/>
    <n v="6012220601"/>
    <s v="liliana.castillo@upme.gov.co"/>
    <m/>
    <m/>
    <m/>
    <m/>
    <m/>
    <m/>
    <m/>
    <m/>
    <m/>
    <m/>
    <m/>
    <m/>
    <m/>
    <m/>
    <m/>
    <m/>
    <m/>
    <m/>
    <m/>
    <m/>
    <m/>
    <m/>
    <m/>
    <m/>
    <m/>
    <m/>
    <m/>
    <m/>
    <s v="Contratar los servicios profesionales requeridos para gestionar el desarrollo de actividades formativas y de actualización en el marco del Plan Institucional de Capacitación (PIC) de la vigencia 2026, dirigido a las servidoras/es públicos de la Upme."/>
    <m/>
    <m/>
    <m/>
    <m/>
    <m/>
    <m/>
    <m/>
    <m/>
    <m/>
    <m/>
    <m/>
    <m/>
    <m/>
    <n v="32754750"/>
    <m/>
    <n v="32754750"/>
    <m/>
    <n v="32754750"/>
    <m/>
    <n v="32754750"/>
    <m/>
    <n v="32754750"/>
    <m/>
    <n v="32754750"/>
    <m/>
    <m/>
    <n v="0"/>
    <n v="196528500"/>
    <n v="196528500"/>
    <n v="0"/>
    <n v="51726"/>
    <d v="2026-01-20T00:00:00"/>
    <n v="196528500"/>
    <n v="0"/>
    <m/>
    <m/>
    <n v="0"/>
    <n v="196528500"/>
    <n v="196528500"/>
    <m/>
    <m/>
    <m/>
    <m/>
    <m/>
    <m/>
    <m/>
    <m/>
    <m/>
    <m/>
    <m/>
    <m/>
    <m/>
    <m/>
    <m/>
    <m/>
    <m/>
    <m/>
    <m/>
    <m/>
    <m/>
    <m/>
    <m/>
    <m/>
    <m/>
    <m/>
    <m/>
    <m/>
    <m/>
    <m/>
    <m/>
    <m/>
    <m/>
    <m/>
    <m/>
    <m/>
    <m/>
    <m/>
    <n v="0"/>
    <n v="0"/>
    <n v="0"/>
    <n v="0"/>
    <n v="0"/>
    <x v="0"/>
  </r>
  <r>
    <x v="1"/>
    <x v="4"/>
    <s v="N/A"/>
    <s v="N/A"/>
    <s v="Sí"/>
    <s v="Sí"/>
    <n v="68"/>
    <s v="111-31"/>
    <s v="N.A"/>
    <s v="N.A"/>
    <s v="N.A"/>
    <s v="85101508"/>
    <s v="A-02-02-02-009-003"/>
    <s v="Adquisición de bienes y/o servicios (otros)"/>
    <s v="111-31 Prestar servicios profesionales de área protegida (SAP) para las personas que se encuentren en las instalaciones de la Upme en caso de presentarse una emergencia y/o urgencia como parte del Plan de Emergencia de la Entidad."/>
    <s v="Agosto"/>
    <s v="Agosto"/>
    <s v="Agosto"/>
    <n v="5"/>
    <s v="Meses"/>
    <s v="Contratación directa - Contratos menor cuantía"/>
    <s v="Propios - 20 - Ingresos corrientes"/>
    <n v="6500000"/>
    <n v="6500000"/>
    <s v="No"/>
    <s v="N/A"/>
    <s v="Liliana Castillo"/>
    <s v="Coordinadora GIT Gestión del Talento Humano"/>
    <n v="6012220601"/>
    <s v="liliana.castillo@upme.gov.co"/>
    <m/>
    <m/>
    <m/>
    <m/>
    <m/>
    <m/>
    <m/>
    <m/>
    <m/>
    <m/>
    <m/>
    <m/>
    <m/>
    <m/>
    <m/>
    <m/>
    <m/>
    <m/>
    <m/>
    <m/>
    <m/>
    <m/>
    <m/>
    <m/>
    <m/>
    <m/>
    <m/>
    <m/>
    <s v="Prestar servicios profesionales de área protegida (SAP) para las personas que se encuentren en las instalaciones de la Upme en caso de presentarse una emergencia y/o urgencia como parte del Plan de Emergencia de la Entidad."/>
    <m/>
    <m/>
    <m/>
    <m/>
    <m/>
    <m/>
    <m/>
    <m/>
    <m/>
    <m/>
    <m/>
    <m/>
    <m/>
    <m/>
    <m/>
    <m/>
    <m/>
    <n v="1625000"/>
    <m/>
    <n v="1625000"/>
    <m/>
    <n v="1625000"/>
    <m/>
    <n v="1625000"/>
    <m/>
    <m/>
    <n v="0"/>
    <n v="6500000"/>
    <n v="6500000"/>
    <n v="0"/>
    <n v="46726"/>
    <d v="2026-01-19T00:00:00"/>
    <n v="6500000"/>
    <n v="0"/>
    <m/>
    <m/>
    <n v="0"/>
    <n v="6500000"/>
    <n v="6500000"/>
    <m/>
    <m/>
    <m/>
    <m/>
    <m/>
    <m/>
    <m/>
    <m/>
    <m/>
    <m/>
    <m/>
    <m/>
    <m/>
    <m/>
    <m/>
    <m/>
    <m/>
    <m/>
    <m/>
    <m/>
    <m/>
    <m/>
    <m/>
    <m/>
    <m/>
    <m/>
    <m/>
    <m/>
    <m/>
    <m/>
    <m/>
    <m/>
    <m/>
    <m/>
    <m/>
    <m/>
    <m/>
    <m/>
    <n v="0"/>
    <n v="0"/>
    <n v="0"/>
    <n v="0"/>
    <n v="0"/>
    <x v="0"/>
  </r>
  <r>
    <x v="1"/>
    <x v="4"/>
    <s v="N/A"/>
    <s v="N/A"/>
    <s v="Sí"/>
    <s v="Sí"/>
    <n v="19"/>
    <s v="111-32"/>
    <s v="N.A"/>
    <s v="N.A"/>
    <s v="N.A"/>
    <n v="93141506"/>
    <s v="A-02-02-02-009-006"/>
    <s v="Adquisición de bienes y/o servicios (otros)"/>
    <s v="111-32 Prestar los servicios logísticos en la organización y ejecución de las actividades programadas en el Plan de bienestar social, estímulos e incentivos para los servidores de la Upme y sus familias durante la vigencia 2026."/>
    <s v="Enero "/>
    <s v="Enero "/>
    <s v="Enero "/>
    <n v="12"/>
    <s v="Meses"/>
    <s v="Contratación directa - Prestación de servicios profesionales "/>
    <s v="Propios - 20 - Ingresos corrientes"/>
    <n v="277094836"/>
    <n v="277094836"/>
    <s v="No"/>
    <s v="N/A"/>
    <s v="Liliana Castillo"/>
    <s v="Coordinadora GIT Gestión del Talento Humano"/>
    <n v="6012220601"/>
    <s v="liliana.castillo@upme.gov.co"/>
    <m/>
    <m/>
    <m/>
    <m/>
    <m/>
    <m/>
    <m/>
    <m/>
    <m/>
    <m/>
    <m/>
    <m/>
    <m/>
    <m/>
    <m/>
    <m/>
    <m/>
    <m/>
    <m/>
    <m/>
    <m/>
    <m/>
    <m/>
    <m/>
    <m/>
    <m/>
    <m/>
    <m/>
    <s v="Prestar los servicios logísticos en la organización y ejecución de las actividades programadas en el Plan de bienestar social, estímulos e incentivos para los servidores de la Upme y sus familias durante la vigencia 2026."/>
    <m/>
    <m/>
    <m/>
    <m/>
    <m/>
    <m/>
    <m/>
    <m/>
    <m/>
    <m/>
    <m/>
    <m/>
    <m/>
    <m/>
    <m/>
    <m/>
    <m/>
    <n v="69273710"/>
    <m/>
    <n v="69273710"/>
    <m/>
    <n v="69273710"/>
    <m/>
    <n v="69273710"/>
    <m/>
    <m/>
    <n v="0"/>
    <n v="277094840"/>
    <n v="277094836"/>
    <n v="-4"/>
    <n v="58926"/>
    <d v="2026-01-23T00:00:00"/>
    <n v="277094840"/>
    <n v="-4"/>
    <m/>
    <m/>
    <n v="0"/>
    <n v="277094836"/>
    <n v="277094840"/>
    <m/>
    <m/>
    <m/>
    <m/>
    <m/>
    <m/>
    <m/>
    <m/>
    <m/>
    <m/>
    <m/>
    <m/>
    <m/>
    <m/>
    <m/>
    <m/>
    <m/>
    <m/>
    <m/>
    <m/>
    <m/>
    <m/>
    <m/>
    <m/>
    <m/>
    <m/>
    <m/>
    <m/>
    <m/>
    <m/>
    <m/>
    <m/>
    <m/>
    <m/>
    <m/>
    <m/>
    <m/>
    <m/>
    <n v="0"/>
    <n v="0"/>
    <n v="0"/>
    <n v="0"/>
    <n v="0"/>
    <x v="0"/>
  </r>
  <r>
    <x v="1"/>
    <x v="4"/>
    <s v="N/A"/>
    <s v="N/A"/>
    <s v="Sí"/>
    <s v="Sí"/>
    <n v="13"/>
    <s v="111-33"/>
    <s v="N.A"/>
    <s v="N.A"/>
    <s v="N.A"/>
    <n v="80111620"/>
    <s v="A-02-02-02-009-002"/>
    <s v="Adquisición de bienes y/o servicios (otros)"/>
    <s v="111-33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2"/>
    <s v="Meses"/>
    <s v="Contratación directa"/>
    <s v="Propios - 20 - Ingresos corrientes"/>
    <n v="15000000"/>
    <n v="15000000"/>
    <s v="No"/>
    <s v="N/A"/>
    <s v="Liliana Castillo"/>
    <s v="Coordinadora GIT Gestión del Talento Humano"/>
    <n v="6012220601"/>
    <s v="liliana.castillo@upme.gov.co"/>
    <m/>
    <m/>
    <m/>
    <m/>
    <m/>
    <m/>
    <m/>
    <m/>
    <m/>
    <m/>
    <m/>
    <m/>
    <m/>
    <m/>
    <m/>
    <m/>
    <m/>
    <m/>
    <m/>
    <m/>
    <m/>
    <m/>
    <m/>
    <m/>
    <m/>
    <m/>
    <m/>
    <m/>
    <s v="Contratar los servicios profesionales requeridos para gestionar el desarrollo de actividades formativas y de actualización en el marco del Plan Institucional de Capacitación (PIC) de la vigencia 2026, dirigido a las servidoras/es públicos de la UPME"/>
    <m/>
    <m/>
    <m/>
    <m/>
    <m/>
    <m/>
    <m/>
    <m/>
    <m/>
    <n v="15000000"/>
    <m/>
    <m/>
    <m/>
    <m/>
    <m/>
    <m/>
    <m/>
    <m/>
    <m/>
    <m/>
    <m/>
    <m/>
    <m/>
    <m/>
    <m/>
    <m/>
    <n v="0"/>
    <n v="15000000"/>
    <n v="15000000"/>
    <n v="0"/>
    <n v="69226"/>
    <d v="2026-02-27T00:00:00"/>
    <n v="15000000"/>
    <n v="0"/>
    <m/>
    <m/>
    <n v="0"/>
    <n v="15000000"/>
    <n v="15000000"/>
    <m/>
    <m/>
    <m/>
    <m/>
    <m/>
    <m/>
    <m/>
    <m/>
    <m/>
    <m/>
    <m/>
    <m/>
    <m/>
    <m/>
    <m/>
    <m/>
    <m/>
    <m/>
    <m/>
    <m/>
    <m/>
    <m/>
    <m/>
    <m/>
    <m/>
    <m/>
    <m/>
    <m/>
    <m/>
    <m/>
    <m/>
    <m/>
    <m/>
    <m/>
    <m/>
    <m/>
    <m/>
    <m/>
    <n v="0"/>
    <n v="0"/>
    <n v="0"/>
    <n v="0"/>
    <n v="0"/>
    <x v="0"/>
  </r>
  <r>
    <x v="1"/>
    <x v="4"/>
    <s v="N/A"/>
    <s v="N/A"/>
    <s v="Sí"/>
    <s v="Sí"/>
    <n v="19"/>
    <s v="111-34"/>
    <s v="N.A"/>
    <s v="N.A"/>
    <s v="N.A"/>
    <s v="80111620"/>
    <s v="A-02-02-02-008-003"/>
    <s v="Prestación de servicios profesionales y/o de apoyo a la gestión"/>
    <s v="111-34 Prestar los servicios profesionales al Grupo Interno de Trabajo de Gestión Administrativa y Servicio al Ciudadano en el levantamiento, verificación, consolidación, análisis de información y procesos administrativos a cargo"/>
    <s v="Enero "/>
    <s v="Enero "/>
    <s v="Enero "/>
    <s v="11.5"/>
    <s v="Meses"/>
    <s v="Contratación directa - Prestación de servicios profesionales "/>
    <s v="Propios - 20 - Ingresos corrientes"/>
    <n v="55289850"/>
    <n v="55289850"/>
    <s v="No"/>
    <s v="N/A"/>
    <s v="Jenny Patricia Peña Rozo"/>
    <s v="Coordinador GIT Gestión Administrativa y Servicio al Ciudadano"/>
    <n v="6012220601"/>
    <s v="jenny.pena@upme.gov.co"/>
    <m/>
    <m/>
    <m/>
    <m/>
    <m/>
    <m/>
    <m/>
    <m/>
    <m/>
    <m/>
    <m/>
    <m/>
    <m/>
    <m/>
    <m/>
    <m/>
    <m/>
    <m/>
    <m/>
    <m/>
    <m/>
    <m/>
    <m/>
    <m/>
    <m/>
    <m/>
    <m/>
    <m/>
    <s v="Prestar los servicios profesionales al Grupo Interno de Trabajo de Gestión Administrativa y Servicio al Ciudadano en el levantamiento, verificación, consolidación, análisis de información y procesos administrativos a cargo"/>
    <m/>
    <m/>
    <m/>
    <n v="2750000"/>
    <m/>
    <n v="5500000"/>
    <m/>
    <n v="5500000"/>
    <m/>
    <n v="5500000"/>
    <m/>
    <n v="5500000"/>
    <m/>
    <n v="5500000"/>
    <m/>
    <n v="5500000"/>
    <m/>
    <n v="5500000"/>
    <m/>
    <n v="5500000"/>
    <m/>
    <n v="5500000"/>
    <m/>
    <n v="11000000"/>
    <m/>
    <m/>
    <n v="0"/>
    <n v="63250000"/>
    <n v="55289850"/>
    <n v="-7960150"/>
    <n v="41426"/>
    <d v="2026-01-16T00:00:00"/>
    <n v="63250000"/>
    <n v="-7960150"/>
    <m/>
    <m/>
    <n v="0"/>
    <n v="55289850"/>
    <n v="63250000"/>
    <m/>
    <m/>
    <m/>
    <m/>
    <m/>
    <m/>
    <m/>
    <m/>
    <m/>
    <m/>
    <m/>
    <m/>
    <m/>
    <m/>
    <m/>
    <m/>
    <m/>
    <m/>
    <m/>
    <m/>
    <m/>
    <m/>
    <m/>
    <m/>
    <m/>
    <m/>
    <m/>
    <m/>
    <m/>
    <m/>
    <m/>
    <m/>
    <m/>
    <m/>
    <m/>
    <m/>
    <m/>
    <m/>
    <n v="0"/>
    <n v="0"/>
    <n v="0"/>
    <n v="0"/>
    <n v="0"/>
    <x v="0"/>
  </r>
  <r>
    <x v="1"/>
    <x v="4"/>
    <s v="N/A"/>
    <s v="N/A"/>
    <s v="Sí"/>
    <s v="Sí"/>
    <n v="6"/>
    <s v="111-35"/>
    <s v="N.A"/>
    <s v="N.A"/>
    <s v="N.A"/>
    <s v="80111620"/>
    <s v="A-02-02-02-008-002"/>
    <s v="Prestación de servicios profesionales y/o de apoyo a la gestión"/>
    <s v="111-35 Prestar servicios profesionales orientados a fortalecer la apropiación, comprensión y adecuada aplicación del proceso contable de la entidad"/>
    <s v="Enero "/>
    <s v="Enero "/>
    <s v="Enero "/>
    <n v="6"/>
    <s v="Meses"/>
    <s v="Contratación directa - Prestación de servicios profesionales "/>
    <s v="Propios - 20 - Ingresos corrientes"/>
    <n v="36000000"/>
    <n v="36000000"/>
    <s v="No"/>
    <s v="N/A"/>
    <s v="Hollman Corredor"/>
    <s v="Coordinador GIT Financiero"/>
    <n v="6012220601"/>
    <s v="hollmen.corredor@upme.gov.co"/>
    <m/>
    <m/>
    <m/>
    <m/>
    <m/>
    <m/>
    <m/>
    <m/>
    <m/>
    <m/>
    <m/>
    <m/>
    <m/>
    <m/>
    <m/>
    <m/>
    <m/>
    <m/>
    <m/>
    <m/>
    <m/>
    <m/>
    <m/>
    <m/>
    <m/>
    <m/>
    <m/>
    <m/>
    <s v="Prestar servicios profesionales orientados a fortalecer la apropiación, comprensión y adecuada aplicación del proceso contable de la entidad"/>
    <m/>
    <m/>
    <m/>
    <n v="3000000"/>
    <m/>
    <n v="6000000"/>
    <m/>
    <n v="6000000"/>
    <m/>
    <n v="6000000"/>
    <m/>
    <n v="6000000"/>
    <m/>
    <n v="6000000"/>
    <m/>
    <n v="3000000"/>
    <m/>
    <m/>
    <m/>
    <m/>
    <m/>
    <m/>
    <m/>
    <m/>
    <m/>
    <m/>
    <n v="0"/>
    <n v="36000000"/>
    <n v="36000000"/>
    <n v="0"/>
    <n v="54726"/>
    <d v="2026-01-22T00:00:00"/>
    <n v="36000000"/>
    <n v="0"/>
    <m/>
    <m/>
    <n v="0"/>
    <n v="36000000"/>
    <n v="36000000"/>
    <m/>
    <m/>
    <m/>
    <m/>
    <m/>
    <m/>
    <m/>
    <m/>
    <m/>
    <m/>
    <m/>
    <m/>
    <m/>
    <m/>
    <m/>
    <m/>
    <m/>
    <m/>
    <m/>
    <m/>
    <m/>
    <m/>
    <m/>
    <m/>
    <m/>
    <m/>
    <m/>
    <m/>
    <m/>
    <m/>
    <m/>
    <m/>
    <m/>
    <m/>
    <m/>
    <m/>
    <m/>
    <m/>
    <n v="0"/>
    <n v="0"/>
    <n v="0"/>
    <n v="0"/>
    <n v="0"/>
    <x v="0"/>
  </r>
  <r>
    <x v="1"/>
    <x v="4"/>
    <s v="N/A"/>
    <s v="N/A"/>
    <s v="Sí"/>
    <s v="Sí"/>
    <n v="19"/>
    <s v="111-36"/>
    <s v="N.A"/>
    <s v="N.A"/>
    <s v="N.A"/>
    <n v="72151514"/>
    <s v="A-02-02-02-008-007"/>
    <s v="Mantenimientos y/o mejoras"/>
    <s v="111-36 Prestar el servicio de mantenimiento preventivo y correctivo que garantice el correcto funcionamiento de las UPS de propiedad de la Upme."/>
    <s v="Enero "/>
    <s v="Enero "/>
    <s v="Enero "/>
    <n v="12"/>
    <s v="Meses"/>
    <s v="Contratación directa - Contratos menor cuantía"/>
    <s v="Propios - 20 - Ingresos corrientes"/>
    <n v="19036348"/>
    <n v="19036348"/>
    <s v="No"/>
    <s v="N/A"/>
    <s v="Jenny Patricia Peña Rozo"/>
    <s v="Coordinador GIT Gestión Administrativa y Servicio al Ciudadano"/>
    <n v="6012220601"/>
    <s v="jenny.pena@upme.gov.co"/>
    <m/>
    <m/>
    <m/>
    <m/>
    <m/>
    <m/>
    <m/>
    <m/>
    <m/>
    <m/>
    <m/>
    <m/>
    <m/>
    <m/>
    <m/>
    <m/>
    <m/>
    <m/>
    <m/>
    <m/>
    <m/>
    <m/>
    <m/>
    <m/>
    <m/>
    <m/>
    <m/>
    <m/>
    <s v="Prestar el servicio de mantenimiento preventivo y correctivo que garantice el correcto funcionamiento de las UPS de propiedad de la Upme."/>
    <m/>
    <m/>
    <m/>
    <m/>
    <m/>
    <m/>
    <m/>
    <m/>
    <m/>
    <m/>
    <m/>
    <m/>
    <m/>
    <m/>
    <m/>
    <n v="5000000"/>
    <m/>
    <n v="5000000"/>
    <m/>
    <n v="5000000"/>
    <m/>
    <m/>
    <m/>
    <n v="5000000"/>
    <m/>
    <m/>
    <n v="0"/>
    <n v="20000000"/>
    <n v="19036348"/>
    <n v="-963652"/>
    <n v="20226"/>
    <d v="2026-01-11T00:00:00"/>
    <n v="20000000"/>
    <n v="-963652"/>
    <m/>
    <m/>
    <n v="0"/>
    <n v="19036348"/>
    <n v="20000000"/>
    <m/>
    <m/>
    <m/>
    <m/>
    <m/>
    <m/>
    <m/>
    <m/>
    <m/>
    <m/>
    <m/>
    <m/>
    <m/>
    <m/>
    <m/>
    <m/>
    <m/>
    <m/>
    <m/>
    <m/>
    <m/>
    <m/>
    <m/>
    <m/>
    <m/>
    <m/>
    <m/>
    <m/>
    <m/>
    <m/>
    <m/>
    <m/>
    <m/>
    <m/>
    <m/>
    <m/>
    <m/>
    <m/>
    <n v="0"/>
    <n v="0"/>
    <n v="0"/>
    <n v="0"/>
    <n v="0"/>
    <x v="0"/>
  </r>
  <r>
    <x v="1"/>
    <x v="4"/>
    <s v="N/A"/>
    <s v="N/A"/>
    <s v="Sí"/>
    <s v="Sí"/>
    <n v="10"/>
    <s v="111-37"/>
    <s v="N.A"/>
    <s v="N.A"/>
    <s v="N.A"/>
    <s v="41111970"/>
    <s v="A-02-02-02-008-007"/>
    <s v="Mantenimientos y/o mejoras"/>
    <s v="111-37 Prestar el servicio de mantenimiento preventivo y correctivo del sistema de monitoreo ambiental instalado en el centro de cómputo de la Upme."/>
    <s v="Enero "/>
    <s v="Enero "/>
    <s v="Enero "/>
    <n v="12"/>
    <s v="Meses"/>
    <s v="Contratación directa - Contratos menor cuantía"/>
    <s v="Propios - 20 - Ingresos corrientes"/>
    <n v="3963652"/>
    <n v="3963652"/>
    <s v="No"/>
    <s v="N/A"/>
    <s v="Jenny Patricia Peña Rozo"/>
    <s v="Coordinador GIT Gestión Administrativa y Servicio al Ciudadano"/>
    <n v="6012220601"/>
    <s v="jenny.pena@upme.gov.co"/>
    <m/>
    <m/>
    <m/>
    <m/>
    <m/>
    <m/>
    <m/>
    <m/>
    <m/>
    <m/>
    <m/>
    <m/>
    <m/>
    <m/>
    <m/>
    <m/>
    <m/>
    <m/>
    <m/>
    <m/>
    <m/>
    <m/>
    <m/>
    <m/>
    <m/>
    <m/>
    <m/>
    <m/>
    <s v="Prestar el servicio de mantenimiento preventivo y correctivo del sistema de monitoreo ambiental instalado en el centro de cómputo de la Upme."/>
    <m/>
    <m/>
    <n v="0"/>
    <n v="0"/>
    <n v="0"/>
    <n v="3963652"/>
    <n v="0"/>
    <n v="0"/>
    <n v="0"/>
    <n v="0"/>
    <n v="0"/>
    <n v="0"/>
    <n v="0"/>
    <n v="0"/>
    <n v="0"/>
    <n v="0"/>
    <n v="0"/>
    <n v="0"/>
    <n v="0"/>
    <n v="0"/>
    <n v="0"/>
    <n v="0"/>
    <n v="0"/>
    <n v="0"/>
    <m/>
    <m/>
    <n v="0"/>
    <n v="3963652"/>
    <n v="3963652"/>
    <n v="0"/>
    <n v="53626"/>
    <d v="2026-01-21T00:00:00"/>
    <n v="3963652"/>
    <n v="0"/>
    <m/>
    <m/>
    <n v="0"/>
    <n v="3963652"/>
    <n v="3963652"/>
    <m/>
    <m/>
    <m/>
    <m/>
    <m/>
    <m/>
    <m/>
    <m/>
    <m/>
    <m/>
    <m/>
    <m/>
    <m/>
    <m/>
    <m/>
    <m/>
    <m/>
    <m/>
    <m/>
    <m/>
    <m/>
    <m/>
    <m/>
    <m/>
    <m/>
    <m/>
    <m/>
    <m/>
    <m/>
    <m/>
    <m/>
    <m/>
    <m/>
    <m/>
    <m/>
    <m/>
    <m/>
    <m/>
    <n v="0"/>
    <n v="0"/>
    <n v="0"/>
    <n v="0"/>
    <n v="0"/>
    <x v="0"/>
  </r>
  <r>
    <x v="1"/>
    <x v="4"/>
    <s v="N/A"/>
    <s v="N/A"/>
    <s v="Sí"/>
    <s v="Sí"/>
    <n v="19"/>
    <s v="111-38"/>
    <s v="N.A"/>
    <s v="N.A"/>
    <s v="N.A"/>
    <n v="81112101"/>
    <s v="A-02-02-02-008-004"/>
    <s v="Adquisición de bienes y/o servicios (otros)"/>
    <s v="111-38 Prestar el servicio de internet dedicado en la Upme."/>
    <s v="Abril"/>
    <s v="Mayo"/>
    <s v="Junio "/>
    <n v="6"/>
    <s v="Meses"/>
    <s v="Selección abreviada - acuerdo marco"/>
    <s v="Propios - 20 - Ingresos corrientes"/>
    <n v="78228577"/>
    <n v="78228577"/>
    <s v="No"/>
    <s v="N/A"/>
    <s v="Jenny Patricia Peña Rozo"/>
    <s v="Coordinador GIT Gestión Administrativa y Servicio al Ciudadano"/>
    <n v="6012220601"/>
    <s v="jenny.pena@upme.gov.co"/>
    <m/>
    <m/>
    <m/>
    <m/>
    <m/>
    <m/>
    <m/>
    <m/>
    <m/>
    <m/>
    <m/>
    <m/>
    <m/>
    <m/>
    <m/>
    <m/>
    <m/>
    <m/>
    <m/>
    <m/>
    <m/>
    <m/>
    <m/>
    <m/>
    <m/>
    <m/>
    <m/>
    <m/>
    <s v="Prestar el servicio de internet dedicado en la Upme."/>
    <m/>
    <m/>
    <m/>
    <m/>
    <m/>
    <m/>
    <m/>
    <m/>
    <m/>
    <m/>
    <m/>
    <m/>
    <m/>
    <n v="6000000"/>
    <m/>
    <n v="6000000"/>
    <m/>
    <n v="6000000"/>
    <m/>
    <n v="6000000"/>
    <m/>
    <n v="6000000"/>
    <m/>
    <n v="20000000"/>
    <m/>
    <m/>
    <n v="0"/>
    <n v="50000000"/>
    <n v="78228577"/>
    <n v="28228577"/>
    <n v="426"/>
    <d v="2026-01-05T00:00:00"/>
    <n v="7130509.96"/>
    <n v="71098067.040000007"/>
    <m/>
    <m/>
    <n v="0"/>
    <n v="78228577"/>
    <n v="7130509.96"/>
    <m/>
    <m/>
    <m/>
    <m/>
    <m/>
    <m/>
    <m/>
    <m/>
    <m/>
    <m/>
    <m/>
    <m/>
    <m/>
    <m/>
    <m/>
    <m/>
    <m/>
    <m/>
    <m/>
    <m/>
    <m/>
    <m/>
    <m/>
    <m/>
    <m/>
    <m/>
    <m/>
    <m/>
    <m/>
    <m/>
    <m/>
    <m/>
    <m/>
    <m/>
    <m/>
    <m/>
    <m/>
    <m/>
    <n v="0"/>
    <n v="0"/>
    <n v="0"/>
    <n v="0"/>
    <n v="0"/>
    <x v="0"/>
  </r>
  <r>
    <x v="1"/>
    <x v="4"/>
    <s v="N/A"/>
    <s v="N/A"/>
    <s v="Sí"/>
    <s v="Sí"/>
    <n v="19"/>
    <s v="111-39"/>
    <s v="N.A"/>
    <s v="N.A"/>
    <s v="N.A"/>
    <s v="80111620"/>
    <s v="A-02-02-02-008-003"/>
    <s v="Prestación de servicios profesionales y/o de apoyo a la gestión"/>
    <s v="111-39 Prestar servicios profesionales para brindar apoyo en la presentación de informes, seguimiento plan estratégico institucional, plan anual de adquisiciones y apoyo en documentos especialmente en la Secretaría General y en la Subdirección de Minería"/>
    <s v="Enero "/>
    <s v="Enero "/>
    <s v="Enero "/>
    <s v="11.5"/>
    <s v="Meses"/>
    <s v="Contratación directa - Prestación de servicios profesionales "/>
    <s v="Propios - 20 - Ingresos corrientes"/>
    <n v="77000000"/>
    <n v="77000000"/>
    <s v="No"/>
    <s v="N/A"/>
    <s v="German Ojeda"/>
    <s v="Subdirector de Minería"/>
    <n v="6012220601"/>
    <s v="german.ojeda@upme.gov.co"/>
    <m/>
    <m/>
    <m/>
    <m/>
    <m/>
    <m/>
    <m/>
    <m/>
    <m/>
    <m/>
    <m/>
    <m/>
    <m/>
    <m/>
    <m/>
    <m/>
    <m/>
    <m/>
    <m/>
    <m/>
    <m/>
    <m/>
    <m/>
    <m/>
    <m/>
    <m/>
    <m/>
    <m/>
    <s v="Prestar servicios profesionales para brindar apoyo en la presentación de informes, seguimiento plan estratégico institucional, plan anual de adquisiciones y apoyo en documentos especialmente en la Secretaría General y en la Subdirección de Minería"/>
    <m/>
    <m/>
    <m/>
    <n v="3500000"/>
    <m/>
    <n v="7000000"/>
    <m/>
    <n v="7000000"/>
    <m/>
    <n v="7000000"/>
    <m/>
    <n v="7000000"/>
    <m/>
    <n v="7000000"/>
    <m/>
    <n v="7000000"/>
    <m/>
    <n v="7000000"/>
    <m/>
    <n v="7000000"/>
    <m/>
    <n v="7000000"/>
    <m/>
    <n v="14000000"/>
    <m/>
    <m/>
    <n v="0"/>
    <n v="80500000"/>
    <n v="77000000"/>
    <n v="-3500000"/>
    <n v="47526"/>
    <d v="2026-01-19T00:00:00"/>
    <n v="80500000"/>
    <n v="-3500000"/>
    <m/>
    <m/>
    <n v="0"/>
    <n v="77000000"/>
    <n v="80500000"/>
    <m/>
    <m/>
    <m/>
    <m/>
    <m/>
    <m/>
    <m/>
    <m/>
    <m/>
    <m/>
    <m/>
    <m/>
    <m/>
    <m/>
    <m/>
    <m/>
    <m/>
    <m/>
    <m/>
    <m/>
    <m/>
    <m/>
    <m/>
    <m/>
    <m/>
    <m/>
    <m/>
    <m/>
    <m/>
    <m/>
    <m/>
    <m/>
    <m/>
    <m/>
    <m/>
    <m/>
    <m/>
    <m/>
    <n v="0"/>
    <n v="0"/>
    <n v="0"/>
    <n v="0"/>
    <n v="0"/>
    <x v="0"/>
  </r>
  <r>
    <x v="1"/>
    <x v="4"/>
    <s v="N/A"/>
    <s v="N/A"/>
    <s v="Sí"/>
    <s v="Sí"/>
    <n v="68"/>
    <s v="111-4"/>
    <s v="N.A"/>
    <s v="N.A"/>
    <s v="N.A"/>
    <s v="46191601"/>
    <s v="A-02-02-02-008-007"/>
    <s v="Mantenimientos y/o mejoras"/>
    <s v="111-4 Prestar servicios de recarga y mantenimiento de extintores de la Upme."/>
    <s v="Septiembre"/>
    <s v="Octubre"/>
    <s v="Octubre"/>
    <n v="1"/>
    <s v="Meses"/>
    <s v="Contratación directa - Contratos menor cuantía"/>
    <s v="Propios - 20 - Ingresos corrientes"/>
    <n v="3700000"/>
    <n v="3700000"/>
    <s v="No"/>
    <s v="N/A"/>
    <s v="Jenny Patricia Peña Rozo"/>
    <s v="Coordinador GIT Gestión Administrativa y Servicio al Ciudadano"/>
    <n v="6012220601"/>
    <s v="jenny.pena@upme.gov.co"/>
    <m/>
    <m/>
    <m/>
    <m/>
    <m/>
    <m/>
    <m/>
    <m/>
    <m/>
    <m/>
    <m/>
    <m/>
    <m/>
    <m/>
    <m/>
    <m/>
    <m/>
    <m/>
    <m/>
    <m/>
    <m/>
    <m/>
    <m/>
    <m/>
    <m/>
    <m/>
    <m/>
    <m/>
    <s v="Prestar servicios de recarga y mantenimiento de extintores de la Upme."/>
    <m/>
    <m/>
    <m/>
    <m/>
    <m/>
    <m/>
    <m/>
    <m/>
    <m/>
    <m/>
    <m/>
    <m/>
    <m/>
    <m/>
    <m/>
    <m/>
    <m/>
    <m/>
    <m/>
    <m/>
    <m/>
    <n v="3700000"/>
    <m/>
    <m/>
    <m/>
    <m/>
    <n v="0"/>
    <n v="3700000"/>
    <n v="3700000"/>
    <n v="0"/>
    <m/>
    <m/>
    <m/>
    <n v="3700000"/>
    <m/>
    <m/>
    <n v="0"/>
    <n v="3700000"/>
    <n v="0"/>
    <m/>
    <m/>
    <m/>
    <m/>
    <m/>
    <m/>
    <m/>
    <m/>
    <m/>
    <m/>
    <m/>
    <m/>
    <m/>
    <m/>
    <m/>
    <m/>
    <m/>
    <m/>
    <m/>
    <m/>
    <m/>
    <m/>
    <m/>
    <m/>
    <m/>
    <m/>
    <m/>
    <m/>
    <m/>
    <m/>
    <m/>
    <m/>
    <m/>
    <m/>
    <m/>
    <m/>
    <m/>
    <m/>
    <n v="0"/>
    <n v="0"/>
    <n v="0"/>
    <n v="0"/>
    <n v="0"/>
    <x v="0"/>
  </r>
  <r>
    <x v="1"/>
    <x v="4"/>
    <s v="N/A"/>
    <s v="N/A"/>
    <s v="Sí"/>
    <s v="Sí"/>
    <n v="68"/>
    <s v="111-40"/>
    <s v="N.A"/>
    <s v="N.A"/>
    <s v="N.A"/>
    <s v="80111620"/>
    <s v="A-02-02-02-008-003"/>
    <s v="Prestación de servicios profesionales y/o de apoyo a la gestión"/>
    <s v="111-40 Prestar servicios profesionales de asesoría estratégica a la Secretaría General de la Unidad de Planeación Minero Energética UPME, orientados al fortalecimiento de la gestión pública y la gestión del talento humano, mediante la formulación de linea"/>
    <s v="Enero "/>
    <s v="Enero "/>
    <s v="Enero "/>
    <s v="11.5"/>
    <s v="Meses"/>
    <s v="Contratación directa - Prestación de servicios profesionales "/>
    <s v="Propios - 20 - Ingresos corrientes"/>
    <n v="156400000"/>
    <n v="156400000"/>
    <s v="No"/>
    <s v="N/A"/>
    <s v="Katherin Pérez"/>
    <s v="Coordinador GIT Talento Humano"/>
    <n v="6012220601"/>
    <s v="katherin.perez@upme.gov.co"/>
    <m/>
    <m/>
    <m/>
    <m/>
    <m/>
    <m/>
    <m/>
    <m/>
    <m/>
    <m/>
    <m/>
    <m/>
    <m/>
    <m/>
    <m/>
    <m/>
    <m/>
    <m/>
    <m/>
    <m/>
    <m/>
    <m/>
    <m/>
    <m/>
    <m/>
    <m/>
    <m/>
    <m/>
    <s v="Prestar servicios profesionales de asesoría estratégica a la Secretaría General de la Unidad de Planeación Minero Energética UPME, orientados al fortalecimiento de la gestión pública y la gestión del talento humano, mediante la formulación de lineamientos"/>
    <m/>
    <m/>
    <m/>
    <n v="6800000"/>
    <m/>
    <n v="13600000"/>
    <m/>
    <n v="13600000"/>
    <m/>
    <n v="13600000"/>
    <m/>
    <n v="13600000"/>
    <m/>
    <n v="13600000"/>
    <m/>
    <n v="13600000"/>
    <m/>
    <n v="13600000"/>
    <m/>
    <n v="13600000"/>
    <m/>
    <n v="13600000"/>
    <m/>
    <n v="27200000"/>
    <m/>
    <m/>
    <n v="0"/>
    <n v="156400000"/>
    <n v="156400000"/>
    <n v="0"/>
    <n v="17226"/>
    <d v="2026-01-09T00:00:00"/>
    <n v="156400000"/>
    <n v="0"/>
    <m/>
    <m/>
    <n v="0"/>
    <n v="156400000"/>
    <n v="156400000"/>
    <m/>
    <m/>
    <m/>
    <m/>
    <m/>
    <m/>
    <m/>
    <m/>
    <m/>
    <m/>
    <m/>
    <m/>
    <m/>
    <m/>
    <m/>
    <m/>
    <m/>
    <m/>
    <m/>
    <m/>
    <m/>
    <m/>
    <m/>
    <m/>
    <m/>
    <m/>
    <m/>
    <m/>
    <m/>
    <m/>
    <m/>
    <m/>
    <m/>
    <m/>
    <m/>
    <m/>
    <m/>
    <m/>
    <n v="0"/>
    <n v="0"/>
    <n v="0"/>
    <n v="0"/>
    <n v="0"/>
    <x v="0"/>
  </r>
  <r>
    <x v="1"/>
    <x v="4"/>
    <s v="N/A"/>
    <s v="N/A"/>
    <s v="Sí"/>
    <s v="Sí"/>
    <n v="19"/>
    <s v="111-41"/>
    <s v="N.A"/>
    <s v="N.A"/>
    <s v="N.A"/>
    <s v="80111620"/>
    <s v="A-02-02-02-008-003"/>
    <s v="Prestación de servicios profesionales y/o de apoyo a la gestión"/>
    <s v="111-41 Brindar el servicio de apoyo en todo lo relacionado con la gestión administrativa, la gestión documental, el manejo de la correspondencia y requeridos por la Unidad de Planeación Minero-Energética - UPME"/>
    <s v="Enero "/>
    <s v="Enero "/>
    <s v="Enero "/>
    <s v="11.5"/>
    <s v="Meses"/>
    <s v="Contratación directa - Contratos menor cuantía"/>
    <s v="Propios - 20 - Ingresos corrientes"/>
    <n v="21016800"/>
    <n v="21016800"/>
    <s v="No"/>
    <s v="N/A"/>
    <s v="Jenny Patricia Peña Rozo"/>
    <s v="Coordinador GIT Gestión Administrativa y Servicio al Ciudadano"/>
    <n v="6012220601"/>
    <s v="jenny.pena@upme.gov.co"/>
    <m/>
    <m/>
    <m/>
    <m/>
    <m/>
    <m/>
    <m/>
    <m/>
    <m/>
    <m/>
    <m/>
    <m/>
    <m/>
    <m/>
    <m/>
    <m/>
    <m/>
    <m/>
    <m/>
    <m/>
    <m/>
    <m/>
    <m/>
    <m/>
    <m/>
    <m/>
    <m/>
    <m/>
    <s v="Brindar el servicio de apoyo en todo lo relacionado con la gestión administrativa, la gestión documental, el manejo de la correspondencia y requeridos por la Unidad de Planeación Minero-Energética - UPME"/>
    <m/>
    <m/>
    <m/>
    <n v="950000"/>
    <m/>
    <n v="1900000"/>
    <m/>
    <n v="1900000"/>
    <m/>
    <n v="1900000"/>
    <m/>
    <n v="1900000"/>
    <m/>
    <n v="1900000"/>
    <m/>
    <n v="1900000"/>
    <m/>
    <n v="1900000"/>
    <m/>
    <n v="1900000"/>
    <m/>
    <n v="1900000"/>
    <m/>
    <n v="3800000"/>
    <m/>
    <m/>
    <n v="0"/>
    <n v="21850000"/>
    <n v="21016800"/>
    <n v="-833200"/>
    <n v="42826"/>
    <d v="2026-01-16T00:00:00"/>
    <n v="21850000"/>
    <n v="-833200"/>
    <m/>
    <m/>
    <n v="0"/>
    <n v="21016800"/>
    <n v="21850000"/>
    <m/>
    <m/>
    <m/>
    <m/>
    <m/>
    <m/>
    <m/>
    <m/>
    <m/>
    <m/>
    <m/>
    <m/>
    <m/>
    <m/>
    <m/>
    <m/>
    <m/>
    <m/>
    <m/>
    <m/>
    <m/>
    <m/>
    <m/>
    <m/>
    <m/>
    <m/>
    <m/>
    <m/>
    <m/>
    <m/>
    <m/>
    <m/>
    <m/>
    <m/>
    <m/>
    <m/>
    <m/>
    <m/>
    <n v="0"/>
    <n v="0"/>
    <n v="0"/>
    <n v="0"/>
    <n v="0"/>
    <x v="0"/>
  </r>
  <r>
    <x v="1"/>
    <x v="4"/>
    <s v="N/A"/>
    <s v="N/A"/>
    <s v="Sí"/>
    <s v="Sí"/>
    <n v="6"/>
    <s v="111-42"/>
    <s v="N.A"/>
    <s v="N.A"/>
    <s v="N.A"/>
    <s v="78102203;78102206"/>
    <s v="A-02-02-02-006-008"/>
    <s v="Prestación de servicios profesionales y/o de apoyo a la gestión"/>
    <s v="111-42 Prestar los servicios de correo certificado electrónico, mensajería motorizada y especializada a nivel urbano, nacional e internacional, incluyendo la actividad de notificaciones judiciales de los actos administrativos de la UPME, garantizando el c"/>
    <s v="Enero "/>
    <s v="Enero "/>
    <s v="Enero "/>
    <n v="12"/>
    <s v="Meses"/>
    <s v="Contratación directa - Contratos menor cuantía"/>
    <s v="Propios - 20 - Ingresos corrientes"/>
    <n v="82300000"/>
    <n v="82300000"/>
    <s v="No"/>
    <s v="N/A"/>
    <s v="Jenny Patricia Peña Rozo"/>
    <s v="Coordinador GIT Gestión Administrativa y Servicio al Ciudadano"/>
    <n v="6012220601"/>
    <s v="jenny.pena@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6858333"/>
    <n v="0"/>
    <n v="6858333"/>
    <n v="0"/>
    <n v="6858333"/>
    <n v="0"/>
    <n v="6858333"/>
    <n v="0"/>
    <n v="6858333"/>
    <n v="0"/>
    <n v="6858333"/>
    <n v="0"/>
    <n v="6858333"/>
    <n v="0"/>
    <n v="6858333"/>
    <n v="0"/>
    <n v="6858333"/>
    <n v="0"/>
    <n v="6858333"/>
    <n v="0"/>
    <n v="13716670"/>
    <m/>
    <m/>
    <n v="0"/>
    <n v="82300000"/>
    <n v="82300000"/>
    <n v="0"/>
    <n v="54126"/>
    <d v="2026-01-21T00:00:00"/>
    <n v="82300000"/>
    <n v="0"/>
    <m/>
    <m/>
    <n v="0"/>
    <n v="82300000"/>
    <n v="82300000"/>
    <m/>
    <m/>
    <m/>
    <m/>
    <m/>
    <m/>
    <m/>
    <m/>
    <m/>
    <m/>
    <m/>
    <m/>
    <m/>
    <m/>
    <m/>
    <m/>
    <m/>
    <m/>
    <m/>
    <m/>
    <m/>
    <m/>
    <m/>
    <m/>
    <m/>
    <m/>
    <m/>
    <m/>
    <m/>
    <m/>
    <m/>
    <m/>
    <m/>
    <m/>
    <m/>
    <m/>
    <m/>
    <m/>
    <n v="0"/>
    <n v="0"/>
    <n v="0"/>
    <n v="0"/>
    <n v="0"/>
    <x v="0"/>
  </r>
  <r>
    <x v="1"/>
    <x v="4"/>
    <s v="N/A"/>
    <s v="N/A"/>
    <s v="Sí"/>
    <s v="Sí"/>
    <n v="12"/>
    <s v="111-43"/>
    <s v="N.A"/>
    <s v="N.A"/>
    <s v="N.A"/>
    <n v="80131500"/>
    <s v="A-02-02-02-009-007"/>
    <s v="Arrendamientos"/>
    <s v="111-43 Prestar el servicio de arrendamiento para bodegaje y administración integral del archivo central de la UPME"/>
    <s v="Enero "/>
    <s v="Enero "/>
    <s v="Enero "/>
    <n v="7"/>
    <s v="Meses"/>
    <s v="Contratación directa "/>
    <s v="Propios - 20 - Ingresos corrientes"/>
    <n v="90801410"/>
    <n v="90801410"/>
    <s v="No"/>
    <s v="N/A"/>
    <s v="Jenny Patricia Peña Rozo"/>
    <s v="Coordinador GIT Gestión Administrativa y Servicio al Ciudadano"/>
    <n v="6012220601"/>
    <s v="jenny.pena@upme.gov.co"/>
    <m/>
    <m/>
    <m/>
    <m/>
    <m/>
    <m/>
    <m/>
    <m/>
    <m/>
    <m/>
    <m/>
    <m/>
    <m/>
    <m/>
    <m/>
    <m/>
    <m/>
    <m/>
    <m/>
    <m/>
    <m/>
    <m/>
    <m/>
    <m/>
    <m/>
    <m/>
    <m/>
    <m/>
    <s v="Prestar el servicio de arrendamiento para bodegaje y administración integral del archivo central de la UPME"/>
    <m/>
    <m/>
    <m/>
    <m/>
    <m/>
    <m/>
    <m/>
    <m/>
    <m/>
    <m/>
    <m/>
    <m/>
    <m/>
    <m/>
    <m/>
    <m/>
    <m/>
    <m/>
    <m/>
    <m/>
    <m/>
    <m/>
    <m/>
    <m/>
    <m/>
    <m/>
    <n v="0"/>
    <n v="0"/>
    <n v="90801410"/>
    <n v="90801410"/>
    <n v="2026"/>
    <d v="2026-01-05T00:00:00"/>
    <n v="90801410"/>
    <n v="0"/>
    <m/>
    <m/>
    <n v="0"/>
    <n v="90801410"/>
    <n v="90801410"/>
    <m/>
    <m/>
    <m/>
    <m/>
    <m/>
    <m/>
    <m/>
    <m/>
    <m/>
    <m/>
    <m/>
    <m/>
    <m/>
    <m/>
    <m/>
    <m/>
    <m/>
    <m/>
    <m/>
    <m/>
    <m/>
    <m/>
    <m/>
    <m/>
    <m/>
    <m/>
    <m/>
    <m/>
    <m/>
    <m/>
    <m/>
    <m/>
    <m/>
    <m/>
    <m/>
    <m/>
    <m/>
    <m/>
    <n v="0"/>
    <n v="0"/>
    <n v="0"/>
    <n v="0"/>
    <n v="0"/>
    <x v="0"/>
  </r>
  <r>
    <x v="1"/>
    <x v="4"/>
    <s v="N/A"/>
    <s v="N/A"/>
    <s v="Sí"/>
    <s v="Sí"/>
    <n v="19"/>
    <s v="111-44"/>
    <s v="N.A"/>
    <s v="N.A"/>
    <s v="N.A"/>
    <s v="N/A"/>
    <s v="A-02-02-02-008-005"/>
    <s v="Adquisición de bienes y/o servicios (otros)"/>
    <s v="111-44 Prestar el servicio de vigilancia, seguridad privada y recepción para la sede administrativa de la Unidad de Planeación Minero Energética. UPME._x0009__x0009__x0009__x0009__x0009_"/>
    <s v="Enero "/>
    <s v="Enero "/>
    <s v="Enero "/>
    <n v="7"/>
    <s v="Meses"/>
    <s v="Contratación directa "/>
    <s v="Propios - 20 - Ingresos corrientes"/>
    <n v="41173443"/>
    <n v="41173443"/>
    <s v="No"/>
    <s v="N/A"/>
    <s v="Jenny Patricia Peña Rozo"/>
    <s v="Coordinador GIT Gestión Administrativa y Servicio al Ciudadano"/>
    <n v="6012220601"/>
    <s v="jenny.pena@upme.gov.co"/>
    <m/>
    <m/>
    <m/>
    <m/>
    <m/>
    <m/>
    <m/>
    <m/>
    <m/>
    <m/>
    <m/>
    <m/>
    <m/>
    <m/>
    <m/>
    <m/>
    <m/>
    <m/>
    <m/>
    <m/>
    <m/>
    <m/>
    <m/>
    <m/>
    <m/>
    <m/>
    <m/>
    <m/>
    <m/>
    <m/>
    <m/>
    <m/>
    <m/>
    <m/>
    <m/>
    <m/>
    <m/>
    <m/>
    <m/>
    <m/>
    <m/>
    <m/>
    <m/>
    <m/>
    <m/>
    <m/>
    <m/>
    <m/>
    <m/>
    <m/>
    <m/>
    <m/>
    <m/>
    <m/>
    <m/>
    <m/>
    <m/>
    <m/>
    <m/>
    <m/>
    <m/>
    <m/>
    <n v="41173443"/>
    <m/>
    <m/>
    <n v="0"/>
    <n v="41173443"/>
    <n v="0"/>
    <m/>
    <m/>
    <m/>
    <m/>
    <m/>
    <m/>
    <m/>
    <m/>
    <m/>
    <m/>
    <m/>
    <m/>
    <m/>
    <m/>
    <m/>
    <m/>
    <m/>
    <m/>
    <m/>
    <m/>
    <m/>
    <m/>
    <m/>
    <m/>
    <m/>
    <m/>
    <m/>
    <m/>
    <m/>
    <m/>
    <m/>
    <m/>
    <m/>
    <m/>
    <m/>
    <m/>
    <m/>
    <m/>
    <n v="0"/>
    <n v="0"/>
    <n v="0"/>
    <n v="0"/>
    <n v="0"/>
    <x v="0"/>
  </r>
  <r>
    <x v="1"/>
    <x v="4"/>
    <s v="N/A"/>
    <s v="N/A"/>
    <s v="Sí"/>
    <s v="Sí"/>
    <n v="19"/>
    <s v="111-45"/>
    <s v="N.A"/>
    <s v="N.A"/>
    <s v="N.A"/>
    <s v="N/A"/>
    <s v="A-02-02-02-008-005"/>
    <s v="Adquisición de bienes y/o servicios (otros)"/>
    <s v="111-45 Contratar la prestación del servicio integral de Aseo y Cafetería incluídos los insumos básicos de Aseo y Cafetería para la sede de la Unidad de Planeación Minero Energética-UPME._x0009__x0009__x0009__x0009__x0009_"/>
    <s v="Enero "/>
    <s v="Enero "/>
    <s v="Enero "/>
    <n v="7"/>
    <s v="Meses"/>
    <s v="Selección abreviada - acuerdo marco"/>
    <s v="Propios - 20 - Ingresos corrientes"/>
    <n v="133821897"/>
    <n v="133821897"/>
    <s v="No"/>
    <s v="N/A"/>
    <s v="Jenny Patricia Peña Rozo"/>
    <s v="Coordinador GIT Gestión Administrativa y Servicio al Ciudadano"/>
    <n v="6012220601"/>
    <s v="jenny.pena@upme.gov.co"/>
    <m/>
    <m/>
    <m/>
    <m/>
    <m/>
    <m/>
    <m/>
    <m/>
    <m/>
    <m/>
    <m/>
    <m/>
    <m/>
    <m/>
    <m/>
    <m/>
    <m/>
    <m/>
    <m/>
    <m/>
    <m/>
    <m/>
    <m/>
    <m/>
    <m/>
    <m/>
    <m/>
    <m/>
    <m/>
    <m/>
    <m/>
    <m/>
    <m/>
    <m/>
    <m/>
    <m/>
    <m/>
    <m/>
    <m/>
    <m/>
    <m/>
    <m/>
    <m/>
    <m/>
    <m/>
    <m/>
    <m/>
    <m/>
    <m/>
    <m/>
    <m/>
    <m/>
    <m/>
    <m/>
    <m/>
    <m/>
    <m/>
    <m/>
    <m/>
    <m/>
    <m/>
    <m/>
    <n v="133821897"/>
    <m/>
    <m/>
    <n v="0"/>
    <n v="133821897"/>
    <n v="0"/>
    <m/>
    <m/>
    <m/>
    <m/>
    <m/>
    <m/>
    <m/>
    <m/>
    <m/>
    <m/>
    <m/>
    <m/>
    <m/>
    <m/>
    <m/>
    <m/>
    <m/>
    <m/>
    <m/>
    <m/>
    <m/>
    <m/>
    <m/>
    <m/>
    <m/>
    <m/>
    <m/>
    <m/>
    <m/>
    <m/>
    <m/>
    <m/>
    <m/>
    <m/>
    <m/>
    <m/>
    <m/>
    <m/>
    <n v="0"/>
    <n v="0"/>
    <n v="0"/>
    <n v="0"/>
    <n v="0"/>
    <x v="0"/>
  </r>
  <r>
    <x v="1"/>
    <x v="4"/>
    <s v="N/A"/>
    <s v="N/A"/>
    <s v="Sí"/>
    <s v="Sí"/>
    <n v="68"/>
    <s v="111-5"/>
    <s v="N.A"/>
    <s v="N.A"/>
    <s v="N.A"/>
    <s v="44103125;81101707"/>
    <s v="A-02-02-02-008-007"/>
    <s v="Mantenimientos y/o mejoras"/>
    <s v="111-5 Prestar servicios de mantenimiento preventivo y correctivo incluidos los repuestos requeridos para las impresoras, escáneres y fotocopiadoras de propiedad de la Upme."/>
    <s v="Enero "/>
    <s v="Enero "/>
    <s v="Enero "/>
    <n v="12"/>
    <s v="Meses"/>
    <s v="Contratación directa - Contratos menor cuantía"/>
    <s v="Propios - 20 - Ingresos corrientes"/>
    <n v="5000000"/>
    <n v="5000000"/>
    <s v="No"/>
    <s v="N/A"/>
    <s v="Jenny Patricia Peña Rozo"/>
    <s v="Coordinador GIT Gestión Administrativa y Servicio al Ciudadano"/>
    <n v="6012220601"/>
    <s v="jenny.pena@upme.gov.co"/>
    <m/>
    <m/>
    <m/>
    <m/>
    <m/>
    <m/>
    <m/>
    <m/>
    <m/>
    <m/>
    <m/>
    <m/>
    <m/>
    <m/>
    <m/>
    <m/>
    <m/>
    <m/>
    <m/>
    <m/>
    <m/>
    <m/>
    <m/>
    <m/>
    <m/>
    <m/>
    <m/>
    <m/>
    <s v="Prestar servicios de mantenimiento preventivo y correctivo incluidos los repuestos requeridos para las impresoras, escáneres y fotocopiadoras de propiedad de la Upme."/>
    <m/>
    <m/>
    <m/>
    <m/>
    <m/>
    <m/>
    <m/>
    <m/>
    <m/>
    <n v="5000000"/>
    <m/>
    <m/>
    <m/>
    <m/>
    <m/>
    <m/>
    <m/>
    <m/>
    <m/>
    <m/>
    <m/>
    <m/>
    <m/>
    <m/>
    <m/>
    <m/>
    <n v="0"/>
    <n v="5000000"/>
    <n v="5000000"/>
    <n v="0"/>
    <n v="57726"/>
    <d v="2026-01-23T00:00:00"/>
    <n v="5000000"/>
    <n v="0"/>
    <m/>
    <m/>
    <n v="0"/>
    <n v="5000000"/>
    <n v="5000000"/>
    <m/>
    <m/>
    <m/>
    <m/>
    <m/>
    <m/>
    <m/>
    <m/>
    <m/>
    <m/>
    <m/>
    <m/>
    <m/>
    <m/>
    <m/>
    <m/>
    <m/>
    <m/>
    <m/>
    <m/>
    <m/>
    <m/>
    <m/>
    <m/>
    <m/>
    <m/>
    <m/>
    <m/>
    <m/>
    <m/>
    <m/>
    <m/>
    <m/>
    <m/>
    <m/>
    <m/>
    <m/>
    <m/>
    <n v="0"/>
    <n v="0"/>
    <n v="0"/>
    <n v="0"/>
    <n v="0"/>
    <x v="0"/>
  </r>
  <r>
    <x v="1"/>
    <x v="4"/>
    <s v="N/A"/>
    <s v="N/A"/>
    <s v="Sí"/>
    <s v="Sí"/>
    <n v="68"/>
    <s v="111-6"/>
    <s v="N.A"/>
    <s v="N.A"/>
    <s v="N.A"/>
    <s v="72151704"/>
    <s v="A-02-02-02-008-007"/>
    <s v="Mantenimientos y/o mejoras"/>
    <s v="111-6 Prestar servicios de mantenimiento preventivo y correctivo del sistema de cámaras de video -CCTV instalados en la Sede de la Upme."/>
    <s v="Enero "/>
    <s v="Enero "/>
    <s v="Enero "/>
    <n v="12"/>
    <s v="Meses"/>
    <s v="Contratación directa - Contratos menor cuantía"/>
    <s v="Propios - 20 - Ingresos corrientes"/>
    <n v="4000000"/>
    <n v="4000000"/>
    <s v="No"/>
    <s v="N/A"/>
    <s v="Jenny Patricia Peña Rozo"/>
    <s v="Coordinador GIT Gestión Administrativa y Servicio al Ciudadano"/>
    <n v="6012220601"/>
    <s v="jenny.pena@upme.gov.co"/>
    <m/>
    <m/>
    <m/>
    <m/>
    <m/>
    <m/>
    <m/>
    <m/>
    <m/>
    <m/>
    <m/>
    <m/>
    <m/>
    <m/>
    <m/>
    <m/>
    <m/>
    <m/>
    <m/>
    <m/>
    <m/>
    <m/>
    <m/>
    <m/>
    <m/>
    <m/>
    <m/>
    <m/>
    <s v="Prestar servicios de mantenimiento preventivo y correctivo del sistema de cámaras de video -CCTV instalados en la Sede de la Upme."/>
    <m/>
    <m/>
    <m/>
    <m/>
    <m/>
    <m/>
    <m/>
    <n v="2000000"/>
    <m/>
    <m/>
    <m/>
    <m/>
    <m/>
    <m/>
    <m/>
    <n v="2000000"/>
    <m/>
    <m/>
    <m/>
    <m/>
    <m/>
    <m/>
    <m/>
    <m/>
    <m/>
    <m/>
    <n v="0"/>
    <n v="4000000"/>
    <n v="4000000"/>
    <n v="0"/>
    <n v="51826"/>
    <d v="2026-01-20T00:00:00"/>
    <n v="4000000"/>
    <n v="0"/>
    <m/>
    <m/>
    <n v="0"/>
    <n v="4000000"/>
    <n v="4000000"/>
    <m/>
    <m/>
    <m/>
    <m/>
    <m/>
    <m/>
    <m/>
    <m/>
    <m/>
    <m/>
    <m/>
    <m/>
    <m/>
    <m/>
    <m/>
    <m/>
    <m/>
    <m/>
    <m/>
    <m/>
    <m/>
    <m/>
    <m/>
    <m/>
    <m/>
    <m/>
    <m/>
    <m/>
    <m/>
    <m/>
    <m/>
    <m/>
    <m/>
    <m/>
    <m/>
    <m/>
    <m/>
    <m/>
    <n v="0"/>
    <n v="0"/>
    <n v="0"/>
    <n v="0"/>
    <n v="0"/>
    <x v="0"/>
  </r>
  <r>
    <x v="1"/>
    <x v="4"/>
    <s v="N/A"/>
    <s v="N/A"/>
    <s v="Sí"/>
    <s v="Sí"/>
    <n v="19"/>
    <s v="111-7"/>
    <s v="N.A"/>
    <s v="N.A"/>
    <s v="N.A"/>
    <s v="72102900"/>
    <s v="A-02-02-02-008-007"/>
    <s v="Mantenimientos y/o mejoras"/>
    <s v="111-7 Prestar servicios de arreglos locativos requeridos en la Sede de la Upme."/>
    <s v="Enero "/>
    <s v="Enero "/>
    <s v="Enero "/>
    <n v="12"/>
    <s v="Meses"/>
    <s v="Contratación directa - Contratos menor cuantía"/>
    <s v="Propios - 20 - Ingresos corrientes"/>
    <n v="29811401"/>
    <n v="29811401"/>
    <s v="No"/>
    <s v="N/A"/>
    <s v="Jenny Patricia Peña Rozo"/>
    <s v="Coordinador GIT Gestión Administrativa y Servicio al Ciudadano"/>
    <n v="6012220601"/>
    <s v="jenny.pena@upme.gov.co"/>
    <m/>
    <m/>
    <m/>
    <m/>
    <m/>
    <m/>
    <m/>
    <m/>
    <m/>
    <m/>
    <m/>
    <m/>
    <m/>
    <m/>
    <m/>
    <m/>
    <m/>
    <m/>
    <m/>
    <m/>
    <m/>
    <m/>
    <m/>
    <m/>
    <m/>
    <m/>
    <m/>
    <m/>
    <s v="Prestar servicios de arreglos locativos requeridos en la Sede de la Upme."/>
    <m/>
    <m/>
    <m/>
    <m/>
    <m/>
    <m/>
    <m/>
    <m/>
    <m/>
    <n v="10875000"/>
    <m/>
    <m/>
    <m/>
    <n v="10875000"/>
    <m/>
    <m/>
    <m/>
    <n v="10875000"/>
    <m/>
    <m/>
    <m/>
    <n v="10875000"/>
    <m/>
    <m/>
    <m/>
    <m/>
    <n v="0"/>
    <n v="43500000"/>
    <n v="29811401"/>
    <n v="-13688599"/>
    <n v="45026"/>
    <d v="2026-01-17T00:00:00"/>
    <n v="43500000"/>
    <n v="-13688599"/>
    <m/>
    <m/>
    <n v="0"/>
    <n v="29811401"/>
    <n v="43500000"/>
    <m/>
    <m/>
    <m/>
    <m/>
    <m/>
    <m/>
    <m/>
    <m/>
    <m/>
    <m/>
    <m/>
    <m/>
    <m/>
    <m/>
    <m/>
    <m/>
    <m/>
    <m/>
    <m/>
    <m/>
    <m/>
    <m/>
    <m/>
    <m/>
    <m/>
    <m/>
    <m/>
    <m/>
    <m/>
    <m/>
    <m/>
    <m/>
    <m/>
    <m/>
    <m/>
    <m/>
    <m/>
    <m/>
    <n v="0"/>
    <n v="0"/>
    <n v="0"/>
    <n v="0"/>
    <n v="0"/>
    <x v="0"/>
  </r>
  <r>
    <x v="1"/>
    <x v="4"/>
    <s v="N/A"/>
    <s v="N/A"/>
    <s v="Sí"/>
    <s v="Sí"/>
    <n v="68"/>
    <s v="111-8"/>
    <s v="N.A"/>
    <s v="N.A"/>
    <s v="N.A"/>
    <s v="44103100"/>
    <s v="A-02-02-01-003-002 "/>
    <s v="Adquisición de bienes y/o servicios (otros)"/>
    <s v="111-8 Adquirir elementos requeridos para impresoras y/o fotocopiadoras (Toners) de la Upme."/>
    <s v="Julio"/>
    <s v="Junio"/>
    <s v="Agosto"/>
    <n v="1"/>
    <s v="Meses"/>
    <s v="Contratación directa - Contratos menor cuantía"/>
    <s v="Propios - 20 - Ingresos corrientes"/>
    <n v="7000000"/>
    <n v="7000000"/>
    <s v="No"/>
    <s v="N/A"/>
    <s v="Jenny Patricia Peña Rozo"/>
    <s v="Coordinador GIT Gestión Administrativa y Servicio al Ciudadano"/>
    <n v="6012220601"/>
    <s v="jenny.pena@upme.gov.co"/>
    <m/>
    <m/>
    <m/>
    <m/>
    <m/>
    <m/>
    <m/>
    <m/>
    <m/>
    <m/>
    <m/>
    <m/>
    <m/>
    <m/>
    <m/>
    <m/>
    <m/>
    <m/>
    <m/>
    <m/>
    <m/>
    <m/>
    <m/>
    <m/>
    <m/>
    <m/>
    <m/>
    <m/>
    <s v="Adquirir elementos requeridos para impresoras y/o fotocopiadoras (Toners) de la Upme."/>
    <m/>
    <m/>
    <m/>
    <m/>
    <m/>
    <m/>
    <m/>
    <m/>
    <m/>
    <m/>
    <m/>
    <m/>
    <m/>
    <m/>
    <m/>
    <m/>
    <m/>
    <n v="7000000"/>
    <m/>
    <m/>
    <m/>
    <m/>
    <m/>
    <m/>
    <m/>
    <m/>
    <n v="0"/>
    <n v="7000000"/>
    <n v="7000000"/>
    <n v="0"/>
    <m/>
    <m/>
    <m/>
    <n v="7000000"/>
    <m/>
    <m/>
    <n v="0"/>
    <n v="7000000"/>
    <n v="0"/>
    <m/>
    <m/>
    <m/>
    <m/>
    <m/>
    <m/>
    <m/>
    <m/>
    <m/>
    <m/>
    <m/>
    <m/>
    <m/>
    <m/>
    <m/>
    <m/>
    <m/>
    <m/>
    <m/>
    <m/>
    <m/>
    <m/>
    <m/>
    <m/>
    <m/>
    <m/>
    <m/>
    <m/>
    <m/>
    <m/>
    <m/>
    <m/>
    <m/>
    <m/>
    <m/>
    <m/>
    <m/>
    <m/>
    <n v="0"/>
    <n v="0"/>
    <n v="0"/>
    <n v="0"/>
    <n v="0"/>
    <x v="0"/>
  </r>
  <r>
    <x v="1"/>
    <x v="4"/>
    <s v="N/A"/>
    <s v="N/A"/>
    <s v="Sí"/>
    <s v="Sí"/>
    <n v="68"/>
    <s v="111-9"/>
    <s v="N.A"/>
    <s v="N.A"/>
    <s v="N.A"/>
    <s v="90101604"/>
    <s v="A-02-02-02-006-003"/>
    <s v="Adquisición de bienes y/o servicios (otros)"/>
    <s v="111-9 Prestar apoyo logístico para atender las reuniones del Consejo Directivo de la Upme o las que determine la Dirección general para apoyar actividades del sector en la vigencia 2026."/>
    <s v="Enero "/>
    <s v="Enero "/>
    <s v="Enero "/>
    <n v="12"/>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Prestar apoyo logístico para atender las reuniones del Consejo Directivo de la Upme o las que determine la Dirección general para apoyar actividades del sector en la vigencia 2026."/>
    <m/>
    <m/>
    <m/>
    <m/>
    <m/>
    <n v="1000000"/>
    <m/>
    <n v="1000000"/>
    <m/>
    <n v="1000000"/>
    <m/>
    <n v="1000000"/>
    <m/>
    <n v="1000000"/>
    <m/>
    <n v="1000000"/>
    <m/>
    <n v="1000000"/>
    <m/>
    <n v="1000000"/>
    <m/>
    <n v="1000000"/>
    <m/>
    <n v="1000000"/>
    <m/>
    <m/>
    <n v="0"/>
    <n v="10000000"/>
    <n v="10000000"/>
    <n v="0"/>
    <n v="62126"/>
    <d v="2026-01-23T00:00:00"/>
    <n v="10000000"/>
    <n v="0"/>
    <m/>
    <m/>
    <n v="0"/>
    <n v="10000000"/>
    <n v="10000000"/>
    <m/>
    <m/>
    <m/>
    <m/>
    <m/>
    <m/>
    <m/>
    <m/>
    <m/>
    <m/>
    <m/>
    <m/>
    <m/>
    <m/>
    <m/>
    <m/>
    <m/>
    <m/>
    <m/>
    <m/>
    <m/>
    <m/>
    <m/>
    <m/>
    <m/>
    <m/>
    <m/>
    <m/>
    <m/>
    <m/>
    <m/>
    <m/>
    <m/>
    <m/>
    <m/>
    <m/>
    <m/>
    <m/>
    <n v="0"/>
    <n v="0"/>
    <n v="0"/>
    <n v="0"/>
    <n v="0"/>
    <x v="0"/>
  </r>
  <r>
    <x v="1"/>
    <x v="5"/>
    <s v="N/A"/>
    <s v="N/A"/>
    <s v="Sí"/>
    <s v="Sí"/>
    <n v="68"/>
    <s v="161-1"/>
    <s v="N.A"/>
    <s v="N.A"/>
    <s v="N.A"/>
    <n v="80111620"/>
    <s v="A-05-01-02-008-002"/>
    <s v="Prestación de servicios profesionales y/o de apoyo a la gestión"/>
    <s v="161-1 Prestar servicios profesionales para la gestión de requerimientos contractuales y demás actividades administrativas requeridas por la Subdirección de Demanda."/>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de requerimientos contractuales y demás actividades administrativas requeridas por la Subdirección de Demanda."/>
    <m/>
    <m/>
    <m/>
    <n v="3000000"/>
    <m/>
    <n v="6000000"/>
    <m/>
    <n v="6000000"/>
    <m/>
    <n v="6000000"/>
    <m/>
    <n v="6000000"/>
    <m/>
    <n v="6000000"/>
    <m/>
    <n v="6000000"/>
    <m/>
    <n v="6000000"/>
    <m/>
    <n v="6000000"/>
    <m/>
    <n v="6000000"/>
    <m/>
    <n v="12000000"/>
    <m/>
    <m/>
    <n v="0"/>
    <n v="69000000"/>
    <n v="69000000"/>
    <n v="0"/>
    <n v="10026"/>
    <d v="2026-01-06T00:00:00"/>
    <n v="69000000"/>
    <n v="0"/>
    <m/>
    <m/>
    <n v="0"/>
    <n v="69000000"/>
    <n v="69000000"/>
    <m/>
    <m/>
    <m/>
    <m/>
    <m/>
    <m/>
    <m/>
    <m/>
    <m/>
    <m/>
    <m/>
    <m/>
    <m/>
    <m/>
    <m/>
    <m/>
    <m/>
    <m/>
    <m/>
    <m/>
    <m/>
    <m/>
    <m/>
    <m/>
    <m/>
    <m/>
    <m/>
    <m/>
    <m/>
    <m/>
    <m/>
    <m/>
    <m/>
    <m/>
    <m/>
    <m/>
    <m/>
    <m/>
    <n v="0"/>
    <n v="0"/>
    <n v="0"/>
    <n v="0"/>
    <n v="0"/>
    <x v="0"/>
  </r>
  <r>
    <x v="1"/>
    <x v="5"/>
    <s v="N/A"/>
    <s v="N/A"/>
    <s v="Sí"/>
    <s v="Sí"/>
    <n v="9"/>
    <s v="161-10"/>
    <s v="N.A"/>
    <s v="N.A"/>
    <s v="N.A"/>
    <n v="80111620"/>
    <s v="A-05-01-02-008-003"/>
    <s v="Prestación de servicios profesionales y/o de apoyo a la gestión"/>
    <s v="161-10 Prestar servicios profesionales para la evaluación y análisis de la información de los proyectos de Gestión Eficiente de la Energía, así como para la elaboración,  consolidación y análisis de reportes de implementación de las medidas de eficiencia "/>
    <s v="Enero "/>
    <s v="Enero "/>
    <s v="Enero "/>
    <n v="5"/>
    <s v="Meses"/>
    <s v="Contratación directa - Prestación de servicios profesionales "/>
    <s v="Propios - 20 - Ingresos corrientes"/>
    <n v="43500000"/>
    <n v="43500000"/>
    <s v="No"/>
    <s v="N/A"/>
    <s v="Johanna Castellanos"/>
    <s v="Subdirectora de Demanda"/>
    <n v="6012220601"/>
    <s v="johanna.castellanos@upme.gov.co"/>
    <m/>
    <m/>
    <m/>
    <m/>
    <m/>
    <m/>
    <m/>
    <m/>
    <m/>
    <m/>
    <m/>
    <m/>
    <m/>
    <m/>
    <m/>
    <m/>
    <m/>
    <m/>
    <m/>
    <m/>
    <m/>
    <m/>
    <m/>
    <m/>
    <m/>
    <m/>
    <m/>
    <m/>
    <s v="Prestar servicios profesionales para la evaluación y análisis de la información de los proyectos de Gestión Eficiente de la Energía, así como para la elaboración,  consolidación y análisis de reportes de implementación de las medidas de eficiencia energét"/>
    <m/>
    <m/>
    <m/>
    <n v="-52200000"/>
    <m/>
    <n v="8700000"/>
    <m/>
    <n v="8700000"/>
    <m/>
    <n v="8700000"/>
    <m/>
    <n v="8700000"/>
    <m/>
    <n v="8700000"/>
    <m/>
    <n v="8700000"/>
    <m/>
    <n v="8700000"/>
    <m/>
    <n v="8700000"/>
    <m/>
    <n v="8700000"/>
    <m/>
    <n v="17400000"/>
    <m/>
    <m/>
    <n v="0"/>
    <n v="43500000"/>
    <n v="43500000"/>
    <n v="0"/>
    <n v="67526"/>
    <d v="2026-01-30T00:00:00"/>
    <n v="30000000"/>
    <n v="13500000"/>
    <m/>
    <m/>
    <n v="0"/>
    <n v="43500000"/>
    <n v="30000000"/>
    <m/>
    <m/>
    <m/>
    <m/>
    <m/>
    <m/>
    <m/>
    <m/>
    <m/>
    <m/>
    <m/>
    <m/>
    <m/>
    <m/>
    <m/>
    <m/>
    <m/>
    <m/>
    <m/>
    <m/>
    <m/>
    <m/>
    <m/>
    <m/>
    <m/>
    <m/>
    <m/>
    <m/>
    <m/>
    <m/>
    <m/>
    <m/>
    <m/>
    <m/>
    <m/>
    <m/>
    <m/>
    <m/>
    <n v="0"/>
    <n v="0"/>
    <n v="0"/>
    <n v="0"/>
    <n v="0"/>
    <x v="0"/>
  </r>
  <r>
    <x v="1"/>
    <x v="5"/>
    <s v="N/A"/>
    <s v="N/A"/>
    <s v="Sí"/>
    <s v="Sí"/>
    <n v="68"/>
    <s v="161-100"/>
    <s v="N.A"/>
    <s v="N.A"/>
    <s v="N.A"/>
    <n v="80111620"/>
    <s v="A-05-01-02-008-003"/>
    <s v="Prestación de servicios profesionales y/o de apoyo a la gestión"/>
    <s v="161-100 Prestar servicios profesionales orientados al fortalecimiento del componente de Información y Comunicación del Modelo Estandar de Control Interno (MECI), a través de la ejecución del Plan Anual de Auditorías Internas Independientes, con énfasis en"/>
    <s v="Enero "/>
    <s v="Enero "/>
    <s v="Enero "/>
    <n v="11.5"/>
    <s v="Meses"/>
    <s v="Contratación directa - Prestación de servicios profesionales "/>
    <s v="Propios - 20 - Ingresos corrientes"/>
    <n v="7581655"/>
    <n v="7581655"/>
    <s v="No"/>
    <s v="N/A"/>
    <s v="Johanna Castellanos"/>
    <s v="Subdirectora de Demanda"/>
    <n v="6012220601"/>
    <s v="johanna.castellanos@upme.gov.co"/>
    <m/>
    <m/>
    <m/>
    <m/>
    <m/>
    <m/>
    <m/>
    <m/>
    <m/>
    <m/>
    <m/>
    <m/>
    <m/>
    <m/>
    <m/>
    <m/>
    <m/>
    <m/>
    <m/>
    <m/>
    <m/>
    <m/>
    <m/>
    <m/>
    <m/>
    <m/>
    <m/>
    <m/>
    <s v="Prestar servicios profesionales orientados al fortalecimiento del componente de Información y Comunicación del Modelo Estandar de Control Interno (MECI), a través de la ejecución del Plan Anual de Auditorías Internas Independientes, con énfasis en la eval"/>
    <m/>
    <m/>
    <m/>
    <m/>
    <m/>
    <m/>
    <m/>
    <m/>
    <m/>
    <m/>
    <m/>
    <m/>
    <n v="7581655"/>
    <m/>
    <m/>
    <m/>
    <m/>
    <m/>
    <m/>
    <n v="3000000"/>
    <m/>
    <n v="3000000"/>
    <m/>
    <n v="1581655"/>
    <m/>
    <m/>
    <n v="7581655"/>
    <n v="7581655"/>
    <n v="0"/>
    <n v="0"/>
    <m/>
    <m/>
    <m/>
    <n v="7581655"/>
    <m/>
    <m/>
    <n v="0"/>
    <n v="7581655"/>
    <n v="0"/>
    <m/>
    <m/>
    <m/>
    <m/>
    <m/>
    <m/>
    <m/>
    <m/>
    <m/>
    <m/>
    <m/>
    <m/>
    <m/>
    <m/>
    <m/>
    <m/>
    <m/>
    <m/>
    <m/>
    <m/>
    <m/>
    <m/>
    <m/>
    <m/>
    <m/>
    <m/>
    <m/>
    <m/>
    <m/>
    <m/>
    <m/>
    <m/>
    <m/>
    <m/>
    <m/>
    <m/>
    <m/>
    <m/>
    <n v="0"/>
    <n v="0"/>
    <n v="0"/>
    <n v="0"/>
    <n v="0"/>
    <x v="0"/>
  </r>
  <r>
    <x v="1"/>
    <x v="5"/>
    <s v="N/A"/>
    <s v="N/A"/>
    <s v="Sí"/>
    <s v="Sí"/>
    <n v="68"/>
    <s v="161-101"/>
    <s v="N.A"/>
    <s v="N.A"/>
    <s v="N.A"/>
    <n v="80111620"/>
    <s v="A-05-01-02-008-003"/>
    <s v="Prestación de servicios profesionales y/o de apoyo a la gestión"/>
    <s v="161-101 Prestar servicios profesionales para apoyar la gestión de la comunicación institucional de la UPME, mediante la elaboración, implementación y seguimiento de estrategias de comunicación interna y externa, gestión de medios y opinión pública, desarr"/>
    <s v="Enero "/>
    <s v="Enero "/>
    <s v="Enero "/>
    <n v="11.4"/>
    <s v="Meses"/>
    <s v="Contratación directa - Prestación de servicios profesionales "/>
    <s v="Propios - 20 - Ingresos corrientes"/>
    <n v="114000000"/>
    <n v="114000000"/>
    <s v="No"/>
    <s v="N/A"/>
    <s v="Johanna Castellanos"/>
    <s v="Subdirectora de Demanda"/>
    <n v="6012220602"/>
    <s v="johanna.castellanos@upme.gov.co"/>
    <m/>
    <m/>
    <m/>
    <m/>
    <m/>
    <m/>
    <m/>
    <m/>
    <m/>
    <m/>
    <m/>
    <m/>
    <m/>
    <m/>
    <m/>
    <m/>
    <m/>
    <m/>
    <m/>
    <m/>
    <m/>
    <m/>
    <m/>
    <m/>
    <m/>
    <m/>
    <m/>
    <m/>
    <s v="Prestar servicios profesionales para apoyar la gestión de la comunicación institucional de la UPME, mediante la elaboración, implementación y seguimiento de estrategias de comunicación interna y externa, gestión de medios y opinión pública, desarrollo de "/>
    <m/>
    <m/>
    <m/>
    <n v="4000000"/>
    <m/>
    <n v="10000000"/>
    <m/>
    <n v="10000000"/>
    <m/>
    <n v="10000000"/>
    <m/>
    <n v="10000000"/>
    <m/>
    <n v="10000000"/>
    <m/>
    <n v="10000000"/>
    <m/>
    <n v="10000000"/>
    <m/>
    <n v="10000000"/>
    <m/>
    <n v="10000000"/>
    <m/>
    <n v="20000000"/>
    <m/>
    <m/>
    <n v="0"/>
    <n v="114000000"/>
    <n v="114000000"/>
    <n v="0"/>
    <n v="18026"/>
    <d v="2026-01-10T00:00:00"/>
    <n v="114000000"/>
    <n v="0"/>
    <m/>
    <m/>
    <n v="0"/>
    <n v="114000000"/>
    <n v="114000000"/>
    <m/>
    <m/>
    <m/>
    <m/>
    <m/>
    <m/>
    <m/>
    <m/>
    <m/>
    <m/>
    <m/>
    <m/>
    <m/>
    <m/>
    <m/>
    <m/>
    <m/>
    <m/>
    <m/>
    <m/>
    <m/>
    <m/>
    <m/>
    <m/>
    <m/>
    <m/>
    <m/>
    <m/>
    <m/>
    <m/>
    <m/>
    <m/>
    <m/>
    <m/>
    <m/>
    <m/>
    <m/>
    <m/>
    <n v="0"/>
    <n v="0"/>
    <n v="0"/>
    <n v="0"/>
    <n v="0"/>
    <x v="0"/>
  </r>
  <r>
    <x v="1"/>
    <x v="5"/>
    <s v="N/A"/>
    <s v="N/A"/>
    <s v="Sí"/>
    <s v="Sí"/>
    <n v="68"/>
    <s v="161-102"/>
    <s v="N.A"/>
    <s v="N.A"/>
    <s v="N.A"/>
    <n v="80111620"/>
    <s v="A-05-01-02-008-003"/>
    <s v="Prestación de servicios profesionales y/o de apoyo a la gestión"/>
    <s v="161-102 Prestación de servicios profesionales de estructuración gráfica de documentos, diseño digital, presentaciones de diversa índole que sean requeridos por el área de comunicaciones"/>
    <s v="Enero "/>
    <s v="Enero "/>
    <s v="Enero "/>
    <n v="11.5"/>
    <s v="Meses"/>
    <s v="Contratación directa - Prestación de servicios profesionales "/>
    <s v="Propios - 20 - Ingresos corrientes"/>
    <n v="92000000"/>
    <n v="92000000"/>
    <s v="No"/>
    <s v="N/A"/>
    <s v="Johanna Castellanos"/>
    <s v="Subdirectora de Demanda"/>
    <n v="6012220603"/>
    <s v="johanna.castellanos@upme.gov.co"/>
    <m/>
    <m/>
    <m/>
    <m/>
    <m/>
    <m/>
    <m/>
    <m/>
    <m/>
    <m/>
    <m/>
    <m/>
    <m/>
    <m/>
    <m/>
    <m/>
    <m/>
    <m/>
    <m/>
    <m/>
    <m/>
    <m/>
    <m/>
    <m/>
    <m/>
    <m/>
    <m/>
    <m/>
    <s v="Prestación de servicios profesionales de estructuración gráfica de documentos, diseño digital, presentaciones de diversa índole que sean requeridos por el área de comunicaciones"/>
    <m/>
    <m/>
    <m/>
    <n v="4000000"/>
    <m/>
    <n v="8000000"/>
    <m/>
    <n v="8000000"/>
    <m/>
    <n v="8000000"/>
    <m/>
    <n v="8000000"/>
    <m/>
    <n v="8000000"/>
    <m/>
    <n v="8000000"/>
    <m/>
    <n v="8000000"/>
    <m/>
    <n v="8000000"/>
    <m/>
    <n v="8000000"/>
    <m/>
    <n v="16000000"/>
    <m/>
    <m/>
    <n v="0"/>
    <n v="92000000"/>
    <n v="92000000"/>
    <n v="0"/>
    <n v="17526"/>
    <d v="2026-01-10T00:00:00"/>
    <n v="92000000"/>
    <n v="0"/>
    <m/>
    <m/>
    <n v="0"/>
    <n v="92000000"/>
    <n v="92000000"/>
    <m/>
    <m/>
    <m/>
    <m/>
    <m/>
    <m/>
    <m/>
    <m/>
    <m/>
    <m/>
    <m/>
    <m/>
    <m/>
    <m/>
    <m/>
    <m/>
    <m/>
    <m/>
    <m/>
    <m/>
    <m/>
    <m/>
    <m/>
    <m/>
    <m/>
    <m/>
    <m/>
    <m/>
    <m/>
    <m/>
    <m/>
    <m/>
    <m/>
    <m/>
    <m/>
    <m/>
    <m/>
    <m/>
    <n v="0"/>
    <n v="0"/>
    <n v="0"/>
    <n v="0"/>
    <n v="0"/>
    <x v="0"/>
  </r>
  <r>
    <x v="1"/>
    <x v="5"/>
    <s v="N/A"/>
    <s v="N/A"/>
    <s v="Sí"/>
    <s v="Sí"/>
    <n v="68"/>
    <s v="161-103"/>
    <s v="N.A"/>
    <s v="N.A"/>
    <s v="N.A"/>
    <n v="80111620"/>
    <s v="A-05-01-02-008-003"/>
    <s v="Prestación de servicios profesionales y/o de apoyo a la gestión"/>
    <s v="161-103 Prestar servicios profesionales para la creación de contenido, divulgación y socialización de los proyectos, planes y gestión de la UPME."/>
    <s v="Enero "/>
    <s v="Enero "/>
    <s v="Enero "/>
    <n v="11.5"/>
    <s v="Meses"/>
    <s v="Contratación directa - Prestación de servicios profesionales "/>
    <s v="Propios - 20 - Ingresos corrientes"/>
    <n v="92000000"/>
    <n v="92000000"/>
    <s v="No"/>
    <s v="N/A"/>
    <s v="Johanna Castellanos"/>
    <s v="Subdirectora de Demanda"/>
    <n v="6012220604"/>
    <s v="johanna.castellanos@upme.gov.co"/>
    <m/>
    <m/>
    <m/>
    <m/>
    <m/>
    <m/>
    <m/>
    <m/>
    <m/>
    <m/>
    <m/>
    <m/>
    <m/>
    <m/>
    <m/>
    <m/>
    <m/>
    <m/>
    <m/>
    <m/>
    <m/>
    <m/>
    <m/>
    <m/>
    <m/>
    <m/>
    <m/>
    <m/>
    <s v="Prestar servicios profesionales para la creación de contenido, divulgación y socialización de los proyectos, planes y gestión de la UPME."/>
    <m/>
    <m/>
    <m/>
    <n v="4000000"/>
    <m/>
    <n v="8000000"/>
    <m/>
    <n v="8000000"/>
    <m/>
    <n v="8000000"/>
    <m/>
    <n v="8000000"/>
    <m/>
    <n v="8000000"/>
    <m/>
    <n v="8000000"/>
    <m/>
    <n v="8000000"/>
    <m/>
    <n v="8000000"/>
    <m/>
    <n v="8000000"/>
    <m/>
    <n v="16000000"/>
    <m/>
    <m/>
    <n v="0"/>
    <n v="92000000"/>
    <n v="92000000"/>
    <n v="0"/>
    <n v="12326"/>
    <d v="2026-01-08T00:00:00"/>
    <n v="90400000"/>
    <n v="1600000"/>
    <m/>
    <m/>
    <n v="0"/>
    <n v="92000000"/>
    <n v="90400000"/>
    <m/>
    <m/>
    <m/>
    <m/>
    <m/>
    <m/>
    <m/>
    <m/>
    <m/>
    <m/>
    <m/>
    <m/>
    <m/>
    <m/>
    <m/>
    <m/>
    <m/>
    <m/>
    <m/>
    <m/>
    <m/>
    <m/>
    <m/>
    <m/>
    <m/>
    <m/>
    <m/>
    <m/>
    <m/>
    <m/>
    <m/>
    <m/>
    <m/>
    <m/>
    <m/>
    <m/>
    <m/>
    <m/>
    <n v="0"/>
    <n v="0"/>
    <n v="0"/>
    <n v="0"/>
    <n v="0"/>
    <x v="0"/>
  </r>
  <r>
    <x v="1"/>
    <x v="5"/>
    <s v="N/A"/>
    <s v="N/A"/>
    <s v="Sí"/>
    <s v="Sí"/>
    <n v="1"/>
    <s v="161-104"/>
    <s v="N.A"/>
    <s v="N.A"/>
    <s v="N.A"/>
    <n v="80111620"/>
    <s v="A-05-01-02-008-003"/>
    <s v="Prestación de servicios profesionales y/o de apoyo a la gestión"/>
    <s v="161-104 Prestar servicios de apoyo a la gestión para la UPME en la creación de contenidos audiovisuales destinados a los diferentes canales de comunicación de la entidad, en atención a sus necesidades institucionales."/>
    <s v="Enero "/>
    <s v="Enero "/>
    <s v="Enero "/>
    <n v="11.5"/>
    <s v="Meses"/>
    <s v="Contratación directa - Prestación de servicios profesionales "/>
    <s v="Propios - 20 - Ingresos corrientes"/>
    <n v="57500000"/>
    <n v="57500000"/>
    <s v="No"/>
    <s v="N/A"/>
    <s v="Johanna Castellanos"/>
    <s v="Subdirectora de Demanda"/>
    <n v="6012220605"/>
    <s v="johanna.castellanos@upme.gov.co"/>
    <m/>
    <m/>
    <m/>
    <m/>
    <m/>
    <m/>
    <m/>
    <m/>
    <m/>
    <m/>
    <m/>
    <m/>
    <m/>
    <m/>
    <m/>
    <m/>
    <m/>
    <m/>
    <m/>
    <m/>
    <m/>
    <m/>
    <m/>
    <m/>
    <m/>
    <m/>
    <m/>
    <m/>
    <s v="Prestar servicios de apoyo a la gestión para la UPME en la creación de contenidos audiovisuales destinados a los diferentes canales de comunicación de la entidad, en atención a sus necesidades institucionales."/>
    <m/>
    <m/>
    <m/>
    <n v="2500000"/>
    <m/>
    <n v="5000000"/>
    <m/>
    <n v="5000000"/>
    <m/>
    <n v="5000000"/>
    <m/>
    <n v="5000000"/>
    <m/>
    <n v="5000000"/>
    <m/>
    <n v="5000000"/>
    <m/>
    <n v="5000000"/>
    <m/>
    <n v="5000000"/>
    <m/>
    <n v="5000000"/>
    <m/>
    <n v="10000000"/>
    <m/>
    <m/>
    <n v="0"/>
    <n v="57500000"/>
    <n v="57500000"/>
    <n v="0"/>
    <n v="16926"/>
    <d v="2026-01-09T00:00:00"/>
    <n v="57500000"/>
    <n v="0"/>
    <m/>
    <m/>
    <n v="0"/>
    <n v="57500000"/>
    <n v="57500000"/>
    <m/>
    <m/>
    <m/>
    <m/>
    <m/>
    <m/>
    <m/>
    <m/>
    <m/>
    <m/>
    <m/>
    <m/>
    <m/>
    <m/>
    <m/>
    <m/>
    <m/>
    <m/>
    <m/>
    <m/>
    <m/>
    <m/>
    <m/>
    <m/>
    <m/>
    <m/>
    <m/>
    <m/>
    <m/>
    <m/>
    <m/>
    <m/>
    <m/>
    <m/>
    <m/>
    <m/>
    <m/>
    <m/>
    <n v="0"/>
    <n v="0"/>
    <n v="0"/>
    <n v="0"/>
    <n v="0"/>
    <x v="0"/>
  </r>
  <r>
    <x v="1"/>
    <x v="5"/>
    <s v="N/A"/>
    <s v="N/A"/>
    <s v="Sí"/>
    <s v="Sí"/>
    <n v="68"/>
    <s v="161-105"/>
    <s v="N.A"/>
    <s v="N.A"/>
    <s v="N.A"/>
    <n v="80111620"/>
    <s v="A-05-01-02-008-003"/>
    <s v="Prestación de servicios profesionales y/o de apoyo a la gestión"/>
    <s v="161-105 Prestación de servicios de apoyo a la gestión para contribuir en la realización de contenido multimedia y la consolidación del banco de contenido para los portales interactivos en desarrollo de la entidad"/>
    <s v="Enero "/>
    <s v="Enero "/>
    <s v="Enero "/>
    <n v="11.4"/>
    <s v="Meses"/>
    <s v="Contratación directa - Prestación de servicios profesionales "/>
    <s v="Propios - 20 - Ingresos corrientes"/>
    <n v="57000000"/>
    <n v="57000000"/>
    <s v="No"/>
    <s v="N/A"/>
    <s v="Johanna Castellanos"/>
    <s v="Subdirectora de Demanda"/>
    <n v="6012220606"/>
    <s v="johanna.castellanos@upme.gov.co"/>
    <m/>
    <m/>
    <m/>
    <m/>
    <m/>
    <m/>
    <m/>
    <m/>
    <m/>
    <m/>
    <m/>
    <m/>
    <m/>
    <m/>
    <m/>
    <m/>
    <m/>
    <m/>
    <m/>
    <m/>
    <m/>
    <m/>
    <m/>
    <m/>
    <m/>
    <m/>
    <m/>
    <m/>
    <s v="Prestación de servicios de apoyo a la gestión para contribuir en la realización de contenido multimedia y la consolidación del banco de contenido para los portales interactivos en desarrollo de la entidad"/>
    <m/>
    <m/>
    <m/>
    <n v="2000000"/>
    <m/>
    <n v="5000000"/>
    <m/>
    <n v="5000000"/>
    <m/>
    <n v="5000000"/>
    <m/>
    <n v="5000000"/>
    <m/>
    <n v="5000000"/>
    <m/>
    <n v="5000000"/>
    <m/>
    <n v="5000000"/>
    <m/>
    <n v="5000000"/>
    <m/>
    <n v="5000000"/>
    <m/>
    <n v="10000000"/>
    <m/>
    <m/>
    <n v="0"/>
    <n v="57000000"/>
    <n v="57000000"/>
    <n v="0"/>
    <n v="12726"/>
    <d v="2026-01-08T00:00:00"/>
    <n v="55666667"/>
    <n v="1333333"/>
    <m/>
    <m/>
    <n v="0"/>
    <n v="57000000"/>
    <n v="55666667"/>
    <m/>
    <m/>
    <m/>
    <m/>
    <m/>
    <m/>
    <m/>
    <m/>
    <m/>
    <m/>
    <m/>
    <m/>
    <m/>
    <m/>
    <m/>
    <m/>
    <m/>
    <m/>
    <m/>
    <m/>
    <m/>
    <m/>
    <m/>
    <m/>
    <m/>
    <m/>
    <m/>
    <m/>
    <m/>
    <m/>
    <m/>
    <m/>
    <m/>
    <m/>
    <m/>
    <m/>
    <m/>
    <m/>
    <n v="0"/>
    <n v="0"/>
    <n v="0"/>
    <n v="0"/>
    <n v="0"/>
    <x v="0"/>
  </r>
  <r>
    <x v="1"/>
    <x v="5"/>
    <s v="N/A"/>
    <s v="N/A"/>
    <s v="Sí"/>
    <s v="Sí"/>
    <n v="68"/>
    <s v="161-106"/>
    <s v="N.A"/>
    <s v="N.A"/>
    <s v="N.A"/>
    <n v="80111620"/>
    <s v="A-05-01-02-008-003"/>
    <s v="Prestación de servicios profesionales y/o de apoyo a la gestión"/>
    <s v="161-106 Prestar servicios profesionales para la gestión y fortalecimiento de la presencia digital, mediante la elaboración de contenido y su divulgación para la implementación de estrategias de comunicación digital, campañas de posicionamiento institucio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y fortalecimiento de la presencia digital, mediante la elaboración de contenido y su divulgación para la implementación de estrategias de comunicación digital, campañas de posicionamiento institucional y adm"/>
    <m/>
    <m/>
    <m/>
    <n v="3000000"/>
    <m/>
    <n v="6000000"/>
    <m/>
    <n v="6000000"/>
    <m/>
    <n v="6000000"/>
    <m/>
    <n v="6000000"/>
    <m/>
    <n v="6000000"/>
    <m/>
    <n v="6000000"/>
    <m/>
    <n v="6000000"/>
    <m/>
    <n v="6000000"/>
    <m/>
    <n v="6000000"/>
    <m/>
    <n v="12000000"/>
    <m/>
    <m/>
    <n v="0"/>
    <n v="69000000"/>
    <n v="69000000"/>
    <n v="0"/>
    <m/>
    <m/>
    <m/>
    <n v="69000000"/>
    <m/>
    <m/>
    <n v="0"/>
    <n v="69000000"/>
    <n v="0"/>
    <m/>
    <m/>
    <m/>
    <m/>
    <m/>
    <m/>
    <m/>
    <m/>
    <m/>
    <m/>
    <m/>
    <m/>
    <m/>
    <m/>
    <m/>
    <m/>
    <m/>
    <m/>
    <m/>
    <m/>
    <m/>
    <m/>
    <m/>
    <m/>
    <m/>
    <m/>
    <m/>
    <m/>
    <m/>
    <m/>
    <m/>
    <m/>
    <m/>
    <m/>
    <m/>
    <m/>
    <m/>
    <m/>
    <n v="0"/>
    <n v="0"/>
    <n v="0"/>
    <n v="0"/>
    <n v="0"/>
    <x v="0"/>
  </r>
  <r>
    <x v="1"/>
    <x v="5"/>
    <s v="N/A"/>
    <s v="N/A"/>
    <s v="Sí"/>
    <s v="Sí"/>
    <n v="68"/>
    <s v="161-107"/>
    <s v="N.A"/>
    <s v="N.A"/>
    <s v="N.A"/>
    <n v="80111620"/>
    <s v="A-05-01-02-008-003"/>
    <s v="Prestación de servicios profesionales y/o de apoyo a la gestión"/>
    <s v="161-107 Prestar servicios profesionales de apoyo al área de comunicaciones en el diseño, desarrollo y producción de materiales audiovisuales, animaciones, piezas gráficas y contenidos digitales, orientados a fortalecer la identidad visual institucional y "/>
    <s v="Enero "/>
    <s v="Enero "/>
    <s v="Enero "/>
    <n v="11.5"/>
    <s v="Meses"/>
    <s v="Contratación directa - Prestación de servicios profesionales "/>
    <s v="Propios - 20 - Ingresos corrientes"/>
    <n v="74750000"/>
    <n v="74750000"/>
    <s v="No"/>
    <s v="N/A"/>
    <s v="Johanna Castellanos"/>
    <s v="Subdirectora de Demanda"/>
    <n v="6012220601"/>
    <s v="johanna.castellanos@upme.gov.co"/>
    <m/>
    <m/>
    <m/>
    <m/>
    <m/>
    <m/>
    <m/>
    <m/>
    <m/>
    <m/>
    <m/>
    <m/>
    <m/>
    <m/>
    <m/>
    <m/>
    <m/>
    <m/>
    <m/>
    <m/>
    <m/>
    <m/>
    <m/>
    <m/>
    <m/>
    <m/>
    <m/>
    <m/>
    <s v="Prestar servicios profesionales de apoyo al área de comunicaciones en el diseño, desarrollo y producción de materiales audiovisuales, animaciones, piezas gráficas y contenidos digitales, orientados a fortalecer la identidad visual institucional y la divul"/>
    <m/>
    <m/>
    <m/>
    <n v="3250000"/>
    <m/>
    <n v="6500000"/>
    <m/>
    <n v="6500000"/>
    <m/>
    <n v="6500000"/>
    <m/>
    <n v="6500000"/>
    <m/>
    <n v="6500000"/>
    <m/>
    <n v="6500000"/>
    <m/>
    <n v="6500000"/>
    <m/>
    <n v="6500000"/>
    <m/>
    <n v="6500000"/>
    <m/>
    <n v="13000000"/>
    <m/>
    <m/>
    <n v="0"/>
    <n v="74750000"/>
    <n v="74750000"/>
    <n v="0"/>
    <m/>
    <m/>
    <m/>
    <n v="74750000"/>
    <m/>
    <m/>
    <n v="0"/>
    <n v="74750000"/>
    <n v="0"/>
    <m/>
    <m/>
    <m/>
    <m/>
    <m/>
    <m/>
    <m/>
    <m/>
    <m/>
    <m/>
    <m/>
    <m/>
    <m/>
    <m/>
    <m/>
    <m/>
    <m/>
    <m/>
    <m/>
    <m/>
    <m/>
    <m/>
    <m/>
    <m/>
    <m/>
    <m/>
    <m/>
    <m/>
    <m/>
    <m/>
    <m/>
    <m/>
    <m/>
    <m/>
    <m/>
    <m/>
    <m/>
    <m/>
    <n v="0"/>
    <n v="0"/>
    <n v="0"/>
    <n v="0"/>
    <n v="0"/>
    <x v="0"/>
  </r>
  <r>
    <x v="1"/>
    <x v="5"/>
    <s v="N/A"/>
    <s v="N/A"/>
    <s v="Sí"/>
    <s v="Sí"/>
    <n v="68"/>
    <s v="161-108"/>
    <s v="N.A"/>
    <s v="N.A"/>
    <s v="N.A"/>
    <n v="80111620"/>
    <s v="A-05-01-02-008-003"/>
    <s v="Prestación de servicios profesionales y/o de apoyo a la gestión"/>
    <s v="161-108 Prestar los servicios profesionales para la formulación, actualización y seguimiento a la ejecución presupuestal, procesos contractuales, planes institucionales y proyectos de inversión de la Unidad de Planeación Minero Energética asignados, así c"/>
    <s v="Julio"/>
    <s v="Julio"/>
    <s v="Julio"/>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los servicios profesionales para la formulación, actualización y seguimiento a la ejecución presupuestal, procesos contractuales, planes institucionales y proyectos de inversión de la Unidad de Planeación Minero Energética asignados, así como los "/>
    <m/>
    <m/>
    <m/>
    <m/>
    <m/>
    <m/>
    <m/>
    <m/>
    <m/>
    <m/>
    <m/>
    <m/>
    <n v="55000000"/>
    <m/>
    <m/>
    <m/>
    <m/>
    <n v="11000000"/>
    <m/>
    <n v="11000000"/>
    <m/>
    <n v="11000000"/>
    <m/>
    <n v="22000000"/>
    <m/>
    <m/>
    <n v="55000000"/>
    <n v="55000000"/>
    <n v="0"/>
    <n v="0"/>
    <m/>
    <m/>
    <m/>
    <n v="55000000"/>
    <m/>
    <m/>
    <n v="0"/>
    <n v="55000000"/>
    <n v="0"/>
    <m/>
    <m/>
    <m/>
    <m/>
    <m/>
    <m/>
    <m/>
    <m/>
    <m/>
    <m/>
    <m/>
    <m/>
    <m/>
    <m/>
    <m/>
    <m/>
    <m/>
    <m/>
    <m/>
    <m/>
    <m/>
    <m/>
    <m/>
    <m/>
    <m/>
    <m/>
    <m/>
    <m/>
    <m/>
    <m/>
    <m/>
    <m/>
    <m/>
    <m/>
    <m/>
    <m/>
    <m/>
    <m/>
    <n v="0"/>
    <n v="0"/>
    <n v="0"/>
    <n v="0"/>
    <n v="0"/>
    <x v="0"/>
  </r>
  <r>
    <x v="1"/>
    <x v="5"/>
    <s v="N/A"/>
    <s v="N/A"/>
    <s v="Sí"/>
    <s v="Sí"/>
    <n v="68"/>
    <s v="161-109"/>
    <s v="N.A"/>
    <s v="N.A"/>
    <s v="N.A"/>
    <n v="80111620"/>
    <s v="A-05-01-02-008-003"/>
    <s v="Prestación de servicios profesionales y/o de apoyo a la gestión"/>
    <s v="161-109 Prestar servicios profesionales en la ejecución y seguimiento a las acciones de cooperación relacionadas con la implementación y la actualización de la Estrategia Institucional de Cooperación Internacional de la UPME."/>
    <s v="Enero "/>
    <s v="Enero "/>
    <s v="Enero "/>
    <n v="11.5"/>
    <s v="Meses"/>
    <s v="Contratación directa - Prestación de servicios profesionales "/>
    <s v="Propios - 20 - Ingresos corrientes"/>
    <n v="92000000"/>
    <n v="92000000"/>
    <s v="No"/>
    <s v="N/A"/>
    <s v="Johanna Castellanos"/>
    <s v="Subdirectora de Demanda"/>
    <n v="6012220601"/>
    <s v="johanna.castellanos@upme.gov.co"/>
    <m/>
    <m/>
    <m/>
    <m/>
    <m/>
    <m/>
    <m/>
    <m/>
    <m/>
    <m/>
    <m/>
    <m/>
    <m/>
    <m/>
    <m/>
    <m/>
    <m/>
    <m/>
    <m/>
    <m/>
    <m/>
    <m/>
    <m/>
    <m/>
    <m/>
    <m/>
    <m/>
    <m/>
    <s v="Prestar servicios profesionales en la ejecución y seguimiento a las acciones de cooperación relacionadas con la implementación y la actualización de la Estrategia Institucional de Cooperación Internacional de la UPME."/>
    <m/>
    <m/>
    <m/>
    <n v="4000000"/>
    <m/>
    <n v="8000000"/>
    <m/>
    <n v="8000000"/>
    <m/>
    <n v="8000000"/>
    <m/>
    <n v="8000000"/>
    <m/>
    <n v="8000000"/>
    <m/>
    <n v="8000000"/>
    <m/>
    <n v="8000000"/>
    <m/>
    <n v="8000000"/>
    <m/>
    <n v="8000000"/>
    <m/>
    <n v="16000000"/>
    <m/>
    <m/>
    <n v="0"/>
    <n v="92000000"/>
    <n v="92000000"/>
    <n v="0"/>
    <n v="56426"/>
    <d v="2026-01-22T00:00:00"/>
    <n v="88000000"/>
    <n v="4000000"/>
    <m/>
    <m/>
    <n v="0"/>
    <n v="92000000"/>
    <n v="88000000"/>
    <m/>
    <m/>
    <m/>
    <m/>
    <m/>
    <m/>
    <m/>
    <m/>
    <m/>
    <m/>
    <m/>
    <m/>
    <m/>
    <m/>
    <m/>
    <m/>
    <m/>
    <m/>
    <m/>
    <m/>
    <m/>
    <m/>
    <m/>
    <m/>
    <m/>
    <m/>
    <m/>
    <m/>
    <m/>
    <m/>
    <m/>
    <m/>
    <m/>
    <m/>
    <m/>
    <m/>
    <m/>
    <m/>
    <n v="0"/>
    <n v="0"/>
    <n v="0"/>
    <n v="0"/>
    <n v="0"/>
    <x v="0"/>
  </r>
  <r>
    <x v="1"/>
    <x v="5"/>
    <s v="N/A"/>
    <s v="N/A"/>
    <s v="Sí"/>
    <s v="Sí"/>
    <n v="68"/>
    <s v="161-11"/>
    <s v="N.A"/>
    <s v="N.A"/>
    <s v="N.A"/>
    <n v="80111620"/>
    <s v="A-05-01-02-008-003"/>
    <s v="Prestación de servicios profesionales y/o de apoyo a la gestión"/>
    <s v="161-11 Prestar servicios profesionales en pedagogía, para apoyar en el diseño, planeación y ejecución de procesos de capacitación interna y externa, así como en la elaboración y actualización de materiales pedagógicos y recursos didácticos asociados al tr"/>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servicios profesionales en pedagogía, para apoyar en el diseño, planeación y ejecución de procesos de capacitación interna y externa, así como en la elaboración y actualización de materiales pedagógicos y recursos didácticos asociados al trámite d"/>
    <m/>
    <m/>
    <m/>
    <n v="657000"/>
    <m/>
    <n v="3285000"/>
    <m/>
    <n v="3285000"/>
    <m/>
    <n v="3285000"/>
    <m/>
    <n v="3285000"/>
    <m/>
    <n v="3285000"/>
    <m/>
    <n v="3285000"/>
    <m/>
    <n v="3285000"/>
    <m/>
    <n v="3285000"/>
    <m/>
    <n v="3285000"/>
    <m/>
    <n v="6570000"/>
    <m/>
    <m/>
    <n v="0"/>
    <n v="36792000"/>
    <n v="36792000"/>
    <n v="0"/>
    <n v="16626"/>
    <d v="2026-01-09T00:00:00"/>
    <n v="36792000"/>
    <n v="0"/>
    <n v="9026"/>
    <d v="2026-01-14T00:00:00"/>
    <n v="36792000"/>
    <n v="0"/>
    <n v="0"/>
    <s v="KARINE PUERTA"/>
    <m/>
    <n v="36792000"/>
    <m/>
    <m/>
    <m/>
    <m/>
    <m/>
    <m/>
    <m/>
    <m/>
    <m/>
    <m/>
    <m/>
    <m/>
    <m/>
    <m/>
    <m/>
    <m/>
    <m/>
    <m/>
    <m/>
    <m/>
    <m/>
    <m/>
    <m/>
    <m/>
    <m/>
    <m/>
    <m/>
    <m/>
    <m/>
    <m/>
    <m/>
    <m/>
    <m/>
    <m/>
    <m/>
    <n v="36792000"/>
    <n v="0"/>
    <n v="0"/>
    <n v="36792000"/>
    <n v="0"/>
    <x v="0"/>
  </r>
  <r>
    <x v="1"/>
    <x v="5"/>
    <s v="N/A"/>
    <s v="N/A"/>
    <s v="Sí"/>
    <s v="Sí"/>
    <n v="68"/>
    <s v="161-110"/>
    <s v="N.A"/>
    <s v="N.A"/>
    <s v="N.A"/>
    <n v="80111620"/>
    <s v="A-05-01-02-008-002"/>
    <s v="Prestación de servicios profesionales y/o de apoyo a la gestión"/>
    <s v="161-110 Prestar los servicios profesionales para el acompañamiento y seguimiento jurídico a las etapas pre contractual, contractual y pos contractual, así como, reporte de información"/>
    <s v="Julio"/>
    <s v="Julio"/>
    <s v="Julio"/>
    <n v="5"/>
    <s v="Meses"/>
    <s v="Contratación directa - Prestación de servicios profesionales "/>
    <s v="Propios - 20 - Ingresos corrientes"/>
    <n v="44431815"/>
    <n v="44431815"/>
    <s v="No"/>
    <s v="N/A"/>
    <s v="Edith Chávez"/>
    <s v="Coordinador GIT Contractual"/>
    <n v="6012220601"/>
    <s v="edith.chavez@upme.gov.co"/>
    <m/>
    <m/>
    <m/>
    <m/>
    <m/>
    <m/>
    <m/>
    <m/>
    <m/>
    <m/>
    <m/>
    <m/>
    <m/>
    <m/>
    <m/>
    <m/>
    <m/>
    <m/>
    <m/>
    <m/>
    <m/>
    <m/>
    <m/>
    <m/>
    <m/>
    <m/>
    <m/>
    <m/>
    <s v="Prestar los servicios profesionales para el acompañamiento y seguimiento jurídico a las etapas pre contractual, contractual y pos contractual, así como, reporte de información"/>
    <m/>
    <m/>
    <m/>
    <m/>
    <m/>
    <m/>
    <m/>
    <m/>
    <m/>
    <m/>
    <m/>
    <m/>
    <n v="44431815"/>
    <m/>
    <m/>
    <m/>
    <m/>
    <n v="8886363"/>
    <m/>
    <n v="8886363"/>
    <m/>
    <n v="8886363"/>
    <m/>
    <n v="17772726"/>
    <m/>
    <m/>
    <n v="44431815"/>
    <n v="44431815"/>
    <n v="0"/>
    <n v="0"/>
    <m/>
    <m/>
    <m/>
    <n v="44431815"/>
    <m/>
    <m/>
    <n v="0"/>
    <n v="44431815"/>
    <n v="0"/>
    <m/>
    <m/>
    <m/>
    <m/>
    <m/>
    <m/>
    <m/>
    <m/>
    <m/>
    <m/>
    <m/>
    <m/>
    <m/>
    <m/>
    <m/>
    <m/>
    <m/>
    <m/>
    <m/>
    <m/>
    <m/>
    <m/>
    <m/>
    <m/>
    <m/>
    <m/>
    <m/>
    <m/>
    <m/>
    <m/>
    <m/>
    <m/>
    <m/>
    <m/>
    <m/>
    <m/>
    <m/>
    <m/>
    <n v="0"/>
    <n v="0"/>
    <n v="0"/>
    <n v="0"/>
    <n v="0"/>
    <x v="0"/>
  </r>
  <r>
    <x v="1"/>
    <x v="5"/>
    <s v="N/A"/>
    <s v="N/A"/>
    <s v="Sí"/>
    <s v="Sí"/>
    <n v="9"/>
    <s v="161-111"/>
    <s v="N.A"/>
    <s v="N.A"/>
    <s v="N.A"/>
    <n v="80111620"/>
    <s v="A-05-01-02-008-002"/>
    <s v="Prestación de servicios profesionales y/o de apoyo a la gestión"/>
    <s v="161-111 Prestar servicios profesionales para la gestión de las fases contractuales de la entidad, con especial énfasis en los asuntos relativos a la Subdirección de Demanda, en asocio con el GIT de Gestión Contractual."/>
    <s v="Enero "/>
    <s v="Enero "/>
    <s v="Enero "/>
    <n v="11.5"/>
    <s v="Meses"/>
    <s v="Contratación directa - Prestación de servicios profesionales "/>
    <s v="Propios - 20 - Ingresos corrientes"/>
    <n v="36000000"/>
    <n v="36000000"/>
    <s v="No"/>
    <s v="N/A"/>
    <s v="Edith Chávez"/>
    <s v="Coordinador GIT Contractual"/>
    <n v="6012220601"/>
    <s v="edith.chavez@upme.gov.co"/>
    <m/>
    <m/>
    <m/>
    <m/>
    <m/>
    <m/>
    <m/>
    <m/>
    <m/>
    <m/>
    <m/>
    <m/>
    <m/>
    <m/>
    <m/>
    <m/>
    <m/>
    <m/>
    <m/>
    <m/>
    <m/>
    <m/>
    <m/>
    <m/>
    <m/>
    <m/>
    <m/>
    <m/>
    <s v="Prestar servicios profesionales para la gestión de las fases contractuales de la entidad, con especial énfasis en los asuntos relativos a la Subdirección de Demanda, en asocio con el GIT de Gestión Contractual."/>
    <m/>
    <m/>
    <m/>
    <n v="3500000"/>
    <m/>
    <n v="7000000"/>
    <m/>
    <n v="7000000"/>
    <m/>
    <n v="7000000"/>
    <m/>
    <n v="7000000"/>
    <m/>
    <n v="7000000"/>
    <m/>
    <n v="7000000"/>
    <m/>
    <n v="7000000"/>
    <m/>
    <n v="7000000"/>
    <m/>
    <n v="7000000"/>
    <m/>
    <n v="14000000"/>
    <m/>
    <m/>
    <n v="0"/>
    <n v="80500000"/>
    <n v="36000000"/>
    <n v="-44500000"/>
    <n v="12626"/>
    <d v="2026-01-08T00:00:00"/>
    <n v="36000000"/>
    <n v="0"/>
    <m/>
    <m/>
    <n v="0"/>
    <n v="36000000"/>
    <n v="36000000"/>
    <m/>
    <m/>
    <m/>
    <m/>
    <m/>
    <m/>
    <m/>
    <m/>
    <m/>
    <m/>
    <m/>
    <m/>
    <m/>
    <m/>
    <m/>
    <m/>
    <m/>
    <m/>
    <m/>
    <m/>
    <m/>
    <m/>
    <m/>
    <m/>
    <m/>
    <m/>
    <m/>
    <m/>
    <m/>
    <m/>
    <m/>
    <m/>
    <m/>
    <m/>
    <m/>
    <m/>
    <m/>
    <m/>
    <n v="0"/>
    <n v="0"/>
    <n v="0"/>
    <n v="0"/>
    <n v="0"/>
    <x v="0"/>
  </r>
  <r>
    <x v="1"/>
    <x v="5"/>
    <s v="N/A"/>
    <s v="N/A"/>
    <s v="Sí"/>
    <s v="Sí"/>
    <n v="68"/>
    <s v="161-112"/>
    <s v="N.A"/>
    <s v="N.A"/>
    <s v="N.A"/>
    <n v="80111620"/>
    <s v="A-05-01-02-008-002"/>
    <s v="Prestación de servicios profesionales y/o de apoyo a la gestión"/>
    <s v="161-112 Prestar servicios profesionales para apoyar los procesos contractuales de la entidad en sus diferentes etapas, así como mantener actualizados los expedientes contractuales, bases de datos y sistemas de gestión documental del GIT de Gestión Contrac"/>
    <s v="Enero "/>
    <s v="Enero "/>
    <s v="Enero "/>
    <n v="11.5"/>
    <s v="Meses"/>
    <s v="Contratación directa - Prestación de servicios profesionales "/>
    <s v="Propios - 20 - Ingresos corrientes"/>
    <n v="66010000"/>
    <n v="66010000"/>
    <s v="No"/>
    <s v="N/A"/>
    <s v="Edith Chávez"/>
    <s v="Coordinador GIT Contractual"/>
    <n v="6012220601"/>
    <s v="edith.chavez@upme.gov.co"/>
    <m/>
    <m/>
    <m/>
    <m/>
    <m/>
    <m/>
    <m/>
    <m/>
    <m/>
    <m/>
    <m/>
    <m/>
    <m/>
    <m/>
    <m/>
    <m/>
    <m/>
    <m/>
    <m/>
    <m/>
    <m/>
    <m/>
    <m/>
    <m/>
    <m/>
    <m/>
    <m/>
    <m/>
    <s v="Prestar servicios profesionales para apoyar los procesos contractuales de la entidad en sus diferentes etapas, así como mantener actualizados los expedientes contractuales, bases de datos y sistemas de gestión documental del GIT de Gestión Contractual"/>
    <m/>
    <m/>
    <m/>
    <n v="2870000"/>
    <m/>
    <n v="5740000"/>
    <m/>
    <n v="5740000"/>
    <m/>
    <n v="5740000"/>
    <m/>
    <n v="5740000"/>
    <m/>
    <n v="5740000"/>
    <m/>
    <n v="5740000"/>
    <m/>
    <n v="5740000"/>
    <m/>
    <n v="5740000"/>
    <m/>
    <n v="5740000"/>
    <m/>
    <n v="11480000"/>
    <m/>
    <m/>
    <n v="0"/>
    <n v="66010000"/>
    <n v="66010000"/>
    <n v="0"/>
    <n v="8626"/>
    <d v="2026-01-06T00:00:00"/>
    <n v="66010000"/>
    <n v="0"/>
    <m/>
    <m/>
    <n v="0"/>
    <n v="66010000"/>
    <n v="66010000"/>
    <m/>
    <m/>
    <m/>
    <m/>
    <m/>
    <m/>
    <m/>
    <m/>
    <m/>
    <m/>
    <m/>
    <m/>
    <m/>
    <m/>
    <m/>
    <m/>
    <m/>
    <m/>
    <m/>
    <m/>
    <m/>
    <m/>
    <m/>
    <m/>
    <m/>
    <m/>
    <m/>
    <m/>
    <m/>
    <m/>
    <m/>
    <m/>
    <m/>
    <m/>
    <m/>
    <m/>
    <m/>
    <m/>
    <n v="0"/>
    <n v="0"/>
    <n v="0"/>
    <n v="0"/>
    <n v="0"/>
    <x v="0"/>
  </r>
  <r>
    <x v="1"/>
    <x v="5"/>
    <s v="N/A"/>
    <s v="N/A"/>
    <s v="Sí"/>
    <s v="Sí"/>
    <n v="68"/>
    <s v="161-113"/>
    <s v="N.A"/>
    <s v="N.A"/>
    <s v="N.A"/>
    <n v="80111620"/>
    <s v="A-05-01-02-008-003"/>
    <s v="Prestación de servicios profesionales y/o de apoyo a la gestión"/>
    <s v="161-113 Prestar el servicio de apoyo en todo lo relacionado con los asuntos de correspondencia de los trámites relacionados con los certificados de proyectos de Fuentes no Convencionales de Energía y Gestión Eficiente de la Energía y demás asuntos de la E"/>
    <s v="Enero "/>
    <s v="Enero "/>
    <s v="Enero "/>
    <n v="6"/>
    <s v="Meses"/>
    <s v="Contratación directa - Prestación de servicios profesionales "/>
    <s v="Propios - 20 - Ingresos corrientes"/>
    <n v="21689335"/>
    <n v="21689335"/>
    <s v="No"/>
    <s v="N/A"/>
    <s v="Jenny Peña"/>
    <s v="Coordinador GIT Administrativa"/>
    <n v="6012220601"/>
    <s v="jenny.pena@upme.gov.co"/>
    <m/>
    <m/>
    <m/>
    <m/>
    <m/>
    <m/>
    <m/>
    <m/>
    <m/>
    <m/>
    <m/>
    <m/>
    <m/>
    <m/>
    <m/>
    <m/>
    <m/>
    <m/>
    <m/>
    <m/>
    <m/>
    <m/>
    <m/>
    <m/>
    <m/>
    <m/>
    <m/>
    <m/>
    <s v="Prestar el servicio de apoyo en todo lo relacionado con los asuntos de correspondencia de los trámites relacionados con los certificados de proyectos de Fuentes no Convencionales de Energía y Gestión Eficiente de la Energía y demás asuntos de la Entidad"/>
    <m/>
    <m/>
    <m/>
    <n v="1807445"/>
    <m/>
    <n v="3614889"/>
    <m/>
    <n v="3614889"/>
    <m/>
    <n v="3614889"/>
    <m/>
    <n v="3614889"/>
    <m/>
    <n v="3614889"/>
    <m/>
    <n v="1807445"/>
    <m/>
    <m/>
    <m/>
    <m/>
    <m/>
    <m/>
    <m/>
    <m/>
    <m/>
    <m/>
    <n v="0"/>
    <n v="21689335"/>
    <n v="21689335"/>
    <n v="0"/>
    <n v="37126"/>
    <d v="2026-01-15T00:00:00"/>
    <n v="21689335"/>
    <n v="0"/>
    <m/>
    <m/>
    <n v="0"/>
    <n v="21689335"/>
    <n v="21689335"/>
    <m/>
    <m/>
    <m/>
    <m/>
    <m/>
    <m/>
    <m/>
    <m/>
    <m/>
    <m/>
    <m/>
    <m/>
    <m/>
    <m/>
    <m/>
    <m/>
    <m/>
    <m/>
    <m/>
    <m/>
    <m/>
    <m/>
    <m/>
    <m/>
    <m/>
    <m/>
    <m/>
    <m/>
    <m/>
    <m/>
    <m/>
    <m/>
    <m/>
    <m/>
    <m/>
    <m/>
    <m/>
    <m/>
    <n v="0"/>
    <n v="0"/>
    <n v="0"/>
    <n v="0"/>
    <n v="0"/>
    <x v="0"/>
  </r>
  <r>
    <x v="1"/>
    <x v="5"/>
    <s v="N/A"/>
    <s v="N/A"/>
    <s v="Sí"/>
    <s v="Sí"/>
    <n v="68"/>
    <s v="161-114"/>
    <s v="N.A"/>
    <s v="N.A"/>
    <s v="N.A"/>
    <n v="80111620"/>
    <s v="A-05-01-02-008-003"/>
    <s v="Prestación de servicios profesionales y/o de apoyo a la gestión"/>
    <s v="161-114 Prestar los servicios profesionales para apoyar y tramitar las actividades asociadas con el proceso de atención al ciudadano y la política de participación ciudadana y los planes institucionales de la UPME.s de Energía y Gestión Eficiente de la En"/>
    <s v="Enero "/>
    <s v="Enero "/>
    <s v="Enero "/>
    <n v="11.5"/>
    <s v="Meses"/>
    <s v="Contratación directa - Prestación de servicios profesionales "/>
    <s v="Propios - 20 - Ingresos corrientes"/>
    <n v="47428088"/>
    <n v="47428088"/>
    <s v="No"/>
    <s v="N/A"/>
    <s v="Jenny Peña"/>
    <s v="Coordinador GIT Administrativa"/>
    <n v="6012220601"/>
    <s v="jenny.pena@upme.gov.co"/>
    <m/>
    <m/>
    <m/>
    <m/>
    <m/>
    <m/>
    <m/>
    <m/>
    <m/>
    <m/>
    <m/>
    <m/>
    <m/>
    <m/>
    <m/>
    <m/>
    <m/>
    <m/>
    <m/>
    <m/>
    <m/>
    <m/>
    <m/>
    <m/>
    <m/>
    <m/>
    <m/>
    <m/>
    <s v="Prestar los servicios profesionales para apoyar y tramitar las actividades asociadas con el proceso de atención al ciudadano y la política de participación ciudadana y los planes institucionales de la UPME.s de Energía y Gestión Eficiente de la Energía y "/>
    <m/>
    <m/>
    <m/>
    <n v="2062091"/>
    <m/>
    <n v="4124181"/>
    <m/>
    <n v="4124181"/>
    <m/>
    <n v="4124181"/>
    <m/>
    <n v="4124181"/>
    <m/>
    <n v="4124181"/>
    <m/>
    <n v="4124181"/>
    <m/>
    <n v="4124181"/>
    <m/>
    <n v="4124181"/>
    <m/>
    <n v="4124181"/>
    <m/>
    <n v="8248368"/>
    <m/>
    <m/>
    <n v="0"/>
    <n v="47428088"/>
    <n v="47428088"/>
    <n v="0"/>
    <n v="47726"/>
    <d v="2026-01-19T00:00:00"/>
    <n v="47428088"/>
    <n v="0"/>
    <m/>
    <m/>
    <n v="0"/>
    <n v="47428088"/>
    <n v="47428088"/>
    <m/>
    <m/>
    <m/>
    <m/>
    <m/>
    <m/>
    <m/>
    <m/>
    <m/>
    <m/>
    <m/>
    <m/>
    <m/>
    <m/>
    <m/>
    <m/>
    <m/>
    <m/>
    <m/>
    <m/>
    <m/>
    <m/>
    <m/>
    <m/>
    <m/>
    <m/>
    <m/>
    <m/>
    <m/>
    <m/>
    <m/>
    <m/>
    <m/>
    <m/>
    <m/>
    <m/>
    <m/>
    <m/>
    <n v="0"/>
    <n v="0"/>
    <n v="0"/>
    <n v="0"/>
    <n v="0"/>
    <x v="0"/>
  </r>
  <r>
    <x v="1"/>
    <x v="5"/>
    <s v="N/A"/>
    <s v="N/A"/>
    <s v="Sí"/>
    <s v="Sí"/>
    <n v="5"/>
    <s v="161-115"/>
    <s v="N.A"/>
    <s v="N.A"/>
    <s v="N.A"/>
    <n v="80111620"/>
    <s v="A-05-01-02-008-003"/>
    <s v="Prestación de servicios profesionales y/o de apoyo a la gestión"/>
    <s v="161-115 Prestar los servicios profesionales Para el desarrollo de actividades relacionadas con el seguimiento  analisis y control a la ejecucion presupuestal, Plan anualizado de caja y a los procesos tesorales de la entidad"/>
    <s v="Enero "/>
    <s v="Enero "/>
    <s v="Enero "/>
    <n v="11.5"/>
    <s v="Meses"/>
    <s v="Contratación directa - Prestación de servicios profesionales "/>
    <s v="Propios - 20 - Ingresos corrientes"/>
    <n v="31304750"/>
    <n v="31304750"/>
    <s v="No"/>
    <s v="N/A"/>
    <s v="Hollman Corredor"/>
    <s v="Coordinador GIT Financiero"/>
    <n v="6012220601"/>
    <s v="hollman.corredor@upme.gov.co"/>
    <m/>
    <m/>
    <m/>
    <m/>
    <m/>
    <m/>
    <m/>
    <m/>
    <m/>
    <m/>
    <m/>
    <m/>
    <m/>
    <m/>
    <m/>
    <m/>
    <m/>
    <m/>
    <m/>
    <m/>
    <m/>
    <m/>
    <m/>
    <m/>
    <m/>
    <m/>
    <m/>
    <m/>
    <s v="Prestar los servicios profesionales Para el desarrollo de actividades relacionadas con el seguimiento  analisis y control a la ejecucion presupuestal, Plan anualizado de caja y a los procesos tesorales de la entidad"/>
    <m/>
    <m/>
    <n v="0"/>
    <n v="1361078"/>
    <n v="0"/>
    <n v="2722152"/>
    <n v="0"/>
    <n v="2722152"/>
    <n v="0"/>
    <n v="2722152"/>
    <n v="0"/>
    <n v="2722152"/>
    <n v="0"/>
    <n v="2722152"/>
    <n v="0"/>
    <n v="2722152"/>
    <n v="0"/>
    <n v="2722152"/>
    <n v="0"/>
    <n v="2722152"/>
    <n v="0"/>
    <n v="2722152"/>
    <n v="0"/>
    <n v="5444304"/>
    <m/>
    <m/>
    <n v="0"/>
    <n v="31304750"/>
    <n v="31304750"/>
    <n v="0"/>
    <n v="49226"/>
    <d v="2026-01-19T00:00:00"/>
    <n v="31304750"/>
    <n v="0"/>
    <m/>
    <m/>
    <n v="0"/>
    <n v="31304750"/>
    <n v="31304750"/>
    <m/>
    <m/>
    <m/>
    <m/>
    <m/>
    <m/>
    <m/>
    <m/>
    <m/>
    <m/>
    <m/>
    <m/>
    <m/>
    <m/>
    <m/>
    <m/>
    <m/>
    <m/>
    <m/>
    <m/>
    <m/>
    <m/>
    <m/>
    <m/>
    <m/>
    <m/>
    <m/>
    <m/>
    <m/>
    <m/>
    <m/>
    <m/>
    <m/>
    <m/>
    <m/>
    <m/>
    <m/>
    <m/>
    <n v="0"/>
    <n v="0"/>
    <n v="0"/>
    <n v="0"/>
    <n v="0"/>
    <x v="0"/>
  </r>
  <r>
    <x v="1"/>
    <x v="5"/>
    <s v="N/A"/>
    <s v="N/A"/>
    <s v="Sí"/>
    <s v="Sí"/>
    <n v="68"/>
    <s v="161-116"/>
    <s v="N.A"/>
    <s v="N.A"/>
    <s v="N.A"/>
    <n v="80111620"/>
    <s v="A-05-01-02-008-003"/>
    <s v="Prestación de servicios profesionales y/o de apoyo a la gestión"/>
    <s v="161-116 Prestar los servicios profesionales para el desarrollo de actividades relacionadas con la gestión y el seguimiento presupuestal en el marco del direccionamiento estratégico de la Entidad."/>
    <s v="Enero "/>
    <s v="Enero "/>
    <s v="Enero "/>
    <n v="11.5"/>
    <s v="Meses"/>
    <s v="Contratación directa - Prestación de servicios profesionales "/>
    <s v="Propios - 20 - Ingresos corrientes"/>
    <n v="83911360"/>
    <n v="83911360"/>
    <s v="No"/>
    <s v="N/A"/>
    <s v="Hollman Corredor"/>
    <s v="Coordinador GIT Financiero"/>
    <n v="6012220601"/>
    <s v="hollman.corredor@upme.gov.co"/>
    <m/>
    <m/>
    <m/>
    <m/>
    <m/>
    <m/>
    <m/>
    <m/>
    <m/>
    <m/>
    <m/>
    <m/>
    <m/>
    <m/>
    <m/>
    <m/>
    <m/>
    <m/>
    <m/>
    <m/>
    <m/>
    <m/>
    <m/>
    <m/>
    <m/>
    <m/>
    <m/>
    <m/>
    <s v="Prestar los servicios profesionales para el desarrollo de actividades relacionadas con la gestión y el seguimiento presupuestal en el marco del direccionamiento estratégico de la Entidad."/>
    <m/>
    <m/>
    <m/>
    <n v="3648320"/>
    <m/>
    <n v="7296640"/>
    <m/>
    <n v="7296640"/>
    <m/>
    <n v="7296640"/>
    <m/>
    <n v="7296640"/>
    <m/>
    <n v="7296640"/>
    <m/>
    <n v="7296640"/>
    <m/>
    <n v="7296640"/>
    <m/>
    <n v="7296640"/>
    <m/>
    <n v="7296640"/>
    <m/>
    <n v="14593280"/>
    <m/>
    <m/>
    <n v="0"/>
    <n v="83911360"/>
    <n v="83911360"/>
    <n v="0"/>
    <n v="3026"/>
    <d v="2026-01-05T00:00:00"/>
    <n v="83911360"/>
    <n v="0"/>
    <m/>
    <m/>
    <n v="0"/>
    <n v="83911360"/>
    <n v="83911360"/>
    <m/>
    <m/>
    <m/>
    <m/>
    <m/>
    <m/>
    <m/>
    <m/>
    <m/>
    <m/>
    <m/>
    <m/>
    <m/>
    <m/>
    <m/>
    <m/>
    <m/>
    <m/>
    <m/>
    <m/>
    <m/>
    <m/>
    <m/>
    <m/>
    <m/>
    <m/>
    <m/>
    <m/>
    <m/>
    <m/>
    <m/>
    <m/>
    <m/>
    <m/>
    <m/>
    <m/>
    <m/>
    <m/>
    <n v="0"/>
    <n v="0"/>
    <n v="0"/>
    <n v="0"/>
    <n v="0"/>
    <x v="0"/>
  </r>
  <r>
    <x v="1"/>
    <x v="5"/>
    <s v="N/A"/>
    <s v="N/A"/>
    <s v="Sí"/>
    <s v="Sí"/>
    <n v="68"/>
    <s v="161-117"/>
    <s v="N.A"/>
    <s v="N.A"/>
    <s v="N.A"/>
    <n v="80111620"/>
    <s v="A-05-01-02-008-003"/>
    <s v="Prestación de servicios profesionales y/o de apoyo a la gestión"/>
    <s v="161-117 Prestar los servicios profesionales para el apoyo administrativo relacionados con el contrato de la fiducia mercantil, gestión de tesorería y contable a cargo de GIT de gestión financiera."/>
    <s v="Enero "/>
    <s v="Enero "/>
    <s v="Enero "/>
    <n v="6"/>
    <s v="Meses"/>
    <s v="Contratación directa - Prestación de servicios profesionales "/>
    <s v="Propios - 20 - Ingresos corrientes"/>
    <n v="19524960"/>
    <n v="19524960"/>
    <s v="No"/>
    <s v="N/A"/>
    <s v="Hollman Corredor"/>
    <s v="Coordinador GIT Financiero"/>
    <n v="6012220601"/>
    <s v="hollman.corredor@upme.gov.co"/>
    <m/>
    <m/>
    <m/>
    <m/>
    <m/>
    <m/>
    <m/>
    <m/>
    <m/>
    <m/>
    <m/>
    <m/>
    <m/>
    <m/>
    <m/>
    <m/>
    <m/>
    <m/>
    <m/>
    <m/>
    <m/>
    <m/>
    <m/>
    <m/>
    <m/>
    <m/>
    <m/>
    <m/>
    <s v="Prestar los servicios profesionales para el apoyo administrativo relacionados con el contrato de la fiducia mercantil, gestión de tesorería y contable a cargo de GIT de gestión financiera."/>
    <m/>
    <m/>
    <m/>
    <n v="1627080"/>
    <m/>
    <n v="3254160"/>
    <m/>
    <n v="3254160"/>
    <m/>
    <n v="3254160"/>
    <m/>
    <n v="3254160"/>
    <m/>
    <n v="3254160"/>
    <m/>
    <n v="1627080"/>
    <m/>
    <m/>
    <m/>
    <m/>
    <m/>
    <m/>
    <m/>
    <m/>
    <m/>
    <m/>
    <n v="0"/>
    <n v="19524960"/>
    <n v="19524960"/>
    <n v="0"/>
    <n v="30026"/>
    <d v="2026-01-14T00:00:00"/>
    <n v="19524960"/>
    <n v="0"/>
    <m/>
    <m/>
    <n v="0"/>
    <n v="19524960"/>
    <n v="19524960"/>
    <m/>
    <m/>
    <m/>
    <m/>
    <m/>
    <m/>
    <m/>
    <m/>
    <m/>
    <m/>
    <m/>
    <m/>
    <m/>
    <m/>
    <m/>
    <m/>
    <m/>
    <m/>
    <m/>
    <m/>
    <m/>
    <m/>
    <m/>
    <m/>
    <m/>
    <m/>
    <m/>
    <m/>
    <m/>
    <m/>
    <m/>
    <m/>
    <m/>
    <m/>
    <m/>
    <m/>
    <m/>
    <m/>
    <n v="0"/>
    <n v="0"/>
    <n v="0"/>
    <n v="0"/>
    <n v="0"/>
    <x v="0"/>
  </r>
  <r>
    <x v="1"/>
    <x v="5"/>
    <s v="N/A"/>
    <s v="N/A"/>
    <s v="Sí"/>
    <s v="Sí"/>
    <n v="68"/>
    <s v="161-118"/>
    <s v="N.A"/>
    <s v="N.A"/>
    <s v="N.A"/>
    <n v="80111620"/>
    <s v="A-05-01-02-008-002"/>
    <s v="Prestación de servicios profesionales y/o de apoyo a la gestión"/>
    <s v="161-118 Prestar los servicios profesionales para el desarrollo de actividades relacionadas con la gestión tributaria de la entidad a cargo del Grupo Interno de Trabajo de Gestión Financiera de la Secretaría General, todo de conformidad con lo señalado en "/>
    <s v="Enero "/>
    <s v="Enero "/>
    <s v="Enero "/>
    <n v="11.5"/>
    <s v="Meses"/>
    <s v="Contratación directa - Prestación de servicios profesionales "/>
    <s v="Propios - 20 - Ingresos corrientes"/>
    <n v="84718200"/>
    <n v="84718200"/>
    <s v="No"/>
    <s v="N/A"/>
    <s v="Hollman Corredor"/>
    <s v="Coordinador GIT Financiero"/>
    <n v="6012220601"/>
    <s v="hollman.corredor@upme.gov.co"/>
    <m/>
    <m/>
    <m/>
    <m/>
    <m/>
    <m/>
    <m/>
    <m/>
    <m/>
    <m/>
    <m/>
    <m/>
    <m/>
    <m/>
    <m/>
    <m/>
    <m/>
    <m/>
    <m/>
    <m/>
    <m/>
    <m/>
    <m/>
    <m/>
    <m/>
    <m/>
    <m/>
    <m/>
    <s v="Prestar los servicios profesionales para el desarrollo de actividades relacionadas con la gestión tributaria de la entidad a cargo del Grupo Interno de Trabajo de Gestión Financiera de la Secretaría General, todo de conformidad con lo señalado en los estu"/>
    <m/>
    <m/>
    <m/>
    <n v="3683400"/>
    <m/>
    <n v="7366800"/>
    <m/>
    <n v="7366800"/>
    <m/>
    <n v="7366800"/>
    <m/>
    <n v="7366800"/>
    <m/>
    <n v="7366800"/>
    <m/>
    <n v="7366800"/>
    <m/>
    <n v="7366800"/>
    <m/>
    <n v="7366800"/>
    <m/>
    <n v="7366800"/>
    <m/>
    <n v="14733600"/>
    <m/>
    <m/>
    <n v="0"/>
    <n v="84718200"/>
    <n v="84718200"/>
    <n v="0"/>
    <n v="30226"/>
    <d v="2026-01-14T00:00:00"/>
    <n v="84718200"/>
    <n v="0"/>
    <m/>
    <m/>
    <n v="0"/>
    <n v="84718200"/>
    <n v="84718200"/>
    <m/>
    <m/>
    <m/>
    <m/>
    <m/>
    <m/>
    <m/>
    <m/>
    <m/>
    <m/>
    <m/>
    <m/>
    <m/>
    <m/>
    <m/>
    <m/>
    <m/>
    <m/>
    <m/>
    <m/>
    <m/>
    <m/>
    <m/>
    <m/>
    <m/>
    <m/>
    <m/>
    <m/>
    <m/>
    <m/>
    <m/>
    <m/>
    <m/>
    <m/>
    <m/>
    <m/>
    <m/>
    <m/>
    <n v="0"/>
    <n v="0"/>
    <n v="0"/>
    <n v="0"/>
    <n v="0"/>
    <x v="0"/>
  </r>
  <r>
    <x v="1"/>
    <x v="5"/>
    <s v="N/A"/>
    <s v="N/A"/>
    <s v="Sí"/>
    <s v="Sí"/>
    <n v="10"/>
    <s v="161-119"/>
    <s v="N.A"/>
    <s v="N.A"/>
    <s v="N.A"/>
    <n v="80111620"/>
    <s v="A-05-01-02-008-003"/>
    <s v="Prestación de servicios profesionales y/o de apoyo a la gestión"/>
    <s v="161-119 Prestación de servicios profesionales para la creación desde la experiencia académica, de estrategias de información que trasciendan a la ciudadanía en el conocimiento de la misionalidad de la UPME"/>
    <s v="Enero "/>
    <s v="Enero "/>
    <s v="Enero "/>
    <n v="10"/>
    <s v="Meses"/>
    <s v="Contratación directa - Prestación de servicios profesionales "/>
    <s v="Propios - 20 - Ingresos corrientes"/>
    <n v="33000000"/>
    <n v="33000000"/>
    <s v="No"/>
    <s v="N/A"/>
    <s v="Hollman Corredor"/>
    <s v="Coordinador GIT Financiero"/>
    <n v="6012220601"/>
    <s v="hollman.corredor@upme.gov.co"/>
    <m/>
    <m/>
    <m/>
    <m/>
    <m/>
    <m/>
    <m/>
    <m/>
    <m/>
    <m/>
    <m/>
    <m/>
    <m/>
    <m/>
    <m/>
    <m/>
    <m/>
    <m/>
    <m/>
    <m/>
    <m/>
    <m/>
    <m/>
    <m/>
    <m/>
    <m/>
    <m/>
    <m/>
    <s v="Prestación de servicios profesionales para la creación desde la experiencia académica, de estrategias de información que trasciendan a la ciudadanía en el conocimiento de la misionalidad de la UPME"/>
    <m/>
    <m/>
    <n v="0"/>
    <n v="0"/>
    <n v="0"/>
    <n v="3300000"/>
    <n v="0"/>
    <n v="3300000"/>
    <n v="0"/>
    <n v="3300000"/>
    <n v="0"/>
    <n v="3300000"/>
    <n v="0"/>
    <n v="3300000"/>
    <n v="0"/>
    <n v="3300000"/>
    <n v="0"/>
    <n v="3300000"/>
    <n v="0"/>
    <n v="3300000"/>
    <n v="0"/>
    <n v="3300000"/>
    <n v="0"/>
    <n v="3300000"/>
    <m/>
    <m/>
    <n v="0"/>
    <n v="33000000"/>
    <n v="33000000"/>
    <n v="0"/>
    <n v="68026"/>
    <d v="2026-01-30T00:00:00"/>
    <n v="33000000"/>
    <n v="0"/>
    <m/>
    <m/>
    <n v="0"/>
    <n v="33000000"/>
    <n v="33000000"/>
    <m/>
    <m/>
    <m/>
    <m/>
    <m/>
    <m/>
    <m/>
    <m/>
    <m/>
    <m/>
    <m/>
    <m/>
    <m/>
    <m/>
    <m/>
    <m/>
    <m/>
    <m/>
    <m/>
    <m/>
    <m/>
    <m/>
    <m/>
    <m/>
    <m/>
    <m/>
    <m/>
    <m/>
    <m/>
    <m/>
    <m/>
    <m/>
    <m/>
    <m/>
    <m/>
    <m/>
    <m/>
    <m/>
    <n v="0"/>
    <n v="0"/>
    <n v="0"/>
    <n v="0"/>
    <n v="0"/>
    <x v="0"/>
  </r>
  <r>
    <x v="1"/>
    <x v="5"/>
    <s v="N/A"/>
    <s v="N/A"/>
    <s v="Sí"/>
    <s v="Sí"/>
    <n v="6"/>
    <s v="161-12"/>
    <s v="N.A"/>
    <s v="N.A"/>
    <s v="N.A"/>
    <n v="80111620"/>
    <s v="A-05-01-02-008-003"/>
    <s v="Prestación de servicios profesionales y/o de apoyo a la gestión"/>
    <s v="161-12 Prestar los servicios profesionales para la asistencia técnica y atención al ciudadano, así como la evaluación de los requerimientos asociados al trámite de Incentivos Tributarios."/>
    <s v="Enero "/>
    <s v="Enero "/>
    <s v="Enero "/>
    <n v="3.4"/>
    <s v="Meses"/>
    <s v="Contratación directa - Prestación de servicios profesionales "/>
    <s v="Propios - 20 - Ingresos corrientes"/>
    <n v="11425000"/>
    <n v="11425000"/>
    <s v="No"/>
    <s v="N/A"/>
    <s v="Johanna Castellanos"/>
    <s v="Subdirectora de Demanda"/>
    <n v="6012220601"/>
    <s v="johanna.castellanos@upme.gov.co"/>
    <m/>
    <m/>
    <m/>
    <m/>
    <m/>
    <m/>
    <m/>
    <m/>
    <m/>
    <m/>
    <m/>
    <m/>
    <m/>
    <m/>
    <m/>
    <m/>
    <m/>
    <m/>
    <m/>
    <m/>
    <m/>
    <m/>
    <m/>
    <m/>
    <m/>
    <m/>
    <m/>
    <m/>
    <s v="Prestar los servicios profesionales para la asistencia técnica y atención al ciudadano, así como la evaluación de los requerimientos asociados al trámite de Incentivos Tributarios."/>
    <m/>
    <m/>
    <n v="0"/>
    <n v="-24710000"/>
    <n v="0"/>
    <n v="3285000"/>
    <n v="0"/>
    <n v="3285000"/>
    <n v="0"/>
    <n v="3285000"/>
    <n v="0"/>
    <n v="3285000"/>
    <n v="0"/>
    <n v="3285000"/>
    <n v="0"/>
    <n v="3285000"/>
    <n v="0"/>
    <n v="3285000"/>
    <n v="0"/>
    <n v="3285000"/>
    <n v="0"/>
    <n v="3285000"/>
    <n v="0"/>
    <n v="6570000"/>
    <m/>
    <m/>
    <n v="0"/>
    <n v="11425000"/>
    <n v="11425000"/>
    <n v="0"/>
    <m/>
    <m/>
    <m/>
    <n v="11425000"/>
    <n v="3726"/>
    <d v="2026-01-09T00:00:00"/>
    <n v="0"/>
    <n v="11425000"/>
    <n v="0"/>
    <s v="MARIN PINZON NICOLAS AUGUSTO"/>
    <s v="CO1.PCCNTR. 7366311"/>
    <m/>
    <m/>
    <m/>
    <m/>
    <m/>
    <m/>
    <m/>
    <m/>
    <m/>
    <m/>
    <m/>
    <m/>
    <m/>
    <m/>
    <m/>
    <m/>
    <m/>
    <m/>
    <m/>
    <m/>
    <m/>
    <m/>
    <m/>
    <m/>
    <m/>
    <m/>
    <m/>
    <m/>
    <m/>
    <m/>
    <m/>
    <m/>
    <m/>
    <m/>
    <m/>
    <m/>
    <n v="0"/>
    <n v="0"/>
    <n v="0"/>
    <n v="0"/>
    <n v="0"/>
    <x v="0"/>
  </r>
  <r>
    <x v="1"/>
    <x v="5"/>
    <s v="N/A"/>
    <s v="N/A"/>
    <s v="Sí"/>
    <s v="Sí"/>
    <n v="68"/>
    <s v="161-120"/>
    <s v="N.A"/>
    <s v="N.A"/>
    <s v="N.A"/>
    <n v="80111620"/>
    <s v="A-05-01-02-008-003"/>
    <s v="Prestación de servicios profesionales y/o de apoyo a la gestión"/>
    <s v="161-120 Prestar los servicios profesionales para la gestión en la ejecución de los ingresos y gastos de comercialización y producción, apoyo en el seguimiento técnico, administrativo y financiero al cumplimiento del objeto del contrato de la fiducia merca"/>
    <s v="Enero "/>
    <s v="Enero "/>
    <s v="Enero "/>
    <n v="6.5"/>
    <s v="Meses"/>
    <s v="Contratación directa - Prestación de servicios profesionales "/>
    <s v="Propios - 20 - Ingresos corrientes"/>
    <n v="40472250"/>
    <n v="40472250"/>
    <s v="No"/>
    <s v="N/A"/>
    <s v="Hollman Corredor"/>
    <s v="Coordinador GIT Financiero"/>
    <n v="6012220601"/>
    <s v="hollman.corredor@upme.gov.co"/>
    <m/>
    <m/>
    <m/>
    <m/>
    <m/>
    <m/>
    <m/>
    <m/>
    <m/>
    <m/>
    <m/>
    <m/>
    <m/>
    <m/>
    <m/>
    <m/>
    <m/>
    <m/>
    <m/>
    <m/>
    <m/>
    <m/>
    <m/>
    <m/>
    <m/>
    <m/>
    <m/>
    <m/>
    <s v="Prestar los servicios profesionales para la gestión en la ejecución de los ingresos y gastos de comercialización y producción, apoyo en el seguimiento técnico, administrativo y financiero al cumplimiento del objeto del contrato de la fiducia mercantil y a"/>
    <m/>
    <m/>
    <m/>
    <n v="3113250"/>
    <m/>
    <n v="6226500"/>
    <m/>
    <n v="6226500"/>
    <m/>
    <n v="6226500"/>
    <m/>
    <n v="6226500"/>
    <m/>
    <n v="6226500"/>
    <m/>
    <n v="6226500"/>
    <m/>
    <m/>
    <m/>
    <m/>
    <m/>
    <m/>
    <m/>
    <m/>
    <m/>
    <m/>
    <n v="0"/>
    <n v="40472250"/>
    <n v="40472250"/>
    <n v="0"/>
    <n v="20026"/>
    <d v="2026-01-11T00:00:00"/>
    <n v="40472250"/>
    <n v="0"/>
    <m/>
    <m/>
    <n v="0"/>
    <n v="40472250"/>
    <n v="40472250"/>
    <m/>
    <m/>
    <m/>
    <m/>
    <m/>
    <m/>
    <m/>
    <m/>
    <m/>
    <m/>
    <m/>
    <m/>
    <m/>
    <m/>
    <m/>
    <m/>
    <m/>
    <m/>
    <m/>
    <m/>
    <m/>
    <m/>
    <m/>
    <m/>
    <m/>
    <m/>
    <m/>
    <m/>
    <m/>
    <m/>
    <m/>
    <m/>
    <m/>
    <m/>
    <m/>
    <m/>
    <m/>
    <m/>
    <n v="0"/>
    <n v="0"/>
    <n v="0"/>
    <n v="0"/>
    <n v="0"/>
    <x v="0"/>
  </r>
  <r>
    <x v="1"/>
    <x v="5"/>
    <s v="N/A"/>
    <s v="N/A"/>
    <s v="Sí"/>
    <s v="Sí"/>
    <n v="68"/>
    <s v="161-121"/>
    <s v="N.A"/>
    <s v="N.A"/>
    <s v="N.A"/>
    <s v="84111701;84101501"/>
    <s v="A-05-01-02-007-001"/>
    <s v="Prestación de servicios profesionales y/o de apoyo a la gestión"/>
    <s v="161-121 Constituir una Fiducia Mercantil, a través del cual se recibirán y administrarán los recursos provenientes de los terceros que utilicen o soliciten servicios técnicos o de planeación y asesoría a la Unidad de Planeación Minero Energética - UPME."/>
    <s v="Enero "/>
    <s v="Enero "/>
    <s v="Enero "/>
    <n v="12"/>
    <s v="Meses"/>
    <s v="Contratación directa - Prestación de servicios profesionales "/>
    <s v="Propios - 20 - Ingresos corrientes"/>
    <n v="67081020"/>
    <n v="67081020"/>
    <s v="No"/>
    <s v="N/A"/>
    <s v="Hollman Corredor"/>
    <s v="Coordinador GIT Financiero"/>
    <n v="6012220601"/>
    <s v="hollman.corredor@upme.gov.co"/>
    <m/>
    <m/>
    <m/>
    <m/>
    <m/>
    <m/>
    <m/>
    <m/>
    <m/>
    <m/>
    <m/>
    <m/>
    <m/>
    <m/>
    <m/>
    <m/>
    <m/>
    <m/>
    <m/>
    <m/>
    <m/>
    <m/>
    <m/>
    <m/>
    <m/>
    <m/>
    <m/>
    <m/>
    <s v="Constituir una Fiducia Mercantil, a través del cual se recibirán y administrarán los recursos provenientes de los terceros que utilicen o soliciten servicios técnicos o de planeación y asesoría a la Unidad de Planeación Minero Energética - UPME."/>
    <m/>
    <m/>
    <m/>
    <n v="5590085"/>
    <m/>
    <n v="5590085"/>
    <m/>
    <n v="5590085"/>
    <m/>
    <n v="5590085"/>
    <m/>
    <n v="5590085"/>
    <m/>
    <n v="5590085"/>
    <m/>
    <n v="5590085"/>
    <m/>
    <n v="5590085"/>
    <m/>
    <n v="5590085"/>
    <m/>
    <n v="5590085"/>
    <m/>
    <n v="5590085"/>
    <m/>
    <m/>
    <n v="0"/>
    <n v="61490935"/>
    <n v="67081020"/>
    <n v="5590085"/>
    <n v="326"/>
    <d v="2026-01-04T00:00:00"/>
    <n v="31423049"/>
    <n v="35657971"/>
    <m/>
    <m/>
    <n v="0"/>
    <n v="67081020"/>
    <n v="31423049"/>
    <m/>
    <m/>
    <m/>
    <m/>
    <m/>
    <m/>
    <m/>
    <m/>
    <m/>
    <m/>
    <m/>
    <m/>
    <m/>
    <m/>
    <m/>
    <m/>
    <m/>
    <m/>
    <m/>
    <m/>
    <m/>
    <m/>
    <m/>
    <m/>
    <m/>
    <m/>
    <m/>
    <m/>
    <m/>
    <m/>
    <m/>
    <m/>
    <m/>
    <m/>
    <m/>
    <m/>
    <m/>
    <m/>
    <n v="0"/>
    <n v="0"/>
    <n v="0"/>
    <n v="0"/>
    <n v="0"/>
    <x v="0"/>
  </r>
  <r>
    <x v="1"/>
    <x v="5"/>
    <s v="N/A"/>
    <s v="N/A"/>
    <s v="Sí"/>
    <s v="Sí"/>
    <n v="68"/>
    <s v="161-122"/>
    <s v="N.A"/>
    <s v="N.A"/>
    <s v="N.A"/>
    <n v="80111620"/>
    <s v="A-05-01-02-008-002"/>
    <s v="Prestación de servicios profesionales y/o de apoyo a la gestión"/>
    <s v="161-122 Prestar servicios profesionales,  para el desarrollo de actividades relacionadas con el seguimiento, análisis y control de la gestión contable  de la Unidad de Planeación Minero Energética – UPME"/>
    <s v="Enero "/>
    <s v="Enero "/>
    <s v="Enero "/>
    <n v="11.5"/>
    <s v="Meses"/>
    <s v="Contratación directa - Prestación de servicios profesionales "/>
    <s v="Propios - 20 - Ingresos corrientes"/>
    <n v="36800000"/>
    <n v="36800000"/>
    <s v="No"/>
    <s v="N/A"/>
    <s v="Hollman Corredor"/>
    <s v="Coordinador GIT Financiero"/>
    <n v="6012220601"/>
    <s v="hollman.corredor@upme.gov.co"/>
    <m/>
    <m/>
    <m/>
    <m/>
    <m/>
    <m/>
    <m/>
    <m/>
    <m/>
    <m/>
    <m/>
    <m/>
    <m/>
    <m/>
    <m/>
    <m/>
    <m/>
    <m/>
    <m/>
    <m/>
    <m/>
    <m/>
    <m/>
    <m/>
    <m/>
    <m/>
    <m/>
    <m/>
    <s v="Prestar servicios profesionales,  para el desarrollo de actividades relacionadas con el seguimiento, análisis y control de la gestión contable  de la Unidad de Planeación Minero Energética – UPME"/>
    <m/>
    <m/>
    <m/>
    <n v="1600000"/>
    <m/>
    <n v="3200000"/>
    <m/>
    <n v="3200000"/>
    <m/>
    <n v="3200000"/>
    <m/>
    <n v="3200000"/>
    <m/>
    <n v="3200000"/>
    <m/>
    <n v="3200000"/>
    <m/>
    <n v="3200000"/>
    <m/>
    <n v="3200000"/>
    <m/>
    <n v="3200000"/>
    <m/>
    <n v="6400000"/>
    <m/>
    <m/>
    <n v="0"/>
    <n v="36800000"/>
    <n v="36800000"/>
    <n v="0"/>
    <n v="47326"/>
    <d v="2026-01-19T00:00:00"/>
    <n v="35200000"/>
    <n v="1600000"/>
    <m/>
    <m/>
    <n v="0"/>
    <n v="36800000"/>
    <n v="35200000"/>
    <m/>
    <m/>
    <m/>
    <m/>
    <m/>
    <m/>
    <m/>
    <m/>
    <m/>
    <m/>
    <m/>
    <m/>
    <m/>
    <m/>
    <m/>
    <m/>
    <m/>
    <m/>
    <m/>
    <m/>
    <m/>
    <m/>
    <m/>
    <m/>
    <m/>
    <m/>
    <m/>
    <m/>
    <m/>
    <m/>
    <m/>
    <m/>
    <m/>
    <m/>
    <m/>
    <m/>
    <m/>
    <m/>
    <n v="0"/>
    <n v="0"/>
    <n v="0"/>
    <n v="0"/>
    <n v="0"/>
    <x v="0"/>
  </r>
  <r>
    <x v="1"/>
    <x v="5"/>
    <s v="N/A"/>
    <s v="N/A"/>
    <s v="Sí"/>
    <s v="Sí"/>
    <n v="68"/>
    <s v="161-123"/>
    <s v="N.A"/>
    <s v="N.A"/>
    <s v="N.A"/>
    <n v="80111620"/>
    <s v="A-05-01-02-008-002"/>
    <s v="Prestación de servicios profesionales y/o de apoyo a la gestión"/>
    <s v="161-123 Prestar servicios profesionales para el desarrollo de los tramites contractuales requeridos y la proyección de las respuestas a las PQRS de la entidad, en especial las relacionadas con el tramite de Incentivos Tributarios."/>
    <s v="Enero "/>
    <s v="Enero "/>
    <s v="Enero "/>
    <n v="11.5"/>
    <s v="Meses"/>
    <s v="Contratación directa - Prestación de servicios profesionales "/>
    <s v="Propios - 20 - Ingresos corrientes"/>
    <n v="57500000"/>
    <n v="57500000"/>
    <s v="No"/>
    <s v="N/A"/>
    <s v="Edith Chávez"/>
    <s v="Coordinador GIT Contractual"/>
    <n v="6012220601"/>
    <s v="edith.chavez@upme.gov.co"/>
    <m/>
    <m/>
    <m/>
    <m/>
    <m/>
    <m/>
    <m/>
    <m/>
    <m/>
    <m/>
    <m/>
    <m/>
    <m/>
    <m/>
    <m/>
    <m/>
    <m/>
    <m/>
    <m/>
    <m/>
    <m/>
    <m/>
    <m/>
    <m/>
    <m/>
    <m/>
    <m/>
    <m/>
    <s v="Prestar servicios profesionales para el desarrollo de los tramites contractuales requeridos y la proyección de las respuestas a las PQRS de la entidad, en especial las relacionadas con el tramite de Incentivos Tributarios."/>
    <m/>
    <m/>
    <m/>
    <n v="2500000"/>
    <m/>
    <n v="5000000"/>
    <m/>
    <n v="5000000"/>
    <m/>
    <n v="5000000"/>
    <m/>
    <n v="5000000"/>
    <m/>
    <n v="5000000"/>
    <m/>
    <n v="5000000"/>
    <m/>
    <n v="5000000"/>
    <m/>
    <n v="5000000"/>
    <m/>
    <n v="5000000"/>
    <m/>
    <n v="10000000"/>
    <m/>
    <m/>
    <n v="0"/>
    <n v="57500000"/>
    <n v="57500000"/>
    <n v="0"/>
    <n v="4226"/>
    <d v="2026-01-05T00:00:00"/>
    <n v="55424250"/>
    <n v="2075750"/>
    <m/>
    <m/>
    <n v="0"/>
    <n v="57500000"/>
    <n v="55424250"/>
    <m/>
    <m/>
    <m/>
    <m/>
    <m/>
    <m/>
    <m/>
    <m/>
    <m/>
    <m/>
    <m/>
    <m/>
    <m/>
    <m/>
    <m/>
    <m/>
    <m/>
    <m/>
    <m/>
    <m/>
    <m/>
    <m/>
    <m/>
    <m/>
    <m/>
    <m/>
    <m/>
    <m/>
    <m/>
    <m/>
    <m/>
    <m/>
    <m/>
    <m/>
    <m/>
    <m/>
    <m/>
    <m/>
    <n v="0"/>
    <n v="0"/>
    <n v="0"/>
    <n v="0"/>
    <n v="0"/>
    <x v="0"/>
  </r>
  <r>
    <x v="1"/>
    <x v="5"/>
    <s v="N/A"/>
    <s v="N/A"/>
    <s v="Sí"/>
    <s v="Sí"/>
    <n v="68"/>
    <s v="161-124"/>
    <s v="N.A"/>
    <s v="N.A"/>
    <s v="N.A"/>
    <n v="80111620"/>
    <s v="A-05-01-02-008-002"/>
    <s v="Prestación de servicios profesionales y/o de apoyo a la gestión"/>
    <s v="161-124 Prestar apoyo técnico operativo en los procesos de registro, verificación y organización de la información contable, presupuestal y financiera de la entidad, conforme a la normatividad vigente del sector público, contribuyendo al correcto manejo d"/>
    <s v="Enero "/>
    <s v="Enero "/>
    <s v="Enero "/>
    <n v="11.5"/>
    <s v="Meses"/>
    <s v="Contratación directa - Prestación de servicios profesionales "/>
    <s v="Propios - 20 - Ingresos corrientes"/>
    <n v="34500000"/>
    <n v="34500000"/>
    <s v="No"/>
    <s v="N/A"/>
    <s v="Hollman Corredor"/>
    <s v="Coordinador GIT Financiero"/>
    <n v="6012220601"/>
    <s v="katherin.perez@upme.gov.co"/>
    <m/>
    <m/>
    <m/>
    <m/>
    <m/>
    <m/>
    <m/>
    <m/>
    <m/>
    <m/>
    <m/>
    <m/>
    <m/>
    <m/>
    <m/>
    <m/>
    <m/>
    <m/>
    <m/>
    <m/>
    <m/>
    <m/>
    <m/>
    <m/>
    <m/>
    <m/>
    <m/>
    <m/>
    <s v="Prestar apoyo técnico operativo en los procesos de registro, verificación y organización de la información contable, presupuestal y financiera de la entidad, conforme a la normatividad vigente del sector público, contribuyendo al correcto manejo de los re"/>
    <m/>
    <m/>
    <m/>
    <n v="1500000"/>
    <m/>
    <n v="3000000"/>
    <m/>
    <n v="3000000"/>
    <m/>
    <n v="3000000"/>
    <m/>
    <n v="3000000"/>
    <m/>
    <n v="3000000"/>
    <m/>
    <n v="3000000"/>
    <m/>
    <n v="3000000"/>
    <m/>
    <n v="3000000"/>
    <m/>
    <n v="3000000"/>
    <m/>
    <n v="6000000"/>
    <m/>
    <m/>
    <n v="0"/>
    <n v="34500000"/>
    <n v="34500000"/>
    <n v="0"/>
    <n v="30426"/>
    <d v="2026-01-14T00:00:00"/>
    <n v="34500000"/>
    <n v="0"/>
    <m/>
    <m/>
    <n v="0"/>
    <n v="34500000"/>
    <n v="34500000"/>
    <m/>
    <m/>
    <m/>
    <m/>
    <m/>
    <m/>
    <m/>
    <m/>
    <m/>
    <m/>
    <m/>
    <m/>
    <m/>
    <m/>
    <m/>
    <m/>
    <m/>
    <m/>
    <m/>
    <m/>
    <m/>
    <m/>
    <m/>
    <m/>
    <m/>
    <m/>
    <m/>
    <m/>
    <m/>
    <m/>
    <m/>
    <m/>
    <m/>
    <m/>
    <m/>
    <m/>
    <m/>
    <m/>
    <n v="0"/>
    <n v="0"/>
    <n v="0"/>
    <n v="0"/>
    <n v="0"/>
    <x v="0"/>
  </r>
  <r>
    <x v="1"/>
    <x v="5"/>
    <s v="N/A"/>
    <s v="N/A"/>
    <s v="Sí"/>
    <s v="Sí"/>
    <n v="7"/>
    <s v="161-125"/>
    <s v="N.A"/>
    <s v="N.A"/>
    <s v="N.A"/>
    <n v="80111620"/>
    <s v="A-05-01-02-008-002"/>
    <s v="Prestación de servicios profesionales y/o de apoyo a la gestión"/>
    <s v="161-125 Prestar servicios de apoyo en las actividades de registro, clasificación, depuración, verificación y archivo de la información contable de la entidad, de conformidad con la normatividad contable del sector público y los procedimientos internos, co"/>
    <s v="Enero "/>
    <s v="Enero "/>
    <s v="Enero "/>
    <n v="11"/>
    <s v="Meses"/>
    <s v="Contratación directa - Prestación de servicios profesionales "/>
    <s v="Propios - 20 - Ingresos corrientes"/>
    <n v="36800000"/>
    <n v="36800000"/>
    <s v="No"/>
    <s v="N/A"/>
    <s v="Hollman Corredor"/>
    <s v="Coordinador GIT Financiero"/>
    <n v="6012220601"/>
    <s v="katherin.perez@upme.gov.co"/>
    <m/>
    <m/>
    <m/>
    <m/>
    <m/>
    <m/>
    <m/>
    <m/>
    <m/>
    <m/>
    <m/>
    <m/>
    <m/>
    <m/>
    <m/>
    <m/>
    <m/>
    <m/>
    <m/>
    <m/>
    <m/>
    <m/>
    <m/>
    <m/>
    <m/>
    <m/>
    <m/>
    <m/>
    <s v="Prestar servicios de apoyo en las actividades de registro, clasificación, depuración, verificación y archivo de la información contable de la entidad, de conformidad con la normatividad contable del sector público y los procedimientos internos, contribuye"/>
    <m/>
    <m/>
    <n v="0"/>
    <n v="3345450"/>
    <n v="0"/>
    <n v="3345450"/>
    <n v="0"/>
    <n v="3345450"/>
    <n v="0"/>
    <n v="3345450"/>
    <n v="0"/>
    <n v="3345450"/>
    <n v="0"/>
    <n v="3345450"/>
    <n v="0"/>
    <n v="3345450"/>
    <n v="0"/>
    <n v="3345450"/>
    <n v="0"/>
    <n v="3345450"/>
    <n v="0"/>
    <n v="3345450"/>
    <n v="0"/>
    <n v="3345500"/>
    <m/>
    <m/>
    <n v="0"/>
    <n v="36800000"/>
    <n v="36800000"/>
    <n v="0"/>
    <n v="30726"/>
    <d v="2026-01-14T00:00:00"/>
    <n v="36800000"/>
    <n v="0"/>
    <m/>
    <m/>
    <n v="0"/>
    <n v="36800000"/>
    <n v="36800000"/>
    <m/>
    <m/>
    <m/>
    <m/>
    <m/>
    <m/>
    <m/>
    <m/>
    <m/>
    <m/>
    <m/>
    <m/>
    <m/>
    <m/>
    <m/>
    <m/>
    <m/>
    <m/>
    <m/>
    <m/>
    <m/>
    <m/>
    <m/>
    <m/>
    <m/>
    <m/>
    <m/>
    <m/>
    <m/>
    <m/>
    <m/>
    <m/>
    <m/>
    <m/>
    <m/>
    <m/>
    <m/>
    <m/>
    <n v="0"/>
    <n v="0"/>
    <n v="0"/>
    <n v="0"/>
    <n v="0"/>
    <x v="0"/>
  </r>
  <r>
    <x v="1"/>
    <x v="5"/>
    <s v="N/A"/>
    <s v="N/A"/>
    <s v="Sí"/>
    <s v="Sí"/>
    <n v="1"/>
    <s v="161-126"/>
    <s v="N.A"/>
    <s v="N.A"/>
    <s v="N.A"/>
    <n v="80111620"/>
    <s v="A-05-01-02-008-003"/>
    <s v="Prestación de servicios profesionales y/o de apoyo a la gestión"/>
    <s v="161-126 Prestar servicios profesionales en la formulación, análisis, seguimiento y evaluación de políticas, planes, programas y procesos institucionales, mediante el acompañamiento a las dependencias, la emisión de conceptos y recomendaciones administrati"/>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en la formulación, análisis, seguimiento y evaluación de políticas, planes, programas y procesos institucionales, mediante el acompañamiento a las dependencias, la emisión de conceptos y recomendaciones administrativas, la "/>
    <m/>
    <m/>
    <m/>
    <n v="2000000"/>
    <m/>
    <n v="5000000"/>
    <m/>
    <n v="5000000"/>
    <m/>
    <n v="5000000"/>
    <m/>
    <n v="5000000"/>
    <m/>
    <n v="5000000"/>
    <m/>
    <n v="5000000"/>
    <m/>
    <n v="5000000"/>
    <m/>
    <n v="5000000"/>
    <m/>
    <n v="5000000"/>
    <m/>
    <n v="10000000"/>
    <m/>
    <m/>
    <n v="0"/>
    <n v="57000000"/>
    <n v="57000000"/>
    <n v="0"/>
    <n v="17626"/>
    <d v="2026-01-10T00:00:00"/>
    <n v="57000000"/>
    <n v="0"/>
    <n v="11026"/>
    <d v="2026-01-17T00:00:00"/>
    <n v="56000000"/>
    <n v="1000000"/>
    <n v="1000000"/>
    <s v="QUINTERO TABARES JUAN PABLO"/>
    <s v="CO1.PCCNTR.8891350"/>
    <n v="56000000"/>
    <m/>
    <m/>
    <m/>
    <m/>
    <m/>
    <m/>
    <m/>
    <m/>
    <m/>
    <m/>
    <m/>
    <m/>
    <m/>
    <m/>
    <m/>
    <m/>
    <m/>
    <m/>
    <m/>
    <m/>
    <m/>
    <m/>
    <m/>
    <m/>
    <m/>
    <m/>
    <m/>
    <m/>
    <m/>
    <m/>
    <m/>
    <m/>
    <m/>
    <m/>
    <m/>
    <n v="56000000"/>
    <n v="0"/>
    <n v="0"/>
    <n v="56000000"/>
    <n v="0"/>
    <x v="0"/>
  </r>
  <r>
    <x v="1"/>
    <x v="5"/>
    <s v="N/A"/>
    <s v="N/A"/>
    <s v="Sí"/>
    <s v="Sí"/>
    <n v="1"/>
    <s v="161-127"/>
    <s v="N.A"/>
    <s v="N.A"/>
    <s v="N.A"/>
    <s v="43211500;43211515"/>
    <s v="A-05-01-02-008-003"/>
    <s v="Prestación de servicios profesionales y/o de apoyo a la gestión"/>
    <s v="161-127 Adquisición de equipos de cómputo"/>
    <s v="Marzo"/>
    <s v="Marzo"/>
    <s v="Abril"/>
    <n v="8"/>
    <s v="Meses"/>
    <s v="Seléccion abreviada - acuerdo marco"/>
    <s v="Propios - 20 - Ingresos corrientes"/>
    <n v="918168"/>
    <n v="918168"/>
    <s v="No"/>
    <s v="N/A"/>
    <s v="Johanna Castellanos"/>
    <s v="Subdirectora de Demanda"/>
    <n v="6012220601"/>
    <s v="johanna.castellanos@upme.gov.co"/>
    <m/>
    <m/>
    <m/>
    <m/>
    <m/>
    <m/>
    <m/>
    <m/>
    <m/>
    <m/>
    <m/>
    <m/>
    <m/>
    <m/>
    <m/>
    <m/>
    <m/>
    <m/>
    <m/>
    <m/>
    <m/>
    <m/>
    <m/>
    <m/>
    <m/>
    <m/>
    <m/>
    <m/>
    <s v="Adquisición de equipos de cómputo"/>
    <m/>
    <m/>
    <m/>
    <m/>
    <m/>
    <m/>
    <m/>
    <m/>
    <m/>
    <m/>
    <n v="918168"/>
    <m/>
    <m/>
    <n v="918168"/>
    <m/>
    <m/>
    <m/>
    <m/>
    <m/>
    <m/>
    <m/>
    <m/>
    <m/>
    <m/>
    <m/>
    <m/>
    <n v="918168"/>
    <n v="918168"/>
    <n v="0"/>
    <n v="0"/>
    <m/>
    <m/>
    <m/>
    <n v="918168"/>
    <m/>
    <m/>
    <n v="0"/>
    <n v="918168"/>
    <n v="0"/>
    <m/>
    <m/>
    <m/>
    <m/>
    <m/>
    <m/>
    <m/>
    <m/>
    <m/>
    <m/>
    <m/>
    <m/>
    <m/>
    <m/>
    <m/>
    <m/>
    <m/>
    <m/>
    <m/>
    <m/>
    <m/>
    <m/>
    <m/>
    <m/>
    <m/>
    <m/>
    <m/>
    <m/>
    <m/>
    <m/>
    <m/>
    <m/>
    <m/>
    <m/>
    <m/>
    <m/>
    <m/>
    <m/>
    <n v="0"/>
    <n v="0"/>
    <n v="0"/>
    <n v="0"/>
    <n v="0"/>
    <x v="0"/>
  </r>
  <r>
    <x v="1"/>
    <x v="5"/>
    <s v="N/A"/>
    <s v="N/A"/>
    <s v="No"/>
    <s v="Sí"/>
    <n v="68"/>
    <s v="161-128"/>
    <s v="N.A"/>
    <s v="N.A"/>
    <s v="N.A"/>
    <s v="N/A"/>
    <s v="A-05-01-02-007-001"/>
    <s v="N/A"/>
    <s v="161-128 GMF (4x1000)"/>
    <s v="N/A"/>
    <s v="N/A"/>
    <s v="N/A"/>
    <s v="N/A"/>
    <s v="N/A"/>
    <s v="N/A"/>
    <s v="Propios - 20 - Ingresos corrientes"/>
    <n v="33000000"/>
    <n v="33000000"/>
    <s v="No"/>
    <s v="N/A"/>
    <s v="Johanna Castellanos"/>
    <s v="Subdirectora de Demanda"/>
    <n v="6012220601"/>
    <s v="johanna.castellanos@upme.gov.co"/>
    <m/>
    <m/>
    <m/>
    <m/>
    <m/>
    <m/>
    <m/>
    <m/>
    <m/>
    <m/>
    <m/>
    <m/>
    <m/>
    <m/>
    <m/>
    <m/>
    <m/>
    <m/>
    <m/>
    <m/>
    <m/>
    <m/>
    <m/>
    <m/>
    <m/>
    <m/>
    <m/>
    <m/>
    <s v="GMF (4x1000)"/>
    <m/>
    <m/>
    <m/>
    <n v="2750000"/>
    <m/>
    <n v="2750000"/>
    <m/>
    <n v="2750000"/>
    <m/>
    <n v="2750000"/>
    <m/>
    <n v="2750000"/>
    <m/>
    <n v="2750000"/>
    <m/>
    <n v="2750000"/>
    <m/>
    <n v="2750000"/>
    <m/>
    <n v="2750000"/>
    <m/>
    <n v="2750000"/>
    <m/>
    <n v="5500000"/>
    <m/>
    <m/>
    <n v="0"/>
    <n v="33000000"/>
    <n v="33000000"/>
    <n v="0"/>
    <m/>
    <m/>
    <m/>
    <n v="33000000"/>
    <m/>
    <m/>
    <n v="0"/>
    <n v="33000000"/>
    <n v="0"/>
    <m/>
    <m/>
    <m/>
    <m/>
    <m/>
    <m/>
    <m/>
    <m/>
    <m/>
    <m/>
    <m/>
    <m/>
    <m/>
    <m/>
    <m/>
    <m/>
    <m/>
    <m/>
    <m/>
    <m/>
    <m/>
    <m/>
    <m/>
    <m/>
    <m/>
    <m/>
    <m/>
    <m/>
    <m/>
    <m/>
    <m/>
    <m/>
    <m/>
    <m/>
    <m/>
    <m/>
    <m/>
    <m/>
    <n v="0"/>
    <n v="0"/>
    <n v="0"/>
    <n v="0"/>
    <n v="0"/>
    <x v="0"/>
  </r>
  <r>
    <x v="1"/>
    <x v="5"/>
    <s v="N/A"/>
    <s v="N/A"/>
    <s v="Sí"/>
    <s v="Sí"/>
    <n v="6"/>
    <s v="161-129"/>
    <s v="N.A"/>
    <s v="N.A"/>
    <s v="N.A"/>
    <s v="78102203;78102206"/>
    <s v="A-05-01-02-006-008"/>
    <s v="Adquisición de bienes y/o servicios (otros)"/>
    <s v="161-129 Prestar los servicios de correo certificado electrónico, mensajería motorizada y especializada a nivel urbano, nacional e internacional, incluyendo la actividad de notificaciones judiciales de los actos administrativos de la UPME, garantizando el "/>
    <s v="Enero "/>
    <s v="Enero "/>
    <s v="Enero "/>
    <n v="12"/>
    <s v="Meses"/>
    <s v="Contratación directa - Contratos menor cuantía"/>
    <s v="Propios - 20 - Ingresos corrientes"/>
    <n v="0"/>
    <n v="0"/>
    <s v="No"/>
    <s v="N/A"/>
    <s v="Johanna Castellanos"/>
    <s v="Subdirectora de Demanda"/>
    <n v="6012220601"/>
    <s v="johanna.castellanos@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m/>
    <m/>
    <m/>
    <n v="0"/>
    <m/>
    <n v="0"/>
    <m/>
    <n v="0"/>
    <m/>
    <n v="0"/>
    <m/>
    <n v="0"/>
    <m/>
    <n v="0"/>
    <m/>
    <n v="0"/>
    <m/>
    <n v="0"/>
    <m/>
    <n v="0"/>
    <m/>
    <n v="0"/>
    <m/>
    <m/>
    <n v="0"/>
    <n v="0"/>
    <n v="0"/>
    <n v="0"/>
    <m/>
    <m/>
    <m/>
    <n v="0"/>
    <m/>
    <m/>
    <n v="0"/>
    <n v="0"/>
    <n v="0"/>
    <m/>
    <m/>
    <m/>
    <m/>
    <m/>
    <m/>
    <m/>
    <m/>
    <m/>
    <m/>
    <m/>
    <m/>
    <m/>
    <m/>
    <m/>
    <m/>
    <m/>
    <m/>
    <m/>
    <m/>
    <m/>
    <m/>
    <m/>
    <m/>
    <m/>
    <m/>
    <m/>
    <m/>
    <m/>
    <m/>
    <m/>
    <m/>
    <m/>
    <m/>
    <m/>
    <m/>
    <m/>
    <m/>
    <n v="0"/>
    <n v="0"/>
    <n v="0"/>
    <n v="0"/>
    <n v="0"/>
    <x v="0"/>
  </r>
  <r>
    <x v="1"/>
    <x v="5"/>
    <s v="N/A"/>
    <s v="N/A"/>
    <s v="Sí"/>
    <s v="Sí"/>
    <n v="68"/>
    <s v="161-13"/>
    <s v="N.A"/>
    <s v="N.A"/>
    <s v="N.A"/>
    <n v="80111620"/>
    <s v="A-05-01-02-008-003"/>
    <s v="Prestación de servicios profesionales y/o de apoyo a la gestión"/>
    <s v="161-13 Prestar los servicios profesionales para la asistencia técnica y atención al ciudadano, así como la evaluación de los requerimientos asociados al trámite de Incentivos Tributarios."/>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los servicios profesionales para la asistencia técnica y atención al ciudadano, así como la evaluación de los requerimientos asociados al trámite de Incentivos Tributarios."/>
    <m/>
    <m/>
    <m/>
    <n v="1642500"/>
    <m/>
    <n v="3285000"/>
    <m/>
    <n v="3285000"/>
    <m/>
    <n v="3285000"/>
    <m/>
    <n v="3285000"/>
    <m/>
    <n v="3285000"/>
    <m/>
    <n v="3285000"/>
    <m/>
    <n v="3285000"/>
    <m/>
    <n v="3285000"/>
    <m/>
    <n v="3285000"/>
    <m/>
    <n v="6570000"/>
    <m/>
    <m/>
    <n v="0"/>
    <n v="37777500"/>
    <n v="37777500"/>
    <n v="0"/>
    <n v="41526"/>
    <d v="2026-01-16T00:00:00"/>
    <n v="37777500"/>
    <n v="0"/>
    <n v="44726"/>
    <d v="2026-02-05T00:00:00"/>
    <n v="36135000"/>
    <n v="1642500"/>
    <n v="1642500"/>
    <s v="HURTADO TARAZONA MAIRA ALEJANDRA"/>
    <s v="CO1.PCCNTR.9224759"/>
    <m/>
    <m/>
    <m/>
    <n v="36135000"/>
    <m/>
    <m/>
    <m/>
    <m/>
    <m/>
    <m/>
    <m/>
    <m/>
    <m/>
    <m/>
    <m/>
    <m/>
    <m/>
    <m/>
    <m/>
    <m/>
    <m/>
    <m/>
    <m/>
    <m/>
    <m/>
    <m/>
    <m/>
    <m/>
    <m/>
    <m/>
    <m/>
    <m/>
    <m/>
    <m/>
    <m/>
    <m/>
    <n v="36135000"/>
    <n v="0"/>
    <n v="0"/>
    <n v="36135000"/>
    <n v="0"/>
    <x v="0"/>
  </r>
  <r>
    <x v="1"/>
    <x v="5"/>
    <s v="N/A"/>
    <s v="N/A"/>
    <s v="Sí"/>
    <s v="Sí"/>
    <n v="3"/>
    <s v="161-130"/>
    <s v="N.A"/>
    <s v="N.A"/>
    <s v="N.A"/>
    <n v="80111620"/>
    <s v="A-05-01-02-008-002"/>
    <s v="Prestación de servicios profesionales y/o de apoyo a la gestión"/>
    <s v="161-130 Prestar servicios profesionales para apoyar la identificación, análisis y evaluación de potenciales, metas y medidas de eficiencia energética, así como para la evaluación y análisis de la información asociada a proyectos de Fuentes No Convencional"/>
    <s v="Enero "/>
    <s v="Enero "/>
    <s v="Enero "/>
    <n v="11.4"/>
    <s v="Meses"/>
    <s v="Contratación directa - Prestación de servicios profesionales "/>
    <s v="Propios - 20 - Ingresos corrientes"/>
    <n v="71550000"/>
    <n v="71550000"/>
    <s v="No"/>
    <s v="N/A"/>
    <s v="Johanna Castellanos"/>
    <s v="Subdirectora de Demanda"/>
    <n v="6012220601"/>
    <s v="johanna.castellanos@upme.gov.co"/>
    <m/>
    <m/>
    <m/>
    <m/>
    <m/>
    <m/>
    <m/>
    <m/>
    <m/>
    <m/>
    <m/>
    <m/>
    <m/>
    <m/>
    <m/>
    <m/>
    <m/>
    <m/>
    <m/>
    <m/>
    <m/>
    <m/>
    <m/>
    <m/>
    <m/>
    <m/>
    <m/>
    <m/>
    <s v="Prestar servicios profesionales para apoyar la identificación, análisis y evaluación de potenciales, metas y medidas de eficiencia energética, así como para la evaluación y análisis de la información asociada a proyectos de Fuentes No Convencionales de En"/>
    <m/>
    <m/>
    <m/>
    <n v="2510524"/>
    <m/>
    <n v="6276316"/>
    <m/>
    <n v="6276316"/>
    <m/>
    <n v="6276316"/>
    <m/>
    <n v="6276316"/>
    <m/>
    <n v="6276316"/>
    <m/>
    <n v="6276316"/>
    <m/>
    <n v="6276316"/>
    <m/>
    <n v="6276316"/>
    <m/>
    <n v="6276316"/>
    <m/>
    <n v="12552632"/>
    <m/>
    <m/>
    <n v="0"/>
    <n v="71550000"/>
    <n v="71550000"/>
    <n v="0"/>
    <m/>
    <m/>
    <m/>
    <n v="71550000"/>
    <m/>
    <m/>
    <n v="0"/>
    <n v="71550000"/>
    <n v="0"/>
    <m/>
    <m/>
    <m/>
    <m/>
    <m/>
    <m/>
    <m/>
    <m/>
    <m/>
    <m/>
    <m/>
    <m/>
    <m/>
    <m/>
    <m/>
    <m/>
    <m/>
    <m/>
    <m/>
    <m/>
    <m/>
    <m/>
    <m/>
    <m/>
    <m/>
    <m/>
    <m/>
    <m/>
    <m/>
    <m/>
    <m/>
    <m/>
    <m/>
    <m/>
    <m/>
    <m/>
    <m/>
    <m/>
    <n v="0"/>
    <n v="0"/>
    <n v="0"/>
    <n v="0"/>
    <n v="0"/>
    <x v="0"/>
  </r>
  <r>
    <x v="1"/>
    <x v="5"/>
    <s v="N/A"/>
    <s v="N/A"/>
    <s v="Sí"/>
    <s v="Sí"/>
    <n v="7"/>
    <s v="161-131"/>
    <s v="N.A"/>
    <s v="N.A"/>
    <s v="N.A"/>
    <n v="80111620"/>
    <s v="A-05-01-02-008-003"/>
    <s v="Prestación de servicios profesionales y/o de apoyo a la gestión"/>
    <s v="161-131 Prestar servicios de apoyo a la gestión en el desarrollo del Plan Nacional de Bioenergía y la elaboración de documentos de planeación, en el marco de la Transición Energética Justa"/>
    <s v="Enero "/>
    <s v="Enero "/>
    <s v="Enero "/>
    <n v="11.4"/>
    <s v="Meses"/>
    <s v="Contratación directa - Prestación de servicios profesionales "/>
    <s v="Propios - 20 - Ingresos corrientes"/>
    <n v="28500000"/>
    <n v="28500000"/>
    <s v="No"/>
    <s v="N/A"/>
    <s v="Johanna Castellanos"/>
    <s v="Subdirectora de Demanda"/>
    <n v="6012220601"/>
    <s v="johanna.castellanos@upme.gov.co"/>
    <m/>
    <m/>
    <m/>
    <m/>
    <m/>
    <m/>
    <m/>
    <m/>
    <m/>
    <m/>
    <m/>
    <m/>
    <m/>
    <m/>
    <m/>
    <m/>
    <m/>
    <m/>
    <m/>
    <m/>
    <m/>
    <m/>
    <m/>
    <m/>
    <m/>
    <m/>
    <m/>
    <m/>
    <s v="Prestar servicios de apoyo a la gestión en el desarrollo del Plan Nacional de Bioenergía y la elaboración de documentos de planeación, en el marco de la Transición Energética Justa"/>
    <m/>
    <m/>
    <n v="0"/>
    <n v="1000000"/>
    <n v="0"/>
    <n v="2500000"/>
    <n v="0"/>
    <n v="2500000"/>
    <n v="0"/>
    <n v="2500000"/>
    <n v="0"/>
    <n v="2500000"/>
    <n v="0"/>
    <n v="2500000"/>
    <n v="0"/>
    <n v="2500000"/>
    <n v="0"/>
    <n v="2500000"/>
    <n v="0"/>
    <n v="2500000"/>
    <n v="0"/>
    <n v="2500000"/>
    <n v="0"/>
    <n v="5000000"/>
    <m/>
    <m/>
    <n v="0"/>
    <n v="28500000"/>
    <n v="28500000"/>
    <n v="0"/>
    <n v="51326"/>
    <d v="2026-01-20T00:00:00"/>
    <n v="28500000"/>
    <n v="0"/>
    <n v="34926"/>
    <d v="2026-01-30T00:00:00"/>
    <n v="27500000"/>
    <n v="1000000"/>
    <n v="1000000"/>
    <s v="QUINTERO LOPEZ YENNYFER TATYANA"/>
    <s v="CO1.PCCNTR.9183089"/>
    <n v="27500000"/>
    <m/>
    <m/>
    <m/>
    <m/>
    <m/>
    <m/>
    <m/>
    <m/>
    <m/>
    <m/>
    <m/>
    <m/>
    <m/>
    <m/>
    <m/>
    <m/>
    <m/>
    <m/>
    <m/>
    <m/>
    <m/>
    <m/>
    <m/>
    <m/>
    <m/>
    <m/>
    <m/>
    <m/>
    <m/>
    <m/>
    <m/>
    <m/>
    <m/>
    <m/>
    <m/>
    <n v="27500000"/>
    <n v="0"/>
    <n v="0"/>
    <n v="27500000"/>
    <n v="0"/>
    <x v="0"/>
  </r>
  <r>
    <x v="1"/>
    <x v="5"/>
    <s v="N/A"/>
    <s v="N/A"/>
    <s v="Sí"/>
    <s v="Sí"/>
    <n v="5"/>
    <s v="161-132"/>
    <s v="N.A"/>
    <s v="N.A"/>
    <s v="N.A"/>
    <n v="80111620"/>
    <s v="A-05-01-02-008-003"/>
    <s v="Prestación de servicios profesionales y/o de apoyo a la gestión"/>
    <s v="161-132 Prestar servicios de apoyo a la gestión, para actividades enmarcadas en el Plan de Bienestar y Seguridad y Salud en el trabajo."/>
    <s v="Enero "/>
    <s v="Enero "/>
    <s v="Enero "/>
    <n v="11"/>
    <s v="Meses"/>
    <s v="Contratación directa - Prestación de servicios profesionales "/>
    <s v="Propios - 20 - Ingresos corrientes"/>
    <n v="19800000"/>
    <n v="19800000"/>
    <s v="No"/>
    <s v="N/A"/>
    <s v="Katherin Pérez"/>
    <s v="Coordinador GIT Talento Humano"/>
    <n v="6012220601"/>
    <s v="katherin.perez@upme.gov.co"/>
    <m/>
    <m/>
    <m/>
    <m/>
    <m/>
    <m/>
    <m/>
    <m/>
    <m/>
    <m/>
    <m/>
    <m/>
    <m/>
    <m/>
    <m/>
    <m/>
    <m/>
    <m/>
    <m/>
    <m/>
    <m/>
    <m/>
    <m/>
    <m/>
    <m/>
    <m/>
    <m/>
    <m/>
    <s v="Prestar servicios de apoyo a la gestión, para actividades enmarcadas en el Plan de Bienestar y Seguridad y Salud en el trabajo."/>
    <m/>
    <m/>
    <n v="0"/>
    <n v="860871"/>
    <n v="0"/>
    <n v="1721739"/>
    <n v="0"/>
    <n v="1721739"/>
    <n v="0"/>
    <n v="1721739"/>
    <n v="0"/>
    <n v="1721739"/>
    <n v="0"/>
    <n v="1721739"/>
    <n v="0"/>
    <n v="1721739"/>
    <n v="0"/>
    <n v="1721739"/>
    <n v="0"/>
    <n v="1721739"/>
    <n v="0"/>
    <n v="1721739"/>
    <n v="0"/>
    <n v="3443478"/>
    <m/>
    <m/>
    <n v="0"/>
    <n v="19800000"/>
    <n v="19800000"/>
    <n v="0"/>
    <n v="63926"/>
    <d v="2026-01-23T00:00:00"/>
    <n v="19800000"/>
    <n v="0"/>
    <m/>
    <m/>
    <n v="0"/>
    <n v="19800000"/>
    <n v="19800000"/>
    <m/>
    <m/>
    <m/>
    <m/>
    <m/>
    <m/>
    <m/>
    <m/>
    <m/>
    <m/>
    <m/>
    <m/>
    <m/>
    <m/>
    <m/>
    <m/>
    <m/>
    <m/>
    <m/>
    <m/>
    <m/>
    <m/>
    <m/>
    <m/>
    <m/>
    <m/>
    <m/>
    <m/>
    <m/>
    <m/>
    <m/>
    <m/>
    <m/>
    <m/>
    <m/>
    <m/>
    <m/>
    <m/>
    <n v="0"/>
    <n v="0"/>
    <n v="0"/>
    <n v="0"/>
    <n v="0"/>
    <x v="0"/>
  </r>
  <r>
    <x v="1"/>
    <x v="5"/>
    <s v="N/A"/>
    <s v="N/A"/>
    <s v="Sí"/>
    <s v="Sí"/>
    <n v="6"/>
    <s v="161-133"/>
    <s v="N.A"/>
    <s v="N.A"/>
    <s v="N.A"/>
    <s v="78102203;78102206_x0009_"/>
    <s v="A-05-01-02-006-008_x0009_"/>
    <s v="Adquisición de bienes y/o servicios (otros)"/>
    <s v="161-133 Prestar los servicios de correo certificado electrónico, mensajería motorizada y especializada a nivel urbano, nacional e internacional, incluyendo la actividad de notificaciones judiciales de los actos administrativos de la UPME, garantizando el "/>
    <s v="Enero "/>
    <s v="Enero "/>
    <s v="Enero "/>
    <n v="12"/>
    <s v="Meses"/>
    <s v="Contratación directa"/>
    <s v="Propios - 20 - Ingresos corrientes"/>
    <n v="37150000"/>
    <n v="37150000"/>
    <s v="No"/>
    <s v="N/A"/>
    <s v="Johanna Castellanos"/>
    <s v="Subdirectora de Demanda"/>
    <n v="6012220601"/>
    <s v="johanna.castellanos@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0"/>
    <n v="0"/>
    <n v="3715000"/>
    <n v="0"/>
    <n v="3715000"/>
    <n v="0"/>
    <n v="3715000"/>
    <n v="0"/>
    <n v="3715000"/>
    <n v="0"/>
    <n v="3715000"/>
    <n v="0"/>
    <n v="3715000"/>
    <n v="0"/>
    <n v="3715000"/>
    <n v="0"/>
    <n v="3715000"/>
    <n v="0"/>
    <n v="3715000"/>
    <n v="0"/>
    <n v="3715000"/>
    <m/>
    <m/>
    <n v="0"/>
    <n v="37150000"/>
    <n v="37150000"/>
    <n v="0"/>
    <n v="54126"/>
    <d v="2026-01-21T00:00:00"/>
    <n v="30000000"/>
    <n v="7150000"/>
    <m/>
    <m/>
    <n v="0"/>
    <n v="37150000"/>
    <n v="30000000"/>
    <m/>
    <m/>
    <m/>
    <m/>
    <m/>
    <m/>
    <m/>
    <m/>
    <m/>
    <m/>
    <m/>
    <m/>
    <m/>
    <m/>
    <m/>
    <m/>
    <m/>
    <m/>
    <m/>
    <m/>
    <m/>
    <m/>
    <m/>
    <m/>
    <m/>
    <m/>
    <m/>
    <m/>
    <m/>
    <m/>
    <m/>
    <m/>
    <m/>
    <m/>
    <m/>
    <m/>
    <m/>
    <m/>
    <n v="0"/>
    <n v="0"/>
    <n v="0"/>
    <n v="0"/>
    <n v="0"/>
    <x v="0"/>
  </r>
  <r>
    <x v="1"/>
    <x v="5"/>
    <s v="N/A"/>
    <s v="N/A"/>
    <s v="Sí"/>
    <s v="Sí"/>
    <n v="9"/>
    <s v="161-134"/>
    <s v="N.A"/>
    <s v="N.A"/>
    <s v="N.A"/>
    <n v="80111620"/>
    <s v="A-05-01-02-008-003"/>
    <s v="Prestación de servicios profesionales y/o de apoyo a la gestión"/>
    <s v="161-134 Prestar servicios profesionales al GIT de financiera, específicamente en los procesos de Tesorería y Presupuesto, conforme a la normatividad vigente"/>
    <s v="Enero "/>
    <s v="Enero "/>
    <s v="Enero "/>
    <n v="10"/>
    <s v="Meses"/>
    <s v="Contratación directa - Prestación de servicios profesionales "/>
    <s v="Propios - 20 - Ingresos corrientes"/>
    <n v="33000000"/>
    <n v="33000000"/>
    <s v="No"/>
    <s v="N/A"/>
    <s v="Hollman Corredor"/>
    <s v="Coordinador GIT Financiero"/>
    <n v="6012220601"/>
    <s v="hollman.corredor@upme.gov.co"/>
    <m/>
    <m/>
    <m/>
    <m/>
    <m/>
    <m/>
    <m/>
    <m/>
    <m/>
    <m/>
    <m/>
    <m/>
    <m/>
    <m/>
    <m/>
    <m/>
    <m/>
    <m/>
    <m/>
    <m/>
    <m/>
    <m/>
    <m/>
    <m/>
    <m/>
    <m/>
    <m/>
    <m/>
    <s v="Prestar servicios profesionales al GIT de financiera, específicamente en los procesos de Tesorería y Presupuesto, conforme a la normatividad vigente"/>
    <m/>
    <m/>
    <m/>
    <m/>
    <m/>
    <m/>
    <m/>
    <m/>
    <m/>
    <m/>
    <m/>
    <m/>
    <m/>
    <m/>
    <m/>
    <m/>
    <m/>
    <m/>
    <m/>
    <m/>
    <m/>
    <m/>
    <m/>
    <m/>
    <m/>
    <m/>
    <n v="0"/>
    <n v="0"/>
    <n v="33000000"/>
    <n v="33000000"/>
    <n v="66926"/>
    <d v="2026-01-29T00:00:00"/>
    <n v="33000000"/>
    <n v="0"/>
    <m/>
    <m/>
    <n v="0"/>
    <n v="33000000"/>
    <n v="33000000"/>
    <m/>
    <m/>
    <m/>
    <m/>
    <m/>
    <m/>
    <m/>
    <m/>
    <m/>
    <m/>
    <m/>
    <m/>
    <m/>
    <m/>
    <m/>
    <m/>
    <m/>
    <m/>
    <m/>
    <m/>
    <m/>
    <m/>
    <m/>
    <m/>
    <m/>
    <m/>
    <m/>
    <m/>
    <m/>
    <m/>
    <m/>
    <m/>
    <m/>
    <m/>
    <m/>
    <m/>
    <m/>
    <m/>
    <n v="0"/>
    <n v="0"/>
    <n v="0"/>
    <n v="0"/>
    <n v="0"/>
    <x v="0"/>
  </r>
  <r>
    <x v="1"/>
    <x v="5"/>
    <s v="N/A"/>
    <s v="N/A"/>
    <s v="Sí"/>
    <s v="Sí"/>
    <n v="68"/>
    <s v="161-14"/>
    <s v="N.A"/>
    <s v="N.A"/>
    <s v="N.A"/>
    <n v="80111620"/>
    <s v="A-05-01-02-008-002"/>
    <s v="Prestación de servicios profesionales y/o de apoyo a la gestión"/>
    <s v="161-14 Prestar los servicios profesionales para la asistencia jurídica y atención al ciudadano, así como la respuesta a PQR´s de los requerimientos asociados al trámite de Incentivos Tributarios."/>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los servicios profesionales para la asistencia jurídica y atención al ciudadano, así como la respuesta a PQR´s de los requerimientos asociados al trámite de Incentivos Tributarios."/>
    <m/>
    <m/>
    <m/>
    <n v="657000"/>
    <m/>
    <n v="3285000"/>
    <m/>
    <n v="3285000"/>
    <m/>
    <n v="3285000"/>
    <m/>
    <n v="3285000"/>
    <m/>
    <n v="3285000"/>
    <m/>
    <n v="3285000"/>
    <m/>
    <n v="3285000"/>
    <m/>
    <n v="3285000"/>
    <m/>
    <n v="3285000"/>
    <m/>
    <n v="6570000"/>
    <m/>
    <m/>
    <n v="0"/>
    <n v="36792000"/>
    <n v="36792000"/>
    <n v="0"/>
    <n v="17826"/>
    <d v="2026-01-10T00:00:00"/>
    <n v="36792000"/>
    <n v="0"/>
    <n v="17226"/>
    <d v="2026-01-22T00:00:00"/>
    <n v="36792000"/>
    <n v="0"/>
    <n v="0"/>
    <s v="GARCIA VILLA KARLA MARCELA"/>
    <s v="CO1.PCCNTR.8950974"/>
    <n v="36792000"/>
    <m/>
    <m/>
    <m/>
    <m/>
    <m/>
    <m/>
    <m/>
    <m/>
    <m/>
    <m/>
    <m/>
    <m/>
    <m/>
    <m/>
    <m/>
    <m/>
    <m/>
    <m/>
    <m/>
    <m/>
    <m/>
    <m/>
    <m/>
    <m/>
    <m/>
    <m/>
    <m/>
    <m/>
    <m/>
    <m/>
    <m/>
    <m/>
    <m/>
    <m/>
    <m/>
    <n v="36792000"/>
    <n v="0"/>
    <n v="0"/>
    <n v="36792000"/>
    <n v="0"/>
    <x v="0"/>
  </r>
  <r>
    <x v="1"/>
    <x v="5"/>
    <s v="N/A"/>
    <s v="N/A"/>
    <s v="Sí"/>
    <s v="Sí"/>
    <n v="1"/>
    <s v="161-15"/>
    <s v="N.A"/>
    <s v="N.A"/>
    <s v="N.A"/>
    <n v="80111620"/>
    <s v="A-05-01-02-008-003"/>
    <s v="Prestación de servicios profesionales y/o de apoyo a la gestión"/>
    <s v="161-15 Prestar servicios profesionales para la evaluación, análisis de la información de los proyectos de Fuentes No Convencionales de Energía y Gestión eficiente de la energía así como la validación documental, evaluación técnica y conceptualización de m"/>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así como la validación documental, evaluación técnica y conceptualización de medidas "/>
    <m/>
    <m/>
    <m/>
    <n v="1314000"/>
    <m/>
    <n v="3285000"/>
    <m/>
    <n v="3285000"/>
    <m/>
    <n v="3285000"/>
    <m/>
    <n v="3285000"/>
    <m/>
    <n v="3285000"/>
    <m/>
    <n v="3285000"/>
    <m/>
    <n v="3285000"/>
    <m/>
    <n v="3285000"/>
    <m/>
    <n v="3285000"/>
    <m/>
    <n v="6570000"/>
    <m/>
    <m/>
    <n v="0"/>
    <n v="37449000"/>
    <n v="37449000"/>
    <n v="0"/>
    <n v="17326"/>
    <d v="2026-01-10T00:00:00"/>
    <n v="37011000"/>
    <n v="438000"/>
    <n v="17426"/>
    <d v="2026-01-22T00:00:00"/>
    <n v="37011000"/>
    <n v="438000"/>
    <n v="0"/>
    <s v="SANABRIA BURGOS DANIEL CAMILO"/>
    <s v="CO1.PCCNTR.8978626"/>
    <n v="37011000"/>
    <m/>
    <m/>
    <m/>
    <m/>
    <m/>
    <m/>
    <m/>
    <m/>
    <m/>
    <m/>
    <m/>
    <m/>
    <m/>
    <m/>
    <m/>
    <m/>
    <m/>
    <m/>
    <m/>
    <m/>
    <m/>
    <m/>
    <m/>
    <m/>
    <m/>
    <m/>
    <m/>
    <m/>
    <m/>
    <m/>
    <m/>
    <m/>
    <m/>
    <m/>
    <m/>
    <n v="37011000"/>
    <n v="0"/>
    <n v="0"/>
    <n v="37011000"/>
    <n v="0"/>
    <x v="0"/>
  </r>
  <r>
    <x v="1"/>
    <x v="5"/>
    <s v="N/A"/>
    <s v="N/A"/>
    <s v="Sí"/>
    <s v="Sí"/>
    <n v="68"/>
    <s v="161-16"/>
    <s v="N.A"/>
    <s v="N.A"/>
    <s v="N.A"/>
    <n v="80111620"/>
    <s v="A-05-01-02-008-003"/>
    <s v="Prestación de servicios profesionales y/o de apoyo a la gestión"/>
    <s v="161-16 Prestar servicios profesionales para la validación documental, la evaluación técnica y la conceptualización de las medidas de eficiencia energética reportadas para los edificios de las administraciones públicas presentados ante la UPME."/>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servicios profesionales para la validación documental, la evaluación técnica y la conceptualización de las medidas de eficiencia energética reportadas para los edificios de las administraciones públicas presentados ante la UPME."/>
    <m/>
    <m/>
    <m/>
    <n v="657000"/>
    <m/>
    <n v="3285000"/>
    <m/>
    <n v="3285000"/>
    <m/>
    <n v="3285000"/>
    <m/>
    <n v="3285000"/>
    <m/>
    <n v="3285000"/>
    <m/>
    <n v="3285000"/>
    <m/>
    <n v="3285000"/>
    <m/>
    <n v="3285000"/>
    <m/>
    <n v="3285000"/>
    <m/>
    <n v="6570000"/>
    <m/>
    <m/>
    <n v="0"/>
    <n v="36792000"/>
    <n v="36792000"/>
    <n v="0"/>
    <m/>
    <m/>
    <m/>
    <n v="36792000"/>
    <m/>
    <m/>
    <n v="0"/>
    <n v="36792000"/>
    <n v="0"/>
    <m/>
    <m/>
    <m/>
    <m/>
    <m/>
    <m/>
    <m/>
    <m/>
    <m/>
    <m/>
    <m/>
    <m/>
    <m/>
    <m/>
    <m/>
    <m/>
    <m/>
    <m/>
    <m/>
    <m/>
    <m/>
    <m/>
    <m/>
    <m/>
    <m/>
    <m/>
    <m/>
    <m/>
    <m/>
    <m/>
    <m/>
    <m/>
    <m/>
    <m/>
    <m/>
    <m/>
    <m/>
    <m/>
    <n v="0"/>
    <n v="0"/>
    <n v="0"/>
    <n v="0"/>
    <n v="0"/>
    <x v="0"/>
  </r>
  <r>
    <x v="1"/>
    <x v="5"/>
    <s v="N/A"/>
    <s v="N/A"/>
    <s v="Sí"/>
    <s v="Sí"/>
    <n v="68"/>
    <s v="161-17"/>
    <s v="N.A"/>
    <s v="N.A"/>
    <s v="N.A"/>
    <n v="80111620"/>
    <s v="A-05-01-02-008-003"/>
    <s v="Prestación de servicios profesionales y/o de apoyo a la gestión"/>
    <s v="161-17 Prestar servicios profesionales para diseñar, desarrollar y acompañar estrategias de pedagogía y difusión con enfoque social, orientadas a la sensibilización, capacitación, formación y fortalecimiento de capacidades de los públicos objetivo de los "/>
    <s v="Enero "/>
    <s v="Enero "/>
    <s v="Enero "/>
    <n v="7"/>
    <s v="Meses"/>
    <s v="Contratación directa - Prestación de servicios profesionales "/>
    <s v="Propios - 20 - Ingresos corrientes"/>
    <n v="42000000"/>
    <n v="42000000"/>
    <s v="No"/>
    <s v="N/A"/>
    <s v="Johanna Castellanos"/>
    <s v="Subdirectora de Demanda"/>
    <n v="6012220601"/>
    <s v="johanna.castellanos@upme.gov.co"/>
    <m/>
    <m/>
    <m/>
    <m/>
    <m/>
    <m/>
    <m/>
    <m/>
    <m/>
    <m/>
    <m/>
    <m/>
    <m/>
    <m/>
    <m/>
    <m/>
    <m/>
    <m/>
    <m/>
    <m/>
    <m/>
    <m/>
    <m/>
    <m/>
    <m/>
    <m/>
    <m/>
    <m/>
    <s v="Prestar servicios profesionales para diseñar, desarrollar y acompañar estrategias de pedagogía y difusión con enfoque social, orientadas a la sensibilización, capacitación, formación y fortalecimiento de capacidades de los públicos objetivo de los diferen"/>
    <m/>
    <m/>
    <m/>
    <n v="-24000000"/>
    <m/>
    <n v="6000000"/>
    <m/>
    <n v="6000000"/>
    <m/>
    <n v="6000000"/>
    <m/>
    <n v="6000000"/>
    <m/>
    <n v="6000000"/>
    <m/>
    <n v="6000000"/>
    <m/>
    <n v="6000000"/>
    <m/>
    <n v="6000000"/>
    <m/>
    <n v="6000000"/>
    <m/>
    <n v="12000000"/>
    <m/>
    <m/>
    <n v="0"/>
    <n v="42000000"/>
    <n v="42000000"/>
    <n v="0"/>
    <n v="62126"/>
    <d v="2026-01-23T00:00:00"/>
    <n v="42000000"/>
    <n v="0"/>
    <m/>
    <m/>
    <n v="0"/>
    <n v="42000000"/>
    <n v="42000000"/>
    <m/>
    <m/>
    <m/>
    <m/>
    <m/>
    <m/>
    <m/>
    <m/>
    <m/>
    <m/>
    <m/>
    <m/>
    <m/>
    <m/>
    <m/>
    <m/>
    <m/>
    <m/>
    <m/>
    <m/>
    <m/>
    <m/>
    <m/>
    <m/>
    <m/>
    <m/>
    <m/>
    <m/>
    <m/>
    <m/>
    <m/>
    <m/>
    <m/>
    <m/>
    <m/>
    <m/>
    <m/>
    <m/>
    <n v="0"/>
    <n v="0"/>
    <n v="0"/>
    <n v="0"/>
    <n v="0"/>
    <x v="0"/>
  </r>
  <r>
    <x v="1"/>
    <x v="5"/>
    <s v="N/A"/>
    <s v="N/A"/>
    <s v="Sí"/>
    <s v="Sí"/>
    <n v="68"/>
    <s v="161-18"/>
    <s v="N.A"/>
    <s v="N.A"/>
    <s v="N.A"/>
    <n v="80111620"/>
    <s v="A-05-01-02-008-003"/>
    <s v="Prestación de servicios profesionales y/o de apoyo a la gestión"/>
    <s v="161-18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642500"/>
    <m/>
    <n v="3285000"/>
    <m/>
    <n v="3285000"/>
    <m/>
    <n v="3285000"/>
    <m/>
    <n v="3285000"/>
    <m/>
    <n v="3285000"/>
    <m/>
    <n v="3285000"/>
    <m/>
    <n v="3285000"/>
    <m/>
    <n v="3285000"/>
    <m/>
    <n v="3285000"/>
    <m/>
    <n v="6570000"/>
    <m/>
    <m/>
    <n v="0"/>
    <n v="37777500"/>
    <n v="37777500"/>
    <n v="0"/>
    <n v="41226"/>
    <d v="2026-01-16T00:00:00"/>
    <n v="37777500"/>
    <n v="0"/>
    <n v="20726"/>
    <d v="2026-01-26T00:00:00"/>
    <n v="36135000"/>
    <n v="1642500"/>
    <n v="1642500"/>
    <s v="GONZALEZ EDINSON"/>
    <s v="CO1.PCCNTR.9037777"/>
    <n v="36135000"/>
    <m/>
    <m/>
    <m/>
    <m/>
    <m/>
    <m/>
    <m/>
    <m/>
    <m/>
    <m/>
    <m/>
    <m/>
    <m/>
    <m/>
    <m/>
    <m/>
    <m/>
    <m/>
    <m/>
    <m/>
    <m/>
    <m/>
    <m/>
    <m/>
    <m/>
    <m/>
    <m/>
    <m/>
    <m/>
    <m/>
    <m/>
    <m/>
    <m/>
    <m/>
    <m/>
    <n v="36135000"/>
    <n v="0"/>
    <n v="0"/>
    <n v="36135000"/>
    <n v="0"/>
    <x v="0"/>
  </r>
  <r>
    <x v="1"/>
    <x v="5"/>
    <s v="N/A"/>
    <s v="N/A"/>
    <s v="Sí"/>
    <s v="Sí"/>
    <n v="68"/>
    <s v="161-19"/>
    <s v="N.A"/>
    <s v="N.A"/>
    <s v="N.A"/>
    <n v="80111620"/>
    <s v="A-05-01-02-008-003"/>
    <s v="Prestación de servicios profesionales y/o de apoyo a la gestión"/>
    <s v="161-19 Prestar servicios profesionales enfocados en la revisión, análisis y evaluación de la información técnica de proyectos de Fuentes No Convencionales de Energía y Gestión Eficiente de la Energía e hidrogeno, garantizando el cumplimiento de la normati"/>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focados en la revisión, análisis y evaluación de la información técnica de proyectos de Fuentes No Convencionales de Energía y Gestión Eficiente de la Energía e hidrogeno, garantizando el cumplimiento de la normativa vige"/>
    <m/>
    <m/>
    <m/>
    <n v="2500000"/>
    <m/>
    <n v="5000000"/>
    <m/>
    <n v="5000000"/>
    <m/>
    <n v="5000000"/>
    <m/>
    <n v="5000000"/>
    <m/>
    <n v="5000000"/>
    <m/>
    <n v="5000000"/>
    <m/>
    <n v="5000000"/>
    <m/>
    <n v="5000000"/>
    <m/>
    <n v="5000000"/>
    <m/>
    <n v="10000000"/>
    <m/>
    <m/>
    <n v="0"/>
    <n v="57500000"/>
    <n v="57500000"/>
    <n v="0"/>
    <n v="17926"/>
    <d v="2026-01-10T00:00:00"/>
    <n v="57500000"/>
    <n v="0"/>
    <n v="9226"/>
    <d v="2026-01-15T00:00:00"/>
    <n v="57500000"/>
    <n v="0"/>
    <n v="0"/>
    <s v="ROYERO CONTRERAS LUIS ROBERTO"/>
    <m/>
    <n v="57500000"/>
    <m/>
    <m/>
    <m/>
    <m/>
    <m/>
    <m/>
    <m/>
    <m/>
    <m/>
    <m/>
    <m/>
    <m/>
    <m/>
    <m/>
    <m/>
    <m/>
    <m/>
    <m/>
    <m/>
    <m/>
    <m/>
    <m/>
    <m/>
    <m/>
    <m/>
    <m/>
    <m/>
    <m/>
    <m/>
    <m/>
    <m/>
    <m/>
    <m/>
    <m/>
    <m/>
    <n v="57500000"/>
    <n v="0"/>
    <n v="0"/>
    <n v="57500000"/>
    <n v="0"/>
    <x v="0"/>
  </r>
  <r>
    <x v="1"/>
    <x v="5"/>
    <s v="N/A"/>
    <s v="N/A"/>
    <s v="Sí"/>
    <s v="Sí"/>
    <n v="68"/>
    <s v="161-2"/>
    <s v="N.A"/>
    <s v="N.A"/>
    <s v="N.A"/>
    <n v="80111620"/>
    <s v="A-05-01-02-008-003"/>
    <s v="Prestación de servicios profesionales y/o de apoyo a la gestión"/>
    <s v="161-2 Prestar los servicios profesionales para realizar el seguimiento y control de los procesos contractuales, la ejecución presupuestal y demás actividades que se requieran para el cumplimiento de las metas y objetivos de la Subdirección de Demanda, aso"/>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los servicios profesionales para realizar el seguimiento y control de los procesos contractuales, la ejecución presupuestal y demás actividades que se requieran para el cumplimiento de las metas y objetivos de la Subdirección de Demanda, asociados"/>
    <m/>
    <m/>
    <m/>
    <n v="3000000"/>
    <m/>
    <n v="6000000"/>
    <m/>
    <n v="6000000"/>
    <m/>
    <n v="6000000"/>
    <m/>
    <n v="6000000"/>
    <m/>
    <n v="6000000"/>
    <m/>
    <n v="6000000"/>
    <m/>
    <n v="6000000"/>
    <m/>
    <n v="6000000"/>
    <m/>
    <n v="6000000"/>
    <m/>
    <n v="12000000"/>
    <m/>
    <m/>
    <n v="0"/>
    <n v="69000000"/>
    <n v="69000000"/>
    <n v="0"/>
    <n v="9126"/>
    <d v="2026-01-06T00:00:00"/>
    <n v="69000000"/>
    <n v="0"/>
    <m/>
    <m/>
    <n v="0"/>
    <n v="69000000"/>
    <n v="69000000"/>
    <m/>
    <m/>
    <m/>
    <m/>
    <m/>
    <m/>
    <m/>
    <m/>
    <m/>
    <m/>
    <m/>
    <m/>
    <m/>
    <m/>
    <m/>
    <m/>
    <m/>
    <m/>
    <m/>
    <m/>
    <m/>
    <m/>
    <m/>
    <m/>
    <m/>
    <m/>
    <m/>
    <m/>
    <m/>
    <m/>
    <m/>
    <m/>
    <m/>
    <m/>
    <m/>
    <m/>
    <m/>
    <m/>
    <n v="0"/>
    <n v="0"/>
    <n v="0"/>
    <n v="0"/>
    <n v="0"/>
    <x v="0"/>
  </r>
  <r>
    <x v="1"/>
    <x v="5"/>
    <s v="N/A"/>
    <s v="N/A"/>
    <s v="Sí"/>
    <s v="Sí"/>
    <n v="68"/>
    <s v="161-20"/>
    <s v="N.A"/>
    <s v="N.A"/>
    <s v="N.A"/>
    <n v="80111620"/>
    <s v="A-05-01-02-008-003"/>
    <s v="Prestación de servicios profesionales y/o de apoyo a la gestión"/>
    <s v="161-20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314000"/>
    <m/>
    <n v="3285000"/>
    <m/>
    <n v="3285000"/>
    <m/>
    <n v="3285000"/>
    <m/>
    <n v="3285000"/>
    <m/>
    <n v="3285000"/>
    <m/>
    <n v="3285000"/>
    <m/>
    <n v="3285000"/>
    <m/>
    <n v="3285000"/>
    <m/>
    <n v="3285000"/>
    <m/>
    <n v="6570000"/>
    <m/>
    <m/>
    <n v="0"/>
    <n v="37449000"/>
    <n v="37449000"/>
    <n v="0"/>
    <n v="12526"/>
    <d v="2026-01-08T00:00:00"/>
    <n v="37449000"/>
    <n v="0"/>
    <n v="11326"/>
    <d v="2026-01-17T00:00:00"/>
    <n v="37449000"/>
    <n v="0"/>
    <n v="0"/>
    <s v="VILLALBA MARQUEZ OBDULIA MARIA"/>
    <s v="CO1.PCCNTR.8871181"/>
    <n v="37449000"/>
    <m/>
    <m/>
    <m/>
    <m/>
    <m/>
    <m/>
    <m/>
    <m/>
    <m/>
    <m/>
    <m/>
    <m/>
    <m/>
    <m/>
    <m/>
    <m/>
    <m/>
    <m/>
    <m/>
    <m/>
    <m/>
    <m/>
    <m/>
    <m/>
    <m/>
    <m/>
    <m/>
    <m/>
    <m/>
    <m/>
    <m/>
    <m/>
    <m/>
    <m/>
    <m/>
    <n v="37449000"/>
    <n v="0"/>
    <n v="0"/>
    <n v="37449000"/>
    <n v="0"/>
    <x v="0"/>
  </r>
  <r>
    <x v="1"/>
    <x v="5"/>
    <s v="N/A"/>
    <s v="N/A"/>
    <s v="Sí"/>
    <s v="Sí"/>
    <n v="68"/>
    <s v="161-21"/>
    <s v="N.A"/>
    <s v="N.A"/>
    <s v="N.A"/>
    <n v="80111620"/>
    <s v="A-05-01-02-008-003"/>
    <s v="Prestación de servicios profesionales y/o de apoyo a la gestión"/>
    <s v="161-21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314000"/>
    <m/>
    <n v="3285000"/>
    <m/>
    <n v="3285000"/>
    <m/>
    <n v="3285000"/>
    <m/>
    <n v="3285000"/>
    <m/>
    <n v="3285000"/>
    <m/>
    <n v="3285000"/>
    <m/>
    <n v="3285000"/>
    <m/>
    <n v="3285000"/>
    <m/>
    <n v="3285000"/>
    <m/>
    <n v="6570000"/>
    <m/>
    <m/>
    <n v="0"/>
    <n v="37449000"/>
    <n v="37449000"/>
    <n v="0"/>
    <n v="44426"/>
    <d v="2026-01-17T00:00:00"/>
    <n v="37449000"/>
    <n v="0"/>
    <n v="31726"/>
    <d v="2026-01-29T00:00:00"/>
    <n v="36135000"/>
    <n v="1314000"/>
    <n v="1314000"/>
    <s v="HERNANDEZ BAYONA DIANA CATALINA"/>
    <s v="CO1.PCCNTR.9108594"/>
    <n v="36135000"/>
    <m/>
    <m/>
    <m/>
    <m/>
    <m/>
    <m/>
    <m/>
    <m/>
    <m/>
    <m/>
    <m/>
    <m/>
    <m/>
    <m/>
    <m/>
    <m/>
    <m/>
    <m/>
    <m/>
    <m/>
    <m/>
    <m/>
    <m/>
    <m/>
    <m/>
    <m/>
    <m/>
    <m/>
    <m/>
    <m/>
    <m/>
    <m/>
    <m/>
    <m/>
    <m/>
    <n v="36135000"/>
    <n v="0"/>
    <n v="0"/>
    <n v="36135000"/>
    <n v="0"/>
    <x v="0"/>
  </r>
  <r>
    <x v="1"/>
    <x v="5"/>
    <s v="N/A"/>
    <s v="N/A"/>
    <s v="Sí"/>
    <s v="Sí"/>
    <n v="10"/>
    <s v="161-22"/>
    <s v="N.A"/>
    <s v="N.A"/>
    <s v="N.A"/>
    <n v="80111620"/>
    <s v="A-05-01-02-008-003"/>
    <s v="Prestación de servicios profesionales y/o de apoyo a la gestión"/>
    <s v="161-22 Prestar servicios profesionales en materia contable, financiera y tributaria para la correcta aplicación de modificaciones normativas de incentivos tributarios y la revisión de criterios fiscales así como el apoyo administrativo a la Subdirección d"/>
    <s v="Enero "/>
    <s v="Enero "/>
    <s v="Enero "/>
    <n v="6"/>
    <s v="Meses"/>
    <s v="Contratación directa - Prestación de servicios profesionales "/>
    <s v="Propios - 20 - Ingresos corrientes"/>
    <n v="30000000"/>
    <n v="30000000"/>
    <s v="No"/>
    <s v="N/A"/>
    <s v="Johanna Castellanos"/>
    <s v="Subdirectora de Demanda"/>
    <n v="6012220601"/>
    <s v="johanna.castellanos@upme.gov.co"/>
    <m/>
    <m/>
    <m/>
    <m/>
    <m/>
    <m/>
    <m/>
    <m/>
    <m/>
    <m/>
    <m/>
    <m/>
    <m/>
    <m/>
    <m/>
    <m/>
    <m/>
    <m/>
    <m/>
    <m/>
    <m/>
    <m/>
    <m/>
    <m/>
    <m/>
    <m/>
    <m/>
    <m/>
    <s v="Prestar servicios profesionales en materia contable, financiera y tributaria para la correcta aplicación de modificaciones normativas de incentivos tributarios y la revisión de criterios fiscales así como el apoyo administrativo a la Subdirección de Deman"/>
    <m/>
    <m/>
    <n v="0"/>
    <n v="0"/>
    <n v="0"/>
    <n v="5000000"/>
    <n v="0"/>
    <n v="5000000"/>
    <n v="0"/>
    <n v="5000000"/>
    <n v="0"/>
    <n v="5000000"/>
    <n v="0"/>
    <n v="5000000"/>
    <n v="0"/>
    <n v="5000000"/>
    <n v="0"/>
    <n v="0"/>
    <n v="0"/>
    <n v="0"/>
    <n v="0"/>
    <n v="0"/>
    <n v="0"/>
    <n v="0"/>
    <m/>
    <m/>
    <n v="0"/>
    <n v="30000000"/>
    <n v="30000000"/>
    <n v="0"/>
    <n v="68526"/>
    <d v="2026-01-30T00:00:00"/>
    <n v="30000000"/>
    <n v="0"/>
    <n v="57426"/>
    <d v="2026-02-10T00:00:00"/>
    <n v="30000000"/>
    <n v="0"/>
    <n v="0"/>
    <s v="VILLACORTE PACHECO GISELY MILAGROS"/>
    <s v="CO1.PCCNTR.9307908"/>
    <n v="30000000"/>
    <m/>
    <m/>
    <m/>
    <m/>
    <m/>
    <m/>
    <m/>
    <m/>
    <m/>
    <m/>
    <m/>
    <m/>
    <m/>
    <m/>
    <m/>
    <m/>
    <m/>
    <m/>
    <m/>
    <m/>
    <m/>
    <m/>
    <m/>
    <m/>
    <m/>
    <m/>
    <m/>
    <m/>
    <m/>
    <m/>
    <m/>
    <m/>
    <m/>
    <m/>
    <m/>
    <n v="30000000"/>
    <n v="0"/>
    <n v="0"/>
    <n v="30000000"/>
    <n v="0"/>
    <x v="0"/>
  </r>
  <r>
    <x v="1"/>
    <x v="5"/>
    <s v="N/A"/>
    <s v="N/A"/>
    <s v="Sí"/>
    <s v="Sí"/>
    <n v="68"/>
    <s v="161-23"/>
    <s v="N.A"/>
    <s v="N.A"/>
    <s v="N.A"/>
    <n v="80111620"/>
    <s v="A-05-01-02-008-003"/>
    <s v="Prestación de servicios profesionales y/o de apoyo a la gestión"/>
    <s v="161-23 Prestar servicios profesionales especializados en arquitectura empresarial, automatización avanzada de procesos y desarrollo de soluciones tecnológicas sobre la plataforma Bizagi en el trámite de Incentivos Tributarios y otros entornos compatibles "/>
    <s v="Enero "/>
    <s v="Enero "/>
    <s v="Enero "/>
    <n v="11.5"/>
    <s v="Meses"/>
    <s v="Contratación directa - Prestación de servicios profesionales "/>
    <s v="Propios - 20 - Ingresos corrientes"/>
    <n v="92000000"/>
    <n v="92000000"/>
    <s v="No"/>
    <s v="N/A"/>
    <s v="Johanna Castellanos"/>
    <s v="Subdirectora de Demanda"/>
    <n v="6012220601"/>
    <s v="johanna.castellanos@upme.gov.co"/>
    <m/>
    <m/>
    <m/>
    <m/>
    <m/>
    <m/>
    <m/>
    <m/>
    <m/>
    <m/>
    <m/>
    <m/>
    <m/>
    <m/>
    <m/>
    <m/>
    <m/>
    <m/>
    <m/>
    <m/>
    <m/>
    <m/>
    <m/>
    <m/>
    <m/>
    <m/>
    <m/>
    <m/>
    <s v="Prestar servicios profesionales especializados en arquitectura empresarial, automatización avanzada de procesos y desarrollo de soluciones tecnológicas sobre la plataforma Bizagi en el trámite de Incentivos Tributarios y otros entornos compatibles adoptad"/>
    <m/>
    <m/>
    <m/>
    <n v="4000000"/>
    <m/>
    <n v="8000000"/>
    <m/>
    <n v="8000000"/>
    <m/>
    <n v="8000000"/>
    <m/>
    <n v="8000000"/>
    <m/>
    <n v="8000000"/>
    <m/>
    <n v="8000000"/>
    <m/>
    <n v="8000000"/>
    <m/>
    <n v="8000000"/>
    <m/>
    <n v="8000000"/>
    <m/>
    <n v="16000000"/>
    <m/>
    <m/>
    <n v="0"/>
    <n v="92000000"/>
    <n v="92000000"/>
    <n v="0"/>
    <n v="38026"/>
    <d v="2026-01-15T00:00:00"/>
    <n v="92000000"/>
    <n v="0"/>
    <n v="23326"/>
    <d v="2026-01-27T00:00:00"/>
    <n v="88000000"/>
    <n v="4000000"/>
    <n v="4000000"/>
    <s v="MARQUEZ SALAZAR OSCAR IVAN_x000a_"/>
    <s v="CO1.PCCNTR.9092163"/>
    <n v="88000000"/>
    <m/>
    <m/>
    <m/>
    <m/>
    <m/>
    <m/>
    <m/>
    <m/>
    <m/>
    <m/>
    <m/>
    <m/>
    <m/>
    <m/>
    <m/>
    <m/>
    <m/>
    <m/>
    <m/>
    <m/>
    <m/>
    <m/>
    <m/>
    <m/>
    <m/>
    <m/>
    <m/>
    <m/>
    <m/>
    <m/>
    <m/>
    <m/>
    <m/>
    <m/>
    <m/>
    <n v="88000000"/>
    <n v="0"/>
    <n v="0"/>
    <n v="88000000"/>
    <n v="0"/>
    <x v="0"/>
  </r>
  <r>
    <x v="1"/>
    <x v="5"/>
    <s v="N/A"/>
    <s v="N/A"/>
    <s v="Sí"/>
    <s v="Sí"/>
    <n v="68"/>
    <s v="161-24"/>
    <s v="N.A"/>
    <s v="N.A"/>
    <s v="N.A"/>
    <n v="80111620"/>
    <s v="A-05-01-02-008-003"/>
    <s v="Prestación de servicios profesionales y/o de apoyo a la gestión"/>
    <s v="161-24 Prestar servicios profesionales para realizar la gestión y análisis de información, construcción de bases de datos, formulación y seguimiento a las estadísticas e indicadores de impacto de los incentivos tributarios, con enfoque territorial."/>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realizar la gestión y análisis de información, construcción de bases de datos, formulación y seguimiento a las estadísticas e indicadores de impacto de los incentivos tributarios, con enfoque territorial."/>
    <m/>
    <m/>
    <m/>
    <n v="2500000"/>
    <m/>
    <n v="5000000"/>
    <m/>
    <n v="5000000"/>
    <m/>
    <n v="5000000"/>
    <m/>
    <n v="5000000"/>
    <m/>
    <n v="5000000"/>
    <m/>
    <n v="5000000"/>
    <m/>
    <n v="5000000"/>
    <m/>
    <n v="5000000"/>
    <m/>
    <n v="5000000"/>
    <m/>
    <n v="10000000"/>
    <m/>
    <m/>
    <n v="0"/>
    <n v="57500000"/>
    <n v="57500000"/>
    <n v="0"/>
    <n v="37826"/>
    <d v="2026-01-15T00:00:00"/>
    <n v="57500000"/>
    <n v="0"/>
    <n v="23826"/>
    <d v="2026-01-27T00:00:00"/>
    <n v="57500000"/>
    <n v="0"/>
    <n v="0"/>
    <s v="CRISTIAN ALEJANDRO BLANCO MARTINEZ"/>
    <s v="CO1.PCCNTR.9092544"/>
    <n v="55000000"/>
    <m/>
    <m/>
    <m/>
    <m/>
    <m/>
    <m/>
    <m/>
    <m/>
    <m/>
    <m/>
    <m/>
    <m/>
    <m/>
    <m/>
    <m/>
    <m/>
    <m/>
    <m/>
    <m/>
    <m/>
    <m/>
    <m/>
    <m/>
    <m/>
    <m/>
    <m/>
    <m/>
    <m/>
    <m/>
    <m/>
    <m/>
    <m/>
    <m/>
    <m/>
    <m/>
    <n v="55000000"/>
    <n v="0"/>
    <n v="0"/>
    <n v="55000000"/>
    <n v="0"/>
    <x v="0"/>
  </r>
  <r>
    <x v="1"/>
    <x v="5"/>
    <s v="N/A"/>
    <s v="N/A"/>
    <s v="Sí"/>
    <s v="Sí"/>
    <n v="68"/>
    <s v="161-25"/>
    <s v="N.A"/>
    <s v="N.A"/>
    <s v="N.A"/>
    <n v="80111620"/>
    <s v="A-05-01-02-008-003"/>
    <s v="Prestación de servicios profesionales y/o de apoyo a la gestión"/>
    <s v="161-25 Prestar servicios de apoyo asistencial para la gestión operativa de los casos, realizando la distribución y enrutamiento oportuno a los evaluadores correspondientes, el registro y actualización de la base de datos de seguimiento conforme al procedi"/>
    <s v="Enero "/>
    <s v="Enero "/>
    <s v="Enero "/>
    <n v="11.5"/>
    <s v="Meses"/>
    <s v="Contratación directa - Prestación de servicios profesionales "/>
    <s v="Propios - 20 - Ingresos corrientes"/>
    <n v="23000000"/>
    <n v="23000000"/>
    <s v="No"/>
    <s v="N/A"/>
    <s v="Johanna Castellanos"/>
    <s v="Subdirectora de Demanda"/>
    <n v="6012220601"/>
    <s v="johanna.castellanos@upme.gov.co"/>
    <m/>
    <m/>
    <m/>
    <m/>
    <m/>
    <m/>
    <m/>
    <m/>
    <m/>
    <m/>
    <m/>
    <m/>
    <m/>
    <m/>
    <m/>
    <m/>
    <m/>
    <m/>
    <m/>
    <m/>
    <m/>
    <m/>
    <m/>
    <m/>
    <m/>
    <m/>
    <m/>
    <m/>
    <s v="Prestar servicios de apoyo asistencial para la gestión operativa de los casos, realizando la distribución y enrutamiento oportuno a los evaluadores correspondientes, el registro y actualización de la base de datos de seguimiento conforme al procedimiento "/>
    <m/>
    <m/>
    <m/>
    <n v="1000000"/>
    <m/>
    <n v="2000000"/>
    <m/>
    <n v="2000000"/>
    <m/>
    <n v="2000000"/>
    <m/>
    <n v="2000000"/>
    <m/>
    <n v="2000000"/>
    <m/>
    <n v="2000000"/>
    <m/>
    <n v="2000000"/>
    <m/>
    <n v="2000000"/>
    <m/>
    <n v="2000000"/>
    <m/>
    <n v="4000000"/>
    <m/>
    <m/>
    <n v="0"/>
    <n v="23000000"/>
    <n v="23000000"/>
    <n v="0"/>
    <n v="60526"/>
    <d v="2026-01-23T00:00:00"/>
    <n v="22000000"/>
    <n v="1000000"/>
    <n v="50826"/>
    <d v="2026-02-09T00:00:00"/>
    <n v="22000000"/>
    <n v="1000000"/>
    <n v="0"/>
    <s v="RUBIO HERNANDEZ JHONNATAN"/>
    <s v="CO1.PCCNTR.9291931"/>
    <m/>
    <m/>
    <m/>
    <n v="22000000"/>
    <m/>
    <m/>
    <m/>
    <m/>
    <m/>
    <m/>
    <m/>
    <m/>
    <m/>
    <m/>
    <m/>
    <m/>
    <m/>
    <m/>
    <m/>
    <m/>
    <m/>
    <m/>
    <m/>
    <m/>
    <m/>
    <m/>
    <m/>
    <m/>
    <m/>
    <m/>
    <m/>
    <m/>
    <m/>
    <m/>
    <m/>
    <m/>
    <n v="22000000"/>
    <n v="0"/>
    <n v="0"/>
    <n v="22000000"/>
    <n v="0"/>
    <x v="0"/>
  </r>
  <r>
    <x v="1"/>
    <x v="5"/>
    <s v="N/A"/>
    <s v="N/A"/>
    <s v="Sí"/>
    <s v="Sí"/>
    <n v="68"/>
    <s v="161-26"/>
    <s v="N.A"/>
    <s v="N.A"/>
    <s v="N.A"/>
    <n v="80111620"/>
    <s v="A-05-01-02-008-003"/>
    <s v="Prestación de servicios profesionales y/o de apoyo a la gestión"/>
    <s v="161-26 Prestar servicios de apoyo asistencial para la gestión operativa de los casos, realizando la distribución y enrutamiento oportuno a los evaluadores correspondientes, el registro y actualización de la base de datos de seguimiento y la verificación d"/>
    <s v="Enero "/>
    <s v="Enero "/>
    <s v="Enero "/>
    <n v="11.5"/>
    <s v="Meses"/>
    <s v="Contratación directa - Prestación de servicios profesionales "/>
    <s v="Propios - 20 - Ingresos corrientes"/>
    <n v="28750000"/>
    <n v="28750000"/>
    <s v="No"/>
    <s v="N/A"/>
    <s v="Johanna Castellanos"/>
    <s v="Subdirectora de Demanda"/>
    <n v="6012220601"/>
    <s v="johanna.castellanos@upme.gov.co"/>
    <m/>
    <m/>
    <m/>
    <m/>
    <m/>
    <m/>
    <m/>
    <m/>
    <m/>
    <m/>
    <m/>
    <m/>
    <m/>
    <m/>
    <m/>
    <m/>
    <m/>
    <m/>
    <m/>
    <m/>
    <m/>
    <m/>
    <m/>
    <m/>
    <m/>
    <m/>
    <m/>
    <m/>
    <s v="Prestar servicios de apoyo asistencial para la gestión operativa de los casos, realizando la distribución y enrutamiento oportuno a los evaluadores correspondientes, el registro y actualización de la base de datos de seguimiento y la verificación del cier"/>
    <m/>
    <m/>
    <m/>
    <n v="1250000"/>
    <m/>
    <n v="2500000"/>
    <m/>
    <n v="2500000"/>
    <m/>
    <n v="2500000"/>
    <m/>
    <n v="2500000"/>
    <m/>
    <n v="2500000"/>
    <m/>
    <n v="2500000"/>
    <m/>
    <n v="2500000"/>
    <m/>
    <n v="2500000"/>
    <m/>
    <n v="2500000"/>
    <m/>
    <n v="5000000"/>
    <m/>
    <m/>
    <n v="0"/>
    <n v="28750000"/>
    <n v="28750000"/>
    <n v="0"/>
    <n v="51426"/>
    <d v="2026-01-20T00:00:00"/>
    <n v="28750000"/>
    <n v="0"/>
    <n v="26426"/>
    <d v="2026-01-28T00:00:00"/>
    <n v="27500000"/>
    <n v="1250000"/>
    <n v="1250000"/>
    <s v="GOMEZ TERAN ALEX ANDREY"/>
    <s v="CO1.PCCNTR.9094541"/>
    <n v="27500000"/>
    <m/>
    <m/>
    <m/>
    <m/>
    <m/>
    <m/>
    <m/>
    <m/>
    <m/>
    <m/>
    <m/>
    <m/>
    <m/>
    <m/>
    <m/>
    <m/>
    <m/>
    <m/>
    <m/>
    <m/>
    <m/>
    <m/>
    <m/>
    <m/>
    <m/>
    <m/>
    <m/>
    <m/>
    <m/>
    <m/>
    <m/>
    <m/>
    <m/>
    <m/>
    <m/>
    <n v="27500000"/>
    <n v="0"/>
    <n v="0"/>
    <n v="27500000"/>
    <n v="0"/>
    <x v="0"/>
  </r>
  <r>
    <x v="1"/>
    <x v="5"/>
    <s v="N/A"/>
    <s v="N/A"/>
    <s v="Sí"/>
    <s v="Sí"/>
    <n v="9"/>
    <s v="161-27"/>
    <s v="N.A"/>
    <s v="N.A"/>
    <s v="N.A"/>
    <n v="80111620"/>
    <s v="A-05-01-02-008-003"/>
    <s v="Prestación de servicios profesionales y/o de apoyo a la gestión"/>
    <s v="161-27 Prestar servicios profesionales para la evaluación y análisis de la información de los proyectos de FNCE y de Gestión Eficiente de la Energía, así como para la elaboración,  consolidación y análisis de reportes de implementación de las medidas de e"/>
    <s v="Enero "/>
    <s v="Enero "/>
    <s v="Enero "/>
    <n v="5"/>
    <s v="Meses"/>
    <s v="Contratación directa - Prestación de servicios profesionales "/>
    <s v="Propios - 20 - Ingresos corrientes"/>
    <n v="60925000"/>
    <n v="60925000"/>
    <s v="No"/>
    <s v="N/A"/>
    <s v="Johanna Castellanos"/>
    <s v="Subdirectora de Demanda"/>
    <n v="6012220601"/>
    <s v="johanna.castellanos@upme.gov.co"/>
    <m/>
    <m/>
    <m/>
    <m/>
    <m/>
    <m/>
    <m/>
    <m/>
    <m/>
    <m/>
    <m/>
    <m/>
    <m/>
    <m/>
    <m/>
    <m/>
    <m/>
    <m/>
    <m/>
    <m/>
    <m/>
    <m/>
    <m/>
    <m/>
    <m/>
    <m/>
    <m/>
    <m/>
    <s v="Prestar servicios profesionales para la evaluación y análisis de la información de los proyectos de FNCE y de Gestión Eficiente de la Energía, así como para la elaboración,  consolidación y análisis de reportes de implementación de las medidas de eficienc"/>
    <m/>
    <m/>
    <m/>
    <n v="-19710000"/>
    <m/>
    <n v="3285000"/>
    <m/>
    <n v="3285000"/>
    <m/>
    <n v="3285000"/>
    <m/>
    <n v="3285000"/>
    <m/>
    <n v="3285000"/>
    <m/>
    <n v="3285000"/>
    <m/>
    <n v="3285000"/>
    <m/>
    <n v="3285000"/>
    <m/>
    <n v="3285000"/>
    <m/>
    <n v="6570000"/>
    <m/>
    <m/>
    <n v="0"/>
    <n v="16425000"/>
    <n v="60925000"/>
    <n v="44500000"/>
    <n v="15726"/>
    <d v="2026-01-09T00:00:00"/>
    <n v="22998150"/>
    <n v="37926850"/>
    <n v="3826"/>
    <d v="2026-01-09T00:00:00"/>
    <n v="22998150"/>
    <n v="37926850"/>
    <n v="0"/>
    <s v="MANZANO VERJEL EMMANUEL"/>
    <s v="CO1.PCCNTR.7451843"/>
    <n v="22998150"/>
    <m/>
    <m/>
    <m/>
    <m/>
    <m/>
    <m/>
    <m/>
    <m/>
    <m/>
    <m/>
    <m/>
    <m/>
    <m/>
    <m/>
    <m/>
    <m/>
    <m/>
    <m/>
    <m/>
    <m/>
    <m/>
    <m/>
    <m/>
    <m/>
    <m/>
    <m/>
    <m/>
    <m/>
    <m/>
    <m/>
    <m/>
    <m/>
    <m/>
    <m/>
    <m/>
    <n v="22998150"/>
    <n v="0"/>
    <n v="0"/>
    <n v="22998150"/>
    <n v="0"/>
    <x v="0"/>
  </r>
  <r>
    <x v="1"/>
    <x v="5"/>
    <s v="N/A"/>
    <s v="N/A"/>
    <s v="Sí"/>
    <s v="Sí"/>
    <n v="68"/>
    <s v="161-28"/>
    <s v="N.A"/>
    <s v="N.A"/>
    <s v="N.A"/>
    <n v="80111620"/>
    <s v="A-05-01-02-008-003"/>
    <s v="Prestación de servicios profesionales y/o de apoyo a la gestión"/>
    <s v="161-28 Prestar servicios profesionales para la evaluación y análisis integral de la información de los proyectos de Fuentes No Convencionales de Energía y de Gestión Eficiente de la Energía, incluyendo la verificación de requisitos técnicos y documentales"/>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incluyendo la verificación de requisitos técnicos y documentales, la ap"/>
    <m/>
    <m/>
    <m/>
    <n v="-23400000"/>
    <m/>
    <n v="3900000"/>
    <m/>
    <n v="3900000"/>
    <m/>
    <n v="3900000"/>
    <m/>
    <n v="3900000"/>
    <m/>
    <n v="3900000"/>
    <m/>
    <n v="3900000"/>
    <m/>
    <n v="3900000"/>
    <m/>
    <n v="3900000"/>
    <m/>
    <n v="3900000"/>
    <m/>
    <n v="7800000"/>
    <m/>
    <m/>
    <n v="0"/>
    <n v="19500000"/>
    <n v="19500000"/>
    <n v="0"/>
    <m/>
    <m/>
    <m/>
    <n v="19500000"/>
    <n v="3626"/>
    <d v="2026-01-09T00:00:00"/>
    <n v="0"/>
    <n v="19500000"/>
    <n v="0"/>
    <s v="GIRALDO BELLO LADY CAROLINA"/>
    <s v="CO1.PCCNTR.7482219"/>
    <m/>
    <m/>
    <m/>
    <m/>
    <m/>
    <m/>
    <m/>
    <m/>
    <m/>
    <m/>
    <m/>
    <m/>
    <m/>
    <m/>
    <m/>
    <m/>
    <m/>
    <m/>
    <m/>
    <m/>
    <m/>
    <m/>
    <m/>
    <m/>
    <m/>
    <m/>
    <m/>
    <m/>
    <m/>
    <m/>
    <m/>
    <m/>
    <m/>
    <m/>
    <m/>
    <m/>
    <n v="0"/>
    <n v="0"/>
    <n v="0"/>
    <n v="0"/>
    <n v="0"/>
    <x v="0"/>
  </r>
  <r>
    <x v="1"/>
    <x v="5"/>
    <s v="N/A"/>
    <s v="N/A"/>
    <s v="Sí"/>
    <s v="Sí"/>
    <n v="68"/>
    <s v="161-29"/>
    <s v="N.A"/>
    <s v="N.A"/>
    <s v="N.A"/>
    <n v="80111620"/>
    <s v="A-05-01-02-008-003"/>
    <s v="Prestación de servicios profesionales y/o de apoyo a la gestión"/>
    <s v="161-29 Prestar servicios profesionales para la evaluación y análisis integral de la información de los proyectos de Fuentes No Convencionales de Energía y de Gestión Eficiente de la Energía, incluyendo la verificación de requisitos técnicos y documentales"/>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incluyendo la verificación de requisitos técnicos y documentales, la ap"/>
    <m/>
    <m/>
    <m/>
    <n v="-23400000"/>
    <m/>
    <n v="3900000"/>
    <m/>
    <n v="3900000"/>
    <m/>
    <n v="3900000"/>
    <m/>
    <n v="3900000"/>
    <m/>
    <n v="3900000"/>
    <m/>
    <n v="3900000"/>
    <m/>
    <n v="3900000"/>
    <m/>
    <n v="3900000"/>
    <m/>
    <n v="3900000"/>
    <m/>
    <n v="7800000"/>
    <m/>
    <m/>
    <n v="0"/>
    <n v="19500000"/>
    <n v="19500000"/>
    <n v="0"/>
    <m/>
    <m/>
    <m/>
    <n v="19500000"/>
    <m/>
    <m/>
    <n v="0"/>
    <n v="19500000"/>
    <n v="0"/>
    <m/>
    <m/>
    <m/>
    <m/>
    <m/>
    <m/>
    <m/>
    <m/>
    <m/>
    <m/>
    <m/>
    <m/>
    <m/>
    <m/>
    <m/>
    <m/>
    <m/>
    <m/>
    <m/>
    <m/>
    <m/>
    <m/>
    <m/>
    <m/>
    <m/>
    <m/>
    <m/>
    <m/>
    <m/>
    <m/>
    <m/>
    <m/>
    <m/>
    <m/>
    <m/>
    <m/>
    <m/>
    <m/>
    <n v="0"/>
    <n v="0"/>
    <n v="0"/>
    <n v="0"/>
    <n v="0"/>
    <x v="0"/>
  </r>
  <r>
    <x v="1"/>
    <x v="5"/>
    <s v="N/A"/>
    <s v="N/A"/>
    <s v="Sí"/>
    <s v="Sí"/>
    <n v="68"/>
    <s v="161-3"/>
    <s v="N.A"/>
    <s v="N.A"/>
    <s v="N.A"/>
    <n v="80111620"/>
    <s v="A-05-01-02-008-003"/>
    <s v="Prestación de servicios profesionales y/o de apoyo a la gestión"/>
    <s v="161-3 Prestar servicios profesionales para brindar soporte administrativo y operativo en los procesos contractuales, la gestión de trámites de pago y la realización de actividades necesarias para el cumplimiento de las metas operativas y estratégicas rela"/>
    <s v="Enero "/>
    <s v="Enero "/>
    <s v="Enero "/>
    <n v="11.5"/>
    <s v="Meses"/>
    <s v="Contratación directa - Prestación de servicios profesionales "/>
    <s v="Propios - 20 - Ingresos corrientes"/>
    <n v="47150000"/>
    <n v="47150000"/>
    <s v="No"/>
    <s v="N/A"/>
    <s v="Johanna Castellanos"/>
    <s v="Subdirectora de Demanda"/>
    <n v="6012220601"/>
    <s v="johanna.castellanos@upme.gov.co"/>
    <m/>
    <m/>
    <m/>
    <m/>
    <m/>
    <m/>
    <m/>
    <m/>
    <m/>
    <m/>
    <m/>
    <m/>
    <m/>
    <m/>
    <m/>
    <m/>
    <m/>
    <m/>
    <m/>
    <m/>
    <m/>
    <m/>
    <m/>
    <m/>
    <m/>
    <m/>
    <m/>
    <m/>
    <s v="Prestar servicios profesionales para brindar soporte administrativo y operativo en los procesos contractuales, la gestión de trámites de pago y la realización de actividades necesarias para el cumplimiento de las metas operativas y estratégicas relacionad"/>
    <m/>
    <m/>
    <m/>
    <n v="2050000"/>
    <m/>
    <n v="4100000"/>
    <m/>
    <n v="4100000"/>
    <m/>
    <n v="4100000"/>
    <m/>
    <n v="4100000"/>
    <m/>
    <n v="4100000"/>
    <m/>
    <n v="4100000"/>
    <m/>
    <n v="4100000"/>
    <m/>
    <n v="4100000"/>
    <m/>
    <n v="4100000"/>
    <m/>
    <n v="8200000"/>
    <m/>
    <m/>
    <n v="0"/>
    <n v="47150000"/>
    <n v="47150000"/>
    <n v="0"/>
    <n v="9026"/>
    <d v="2026-01-06T00:00:00"/>
    <n v="45425000"/>
    <n v="1725000"/>
    <m/>
    <m/>
    <n v="0"/>
    <n v="47150000"/>
    <n v="45425000"/>
    <m/>
    <m/>
    <m/>
    <m/>
    <m/>
    <m/>
    <m/>
    <m/>
    <m/>
    <m/>
    <m/>
    <m/>
    <m/>
    <m/>
    <m/>
    <m/>
    <m/>
    <m/>
    <m/>
    <m/>
    <m/>
    <m/>
    <m/>
    <m/>
    <m/>
    <m/>
    <m/>
    <m/>
    <m/>
    <m/>
    <m/>
    <m/>
    <m/>
    <m/>
    <m/>
    <m/>
    <m/>
    <m/>
    <n v="0"/>
    <n v="0"/>
    <n v="0"/>
    <n v="0"/>
    <n v="0"/>
    <x v="0"/>
  </r>
  <r>
    <x v="1"/>
    <x v="5"/>
    <s v="N/A"/>
    <s v="N/A"/>
    <s v="Sí"/>
    <s v="Sí"/>
    <n v="68"/>
    <s v="161-30"/>
    <s v="N.A"/>
    <s v="N.A"/>
    <s v="N.A"/>
    <n v="80111620"/>
    <s v="A-05-01-02-008-003"/>
    <s v="Prestación de servicios profesionales y/o de apoyo a la gestión"/>
    <s v="161-30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51126"/>
    <d v="2026-01-20T00:00:00"/>
    <n v="37777500"/>
    <n v="0"/>
    <n v="35126"/>
    <d v="2026-01-30T00:00:00"/>
    <n v="36135000"/>
    <n v="1642500"/>
    <n v="1642500"/>
    <s v="GALARZA TORRES KELLY JOHANA"/>
    <s v=". CO1.PCCNTR.9184032"/>
    <n v="36135000"/>
    <m/>
    <m/>
    <m/>
    <m/>
    <m/>
    <m/>
    <m/>
    <m/>
    <m/>
    <m/>
    <m/>
    <m/>
    <m/>
    <m/>
    <m/>
    <m/>
    <m/>
    <m/>
    <m/>
    <m/>
    <m/>
    <m/>
    <m/>
    <m/>
    <m/>
    <m/>
    <m/>
    <m/>
    <m/>
    <m/>
    <m/>
    <m/>
    <m/>
    <m/>
    <m/>
    <n v="36135000"/>
    <n v="0"/>
    <n v="0"/>
    <n v="36135000"/>
    <n v="0"/>
    <x v="0"/>
  </r>
  <r>
    <x v="1"/>
    <x v="5"/>
    <s v="N/A"/>
    <s v="N/A"/>
    <s v="Sí"/>
    <s v="Sí"/>
    <n v="68"/>
    <s v="161-31"/>
    <s v="N.A"/>
    <s v="N.A"/>
    <s v="N.A"/>
    <n v="80111620"/>
    <s v="A-05-01-02-008-003"/>
    <s v="Prestación de servicios profesionales y/o de apoyo a la gestión"/>
    <s v="161-31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2126"/>
    <d v="2026-01-16T00:00:00"/>
    <n v="37777500"/>
    <n v="0"/>
    <n v="31926"/>
    <d v="2026-01-29T00:00:00"/>
    <n v="36135000"/>
    <n v="1642500"/>
    <n v="1642500"/>
    <s v="FONTECHA SABOYA DANIELA"/>
    <s v="CO1.PCCNTR.9035080"/>
    <n v="36135000"/>
    <m/>
    <m/>
    <m/>
    <m/>
    <m/>
    <m/>
    <m/>
    <m/>
    <m/>
    <m/>
    <m/>
    <m/>
    <m/>
    <m/>
    <m/>
    <m/>
    <m/>
    <m/>
    <m/>
    <m/>
    <m/>
    <m/>
    <m/>
    <m/>
    <m/>
    <m/>
    <m/>
    <m/>
    <m/>
    <m/>
    <m/>
    <m/>
    <m/>
    <m/>
    <m/>
    <n v="36135000"/>
    <n v="0"/>
    <n v="0"/>
    <n v="36135000"/>
    <n v="0"/>
    <x v="0"/>
  </r>
  <r>
    <x v="1"/>
    <x v="5"/>
    <s v="N/A"/>
    <s v="N/A"/>
    <s v="Sí"/>
    <s v="Sí"/>
    <n v="68"/>
    <s v="161-32"/>
    <s v="N.A"/>
    <s v="N.A"/>
    <s v="N.A"/>
    <n v="80111620"/>
    <s v="A-05-01-02-008-003"/>
    <s v="Prestación de servicios profesionales y/o de apoyo a la gestión"/>
    <s v="161-32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53026"/>
    <d v="2026-01-21T00:00:00"/>
    <n v="37777500"/>
    <n v="0"/>
    <n v="32526"/>
    <d v="2026-01-29T00:00:00"/>
    <n v="36135000"/>
    <n v="1642500"/>
    <n v="1642500"/>
    <s v="PINZON SILVA JORGE ANDRES"/>
    <s v="CO1.PCCNTR.9108641"/>
    <n v="36135000"/>
    <m/>
    <m/>
    <m/>
    <m/>
    <m/>
    <m/>
    <m/>
    <m/>
    <m/>
    <m/>
    <m/>
    <m/>
    <m/>
    <m/>
    <m/>
    <m/>
    <m/>
    <m/>
    <m/>
    <m/>
    <m/>
    <m/>
    <m/>
    <m/>
    <m/>
    <m/>
    <m/>
    <m/>
    <m/>
    <m/>
    <m/>
    <m/>
    <m/>
    <m/>
    <m/>
    <n v="36135000"/>
    <n v="0"/>
    <n v="0"/>
    <n v="36135000"/>
    <n v="0"/>
    <x v="0"/>
  </r>
  <r>
    <x v="1"/>
    <x v="5"/>
    <s v="N/A"/>
    <s v="N/A"/>
    <s v="Sí"/>
    <s v="Sí"/>
    <n v="68"/>
    <s v="161-33"/>
    <s v="N.A"/>
    <s v="N.A"/>
    <s v="N.A"/>
    <n v="80111620"/>
    <s v="A-05-01-02-008-003"/>
    <s v="Prestación de servicios profesionales y/o de apoyo a la gestión"/>
    <s v="161-33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4626"/>
    <d v="2026-01-17T00:00:00"/>
    <n v="37777500"/>
    <n v="0"/>
    <n v="31426"/>
    <d v="2026-01-29T00:00:00"/>
    <n v="36135000"/>
    <n v="1642500"/>
    <n v="1642500"/>
    <s v="JURADO REYES LAURA CAMILA"/>
    <s v="CO1.PCCNTR.9073765"/>
    <n v="36135000"/>
    <m/>
    <m/>
    <m/>
    <m/>
    <m/>
    <m/>
    <m/>
    <m/>
    <m/>
    <m/>
    <m/>
    <m/>
    <m/>
    <m/>
    <m/>
    <m/>
    <m/>
    <m/>
    <m/>
    <m/>
    <m/>
    <m/>
    <m/>
    <m/>
    <m/>
    <m/>
    <m/>
    <m/>
    <m/>
    <m/>
    <m/>
    <m/>
    <m/>
    <m/>
    <m/>
    <n v="36135000"/>
    <n v="0"/>
    <n v="0"/>
    <n v="36135000"/>
    <n v="0"/>
    <x v="0"/>
  </r>
  <r>
    <x v="1"/>
    <x v="5"/>
    <s v="N/A"/>
    <s v="N/A"/>
    <s v="Sí"/>
    <s v="Sí"/>
    <n v="68"/>
    <s v="161-34"/>
    <s v="N.A"/>
    <s v="N.A"/>
    <s v="N.A"/>
    <n v="80111620"/>
    <s v="A-05-01-02-008-003"/>
    <s v="Prestación de servicios profesionales y/o de apoyo a la gestión"/>
    <s v="161-34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4826"/>
    <d v="2026-01-17T00:00:00"/>
    <n v="37777500"/>
    <n v="0"/>
    <n v="29526"/>
    <d v="2026-01-28T00:00:00"/>
    <n v="36135000"/>
    <n v="1642500"/>
    <n v="1642500"/>
    <s v="ORTÍZ CÁRDENAS NICOLÁS HERNANDO"/>
    <s v="CO1.PCCNTR.9131559"/>
    <n v="36135000"/>
    <m/>
    <m/>
    <m/>
    <m/>
    <m/>
    <m/>
    <m/>
    <m/>
    <m/>
    <m/>
    <m/>
    <m/>
    <m/>
    <m/>
    <m/>
    <m/>
    <m/>
    <m/>
    <m/>
    <m/>
    <m/>
    <m/>
    <m/>
    <m/>
    <m/>
    <m/>
    <m/>
    <m/>
    <m/>
    <m/>
    <m/>
    <m/>
    <m/>
    <m/>
    <m/>
    <n v="36135000"/>
    <n v="0"/>
    <n v="0"/>
    <n v="36135000"/>
    <n v="0"/>
    <x v="0"/>
  </r>
  <r>
    <x v="1"/>
    <x v="5"/>
    <s v="N/A"/>
    <s v="N/A"/>
    <s v="Sí"/>
    <s v="Sí"/>
    <n v="1"/>
    <s v="161-35"/>
    <s v="N.A"/>
    <s v="N.A"/>
    <s v="N.A"/>
    <n v="80111620"/>
    <s v="A-05-01-02-008-003"/>
    <s v="Prestación de servicios profesionales y/o de apoyo a la gestión"/>
    <s v="161-35 Prestar servicios profesionales para la evaluación, análisis y actualización de la información de los proyectos de Fuentes No Convencionales de Energía, Gestión Eficiente de la Energía e Hidrógeno presentados a la UPME."/>
    <s v="Enero "/>
    <s v="Enero "/>
    <s v="Enero "/>
    <n v="11.5"/>
    <s v="Meses"/>
    <s v="Contratación directa - Prestación de servicios profesionales "/>
    <s v="Propios - 20 - Ingresos corrientes"/>
    <n v="42550000"/>
    <n v="42550000"/>
    <s v="No"/>
    <s v="N/A"/>
    <s v="Johanna Castellanos"/>
    <s v="Subdirectora de Demanda"/>
    <n v="6012220601"/>
    <s v="johanna.castellanos@upme.gov.co"/>
    <m/>
    <m/>
    <m/>
    <m/>
    <m/>
    <m/>
    <m/>
    <m/>
    <m/>
    <m/>
    <m/>
    <m/>
    <m/>
    <m/>
    <m/>
    <m/>
    <m/>
    <m/>
    <m/>
    <m/>
    <m/>
    <m/>
    <m/>
    <m/>
    <m/>
    <m/>
    <m/>
    <m/>
    <s v="Prestar servicios profesionales para la evaluación, análisis y actualización de la información de los proyectos de Fuentes No Convencionales de Energía, Gestión Eficiente de la Energía e Hidrógeno presentados a la UPME."/>
    <m/>
    <m/>
    <m/>
    <n v="1850000"/>
    <m/>
    <n v="3700000"/>
    <m/>
    <n v="3700000"/>
    <m/>
    <n v="3700000"/>
    <m/>
    <n v="3700000"/>
    <m/>
    <n v="3700000"/>
    <m/>
    <n v="3700000"/>
    <m/>
    <n v="3700000"/>
    <m/>
    <n v="3700000"/>
    <m/>
    <n v="3700000"/>
    <m/>
    <n v="7400000"/>
    <m/>
    <m/>
    <n v="0"/>
    <n v="42550000"/>
    <n v="42550000"/>
    <n v="0"/>
    <n v="60826"/>
    <d v="2026-01-23T00:00:00"/>
    <n v="40700000"/>
    <n v="1850000"/>
    <n v="57726"/>
    <d v="2026-02-10T00:00:00"/>
    <n v="40700000"/>
    <n v="1850000"/>
    <n v="0"/>
    <s v="GONZALEZ ARENAS JUAN DAVID"/>
    <s v="CO1.PCCNTR.9304025"/>
    <m/>
    <m/>
    <m/>
    <n v="40700000"/>
    <m/>
    <m/>
    <m/>
    <m/>
    <m/>
    <m/>
    <m/>
    <m/>
    <m/>
    <m/>
    <m/>
    <m/>
    <m/>
    <m/>
    <m/>
    <m/>
    <m/>
    <m/>
    <m/>
    <m/>
    <m/>
    <m/>
    <m/>
    <m/>
    <m/>
    <m/>
    <m/>
    <m/>
    <m/>
    <m/>
    <m/>
    <m/>
    <n v="40700000"/>
    <n v="0"/>
    <n v="0"/>
    <n v="40700000"/>
    <n v="0"/>
    <x v="0"/>
  </r>
  <r>
    <x v="1"/>
    <x v="5"/>
    <s v="N/A"/>
    <s v="N/A"/>
    <s v="Sí"/>
    <s v="Sí"/>
    <n v="1"/>
    <s v="161-36"/>
    <s v="N.A"/>
    <s v="N.A"/>
    <s v="N.A"/>
    <n v="80111620"/>
    <s v="A-05-01-02-008-003"/>
    <s v="Prestación de servicios profesionales y/o de apoyo a la gestión"/>
    <s v="161-36 Prestar servicios profesionales para la evaluación y análisis de proyectos de Gestión Eficiente de la Energía, a las solicitudes de incentivos tributarios radicadas en la UPME."/>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evaluación y análisis de proyectos de Gestión Eficiente de la Energía, a las solicitudes de incentivos tributarios radicadas en la UPME."/>
    <m/>
    <m/>
    <m/>
    <n v="3000000"/>
    <m/>
    <n v="6000000"/>
    <m/>
    <n v="6000000"/>
    <m/>
    <n v="6000000"/>
    <m/>
    <n v="6000000"/>
    <m/>
    <n v="6000000"/>
    <m/>
    <n v="6000000"/>
    <m/>
    <n v="6000000"/>
    <m/>
    <n v="6000000"/>
    <m/>
    <n v="6000000"/>
    <m/>
    <n v="12000000"/>
    <m/>
    <m/>
    <n v="0"/>
    <n v="69000000"/>
    <n v="69000000"/>
    <n v="0"/>
    <n v="47826"/>
    <d v="2026-01-19T00:00:00"/>
    <n v="69000000"/>
    <n v="0"/>
    <n v="23726"/>
    <d v="2026-01-27T00:00:00"/>
    <n v="66000000"/>
    <n v="3000000"/>
    <n v="3000000"/>
    <s v="CHICO MORENO JOHANNA CAROLINA"/>
    <s v="CO1.PCCNTR.9078602"/>
    <n v="66000000"/>
    <m/>
    <m/>
    <m/>
    <m/>
    <m/>
    <m/>
    <m/>
    <m/>
    <m/>
    <m/>
    <m/>
    <m/>
    <m/>
    <m/>
    <m/>
    <m/>
    <m/>
    <m/>
    <m/>
    <m/>
    <m/>
    <m/>
    <m/>
    <m/>
    <m/>
    <m/>
    <m/>
    <m/>
    <m/>
    <m/>
    <m/>
    <m/>
    <m/>
    <m/>
    <m/>
    <n v="66000000"/>
    <n v="0"/>
    <n v="0"/>
    <n v="66000000"/>
    <n v="0"/>
    <x v="0"/>
  </r>
  <r>
    <x v="1"/>
    <x v="5"/>
    <s v="N/A"/>
    <s v="N/A"/>
    <s v="Sí"/>
    <s v="Sí"/>
    <n v="20"/>
    <s v="161-37"/>
    <s v="N.A"/>
    <s v="N.A"/>
    <s v="N.A"/>
    <n v="80111620"/>
    <s v="A-05-01-02-008-003"/>
    <s v="Prestación de servicios profesionales y/o de apoyo a la gestión"/>
    <s v="161-37 Prestar servicios profesionales enfocados en el análisis y evaluación de la información técnica de proyectos de Fuentes No Convencionales de Energía y Gestión Eficiente de la Energía, asegurando el cumplimiento de los requisitos exigidos por la nor"/>
    <s v="Enero "/>
    <s v="Enero "/>
    <s v="Enero "/>
    <n v="11.5"/>
    <s v="Meses"/>
    <s v="Contratación directa - Prestación de servicios profesionales "/>
    <s v="Propios - 20 - Ingresos corrientes"/>
    <n v="111500000"/>
    <n v="111500000"/>
    <s v="No"/>
    <s v="N/A"/>
    <s v="Johanna Castellanos"/>
    <s v="Subdirectora de Demanda"/>
    <n v="6012220601"/>
    <s v="johanna.castellanos@upme.gov.co"/>
    <m/>
    <m/>
    <m/>
    <m/>
    <m/>
    <m/>
    <m/>
    <m/>
    <m/>
    <m/>
    <m/>
    <m/>
    <m/>
    <m/>
    <m/>
    <m/>
    <m/>
    <m/>
    <m/>
    <m/>
    <m/>
    <m/>
    <m/>
    <m/>
    <m/>
    <m/>
    <m/>
    <m/>
    <s v="Prestar servicios profesionales enfocados en el análisis y evaluación de la información técnica de proyectos de Fuentes No Convencionales de Energía y Gestión Eficiente de la Energía, asegurando el cumplimiento de los requisitos exigidos por la normativa "/>
    <m/>
    <m/>
    <m/>
    <n v="2500000"/>
    <m/>
    <n v="5000000"/>
    <m/>
    <n v="5000000"/>
    <m/>
    <n v="5000000"/>
    <m/>
    <n v="5000000"/>
    <m/>
    <n v="5000000"/>
    <m/>
    <n v="5000000"/>
    <m/>
    <n v="5000000"/>
    <m/>
    <n v="5000000"/>
    <m/>
    <n v="5000000"/>
    <m/>
    <n v="10000000"/>
    <m/>
    <m/>
    <n v="0"/>
    <n v="57500000"/>
    <n v="111500000"/>
    <n v="54000000"/>
    <n v="42726"/>
    <d v="2026-01-16T00:00:00"/>
    <n v="57500000"/>
    <n v="54000000"/>
    <n v="25026"/>
    <d v="2026-01-28T00:00:00"/>
    <n v="55000000"/>
    <n v="56500000"/>
    <n v="2500000"/>
    <s v="GUAZA RANGEL JUAN MANUEL"/>
    <s v="CO1.PCCNTR.9110053"/>
    <n v="55000000"/>
    <m/>
    <m/>
    <m/>
    <m/>
    <m/>
    <m/>
    <m/>
    <m/>
    <m/>
    <m/>
    <m/>
    <m/>
    <m/>
    <m/>
    <m/>
    <m/>
    <m/>
    <m/>
    <m/>
    <m/>
    <m/>
    <m/>
    <m/>
    <m/>
    <m/>
    <m/>
    <m/>
    <m/>
    <m/>
    <m/>
    <m/>
    <m/>
    <m/>
    <m/>
    <m/>
    <n v="55000000"/>
    <n v="0"/>
    <n v="0"/>
    <n v="55000000"/>
    <n v="0"/>
    <x v="0"/>
  </r>
  <r>
    <x v="1"/>
    <x v="5"/>
    <s v="N/A"/>
    <s v="N/A"/>
    <s v="Sí"/>
    <s v="Sí"/>
    <n v="1"/>
    <s v="161-38"/>
    <s v="N.A"/>
    <s v="N.A"/>
    <s v="N.A"/>
    <n v="80111620"/>
    <s v="A-05-01-02-008-003"/>
    <s v="Prestación de servicios profesionales y/o de apoyo a la gestión"/>
    <s v="161-38 Prestar servicios profesionales enfocados en el análisis y evaluación de la información técnica de proyectos de Fuentes No Convencionales de Energía y Gestión Eficiente de la Energía, asegurando el cumplimiento de los requisitos exigidos por la nor"/>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focados en el análisis y evaluación de la información técnica de proyectos de Fuentes No Convencionales de Energía y Gestión Eficiente de la Energía, asegurando el cumplimiento de los requisitos exigidos por la normativa "/>
    <m/>
    <m/>
    <m/>
    <n v="2500000"/>
    <m/>
    <n v="5000000"/>
    <m/>
    <n v="5000000"/>
    <m/>
    <n v="5000000"/>
    <m/>
    <n v="5000000"/>
    <m/>
    <n v="5000000"/>
    <m/>
    <n v="5000000"/>
    <m/>
    <n v="5000000"/>
    <m/>
    <n v="5000000"/>
    <m/>
    <n v="5000000"/>
    <m/>
    <n v="10000000"/>
    <m/>
    <m/>
    <n v="0"/>
    <n v="57500000"/>
    <n v="57500000"/>
    <n v="0"/>
    <n v="34926"/>
    <d v="2026-01-15T00:00:00"/>
    <n v="57500000"/>
    <n v="0"/>
    <n v="32726"/>
    <d v="2026-01-26T00:00:00"/>
    <n v="57000000"/>
    <n v="500000"/>
    <n v="500000"/>
    <s v="FONSECA CASTRO SANTIAGO"/>
    <s v="CO1.PCCNTR.9115004"/>
    <n v="57000000"/>
    <m/>
    <m/>
    <m/>
    <m/>
    <m/>
    <m/>
    <m/>
    <m/>
    <m/>
    <m/>
    <m/>
    <m/>
    <m/>
    <m/>
    <m/>
    <m/>
    <m/>
    <m/>
    <m/>
    <m/>
    <m/>
    <m/>
    <m/>
    <m/>
    <m/>
    <m/>
    <m/>
    <m/>
    <m/>
    <m/>
    <m/>
    <m/>
    <m/>
    <m/>
    <m/>
    <n v="57000000"/>
    <n v="0"/>
    <n v="0"/>
    <n v="57000000"/>
    <n v="0"/>
    <x v="0"/>
  </r>
  <r>
    <x v="1"/>
    <x v="5"/>
    <s v="N/A"/>
    <s v="N/A"/>
    <s v="Sí"/>
    <s v="Sí"/>
    <n v="4"/>
    <s v="161-39"/>
    <s v="N.A"/>
    <s v="N.A"/>
    <s v="N.A"/>
    <n v="80111620"/>
    <s v="A-05-01-02-008-003"/>
    <s v="Prestación de servicios profesionales y/o de apoyo a la gestión"/>
    <s v="161-39 Prestar servicios de apoyo a la gestión para la evaluación, análisis de la información de los proyectos de Fuentes No Convencionales de Energía y Gestión Eficiente de la Energía, así como el análisis de datos del trámite de incentivos tributarios a"/>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de apoyo a la gestión para la evaluación, análisis de la información de los proyectos de Fuentes No Convencionales de Energía y Gestión Eficiente de la Energía, así como el análisis de datos del trámite de incentivos tributarios a través"/>
    <m/>
    <m/>
    <m/>
    <n v="2000000"/>
    <m/>
    <n v="4000000"/>
    <m/>
    <n v="4000000"/>
    <m/>
    <n v="4000000"/>
    <m/>
    <n v="4000000"/>
    <m/>
    <n v="4000000"/>
    <m/>
    <n v="4000000"/>
    <m/>
    <n v="4000000"/>
    <m/>
    <n v="4000000"/>
    <m/>
    <n v="4000000"/>
    <m/>
    <n v="8000000"/>
    <m/>
    <m/>
    <n v="0"/>
    <n v="46000000"/>
    <n v="46000000"/>
    <n v="0"/>
    <n v="47626"/>
    <d v="2026-01-19T00:00:00"/>
    <n v="46000000"/>
    <n v="0"/>
    <n v="30926"/>
    <d v="2026-01-29T00:00:00"/>
    <n v="44000000"/>
    <n v="2000000"/>
    <n v="2000000"/>
    <s v="GARZON ACOSTA JENNY CATALINA"/>
    <s v="CO1.PCCNTR.9135383"/>
    <n v="44000000"/>
    <m/>
    <m/>
    <m/>
    <m/>
    <m/>
    <m/>
    <m/>
    <m/>
    <m/>
    <m/>
    <m/>
    <m/>
    <m/>
    <m/>
    <m/>
    <m/>
    <m/>
    <m/>
    <m/>
    <m/>
    <m/>
    <m/>
    <m/>
    <m/>
    <m/>
    <m/>
    <m/>
    <m/>
    <m/>
    <m/>
    <m/>
    <m/>
    <m/>
    <m/>
    <m/>
    <n v="44000000"/>
    <n v="0"/>
    <n v="0"/>
    <n v="44000000"/>
    <n v="0"/>
    <x v="0"/>
  </r>
  <r>
    <x v="1"/>
    <x v="5"/>
    <s v="N/A"/>
    <s v="N/A"/>
    <s v="Sí"/>
    <s v="Sí"/>
    <n v="68"/>
    <s v="161-4"/>
    <s v="N.A"/>
    <s v="N.A"/>
    <s v="N.A"/>
    <n v="80111620"/>
    <s v="A-05-01-02-008-003"/>
    <s v="Prestación de servicios profesionales y/o de apoyo a la gestión"/>
    <s v="161-4 Prestar servicios profesionales para el seguimiento y documentación integral de las actividades de la Subdirección de Demanda, así como para la formulación, seguimiento, reporte y ejecución de instrumentos de planeación y metas institucionales."/>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el seguimiento y documentación integral de las actividades de la Subdirección de Demanda, así como para la formulación, seguimiento, reporte y ejecución de instrumentos de planeación y metas institucionales."/>
    <m/>
    <m/>
    <m/>
    <n v="3000000"/>
    <m/>
    <n v="6000000"/>
    <m/>
    <n v="6000000"/>
    <m/>
    <n v="6000000"/>
    <m/>
    <n v="6000000"/>
    <m/>
    <n v="6000000"/>
    <m/>
    <n v="6000000"/>
    <m/>
    <n v="6000000"/>
    <m/>
    <n v="6000000"/>
    <m/>
    <n v="6000000"/>
    <m/>
    <n v="12000000"/>
    <m/>
    <m/>
    <n v="0"/>
    <n v="69000000"/>
    <n v="69000000"/>
    <n v="0"/>
    <n v="8926"/>
    <d v="2026-01-06T00:00:00"/>
    <n v="69000000"/>
    <n v="0"/>
    <m/>
    <m/>
    <n v="0"/>
    <n v="69000000"/>
    <n v="69000000"/>
    <m/>
    <m/>
    <m/>
    <m/>
    <m/>
    <m/>
    <m/>
    <m/>
    <m/>
    <m/>
    <m/>
    <m/>
    <m/>
    <m/>
    <m/>
    <m/>
    <m/>
    <m/>
    <m/>
    <m/>
    <m/>
    <m/>
    <m/>
    <m/>
    <m/>
    <m/>
    <m/>
    <m/>
    <m/>
    <m/>
    <m/>
    <m/>
    <m/>
    <m/>
    <m/>
    <m/>
    <m/>
    <m/>
    <n v="0"/>
    <n v="0"/>
    <n v="0"/>
    <n v="0"/>
    <n v="0"/>
    <x v="0"/>
  </r>
  <r>
    <x v="1"/>
    <x v="5"/>
    <s v="N/A"/>
    <s v="N/A"/>
    <s v="Sí"/>
    <s v="Sí"/>
    <n v="6"/>
    <s v="161-40"/>
    <s v="N.A"/>
    <s v="N.A"/>
    <s v="N.A"/>
    <n v="80111620"/>
    <s v="A-05-01-02-008-003"/>
    <s v="Prestación de servicios profesionales y/o de apoyo a la gestión"/>
    <s v="161-40 Prestar servicios de apoyo a la gestión para la evaluación de proyectos de Fuentes No Convencionales de Energía, Gestión Eficiente de la Energía, particularmente proyectos de enfriamiento de gran capacidad, integrando la regulación del sector eléct"/>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de apoyo a la gestión para la evaluación de proyectos de Fuentes No Convencionales de Energía, Gestión Eficiente de la Energía, particularmente proyectos de enfriamiento de gran capacidad, integrando la regulación del sector eléctrico na"/>
    <m/>
    <m/>
    <m/>
    <n v="3000000"/>
    <m/>
    <n v="6000000"/>
    <m/>
    <n v="6000000"/>
    <m/>
    <n v="6000000"/>
    <m/>
    <n v="6000000"/>
    <m/>
    <n v="6000000"/>
    <m/>
    <n v="6000000"/>
    <m/>
    <n v="6000000"/>
    <m/>
    <n v="6000000"/>
    <m/>
    <n v="6000000"/>
    <m/>
    <n v="12000000"/>
    <m/>
    <m/>
    <n v="0"/>
    <n v="69000000"/>
    <n v="69000000"/>
    <n v="0"/>
    <n v="60726"/>
    <d v="2026-01-23T00:00:00"/>
    <n v="69000000"/>
    <n v="0"/>
    <n v="35926"/>
    <d v="2026-01-30T00:00:00"/>
    <n v="55000000"/>
    <n v="14000000"/>
    <n v="14000000"/>
    <s v="GONZALEZ ZARATE JOHN KEVIN"/>
    <s v="CO1.PCCNTR.9182496"/>
    <n v="55000000"/>
    <m/>
    <m/>
    <m/>
    <m/>
    <m/>
    <m/>
    <m/>
    <m/>
    <m/>
    <m/>
    <m/>
    <m/>
    <m/>
    <m/>
    <m/>
    <m/>
    <m/>
    <m/>
    <m/>
    <m/>
    <m/>
    <m/>
    <m/>
    <m/>
    <m/>
    <m/>
    <m/>
    <m/>
    <m/>
    <m/>
    <m/>
    <m/>
    <m/>
    <m/>
    <m/>
    <n v="55000000"/>
    <n v="0"/>
    <n v="0"/>
    <n v="55000000"/>
    <n v="0"/>
    <x v="0"/>
  </r>
  <r>
    <x v="1"/>
    <x v="5"/>
    <s v="N/A"/>
    <s v="N/A"/>
    <s v="Sí"/>
    <s v="Sí"/>
    <n v="68"/>
    <s v="161-41"/>
    <s v="N.A"/>
    <s v="N.A"/>
    <s v="N.A"/>
    <n v="80111620"/>
    <s v="A-05-01-02-008-003"/>
    <s v="Prestación de servicios profesionales y/o de apoyo a la gestión"/>
    <s v="161-41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50926"/>
    <d v="2026-01-20T00:00:00"/>
    <n v="37777500"/>
    <n v="0"/>
    <n v="31526"/>
    <d v="2026-01-29T00:00:00"/>
    <n v="36135000"/>
    <n v="1642500"/>
    <n v="1642500"/>
    <s v="GUIZA FORERO LIYIBETH"/>
    <s v="CO1.PCCNTR.9138514"/>
    <n v="36135000"/>
    <m/>
    <m/>
    <m/>
    <m/>
    <m/>
    <m/>
    <m/>
    <m/>
    <m/>
    <m/>
    <m/>
    <m/>
    <m/>
    <m/>
    <m/>
    <m/>
    <m/>
    <m/>
    <m/>
    <m/>
    <m/>
    <m/>
    <m/>
    <m/>
    <m/>
    <m/>
    <m/>
    <m/>
    <m/>
    <m/>
    <m/>
    <m/>
    <m/>
    <m/>
    <m/>
    <n v="36135000"/>
    <n v="0"/>
    <n v="0"/>
    <n v="36135000"/>
    <n v="0"/>
    <x v="0"/>
  </r>
  <r>
    <x v="1"/>
    <x v="5"/>
    <s v="N/A"/>
    <s v="N/A"/>
    <s v="Sí"/>
    <s v="Sí"/>
    <n v="68"/>
    <s v="161-42"/>
    <s v="N.A"/>
    <s v="N.A"/>
    <s v="N.A"/>
    <n v="80111620"/>
    <s v="A-05-01-02-008-003"/>
    <s v="Prestación de servicios profesionales y/o de apoyo a la gestión"/>
    <s v="161-42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4726"/>
    <d v="2026-01-17T00:00:00"/>
    <n v="37777500"/>
    <n v="0"/>
    <n v="25526"/>
    <d v="2026-01-28T00:00:00"/>
    <n v="37120500"/>
    <n v="657000"/>
    <n v="657000"/>
    <s v="FLOREZ TARAZONA ANDRES"/>
    <s v="CO1.PCCNTR.9110411"/>
    <n v="37120500"/>
    <m/>
    <m/>
    <m/>
    <m/>
    <m/>
    <m/>
    <m/>
    <m/>
    <m/>
    <m/>
    <m/>
    <m/>
    <m/>
    <m/>
    <m/>
    <m/>
    <m/>
    <m/>
    <m/>
    <m/>
    <m/>
    <m/>
    <m/>
    <m/>
    <m/>
    <m/>
    <m/>
    <m/>
    <m/>
    <m/>
    <m/>
    <m/>
    <m/>
    <m/>
    <m/>
    <n v="37120500"/>
    <n v="0"/>
    <n v="0"/>
    <n v="37120500"/>
    <n v="0"/>
    <x v="0"/>
  </r>
  <r>
    <x v="1"/>
    <x v="5"/>
    <s v="N/A"/>
    <s v="N/A"/>
    <s v="Sí"/>
    <s v="Sí"/>
    <n v="1"/>
    <s v="161-43"/>
    <s v="N.A"/>
    <s v="N.A"/>
    <s v="N.A"/>
    <n v="80111620"/>
    <s v="A-05-01-02-008-003"/>
    <s v="Prestación de servicios profesionales y/o de apoyo a la gestión"/>
    <s v="161-43 Prestar servicios profesionales para apoyar la validación del cumplimiento en el envío correcto y completo de los requisitos exigidos por la normativa vigente para el acceso a incentivos tributarios en proyectos de Fuentes No Convencionales de Ener"/>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apoyar la validación del cumplimiento en el envío correcto y completo de los requisitos exigidos por la normativa vigente para el acceso a incentivos tributarios en proyectos de Fuentes No Convencionales de Energía, Ge"/>
    <m/>
    <m/>
    <m/>
    <n v="2500000"/>
    <m/>
    <n v="5000000"/>
    <m/>
    <n v="5000000"/>
    <m/>
    <n v="5000000"/>
    <m/>
    <n v="5000000"/>
    <m/>
    <n v="5000000"/>
    <m/>
    <n v="5000000"/>
    <m/>
    <n v="5000000"/>
    <m/>
    <n v="5000000"/>
    <m/>
    <n v="5000000"/>
    <m/>
    <n v="10000000"/>
    <m/>
    <m/>
    <n v="0"/>
    <n v="57500000"/>
    <n v="57500000"/>
    <n v="0"/>
    <n v="62226"/>
    <d v="2026-01-23T00:00:00"/>
    <n v="43890000"/>
    <n v="13610000"/>
    <n v="34626"/>
    <d v="2026-01-29T00:00:00"/>
    <n v="43890000"/>
    <n v="13610000"/>
    <n v="0"/>
    <s v="ESPITIA GONZALES ELKIN JOSE"/>
    <s v="CO1.PCCNTR.9182835"/>
    <n v="43890000"/>
    <m/>
    <m/>
    <m/>
    <m/>
    <m/>
    <m/>
    <m/>
    <m/>
    <m/>
    <m/>
    <m/>
    <m/>
    <m/>
    <m/>
    <m/>
    <m/>
    <m/>
    <m/>
    <m/>
    <m/>
    <m/>
    <m/>
    <m/>
    <m/>
    <m/>
    <m/>
    <m/>
    <m/>
    <m/>
    <m/>
    <m/>
    <m/>
    <m/>
    <m/>
    <m/>
    <n v="43890000"/>
    <n v="0"/>
    <n v="0"/>
    <n v="43890000"/>
    <n v="0"/>
    <x v="0"/>
  </r>
  <r>
    <x v="1"/>
    <x v="5"/>
    <s v="N/A"/>
    <s v="N/A"/>
    <s v="Sí"/>
    <s v="Sí"/>
    <n v="1"/>
    <s v="161-44"/>
    <s v="N.A"/>
    <s v="N.A"/>
    <s v="N.A"/>
    <n v="80111620"/>
    <s v="A-05-01-02-008-003"/>
    <s v="Prestación de servicios profesionales y/o de apoyo a la gestión"/>
    <s v="161-44 Prestar servicios profesionales para realizar el análisis técnico y documental de los proyectos asociados a Fuentes No Convencionales de Energía y Gestión Eficiente de la Energía, mediante la evaluación integral de la información suministrada, la v"/>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realizar el análisis técnico y documental de los proyectos asociados a Fuentes No Convencionales de Energía y Gestión Eficiente de la Energía, mediante la evaluación integral de la información suministrada, la verifica"/>
    <m/>
    <m/>
    <m/>
    <n v="3000000"/>
    <m/>
    <n v="6000000"/>
    <m/>
    <n v="6000000"/>
    <m/>
    <n v="6000000"/>
    <m/>
    <n v="6000000"/>
    <m/>
    <n v="6000000"/>
    <m/>
    <n v="6000000"/>
    <m/>
    <n v="6000000"/>
    <m/>
    <n v="6000000"/>
    <m/>
    <n v="6000000"/>
    <m/>
    <n v="12000000"/>
    <m/>
    <m/>
    <n v="0"/>
    <n v="69000000"/>
    <n v="69000000"/>
    <n v="0"/>
    <n v="49526"/>
    <d v="2026-01-20T00:00:00"/>
    <n v="67800000"/>
    <n v="1200000"/>
    <n v="34526"/>
    <s v="269/01/2026"/>
    <n v="66000000"/>
    <n v="3000000"/>
    <n v="1800000"/>
    <s v="SERRANO CABARCAS GIANMARCO"/>
    <s v="CO1.PCCNTR.9179548"/>
    <n v="66000000"/>
    <m/>
    <m/>
    <m/>
    <m/>
    <m/>
    <m/>
    <m/>
    <m/>
    <m/>
    <m/>
    <m/>
    <m/>
    <m/>
    <m/>
    <m/>
    <m/>
    <m/>
    <m/>
    <m/>
    <m/>
    <m/>
    <m/>
    <m/>
    <m/>
    <m/>
    <m/>
    <m/>
    <m/>
    <m/>
    <m/>
    <m/>
    <m/>
    <m/>
    <m/>
    <m/>
    <n v="66000000"/>
    <n v="0"/>
    <n v="0"/>
    <n v="66000000"/>
    <n v="0"/>
    <x v="0"/>
  </r>
  <r>
    <x v="1"/>
    <x v="5"/>
    <s v="N/A"/>
    <s v="N/A"/>
    <s v="Sí"/>
    <s v="Sí"/>
    <n v="1"/>
    <s v="161-45"/>
    <s v="N.A"/>
    <s v="N.A"/>
    <s v="N.A"/>
    <n v="80111620"/>
    <s v="A-05-01-02-008-003"/>
    <s v="Prestación de servicios profesionales y/o de apoyo a la gestión"/>
    <s v="161-45 Prestar servicios profesionales para la evaluación y análisis integral de la información de los proyectos de Fuentes No Convencionales de Energía y de Gestión Eficiente de la Energía, aplicando metodologías de formulación, seguimiento y control de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aplicando metodologías de formulación, seguimiento y control de proyect"/>
    <m/>
    <m/>
    <m/>
    <n v="2000000"/>
    <m/>
    <n v="5000000"/>
    <m/>
    <n v="5000000"/>
    <m/>
    <n v="5000000"/>
    <m/>
    <n v="5000000"/>
    <m/>
    <n v="5000000"/>
    <m/>
    <n v="5000000"/>
    <m/>
    <n v="5000000"/>
    <m/>
    <n v="5000000"/>
    <m/>
    <n v="5000000"/>
    <m/>
    <n v="10000000"/>
    <m/>
    <m/>
    <n v="0"/>
    <n v="57000000"/>
    <n v="57000000"/>
    <n v="0"/>
    <n v="36626"/>
    <d v="2026-01-15T00:00:00"/>
    <n v="57000000"/>
    <n v="0"/>
    <n v="24026"/>
    <d v="2026-01-27T00:00:00"/>
    <n v="55000000"/>
    <n v="2000000"/>
    <n v="2000000"/>
    <s v="PEREZ BECERRA YOAD ERNESTO"/>
    <s v="CO1.PCCNTR.9037288"/>
    <n v="55000000"/>
    <m/>
    <m/>
    <m/>
    <m/>
    <m/>
    <m/>
    <m/>
    <m/>
    <m/>
    <m/>
    <m/>
    <m/>
    <m/>
    <m/>
    <m/>
    <m/>
    <m/>
    <m/>
    <m/>
    <m/>
    <m/>
    <m/>
    <m/>
    <m/>
    <m/>
    <m/>
    <m/>
    <m/>
    <m/>
    <m/>
    <m/>
    <m/>
    <m/>
    <m/>
    <m/>
    <n v="55000000"/>
    <n v="0"/>
    <n v="0"/>
    <n v="55000000"/>
    <n v="0"/>
    <x v="0"/>
  </r>
  <r>
    <x v="1"/>
    <x v="5"/>
    <s v="N/A"/>
    <s v="N/A"/>
    <s v="Sí"/>
    <s v="Sí"/>
    <n v="1"/>
    <s v="161-46"/>
    <s v="N.A"/>
    <s v="N.A"/>
    <s v="N.A"/>
    <n v="80111620"/>
    <s v="A-05-01-02-008-003"/>
    <s v="Prestación de servicios profesionales y/o de apoyo a la gestión"/>
    <s v="161-46 Prestar servicios profesionales para el diseño y desarrollo de los temarios y contenidos técnicos orientados a la elaboración de cursos y/o módulos de aprendizaje relacionados con la capacitación de Gestores Energéticos en el uso racional y eficien"/>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diseño y desarrollo de los temarios y contenidos técnicos orientados a la elaboración de cursos y/o módulos de aprendizaje relacionados con la capacitación de Gestores Energéticos en el uso racional y eficiente de l"/>
    <m/>
    <m/>
    <m/>
    <n v="2000000"/>
    <m/>
    <n v="5000000"/>
    <m/>
    <n v="5000000"/>
    <m/>
    <n v="5000000"/>
    <m/>
    <n v="5000000"/>
    <m/>
    <n v="5000000"/>
    <m/>
    <n v="5000000"/>
    <m/>
    <n v="5000000"/>
    <m/>
    <n v="5000000"/>
    <m/>
    <n v="5000000"/>
    <m/>
    <n v="10000000"/>
    <m/>
    <m/>
    <n v="0"/>
    <n v="57000000"/>
    <n v="57000000"/>
    <n v="0"/>
    <n v="42526"/>
    <d v="2026-01-16T00:00:00"/>
    <n v="57000000"/>
    <n v="0"/>
    <n v="51526"/>
    <d v="2026-02-09T00:00:00"/>
    <n v="46200000"/>
    <n v="10800000"/>
    <n v="10800000"/>
    <s v="GARCIA HOYOS JONATHAN DAVID"/>
    <s v="CO1.PCCNTR.9265996"/>
    <m/>
    <m/>
    <m/>
    <n v="46200000"/>
    <m/>
    <m/>
    <m/>
    <m/>
    <m/>
    <m/>
    <m/>
    <m/>
    <m/>
    <m/>
    <m/>
    <m/>
    <m/>
    <m/>
    <m/>
    <m/>
    <m/>
    <m/>
    <m/>
    <m/>
    <m/>
    <m/>
    <m/>
    <m/>
    <m/>
    <m/>
    <m/>
    <m/>
    <m/>
    <m/>
    <m/>
    <m/>
    <n v="46200000"/>
    <n v="0"/>
    <n v="0"/>
    <n v="46200000"/>
    <n v="0"/>
    <x v="0"/>
  </r>
  <r>
    <x v="1"/>
    <x v="5"/>
    <s v="N/A"/>
    <s v="N/A"/>
    <s v="Sí"/>
    <s v="Sí"/>
    <n v="1"/>
    <s v="161-47"/>
    <s v="N.A"/>
    <s v="N.A"/>
    <s v="N.A"/>
    <n v="80111620"/>
    <s v="A-05-01-02-008-002"/>
    <s v="Prestación de servicios profesionales y/o de apoyo a la gestión"/>
    <s v="161-47 Prestar servicios profesionales para la gestión jurídica relacionada con la sustanciación de los recursos de reposición y acciones de tutela contra las decisiones adoptadas en el trámite de incentivos tributarios, asi como apoyar las actualizacione"/>
    <s v="Enero "/>
    <s v="Enero "/>
    <s v="Enero "/>
    <n v="5"/>
    <s v="Meses"/>
    <s v="Contratación directa - Prestación de servicios profesionales "/>
    <s v="Propios - 20 - Ingresos corrientes"/>
    <n v="33500000"/>
    <n v="335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asi como apoyar las actualizaciones norma"/>
    <m/>
    <m/>
    <m/>
    <n v="-40200000"/>
    <m/>
    <n v="6700000"/>
    <m/>
    <n v="6700000"/>
    <m/>
    <n v="6700000"/>
    <m/>
    <n v="6700000"/>
    <m/>
    <n v="6700000"/>
    <m/>
    <n v="6700000"/>
    <m/>
    <n v="6700000"/>
    <m/>
    <n v="6700000"/>
    <m/>
    <n v="6700000"/>
    <m/>
    <n v="13400000"/>
    <m/>
    <m/>
    <n v="0"/>
    <n v="33500000"/>
    <n v="33500000"/>
    <n v="0"/>
    <m/>
    <m/>
    <m/>
    <n v="33500000"/>
    <n v="1026"/>
    <d v="2026-01-05T00:00:00"/>
    <n v="0"/>
    <n v="33500000"/>
    <n v="0"/>
    <s v="PALOMEQUE LUJAN CARMEN YAJAIRA"/>
    <s v="CO1.PCCNTR.7294342"/>
    <m/>
    <m/>
    <m/>
    <m/>
    <m/>
    <m/>
    <m/>
    <m/>
    <m/>
    <m/>
    <m/>
    <m/>
    <m/>
    <m/>
    <m/>
    <m/>
    <m/>
    <m/>
    <m/>
    <m/>
    <m/>
    <m/>
    <m/>
    <m/>
    <m/>
    <m/>
    <m/>
    <m/>
    <m/>
    <m/>
    <m/>
    <m/>
    <m/>
    <m/>
    <m/>
    <m/>
    <n v="0"/>
    <n v="0"/>
    <n v="0"/>
    <n v="0"/>
    <n v="0"/>
    <x v="0"/>
  </r>
  <r>
    <x v="1"/>
    <x v="5"/>
    <s v="N/A"/>
    <s v="N/A"/>
    <s v="Sí"/>
    <s v="Sí"/>
    <n v="1"/>
    <s v="161-48"/>
    <s v="N.A"/>
    <s v="N.A"/>
    <s v="N.A"/>
    <n v="80111620"/>
    <s v="A-05-01-02-008-002"/>
    <s v="Prestación de servicios profesionales y/o de apoyo a la gestión"/>
    <s v="161-48 Prestar servicios profesionales para ejecutar y articular la gestión jurídica del equipo encargado de la sustanciación de los recursos de reposición y acciones de tutela interpuestas contra las decisiones adoptadas en el trámite de incentivos tribu"/>
    <s v="Enero "/>
    <s v="Enero "/>
    <s v="Enero "/>
    <n v="5"/>
    <s v="Meses"/>
    <s v="Contratación directa - Prestación de servicios profesionales "/>
    <s v="Propios - 20 - Ingresos corrientes"/>
    <n v="45000000"/>
    <n v="45000000"/>
    <s v="No"/>
    <s v="N/A"/>
    <s v="Johanna Castellanos"/>
    <s v="Subdirectora de Demanda"/>
    <n v="6012220601"/>
    <s v="johanna.castellanos@upme.gov.co"/>
    <m/>
    <m/>
    <m/>
    <m/>
    <m/>
    <m/>
    <m/>
    <m/>
    <m/>
    <m/>
    <m/>
    <m/>
    <m/>
    <m/>
    <m/>
    <m/>
    <m/>
    <m/>
    <m/>
    <m/>
    <m/>
    <m/>
    <m/>
    <m/>
    <m/>
    <m/>
    <m/>
    <m/>
    <s v="Prestar servicios profesionales para ejecutar y articular la gestión jurídica del equipo encargado de la sustanciación de los recursos de reposición y acciones de tutela interpuestas contra las decisiones adoptadas en el trámite de incentivos tributarios,"/>
    <m/>
    <m/>
    <m/>
    <n v="-54000000"/>
    <m/>
    <n v="9000000"/>
    <m/>
    <n v="9000000"/>
    <m/>
    <n v="9000000"/>
    <m/>
    <n v="9000000"/>
    <m/>
    <n v="9000000"/>
    <m/>
    <n v="9000000"/>
    <m/>
    <n v="9000000"/>
    <m/>
    <n v="9000000"/>
    <m/>
    <n v="9000000"/>
    <m/>
    <n v="18000000"/>
    <m/>
    <m/>
    <n v="0"/>
    <n v="45000000"/>
    <n v="45000000"/>
    <n v="0"/>
    <m/>
    <m/>
    <m/>
    <n v="45000000"/>
    <m/>
    <m/>
    <n v="0"/>
    <n v="45000000"/>
    <n v="0"/>
    <m/>
    <m/>
    <m/>
    <m/>
    <m/>
    <m/>
    <m/>
    <m/>
    <m/>
    <m/>
    <m/>
    <m/>
    <m/>
    <m/>
    <m/>
    <m/>
    <m/>
    <m/>
    <m/>
    <m/>
    <m/>
    <m/>
    <m/>
    <m/>
    <m/>
    <m/>
    <m/>
    <m/>
    <m/>
    <m/>
    <m/>
    <m/>
    <m/>
    <m/>
    <m/>
    <m/>
    <m/>
    <m/>
    <n v="0"/>
    <n v="0"/>
    <n v="0"/>
    <n v="0"/>
    <n v="0"/>
    <x v="0"/>
  </r>
  <r>
    <x v="1"/>
    <x v="5"/>
    <s v="N/A"/>
    <s v="N/A"/>
    <s v="Sí"/>
    <s v="Sí"/>
    <n v="4"/>
    <s v="161-49"/>
    <s v="N.A"/>
    <s v="N.A"/>
    <s v="N.A"/>
    <n v="80111620"/>
    <s v="A-05-01-02-008-003"/>
    <s v="Prestación de servicios profesionales y/o de apoyo a la gestión"/>
    <s v="161-49 Prestar servicios profesionales para la evaluación técnica y revisión de proyectos de Fuentes No Convencionales de Energía, Gestión Eficiente de la Energía e Hidrógeno, incluyendo la validación de información y la aplicación de criterios técnicos y"/>
    <s v="Enero "/>
    <s v="Enero "/>
    <s v="Enero "/>
    <n v="11.3"/>
    <s v="Meses"/>
    <s v="Contratación directa - Prestación de servicios profesionales "/>
    <s v="Propios - 20 - Ingresos corrientes"/>
    <n v="37120500"/>
    <n v="37120500"/>
    <s v="No"/>
    <s v="N/A"/>
    <s v="Johanna Castellanos"/>
    <s v="Subdirectora de Demanda"/>
    <n v="6012220601"/>
    <s v="johanna.castellanos@upme.gov.co"/>
    <m/>
    <m/>
    <m/>
    <m/>
    <m/>
    <m/>
    <m/>
    <m/>
    <m/>
    <m/>
    <m/>
    <m/>
    <m/>
    <m/>
    <m/>
    <m/>
    <m/>
    <m/>
    <m/>
    <m/>
    <m/>
    <m/>
    <m/>
    <m/>
    <m/>
    <m/>
    <m/>
    <m/>
    <s v="Prestar servicios profesionales para la evaluación técnica y revisión de proyectos de Fuentes No Convencionales de Energía, Gestión Eficiente de la Energía e Hidrógeno, incluyendo la validación de información y la aplicación de criterios técnicos y metodo"/>
    <m/>
    <m/>
    <m/>
    <n v="985500"/>
    <m/>
    <n v="3285000"/>
    <m/>
    <n v="3285000"/>
    <m/>
    <n v="3285000"/>
    <m/>
    <n v="3285000"/>
    <m/>
    <n v="3285000"/>
    <m/>
    <n v="3285000"/>
    <m/>
    <n v="3285000"/>
    <m/>
    <n v="3285000"/>
    <m/>
    <n v="3285000"/>
    <m/>
    <n v="6570000"/>
    <m/>
    <m/>
    <n v="0"/>
    <n v="37120500"/>
    <n v="37120500"/>
    <n v="0"/>
    <n v="53526"/>
    <d v="2026-01-21T00:00:00"/>
    <n v="37120500"/>
    <n v="0"/>
    <n v="39426"/>
    <d v="2026-02-03T00:00:00"/>
    <n v="36135000"/>
    <n v="985500"/>
    <n v="985500"/>
    <s v="PEREZ ALVARADO ARLIZ ENRIQUE"/>
    <s v="CO1.PCCNTR.9198499"/>
    <m/>
    <m/>
    <m/>
    <n v="36135000"/>
    <m/>
    <m/>
    <m/>
    <m/>
    <m/>
    <m/>
    <m/>
    <m/>
    <m/>
    <m/>
    <m/>
    <m/>
    <m/>
    <m/>
    <m/>
    <m/>
    <m/>
    <m/>
    <m/>
    <m/>
    <m/>
    <m/>
    <m/>
    <m/>
    <m/>
    <m/>
    <m/>
    <m/>
    <m/>
    <m/>
    <m/>
    <m/>
    <n v="36135000"/>
    <n v="0"/>
    <n v="0"/>
    <n v="36135000"/>
    <n v="0"/>
    <x v="0"/>
  </r>
  <r>
    <x v="1"/>
    <x v="5"/>
    <s v="N/A"/>
    <s v="N/A"/>
    <s v="Sí"/>
    <s v="Sí"/>
    <n v="68"/>
    <s v="161-5"/>
    <s v="N.A"/>
    <s v="N.A"/>
    <s v="N.A"/>
    <n v="80111620"/>
    <s v="A-05-01-02-008-003"/>
    <s v="Prestación de servicios profesionales y/o de apoyo a la gestión"/>
    <s v="161-5 Prestar servicios de apoyo administrativo a la Subdirección de Demanda, incluyendo el análisis de información y documentos de sus procesos, la gestión de trámites y pagos, y la ejecución de actividades necesarias para cumplir las metas operativas, c"/>
    <s v="Enero "/>
    <s v="Enero "/>
    <s v="Enero "/>
    <n v="11.5"/>
    <s v="Meses"/>
    <s v="Contratación directa - Prestación de servicios profesionales "/>
    <s v="Propios - 20 - Ingresos corrientes"/>
    <n v="28750000"/>
    <n v="28750000"/>
    <s v="No"/>
    <s v="N/A"/>
    <s v="Johanna Castellanos"/>
    <s v="Subdirectora de Demanda"/>
    <n v="6012220601"/>
    <s v="johanna.castellanos@upme.gov.co"/>
    <m/>
    <m/>
    <m/>
    <m/>
    <m/>
    <m/>
    <m/>
    <m/>
    <m/>
    <m/>
    <m/>
    <m/>
    <m/>
    <m/>
    <m/>
    <m/>
    <m/>
    <m/>
    <m/>
    <m/>
    <m/>
    <m/>
    <m/>
    <m/>
    <m/>
    <m/>
    <m/>
    <m/>
    <s v="Prestar servicios de apoyo administrativo a la Subdirección de Demanda, incluyendo el análisis de información y documentos de sus procesos, la gestión de trámites y pagos, y la ejecución de actividades necesarias para cumplir las metas operativas, conform"/>
    <m/>
    <m/>
    <m/>
    <n v="1250000"/>
    <m/>
    <n v="2500000"/>
    <m/>
    <n v="2500000"/>
    <m/>
    <n v="2500000"/>
    <m/>
    <n v="2500000"/>
    <m/>
    <n v="2500000"/>
    <m/>
    <n v="2500000"/>
    <m/>
    <n v="2500000"/>
    <m/>
    <n v="2500000"/>
    <m/>
    <n v="2500000"/>
    <m/>
    <n v="5000000"/>
    <m/>
    <m/>
    <n v="0"/>
    <n v="28750000"/>
    <n v="28750000"/>
    <n v="0"/>
    <n v="42326"/>
    <d v="2026-01-16T00:00:00"/>
    <n v="28750000"/>
    <n v="0"/>
    <n v="35226"/>
    <d v="2026-01-30T00:00:00"/>
    <n v="27500000"/>
    <n v="1250000"/>
    <n v="1250000"/>
    <s v="RODRIGUEZ ASTORGA DIANA CAROLINA"/>
    <s v="CO1.PCCNTR.9194215"/>
    <n v="27500000"/>
    <m/>
    <m/>
    <m/>
    <m/>
    <m/>
    <m/>
    <m/>
    <m/>
    <m/>
    <m/>
    <m/>
    <m/>
    <m/>
    <m/>
    <m/>
    <m/>
    <m/>
    <m/>
    <m/>
    <m/>
    <m/>
    <m/>
    <m/>
    <m/>
    <m/>
    <m/>
    <m/>
    <m/>
    <m/>
    <m/>
    <m/>
    <m/>
    <m/>
    <m/>
    <m/>
    <n v="27500000"/>
    <n v="0"/>
    <n v="0"/>
    <n v="27500000"/>
    <n v="0"/>
    <x v="0"/>
  </r>
  <r>
    <x v="1"/>
    <x v="5"/>
    <s v="N/A"/>
    <s v="N/A"/>
    <s v="Sí"/>
    <s v="Sí"/>
    <n v="4"/>
    <s v="161-50"/>
    <s v="N.A"/>
    <s v="N.A"/>
    <s v="N.A"/>
    <n v="80111620"/>
    <s v="A-05-01-02-008-002"/>
    <s v="Prestación de servicios profesionales y/o de apoyo a la gestión"/>
    <s v="161-50 Prestar servicios profesionales para el análisis, verificación y validación de la información presentada en solicitudes de incentivos tributarios asociadas a proyectos de Fuentes No Convencionales de Energía y Gestión Eficiente de la Energía, aplic"/>
    <s v="Enero "/>
    <s v="Enero "/>
    <s v="Enero "/>
    <n v="11.3"/>
    <s v="Meses"/>
    <s v="Contratación directa - Prestación de servicios profesionales "/>
    <s v="Propios - 20 - Ingresos corrientes"/>
    <n v="38459000"/>
    <n v="38459000"/>
    <s v="No"/>
    <s v="N/A"/>
    <s v="Johanna Castellanos"/>
    <s v="Subdirectora de Demanda"/>
    <n v="6012220601"/>
    <s v="johanna.castellanos@upme.gov.co"/>
    <m/>
    <m/>
    <m/>
    <m/>
    <m/>
    <m/>
    <m/>
    <m/>
    <m/>
    <m/>
    <m/>
    <m/>
    <m/>
    <m/>
    <m/>
    <m/>
    <m/>
    <m/>
    <m/>
    <m/>
    <m/>
    <m/>
    <m/>
    <m/>
    <m/>
    <m/>
    <m/>
    <m/>
    <s v="Prestar servicios profesionales para el análisis, verificación y validación de la información presentada en solicitudes de incentivos tributarios asociadas a proyectos de Fuentes No Convencionales de Energía y Gestión Eficiente de la Energía, aplicando lo"/>
    <m/>
    <m/>
    <m/>
    <n v="1021039"/>
    <m/>
    <n v="3403451"/>
    <m/>
    <n v="3403451"/>
    <m/>
    <n v="3403451"/>
    <m/>
    <n v="3403451"/>
    <m/>
    <n v="3403451"/>
    <m/>
    <n v="3403451"/>
    <m/>
    <n v="3403451"/>
    <m/>
    <n v="3403451"/>
    <m/>
    <n v="3403451"/>
    <m/>
    <n v="6806902"/>
    <m/>
    <m/>
    <n v="0"/>
    <n v="38459000"/>
    <n v="38459000"/>
    <n v="0"/>
    <n v="57326"/>
    <d v="2026-01-22T00:00:00"/>
    <n v="38459000"/>
    <n v="0"/>
    <n v="58126"/>
    <d v="2026-02-11T00:00:00"/>
    <n v="36135000"/>
    <n v="2324000"/>
    <n v="2324000"/>
    <s v="BERMUDES PADILLA CRISTIAN VICENTE"/>
    <s v="CO1.PCCNTR.9280328"/>
    <m/>
    <m/>
    <m/>
    <n v="36135000"/>
    <m/>
    <m/>
    <m/>
    <m/>
    <m/>
    <m/>
    <m/>
    <m/>
    <m/>
    <m/>
    <m/>
    <m/>
    <m/>
    <m/>
    <m/>
    <m/>
    <m/>
    <m/>
    <m/>
    <m/>
    <m/>
    <m/>
    <m/>
    <m/>
    <m/>
    <m/>
    <m/>
    <m/>
    <m/>
    <m/>
    <m/>
    <m/>
    <n v="36135000"/>
    <n v="0"/>
    <n v="0"/>
    <n v="36135000"/>
    <n v="0"/>
    <x v="0"/>
  </r>
  <r>
    <x v="1"/>
    <x v="5"/>
    <s v="N/A"/>
    <s v="N/A"/>
    <s v="Sí"/>
    <s v="Sí"/>
    <n v="68"/>
    <s v="161-51"/>
    <s v="N.A"/>
    <s v="N.A"/>
    <s v="N.A"/>
    <n v="80111620"/>
    <s v="A-05-01-02-008-002"/>
    <s v="Prestación de servicios profesionales y/o de apoyo a la gestión"/>
    <s v="161-51 Prestar servicios profesionales para la gestión jurídica relacionada con la sustanciación de los recursos de reposición y acciones de tutela contra las decisiones adoptadas en el trámite de incentivos tributarios, asi como apoyar las actualizacione"/>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asi como apoyar las actualizaciones norma"/>
    <m/>
    <m/>
    <m/>
    <n v="3000000"/>
    <m/>
    <n v="6000000"/>
    <m/>
    <n v="6000000"/>
    <m/>
    <n v="6000000"/>
    <m/>
    <n v="6000000"/>
    <m/>
    <n v="6000000"/>
    <m/>
    <n v="6000000"/>
    <m/>
    <n v="6000000"/>
    <m/>
    <n v="6000000"/>
    <m/>
    <n v="6000000"/>
    <m/>
    <n v="12000000"/>
    <m/>
    <m/>
    <n v="0"/>
    <n v="69000000"/>
    <n v="69000000"/>
    <n v="0"/>
    <n v="19826"/>
    <d v="2026-01-11T00:00:00"/>
    <n v="69000000"/>
    <n v="0"/>
    <n v="21526"/>
    <d v="2026-01-26T00:00:00"/>
    <n v="66000000"/>
    <n v="3000000"/>
    <n v="3000000"/>
    <s v="ZAPATA MORALES YURLEIDI"/>
    <s v="CO1.PCCNTR.9064605"/>
    <n v="66000000"/>
    <m/>
    <m/>
    <m/>
    <m/>
    <m/>
    <m/>
    <m/>
    <m/>
    <m/>
    <m/>
    <m/>
    <m/>
    <m/>
    <m/>
    <m/>
    <m/>
    <m/>
    <m/>
    <m/>
    <m/>
    <m/>
    <m/>
    <m/>
    <m/>
    <m/>
    <m/>
    <m/>
    <m/>
    <m/>
    <m/>
    <m/>
    <m/>
    <m/>
    <m/>
    <m/>
    <n v="66000000"/>
    <n v="0"/>
    <n v="0"/>
    <n v="66000000"/>
    <n v="0"/>
    <x v="0"/>
  </r>
  <r>
    <x v="1"/>
    <x v="5"/>
    <s v="N/A"/>
    <s v="N/A"/>
    <s v="Sí"/>
    <s v="Sí"/>
    <n v="1"/>
    <s v="161-52"/>
    <s v="N.A"/>
    <s v="N.A"/>
    <s v="N.A"/>
    <n v="80111620"/>
    <s v="A-05-01-02-008-002"/>
    <s v="Prestación de servicios profesionales y/o de apoyo a la gestión"/>
    <s v="161-52 Prestar servicios profesionales contables para asesorar y apoyar el análisis, interpretación y aplicación de los cambios normativos relacionados con el trámite de incentivos tributarios, incluyendo recomendaciones técnicas, revisión de criterios fi"/>
    <s v="Enero "/>
    <s v="Enero "/>
    <s v="Enero "/>
    <n v="11.4"/>
    <s v="Meses"/>
    <s v="Contratación directa - Prestación de servicios profesionales "/>
    <s v="Propios - 20 - Ingresos corrientes"/>
    <n v="91200000"/>
    <n v="91200000"/>
    <s v="No"/>
    <s v="N/A"/>
    <s v="Johanna Castellanos"/>
    <s v="Subdirectora de Demanda"/>
    <n v="6012220601"/>
    <s v="johanna.castellanos@upme.gov.co"/>
    <m/>
    <m/>
    <m/>
    <m/>
    <m/>
    <m/>
    <m/>
    <m/>
    <m/>
    <m/>
    <m/>
    <m/>
    <m/>
    <m/>
    <m/>
    <m/>
    <m/>
    <m/>
    <m/>
    <m/>
    <m/>
    <m/>
    <m/>
    <m/>
    <m/>
    <m/>
    <m/>
    <m/>
    <s v="Prestar servicios profesionales contables para asesorar y apoyar el análisis, interpretación y aplicación de los cambios normativos relacionados con el trámite de incentivos tributarios, incluyendo recomendaciones técnicas, revisión de criterios fiscales,"/>
    <m/>
    <m/>
    <m/>
    <n v="3200000"/>
    <m/>
    <n v="8000000"/>
    <m/>
    <n v="8000000"/>
    <m/>
    <n v="8000000"/>
    <m/>
    <n v="8000000"/>
    <m/>
    <n v="8000000"/>
    <m/>
    <n v="8000000"/>
    <m/>
    <n v="8000000"/>
    <m/>
    <n v="8000000"/>
    <m/>
    <n v="8000000"/>
    <m/>
    <n v="16000000"/>
    <m/>
    <m/>
    <n v="0"/>
    <n v="91200000"/>
    <n v="91200000"/>
    <n v="0"/>
    <n v="14126"/>
    <d v="2026-01-09T00:00:00"/>
    <n v="90666667"/>
    <n v="533333"/>
    <n v="13726"/>
    <d v="2026-01-20T00:00:00"/>
    <n v="90666667"/>
    <n v="533333"/>
    <n v="0"/>
    <s v="GOMEZ COSSIO LEONARDO JAVIER"/>
    <s v="CO1.PCCNTR.8910737"/>
    <n v="90666667"/>
    <m/>
    <m/>
    <m/>
    <m/>
    <m/>
    <m/>
    <m/>
    <m/>
    <m/>
    <m/>
    <m/>
    <m/>
    <m/>
    <m/>
    <m/>
    <m/>
    <m/>
    <m/>
    <m/>
    <m/>
    <m/>
    <m/>
    <m/>
    <m/>
    <m/>
    <m/>
    <m/>
    <m/>
    <m/>
    <m/>
    <m/>
    <m/>
    <m/>
    <m/>
    <m/>
    <n v="90666667"/>
    <n v="0"/>
    <n v="0"/>
    <n v="90666667"/>
    <n v="0"/>
    <x v="0"/>
  </r>
  <r>
    <x v="1"/>
    <x v="5"/>
    <s v="N/A"/>
    <s v="N/A"/>
    <s v="Sí"/>
    <s v="Sí"/>
    <n v="1"/>
    <s v="161-53"/>
    <s v="N.A"/>
    <s v="N.A"/>
    <s v="N.A"/>
    <n v="80111620"/>
    <s v="A-05-01-02-008-002"/>
    <s v="Prestación de servicios profesionales y/o de apoyo a la gestión"/>
    <s v="161-53 Prestar servicios profesionales para la gestión jurídica relacionada con la sustanciación de los recursos de reposición y acciones de tutela contra las decisiones adoptadas en el trámite de incentivos tributari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400000"/>
    <m/>
    <n v="6000000"/>
    <m/>
    <n v="6000000"/>
    <m/>
    <n v="6000000"/>
    <m/>
    <n v="6000000"/>
    <m/>
    <n v="6000000"/>
    <m/>
    <n v="6000000"/>
    <m/>
    <n v="6000000"/>
    <m/>
    <n v="6000000"/>
    <m/>
    <n v="6000000"/>
    <m/>
    <n v="12000000"/>
    <m/>
    <m/>
    <n v="0"/>
    <n v="68400000"/>
    <n v="68400000"/>
    <n v="0"/>
    <n v="18426"/>
    <d v="2026-01-10T00:00:00"/>
    <n v="68400000"/>
    <n v="0"/>
    <n v="17626"/>
    <d v="2026-01-22T00:00:00"/>
    <n v="68400000"/>
    <n v="0"/>
    <n v="0"/>
    <s v="PLATA ESCUDERO LUIS ALFREDO"/>
    <s v="CO1.PCCNTR.8993234"/>
    <n v="68400000"/>
    <m/>
    <m/>
    <m/>
    <m/>
    <m/>
    <m/>
    <m/>
    <m/>
    <m/>
    <m/>
    <m/>
    <m/>
    <m/>
    <m/>
    <m/>
    <m/>
    <m/>
    <m/>
    <m/>
    <m/>
    <m/>
    <m/>
    <m/>
    <m/>
    <m/>
    <m/>
    <m/>
    <m/>
    <m/>
    <m/>
    <m/>
    <m/>
    <m/>
    <m/>
    <m/>
    <n v="68400000"/>
    <n v="0"/>
    <n v="0"/>
    <n v="68400000"/>
    <n v="0"/>
    <x v="0"/>
  </r>
  <r>
    <x v="1"/>
    <x v="5"/>
    <s v="N/A"/>
    <s v="N/A"/>
    <s v="Sí"/>
    <s v="Sí"/>
    <n v="1"/>
    <s v="161-54"/>
    <s v="N.A"/>
    <s v="N.A"/>
    <s v="N.A"/>
    <n v="80111620"/>
    <s v="A-05-01-02-008-002"/>
    <s v="Prestación de servicios profesionales y/o de apoyo a la gestión"/>
    <s v="161-54 Prestar servicios profesionales para la gestión jurídica relacionada con la sustanciación de los recursos de reposición y acciones de tutela contra las decisiones adoptadas en el trámite de incentivos tributari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400000"/>
    <m/>
    <n v="6000000"/>
    <m/>
    <n v="6000000"/>
    <m/>
    <n v="6000000"/>
    <m/>
    <n v="6000000"/>
    <m/>
    <n v="6000000"/>
    <m/>
    <n v="6000000"/>
    <m/>
    <n v="6000000"/>
    <m/>
    <n v="6000000"/>
    <m/>
    <n v="6000000"/>
    <m/>
    <n v="12000000"/>
    <m/>
    <m/>
    <n v="0"/>
    <n v="68400000"/>
    <n v="68400000"/>
    <n v="0"/>
    <n v="36526"/>
    <d v="2026-01-15T00:00:00"/>
    <n v="68400000"/>
    <n v="0"/>
    <n v="32626"/>
    <d v="2026-01-29T00:00:00"/>
    <n v="66000000"/>
    <n v="2400000"/>
    <n v="2400000"/>
    <s v="ARDILA SILVA RAUL ANDRES"/>
    <s v="CO1.PCCNTR.9109872"/>
    <n v="66000000"/>
    <m/>
    <m/>
    <m/>
    <m/>
    <m/>
    <m/>
    <m/>
    <m/>
    <m/>
    <m/>
    <m/>
    <m/>
    <m/>
    <m/>
    <m/>
    <m/>
    <m/>
    <m/>
    <m/>
    <m/>
    <m/>
    <m/>
    <m/>
    <m/>
    <m/>
    <m/>
    <m/>
    <m/>
    <m/>
    <m/>
    <m/>
    <m/>
    <m/>
    <m/>
    <m/>
    <n v="66000000"/>
    <n v="0"/>
    <n v="0"/>
    <n v="66000000"/>
    <n v="0"/>
    <x v="0"/>
  </r>
  <r>
    <x v="1"/>
    <x v="5"/>
    <s v="N/A"/>
    <s v="N/A"/>
    <s v="Sí"/>
    <s v="Sí"/>
    <n v="5"/>
    <s v="161-55"/>
    <s v="N.A"/>
    <s v="N.A"/>
    <s v="N.A"/>
    <n v="80111620"/>
    <s v="A-05-01-02-008-002"/>
    <s v="Prestación de servicios profesionales y/o de apoyo a la gestión"/>
    <s v="161-55 Prestar servicios profesionales para apoyar la gestión jurídica , mediante la sustanciación,  proyección de recursos, acciones de tutela , la elaboración de conceptos jurídicos y la atención de requerimientos judiciales y administrativos, verifica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apoyar la gestión jurídica , mediante la sustanciación,  proyección de recursos, acciones de tutela , la elaboración de conceptos jurídicos y la atención de requerimientos judiciales y administrativos, verificando el c"/>
    <m/>
    <m/>
    <m/>
    <n v="3000000"/>
    <m/>
    <n v="6000000"/>
    <m/>
    <n v="6000000"/>
    <m/>
    <n v="6000000"/>
    <m/>
    <n v="6000000"/>
    <m/>
    <n v="6000000"/>
    <m/>
    <n v="6000000"/>
    <m/>
    <n v="6000000"/>
    <m/>
    <n v="6000000"/>
    <m/>
    <n v="6000000"/>
    <m/>
    <n v="12000000"/>
    <m/>
    <m/>
    <n v="0"/>
    <n v="69000000"/>
    <n v="69000000"/>
    <n v="0"/>
    <n v="53726"/>
    <d v="2026-01-21T00:00:00"/>
    <n v="69000000"/>
    <n v="0"/>
    <m/>
    <m/>
    <n v="0"/>
    <n v="69000000"/>
    <n v="69000000"/>
    <m/>
    <m/>
    <m/>
    <m/>
    <m/>
    <m/>
    <m/>
    <m/>
    <m/>
    <m/>
    <m/>
    <m/>
    <m/>
    <m/>
    <m/>
    <m/>
    <m/>
    <m/>
    <m/>
    <m/>
    <m/>
    <m/>
    <m/>
    <m/>
    <m/>
    <m/>
    <m/>
    <m/>
    <m/>
    <m/>
    <m/>
    <m/>
    <m/>
    <m/>
    <m/>
    <m/>
    <m/>
    <m/>
    <n v="0"/>
    <n v="0"/>
    <n v="0"/>
    <n v="0"/>
    <n v="0"/>
    <x v="0"/>
  </r>
  <r>
    <x v="1"/>
    <x v="5"/>
    <s v="N/A"/>
    <s v="N/A"/>
    <s v="Sí"/>
    <s v="Sí"/>
    <n v="1"/>
    <s v="161-56"/>
    <s v="N.A"/>
    <s v="N.A"/>
    <s v="N.A"/>
    <n v="80111620"/>
    <s v="A-05-01-02-008-002"/>
    <s v="Prestación de servicios profesionales y/o de apoyo a la gestión"/>
    <s v="161-56 Prestar servicios profesionales para el apoyo a la actualización de normas, actos administrativos, lineamientos internos y demás instrumentos jurídicos del trámite de incentivos tributarios, así como la revisión permanente de los cambios normativ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el apoyo a la actualización de normas, actos administrativos, lineamientos internos y demás instrumentos jurídicos del trámite de incentivos tributarios, así como la revisión permanente de los cambios normativos sector"/>
    <m/>
    <m/>
    <m/>
    <n v="2400000"/>
    <m/>
    <n v="6000000"/>
    <m/>
    <n v="6000000"/>
    <m/>
    <n v="6000000"/>
    <m/>
    <n v="6000000"/>
    <m/>
    <n v="6000000"/>
    <m/>
    <n v="6000000"/>
    <m/>
    <n v="6000000"/>
    <m/>
    <n v="6000000"/>
    <m/>
    <n v="6000000"/>
    <m/>
    <n v="12000000"/>
    <m/>
    <m/>
    <n v="0"/>
    <n v="68400000"/>
    <n v="68400000"/>
    <n v="0"/>
    <n v="42226"/>
    <d v="2026-01-16T00:00:00"/>
    <n v="68400000"/>
    <n v="0"/>
    <n v="25126"/>
    <d v="2026-01-28T00:00:00"/>
    <n v="66000000"/>
    <n v="2400000"/>
    <n v="2400000"/>
    <s v="SANABRIA TORRES MANUEL"/>
    <s v="CO1.PCCNTR.9110019"/>
    <n v="66000000"/>
    <m/>
    <m/>
    <m/>
    <m/>
    <m/>
    <m/>
    <m/>
    <m/>
    <m/>
    <m/>
    <m/>
    <m/>
    <m/>
    <m/>
    <m/>
    <m/>
    <m/>
    <m/>
    <m/>
    <m/>
    <m/>
    <m/>
    <m/>
    <m/>
    <m/>
    <m/>
    <m/>
    <m/>
    <m/>
    <m/>
    <m/>
    <m/>
    <m/>
    <m/>
    <m/>
    <n v="66000000"/>
    <n v="0"/>
    <n v="0"/>
    <n v="66000000"/>
    <n v="0"/>
    <x v="0"/>
  </r>
  <r>
    <x v="1"/>
    <x v="5"/>
    <s v="N/A"/>
    <s v="N/A"/>
    <s v="Sí"/>
    <s v="Sí"/>
    <n v="4"/>
    <s v="161-57"/>
    <s v="N.A"/>
    <s v="N.A"/>
    <s v="N.A"/>
    <n v="80111620"/>
    <s v="A-05-01-02-008-002"/>
    <s v="Prestación de servicios profesionales y/o de apoyo a la gestión"/>
    <s v="161-57 Prestar servicios profesionales a nivel jurídico y regulatorio a la Subdirección de Demanda para el análisis de información y la evaluación de impactos normativos en el proceso de incentivos tributarios y las funciones misionales de la entidad"/>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a nivel jurídico y regulatorio a la Subdirección de Demanda para el análisis de información y la evaluación de impactos normativos en el proceso de incentivos tributarios y las funciones misionales de la entidad"/>
    <m/>
    <m/>
    <m/>
    <n v="2400000"/>
    <m/>
    <n v="6000000"/>
    <m/>
    <n v="6000000"/>
    <m/>
    <n v="6000000"/>
    <m/>
    <n v="6000000"/>
    <m/>
    <n v="6000000"/>
    <m/>
    <n v="6000000"/>
    <m/>
    <n v="6000000"/>
    <m/>
    <n v="6000000"/>
    <m/>
    <n v="6000000"/>
    <m/>
    <n v="12000000"/>
    <m/>
    <m/>
    <n v="0"/>
    <n v="68400000"/>
    <n v="68400000"/>
    <n v="0"/>
    <n v="51226"/>
    <d v="2026-01-20T00:00:00"/>
    <n v="37120500"/>
    <n v="31279500"/>
    <n v="30526"/>
    <d v="2026-01-29T00:00:00"/>
    <n v="36135000"/>
    <n v="32265000"/>
    <n v="985500"/>
    <s v="MORALES ORTIZ MARIANA SOFIA"/>
    <s v="CO1.PCCNTR.9140156"/>
    <n v="36135000"/>
    <m/>
    <m/>
    <m/>
    <m/>
    <m/>
    <m/>
    <m/>
    <m/>
    <m/>
    <m/>
    <m/>
    <m/>
    <m/>
    <m/>
    <m/>
    <m/>
    <m/>
    <m/>
    <m/>
    <m/>
    <m/>
    <m/>
    <m/>
    <m/>
    <m/>
    <m/>
    <m/>
    <m/>
    <m/>
    <m/>
    <m/>
    <m/>
    <m/>
    <m/>
    <m/>
    <n v="36135000"/>
    <n v="0"/>
    <n v="0"/>
    <n v="36135000"/>
    <n v="0"/>
    <x v="0"/>
  </r>
  <r>
    <x v="1"/>
    <x v="5"/>
    <s v="N/A"/>
    <s v="N/A"/>
    <s v="Sí"/>
    <s v="Sí"/>
    <n v="1"/>
    <s v="161-58"/>
    <s v="N.A"/>
    <s v="N.A"/>
    <s v="N.A"/>
    <n v="80111620"/>
    <s v="A-05-01-02-008-003"/>
    <s v="Prestación de servicios profesionales y/o de apoyo a la gestión"/>
    <s v="161-58 Prestar servicios profesionales para la evaluación, análisis, construcción de conceptos técnicos y actualizaciones tecnológicas para el trámite de incentivos tributarios de los proyectos de Fuentes No Convencionales de Energía, Gestión Eficiente de"/>
    <s v="Enero "/>
    <s v="Enero "/>
    <s v="Enero "/>
    <n v="5"/>
    <s v="Meses"/>
    <s v="Contratación directa - Prestación de servicios profesionales "/>
    <s v="Propios - 20 - Ingresos corrientes"/>
    <n v="43500000"/>
    <n v="43500000"/>
    <s v="No"/>
    <s v="N/A"/>
    <s v="Johanna Castellanos"/>
    <s v="Subdirectora de Demanda"/>
    <n v="6012220601"/>
    <s v="johanna.castellanos@upme.gov.co"/>
    <m/>
    <m/>
    <m/>
    <m/>
    <m/>
    <m/>
    <m/>
    <m/>
    <m/>
    <m/>
    <m/>
    <m/>
    <m/>
    <m/>
    <m/>
    <m/>
    <m/>
    <m/>
    <m/>
    <m/>
    <m/>
    <m/>
    <m/>
    <m/>
    <m/>
    <m/>
    <m/>
    <m/>
    <s v="Prestar servicios profesionales para la evaluación, análisis, construcción de conceptos técnicos y actualizaciones tecnológicas para el trámite de incentivos tributarios de los proyectos de Fuentes No Convencionales de Energía, Gestión Eficiente de la Ene"/>
    <m/>
    <m/>
    <m/>
    <n v="-52200000"/>
    <m/>
    <n v="8700000"/>
    <m/>
    <n v="8700000"/>
    <m/>
    <n v="8700000"/>
    <m/>
    <n v="8700000"/>
    <m/>
    <n v="8700000"/>
    <m/>
    <n v="8700000"/>
    <m/>
    <n v="8700000"/>
    <m/>
    <n v="8700000"/>
    <m/>
    <n v="8700000"/>
    <m/>
    <n v="17400000"/>
    <m/>
    <m/>
    <n v="0"/>
    <n v="43500000"/>
    <n v="43500000"/>
    <n v="0"/>
    <m/>
    <m/>
    <m/>
    <n v="43500000"/>
    <m/>
    <m/>
    <n v="0"/>
    <n v="43500000"/>
    <n v="0"/>
    <m/>
    <m/>
    <m/>
    <m/>
    <m/>
    <m/>
    <m/>
    <m/>
    <m/>
    <m/>
    <m/>
    <m/>
    <m/>
    <m/>
    <m/>
    <m/>
    <m/>
    <m/>
    <m/>
    <m/>
    <m/>
    <m/>
    <m/>
    <m/>
    <m/>
    <m/>
    <m/>
    <m/>
    <m/>
    <m/>
    <m/>
    <m/>
    <m/>
    <m/>
    <m/>
    <m/>
    <m/>
    <m/>
    <n v="0"/>
    <n v="0"/>
    <n v="0"/>
    <n v="0"/>
    <n v="0"/>
    <x v="0"/>
  </r>
  <r>
    <x v="1"/>
    <x v="5"/>
    <s v="N/A"/>
    <s v="N/A"/>
    <s v="Sí"/>
    <s v="Sí"/>
    <n v="6"/>
    <s v="161-59"/>
    <s v="N.A"/>
    <s v="N.A"/>
    <s v="N.A"/>
    <n v="80111620"/>
    <s v="A-05-01-02-008-002"/>
    <s v="Prestación de servicios profesionales y/o de apoyo a la gestión"/>
    <s v="161-59 Prestar servicios profesionales para evaluar de manera integral proyectos de gestión eficiente de la energía, mediante la revisión y análisis de la información y documentación presentada, así como la validación de los soportes, de conformidad con l"/>
    <s v="Enero "/>
    <s v="Enero "/>
    <s v="Enero "/>
    <n v="6"/>
    <s v="Meses"/>
    <s v="Contratación directa - Prestación de servicios profesionales "/>
    <s v="Propios - 20 - Ingresos corrientes"/>
    <n v="30000000"/>
    <n v="30000000"/>
    <s v="No"/>
    <s v="N/A"/>
    <s v="Johanna Castellanos"/>
    <s v="Subdirectora de Demanda"/>
    <n v="6012220601"/>
    <s v="johanna.castellanos@upme.gov.co"/>
    <m/>
    <m/>
    <m/>
    <m/>
    <m/>
    <m/>
    <m/>
    <m/>
    <m/>
    <m/>
    <m/>
    <m/>
    <m/>
    <m/>
    <m/>
    <m/>
    <m/>
    <m/>
    <m/>
    <m/>
    <m/>
    <m/>
    <m/>
    <m/>
    <m/>
    <m/>
    <m/>
    <m/>
    <s v="Prestar servicios profesionales para evaluar de manera integral proyectos de gestión eficiente de la energía, mediante la revisión y análisis de la información y documentación presentada, así como la validación de los soportes, de conformidad con la norma"/>
    <m/>
    <m/>
    <n v="0"/>
    <n v="-6135000"/>
    <n v="0"/>
    <n v="3285000"/>
    <n v="0"/>
    <n v="3285000"/>
    <n v="0"/>
    <n v="3285000"/>
    <n v="0"/>
    <n v="3285000"/>
    <n v="0"/>
    <n v="3285000"/>
    <n v="0"/>
    <n v="3285000"/>
    <n v="0"/>
    <n v="3285000"/>
    <n v="0"/>
    <n v="3285000"/>
    <n v="0"/>
    <n v="3285000"/>
    <n v="0"/>
    <n v="6570000"/>
    <m/>
    <m/>
    <n v="0"/>
    <n v="30000000"/>
    <n v="30000000"/>
    <n v="0"/>
    <n v="65926"/>
    <d v="2026-01-26T00:00:00"/>
    <n v="30000000"/>
    <n v="0"/>
    <n v="48726"/>
    <d v="2026-02-06T00:00:00"/>
    <n v="24309000"/>
    <n v="5691000"/>
    <n v="5691000"/>
    <s v="GOMEZ GALVAN BETSY"/>
    <s v="CO1.PCCNTR.9269152"/>
    <m/>
    <m/>
    <m/>
    <n v="24309000"/>
    <m/>
    <m/>
    <m/>
    <m/>
    <m/>
    <m/>
    <m/>
    <m/>
    <m/>
    <m/>
    <m/>
    <m/>
    <m/>
    <m/>
    <m/>
    <m/>
    <m/>
    <m/>
    <m/>
    <m/>
    <m/>
    <m/>
    <m/>
    <m/>
    <m/>
    <m/>
    <m/>
    <m/>
    <m/>
    <m/>
    <m/>
    <m/>
    <n v="24309000"/>
    <n v="0"/>
    <n v="0"/>
    <n v="24309000"/>
    <n v="0"/>
    <x v="0"/>
  </r>
  <r>
    <x v="1"/>
    <x v="5"/>
    <s v="N/A"/>
    <s v="N/A"/>
    <s v="Sí"/>
    <s v="Sí"/>
    <n v="4"/>
    <s v="161-6"/>
    <s v="N.A"/>
    <s v="N.A"/>
    <s v="N.A"/>
    <n v="80111620"/>
    <s v="A-05-01-02-008-003"/>
    <s v="Prestación de servicios profesionales y/o de apoyo a la gestión"/>
    <s v="161-6 Prestar servicios profesionales para la evaluación, análisis de la información de los proyectos de Fuentes No Convencionales de Energía y Gestión Eficiente de la Energía."/>
    <s v="Enero "/>
    <s v="Enero "/>
    <s v="Enero "/>
    <n v="11.3"/>
    <s v="Meses"/>
    <s v="Contratación directa - Prestación de servicios profesionales "/>
    <s v="Propios - 20 - Ingresos corrientes"/>
    <n v="37120500"/>
    <n v="37120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985500"/>
    <m/>
    <n v="3285000"/>
    <m/>
    <n v="3285000"/>
    <m/>
    <n v="3285000"/>
    <m/>
    <n v="3285000"/>
    <m/>
    <n v="3285000"/>
    <m/>
    <n v="3285000"/>
    <m/>
    <n v="3285000"/>
    <m/>
    <n v="3285000"/>
    <m/>
    <n v="3285000"/>
    <m/>
    <n v="6570000"/>
    <m/>
    <m/>
    <n v="0"/>
    <n v="37120500"/>
    <n v="37120500"/>
    <n v="0"/>
    <n v="51026"/>
    <d v="2026-01-20T00:00:00"/>
    <n v="37120500"/>
    <n v="0"/>
    <n v="27426"/>
    <d v="2026-01-28T00:00:00"/>
    <n v="36135000"/>
    <n v="985500"/>
    <n v="985500"/>
    <s v="ARIAS VARGAS ANDRES FELIPE"/>
    <s v="CO1.PCCNTR.9137687"/>
    <n v="36135000"/>
    <m/>
    <m/>
    <m/>
    <m/>
    <m/>
    <m/>
    <m/>
    <m/>
    <m/>
    <m/>
    <m/>
    <m/>
    <m/>
    <m/>
    <m/>
    <m/>
    <m/>
    <m/>
    <m/>
    <m/>
    <m/>
    <m/>
    <m/>
    <m/>
    <m/>
    <m/>
    <m/>
    <m/>
    <m/>
    <m/>
    <m/>
    <m/>
    <m/>
    <m/>
    <m/>
    <n v="36135000"/>
    <n v="0"/>
    <n v="0"/>
    <n v="36135000"/>
    <n v="0"/>
    <x v="0"/>
  </r>
  <r>
    <x v="1"/>
    <x v="5"/>
    <s v="N/A"/>
    <s v="N/A"/>
    <s v="Sí"/>
    <s v="Sí"/>
    <n v="1"/>
    <s v="161-60"/>
    <s v="N.A"/>
    <s v="N.A"/>
    <s v="N.A"/>
    <n v="80111620"/>
    <s v="A-05-01-02-008-002"/>
    <s v="Prestación de servicios profesionales y/o de apoyo a la gestión"/>
    <s v="161-60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500000"/>
    <m/>
    <n v="5000000"/>
    <m/>
    <n v="5000000"/>
    <m/>
    <n v="5000000"/>
    <m/>
    <n v="5000000"/>
    <m/>
    <n v="5000000"/>
    <m/>
    <n v="5000000"/>
    <m/>
    <n v="5000000"/>
    <m/>
    <n v="5000000"/>
    <m/>
    <n v="5000000"/>
    <m/>
    <n v="10000000"/>
    <m/>
    <m/>
    <n v="0"/>
    <n v="57500000"/>
    <n v="57500000"/>
    <n v="0"/>
    <n v="41626"/>
    <d v="2026-01-16T00:00:00"/>
    <n v="57500000"/>
    <n v="0"/>
    <n v="39826"/>
    <d v="2026-02-03T00:00:00"/>
    <n v="55000000"/>
    <n v="2500000"/>
    <n v="2500000"/>
    <s v="ALBARRACIN RUIZ JUAN PABLO"/>
    <s v="CO1.PCCNTR.9192946"/>
    <m/>
    <m/>
    <m/>
    <n v="55000000"/>
    <m/>
    <m/>
    <m/>
    <m/>
    <m/>
    <m/>
    <m/>
    <m/>
    <m/>
    <m/>
    <m/>
    <m/>
    <m/>
    <m/>
    <m/>
    <m/>
    <m/>
    <m/>
    <m/>
    <m/>
    <m/>
    <m/>
    <m/>
    <m/>
    <m/>
    <m/>
    <m/>
    <m/>
    <m/>
    <m/>
    <m/>
    <m/>
    <n v="55000000"/>
    <n v="0"/>
    <n v="0"/>
    <n v="55000000"/>
    <n v="0"/>
    <x v="0"/>
  </r>
  <r>
    <x v="1"/>
    <x v="5"/>
    <s v="N/A"/>
    <s v="N/A"/>
    <s v="Sí"/>
    <s v="Sí"/>
    <n v="1"/>
    <s v="161-61"/>
    <s v="N.A"/>
    <s v="N.A"/>
    <s v="N.A"/>
    <n v="80111620"/>
    <s v="A-05-01-02-008-002"/>
    <s v="Prestación de servicios profesionales y/o de apoyo a la gestión"/>
    <s v="161-61 Prestar servicios profesionales para realizar el seguimiento y control de las PQRS radicadas en la Upme asociadas con el trámite de incentivos tributarios, así como la respuesta a las PQRS de la entidad y demás trámites de índole jurídico."/>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realizar el seguimiento y control de las PQRS radicadas en la Upme asociadas con el trámite de incentivos tributarios, así como la respuesta a las PQRS de la entidad y demás trámites de índole jurídico."/>
    <m/>
    <m/>
    <m/>
    <n v="3000000"/>
    <m/>
    <n v="6000000"/>
    <m/>
    <n v="6000000"/>
    <m/>
    <n v="6000000"/>
    <m/>
    <n v="6000000"/>
    <m/>
    <n v="6000000"/>
    <m/>
    <n v="6000000"/>
    <m/>
    <n v="6000000"/>
    <m/>
    <n v="6000000"/>
    <m/>
    <n v="6000000"/>
    <m/>
    <n v="12000000"/>
    <m/>
    <m/>
    <n v="0"/>
    <n v="69000000"/>
    <n v="69000000"/>
    <n v="0"/>
    <n v="15226"/>
    <d v="2026-01-09T00:00:00"/>
    <n v="68400000"/>
    <n v="600000"/>
    <n v="11226"/>
    <d v="2026-01-17T00:00:00"/>
    <n v="68400000"/>
    <n v="600000"/>
    <n v="0"/>
    <s v="MARTINEZ FIGUEROA SERGIO ANDRES"/>
    <s v="CO1.PCCNTR.8911934"/>
    <n v="68400000"/>
    <m/>
    <m/>
    <m/>
    <m/>
    <m/>
    <m/>
    <m/>
    <m/>
    <m/>
    <m/>
    <m/>
    <m/>
    <m/>
    <m/>
    <m/>
    <m/>
    <m/>
    <m/>
    <m/>
    <m/>
    <m/>
    <m/>
    <m/>
    <m/>
    <m/>
    <m/>
    <m/>
    <m/>
    <m/>
    <m/>
    <m/>
    <m/>
    <m/>
    <m/>
    <m/>
    <n v="68400000"/>
    <n v="0"/>
    <n v="0"/>
    <n v="68400000"/>
    <n v="0"/>
    <x v="0"/>
  </r>
  <r>
    <x v="1"/>
    <x v="5"/>
    <s v="N/A"/>
    <s v="N/A"/>
    <s v="Sí"/>
    <s v="Sí"/>
    <n v="1"/>
    <s v="161-62"/>
    <s v="N.A"/>
    <s v="N.A"/>
    <s v="N.A"/>
    <n v="80111620"/>
    <s v="A-05-01-02-008-002"/>
    <s v="Prestación de servicios profesionales y/o de apoyo a la gestión"/>
    <s v="161-62 Prestar servicios profesionales en la gestión de respuestas a las PQRS radicadas en la entidad asociadas al trámite de incentivos tributarios, cumpliendo los términos legales."/>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en la gestión de respuestas a las PQRS radicadas en la entidad asociadas al trámite de incentivos tributarios, cumpliendo los términos legales."/>
    <m/>
    <m/>
    <m/>
    <n v="1642500"/>
    <m/>
    <n v="3285000"/>
    <m/>
    <n v="3285000"/>
    <m/>
    <n v="3285000"/>
    <m/>
    <n v="3285000"/>
    <m/>
    <n v="3285000"/>
    <m/>
    <n v="3285000"/>
    <m/>
    <n v="3285000"/>
    <m/>
    <n v="3285000"/>
    <m/>
    <n v="3285000"/>
    <m/>
    <n v="6570000"/>
    <m/>
    <m/>
    <n v="0"/>
    <n v="37777500"/>
    <n v="37777500"/>
    <n v="0"/>
    <n v="17726"/>
    <d v="2026-01-10T00:00:00"/>
    <n v="37668000"/>
    <n v="109500"/>
    <n v="10026"/>
    <d v="2026-01-16T00:00:00"/>
    <n v="37668000"/>
    <n v="109500"/>
    <n v="0"/>
    <s v="GUERRERO GOENAGA MARIA JOSE"/>
    <s v="CO1.PCCNTR.8871212"/>
    <n v="37668000"/>
    <m/>
    <m/>
    <m/>
    <m/>
    <m/>
    <m/>
    <m/>
    <m/>
    <m/>
    <m/>
    <m/>
    <m/>
    <m/>
    <m/>
    <m/>
    <m/>
    <m/>
    <m/>
    <m/>
    <m/>
    <m/>
    <m/>
    <m/>
    <m/>
    <m/>
    <m/>
    <m/>
    <m/>
    <m/>
    <m/>
    <m/>
    <m/>
    <m/>
    <m/>
    <m/>
    <n v="37668000"/>
    <n v="0"/>
    <n v="0"/>
    <n v="37668000"/>
    <n v="0"/>
    <x v="0"/>
  </r>
  <r>
    <x v="1"/>
    <x v="5"/>
    <s v="N/A"/>
    <s v="N/A"/>
    <s v="Sí"/>
    <s v="Sí"/>
    <n v="1"/>
    <s v="161-63"/>
    <s v="N.A"/>
    <s v="N.A"/>
    <s v="N.A"/>
    <n v="80111620"/>
    <s v="A-05-01-02-008-002"/>
    <s v="Prestación de servicios profesionales y/o de apoyo a la gestión"/>
    <s v="161-63 Prestar servicios profesionales a la Subdirección de Demanda, atendiendo las PQRS y demás requerimientos jurídicos relacionados con la certificación de proyectos de FNCE, GEE e Hidrógeno."/>
    <s v="Enero "/>
    <s v="Enero "/>
    <s v="Enero "/>
    <n v="11.4"/>
    <s v="Meses"/>
    <s v="Contratación directa - Prestación de servicios profesionales "/>
    <s v="Propios - 20 - Ingresos corrientes"/>
    <n v="51300000"/>
    <n v="51300000"/>
    <s v="No"/>
    <s v="N/A"/>
    <s v="Johanna Castellanos"/>
    <s v="Subdirectora de Demanda"/>
    <n v="6012220601"/>
    <s v="johanna.castellanos@upme.gov.co"/>
    <m/>
    <m/>
    <m/>
    <m/>
    <m/>
    <m/>
    <m/>
    <m/>
    <m/>
    <m/>
    <m/>
    <m/>
    <m/>
    <m/>
    <m/>
    <m/>
    <m/>
    <m/>
    <m/>
    <m/>
    <m/>
    <m/>
    <m/>
    <m/>
    <m/>
    <m/>
    <m/>
    <m/>
    <s v="Prestar servicios profesionales a la Subdirección de Demanda, atendiendo las PQRS y demás requerimientos jurídicos relacionados con la certificación de proyectos de FNCE, GEE e Hidrógeno."/>
    <m/>
    <m/>
    <m/>
    <n v="1800000"/>
    <m/>
    <n v="4500000"/>
    <m/>
    <n v="4500000"/>
    <m/>
    <n v="4500000"/>
    <m/>
    <n v="4500000"/>
    <m/>
    <n v="4500000"/>
    <m/>
    <n v="4500000"/>
    <m/>
    <n v="4500000"/>
    <m/>
    <n v="4500000"/>
    <m/>
    <n v="4500000"/>
    <m/>
    <n v="9000000"/>
    <m/>
    <m/>
    <n v="0"/>
    <n v="51300000"/>
    <n v="51300000"/>
    <n v="0"/>
    <n v="55826"/>
    <d v="2026-01-22T00:00:00"/>
    <n v="49500000"/>
    <n v="1800000"/>
    <n v="41526"/>
    <d v="2026-02-04T00:00:00"/>
    <n v="49500000"/>
    <n v="1800000"/>
    <n v="0"/>
    <s v="PARRA NIÑO EDWIN ANDRES"/>
    <s v="CO1.PCCNTR.9197681"/>
    <m/>
    <m/>
    <m/>
    <n v="49500000"/>
    <m/>
    <m/>
    <m/>
    <m/>
    <m/>
    <m/>
    <m/>
    <m/>
    <m/>
    <m/>
    <m/>
    <m/>
    <m/>
    <m/>
    <m/>
    <m/>
    <m/>
    <m/>
    <m/>
    <m/>
    <m/>
    <m/>
    <m/>
    <m/>
    <m/>
    <m/>
    <m/>
    <m/>
    <m/>
    <m/>
    <m/>
    <m/>
    <n v="49500000"/>
    <n v="0"/>
    <n v="0"/>
    <n v="49500000"/>
    <n v="0"/>
    <x v="0"/>
  </r>
  <r>
    <x v="1"/>
    <x v="5"/>
    <s v="N/A"/>
    <s v="N/A"/>
    <s v="Sí"/>
    <s v="Sí"/>
    <n v="3"/>
    <s v="161-64"/>
    <s v="N.A"/>
    <s v="N.A"/>
    <s v="N.A"/>
    <n v="80111620"/>
    <s v="A-05-01-02-008-002"/>
    <s v="Prestación de servicios profesionales y/o de apoyo a la gestión"/>
    <s v="161-64 Prestar servicios de apoyo a la gestión para la proyección de las respuestas a las PQRS de la Subdirección de Demanda, estableciendo mecanismos de optimización para el cumplimiento de los términos legal e institucionalmente previstos."/>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de apoyo a la gestión para la proyección de las respuestas a las PQRS de la Subdirección de Demanda, estableciendo mecanismos de optimización para el cumplimiento de los términos legal e institucionalmente previstos."/>
    <m/>
    <m/>
    <m/>
    <n v="2000000"/>
    <m/>
    <n v="5000000"/>
    <m/>
    <n v="5000000"/>
    <m/>
    <n v="5000000"/>
    <m/>
    <n v="5000000"/>
    <m/>
    <n v="5000000"/>
    <m/>
    <n v="5000000"/>
    <m/>
    <n v="5000000"/>
    <m/>
    <n v="5000000"/>
    <m/>
    <n v="5000000"/>
    <m/>
    <n v="10000000"/>
    <m/>
    <m/>
    <n v="0"/>
    <n v="57000000"/>
    <n v="57000000"/>
    <n v="0"/>
    <n v="41826"/>
    <d v="2026-01-16T00:00:00"/>
    <n v="57000000"/>
    <n v="0"/>
    <n v="22826"/>
    <d v="2026-01-27T00:00:00"/>
    <n v="56500000"/>
    <n v="500000"/>
    <n v="500000"/>
    <s v="BONILLA RODRIGUEZ DAIAN CAMILA"/>
    <s v="CO1.PCCNTR.9072161"/>
    <n v="56500000"/>
    <m/>
    <m/>
    <m/>
    <m/>
    <m/>
    <m/>
    <m/>
    <m/>
    <m/>
    <m/>
    <m/>
    <m/>
    <m/>
    <m/>
    <m/>
    <m/>
    <m/>
    <m/>
    <m/>
    <m/>
    <m/>
    <m/>
    <m/>
    <m/>
    <m/>
    <m/>
    <m/>
    <m/>
    <m/>
    <m/>
    <m/>
    <m/>
    <m/>
    <m/>
    <m/>
    <n v="56500000"/>
    <n v="0"/>
    <n v="0"/>
    <n v="56500000"/>
    <n v="0"/>
    <x v="0"/>
  </r>
  <r>
    <x v="1"/>
    <x v="5"/>
    <s v="N/A"/>
    <s v="N/A"/>
    <s v="Sí"/>
    <s v="Sí"/>
    <n v="1"/>
    <s v="161-65"/>
    <s v="N.A"/>
    <s v="N.A"/>
    <s v="N.A"/>
    <n v="80111620"/>
    <s v="A-05-01-02-008-002"/>
    <s v="Prestación de servicios profesionales y/o de apoyo a la gestión"/>
    <s v="161-65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000000"/>
    <m/>
    <n v="5000000"/>
    <m/>
    <n v="5000000"/>
    <m/>
    <n v="5000000"/>
    <m/>
    <n v="5000000"/>
    <m/>
    <n v="5000000"/>
    <m/>
    <n v="5000000"/>
    <m/>
    <n v="5000000"/>
    <m/>
    <n v="5000000"/>
    <m/>
    <n v="5000000"/>
    <m/>
    <n v="10000000"/>
    <m/>
    <m/>
    <n v="0"/>
    <n v="57000000"/>
    <n v="57000000"/>
    <n v="0"/>
    <n v="47926"/>
    <d v="2026-01-19T00:00:00"/>
    <n v="57000000"/>
    <n v="0"/>
    <n v="36126"/>
    <d v="2026-01-30T00:00:00"/>
    <n v="55000000"/>
    <n v="2000000"/>
    <n v="2000000"/>
    <s v="TRASLAVIÑA RODRIGUEZ NINI YOHANA"/>
    <s v="CO1.PCCNTR.9183778"/>
    <n v="55000000"/>
    <m/>
    <m/>
    <m/>
    <m/>
    <m/>
    <m/>
    <m/>
    <m/>
    <m/>
    <m/>
    <m/>
    <m/>
    <m/>
    <m/>
    <m/>
    <m/>
    <m/>
    <m/>
    <m/>
    <m/>
    <m/>
    <m/>
    <m/>
    <m/>
    <m/>
    <m/>
    <m/>
    <m/>
    <m/>
    <m/>
    <m/>
    <m/>
    <m/>
    <m/>
    <m/>
    <n v="55000000"/>
    <n v="0"/>
    <n v="0"/>
    <n v="55000000"/>
    <n v="0"/>
    <x v="0"/>
  </r>
  <r>
    <x v="1"/>
    <x v="5"/>
    <s v="N/A"/>
    <s v="N/A"/>
    <s v="Sí"/>
    <s v="Sí"/>
    <n v="1"/>
    <s v="161-66"/>
    <s v="N.A"/>
    <s v="N.A"/>
    <s v="N.A"/>
    <n v="80111620"/>
    <s v="A-05-01-02-008-002"/>
    <s v="Prestación de servicios profesionales y/o de apoyo a la gestión"/>
    <s v="161-66 Prestar servicios profesionales para la gestión jurídica relacionada con los trámites de recursos administrativos contra las decisiones en la evaluación de los proyectos de Fuentes No Convencionales de Energía, Gestión Eficiente de la Energía e Hid"/>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profesionales para la gestión jurídica relacionada con los trámites de recursos administrativos contra las decisiones en la evaluación de los proyectos de Fuentes No Convencionales de Energía, Gestión Eficiente de la Energía e Hidrógeno."/>
    <m/>
    <m/>
    <m/>
    <n v="2000000"/>
    <m/>
    <n v="4000000"/>
    <m/>
    <n v="4000000"/>
    <m/>
    <n v="4000000"/>
    <m/>
    <n v="4000000"/>
    <m/>
    <n v="4000000"/>
    <m/>
    <n v="4000000"/>
    <m/>
    <n v="4000000"/>
    <m/>
    <n v="4000000"/>
    <m/>
    <n v="4000000"/>
    <m/>
    <n v="8000000"/>
    <m/>
    <m/>
    <n v="0"/>
    <n v="46000000"/>
    <n v="46000000"/>
    <n v="0"/>
    <n v="41926"/>
    <d v="2026-01-16T00:00:00"/>
    <n v="46000000"/>
    <n v="0"/>
    <n v="43326"/>
    <d v="2026-02-05T00:00:00"/>
    <n v="44000000"/>
    <n v="2000000"/>
    <n v="2000000"/>
    <s v="RODRIGUEZ BELTRAN DIEGO ANDRES"/>
    <s v="CO1.PCCNTR.9233345"/>
    <m/>
    <m/>
    <m/>
    <n v="44000000"/>
    <m/>
    <m/>
    <m/>
    <m/>
    <m/>
    <m/>
    <m/>
    <m/>
    <m/>
    <m/>
    <m/>
    <m/>
    <m/>
    <m/>
    <m/>
    <m/>
    <m/>
    <m/>
    <m/>
    <m/>
    <m/>
    <m/>
    <m/>
    <m/>
    <m/>
    <m/>
    <m/>
    <m/>
    <m/>
    <m/>
    <m/>
    <m/>
    <n v="44000000"/>
    <n v="0"/>
    <n v="0"/>
    <n v="44000000"/>
    <n v="0"/>
    <x v="0"/>
  </r>
  <r>
    <x v="1"/>
    <x v="5"/>
    <s v="N/A"/>
    <s v="N/A"/>
    <s v="Sí"/>
    <s v="Sí"/>
    <n v="1"/>
    <s v="161-67"/>
    <s v="N.A"/>
    <s v="N.A"/>
    <s v="N.A"/>
    <n v="80111620"/>
    <s v="A-05-01-02-008-002"/>
    <s v="Prestación de servicios profesionales y/o de apoyo a la gestión"/>
    <s v="161-67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000000"/>
    <m/>
    <n v="5000000"/>
    <m/>
    <n v="5000000"/>
    <m/>
    <n v="5000000"/>
    <m/>
    <n v="5000000"/>
    <m/>
    <n v="5000000"/>
    <m/>
    <n v="5000000"/>
    <m/>
    <n v="5000000"/>
    <m/>
    <n v="5000000"/>
    <m/>
    <n v="5000000"/>
    <m/>
    <n v="10000000"/>
    <m/>
    <m/>
    <n v="0"/>
    <n v="57000000"/>
    <n v="57000000"/>
    <n v="0"/>
    <n v="55726"/>
    <d v="2026-01-22T00:00:00"/>
    <n v="55000000"/>
    <n v="2000000"/>
    <n v="29926"/>
    <d v="2026-01-29T00:00:00"/>
    <n v="55000000"/>
    <n v="2000000"/>
    <n v="0"/>
    <s v="FLOREZ ALBA MARINA"/>
    <s v="CO1.PCCNTR.9139891"/>
    <n v="55000000"/>
    <m/>
    <m/>
    <m/>
    <m/>
    <m/>
    <m/>
    <m/>
    <m/>
    <m/>
    <m/>
    <m/>
    <m/>
    <m/>
    <m/>
    <m/>
    <m/>
    <m/>
    <m/>
    <m/>
    <m/>
    <m/>
    <m/>
    <m/>
    <m/>
    <m/>
    <m/>
    <m/>
    <m/>
    <m/>
    <m/>
    <m/>
    <m/>
    <m/>
    <m/>
    <m/>
    <n v="55000000"/>
    <n v="0"/>
    <n v="0"/>
    <n v="55000000"/>
    <n v="0"/>
    <x v="0"/>
  </r>
  <r>
    <x v="1"/>
    <x v="5"/>
    <s v="N/A"/>
    <s v="N/A"/>
    <s v="Sí"/>
    <s v="Sí"/>
    <n v="1"/>
    <s v="161-68"/>
    <s v="N.A"/>
    <s v="N.A"/>
    <s v="N.A"/>
    <n v="80111620"/>
    <s v="A-05-01-02-008-002"/>
    <s v="Prestación de servicios profesionales y/o de apoyo a la gestión"/>
    <s v="161-68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500000"/>
    <m/>
    <n v="5000000"/>
    <m/>
    <n v="5000000"/>
    <m/>
    <n v="5000000"/>
    <m/>
    <n v="5000000"/>
    <m/>
    <n v="5000000"/>
    <m/>
    <n v="5000000"/>
    <m/>
    <n v="5000000"/>
    <m/>
    <n v="5000000"/>
    <m/>
    <n v="5000000"/>
    <m/>
    <n v="10000000"/>
    <m/>
    <m/>
    <n v="0"/>
    <n v="57500000"/>
    <n v="57500000"/>
    <n v="0"/>
    <n v="40426"/>
    <d v="2026-01-16T00:00:00"/>
    <n v="44850000"/>
    <n v="12650000"/>
    <n v="22026"/>
    <d v="2026-01-26T00:00:00"/>
    <n v="44070000"/>
    <n v="13430000"/>
    <n v="780000"/>
    <s v="ESTRADA MUNERA NICOLLE"/>
    <s v="CO1.PCCNTR.9067680"/>
    <n v="44070000"/>
    <m/>
    <m/>
    <m/>
    <m/>
    <m/>
    <m/>
    <m/>
    <m/>
    <m/>
    <m/>
    <m/>
    <m/>
    <m/>
    <m/>
    <m/>
    <m/>
    <m/>
    <m/>
    <m/>
    <m/>
    <m/>
    <m/>
    <m/>
    <m/>
    <m/>
    <m/>
    <m/>
    <m/>
    <m/>
    <m/>
    <m/>
    <m/>
    <m/>
    <m/>
    <m/>
    <n v="44070000"/>
    <n v="0"/>
    <n v="0"/>
    <n v="44070000"/>
    <n v="0"/>
    <x v="0"/>
  </r>
  <r>
    <x v="1"/>
    <x v="5"/>
    <s v="N/A"/>
    <s v="N/A"/>
    <s v="Sí"/>
    <s v="Sí"/>
    <n v="3"/>
    <s v="161-69"/>
    <s v="N.A"/>
    <s v="N.A"/>
    <s v="N.A"/>
    <n v="80111620"/>
    <s v="A-05-01-02-008-002"/>
    <s v="Prestación de servicios profesionales y/o de apoyo a la gestión"/>
    <s v="161-69 Prestar servicios profesionales en la gestión de respuestas a las PQRS y demás trámites de índole jurídico radicadas en la entidad asociadas al trámite de incentivos tributarios, cumpliendo los términos legales."/>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profesionales en la gestión de respuestas a las PQRS y demás trámites de índole jurídico radicadas en la entidad asociadas al trámite de incentivos tributarios, cumpliendo los términos legales."/>
    <m/>
    <m/>
    <m/>
    <n v="2000000"/>
    <m/>
    <n v="4000000"/>
    <m/>
    <n v="4000000"/>
    <m/>
    <n v="4000000"/>
    <m/>
    <n v="4000000"/>
    <m/>
    <n v="4000000"/>
    <m/>
    <n v="4000000"/>
    <m/>
    <n v="4000000"/>
    <m/>
    <n v="4000000"/>
    <m/>
    <n v="4000000"/>
    <m/>
    <n v="8000000"/>
    <m/>
    <m/>
    <n v="0"/>
    <n v="46000000"/>
    <n v="46000000"/>
    <n v="0"/>
    <n v="48026"/>
    <d v="2026-01-19T00:00:00"/>
    <n v="46000000"/>
    <n v="0"/>
    <n v="43726"/>
    <d v="2026-02-05T00:00:00"/>
    <n v="39600000"/>
    <n v="6400000"/>
    <n v="6400000"/>
    <s v="ORTEGA PIÑA FRANCISCO ANDRES"/>
    <s v="CO1.PCCNTR.9226391"/>
    <n v="39600000"/>
    <m/>
    <m/>
    <m/>
    <m/>
    <m/>
    <m/>
    <m/>
    <m/>
    <m/>
    <m/>
    <m/>
    <m/>
    <m/>
    <m/>
    <m/>
    <m/>
    <m/>
    <m/>
    <m/>
    <m/>
    <m/>
    <m/>
    <m/>
    <m/>
    <m/>
    <m/>
    <m/>
    <m/>
    <m/>
    <m/>
    <m/>
    <m/>
    <m/>
    <m/>
    <m/>
    <n v="39600000"/>
    <n v="0"/>
    <n v="0"/>
    <n v="39600000"/>
    <n v="0"/>
    <x v="0"/>
  </r>
  <r>
    <x v="1"/>
    <x v="5"/>
    <s v="N/A"/>
    <s v="N/A"/>
    <s v="Sí"/>
    <s v="Sí"/>
    <n v="68"/>
    <s v="161-7"/>
    <s v="N.A"/>
    <s v="N.A"/>
    <s v="N.A"/>
    <n v="80111620"/>
    <s v="A-05-01-02-008-002"/>
    <s v="Prestación de servicios profesionales y/o de apoyo a la gestión"/>
    <s v="161-7 Prestar servicios profesionales para la proyección de las respuestas a las PQRS de la entidad a nivel jurídico relacionadas con el trámite de Incentivos tributarios, así como el acompañamiento en los procesos contractuales requeridos dentro de la Su"/>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proyección de las respuestas a las PQRS de la entidad a nivel jurídico relacionadas con el trámite de Incentivos tributarios, así como el acompañamiento en los procesos contractuales requeridos dentro de la Subdirec"/>
    <m/>
    <m/>
    <m/>
    <n v="2000000"/>
    <m/>
    <n v="5000000"/>
    <m/>
    <n v="5000000"/>
    <m/>
    <n v="5000000"/>
    <m/>
    <n v="5000000"/>
    <m/>
    <n v="5000000"/>
    <m/>
    <n v="5000000"/>
    <m/>
    <n v="5000000"/>
    <m/>
    <n v="5000000"/>
    <m/>
    <n v="5000000"/>
    <m/>
    <n v="10000000"/>
    <m/>
    <m/>
    <n v="0"/>
    <n v="57000000"/>
    <n v="57000000"/>
    <n v="0"/>
    <n v="36726"/>
    <d v="2026-01-15T00:00:00"/>
    <n v="57000000"/>
    <n v="0"/>
    <n v="27226"/>
    <d v="2026-01-28T00:00:00"/>
    <n v="0"/>
    <n v="57000000"/>
    <n v="57000000"/>
    <s v="SOLANO BELTRAN CARLOS ALBERTO"/>
    <s v="CO1.PCCNTR.9136053"/>
    <m/>
    <m/>
    <m/>
    <m/>
    <m/>
    <m/>
    <m/>
    <m/>
    <m/>
    <m/>
    <m/>
    <m/>
    <m/>
    <m/>
    <m/>
    <m/>
    <m/>
    <m/>
    <m/>
    <m/>
    <m/>
    <m/>
    <m/>
    <m/>
    <m/>
    <m/>
    <m/>
    <m/>
    <m/>
    <m/>
    <m/>
    <m/>
    <m/>
    <m/>
    <m/>
    <m/>
    <n v="0"/>
    <n v="0"/>
    <n v="0"/>
    <n v="0"/>
    <n v="0"/>
    <x v="0"/>
  </r>
  <r>
    <x v="1"/>
    <x v="5"/>
    <s v="N/A"/>
    <s v="N/A"/>
    <s v="Sí"/>
    <s v="Sí"/>
    <n v="1"/>
    <s v="161-70"/>
    <s v="N.A"/>
    <s v="N.A"/>
    <s v="N.A"/>
    <n v="80111620"/>
    <s v="A-05-01-02-008-002"/>
    <s v="Prestación de servicios profesionales y/o de apoyo a la gestión"/>
    <s v="161-70 Prestar servicios profesionales para la gestión jurídica relacionada con la sustanciación de los recursos de reposición y acciones de tutela contra las decisiones adoptadas en el trámite de incentivos tributarios."/>
    <s v="Enero "/>
    <s v="Enero "/>
    <s v="Enero "/>
    <n v="11.5"/>
    <s v="Meses"/>
    <s v="Contratación directa - Prestación de servicios profesionales "/>
    <s v="Propios - 20 - Ingresos corrientes"/>
    <n v="63250000"/>
    <n v="6325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750000"/>
    <m/>
    <n v="5500000"/>
    <m/>
    <n v="5500000"/>
    <m/>
    <n v="5500000"/>
    <m/>
    <n v="5500000"/>
    <m/>
    <n v="5500000"/>
    <m/>
    <n v="5500000"/>
    <m/>
    <n v="5500000"/>
    <m/>
    <n v="5500000"/>
    <m/>
    <n v="5500000"/>
    <m/>
    <n v="11000000"/>
    <m/>
    <m/>
    <n v="0"/>
    <n v="63250000"/>
    <n v="63250000"/>
    <n v="0"/>
    <n v="14426"/>
    <d v="2026-01-09T00:00:00"/>
    <n v="63250000"/>
    <n v="0"/>
    <n v="18126"/>
    <d v="2026-01-23T00:00:00"/>
    <n v="63000000"/>
    <n v="250000"/>
    <n v="250000"/>
    <s v="GONZALEZ GALLEGO DAYANNA"/>
    <s v="CO1.PCCNTR.8995080"/>
    <n v="63000000"/>
    <m/>
    <m/>
    <m/>
    <m/>
    <m/>
    <m/>
    <m/>
    <m/>
    <m/>
    <m/>
    <m/>
    <m/>
    <m/>
    <m/>
    <m/>
    <m/>
    <m/>
    <m/>
    <m/>
    <m/>
    <m/>
    <m/>
    <m/>
    <m/>
    <m/>
    <m/>
    <m/>
    <m/>
    <m/>
    <m/>
    <m/>
    <m/>
    <m/>
    <m/>
    <m/>
    <n v="63000000"/>
    <n v="0"/>
    <n v="0"/>
    <n v="63000000"/>
    <n v="0"/>
    <x v="0"/>
  </r>
  <r>
    <x v="1"/>
    <x v="5"/>
    <s v="N/A"/>
    <s v="N/A"/>
    <s v="Sí"/>
    <s v="Sí"/>
    <n v="10"/>
    <s v="161-71"/>
    <s v="N.A"/>
    <s v="N.A"/>
    <s v="N.A"/>
    <n v="80111620"/>
    <s v="A-05-01-02-008-003"/>
    <s v="Prestación de servicios profesionales y/o de apoyo a la gestión"/>
    <s v="161-71 Prestar servicios profesionales para la evaluación, análisis de la información de los proyectos de Fuentes No Convencionales de Energía y Gestión Eficiente de la Energía."/>
    <s v="Enero "/>
    <s v="Enero "/>
    <s v="Enero "/>
    <n v="5"/>
    <s v="Meses"/>
    <s v="Contratación directa - Prestación de servicios profesionales "/>
    <s v="Propios - 20 - Ingresos corrientes"/>
    <n v="20500000"/>
    <n v="205000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n v="0"/>
    <n v="0"/>
    <n v="0"/>
    <n v="4100000"/>
    <n v="0"/>
    <n v="4100000"/>
    <n v="0"/>
    <n v="4100000"/>
    <n v="0"/>
    <n v="4100000"/>
    <n v="0"/>
    <n v="4100000"/>
    <n v="0"/>
    <m/>
    <n v="0"/>
    <m/>
    <n v="0"/>
    <m/>
    <n v="0"/>
    <m/>
    <n v="0"/>
    <m/>
    <m/>
    <m/>
    <n v="0"/>
    <n v="20500000"/>
    <n v="20500000"/>
    <n v="0"/>
    <m/>
    <m/>
    <m/>
    <n v="20500000"/>
    <m/>
    <m/>
    <n v="0"/>
    <n v="20500000"/>
    <n v="0"/>
    <m/>
    <m/>
    <m/>
    <m/>
    <m/>
    <m/>
    <m/>
    <m/>
    <m/>
    <m/>
    <m/>
    <m/>
    <m/>
    <m/>
    <m/>
    <m/>
    <m/>
    <m/>
    <m/>
    <m/>
    <m/>
    <m/>
    <m/>
    <m/>
    <m/>
    <m/>
    <m/>
    <m/>
    <m/>
    <m/>
    <m/>
    <m/>
    <m/>
    <m/>
    <m/>
    <m/>
    <m/>
    <m/>
    <n v="0"/>
    <n v="0"/>
    <n v="0"/>
    <n v="0"/>
    <n v="0"/>
    <x v="0"/>
  </r>
  <r>
    <x v="1"/>
    <x v="5"/>
    <s v="N/A"/>
    <s v="N/A"/>
    <s v="Sí"/>
    <s v="Sí"/>
    <n v="10"/>
    <s v="161-72"/>
    <s v="N.A"/>
    <s v="N.A"/>
    <s v="N.A"/>
    <n v="80111620"/>
    <s v="A-05-01-02-008-003"/>
    <s v="Prestación de servicios profesionales y/o de apoyo a la gestión"/>
    <s v="161-72 Prestar servicios profesionales para contribuir en la implementación y seguimiento de los planes de mejoramiento mediante el análisis , consolidación y documentación de los procesos, asi como el desarrollo de las actividades de indole administrativ"/>
    <s v="Enero "/>
    <s v="Enero "/>
    <s v="Enero "/>
    <n v="6"/>
    <s v="Meses"/>
    <s v="Contratación directa - Prestación de servicios profesionales "/>
    <s v="Propios - 20 - Ingresos corrientes"/>
    <n v="24000000"/>
    <n v="24000000"/>
    <s v="No"/>
    <s v="N/A"/>
    <s v="Johanna Castellanos"/>
    <s v="Subdirectora de Demanda"/>
    <n v="6012220601"/>
    <s v="johanna.castellanos@upme.gov.co"/>
    <m/>
    <m/>
    <m/>
    <m/>
    <m/>
    <m/>
    <m/>
    <m/>
    <m/>
    <m/>
    <m/>
    <m/>
    <m/>
    <m/>
    <m/>
    <m/>
    <m/>
    <m/>
    <m/>
    <m/>
    <m/>
    <m/>
    <m/>
    <m/>
    <m/>
    <m/>
    <m/>
    <m/>
    <s v="Prestar servicios profesionales para contribuir en la implementación y seguimiento de los planes de mejoramiento mediante el análisis , consolidación y documentación de los procesos, asi como el desarrollo de las actividades de indole administrativo dentr"/>
    <m/>
    <m/>
    <n v="0"/>
    <n v="0"/>
    <n v="0"/>
    <n v="4000000"/>
    <n v="0"/>
    <n v="4000000"/>
    <n v="0"/>
    <n v="4000000"/>
    <n v="0"/>
    <n v="4000000"/>
    <n v="0"/>
    <n v="4000000"/>
    <n v="0"/>
    <n v="4000000"/>
    <n v="0"/>
    <n v="0"/>
    <n v="0"/>
    <n v="0"/>
    <n v="0"/>
    <n v="0"/>
    <n v="0"/>
    <n v="0"/>
    <m/>
    <m/>
    <n v="0"/>
    <n v="24000000"/>
    <n v="24000000"/>
    <n v="0"/>
    <m/>
    <m/>
    <m/>
    <n v="24000000"/>
    <n v="1226"/>
    <d v="2026-01-05T00:00:00"/>
    <n v="0"/>
    <n v="24000000"/>
    <n v="0"/>
    <s v="SIERRA URIBE ISABEL"/>
    <s v="CO1.PCCNTR.7367645"/>
    <m/>
    <m/>
    <m/>
    <m/>
    <m/>
    <m/>
    <m/>
    <m/>
    <m/>
    <m/>
    <m/>
    <m/>
    <m/>
    <m/>
    <m/>
    <m/>
    <m/>
    <m/>
    <m/>
    <m/>
    <m/>
    <m/>
    <m/>
    <m/>
    <m/>
    <m/>
    <m/>
    <m/>
    <m/>
    <m/>
    <m/>
    <m/>
    <m/>
    <m/>
    <m/>
    <m/>
    <n v="0"/>
    <n v="0"/>
    <n v="0"/>
    <n v="0"/>
    <n v="0"/>
    <x v="0"/>
  </r>
  <r>
    <x v="1"/>
    <x v="5"/>
    <s v="N/A"/>
    <s v="N/A"/>
    <s v="Sí"/>
    <s v="Sí"/>
    <n v="10"/>
    <s v="161-73"/>
    <s v="N.A"/>
    <s v="N.A"/>
    <s v="N.A"/>
    <n v="80111620"/>
    <s v="A-05-01-02-008-003"/>
    <s v="Prestación de servicios profesionales y/o de apoyo a la gestión"/>
    <s v="161-73 Prestar servicios profesionales para la comunicación , divulgación y socialización de la planeación energética con enfoque en descarbonización, conforme a los lineamientos de la UPME."/>
    <s v="Enero "/>
    <s v="Enero "/>
    <s v="Enero "/>
    <n v="11"/>
    <s v="Meses"/>
    <s v="Contratación directa - Prestación de servicios profesionales "/>
    <s v="Propios - 20 - Ingresos corrientes"/>
    <n v="37000000"/>
    <n v="37000000"/>
    <s v="No"/>
    <s v="N/A"/>
    <s v="Johanna Castellanos"/>
    <s v="Subdirectora de Demanda"/>
    <n v="6012220601"/>
    <s v="johanna.castellanos@upme.gov.co"/>
    <m/>
    <m/>
    <m/>
    <m/>
    <m/>
    <m/>
    <m/>
    <m/>
    <m/>
    <m/>
    <m/>
    <m/>
    <m/>
    <m/>
    <m/>
    <m/>
    <m/>
    <m/>
    <m/>
    <m/>
    <m/>
    <m/>
    <m/>
    <m/>
    <m/>
    <m/>
    <m/>
    <m/>
    <s v="Prestar servicios profesionales para la comunicación , divulgación y socialización de la planeación energética con enfoque en descarbonización, conforme a los lineamientos de la UPME."/>
    <m/>
    <m/>
    <n v="0"/>
    <n v="0"/>
    <n v="0"/>
    <n v="3363000"/>
    <n v="0"/>
    <n v="3363000"/>
    <n v="0"/>
    <n v="3363000"/>
    <n v="0"/>
    <n v="3363000"/>
    <n v="0"/>
    <n v="3363000"/>
    <n v="0"/>
    <n v="3363000"/>
    <n v="0"/>
    <n v="3363000"/>
    <n v="0"/>
    <n v="3363000"/>
    <n v="0"/>
    <n v="3363000"/>
    <n v="0"/>
    <n v="6733000"/>
    <m/>
    <m/>
    <n v="0"/>
    <n v="37000000"/>
    <n v="37000000"/>
    <n v="0"/>
    <n v="68126"/>
    <d v="2026-01-30T00:00:00"/>
    <n v="37000000"/>
    <n v="0"/>
    <m/>
    <m/>
    <n v="0"/>
    <n v="37000000"/>
    <n v="37000000"/>
    <m/>
    <m/>
    <m/>
    <m/>
    <m/>
    <m/>
    <m/>
    <m/>
    <m/>
    <m/>
    <m/>
    <m/>
    <m/>
    <m/>
    <m/>
    <m/>
    <m/>
    <m/>
    <m/>
    <m/>
    <m/>
    <m/>
    <m/>
    <m/>
    <m/>
    <m/>
    <m/>
    <m/>
    <m/>
    <m/>
    <m/>
    <m/>
    <m/>
    <m/>
    <m/>
    <m/>
    <m/>
    <m/>
    <n v="0"/>
    <n v="0"/>
    <n v="0"/>
    <n v="0"/>
    <n v="0"/>
    <x v="0"/>
  </r>
  <r>
    <x v="1"/>
    <x v="5"/>
    <s v="N/A"/>
    <s v="N/A"/>
    <s v="Sí"/>
    <s v="Sí"/>
    <n v="8"/>
    <s v="161-74"/>
    <s v="N.A"/>
    <s v="N.A"/>
    <s v="N.A"/>
    <n v="80111620"/>
    <s v="A-05-01-02-008-003"/>
    <s v="Prestación de servicios profesionales y/o de apoyo a la gestión"/>
    <s v="161-74  Prestar servicios profesionales orientados al fortalecimiento de la Dimensión de Control Interno mediante la ejecución del Plan Anual de Auditorías Internas Independientes, con énfasis en la evaluación de la gestión misional de la UPME."/>
    <s v="Enero "/>
    <s v="Enero "/>
    <s v="Enero "/>
    <n v="11"/>
    <s v="Meses"/>
    <s v="Contratación directa - Prestación de servicios profesionales "/>
    <s v="Propios - 20 - Ingresos corrientes"/>
    <n v="20000000"/>
    <n v="20000000"/>
    <s v="No"/>
    <s v="N/A"/>
    <s v="Johanna Castellanos"/>
    <s v="Subdirectora de Demanda"/>
    <n v="6012220601"/>
    <s v="johanna.castellanos@upme.gov.co"/>
    <m/>
    <m/>
    <m/>
    <m/>
    <m/>
    <m/>
    <m/>
    <m/>
    <m/>
    <m/>
    <m/>
    <m/>
    <m/>
    <m/>
    <m/>
    <m/>
    <m/>
    <m/>
    <m/>
    <m/>
    <m/>
    <m/>
    <m/>
    <m/>
    <m/>
    <m/>
    <m/>
    <m/>
    <s v=" Prestar servicios profesionales orientados al fortalecimiento de la Dimensión de Control Interno mediante la ejecución del Plan Anual de Auditorías Internas Independientes, con énfasis en la evaluación de la gestión misional de la UPME."/>
    <m/>
    <m/>
    <m/>
    <m/>
    <m/>
    <m/>
    <m/>
    <m/>
    <m/>
    <m/>
    <m/>
    <m/>
    <m/>
    <m/>
    <m/>
    <m/>
    <m/>
    <m/>
    <m/>
    <m/>
    <m/>
    <m/>
    <m/>
    <m/>
    <m/>
    <m/>
    <n v="0"/>
    <n v="0"/>
    <n v="20000000"/>
    <n v="20000000"/>
    <n v="65826"/>
    <d v="2026-01-26T00:00:00"/>
    <n v="20000000"/>
    <n v="0"/>
    <m/>
    <m/>
    <n v="0"/>
    <n v="20000000"/>
    <n v="20000000"/>
    <m/>
    <m/>
    <m/>
    <m/>
    <m/>
    <m/>
    <m/>
    <m/>
    <m/>
    <m/>
    <m/>
    <m/>
    <m/>
    <m/>
    <m/>
    <m/>
    <m/>
    <m/>
    <m/>
    <m/>
    <m/>
    <m/>
    <m/>
    <m/>
    <m/>
    <m/>
    <m/>
    <m/>
    <m/>
    <m/>
    <m/>
    <m/>
    <m/>
    <m/>
    <m/>
    <m/>
    <m/>
    <m/>
    <n v="0"/>
    <n v="0"/>
    <n v="0"/>
    <n v="0"/>
    <n v="0"/>
    <x v="0"/>
  </r>
  <r>
    <x v="1"/>
    <x v="5"/>
    <s v="N/A"/>
    <s v="N/A"/>
    <s v="Sí"/>
    <s v="Sí"/>
    <n v="8"/>
    <s v="161-75"/>
    <s v="N.A"/>
    <s v="N.A"/>
    <s v="N.A"/>
    <n v="80111620"/>
    <s v="A-05-01-02-008-003"/>
    <s v="Prestación de servicios profesionales y/o de apoyo a la gestión"/>
    <s v="161-75 Prestar servicios profesionales para la revisión posterior y control de la calidad de conceptos técnicos y certificaciones emitidas en el marco del procedimiento de evaluación de solicitudes para Incentivos Tributarios de proyectos de FNCE, GEE e H"/>
    <s v="Enero "/>
    <s v="Enero "/>
    <s v="Enero "/>
    <n v="5"/>
    <s v="Meses"/>
    <s v="Contratación directa - Prestación de servicios profesionales "/>
    <s v="Propios - 20 - Ingresos corrientes"/>
    <n v="17925000"/>
    <n v="17925000"/>
    <s v="No"/>
    <s v="N/A"/>
    <s v="Johanna Castellanos"/>
    <s v="Subdirectora de Demanda"/>
    <n v="6012220601"/>
    <s v="johanna.castellanos@upme.gov.co"/>
    <m/>
    <m/>
    <m/>
    <m/>
    <m/>
    <m/>
    <m/>
    <m/>
    <m/>
    <m/>
    <m/>
    <m/>
    <m/>
    <m/>
    <m/>
    <m/>
    <m/>
    <m/>
    <m/>
    <m/>
    <m/>
    <m/>
    <m/>
    <m/>
    <m/>
    <m/>
    <m/>
    <m/>
    <s v="Prestar servicios profesionales para la revisión posterior y control de la calidad de conceptos técnicos y certificaciones emitidas en el marco del procedimiento de evaluación de solicitudes para Incentivos Tributarios de proyectos de FNCE, GEE e Hidrógen"/>
    <m/>
    <m/>
    <m/>
    <m/>
    <m/>
    <n v="1629000"/>
    <m/>
    <n v="1629000"/>
    <m/>
    <n v="1629000"/>
    <m/>
    <n v="1629000"/>
    <m/>
    <n v="1629000"/>
    <m/>
    <n v="1629000"/>
    <m/>
    <n v="1629000"/>
    <m/>
    <n v="1629000"/>
    <m/>
    <n v="1629000"/>
    <m/>
    <n v="3264000"/>
    <m/>
    <m/>
    <n v="0"/>
    <n v="17925000"/>
    <n v="17925000"/>
    <n v="0"/>
    <m/>
    <m/>
    <m/>
    <n v="17925000"/>
    <m/>
    <m/>
    <n v="0"/>
    <n v="17925000"/>
    <n v="0"/>
    <m/>
    <m/>
    <m/>
    <m/>
    <m/>
    <m/>
    <m/>
    <m/>
    <m/>
    <m/>
    <m/>
    <m/>
    <m/>
    <m/>
    <m/>
    <m/>
    <m/>
    <m/>
    <m/>
    <m/>
    <m/>
    <m/>
    <m/>
    <m/>
    <m/>
    <m/>
    <m/>
    <m/>
    <m/>
    <m/>
    <m/>
    <m/>
    <m/>
    <m/>
    <m/>
    <m/>
    <m/>
    <m/>
    <n v="0"/>
    <n v="0"/>
    <n v="0"/>
    <n v="0"/>
    <n v="0"/>
    <x v="0"/>
  </r>
  <r>
    <x v="1"/>
    <x v="5"/>
    <s v="N/A"/>
    <s v="N/A"/>
    <s v="Sí"/>
    <s v="Sí"/>
    <n v="8"/>
    <s v="161-76"/>
    <s v="N.A"/>
    <s v="N.A"/>
    <s v="N.A"/>
    <n v="80111620"/>
    <s v="A-05-01-02-008-003"/>
    <s v="Prestación de servicios profesionales y/o de apoyo a la gestión"/>
    <s v="161-76 Prestar servicios de apoyo a la gestión para el fortalecimiento de los procesos de manejo de la información y archivo del equipo administrativo de la Entidad, mediante la organización, actualización, clasificación y control de la documentación, con"/>
    <s v="Enero "/>
    <s v="Enero "/>
    <s v="Enero "/>
    <n v="11"/>
    <s v="Meses"/>
    <s v="Contratación directa - Prestación de servicios profesionales "/>
    <s v="Propios - 20 - Ingresos corrientes"/>
    <n v="33000000"/>
    <n v="33000000"/>
    <s v="No"/>
    <s v="N/A"/>
    <s v="Johanna Castellanos"/>
    <s v="Subdirectora de Demanda"/>
    <n v="6012220601"/>
    <s v="johanna.castellanos@upme.gov.co"/>
    <m/>
    <m/>
    <m/>
    <m/>
    <m/>
    <m/>
    <m/>
    <m/>
    <m/>
    <m/>
    <m/>
    <m/>
    <m/>
    <m/>
    <m/>
    <m/>
    <m/>
    <m/>
    <m/>
    <m/>
    <m/>
    <m/>
    <m/>
    <m/>
    <m/>
    <m/>
    <m/>
    <m/>
    <s v="Prestar servicios de apoyo a la gestión para el fortalecimiento de los procesos de manejo de la información y archivo del equipo administrativo de la Entidad, mediante la organización, actualización, clasificación y control de la documentación, contribuye"/>
    <m/>
    <m/>
    <n v="0"/>
    <n v="0"/>
    <n v="0"/>
    <n v="3000000"/>
    <n v="0"/>
    <n v="3000000"/>
    <n v="0"/>
    <n v="3000000"/>
    <n v="0"/>
    <n v="3000000"/>
    <n v="0"/>
    <n v="3000000"/>
    <n v="0"/>
    <n v="3000000"/>
    <n v="0"/>
    <n v="3000000"/>
    <n v="0"/>
    <n v="3000000"/>
    <n v="0"/>
    <n v="3000000"/>
    <n v="0"/>
    <n v="6000000"/>
    <m/>
    <m/>
    <n v="0"/>
    <n v="33000000"/>
    <n v="33000000"/>
    <n v="0"/>
    <n v="1926"/>
    <d v="2026-01-05T00:00:00"/>
    <n v="26562900"/>
    <n v="6437100"/>
    <n v="1926"/>
    <d v="2026-01-05T00:00:00"/>
    <n v="26562900"/>
    <n v="6437100"/>
    <n v="0"/>
    <s v="MOLINA BERMUDEZ CARLOS ALBERTO"/>
    <s v="CO1.PCCNT.7365324"/>
    <n v="26562900"/>
    <m/>
    <m/>
    <m/>
    <m/>
    <m/>
    <m/>
    <m/>
    <m/>
    <m/>
    <m/>
    <m/>
    <m/>
    <m/>
    <m/>
    <m/>
    <m/>
    <m/>
    <m/>
    <m/>
    <m/>
    <m/>
    <m/>
    <m/>
    <m/>
    <m/>
    <m/>
    <m/>
    <m/>
    <m/>
    <m/>
    <m/>
    <m/>
    <m/>
    <m/>
    <m/>
    <n v="26562900"/>
    <n v="0"/>
    <n v="0"/>
    <n v="26562900"/>
    <n v="0"/>
    <x v="0"/>
  </r>
  <r>
    <x v="1"/>
    <x v="5"/>
    <s v="N/A"/>
    <s v="N/A"/>
    <s v="Sí"/>
    <s v="Sí"/>
    <n v="1"/>
    <s v="161-77"/>
    <s v="N.A"/>
    <s v="N.A"/>
    <s v="N.A"/>
    <n v="80111620"/>
    <s v="A-05-01-02-008-003"/>
    <s v="Prestación de servicios profesionales y/o de apoyo a la gestión"/>
    <s v="161-77 Prestar servicios profesionales para la revisión posterior, control de la calidad de conceptos técnicos y certificaciones emitidas en el marco del procedimiento de evaluación de solicitudes para Incentivos Tributarios de proyectos de FNCE, GEE e Hi"/>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revisión posterior, control de la calidad de conceptos técnicos y certificaciones emitidas en el marco del procedimiento de evaluación de solicitudes para Incentivos Tributarios de proyectos de FNCE, GEE e Hidrógeno"/>
    <m/>
    <m/>
    <m/>
    <n v="-23400000"/>
    <m/>
    <n v="3900000"/>
    <m/>
    <n v="3900000"/>
    <m/>
    <n v="3900000"/>
    <m/>
    <n v="3900000"/>
    <m/>
    <n v="3900000"/>
    <m/>
    <n v="3900000"/>
    <m/>
    <n v="3900000"/>
    <m/>
    <n v="3900000"/>
    <m/>
    <n v="3900000"/>
    <m/>
    <n v="7800000"/>
    <m/>
    <m/>
    <n v="0"/>
    <n v="19500000"/>
    <n v="19500000"/>
    <n v="0"/>
    <m/>
    <m/>
    <m/>
    <n v="19500000"/>
    <m/>
    <m/>
    <n v="0"/>
    <n v="19500000"/>
    <n v="0"/>
    <m/>
    <m/>
    <m/>
    <m/>
    <m/>
    <m/>
    <m/>
    <m/>
    <m/>
    <m/>
    <m/>
    <m/>
    <m/>
    <m/>
    <m/>
    <m/>
    <m/>
    <m/>
    <m/>
    <m/>
    <m/>
    <m/>
    <m/>
    <m/>
    <m/>
    <m/>
    <m/>
    <m/>
    <m/>
    <m/>
    <m/>
    <m/>
    <m/>
    <m/>
    <m/>
    <m/>
    <m/>
    <m/>
    <n v="0"/>
    <n v="0"/>
    <n v="0"/>
    <n v="0"/>
    <n v="0"/>
    <x v="0"/>
  </r>
  <r>
    <x v="1"/>
    <x v="5"/>
    <s v="N/A"/>
    <s v="N/A"/>
    <s v="Sí"/>
    <s v="Sí"/>
    <n v="1"/>
    <s v="161-78"/>
    <s v="N.A"/>
    <s v="N.A"/>
    <s v="N.A"/>
    <n v="80111620"/>
    <s v="A-05-01-02-008-003"/>
    <s v="Prestación de servicios profesionales y/o de apoyo a la gestión"/>
    <s v="161-78 Prestar servicios profesionales para la revisión posterior, control de la calidad y unificación de conceptos técnicos y certificaciones emitidas en el marco del procedimiento de evaluación de solicitudes para Incentivos Tributarios de proyectos de "/>
    <s v="Enero "/>
    <s v="Enero "/>
    <s v="Enero "/>
    <n v="5"/>
    <s v="Meses"/>
    <s v="Contratación directa - Prestación de servicios profesionales "/>
    <s v="Propios - 20 - Ingresos corrientes"/>
    <n v="22500000"/>
    <n v="22500000"/>
    <s v="No"/>
    <s v="N/A"/>
    <s v="Johanna Castellanos"/>
    <s v="Subdirectora de Demanda"/>
    <n v="6012220601"/>
    <s v="johanna.castellanos@upme.gov.co"/>
    <m/>
    <m/>
    <m/>
    <m/>
    <m/>
    <m/>
    <m/>
    <m/>
    <m/>
    <m/>
    <m/>
    <m/>
    <m/>
    <m/>
    <m/>
    <m/>
    <m/>
    <m/>
    <m/>
    <m/>
    <m/>
    <m/>
    <m/>
    <m/>
    <m/>
    <m/>
    <m/>
    <m/>
    <s v="Prestar servicios profesionales para la revisión posterior, control de la calidad y unificación de conceptos técnicos y certificaciones emitidas en el marco del procedimiento de evaluación de solicitudes para Incentivos Tributarios de proyectos de FNCE, G"/>
    <m/>
    <m/>
    <m/>
    <n v="-27000000"/>
    <m/>
    <n v="4500000"/>
    <m/>
    <n v="4500000"/>
    <m/>
    <n v="4500000"/>
    <m/>
    <n v="4500000"/>
    <m/>
    <n v="4500000"/>
    <m/>
    <n v="4500000"/>
    <m/>
    <n v="4500000"/>
    <m/>
    <n v="4500000"/>
    <m/>
    <n v="4500000"/>
    <m/>
    <n v="9000000"/>
    <m/>
    <m/>
    <n v="0"/>
    <n v="22500000"/>
    <n v="22500000"/>
    <n v="0"/>
    <n v="23126"/>
    <d v="2026-01-13T00:00:00"/>
    <n v="30620100"/>
    <n v="-8120100"/>
    <n v="6226"/>
    <d v="2026-01-13T00:00:00"/>
    <n v="30620100"/>
    <n v="-8120100"/>
    <n v="0"/>
    <s v="ADRIAN CAMILO CORTÉS VILLADA"/>
    <m/>
    <n v="30620100"/>
    <m/>
    <m/>
    <m/>
    <m/>
    <m/>
    <m/>
    <m/>
    <m/>
    <m/>
    <m/>
    <m/>
    <m/>
    <m/>
    <m/>
    <m/>
    <m/>
    <m/>
    <m/>
    <m/>
    <m/>
    <m/>
    <m/>
    <m/>
    <m/>
    <m/>
    <m/>
    <m/>
    <m/>
    <m/>
    <m/>
    <m/>
    <m/>
    <m/>
    <m/>
    <m/>
    <n v="30620100"/>
    <n v="0"/>
    <n v="0"/>
    <n v="30620100"/>
    <n v="0"/>
    <x v="0"/>
  </r>
  <r>
    <x v="1"/>
    <x v="5"/>
    <s v="N/A"/>
    <s v="N/A"/>
    <s v="Sí"/>
    <s v="Sí"/>
    <n v="9"/>
    <s v="161-79"/>
    <s v="N.A"/>
    <s v="N.A"/>
    <s v="N.A"/>
    <n v="80111620"/>
    <s v="A-05-01-02-008-003"/>
    <s v="Prestación de servicios profesionales y/o de apoyo a la gestión"/>
    <s v="161-79 Prestar servicios profesionales para la revisión posterior, control de la calidad, elaboración de herramientas de seguimiento y registro y unificación de conceptos técnicos y certificaciones, emitidas en el marco del procedimiento de evaluación de "/>
    <s v="Enero "/>
    <s v="Enero "/>
    <s v="Enero "/>
    <n v="5"/>
    <s v="Meses"/>
    <s v="Contratación directa - Prestación de servicios profesionales "/>
    <s v="Propios - 20 - Ingresos corrientes"/>
    <n v="14500000"/>
    <n v="14500000"/>
    <s v="No"/>
    <s v="N/A"/>
    <s v="Johanna Castellanos"/>
    <s v="Subdirectora de Demanda"/>
    <n v="6012220601"/>
    <s v="johanna.castellanos@upme.gov.co"/>
    <m/>
    <m/>
    <m/>
    <m/>
    <m/>
    <m/>
    <m/>
    <m/>
    <m/>
    <m/>
    <m/>
    <m/>
    <m/>
    <m/>
    <m/>
    <m/>
    <m/>
    <m/>
    <m/>
    <m/>
    <m/>
    <m/>
    <m/>
    <m/>
    <m/>
    <m/>
    <m/>
    <m/>
    <s v="Prestar servicios profesionales para la revisión posterior, control de la calidad, elaboración de herramientas de seguimiento y registro y unificación de conceptos técnicos y certificaciones, emitidas en el marco del procedimiento de evaluación de solicit"/>
    <m/>
    <m/>
    <m/>
    <n v="-31200000"/>
    <m/>
    <n v="5200000"/>
    <m/>
    <n v="5200000"/>
    <m/>
    <n v="5200000"/>
    <m/>
    <n v="5200000"/>
    <m/>
    <n v="5200000"/>
    <m/>
    <n v="5200000"/>
    <m/>
    <n v="5200000"/>
    <m/>
    <n v="5200000"/>
    <m/>
    <n v="5200000"/>
    <m/>
    <n v="10400000"/>
    <m/>
    <m/>
    <n v="0"/>
    <n v="26000000"/>
    <n v="14500000"/>
    <n v="-11500000"/>
    <n v="22926"/>
    <d v="2026-01-12T00:00:00"/>
    <n v="35184450"/>
    <n v="-20684450"/>
    <n v="5526"/>
    <d v="2026-01-12T00:00:00"/>
    <n v="35184450"/>
    <n v="-20684450"/>
    <n v="0"/>
    <s v="MORALES RODRIGUEZ ANDRES STEVEN"/>
    <s v="CO1.PCCNTR.7212382"/>
    <n v="35184450"/>
    <m/>
    <m/>
    <m/>
    <m/>
    <m/>
    <m/>
    <m/>
    <m/>
    <m/>
    <m/>
    <m/>
    <m/>
    <m/>
    <m/>
    <m/>
    <m/>
    <m/>
    <m/>
    <m/>
    <m/>
    <m/>
    <m/>
    <m/>
    <m/>
    <m/>
    <m/>
    <m/>
    <m/>
    <m/>
    <m/>
    <m/>
    <m/>
    <m/>
    <m/>
    <m/>
    <n v="35184450"/>
    <n v="0"/>
    <n v="0"/>
    <n v="35184450"/>
    <n v="0"/>
    <x v="0"/>
  </r>
  <r>
    <x v="1"/>
    <x v="5"/>
    <s v="N/A"/>
    <s v="N/A"/>
    <s v="Sí"/>
    <s v="Sí"/>
    <n v="68"/>
    <s v="161-8"/>
    <s v="N.A"/>
    <s v="N.A"/>
    <s v="N.A"/>
    <n v="80111620"/>
    <s v="A-05-01-02-008-002"/>
    <s v="Prestación de servicios profesionales y/o de apoyo a la gestión"/>
    <s v="161-8 Prestar servicios profesionales para la gestión contractual y el apoyo administrativo a la Subdirección de Demanda, así como para el análisis jurídico y la proyección de respuestas a las PQRS y demás trámites jurídicos de la entidad."/>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gestión contractual y el apoyo administrativo a la Subdirección de Demanda, así como para el análisis jurídico y la proyección de respuestas a las PQRS y demás trámites jurídicos de la entidad."/>
    <m/>
    <m/>
    <m/>
    <n v="2000000"/>
    <m/>
    <n v="5000000"/>
    <m/>
    <n v="5000000"/>
    <m/>
    <n v="5000000"/>
    <m/>
    <n v="5000000"/>
    <m/>
    <n v="5000000"/>
    <m/>
    <n v="5000000"/>
    <m/>
    <n v="5000000"/>
    <m/>
    <n v="5000000"/>
    <m/>
    <n v="5000000"/>
    <m/>
    <n v="10000000"/>
    <m/>
    <m/>
    <n v="0"/>
    <n v="57000000"/>
    <n v="57000000"/>
    <n v="0"/>
    <n v="10926"/>
    <d v="2026-01-07T00:00:00"/>
    <n v="22998150"/>
    <n v="34001850"/>
    <n v="2426"/>
    <d v="2026-01-07T00:00:00"/>
    <n v="22998150"/>
    <n v="34001850"/>
    <n v="0"/>
    <s v="JIMENEZ RODAS ALEJANDRA"/>
    <s v="CO1.PCCNTR.7364386"/>
    <n v="22998150"/>
    <m/>
    <m/>
    <m/>
    <m/>
    <m/>
    <m/>
    <m/>
    <m/>
    <m/>
    <m/>
    <m/>
    <m/>
    <m/>
    <m/>
    <m/>
    <m/>
    <m/>
    <m/>
    <m/>
    <m/>
    <m/>
    <m/>
    <m/>
    <m/>
    <m/>
    <m/>
    <m/>
    <m/>
    <m/>
    <m/>
    <m/>
    <m/>
    <m/>
    <m/>
    <m/>
    <n v="22998150"/>
    <n v="0"/>
    <n v="0"/>
    <n v="22998150"/>
    <n v="0"/>
    <x v="0"/>
  </r>
  <r>
    <x v="1"/>
    <x v="5"/>
    <s v="N/A"/>
    <s v="N/A"/>
    <s v="Sí"/>
    <s v="Sí"/>
    <n v="1"/>
    <s v="161-80"/>
    <s v="N.A"/>
    <s v="N.A"/>
    <s v="N.A"/>
    <n v="80111620"/>
    <s v="A-05-01-02-008-003"/>
    <s v="Prestación de servicios profesionales y/o de apoyo a la gestión"/>
    <s v="161-80 Prestar servicios profesionales para el diseño, implementación y mejora de automatismos, herramientas de interoperabilidad y sistemas de reporte que reduzcan los tiempos y mejoren la eficiencia del procedimiento de evaluación de solicitudes para I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el diseño, implementación y mejora de automatismos, herramientas de interoperabilidad y sistemas de reporte que reduzcan los tiempos y mejoren la eficiencia del procedimiento de evaluación de solicitudes para Incentivo"/>
    <m/>
    <m/>
    <m/>
    <n v="3000000"/>
    <m/>
    <n v="6000000"/>
    <m/>
    <n v="6000000"/>
    <m/>
    <n v="6000000"/>
    <m/>
    <n v="6000000"/>
    <m/>
    <n v="6000000"/>
    <m/>
    <n v="6000000"/>
    <m/>
    <n v="6000000"/>
    <m/>
    <n v="6000000"/>
    <m/>
    <n v="6000000"/>
    <m/>
    <n v="12000000"/>
    <m/>
    <m/>
    <n v="0"/>
    <n v="69000000"/>
    <n v="69000000"/>
    <n v="0"/>
    <n v="42426"/>
    <d v="2026-01-16T00:00:00"/>
    <n v="69000000"/>
    <n v="0"/>
    <n v="28326"/>
    <d v="2026-01-28T00:00:00"/>
    <n v="66000000"/>
    <n v="3000000"/>
    <n v="3000000"/>
    <s v="DUARTE CARRASCAL JUAN DIEGO"/>
    <s v="CO1.PCCNTR.9139389"/>
    <n v="66000000"/>
    <m/>
    <m/>
    <m/>
    <m/>
    <m/>
    <m/>
    <m/>
    <m/>
    <m/>
    <m/>
    <m/>
    <m/>
    <m/>
    <m/>
    <m/>
    <m/>
    <m/>
    <m/>
    <m/>
    <m/>
    <m/>
    <m/>
    <m/>
    <m/>
    <m/>
    <m/>
    <m/>
    <m/>
    <m/>
    <m/>
    <m/>
    <m/>
    <m/>
    <m/>
    <m/>
    <n v="66000000"/>
    <n v="0"/>
    <n v="0"/>
    <n v="66000000"/>
    <n v="0"/>
    <x v="0"/>
  </r>
  <r>
    <x v="1"/>
    <x v="5"/>
    <s v="N/A"/>
    <s v="N/A"/>
    <s v="Sí"/>
    <s v="Sí"/>
    <n v="9"/>
    <s v="161-81"/>
    <s v="N.A"/>
    <s v="N.A"/>
    <s v="N.A"/>
    <n v="80111620"/>
    <s v="A-05-01-02-008-003"/>
    <s v="Prestación de servicios profesionales y/o de apoyo a la gestión"/>
    <s v="161-81 Prestar servicios profesionales orientados a la evaluación y análisis de la información correspondiente a los proyectos de Fuentes No Convencionales de Energía y de Gestión Eficiente de la Energía"/>
    <s v="Enero "/>
    <s v="Enero "/>
    <s v="Enero "/>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servicios profesionales orientados a la evaluación y análisis de la información correspondiente a los proyectos de Fuentes No Convencionales de Energía y de Gestión Eficiente de la Energía"/>
    <m/>
    <m/>
    <m/>
    <n v="-44400000"/>
    <m/>
    <n v="7400000"/>
    <m/>
    <n v="7400000"/>
    <m/>
    <n v="7400000"/>
    <m/>
    <n v="7400000"/>
    <m/>
    <n v="7400000"/>
    <m/>
    <n v="7400000"/>
    <m/>
    <n v="7400000"/>
    <m/>
    <n v="7400000"/>
    <m/>
    <n v="7400000"/>
    <m/>
    <n v="14800000"/>
    <m/>
    <m/>
    <n v="0"/>
    <n v="37000000"/>
    <n v="55000000"/>
    <n v="18000000"/>
    <n v="10826"/>
    <d v="2026-01-07T00:00:00"/>
    <n v="51567600"/>
    <n v="3432400"/>
    <n v="2226"/>
    <d v="2026-01-07T00:00:00"/>
    <n v="51567600"/>
    <n v="3432400"/>
    <n v="0"/>
    <s v="RUEDA VEGA MONICA MARIA"/>
    <s v="CO1.PCCNTR.7229767"/>
    <n v="51567600"/>
    <m/>
    <m/>
    <m/>
    <m/>
    <m/>
    <m/>
    <m/>
    <m/>
    <m/>
    <m/>
    <m/>
    <m/>
    <m/>
    <m/>
    <m/>
    <m/>
    <m/>
    <m/>
    <m/>
    <m/>
    <m/>
    <m/>
    <m/>
    <m/>
    <m/>
    <m/>
    <m/>
    <m/>
    <m/>
    <m/>
    <m/>
    <m/>
    <m/>
    <m/>
    <m/>
    <n v="51567600"/>
    <n v="0"/>
    <n v="0"/>
    <n v="51567600"/>
    <n v="0"/>
    <x v="0"/>
  </r>
  <r>
    <x v="1"/>
    <x v="5"/>
    <s v="N/A"/>
    <s v="N/A"/>
    <s v="Sí"/>
    <s v="Sí"/>
    <n v="9"/>
    <s v="161-82"/>
    <s v="N.A"/>
    <s v="N.A"/>
    <s v="N.A"/>
    <n v="80111620"/>
    <s v="A-05-01-02-008-003"/>
    <s v="Prestación de servicios profesionales y/o de apoyo a la gestión"/>
    <s v="161-82 Prestar servicios profesionales para elaborar e implementar una metodología de revisión escalonada y reporte de los conceptos técnicos y decisiones finales, que apoyen las decisiones de los Asesores Técnicos, referida a los proyectos que buscan acc"/>
    <s v="Enero "/>
    <s v="Enero "/>
    <s v="Enero "/>
    <n v="5"/>
    <s v="Meses"/>
    <s v="Contratación directa - Prestación de servicios profesionales "/>
    <s v="Propios - 20 - Ingresos corrientes"/>
    <n v="17000000"/>
    <n v="17000000"/>
    <s v="No"/>
    <s v="N/A"/>
    <s v="Johanna Castellanos"/>
    <s v="Subdirectora de Demanda"/>
    <n v="6012220601"/>
    <s v="johanna.castellanos@upme.gov.co"/>
    <m/>
    <m/>
    <m/>
    <m/>
    <m/>
    <m/>
    <m/>
    <m/>
    <m/>
    <m/>
    <m/>
    <m/>
    <m/>
    <m/>
    <m/>
    <m/>
    <m/>
    <m/>
    <m/>
    <m/>
    <m/>
    <m/>
    <m/>
    <m/>
    <m/>
    <m/>
    <m/>
    <m/>
    <s v="Prestar servicios profesionales para elaborar e implementar una metodología de revisión escalonada y reporte de los conceptos técnicos y decisiones finales, que apoyen las decisiones de los Asesores Técnicos, referida a los proyectos que buscan acceder al"/>
    <m/>
    <m/>
    <m/>
    <n v="-42000000"/>
    <m/>
    <n v="7000000"/>
    <m/>
    <n v="7000000"/>
    <m/>
    <n v="7000000"/>
    <m/>
    <n v="7000000"/>
    <m/>
    <n v="7000000"/>
    <m/>
    <n v="7000000"/>
    <m/>
    <n v="7000000"/>
    <m/>
    <n v="7000000"/>
    <m/>
    <n v="7000000"/>
    <m/>
    <n v="14000000"/>
    <m/>
    <m/>
    <n v="0"/>
    <n v="35000000"/>
    <n v="17000000"/>
    <n v="-18000000"/>
    <n v="24126"/>
    <d v="2026-01-13T00:00:00"/>
    <m/>
    <n v="17000000"/>
    <n v="7226"/>
    <d v="2026-01-13T00:00:00"/>
    <n v="0"/>
    <n v="17000000"/>
    <n v="0"/>
    <s v="ROZO CRUZ ALISON XIMENA"/>
    <s v="CO1.PCCNTR.7299167"/>
    <m/>
    <n v="46643100"/>
    <m/>
    <m/>
    <m/>
    <m/>
    <m/>
    <m/>
    <m/>
    <m/>
    <m/>
    <m/>
    <m/>
    <m/>
    <m/>
    <m/>
    <m/>
    <m/>
    <m/>
    <m/>
    <m/>
    <m/>
    <m/>
    <m/>
    <m/>
    <m/>
    <m/>
    <m/>
    <m/>
    <m/>
    <m/>
    <m/>
    <m/>
    <m/>
    <m/>
    <m/>
    <n v="0"/>
    <n v="46643100"/>
    <n v="0"/>
    <n v="-46643100"/>
    <n v="46643100"/>
    <x v="0"/>
  </r>
  <r>
    <x v="1"/>
    <x v="5"/>
    <s v="N/A"/>
    <s v="N/A"/>
    <s v="Sí"/>
    <s v="Sí"/>
    <n v="9"/>
    <s v="161-83"/>
    <s v="N.A"/>
    <s v="N.A"/>
    <s v="N.A"/>
    <n v="80111620"/>
    <s v="A-05-01-02-008-003"/>
    <s v="Prestación de servicios profesionales y/o de apoyo a la gestión"/>
    <s v="161-83 Prestar servicios profesionales orientados al fortalecimiento de la dimensión de control interno a través de la ejecución del Plan Anual de Auditorías, con énfasis en la Dirección y la Gestión Pública de la Entidad."/>
    <s v="Enero "/>
    <s v="Enero "/>
    <s v="Enero "/>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servicios profesionales orientados al fortalecimiento de la dimensión de control interno a través de la ejecución del Plan Anual de Auditorías, con énfasis en la Dirección y la Gestión Pública de la Entidad."/>
    <m/>
    <m/>
    <m/>
    <m/>
    <m/>
    <m/>
    <m/>
    <m/>
    <m/>
    <m/>
    <m/>
    <m/>
    <m/>
    <m/>
    <m/>
    <m/>
    <m/>
    <m/>
    <m/>
    <m/>
    <m/>
    <m/>
    <m/>
    <m/>
    <m/>
    <m/>
    <n v="0"/>
    <n v="0"/>
    <n v="55000000"/>
    <n v="55000000"/>
    <m/>
    <m/>
    <m/>
    <n v="55000000"/>
    <m/>
    <m/>
    <n v="0"/>
    <n v="55000000"/>
    <n v="0"/>
    <m/>
    <m/>
    <m/>
    <m/>
    <m/>
    <m/>
    <m/>
    <m/>
    <m/>
    <m/>
    <m/>
    <m/>
    <m/>
    <m/>
    <m/>
    <m/>
    <m/>
    <m/>
    <m/>
    <m/>
    <m/>
    <m/>
    <m/>
    <m/>
    <m/>
    <m/>
    <m/>
    <m/>
    <m/>
    <m/>
    <m/>
    <m/>
    <m/>
    <m/>
    <m/>
    <m/>
    <m/>
    <m/>
    <n v="0"/>
    <n v="0"/>
    <n v="0"/>
    <n v="0"/>
    <n v="0"/>
    <x v="0"/>
  </r>
  <r>
    <x v="1"/>
    <x v="5"/>
    <s v="N/A"/>
    <s v="N/A"/>
    <s v="Sí"/>
    <s v="Sí"/>
    <n v="1"/>
    <s v="161-84"/>
    <s v="N.A"/>
    <s v="N.A"/>
    <s v="N.A"/>
    <n v="80111620"/>
    <s v="A-05-01-02-008-003"/>
    <s v="Prestación de servicios profesionales y/o de apoyo a la gestión"/>
    <s v="161-84 Prestar servicios profesionales para elaborar e implementar una metodología de revisión escalonada y reporte de los conceptos técnicos y decisiones finales, que apoyen las decisiones de los Asesores Técnicos respecto de los proyectos que buscan acc"/>
    <s v="Enero "/>
    <s v="Enero "/>
    <s v="Enero "/>
    <n v="11.5"/>
    <s v="Meses"/>
    <s v="Contratación directa - Prestación de servicios profesionales "/>
    <s v="Propios - 20 - Ingresos corrientes"/>
    <n v="100050000"/>
    <n v="100050000"/>
    <s v="No"/>
    <s v="N/A"/>
    <s v="Johanna Castellanos"/>
    <s v="Subdirectora de Demanda"/>
    <n v="6012220601"/>
    <s v="johanna.castellanos@upme.gov.co"/>
    <m/>
    <m/>
    <m/>
    <m/>
    <m/>
    <m/>
    <m/>
    <m/>
    <m/>
    <m/>
    <m/>
    <m/>
    <m/>
    <m/>
    <m/>
    <m/>
    <m/>
    <m/>
    <m/>
    <m/>
    <m/>
    <m/>
    <m/>
    <m/>
    <m/>
    <m/>
    <m/>
    <m/>
    <s v="Prestar servicios profesionales para elaborar e implementar una metodología de revisión escalonada y reporte de los conceptos técnicos y decisiones finales, que apoyen las decisiones de los Asesores Técnicos respecto de los proyectos que buscan acceder al"/>
    <m/>
    <m/>
    <m/>
    <n v="4350000"/>
    <m/>
    <n v="8700000"/>
    <m/>
    <n v="8700000"/>
    <m/>
    <n v="8700000"/>
    <m/>
    <n v="8700000"/>
    <m/>
    <n v="8700000"/>
    <m/>
    <n v="8700000"/>
    <m/>
    <n v="8700000"/>
    <m/>
    <n v="8700000"/>
    <m/>
    <n v="8700000"/>
    <m/>
    <n v="17400000"/>
    <m/>
    <m/>
    <n v="0"/>
    <n v="100050000"/>
    <n v="100050000"/>
    <n v="0"/>
    <n v="44526"/>
    <d v="2026-01-17T00:00:00"/>
    <n v="100050000"/>
    <n v="0"/>
    <n v="39726"/>
    <d v="2026-02-03T00:00:00"/>
    <n v="95700000"/>
    <n v="4350000"/>
    <n v="4350000"/>
    <s v="IBARGUEN VALVERDE JENNY LORENA"/>
    <s v="CO1.PCCNTR.9194721"/>
    <m/>
    <m/>
    <m/>
    <n v="95700000"/>
    <m/>
    <m/>
    <m/>
    <m/>
    <m/>
    <m/>
    <m/>
    <m/>
    <m/>
    <m/>
    <m/>
    <m/>
    <m/>
    <m/>
    <m/>
    <m/>
    <m/>
    <m/>
    <m/>
    <m/>
    <m/>
    <m/>
    <m/>
    <m/>
    <m/>
    <m/>
    <m/>
    <m/>
    <m/>
    <m/>
    <m/>
    <m/>
    <n v="95700000"/>
    <n v="0"/>
    <n v="0"/>
    <n v="95700000"/>
    <n v="0"/>
    <x v="0"/>
  </r>
  <r>
    <x v="1"/>
    <x v="5"/>
    <s v="N/A"/>
    <s v="N/A"/>
    <s v="Sí"/>
    <s v="Sí"/>
    <n v="9"/>
    <s v="161-85"/>
    <s v="N.A"/>
    <s v="N.A"/>
    <s v="N.A"/>
    <n v="80111620"/>
    <s v="A-05-01-02-008-003"/>
    <s v="Prestación de servicios profesionales y/o de apoyo a la gestión"/>
    <s v="161-85 Prestar servicios profesionales para diseñar, modelar y divulgar los planes, programas y proyectos prioritarios de la Subdirección de Demanda, relacionados con el Plan Energético Nacional, así como apoyar la elaboración de documentos de planeación "/>
    <s v="Enero "/>
    <s v="Enero "/>
    <s v="Enero "/>
    <n v="11.5"/>
    <s v="Meses"/>
    <s v="Contratación directa - Prestación de servicios profesionales "/>
    <s v="Propios - 20 - Ingresos corrientes"/>
    <n v="38000000"/>
    <n v="38000000"/>
    <s v="No"/>
    <s v="N/A"/>
    <s v="Johanna Castellanos"/>
    <s v="Subdirectora de Demanda"/>
    <n v="6012220601"/>
    <s v="johanna.castellanos@upme.gov.co"/>
    <m/>
    <m/>
    <m/>
    <m/>
    <m/>
    <m/>
    <m/>
    <m/>
    <m/>
    <m/>
    <m/>
    <m/>
    <m/>
    <m/>
    <m/>
    <m/>
    <m/>
    <m/>
    <m/>
    <m/>
    <m/>
    <m/>
    <m/>
    <m/>
    <m/>
    <m/>
    <m/>
    <m/>
    <s v="Prestar servicios profesionales para diseñar, modelar y divulgar los planes, programas y proyectos prioritarios de la Subdirección de Demanda, relacionados con el Plan Energético Nacional, así como apoyar la elaboración de documentos de planeación de la S"/>
    <m/>
    <m/>
    <m/>
    <n v="2500000"/>
    <m/>
    <n v="5000000"/>
    <m/>
    <n v="5000000"/>
    <m/>
    <n v="5000000"/>
    <m/>
    <n v="5000000"/>
    <m/>
    <n v="5000000"/>
    <m/>
    <n v="5000000"/>
    <m/>
    <n v="5000000"/>
    <m/>
    <n v="5000000"/>
    <m/>
    <n v="5000000"/>
    <m/>
    <n v="10000000"/>
    <m/>
    <m/>
    <n v="0"/>
    <n v="57500000"/>
    <n v="38000000"/>
    <n v="-19500000"/>
    <m/>
    <m/>
    <m/>
    <n v="38000000"/>
    <m/>
    <m/>
    <n v="0"/>
    <n v="38000000"/>
    <n v="0"/>
    <m/>
    <m/>
    <m/>
    <m/>
    <m/>
    <m/>
    <m/>
    <m/>
    <m/>
    <m/>
    <m/>
    <m/>
    <m/>
    <m/>
    <m/>
    <m/>
    <m/>
    <m/>
    <m/>
    <m/>
    <m/>
    <m/>
    <m/>
    <m/>
    <m/>
    <m/>
    <m/>
    <m/>
    <m/>
    <m/>
    <m/>
    <m/>
    <m/>
    <m/>
    <m/>
    <m/>
    <m/>
    <m/>
    <n v="0"/>
    <n v="0"/>
    <n v="0"/>
    <n v="0"/>
    <n v="0"/>
    <x v="0"/>
  </r>
  <r>
    <x v="1"/>
    <x v="5"/>
    <s v="N/A"/>
    <s v="N/A"/>
    <s v="Sí"/>
    <s v="Sí"/>
    <n v="20"/>
    <s v="161-86"/>
    <s v="N.A"/>
    <s v="N.A"/>
    <s v="N.A"/>
    <n v="80111620"/>
    <s v="A-05-01-02-008-003"/>
    <s v="Prestación de servicios profesionales y/o de apoyo a la gestión"/>
    <s v="161-86 Prestar servicios profesionales orientados a los procesos de planeación minero energética mediante el  análisis de la información sectorial para la toma de decisiones estratégicas"/>
    <s v="Enero "/>
    <s v="Enero "/>
    <s v="Enero "/>
    <n v="11.5"/>
    <s v="Meses"/>
    <s v="Contratación directa - Prestación de servicios profesionales "/>
    <s v="Propios - 20 - Ingresos corrientes"/>
    <n v="23000000"/>
    <n v="23000000"/>
    <s v="No"/>
    <s v="N/A"/>
    <s v="Johanna Castellanos"/>
    <s v="Subdirectora de Demanda"/>
    <n v="6012220601"/>
    <s v="johanna.castellanos@upme.gov.co"/>
    <m/>
    <m/>
    <m/>
    <m/>
    <m/>
    <m/>
    <m/>
    <m/>
    <m/>
    <m/>
    <m/>
    <m/>
    <m/>
    <m/>
    <m/>
    <m/>
    <m/>
    <m/>
    <m/>
    <m/>
    <m/>
    <m/>
    <m/>
    <m/>
    <m/>
    <m/>
    <m/>
    <m/>
    <s v="Prestar servicios profesionales orientados a los procesos de planeación minero energética mediante el  análisis de la información sectorial para la toma de decisiones estratégicas"/>
    <m/>
    <m/>
    <m/>
    <n v="2500000"/>
    <m/>
    <n v="5000000"/>
    <m/>
    <n v="5000000"/>
    <m/>
    <n v="5000000"/>
    <m/>
    <n v="5000000"/>
    <m/>
    <n v="5000000"/>
    <m/>
    <n v="5000000"/>
    <m/>
    <n v="5000000"/>
    <m/>
    <n v="5000000"/>
    <m/>
    <n v="5000000"/>
    <m/>
    <n v="10000000"/>
    <m/>
    <m/>
    <n v="0"/>
    <n v="57500000"/>
    <n v="23000000"/>
    <n v="-34500000"/>
    <n v="67126"/>
    <d v="2026-01-29T00:00:00"/>
    <n v="77000000"/>
    <n v="-54000000"/>
    <m/>
    <m/>
    <n v="0"/>
    <n v="23000000"/>
    <n v="77000000"/>
    <m/>
    <m/>
    <m/>
    <m/>
    <m/>
    <m/>
    <m/>
    <m/>
    <m/>
    <m/>
    <m/>
    <m/>
    <m/>
    <m/>
    <m/>
    <m/>
    <m/>
    <m/>
    <m/>
    <m/>
    <m/>
    <m/>
    <m/>
    <m/>
    <m/>
    <m/>
    <m/>
    <m/>
    <m/>
    <m/>
    <m/>
    <m/>
    <m/>
    <m/>
    <m/>
    <m/>
    <m/>
    <m/>
    <n v="0"/>
    <n v="0"/>
    <n v="0"/>
    <n v="0"/>
    <n v="0"/>
    <x v="0"/>
  </r>
  <r>
    <x v="1"/>
    <x v="5"/>
    <s v="N/A"/>
    <s v="N/A"/>
    <s v="Sí"/>
    <s v="Sí"/>
    <n v="1"/>
    <s v="161-87"/>
    <s v="N.A"/>
    <s v="N.A"/>
    <s v="N.A"/>
    <n v="80111620"/>
    <s v="A-05-01-02-008-002"/>
    <s v="Prestación de servicios profesionales y/o de apoyo a la gestión"/>
    <s v="161-87 Prestar servicios profesionales para apoyar el análisis técnico y la evaluación de la información asociada a los proyectos de Fuentes No Convencionales de Energía y de Gestión Eficiente de la Energía, mediante la revisión y validación de datos para"/>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apoyar el análisis técnico y la evaluación de la información asociada a los proyectos de Fuentes No Convencionales de Energía y de Gestión Eficiente de la Energía, mediante la revisión y validación de datos para la tom"/>
    <m/>
    <m/>
    <m/>
    <n v="2500000"/>
    <m/>
    <n v="5000000"/>
    <m/>
    <n v="5000000"/>
    <m/>
    <n v="5000000"/>
    <m/>
    <n v="5000000"/>
    <m/>
    <n v="5000000"/>
    <m/>
    <n v="5000000"/>
    <m/>
    <n v="5000000"/>
    <m/>
    <n v="5000000"/>
    <m/>
    <n v="5000000"/>
    <m/>
    <n v="10000000"/>
    <m/>
    <m/>
    <n v="0"/>
    <n v="57500000"/>
    <n v="57500000"/>
    <n v="0"/>
    <n v="17426"/>
    <d v="2026-01-10T00:00:00"/>
    <n v="56500000"/>
    <n v="1000000"/>
    <n v="14626"/>
    <d v="2026-01-21T00:00:00"/>
    <n v="56500000"/>
    <n v="1000000"/>
    <n v="0"/>
    <s v="QUEVEDO JIMENEZ JUAN FELIPE"/>
    <s v="CO1.PCCNTR.8931584"/>
    <n v="56500000"/>
    <m/>
    <m/>
    <m/>
    <m/>
    <m/>
    <m/>
    <m/>
    <m/>
    <m/>
    <m/>
    <m/>
    <m/>
    <m/>
    <m/>
    <m/>
    <m/>
    <m/>
    <m/>
    <m/>
    <m/>
    <m/>
    <m/>
    <m/>
    <m/>
    <m/>
    <m/>
    <m/>
    <m/>
    <m/>
    <m/>
    <m/>
    <m/>
    <m/>
    <m/>
    <m/>
    <n v="56500000"/>
    <n v="0"/>
    <n v="0"/>
    <n v="56500000"/>
    <n v="0"/>
    <x v="0"/>
  </r>
  <r>
    <x v="1"/>
    <x v="5"/>
    <s v="N/A"/>
    <s v="N/A"/>
    <s v="Sí"/>
    <s v="Sí"/>
    <n v="1"/>
    <s v="161-88"/>
    <s v="N.A"/>
    <s v="N.A"/>
    <s v="N.A"/>
    <n v="80111620"/>
    <s v="A-05-01-02-008-003"/>
    <s v="Prestación de servicios profesionales y/o de apoyo a la gestión"/>
    <s v="161-88 Prestar servicios profesionales de apoyo técnico, jurídico y regulatorio a la Subdirección de Demanda, mediante el análisis de información y la evaluación de impactos normativos, con el fin de contribuir a la formulación de planes y a la toma de de"/>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de apoyo técnico, jurídico y regulatorio a la Subdirección de Demanda, mediante el análisis de información y la evaluación de impactos normativos, con el fin de contribuir a la formulación de planes y a la toma de decisione"/>
    <m/>
    <m/>
    <m/>
    <n v="2000000"/>
    <m/>
    <n v="5000000"/>
    <m/>
    <n v="5000000"/>
    <m/>
    <n v="5000000"/>
    <m/>
    <n v="5000000"/>
    <m/>
    <n v="5000000"/>
    <m/>
    <n v="5000000"/>
    <m/>
    <n v="5000000"/>
    <m/>
    <n v="5000000"/>
    <m/>
    <n v="5000000"/>
    <m/>
    <n v="10000000"/>
    <m/>
    <m/>
    <n v="0"/>
    <n v="57000000"/>
    <n v="57000000"/>
    <n v="0"/>
    <n v="19926"/>
    <d v="2026-01-11T00:00:00"/>
    <n v="57000000"/>
    <n v="0"/>
    <n v="11726"/>
    <d v="2026-01-19T00:00:00"/>
    <n v="57000000"/>
    <n v="0"/>
    <n v="0"/>
    <s v="RIVAS ARBOLEDA LUCERO"/>
    <s v="CO1.PCCNTR.8892472"/>
    <n v="57000000"/>
    <m/>
    <m/>
    <m/>
    <m/>
    <m/>
    <m/>
    <m/>
    <m/>
    <m/>
    <m/>
    <m/>
    <m/>
    <m/>
    <m/>
    <m/>
    <m/>
    <m/>
    <m/>
    <m/>
    <m/>
    <m/>
    <m/>
    <m/>
    <m/>
    <m/>
    <m/>
    <m/>
    <m/>
    <m/>
    <m/>
    <m/>
    <m/>
    <m/>
    <m/>
    <m/>
    <n v="57000000"/>
    <n v="0"/>
    <n v="0"/>
    <n v="57000000"/>
    <n v="0"/>
    <x v="0"/>
  </r>
  <r>
    <x v="1"/>
    <x v="5"/>
    <s v="N/A"/>
    <s v="N/A"/>
    <s v="Sí"/>
    <s v="Sí"/>
    <n v="68"/>
    <s v="161-89"/>
    <s v="N.A"/>
    <s v="N.A"/>
    <s v="N.A"/>
    <n v="80111620"/>
    <s v="A-05-01-02-008-002"/>
    <s v="Prestación de servicios profesionales y/o de apoyo a la gestión"/>
    <s v="161-89 Prestar servicios de apoyo a la gestión en las labores administrativas relacionadas con los procesos y procedimientos a cargo de la Oficina Asesora Jurídica, para el logro de los objetivos institucionales de la UPME."/>
    <s v="Enero "/>
    <s v="Enero "/>
    <s v="Enero "/>
    <n v="11.5"/>
    <s v="Meses"/>
    <s v="Contratación directa - Prestación de servicios profesionales "/>
    <s v="Propios - 20 - Ingresos corrientes"/>
    <n v="40250000"/>
    <n v="40250000"/>
    <s v="No"/>
    <s v="N/A"/>
    <s v="Johanna Castellanos"/>
    <s v="Subdirectora de Demanda"/>
    <n v="6012220601"/>
    <s v="johanna.castellanos@upme.gov.co"/>
    <m/>
    <m/>
    <m/>
    <m/>
    <m/>
    <m/>
    <m/>
    <m/>
    <m/>
    <m/>
    <m/>
    <m/>
    <m/>
    <m/>
    <m/>
    <m/>
    <m/>
    <m/>
    <m/>
    <m/>
    <m/>
    <m/>
    <m/>
    <m/>
    <m/>
    <m/>
    <m/>
    <m/>
    <s v="Prestar servicios de apoyo a la gestión en las labores administrativas relacionadas con los procesos y procedimientos a cargo de la Oficina Asesora Jurídica, para el logro de los objetivos institucionales de la UPME."/>
    <m/>
    <m/>
    <m/>
    <n v="1750000"/>
    <m/>
    <n v="3500000"/>
    <m/>
    <n v="3500000"/>
    <m/>
    <n v="3500000"/>
    <m/>
    <n v="3500000"/>
    <m/>
    <n v="3500000"/>
    <m/>
    <n v="3500000"/>
    <m/>
    <n v="3500000"/>
    <m/>
    <n v="3500000"/>
    <m/>
    <n v="3500000"/>
    <m/>
    <n v="7000000"/>
    <m/>
    <m/>
    <n v="0"/>
    <n v="40250000"/>
    <n v="40250000"/>
    <n v="0"/>
    <m/>
    <m/>
    <m/>
    <n v="40250000"/>
    <m/>
    <m/>
    <n v="0"/>
    <n v="40250000"/>
    <n v="0"/>
    <m/>
    <m/>
    <m/>
    <m/>
    <m/>
    <m/>
    <m/>
    <m/>
    <m/>
    <m/>
    <m/>
    <m/>
    <m/>
    <m/>
    <m/>
    <m/>
    <m/>
    <m/>
    <m/>
    <m/>
    <m/>
    <m/>
    <m/>
    <m/>
    <m/>
    <m/>
    <m/>
    <m/>
    <m/>
    <m/>
    <m/>
    <m/>
    <m/>
    <m/>
    <m/>
    <m/>
    <m/>
    <m/>
    <n v="0"/>
    <n v="0"/>
    <n v="0"/>
    <n v="0"/>
    <n v="0"/>
    <x v="0"/>
  </r>
  <r>
    <x v="1"/>
    <x v="5"/>
    <s v="N/A"/>
    <s v="N/A"/>
    <s v="Sí"/>
    <s v="Sí"/>
    <n v="68"/>
    <s v="161-9"/>
    <s v="N.A"/>
    <s v="N.A"/>
    <s v="N.A"/>
    <n v="80111620"/>
    <s v="A-05-01-02-008-003"/>
    <s v="Prestación de servicios profesionales y/o de apoyo a la gestión"/>
    <s v="161-9 Prestar servicios profesionales para el análisis de información y documentos de los procesos de la Subdirección de Demanda y los asociados a la planeación energética de largo plazo e incentivos tributarios."/>
    <s v="Enero "/>
    <s v="Enero "/>
    <s v="Enero "/>
    <n v="11.5"/>
    <s v="Meses"/>
    <s v="Contratación directa - Prestación de servicios profesionales "/>
    <s v="Propios - 20 - Ingresos corrientes"/>
    <n v="72450000"/>
    <n v="72450000"/>
    <s v="No"/>
    <s v="N/A"/>
    <s v="Johanna Castellanos"/>
    <s v="Subdirectora de Demanda"/>
    <n v="6012220601"/>
    <s v="johanna.castellanos@upme.gov.co"/>
    <m/>
    <m/>
    <m/>
    <m/>
    <m/>
    <m/>
    <m/>
    <m/>
    <m/>
    <m/>
    <m/>
    <m/>
    <m/>
    <m/>
    <m/>
    <m/>
    <m/>
    <m/>
    <m/>
    <m/>
    <m/>
    <m/>
    <m/>
    <m/>
    <m/>
    <m/>
    <m/>
    <m/>
    <s v="Prestar servicios profesionales para el análisis de información y documentos de los procesos de la Subdirección de Demanda y los asociados a la planeación energética de largo plazo e incentivos tributarios."/>
    <m/>
    <m/>
    <m/>
    <n v="3150000"/>
    <m/>
    <n v="6300000"/>
    <m/>
    <n v="6300000"/>
    <m/>
    <n v="6300000"/>
    <m/>
    <n v="6300000"/>
    <m/>
    <n v="6300000"/>
    <m/>
    <n v="6300000"/>
    <m/>
    <n v="6300000"/>
    <m/>
    <n v="6300000"/>
    <m/>
    <n v="6300000"/>
    <m/>
    <n v="12600000"/>
    <m/>
    <m/>
    <n v="0"/>
    <n v="72450000"/>
    <n v="72450000"/>
    <n v="0"/>
    <n v="52926"/>
    <d v="2026-01-21T00:00:00"/>
    <n v="70560000"/>
    <n v="1890000"/>
    <n v="52926"/>
    <d v="2026-02-10T00:00:00"/>
    <n v="69300000"/>
    <n v="3150000"/>
    <n v="1260000"/>
    <s v="MONTAÑEZ GUILLEN CINDY JULIETH"/>
    <s v="CO1.PCCNTR.9293474"/>
    <m/>
    <m/>
    <m/>
    <n v="69300000"/>
    <m/>
    <m/>
    <m/>
    <m/>
    <m/>
    <m/>
    <m/>
    <m/>
    <m/>
    <m/>
    <m/>
    <m/>
    <m/>
    <m/>
    <m/>
    <m/>
    <m/>
    <m/>
    <m/>
    <m/>
    <m/>
    <m/>
    <m/>
    <m/>
    <m/>
    <m/>
    <m/>
    <m/>
    <m/>
    <m/>
    <m/>
    <m/>
    <n v="69300000"/>
    <n v="0"/>
    <n v="0"/>
    <n v="69300000"/>
    <n v="0"/>
    <x v="0"/>
  </r>
  <r>
    <x v="1"/>
    <x v="5"/>
    <s v="N/A"/>
    <s v="N/A"/>
    <s v="Sí"/>
    <s v="Sí"/>
    <n v="68"/>
    <s v="161-90"/>
    <s v="N.A"/>
    <s v="N.A"/>
    <s v="N.A"/>
    <n v="80111620"/>
    <s v="A-05-01-02-008-002"/>
    <s v="Prestación de servicios profesionales y/o de apoyo a la gestión"/>
    <s v="161-90 Prestar servicios profesionales de asesoria en los asuntos juridicos de compentencia de la Oficina Asesora Juridica de la UPME y lo que de ello se derive, en el marco de la gestión institucional de la Entidad."/>
    <s v="Enero "/>
    <s v="Enero "/>
    <s v="Enero "/>
    <n v="11.5"/>
    <s v="Meses"/>
    <s v="Contratación directa - Prestación de servicios profesionales "/>
    <s v="Propios - 20 - Ingresos corrientes"/>
    <n v="126500000"/>
    <n v="126500000"/>
    <s v="No"/>
    <s v="N/A"/>
    <s v="Johanna Castellanos"/>
    <s v="Subdirectora de Demanda"/>
    <n v="6012220601"/>
    <s v="johanna.castellanos@upme.gov.co"/>
    <m/>
    <m/>
    <m/>
    <m/>
    <m/>
    <m/>
    <m/>
    <m/>
    <m/>
    <m/>
    <m/>
    <m/>
    <m/>
    <m/>
    <m/>
    <m/>
    <m/>
    <m/>
    <m/>
    <m/>
    <m/>
    <m/>
    <m/>
    <m/>
    <m/>
    <m/>
    <m/>
    <m/>
    <s v="Prestar servicios profesionales de asesoria en los asuntos juridicos de compentencia de la Oficina Asesora Juridica de la UPME y lo que de ello se derive, en el marco de la gestión institucional de la Entidad."/>
    <m/>
    <m/>
    <m/>
    <n v="5500000"/>
    <m/>
    <n v="11000000"/>
    <m/>
    <n v="11000000"/>
    <m/>
    <n v="11000000"/>
    <m/>
    <n v="11000000"/>
    <m/>
    <n v="11000000"/>
    <m/>
    <n v="11000000"/>
    <m/>
    <n v="11000000"/>
    <m/>
    <n v="11000000"/>
    <m/>
    <n v="11000000"/>
    <m/>
    <n v="22000000"/>
    <m/>
    <m/>
    <n v="0"/>
    <n v="126500000"/>
    <n v="126500000"/>
    <n v="0"/>
    <n v="11526"/>
    <d v="2026-01-08T00:00:00"/>
    <n v="126500000"/>
    <n v="0"/>
    <m/>
    <m/>
    <n v="0"/>
    <n v="126500000"/>
    <n v="126500000"/>
    <m/>
    <m/>
    <m/>
    <m/>
    <m/>
    <m/>
    <m/>
    <m/>
    <m/>
    <m/>
    <m/>
    <m/>
    <m/>
    <m/>
    <m/>
    <m/>
    <m/>
    <m/>
    <m/>
    <m/>
    <m/>
    <m/>
    <m/>
    <m/>
    <m/>
    <m/>
    <m/>
    <m/>
    <m/>
    <m/>
    <m/>
    <m/>
    <m/>
    <m/>
    <m/>
    <m/>
    <m/>
    <m/>
    <n v="0"/>
    <n v="0"/>
    <n v="0"/>
    <n v="0"/>
    <n v="0"/>
    <x v="0"/>
  </r>
  <r>
    <x v="1"/>
    <x v="5"/>
    <s v="N/A"/>
    <s v="N/A"/>
    <s v="Sí"/>
    <s v="Sí"/>
    <n v="68"/>
    <s v="161-91"/>
    <s v="N.A"/>
    <s v="N.A"/>
    <s v="N.A"/>
    <n v="80111620"/>
    <s v="A-05-01-02-008-002"/>
    <s v="Prestación de servicios profesionales y/o de apoyo a la gestión"/>
    <s v="161-91 Prestar servicios profesionales en asuntos juridicos relacionados con los procesos y procedimientos de competencia de la Oficina Asesora Juridica de la UPME, en el marco de la gestión institucional de la Entidad."/>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 asuntos juridicos relacionados con los procesos y procedimientos de competencia de la Oficina Asesora Juridica de la UPME, en el marco de la gestión institucional de la Entidad."/>
    <m/>
    <m/>
    <m/>
    <n v="2500000"/>
    <m/>
    <n v="5000000"/>
    <m/>
    <n v="5000000"/>
    <m/>
    <n v="5000000"/>
    <m/>
    <n v="5000000"/>
    <m/>
    <n v="5000000"/>
    <m/>
    <n v="5000000"/>
    <m/>
    <n v="5000000"/>
    <m/>
    <n v="5000000"/>
    <m/>
    <n v="5000000"/>
    <m/>
    <n v="10000000"/>
    <m/>
    <m/>
    <n v="0"/>
    <n v="57500000"/>
    <n v="57500000"/>
    <n v="0"/>
    <n v="13226"/>
    <d v="2026-01-08T00:00:00"/>
    <n v="57500000"/>
    <n v="0"/>
    <m/>
    <m/>
    <n v="0"/>
    <n v="57500000"/>
    <n v="57500000"/>
    <m/>
    <m/>
    <m/>
    <m/>
    <m/>
    <m/>
    <m/>
    <m/>
    <m/>
    <m/>
    <m/>
    <m/>
    <m/>
    <m/>
    <m/>
    <m/>
    <m/>
    <m/>
    <m/>
    <m/>
    <m/>
    <m/>
    <m/>
    <m/>
    <m/>
    <m/>
    <m/>
    <m/>
    <m/>
    <m/>
    <m/>
    <m/>
    <m/>
    <m/>
    <m/>
    <m/>
    <m/>
    <m/>
    <n v="0"/>
    <n v="0"/>
    <n v="0"/>
    <n v="0"/>
    <n v="0"/>
    <x v="0"/>
  </r>
  <r>
    <x v="1"/>
    <x v="5"/>
    <s v="N/A"/>
    <s v="N/A"/>
    <s v="Sí"/>
    <s v="Sí"/>
    <n v="68"/>
    <s v="161-92"/>
    <s v="N.A"/>
    <s v="N.A"/>
    <s v="N.A"/>
    <n v="80111620"/>
    <s v="A-05-01-02-008-002"/>
    <s v="Prestación de servicios profesionales y/o de apoyo a la gestión"/>
    <s v="161-92 Prestar servicios profesionales para la proyección de documentos de contenido legal y appoyo de los asuntos de tipo jurídico que resulten de las actividades administrativas de competencia de la UPME, en el marco de la gestión institucional de la En"/>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para la proyección de documentos de contenido legal y appoyo de los asuntos de tipo jurídico que resulten de las actividades administrativas de competencia de la UPME, en el marco de la gestión institucional de la Entidad"/>
    <m/>
    <m/>
    <m/>
    <n v="3600000"/>
    <m/>
    <n v="7200000"/>
    <m/>
    <n v="7200000"/>
    <m/>
    <n v="7200000"/>
    <m/>
    <n v="7200000"/>
    <m/>
    <n v="7200000"/>
    <m/>
    <n v="7200000"/>
    <m/>
    <n v="7200000"/>
    <m/>
    <n v="7200000"/>
    <m/>
    <n v="7200000"/>
    <m/>
    <n v="14400000"/>
    <m/>
    <m/>
    <n v="0"/>
    <n v="82800000"/>
    <n v="82800000"/>
    <n v="0"/>
    <n v="53126"/>
    <d v="2026-01-21T00:00:00"/>
    <n v="82800000"/>
    <n v="0"/>
    <m/>
    <m/>
    <n v="0"/>
    <n v="82800000"/>
    <n v="82800000"/>
    <m/>
    <m/>
    <m/>
    <m/>
    <m/>
    <m/>
    <m/>
    <m/>
    <m/>
    <m/>
    <m/>
    <m/>
    <m/>
    <m/>
    <m/>
    <m/>
    <m/>
    <m/>
    <m/>
    <m/>
    <m/>
    <m/>
    <m/>
    <m/>
    <m/>
    <m/>
    <m/>
    <m/>
    <m/>
    <m/>
    <m/>
    <m/>
    <m/>
    <m/>
    <m/>
    <m/>
    <m/>
    <m/>
    <n v="0"/>
    <n v="0"/>
    <n v="0"/>
    <n v="0"/>
    <n v="0"/>
    <x v="0"/>
  </r>
  <r>
    <x v="1"/>
    <x v="5"/>
    <s v="N/A"/>
    <s v="N/A"/>
    <s v="Sí"/>
    <s v="Sí"/>
    <n v="68"/>
    <s v="161-93"/>
    <s v="N.A"/>
    <s v="N.A"/>
    <s v="N.A"/>
    <n v="80111620"/>
    <s v="A-05-01-02-008-002"/>
    <s v="Prestación de servicios profesionales y/o de apoyo a la gestión"/>
    <s v="161-93 Prestar servicios profesionales para la proyección de documentos de contenido legal y apoyo de los asuntos de tipo juridico y judicial de competencia de la Oficina Asesora Jurídica de la UPME, en el marco de la gestión institucional de la Entidad"/>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para la proyección de documentos de contenido legal y apoyo de los asuntos de tipo juridico y judicial de competencia de la Oficina Asesora Jurídica de la UPME, en el marco de la gestión institucional de la Entidad"/>
    <m/>
    <m/>
    <m/>
    <n v="3600000"/>
    <m/>
    <n v="7200000"/>
    <m/>
    <n v="7200000"/>
    <m/>
    <n v="7200000"/>
    <m/>
    <n v="7200000"/>
    <m/>
    <n v="7200000"/>
    <m/>
    <n v="7200000"/>
    <m/>
    <n v="7200000"/>
    <m/>
    <n v="7200000"/>
    <m/>
    <n v="7200000"/>
    <m/>
    <n v="14400000"/>
    <m/>
    <m/>
    <n v="0"/>
    <n v="82800000"/>
    <n v="82800000"/>
    <n v="0"/>
    <n v="11726"/>
    <d v="2026-01-08T00:00:00"/>
    <n v="82800000"/>
    <n v="0"/>
    <m/>
    <m/>
    <n v="0"/>
    <n v="82800000"/>
    <n v="82800000"/>
    <m/>
    <m/>
    <m/>
    <m/>
    <m/>
    <m/>
    <m/>
    <m/>
    <m/>
    <m/>
    <m/>
    <m/>
    <m/>
    <m/>
    <m/>
    <m/>
    <m/>
    <m/>
    <m/>
    <m/>
    <m/>
    <m/>
    <m/>
    <m/>
    <m/>
    <m/>
    <m/>
    <m/>
    <m/>
    <m/>
    <m/>
    <m/>
    <m/>
    <m/>
    <m/>
    <m/>
    <m/>
    <m/>
    <n v="0"/>
    <n v="0"/>
    <n v="0"/>
    <n v="0"/>
    <n v="0"/>
    <x v="0"/>
  </r>
  <r>
    <x v="1"/>
    <x v="5"/>
    <s v="N/A"/>
    <s v="N/A"/>
    <s v="Sí"/>
    <s v="Sí"/>
    <n v="68"/>
    <s v="161-94"/>
    <s v="N.A"/>
    <s v="N.A"/>
    <s v="N.A"/>
    <n v="80111620"/>
    <s v="A-05-01-02-008-002"/>
    <s v="Prestación de servicios profesionales y/o de apoyo a la gestión"/>
    <s v="161-94 Prestar servicios ​profesionales en asuntos jurídicos relacionados con las actuaciones administrativas y misionales de la UPME, en el marco de la gestión institucional de la Entidad."/>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en asuntos jurídicos relacionados con las actuaciones administrativas y misionales de la UPME, en el marco de la gestión institucional de la Entidad."/>
    <m/>
    <m/>
    <m/>
    <n v="3600000"/>
    <m/>
    <n v="7200000"/>
    <m/>
    <n v="7200000"/>
    <m/>
    <n v="7200000"/>
    <m/>
    <n v="7200000"/>
    <m/>
    <n v="7200000"/>
    <m/>
    <n v="7200000"/>
    <m/>
    <n v="7200000"/>
    <m/>
    <n v="7200000"/>
    <m/>
    <n v="7200000"/>
    <m/>
    <n v="14400000"/>
    <m/>
    <m/>
    <n v="0"/>
    <n v="82800000"/>
    <n v="82800000"/>
    <n v="0"/>
    <n v="13126"/>
    <d v="2026-01-08T00:00:00"/>
    <n v="82800000"/>
    <n v="0"/>
    <m/>
    <m/>
    <n v="0"/>
    <n v="82800000"/>
    <n v="82800000"/>
    <m/>
    <m/>
    <m/>
    <m/>
    <m/>
    <m/>
    <m/>
    <m/>
    <m/>
    <m/>
    <m/>
    <m/>
    <m/>
    <m/>
    <m/>
    <m/>
    <m/>
    <m/>
    <m/>
    <m/>
    <m/>
    <m/>
    <m/>
    <m/>
    <m/>
    <m/>
    <m/>
    <m/>
    <m/>
    <m/>
    <m/>
    <m/>
    <m/>
    <m/>
    <m/>
    <m/>
    <m/>
    <m/>
    <n v="0"/>
    <n v="0"/>
    <n v="0"/>
    <n v="0"/>
    <n v="0"/>
    <x v="0"/>
  </r>
  <r>
    <x v="1"/>
    <x v="5"/>
    <s v="N/A"/>
    <s v="N/A"/>
    <s v="Sí"/>
    <s v="Sí"/>
    <n v="68"/>
    <s v="161-95"/>
    <s v="N.A"/>
    <s v="N.A"/>
    <s v="N.A"/>
    <n v="80111620"/>
    <s v="A-05-01-02-008-002"/>
    <s v="Prestación de servicios profesionales y/o de apoyo a la gestión"/>
    <s v="161-95 Prestar servicios profesionales para la elaboración y proyección de documentos de carácter legal, así como para brindar apoyo en los asuntos jurídicos derivados de las actuaciones administrativas misionales de competencia de la UPME, en el marco de"/>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elaboración y proyección de documentos de carácter legal, así como para brindar apoyo en los asuntos jurídicos derivados de las actuaciones administrativas misionales de competencia de la UPME, en el marco de la ges"/>
    <m/>
    <m/>
    <m/>
    <n v="2000000"/>
    <m/>
    <n v="5000000"/>
    <m/>
    <n v="5000000"/>
    <m/>
    <n v="5000000"/>
    <m/>
    <n v="5000000"/>
    <m/>
    <n v="5000000"/>
    <m/>
    <n v="5000000"/>
    <m/>
    <n v="5000000"/>
    <m/>
    <n v="5000000"/>
    <m/>
    <n v="5000000"/>
    <m/>
    <n v="10000000"/>
    <m/>
    <m/>
    <n v="0"/>
    <n v="57000000"/>
    <n v="57000000"/>
    <n v="0"/>
    <n v="14226"/>
    <d v="2026-01-09T00:00:00"/>
    <n v="57000000"/>
    <n v="0"/>
    <n v="11426"/>
    <d v="2026-01-17T00:00:00"/>
    <n v="37720000"/>
    <n v="19280000"/>
    <n v="19280000"/>
    <s v="MONROY ORTEGON MARIA ALEJANDRA"/>
    <s v="CO1.PCCNTR.8870053"/>
    <n v="37720000"/>
    <m/>
    <m/>
    <m/>
    <m/>
    <m/>
    <m/>
    <m/>
    <m/>
    <m/>
    <m/>
    <m/>
    <m/>
    <m/>
    <m/>
    <m/>
    <m/>
    <m/>
    <m/>
    <m/>
    <m/>
    <m/>
    <m/>
    <m/>
    <m/>
    <m/>
    <m/>
    <m/>
    <m/>
    <m/>
    <m/>
    <m/>
    <m/>
    <m/>
    <m/>
    <m/>
    <n v="37720000"/>
    <n v="0"/>
    <n v="0"/>
    <n v="37720000"/>
    <n v="0"/>
    <x v="0"/>
  </r>
  <r>
    <x v="1"/>
    <x v="5"/>
    <s v="N/A"/>
    <s v="N/A"/>
    <s v="Sí"/>
    <s v="Sí"/>
    <n v="68"/>
    <s v="161-96"/>
    <s v="N.A"/>
    <s v="N.A"/>
    <s v="N.A"/>
    <n v="80111620"/>
    <s v="A-05-01-02-008-002"/>
    <s v="Prestación de servicios profesionales y/o de apoyo a la gestión"/>
    <s v="161-96 Prestar servicios profesionales en derecho  para apoyar la gestión jurídica de la UPME, mediante la asesoría y acompañamiento en la sustanciación de procesos, la elaboración y revisión de conceptos jurídicos, la revisión de actos administrativos y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en derecho  para apoyar la gestión jurídica de la UPME, mediante la asesoría y acompañamiento en la sustanciación de procesos, la elaboración y revisión de conceptos jurídicos, la revisión de actos administrativos y la emis"/>
    <m/>
    <m/>
    <m/>
    <n v="2000000"/>
    <m/>
    <n v="5000000"/>
    <m/>
    <n v="5000000"/>
    <m/>
    <n v="5000000"/>
    <m/>
    <n v="5000000"/>
    <m/>
    <n v="5000000"/>
    <m/>
    <n v="5000000"/>
    <m/>
    <n v="5000000"/>
    <m/>
    <n v="5000000"/>
    <m/>
    <n v="5000000"/>
    <m/>
    <n v="10000000"/>
    <m/>
    <m/>
    <n v="0"/>
    <n v="57000000"/>
    <n v="57000000"/>
    <n v="0"/>
    <n v="12426"/>
    <d v="2026-01-08T00:00:00"/>
    <n v="57000000"/>
    <n v="0"/>
    <n v="36626"/>
    <d v="2026-01-30T00:00:00"/>
    <n v="55000000"/>
    <n v="2000000"/>
    <n v="2000000"/>
    <s v="MEJIA ROMERO SILVIA LILIANA"/>
    <s v="CO1.PCCNTR.9144154"/>
    <n v="55000000"/>
    <m/>
    <m/>
    <m/>
    <m/>
    <m/>
    <m/>
    <m/>
    <m/>
    <m/>
    <m/>
    <m/>
    <m/>
    <m/>
    <m/>
    <m/>
    <m/>
    <m/>
    <m/>
    <m/>
    <m/>
    <m/>
    <m/>
    <m/>
    <m/>
    <m/>
    <m/>
    <m/>
    <m/>
    <m/>
    <m/>
    <m/>
    <m/>
    <m/>
    <m/>
    <m/>
    <n v="55000000"/>
    <n v="0"/>
    <n v="0"/>
    <n v="55000000"/>
    <n v="0"/>
    <x v="0"/>
  </r>
  <r>
    <x v="1"/>
    <x v="5"/>
    <s v="N/A"/>
    <s v="N/A"/>
    <s v="Sí"/>
    <s v="Sí"/>
    <n v="1"/>
    <s v="161-97"/>
    <s v="N.A"/>
    <s v="N.A"/>
    <s v="N.A"/>
    <n v="80111620"/>
    <s v="A-05-01-02-008-002"/>
    <s v="Prestación de servicios profesionales y/o de apoyo a la gestión"/>
    <s v="161-97 Prestar servicios profesionales para el análisis jurídico y la elaboración de respuestas a las PQRS y demás trámites de carácter jurídico, así como brindar apoyo técnico-jurídico en el componente territorial y de planeación territorial para la form"/>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elaboración de respuestas a las PQRS y demás trámites de carácter jurídico, así como brindar apoyo técnico-jurídico en el componente territorial y de planeación territorial para la formulación"/>
    <m/>
    <m/>
    <m/>
    <n v="2500000"/>
    <m/>
    <n v="5000000"/>
    <m/>
    <n v="5000000"/>
    <m/>
    <n v="5000000"/>
    <m/>
    <n v="5000000"/>
    <m/>
    <n v="5000000"/>
    <m/>
    <n v="5000000"/>
    <m/>
    <n v="5000000"/>
    <m/>
    <n v="5000000"/>
    <m/>
    <n v="5000000"/>
    <m/>
    <n v="10000000"/>
    <m/>
    <m/>
    <n v="0"/>
    <n v="57500000"/>
    <n v="57500000"/>
    <n v="0"/>
    <n v="12226"/>
    <d v="2026-01-08T00:00:00"/>
    <n v="56666667"/>
    <n v="833333"/>
    <n v="12926"/>
    <d v="2026-01-20T00:00:00"/>
    <n v="56666667"/>
    <n v="833333"/>
    <n v="0"/>
    <s v="LUCUMIS SERNA SEBASTIAN"/>
    <s v="CO1.PCCNTR.8911878"/>
    <n v="56666667"/>
    <m/>
    <m/>
    <m/>
    <m/>
    <m/>
    <m/>
    <m/>
    <m/>
    <m/>
    <m/>
    <m/>
    <m/>
    <m/>
    <m/>
    <m/>
    <m/>
    <m/>
    <m/>
    <m/>
    <m/>
    <m/>
    <m/>
    <m/>
    <m/>
    <m/>
    <m/>
    <m/>
    <m/>
    <m/>
    <m/>
    <m/>
    <m/>
    <m/>
    <m/>
    <m/>
    <n v="56666667"/>
    <n v="0"/>
    <n v="0"/>
    <n v="56666667"/>
    <n v="0"/>
    <x v="0"/>
  </r>
  <r>
    <x v="1"/>
    <x v="5"/>
    <s v="N/A"/>
    <s v="N/A"/>
    <s v="Sí"/>
    <s v="Sí"/>
    <n v="68"/>
    <s v="161-98"/>
    <s v="N.A"/>
    <s v="N.A"/>
    <s v="N.A"/>
    <n v="80111620"/>
    <s v="A-05-01-02-008-003"/>
    <s v="Prestación de servicios profesionales y/o de apoyo a la gestión"/>
    <s v="161-98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7581654"/>
    <n v="7581654"/>
    <s v="No"/>
    <s v="N/A"/>
    <s v="Johanna Castellanos"/>
    <s v="Subdirectora de Demanda"/>
    <n v="6012220601"/>
    <s v="johanna.castellanos@upme.gov.co"/>
    <m/>
    <m/>
    <m/>
    <m/>
    <m/>
    <m/>
    <m/>
    <m/>
    <m/>
    <m/>
    <m/>
    <m/>
    <m/>
    <m/>
    <m/>
    <m/>
    <m/>
    <m/>
    <m/>
    <m/>
    <m/>
    <m/>
    <m/>
    <m/>
    <m/>
    <m/>
    <m/>
    <m/>
    <s v="Prestar servicios profesionales orientados al fortalecimiento de la Dimensión de Control Interno mediante la ejecución del Plan Anual de Auditorías Internas Independientes, con énfasis en la evaluación de la gestión administrativa de la UPME"/>
    <m/>
    <m/>
    <m/>
    <m/>
    <m/>
    <m/>
    <m/>
    <m/>
    <m/>
    <m/>
    <m/>
    <m/>
    <m/>
    <m/>
    <m/>
    <m/>
    <m/>
    <m/>
    <m/>
    <m/>
    <m/>
    <m/>
    <m/>
    <m/>
    <m/>
    <m/>
    <n v="0"/>
    <n v="0"/>
    <n v="7581654"/>
    <n v="7581654"/>
    <n v="63426"/>
    <d v="2026-01-23T00:00:00"/>
    <n v="7581654"/>
    <n v="0"/>
    <m/>
    <m/>
    <n v="0"/>
    <n v="7581654"/>
    <n v="7581654"/>
    <m/>
    <m/>
    <m/>
    <m/>
    <m/>
    <m/>
    <m/>
    <m/>
    <m/>
    <m/>
    <m/>
    <m/>
    <m/>
    <m/>
    <m/>
    <m/>
    <m/>
    <m/>
    <m/>
    <m/>
    <m/>
    <m/>
    <m/>
    <m/>
    <m/>
    <m/>
    <m/>
    <m/>
    <m/>
    <m/>
    <m/>
    <m/>
    <m/>
    <m/>
    <m/>
    <m/>
    <m/>
    <m/>
    <n v="0"/>
    <n v="0"/>
    <n v="0"/>
    <n v="0"/>
    <n v="0"/>
    <x v="0"/>
  </r>
  <r>
    <x v="1"/>
    <x v="5"/>
    <s v="N/A"/>
    <s v="N/A"/>
    <s v="Sí"/>
    <s v="Sí"/>
    <n v="68"/>
    <s v="161-99"/>
    <s v="N.A"/>
    <s v="N.A"/>
    <s v="N.A"/>
    <n v="80111620"/>
    <s v="A-05-01-02-008-003"/>
    <s v="Prestación de servicios profesionales y/o de apoyo a la gestión"/>
    <s v="161-99 Prestar servicios profesionales orientados al fortalecimiento de la Política Institucional de Control Interno  a través de la ejecución del Plan Anual de Auditorías Internas Independientes, con énfasis en la evaluación  de la gestión financiera de "/>
    <s v="Enero "/>
    <s v="Enero "/>
    <s v="Enero "/>
    <n v="11.5"/>
    <s v="Meses"/>
    <s v="Contratación directa - Prestación de servicios profesionales "/>
    <s v="Propios - 20 - Ingresos corrientes"/>
    <n v="7581654"/>
    <n v="7581654"/>
    <s v="No"/>
    <s v="N/A"/>
    <s v="Johanna Castellanos"/>
    <s v="Subdirectora de Demanda"/>
    <n v="6012220601"/>
    <s v="johanna.castellanos@upme.gov.co"/>
    <m/>
    <m/>
    <m/>
    <m/>
    <m/>
    <m/>
    <m/>
    <m/>
    <m/>
    <m/>
    <m/>
    <m/>
    <m/>
    <m/>
    <m/>
    <m/>
    <m/>
    <m/>
    <m/>
    <m/>
    <m/>
    <m/>
    <m/>
    <m/>
    <m/>
    <m/>
    <m/>
    <m/>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7581654"/>
    <m/>
    <m/>
    <m/>
    <m/>
    <m/>
    <m/>
    <n v="2000000"/>
    <m/>
    <n v="2000000"/>
    <m/>
    <n v="3581654"/>
    <m/>
    <m/>
    <n v="7581654"/>
    <n v="7581654"/>
    <n v="0"/>
    <n v="0"/>
    <m/>
    <m/>
    <m/>
    <n v="7581654"/>
    <m/>
    <m/>
    <n v="0"/>
    <n v="7581654"/>
    <n v="0"/>
    <m/>
    <m/>
    <m/>
    <m/>
    <m/>
    <m/>
    <m/>
    <m/>
    <m/>
    <m/>
    <m/>
    <m/>
    <m/>
    <m/>
    <m/>
    <m/>
    <m/>
    <m/>
    <m/>
    <m/>
    <m/>
    <m/>
    <m/>
    <m/>
    <m/>
    <m/>
    <m/>
    <m/>
    <m/>
    <m/>
    <m/>
    <m/>
    <m/>
    <m/>
    <m/>
    <m/>
    <m/>
    <m/>
    <n v="0"/>
    <n v="0"/>
    <n v="0"/>
    <n v="0"/>
    <n v="0"/>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n v="0"/>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n v="4"/>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7">
  <r>
    <x v="0"/>
    <x v="0"/>
    <s v="Fortalecimiento del levantamiento, gestión y apropiación de la información para la planeación del sector minero energético con enfoque territorial nacional"/>
    <s v="Enfoque Territorial"/>
    <s v="Sí"/>
    <s v="Sí"/>
    <n v="68"/>
    <s v="100-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 Prestar servicios profesionales para la identificación y evaluación de variables ambientales críticas en los departamentos priorizados, aportando a la actualización técnica del Atlas de Conflictividad Socioambiental para la planificación minero- ene"/>
    <s v="Enero "/>
    <s v="Enero "/>
    <s v="Enero "/>
    <n v="11"/>
    <s v="Meses"/>
    <s v="Contratación directa - Prestación de servicios profesionales "/>
    <s v="Propios - 20 - Ingresos corrientes"/>
    <n v="71500000"/>
    <n v="71500000"/>
    <s v="N/A"/>
    <s v="N/A"/>
    <s v="Sandra Caballero"/>
    <s v="Asesora Dirección general"/>
    <n v="6012220601"/>
    <s v="sandra.caballero@upme.gov.co"/>
    <n v="71500000"/>
    <n v="0"/>
    <n v="0"/>
    <n v="886667"/>
    <n v="0"/>
    <n v="6500000"/>
    <n v="0"/>
    <n v="6500000"/>
    <n v="0"/>
    <n v="6500000"/>
    <n v="0"/>
    <n v="6500000"/>
    <n v="0"/>
    <n v="6500000"/>
    <n v="0"/>
    <n v="6500000"/>
    <n v="0"/>
    <n v="6500000"/>
    <n v="0"/>
    <n v="6500000"/>
    <n v="0"/>
    <n v="6500000"/>
    <n v="0"/>
    <n v="12113333"/>
    <n v="71500000"/>
    <n v="71500000"/>
    <n v="0"/>
    <n v="0"/>
    <s v="Prestar servicios profesionales para la identificación y evaluación de variables ambientales críticas en los departamentos priorizados, aportando a la actualización técnica del Atlas de Conflictividad Socioambiental para la planificación minero- energétic"/>
    <n v="71500000"/>
    <m/>
    <m/>
    <n v="886667"/>
    <m/>
    <n v="6500000"/>
    <m/>
    <n v="6500000"/>
    <m/>
    <n v="6500000"/>
    <m/>
    <n v="6500000"/>
    <m/>
    <n v="6500000"/>
    <m/>
    <n v="6500000"/>
    <m/>
    <n v="6500000"/>
    <m/>
    <n v="6500000"/>
    <m/>
    <n v="6500000"/>
    <m/>
    <n v="12113333"/>
    <m/>
    <m/>
    <n v="71500000"/>
    <n v="71500000"/>
    <n v="0"/>
    <n v="0"/>
    <n v="7026"/>
    <d v="2026-01-06T00:00:00"/>
    <n v="71500000"/>
    <n v="0"/>
    <n v="22626"/>
    <d v="2026-01-27T00:00:00"/>
    <n v="71500000"/>
    <n v="0"/>
    <n v="0"/>
    <s v="BECERRA CANO MARIA FERNANDA"/>
    <s v="CO1.PCCNTR.9008519"/>
    <n v="71500000"/>
    <m/>
    <m/>
    <m/>
    <m/>
    <m/>
    <m/>
    <n v="7150000"/>
    <n v="7150000"/>
    <m/>
    <n v="6500000"/>
    <n v="6500000"/>
    <m/>
    <m/>
    <m/>
    <m/>
    <m/>
    <m/>
    <m/>
    <m/>
    <m/>
    <m/>
    <m/>
    <m/>
    <m/>
    <m/>
    <m/>
    <m/>
    <m/>
    <m/>
    <m/>
    <m/>
    <m/>
    <m/>
    <m/>
    <m/>
    <n v="71500000"/>
    <n v="13650000"/>
    <n v="13650000"/>
    <n v="57850000"/>
    <n v="0"/>
  </r>
  <r>
    <x v="0"/>
    <x v="0"/>
    <s v="Fortalecimiento del levantamiento, gestión y apropiación de la información para la planeación del sector minero energético con enfoque territorial nacional"/>
    <s v="Enfoque Territorial"/>
    <s v="Sí"/>
    <s v="Sí"/>
    <n v="2"/>
    <s v="100-2"/>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 Prestar servicios profesionales para el análisis y representación espacial de información socioambiental y territorial, mediante el uso de herramientas de Sistemas de Información Geográfica (SIG) que apoyen la construcción de escenarios de planeació"/>
    <s v="Enero "/>
    <s v="Enero "/>
    <s v="Enero "/>
    <n v="11"/>
    <s v="Meses"/>
    <s v="Contratación directa - Prestación de servicios profesionales "/>
    <s v="Propios - 20 - Ingresos corrientes"/>
    <n v="66000000"/>
    <n v="66000000"/>
    <s v="N/A"/>
    <s v="N/A"/>
    <s v="Sandra Caballero"/>
    <s v="Asesora Dirección general"/>
    <n v="6012220601"/>
    <s v="sandra.caballero@upme.gov.co"/>
    <n v="0"/>
    <n v="0"/>
    <n v="66000000"/>
    <n v="0"/>
    <n v="0"/>
    <n v="6000000"/>
    <n v="0"/>
    <n v="6000000"/>
    <n v="0"/>
    <n v="6000000"/>
    <n v="0"/>
    <n v="6000000"/>
    <n v="0"/>
    <n v="6000000"/>
    <n v="0"/>
    <n v="6000000"/>
    <n v="0"/>
    <n v="6000000"/>
    <n v="0"/>
    <n v="6000000"/>
    <n v="0"/>
    <n v="6000000"/>
    <n v="0"/>
    <n v="12000000"/>
    <n v="66000000"/>
    <n v="66000000"/>
    <n v="0"/>
    <n v="0"/>
    <s v="Prestar servicios profesionales para el análisis y representación espacial de información socioambiental y territorial, mediante el uso de herramientas de Sistemas de Información Geográfica (SIG) que apoyen la construcción de escenarios de planeación mine"/>
    <m/>
    <m/>
    <n v="66000000"/>
    <m/>
    <m/>
    <n v="6000000"/>
    <m/>
    <n v="6000000"/>
    <m/>
    <n v="6000000"/>
    <m/>
    <n v="6000000"/>
    <m/>
    <n v="6000000"/>
    <m/>
    <n v="6000000"/>
    <m/>
    <n v="6000000"/>
    <m/>
    <n v="6000000"/>
    <m/>
    <n v="6000000"/>
    <m/>
    <n v="12000000"/>
    <m/>
    <m/>
    <n v="66000000"/>
    <n v="66000000"/>
    <n v="0"/>
    <n v="0"/>
    <n v="26926"/>
    <d v="2026-01-14T00:00:00"/>
    <n v="66000000"/>
    <n v="0"/>
    <n v="47226"/>
    <d v="2026-02-06T00:00:00"/>
    <n v="66000000"/>
    <n v="0"/>
    <n v="0"/>
    <s v="GRISALES LOPEZ MAIRA ALEJANDRA"/>
    <s v="CO1.PCCNTR.9267383"/>
    <m/>
    <m/>
    <m/>
    <n v="66000000"/>
    <m/>
    <m/>
    <m/>
    <n v="4400000"/>
    <n v="4400000"/>
    <m/>
    <n v="6000000"/>
    <n v="6000000"/>
    <m/>
    <m/>
    <m/>
    <m/>
    <m/>
    <m/>
    <m/>
    <m/>
    <m/>
    <m/>
    <m/>
    <m/>
    <m/>
    <m/>
    <m/>
    <m/>
    <m/>
    <m/>
    <m/>
    <m/>
    <m/>
    <m/>
    <m/>
    <m/>
    <n v="66000000"/>
    <n v="10400000"/>
    <n v="10400000"/>
    <n v="55600000"/>
    <n v="0"/>
  </r>
  <r>
    <x v="0"/>
    <x v="0"/>
    <s v="Fortalecimiento del levantamiento, gestión y apropiación de la información para la planeación del sector minero energético con enfoque territorial nacional"/>
    <s v="Enfoque Territorial"/>
    <s v="Sí"/>
    <s v="Sí"/>
    <n v="68"/>
    <s v="100-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3 Prestar servicios profesionales para apoyar la identificación e incorporación de variables sociales y territoriales en los documentos de la UPME, con el fin de fortalecer el conocimiento sobre la relación entre el desarrollo minero-energético."/>
    <s v="Enero "/>
    <s v="Enero "/>
    <s v="Enero "/>
    <n v="11"/>
    <s v="Meses"/>
    <s v="Contratación directa - Prestación de servicios profesionales "/>
    <s v="Propios - 20 - Ingresos corrientes"/>
    <n v="82500000"/>
    <n v="82500000"/>
    <s v="N/A"/>
    <s v="N/A"/>
    <s v="Sandra Caballero"/>
    <s v="Asesora Dirección general"/>
    <n v="6012220601"/>
    <s v="sandra.caballero@upme.gov.co"/>
    <n v="82500000"/>
    <n v="0"/>
    <n v="0"/>
    <n v="750000"/>
    <n v="0"/>
    <n v="7500000"/>
    <n v="0"/>
    <n v="7500000"/>
    <n v="0"/>
    <n v="7500000"/>
    <n v="0"/>
    <n v="7500000"/>
    <n v="0"/>
    <n v="7500000"/>
    <n v="0"/>
    <n v="7500000"/>
    <n v="0"/>
    <n v="7500000"/>
    <n v="0"/>
    <n v="7500000"/>
    <n v="0"/>
    <n v="7500000"/>
    <n v="0"/>
    <n v="14250000"/>
    <n v="82500000"/>
    <n v="82500000"/>
    <n v="0"/>
    <n v="0"/>
    <s v="Prestar servicios profesionales para apoyar la identificación e incorporación de variables sociales y territoriales en los documentos de la UPME, con el fin de fortalecer el conocimiento sobre la relación entre el desarrollo minero-energético."/>
    <n v="82500000"/>
    <m/>
    <m/>
    <n v="750000"/>
    <m/>
    <n v="7500000"/>
    <m/>
    <n v="7500000"/>
    <m/>
    <n v="7500000"/>
    <m/>
    <n v="7500000"/>
    <m/>
    <n v="7500000"/>
    <m/>
    <n v="7500000"/>
    <m/>
    <n v="7500000"/>
    <m/>
    <n v="7500000"/>
    <m/>
    <n v="7500000"/>
    <m/>
    <n v="14250000"/>
    <m/>
    <m/>
    <n v="82500000"/>
    <n v="82500000"/>
    <n v="0"/>
    <n v="0"/>
    <n v="33726"/>
    <d v="2026-01-15T00:00:00"/>
    <n v="82500000"/>
    <n v="0"/>
    <n v="26326"/>
    <d v="2026-01-28T00:00:00"/>
    <n v="82500000"/>
    <n v="0"/>
    <n v="0"/>
    <s v="MAFLA NOGUERA SAMY ANDRES"/>
    <s v="CO1.PCCNTR.9144902"/>
    <n v="82500000"/>
    <m/>
    <m/>
    <m/>
    <m/>
    <m/>
    <m/>
    <n v="8000000"/>
    <n v="8000000"/>
    <m/>
    <m/>
    <m/>
    <m/>
    <m/>
    <m/>
    <m/>
    <m/>
    <m/>
    <m/>
    <m/>
    <m/>
    <m/>
    <m/>
    <m/>
    <m/>
    <m/>
    <m/>
    <m/>
    <m/>
    <m/>
    <m/>
    <m/>
    <m/>
    <m/>
    <m/>
    <m/>
    <n v="82500000"/>
    <n v="8000000"/>
    <n v="8000000"/>
    <n v="74500000"/>
    <n v="0"/>
  </r>
  <r>
    <x v="0"/>
    <x v="0"/>
    <s v="Fortalecimiento del levantamiento, gestión y apropiación de la información para la planeación del sector minero energético con enfoque territorial nacional"/>
    <s v="Enfoque Territorial"/>
    <s v="Sí"/>
    <s v="Sí"/>
    <n v="2"/>
    <s v="100-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4 Prestar servicios profesionales a la Unidad de Planeación Minero-Energética (UPME) en el ejercicio de la secretaría técnica de comités interinstitucionales e intersectoriales, el fortalecimiento del relacionamiento estratégico entre niveles de gobie"/>
    <s v="Enero "/>
    <s v="Enero "/>
    <s v="Enero "/>
    <n v="11"/>
    <s v="Meses"/>
    <s v="Contratación directa - Prestación de servicios profesionales "/>
    <s v="Propios - 20 - Ingresos corrientes"/>
    <n v="71500000"/>
    <n v="71500000"/>
    <s v="N/A"/>
    <s v="N/A"/>
    <s v="Sandra Caballero"/>
    <s v="Asesora Dirección general"/>
    <n v="6012220601"/>
    <s v="sandra.caballero@upme.gov.co"/>
    <n v="71500000"/>
    <n v="0"/>
    <n v="0"/>
    <n v="1083333"/>
    <n v="0"/>
    <n v="6500000"/>
    <n v="0"/>
    <n v="6500000"/>
    <n v="0"/>
    <n v="6500000"/>
    <n v="0"/>
    <n v="6500000"/>
    <n v="0"/>
    <n v="6500000"/>
    <n v="0"/>
    <n v="6500000"/>
    <n v="0"/>
    <n v="6500000"/>
    <n v="0"/>
    <n v="6500000"/>
    <n v="0"/>
    <n v="6500000"/>
    <n v="0"/>
    <n v="11916667"/>
    <n v="71500000"/>
    <n v="71500000"/>
    <n v="0"/>
    <n v="0"/>
    <s v="Prestar servicios profesionales a la Unidad de Planeación Minero-Energética (UPME) en el ejercicio de la secretaría técnica de comités interinstitucionales e intersectoriales, el fortalecimiento del relacionamiento estratégico entre niveles de gobierno y "/>
    <n v="71500000"/>
    <m/>
    <m/>
    <n v="1083333"/>
    <m/>
    <n v="6500000"/>
    <m/>
    <n v="6500000"/>
    <m/>
    <n v="6500000"/>
    <m/>
    <n v="6500000"/>
    <m/>
    <n v="6500000"/>
    <m/>
    <n v="6500000"/>
    <m/>
    <n v="6500000"/>
    <m/>
    <n v="6500000"/>
    <m/>
    <n v="6500000"/>
    <m/>
    <n v="11916667"/>
    <m/>
    <m/>
    <n v="71500000"/>
    <n v="71500000"/>
    <n v="0"/>
    <n v="0"/>
    <n v="32126"/>
    <d v="2026-01-06T00:00:00"/>
    <n v="71500000"/>
    <n v="0"/>
    <n v="22226"/>
    <d v="2026-01-26T00:00:00"/>
    <n v="71500000"/>
    <n v="0"/>
    <n v="0"/>
    <s v="RAMIREZ MEDINA EYDA LAUREN"/>
    <s v="CO1.PCCNTR.9078912"/>
    <n v="71500000"/>
    <m/>
    <m/>
    <m/>
    <m/>
    <m/>
    <m/>
    <n v="7366667"/>
    <n v="7366667"/>
    <m/>
    <n v="6500000"/>
    <n v="6500000"/>
    <m/>
    <m/>
    <m/>
    <m/>
    <m/>
    <m/>
    <m/>
    <m/>
    <m/>
    <m/>
    <m/>
    <m/>
    <m/>
    <m/>
    <m/>
    <m/>
    <m/>
    <m/>
    <m/>
    <m/>
    <m/>
    <m/>
    <m/>
    <m/>
    <n v="71500000"/>
    <n v="13866667"/>
    <n v="13866667"/>
    <n v="57633333"/>
    <n v="0"/>
  </r>
  <r>
    <x v="0"/>
    <x v="0"/>
    <s v="Fortalecimiento del levantamiento, gestión y apropiación de la información para la planeación del sector minero energético con enfoque territorial nacional"/>
    <s v="Enfoque Territorial"/>
    <s v="Sí"/>
    <s v="Sí"/>
    <n v="68"/>
    <s v="100-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5 Prestar los servicios profesionales en la construcción de conceptos jurídicos del Proyecto Enfoque Territorial, acorde a la normativa vigente, y analizar el marco regulatorio relacionado con los aspectos jurídicos que involucran la planeación de ene"/>
    <s v="Enero "/>
    <s v="Enero "/>
    <s v="Enero "/>
    <n v="10"/>
    <s v="Meses"/>
    <s v="Contratación directa - Prestación de servicios profesionales "/>
    <s v="Propios - 20 - Ingresos corrientes"/>
    <n v="72000000"/>
    <n v="72000000"/>
    <s v="N/A"/>
    <s v="N/A"/>
    <s v="Sandra Caballero"/>
    <s v="Asesora Dirección general"/>
    <n v="6012220601"/>
    <s v="sandra.caballero@upme.gov.co"/>
    <n v="0"/>
    <n v="0"/>
    <n v="72000000"/>
    <n v="0"/>
    <n v="0"/>
    <n v="6240000"/>
    <n v="0"/>
    <n v="7200000"/>
    <n v="0"/>
    <n v="7200000"/>
    <n v="0"/>
    <n v="7200000"/>
    <n v="0"/>
    <n v="7200000"/>
    <n v="0"/>
    <n v="7200000"/>
    <n v="0"/>
    <n v="7200000"/>
    <n v="0"/>
    <n v="7200000"/>
    <n v="0"/>
    <n v="7200000"/>
    <n v="0"/>
    <n v="8160000"/>
    <n v="72000000"/>
    <n v="72000000"/>
    <n v="0"/>
    <n v="0"/>
    <s v="Prestar los servicios profesionales en la construcción de conceptos jurídicos del Proyecto Enfoque Territorial, acorde a la normativa vigente, y analizar el marco regulatorio relacionado con los aspectos jurídicos que involucran la planeación de energía e"/>
    <m/>
    <m/>
    <n v="72000000"/>
    <m/>
    <m/>
    <n v="6240000"/>
    <m/>
    <n v="7200000"/>
    <m/>
    <n v="7200000"/>
    <m/>
    <n v="7200000"/>
    <m/>
    <n v="7200000"/>
    <m/>
    <n v="7200000"/>
    <m/>
    <n v="7200000"/>
    <m/>
    <n v="7200000"/>
    <m/>
    <n v="7200000"/>
    <m/>
    <n v="8160000"/>
    <m/>
    <m/>
    <n v="72000000"/>
    <n v="72000000"/>
    <n v="0"/>
    <n v="0"/>
    <n v="33626"/>
    <d v="2026-01-15T00:00:00"/>
    <n v="72000000"/>
    <n v="0"/>
    <n v="52826"/>
    <d v="2026-02-10T00:00:00"/>
    <n v="72000000"/>
    <n v="0"/>
    <n v="0"/>
    <s v="CASTILLO MENESES YADIRA"/>
    <s v="CO1.PCCNTR.9288549"/>
    <m/>
    <m/>
    <m/>
    <n v="72000000"/>
    <m/>
    <m/>
    <m/>
    <n v="4800000"/>
    <n v="4800000"/>
    <m/>
    <n v="7200000"/>
    <n v="7200000"/>
    <m/>
    <m/>
    <m/>
    <m/>
    <m/>
    <m/>
    <m/>
    <m/>
    <m/>
    <m/>
    <m/>
    <m/>
    <m/>
    <m/>
    <m/>
    <m/>
    <m/>
    <m/>
    <m/>
    <m/>
    <m/>
    <m/>
    <m/>
    <m/>
    <n v="72000000"/>
    <n v="12000000"/>
    <n v="12000000"/>
    <n v="60000000"/>
    <n v="0"/>
  </r>
  <r>
    <x v="0"/>
    <x v="0"/>
    <s v="Fortalecimiento del levantamiento, gestión y apropiación de la información para la planeación del sector minero energético con enfoque territorial nacional"/>
    <s v="Enfoque Territorial"/>
    <s v="Sí"/>
    <s v="Sí"/>
    <n v="6"/>
    <s v="100-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6 Prestar servicios profesionales para el análisis, seguimiento y fortalecimiento de la gobernanza territorial del sector minero-energético, mediante el diseño de estrategias de relacionamiento institucional y el análisis de la dinámica política y soc"/>
    <s v="Enero "/>
    <s v="Enero "/>
    <s v="Enero "/>
    <n v="9"/>
    <s v="Meses"/>
    <s v="Contratación directa - Prestación de servicios profesionales "/>
    <s v="Propios - 20 - Ingresos corrientes"/>
    <n v="62372574"/>
    <n v="62372574"/>
    <s v="N/A"/>
    <s v="N/A"/>
    <s v="Sandra Caballero"/>
    <s v="Asesora Dirección general"/>
    <n v="6012220601"/>
    <s v="sandra.caballero@upme.gov.co"/>
    <n v="54169500"/>
    <n v="0"/>
    <n v="0"/>
    <n v="0"/>
    <n v="0"/>
    <n v="5670234"/>
    <n v="0"/>
    <n v="5670234"/>
    <n v="0"/>
    <n v="5670234"/>
    <n v="0"/>
    <n v="5670234"/>
    <n v="8203074"/>
    <n v="5670234"/>
    <n v="0"/>
    <n v="5670234"/>
    <n v="0"/>
    <n v="5670234"/>
    <n v="0"/>
    <n v="5670234"/>
    <n v="0"/>
    <n v="5670234"/>
    <n v="0"/>
    <n v="11340468"/>
    <n v="62372574"/>
    <n v="62372574"/>
    <n v="0"/>
    <n v="0"/>
    <s v="Prestar servicios profesionales para el análisis, seguimiento y fortalecimiento de la gobernanza territorial del sector minero-energético, mediante el diseño de estrategias de relacionamiento institucional y el análisis de la dinámica política y social de"/>
    <n v="54169500"/>
    <m/>
    <m/>
    <m/>
    <m/>
    <n v="5670234"/>
    <m/>
    <n v="5670234"/>
    <m/>
    <n v="5670234"/>
    <m/>
    <n v="5670234"/>
    <n v="8203074"/>
    <n v="5670234"/>
    <m/>
    <n v="5670234"/>
    <m/>
    <n v="5670234"/>
    <m/>
    <n v="5670234"/>
    <m/>
    <n v="5670234"/>
    <m/>
    <n v="11340468"/>
    <m/>
    <m/>
    <n v="62372574"/>
    <n v="62372574"/>
    <n v="0"/>
    <n v="0"/>
    <n v="31226"/>
    <d v="2026-01-14T00:00:00"/>
    <n v="54169500"/>
    <n v="8203074"/>
    <n v="31226"/>
    <d v="2026-01-29T00:00:00"/>
    <n v="54169500"/>
    <n v="8203074"/>
    <n v="0"/>
    <s v="OLARTE FAJARDO IGOR ELL"/>
    <s v="CO1.PCCNTR.9142218"/>
    <n v="54169500"/>
    <m/>
    <m/>
    <m/>
    <m/>
    <m/>
    <m/>
    <n v="5236385"/>
    <n v="5236385"/>
    <m/>
    <m/>
    <m/>
    <m/>
    <m/>
    <m/>
    <m/>
    <m/>
    <m/>
    <m/>
    <m/>
    <m/>
    <m/>
    <m/>
    <m/>
    <m/>
    <m/>
    <m/>
    <m/>
    <m/>
    <m/>
    <m/>
    <m/>
    <m/>
    <m/>
    <m/>
    <m/>
    <n v="54169500"/>
    <n v="5236385"/>
    <n v="5236385"/>
    <n v="48933115"/>
    <n v="0"/>
  </r>
  <r>
    <x v="0"/>
    <x v="0"/>
    <s v="Fortalecimiento del levantamiento, gestión y apropiación de la información para la planeación del sector minero energético con enfoque territorial nacional"/>
    <s v="Enfoque Territorial"/>
    <s v="Sí"/>
    <s v="Sí"/>
    <n v="68"/>
    <s v="100-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7 Prestar servicios profesionales para apoyar las actividades de organización, análisis básico de información y mejora de procesos operativos que contribuyan a la evaluación y divulgación de lineamientos relacionados con el Atlas de Conflictividad Soc"/>
    <s v="Enero "/>
    <s v="Enero "/>
    <s v="Enero "/>
    <n v="10"/>
    <s v="Meses"/>
    <s v="Contratación directa - Prestación de servicios profesionales "/>
    <s v="Propios - 20 - Ingresos corrientes"/>
    <n v="60000000"/>
    <n v="60000000"/>
    <s v="N/A"/>
    <s v="N/A"/>
    <s v="Sandra Caballero"/>
    <s v="Asesora Dirección general"/>
    <n v="6012220601"/>
    <s v="sandra.caballero@upme.gov.co"/>
    <n v="60000000"/>
    <n v="0"/>
    <n v="0"/>
    <n v="1000000"/>
    <n v="0"/>
    <n v="6000000"/>
    <n v="0"/>
    <n v="6000000"/>
    <n v="0"/>
    <n v="6000000"/>
    <n v="0"/>
    <n v="6000000"/>
    <n v="0"/>
    <n v="6000000"/>
    <n v="0"/>
    <n v="6000000"/>
    <n v="0"/>
    <n v="6000000"/>
    <n v="0"/>
    <n v="6000000"/>
    <n v="0"/>
    <n v="6000000"/>
    <n v="0"/>
    <n v="5000000"/>
    <n v="60000000"/>
    <n v="60000000"/>
    <n v="0"/>
    <n v="0"/>
    <s v="Prestar servicios profesionales para apoyar las actividades de organización, análisis básico de información y mejora de procesos operativos que contribuyan a la evaluación y divulgación de lineamientos relacionados con el Atlas de Conflictividad Socioambi"/>
    <n v="60000000"/>
    <m/>
    <m/>
    <n v="1000000"/>
    <m/>
    <n v="6000000"/>
    <m/>
    <n v="6000000"/>
    <m/>
    <n v="6000000"/>
    <m/>
    <n v="6000000"/>
    <m/>
    <n v="6000000"/>
    <m/>
    <n v="6000000"/>
    <m/>
    <n v="6000000"/>
    <m/>
    <n v="6000000"/>
    <m/>
    <n v="6000000"/>
    <m/>
    <n v="5000000"/>
    <m/>
    <m/>
    <n v="60000000"/>
    <n v="60000000"/>
    <n v="0"/>
    <n v="0"/>
    <n v="7426"/>
    <d v="2026-01-06T00:00:00"/>
    <n v="60000000"/>
    <n v="0"/>
    <n v="22326"/>
    <d v="2026-01-26T00:00:00"/>
    <n v="60000000"/>
    <n v="0"/>
    <n v="0"/>
    <s v="LUCUMI ARARAT LEIDY ALEJANDRA"/>
    <s v="CO1.PCCNTR.9003920"/>
    <n v="60000000"/>
    <m/>
    <m/>
    <m/>
    <m/>
    <m/>
    <m/>
    <n v="6800000"/>
    <n v="6800000"/>
    <m/>
    <n v="6000000"/>
    <n v="6000000"/>
    <m/>
    <m/>
    <m/>
    <m/>
    <m/>
    <m/>
    <m/>
    <m/>
    <m/>
    <m/>
    <m/>
    <m/>
    <m/>
    <m/>
    <m/>
    <m/>
    <m/>
    <m/>
    <m/>
    <m/>
    <m/>
    <m/>
    <m/>
    <m/>
    <n v="60000000"/>
    <n v="12800000"/>
    <n v="12800000"/>
    <n v="47200000"/>
    <n v="0"/>
  </r>
  <r>
    <x v="0"/>
    <x v="0"/>
    <s v="Fortalecimiento del levantamiento, gestión y apropiación de la información para la planeación del sector minero energético con enfoque territorial nacional"/>
    <s v="Enfoque Territorial"/>
    <s v="Sí"/>
    <s v="Sí"/>
    <n v="68"/>
    <s v="100-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8 Prestar servicios profesionales de apoyo jurídico para la revisión normativa y la emisión de conceptos relacionados con los habilitadores socioambientales y la infraestructura energética, articulando criterios legales con las necesidades del proyect"/>
    <s v="Enero "/>
    <s v="Enero "/>
    <s v="Enero "/>
    <n v="10"/>
    <s v="Meses"/>
    <s v="Contratación directa - Prestación de servicios profesionales "/>
    <s v="Propios - 20 - Ingresos corrientes"/>
    <n v="72000000"/>
    <n v="72000000"/>
    <s v="N/A"/>
    <s v="N/A"/>
    <s v="Sandra Caballero"/>
    <s v="Asesora Dirección general"/>
    <n v="6012220601"/>
    <s v="sandra.caballero@upme.gov.co"/>
    <n v="72000000"/>
    <n v="0"/>
    <n v="0"/>
    <n v="2400000"/>
    <n v="0"/>
    <n v="7200000"/>
    <n v="0"/>
    <n v="7200000"/>
    <n v="0"/>
    <n v="7200000"/>
    <n v="0"/>
    <n v="7200000"/>
    <n v="0"/>
    <n v="7200000"/>
    <n v="0"/>
    <n v="7200000"/>
    <n v="0"/>
    <n v="7200000"/>
    <n v="0"/>
    <n v="7200000"/>
    <n v="0"/>
    <n v="7200000"/>
    <n v="0"/>
    <n v="4800000"/>
    <n v="72000000"/>
    <n v="72000000"/>
    <n v="0"/>
    <n v="0"/>
    <s v="Prestar servicios profesionales de apoyo jurídico para la revisión normativa y la emisión de conceptos relacionados con los habilitadores socioambientales y la infraestructura energética, articulando criterios legales con las necesidades del proyecto Enfo"/>
    <n v="72000000"/>
    <m/>
    <m/>
    <n v="2400000"/>
    <m/>
    <n v="7200000"/>
    <m/>
    <n v="7200000"/>
    <m/>
    <n v="7200000"/>
    <m/>
    <n v="7200000"/>
    <m/>
    <n v="7200000"/>
    <m/>
    <n v="7200000"/>
    <m/>
    <n v="7200000"/>
    <m/>
    <n v="7200000"/>
    <m/>
    <n v="7200000"/>
    <m/>
    <n v="4800000"/>
    <m/>
    <m/>
    <n v="72000000"/>
    <n v="72000000"/>
    <n v="0"/>
    <n v="0"/>
    <n v="7526"/>
    <d v="2026-01-06T00:00:00"/>
    <n v="72000000"/>
    <n v="0"/>
    <n v="14226"/>
    <d v="2026-01-21T00:00:00"/>
    <n v="72000000"/>
    <n v="0"/>
    <n v="0"/>
    <s v="PEÑA NEUTA MARIA FRANCY"/>
    <s v="CO1.PCCNTR.8884473"/>
    <n v="72000000"/>
    <m/>
    <m/>
    <m/>
    <n v="2160000"/>
    <n v="2160000"/>
    <m/>
    <n v="7200000"/>
    <n v="7200000"/>
    <m/>
    <n v="7200000"/>
    <n v="7200000"/>
    <m/>
    <m/>
    <m/>
    <m/>
    <m/>
    <m/>
    <m/>
    <m/>
    <m/>
    <m/>
    <m/>
    <m/>
    <m/>
    <m/>
    <m/>
    <m/>
    <m/>
    <m/>
    <m/>
    <m/>
    <m/>
    <m/>
    <m/>
    <m/>
    <n v="72000000"/>
    <n v="16560000"/>
    <n v="16560000"/>
    <n v="55440000"/>
    <n v="0"/>
  </r>
  <r>
    <x v="0"/>
    <x v="0"/>
    <s v="Fortalecimiento del levantamiento, gestión y apropiación de la información para la planeación del sector minero energético con enfoque territorial nacional"/>
    <s v="Enfoque Territorial"/>
    <s v="Sí"/>
    <s v="Sí"/>
    <n v="22"/>
    <s v="100-9"/>
    <s v="Incluir el uso de las particularidades propias de cada territorio en la planeación minero energética."/>
    <s v="Documentos Metodológicos"/>
    <s v="Identificar e incorporar variables sociales, ambientales y territoriales en los documentos de planeación minero energética."/>
    <s v="43201800;43233405;43212201"/>
    <s v="C-2106-1900-10-53105E-2106005-02"/>
    <x v="1"/>
    <s v="100-9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34000000"/>
    <n v="34000000"/>
    <s v="N/A"/>
    <s v="N/A"/>
    <s v="Sandra Caballero"/>
    <s v="Asesora Dirección general"/>
    <n v="6012220601"/>
    <s v="sandra.caballero@upme.gov.co"/>
    <n v="0"/>
    <n v="0"/>
    <n v="0"/>
    <n v="0"/>
    <n v="0"/>
    <n v="0"/>
    <n v="0"/>
    <n v="0"/>
    <n v="0"/>
    <n v="0"/>
    <n v="0"/>
    <n v="0"/>
    <n v="30000000"/>
    <n v="0"/>
    <n v="0"/>
    <n v="0"/>
    <n v="0"/>
    <n v="0"/>
    <n v="0"/>
    <n v="0"/>
    <n v="0"/>
    <n v="0"/>
    <n v="0"/>
    <n v="30000000"/>
    <n v="30000000"/>
    <n v="30000000"/>
    <n v="4000000"/>
    <n v="4000000"/>
    <s v="Adquirir el licenciamiento por suscripción para Plataforma de virtualización y almacenamiento en nube incluyendo la adquisición del hardware para Computación y Storage que soporta esta solución de Hiperconvergencia."/>
    <n v="0"/>
    <n v="0"/>
    <n v="0"/>
    <n v="0"/>
    <n v="0"/>
    <n v="0"/>
    <n v="4000000"/>
    <n v="0"/>
    <n v="0"/>
    <n v="0"/>
    <n v="0"/>
    <n v="0"/>
    <n v="30000000"/>
    <n v="0"/>
    <n v="0"/>
    <n v="0"/>
    <n v="0"/>
    <n v="0"/>
    <n v="0"/>
    <n v="0"/>
    <n v="0"/>
    <n v="0"/>
    <n v="0"/>
    <n v="34000000"/>
    <m/>
    <m/>
    <n v="34000000"/>
    <n v="34000000"/>
    <n v="0"/>
    <n v="0"/>
    <n v="40826"/>
    <d v="2026-01-16T00:00:00"/>
    <n v="0"/>
    <n v="34000000"/>
    <m/>
    <m/>
    <n v="0"/>
    <n v="34000000"/>
    <n v="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22"/>
    <s v="100-10"/>
    <s v="Incluir el uso de las particularidades propias de cada territorio en la planeación minero energética."/>
    <s v="Documentos Metodológicos"/>
    <s v="Identificar e incorporar variables sociales, ambientales y territoriales en los documentos de planeación minero energética."/>
    <n v="80141607"/>
    <s v="C-2106-1900-10-53105E-2106005-02"/>
    <x v="2"/>
    <s v="100-10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46666352"/>
    <n v="46666352"/>
    <s v="N/A"/>
    <s v="N/A"/>
    <s v="Sandra Caballero"/>
    <s v="Asesora Dirección general"/>
    <n v="6012220601"/>
    <s v="sandra.caballero@upme.gov.co"/>
    <n v="0"/>
    <n v="0"/>
    <n v="0"/>
    <n v="0"/>
    <n v="0"/>
    <n v="0"/>
    <n v="0"/>
    <n v="0"/>
    <n v="0"/>
    <n v="0"/>
    <n v="0"/>
    <n v="0"/>
    <n v="40000000"/>
    <n v="0"/>
    <n v="0"/>
    <n v="0"/>
    <n v="0"/>
    <n v="0"/>
    <n v="0"/>
    <n v="0"/>
    <n v="0"/>
    <n v="0"/>
    <n v="0"/>
    <n v="40000000"/>
    <n v="40000000"/>
    <n v="40000000"/>
    <n v="6666352"/>
    <n v="6666352"/>
    <s v="Prestación de los servicios de apoyo logístico para el desarrollo de la estrategia de comunicación y participación con actores nacionales y territoriales, así como para otros espacios interinstitucionales en el marco de la misionalidad de la entidad y el "/>
    <n v="0"/>
    <n v="0"/>
    <n v="0"/>
    <n v="0"/>
    <n v="0"/>
    <n v="0"/>
    <n v="6666352"/>
    <n v="0"/>
    <n v="0"/>
    <n v="0"/>
    <n v="0"/>
    <n v="0"/>
    <n v="40000000"/>
    <n v="0"/>
    <n v="0"/>
    <n v="10000000"/>
    <n v="0"/>
    <n v="10000000"/>
    <n v="0"/>
    <n v="10000000"/>
    <n v="0"/>
    <n v="10000000"/>
    <n v="0"/>
    <n v="6666352"/>
    <m/>
    <m/>
    <n v="46666352"/>
    <n v="46666352"/>
    <n v="0"/>
    <n v="0"/>
    <n v="25926"/>
    <d v="2026-01-13T00:00:00"/>
    <n v="40000000"/>
    <n v="6666352"/>
    <m/>
    <m/>
    <n v="0"/>
    <n v="46666352"/>
    <n v="400000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1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1 Prestar servicios profesionales para el análisis de información social y apoyo en la formulación de lineamientos metodológicos que integren variables sociales y comunitarias en la herramienta &quot;Atlas de Conflictividad Socioambiental&quot;, en el marco de"/>
    <s v="Enero "/>
    <s v="Enero "/>
    <s v="Enero "/>
    <n v="10"/>
    <s v="Meses"/>
    <s v="Contratación directa - Prestación de servicios profesionales "/>
    <s v="Propios - 20 - Ingresos corrientes"/>
    <n v="60000000"/>
    <n v="60000000"/>
    <s v="N/A"/>
    <s v="N/A"/>
    <s v="Sandra Caballero"/>
    <s v="Asesora Dirección general"/>
    <n v="6012220601"/>
    <s v="sandra.caballero@upme.gov.co"/>
    <n v="0"/>
    <n v="0"/>
    <n v="60000000"/>
    <n v="0"/>
    <n v="0"/>
    <n v="5000000"/>
    <n v="0"/>
    <n v="6000000"/>
    <n v="0"/>
    <n v="6000000"/>
    <n v="0"/>
    <n v="6000000"/>
    <n v="0"/>
    <n v="6000000"/>
    <n v="0"/>
    <n v="6000000"/>
    <n v="0"/>
    <n v="6000000"/>
    <n v="0"/>
    <n v="6000000"/>
    <n v="0"/>
    <n v="6000000"/>
    <n v="0"/>
    <n v="7000000"/>
    <n v="60000000"/>
    <n v="60000000"/>
    <n v="0"/>
    <n v="0"/>
    <s v="Prestar servicios profesionales para el análisis de información social y apoyo en la formulación de lineamientos metodológicos que integren variables sociales y comunitarias en la herramienta &quot;Atlas de Conflictividad Socioambiental&quot;, en el marco del proye"/>
    <m/>
    <m/>
    <n v="60000000"/>
    <m/>
    <m/>
    <n v="5000000"/>
    <m/>
    <n v="6000000"/>
    <m/>
    <n v="6000000"/>
    <m/>
    <n v="6000000"/>
    <m/>
    <n v="6000000"/>
    <m/>
    <n v="6000000"/>
    <m/>
    <n v="6000000"/>
    <m/>
    <n v="6000000"/>
    <m/>
    <n v="6000000"/>
    <m/>
    <n v="7000000"/>
    <m/>
    <m/>
    <n v="60000000"/>
    <n v="60000000"/>
    <n v="0"/>
    <n v="0"/>
    <n v="25726"/>
    <d v="2026-01-13T00:00:00"/>
    <n v="60000000"/>
    <n v="0"/>
    <n v="49126"/>
    <d v="2026-02-06T00:00:00"/>
    <n v="60000000"/>
    <n v="0"/>
    <n v="0"/>
    <s v="RAMIREZ DURAN ESTHEFANY KATHERINE"/>
    <s v="CO1.PCCNTR.9259604"/>
    <m/>
    <m/>
    <m/>
    <n v="60000000"/>
    <m/>
    <m/>
    <m/>
    <n v="4400000"/>
    <n v="4400000"/>
    <m/>
    <n v="6000000"/>
    <n v="6000000"/>
    <m/>
    <m/>
    <m/>
    <m/>
    <m/>
    <m/>
    <m/>
    <m/>
    <m/>
    <m/>
    <m/>
    <m/>
    <m/>
    <m/>
    <m/>
    <m/>
    <m/>
    <m/>
    <m/>
    <m/>
    <m/>
    <m/>
    <m/>
    <m/>
    <n v="60000000"/>
    <n v="10400000"/>
    <n v="10400000"/>
    <n v="49600000"/>
    <n v="0"/>
  </r>
  <r>
    <x v="0"/>
    <x v="0"/>
    <s v="Fortalecimiento del levantamiento, gestión y apropiación de la información para la planeación del sector minero energético con enfoque territorial nacional"/>
    <s v="Enfoque Territorial"/>
    <s v="Sí"/>
    <s v="Sí"/>
    <n v="22"/>
    <s v="100-12"/>
    <s v="Incluir el uso de las particularidades propias de cada territorio en la planeación minero energética."/>
    <s v="Documentos Metodológicos"/>
    <s v="Identificar e incorporar variables sociales, ambientales y territoriales en los documentos de planeación minero energética."/>
    <s v="43201800;43233405;43212201"/>
    <s v="C-2106-1900-10-53105E-2106005-02"/>
    <x v="1"/>
    <s v="100-12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65000000"/>
    <n v="65000000"/>
    <s v="N/A"/>
    <s v="N/A"/>
    <s v="Sandra Caballero"/>
    <s v="Asesora Dirección general"/>
    <n v="6012220601"/>
    <s v="sandra.caballero@upme.gov.co"/>
    <n v="0"/>
    <n v="0"/>
    <n v="0"/>
    <n v="0"/>
    <n v="0"/>
    <n v="0"/>
    <n v="0"/>
    <n v="0"/>
    <n v="0"/>
    <n v="0"/>
    <n v="0"/>
    <n v="0"/>
    <n v="65000000"/>
    <n v="0"/>
    <n v="0"/>
    <n v="0"/>
    <n v="0"/>
    <n v="0"/>
    <n v="0"/>
    <n v="0"/>
    <n v="0"/>
    <n v="0"/>
    <n v="0"/>
    <n v="65000000"/>
    <n v="65000000"/>
    <n v="65000000"/>
    <n v="0"/>
    <n v="0"/>
    <s v="Adquirir el licenciamiento por suscripción para Plataforma de virtualización y almacenamiento en nube incluyendo la adquisición del hardware para Computación y Storage que soporta esta solución de Hiperconvergencia."/>
    <m/>
    <m/>
    <m/>
    <m/>
    <m/>
    <m/>
    <m/>
    <m/>
    <m/>
    <m/>
    <m/>
    <m/>
    <n v="65000000"/>
    <m/>
    <m/>
    <m/>
    <m/>
    <m/>
    <m/>
    <m/>
    <m/>
    <m/>
    <m/>
    <n v="65000000"/>
    <m/>
    <m/>
    <n v="65000000"/>
    <n v="65000000"/>
    <n v="0"/>
    <n v="0"/>
    <n v="27926"/>
    <d v="2026-01-14T00:00:00"/>
    <n v="0"/>
    <n v="65000000"/>
    <m/>
    <m/>
    <n v="0"/>
    <n v="65000000"/>
    <n v="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1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2000000"/>
    <n v="72000000"/>
    <s v="N/A"/>
    <s v="N/A"/>
    <s v="Mateo Severino"/>
    <s v="Asesora Dirección general"/>
    <n v="6012220601"/>
    <s v="mateo.severino@upme.gov.co"/>
    <n v="0"/>
    <n v="0"/>
    <n v="72000000"/>
    <n v="0"/>
    <n v="0"/>
    <n v="6480000"/>
    <n v="0"/>
    <n v="7200000"/>
    <n v="0"/>
    <n v="7200000"/>
    <n v="0"/>
    <n v="7200000"/>
    <n v="0"/>
    <n v="7200000"/>
    <n v="0"/>
    <n v="7200000"/>
    <n v="0"/>
    <n v="7200000"/>
    <n v="0"/>
    <n v="7200000"/>
    <n v="0"/>
    <n v="7200000"/>
    <n v="0"/>
    <n v="7920000"/>
    <n v="72000000"/>
    <n v="72000000"/>
    <n v="0"/>
    <n v="0"/>
    <s v="Prestar servicios profesionales para la proyección de documentos de contenido legal y apoyo de los asuntos de tipo jurídico que resulten de las actuaciones administrativas de competencia de la UPME, en el marco de la gestión institucional de la Entidad."/>
    <m/>
    <m/>
    <n v="72000000"/>
    <m/>
    <m/>
    <n v="6480000"/>
    <m/>
    <n v="7200000"/>
    <m/>
    <n v="7200000"/>
    <m/>
    <n v="7200000"/>
    <m/>
    <n v="7200000"/>
    <m/>
    <n v="7200000"/>
    <m/>
    <n v="7200000"/>
    <m/>
    <n v="7200000"/>
    <m/>
    <n v="7200000"/>
    <m/>
    <n v="7920000"/>
    <m/>
    <m/>
    <n v="72000000"/>
    <n v="72000000"/>
    <n v="0"/>
    <n v="0"/>
    <n v="53926"/>
    <d v="2026-01-21T00:00:00"/>
    <n v="72000000"/>
    <n v="0"/>
    <n v="40926"/>
    <d v="2026-02-04T00:00:00"/>
    <n v="72000000"/>
    <n v="0"/>
    <n v="0"/>
    <s v="JATTIN BUVOLI CESAR AUGUSTO"/>
    <s v="CO1.PCCNTR.9248079"/>
    <m/>
    <m/>
    <m/>
    <n v="72000000"/>
    <m/>
    <m/>
    <m/>
    <n v="6240000"/>
    <n v="6240000"/>
    <m/>
    <m/>
    <m/>
    <m/>
    <m/>
    <m/>
    <m/>
    <m/>
    <m/>
    <m/>
    <m/>
    <m/>
    <m/>
    <m/>
    <m/>
    <m/>
    <m/>
    <m/>
    <m/>
    <m/>
    <m/>
    <m/>
    <m/>
    <m/>
    <m/>
    <m/>
    <m/>
    <n v="72000000"/>
    <n v="6240000"/>
    <n v="6240000"/>
    <n v="65760000"/>
    <n v="0"/>
  </r>
  <r>
    <x v="0"/>
    <x v="0"/>
    <s v="Fortalecimiento del levantamiento, gestión y apropiación de la información para la planeación del sector minero energético con enfoque territorial nacional"/>
    <s v="Enfoque Territorial"/>
    <s v="Sí"/>
    <s v="Sí"/>
    <n v="7"/>
    <s v="100-1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4 Prestar servicios profesionales para apoyar la planeación, coordinación, convocatoria y desarrollo de espacios participativos con entidades nacionales y regionales vinculadas a proyectos energéticos, así como la articulación institucional con comun"/>
    <s v="Enero "/>
    <s v="Enero "/>
    <s v="Enero "/>
    <n v="10"/>
    <s v="Meses"/>
    <s v="Contratación directa - Prestación de servicios profesionales "/>
    <s v="Propios - 20 - Ingresos corrientes"/>
    <n v="72000000"/>
    <n v="72000000"/>
    <s v="N/A"/>
    <s v="N/A"/>
    <s v="Mateo Severino"/>
    <s v="Asesora Dirección general"/>
    <n v="6012220601"/>
    <s v="mateo.severino@upme.gov.co"/>
    <n v="0"/>
    <n v="0"/>
    <n v="72000000"/>
    <n v="0"/>
    <n v="0"/>
    <n v="6480000"/>
    <n v="0"/>
    <n v="7200000"/>
    <n v="0"/>
    <n v="7200000"/>
    <n v="0"/>
    <n v="7200000"/>
    <n v="0"/>
    <n v="7200000"/>
    <n v="0"/>
    <n v="7200000"/>
    <n v="0"/>
    <n v="7200000"/>
    <n v="0"/>
    <n v="7200000"/>
    <n v="0"/>
    <n v="7200000"/>
    <n v="0"/>
    <n v="7920000"/>
    <n v="72000000"/>
    <n v="72000000"/>
    <n v="0"/>
    <n v="0"/>
    <s v="Prestar servicios profesionales para apoyar la planeación, coordinación, convocatoria y desarrollo de espacios participativos con entidades nacionales y regionales vinculadas a proyectos energéticos, así como la articulación institucional con comunidades,"/>
    <m/>
    <m/>
    <n v="72000000"/>
    <m/>
    <m/>
    <n v="6480000"/>
    <m/>
    <n v="7200000"/>
    <m/>
    <n v="7200000"/>
    <m/>
    <n v="7200000"/>
    <m/>
    <n v="7200000"/>
    <m/>
    <n v="7200000"/>
    <m/>
    <n v="7200000"/>
    <m/>
    <n v="7200000"/>
    <m/>
    <n v="7200000"/>
    <m/>
    <n v="7920000"/>
    <m/>
    <m/>
    <n v="72000000"/>
    <n v="72000000"/>
    <n v="0"/>
    <n v="0"/>
    <n v="64126"/>
    <d v="2026-01-24T00:00:00"/>
    <n v="72000000"/>
    <n v="0"/>
    <n v="51326"/>
    <d v="2026-02-09T00:00:00"/>
    <n v="72000000"/>
    <n v="0"/>
    <n v="0"/>
    <s v="GALLARDO ROJAS CARLO DOMINGO"/>
    <s v="CO1.PCCNTR.9259677"/>
    <m/>
    <m/>
    <m/>
    <n v="72000000"/>
    <m/>
    <m/>
    <m/>
    <n v="5040000"/>
    <n v="5040000"/>
    <m/>
    <m/>
    <m/>
    <m/>
    <m/>
    <m/>
    <m/>
    <m/>
    <m/>
    <m/>
    <m/>
    <m/>
    <m/>
    <m/>
    <m/>
    <m/>
    <m/>
    <m/>
    <m/>
    <m/>
    <m/>
    <m/>
    <m/>
    <m/>
    <m/>
    <m/>
    <m/>
    <n v="72000000"/>
    <n v="5040000"/>
    <n v="5040000"/>
    <n v="66960000"/>
    <n v="0"/>
  </r>
  <r>
    <x v="0"/>
    <x v="0"/>
    <s v="Fortalecimiento del levantamiento, gestión y apropiación de la información para la planeación del sector minero energético con enfoque territorial nacional"/>
    <s v="Enfoque Territorial"/>
    <s v="Sí"/>
    <s v="Sí"/>
    <n v="22"/>
    <s v="100-1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5 Prestar servicios profesionales para el desarrollo del procedimiento de gestión precontractual y contractual de la Unidad de Planeación Minero Energética."/>
    <s v="Enero "/>
    <s v="Enero "/>
    <s v="Enero "/>
    <n v="6"/>
    <s v="Meses"/>
    <s v="Contratación directa - Prestación de servicios profesionales "/>
    <s v="Propios - 20 - Ingresos corrientes"/>
    <n v="25333648"/>
    <n v="25333648"/>
    <s v="N/A"/>
    <s v="N/A"/>
    <s v="Mateo Severino"/>
    <s v="Asesora Dirección general"/>
    <n v="6012220601"/>
    <s v="mateo.severino@upme.gov.co"/>
    <n v="0"/>
    <n v="0"/>
    <n v="0"/>
    <n v="0"/>
    <n v="0"/>
    <n v="0"/>
    <n v="0"/>
    <n v="0"/>
    <n v="0"/>
    <n v="0"/>
    <n v="0"/>
    <n v="0"/>
    <n v="36000000"/>
    <n v="0"/>
    <n v="0"/>
    <n v="0"/>
    <n v="0"/>
    <n v="0"/>
    <n v="0"/>
    <n v="0"/>
    <n v="0"/>
    <n v="0"/>
    <n v="0"/>
    <n v="36000000"/>
    <n v="36000000"/>
    <n v="36000000"/>
    <n v="-10666352"/>
    <n v="-10666352"/>
    <s v="Prestar servicios profesionales para el desarrollo del procedimiento de gestión precontractual y contractual de la Unidad de Planeación Minero Energética."/>
    <n v="0"/>
    <n v="0"/>
    <n v="0"/>
    <n v="0"/>
    <n v="0"/>
    <n v="0"/>
    <n v="10666352"/>
    <n v="0"/>
    <n v="0"/>
    <n v="0"/>
    <n v="0"/>
    <n v="0"/>
    <n v="36000000"/>
    <n v="0"/>
    <n v="0"/>
    <n v="0"/>
    <n v="0"/>
    <n v="0"/>
    <n v="0"/>
    <n v="0"/>
    <n v="0"/>
    <n v="0"/>
    <n v="0"/>
    <n v="25333648"/>
    <m/>
    <m/>
    <n v="46666352"/>
    <n v="25333648"/>
    <n v="-21332704"/>
    <n v="0"/>
    <n v="67926"/>
    <d v="2026-01-30T00:00:00"/>
    <n v="36000000"/>
    <n v="-10666352"/>
    <m/>
    <m/>
    <n v="0"/>
    <n v="25333648"/>
    <n v="360000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1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6 Prestar servicios profesionales para la articulación del análisis técnico, la construcción conceptual y operativa, y la implementación de las mesas técnicas, así como el desarrollo de recomendaciones de política pública, metodologías y herramientas"/>
    <s v="Enero "/>
    <s v="Enero "/>
    <s v="Enero "/>
    <n v="10"/>
    <s v="Meses"/>
    <s v="Contratación directa - Prestación de servicios profesionales "/>
    <s v="Propios - 20 - Ingresos corrientes"/>
    <n v="55000000"/>
    <n v="55000000"/>
    <s v="N/A"/>
    <s v="N/A"/>
    <s v="Sandra Caballero"/>
    <s v="Asesora Dirección general"/>
    <n v="6012220601"/>
    <s v="sandra.caballero@upme.gov.co"/>
    <n v="0"/>
    <n v="0"/>
    <n v="55000000"/>
    <n v="0"/>
    <n v="0"/>
    <n v="3463460"/>
    <n v="0"/>
    <n v="3996300"/>
    <n v="0"/>
    <n v="3996300"/>
    <n v="0"/>
    <n v="3996300"/>
    <n v="0"/>
    <n v="3996300"/>
    <n v="0"/>
    <n v="3996300"/>
    <n v="0"/>
    <n v="3996300"/>
    <n v="0"/>
    <n v="3996300"/>
    <n v="0"/>
    <n v="3996300"/>
    <n v="0"/>
    <n v="19566140"/>
    <n v="55000000"/>
    <n v="55000000"/>
    <n v="0"/>
    <n v="0"/>
    <s v="Prestar servicios profesionales para la articulación del análisis técnico, la construcción conceptual y operativa, y la implementación de las mesas técnicas, así como el desarrollo de recomendaciones de política pública, metodologías y herramientas para l"/>
    <m/>
    <m/>
    <n v="55000000"/>
    <m/>
    <m/>
    <n v="3463460"/>
    <m/>
    <n v="3996300"/>
    <m/>
    <n v="3996300"/>
    <m/>
    <n v="3996300"/>
    <m/>
    <n v="3996300"/>
    <m/>
    <n v="3996300"/>
    <m/>
    <n v="3996300"/>
    <m/>
    <n v="3996300"/>
    <m/>
    <n v="3996300"/>
    <m/>
    <n v="19566140"/>
    <m/>
    <m/>
    <n v="55000000"/>
    <n v="55000000"/>
    <n v="0"/>
    <n v="0"/>
    <n v="28126"/>
    <d v="2026-01-14T00:00:00"/>
    <n v="55000000"/>
    <n v="0"/>
    <n v="41126"/>
    <d v="2026-02-04T00:00:00"/>
    <n v="39963000"/>
    <n v="15037000"/>
    <n v="15037000"/>
    <s v="ARDILA ARCINIEGAS JUAN SEBASTIAN"/>
    <s v="CO1.PCCNTR.9266307"/>
    <m/>
    <m/>
    <m/>
    <n v="39963000"/>
    <m/>
    <m/>
    <m/>
    <n v="3463460"/>
    <n v="3463460"/>
    <m/>
    <n v="3996300"/>
    <n v="3996300"/>
    <m/>
    <m/>
    <m/>
    <m/>
    <m/>
    <m/>
    <m/>
    <m/>
    <m/>
    <m/>
    <m/>
    <m/>
    <m/>
    <m/>
    <m/>
    <m/>
    <m/>
    <m/>
    <m/>
    <m/>
    <m/>
    <m/>
    <m/>
    <m/>
    <n v="39963000"/>
    <n v="7459760"/>
    <n v="7459760"/>
    <n v="32503240"/>
    <n v="0"/>
  </r>
  <r>
    <x v="0"/>
    <x v="0"/>
    <s v="Fortalecimiento del levantamiento, gestión y apropiación de la información para la planeación del sector minero energético con enfoque territorial nacional"/>
    <s v="Enfoque Territorial"/>
    <s v="Sí"/>
    <s v="Sí"/>
    <n v="68"/>
    <s v="100-1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7 Prestar servicios profesionales para el diseño, implementación y seguimiento de estrategias de educación comunitaria y participación ciudadana, con un enfoque de derechos humanos y diferencial, para el fortalecimiento de la relación entre la UPME y"/>
    <s v="Enero "/>
    <s v="Enero "/>
    <s v="Enero "/>
    <n v="10"/>
    <s v="Meses"/>
    <s v="Contratación directa - Prestación de servicios profesionales "/>
    <s v="Propios - 20 - Ingresos corrientes"/>
    <n v="39939900"/>
    <n v="39939900"/>
    <s v="N/A"/>
    <s v="N/A"/>
    <s v="Sandra Caballero"/>
    <s v="Asesora Dirección general"/>
    <n v="6012220601"/>
    <s v="sandra.caballero@upme.gov.co"/>
    <n v="0"/>
    <n v="0"/>
    <n v="0"/>
    <n v="0"/>
    <n v="0"/>
    <n v="0"/>
    <n v="0"/>
    <n v="0"/>
    <n v="0"/>
    <n v="0"/>
    <n v="0"/>
    <n v="0"/>
    <n v="39939900"/>
    <n v="0"/>
    <n v="0"/>
    <n v="0"/>
    <n v="0"/>
    <n v="0"/>
    <n v="0"/>
    <n v="0"/>
    <n v="0"/>
    <n v="0"/>
    <n v="0"/>
    <n v="39939900"/>
    <n v="39939900"/>
    <n v="39939900"/>
    <n v="0"/>
    <n v="0"/>
    <s v="Prestar servicios profesionales para el diseño, implementación y seguimiento de estrategias de educación comunitaria y participación ciudadana, con un enfoque de derechos humanos y diferencial, para el fortalecimiento de la relación entre la UPME y las co"/>
    <m/>
    <m/>
    <m/>
    <m/>
    <m/>
    <m/>
    <m/>
    <m/>
    <m/>
    <m/>
    <m/>
    <m/>
    <n v="39939900"/>
    <m/>
    <m/>
    <m/>
    <m/>
    <m/>
    <m/>
    <m/>
    <m/>
    <m/>
    <m/>
    <n v="39939900"/>
    <m/>
    <m/>
    <n v="39939900"/>
    <n v="39939900"/>
    <n v="0"/>
    <n v="0"/>
    <n v="43926"/>
    <d v="2026-01-17T00:00:00"/>
    <n v="17336450"/>
    <n v="22603450"/>
    <n v="50026"/>
    <d v="2026-02-09T00:00:00"/>
    <n v="14627975"/>
    <n v="25311925"/>
    <n v="2708475"/>
    <s v="BERNAL OLAYA SANDRA BIBIANA"/>
    <s v="CO1.PCCNTR.9296056"/>
    <m/>
    <m/>
    <m/>
    <n v="14627975"/>
    <m/>
    <m/>
    <m/>
    <n v="3791865"/>
    <n v="3791865"/>
    <m/>
    <m/>
    <m/>
    <m/>
    <m/>
    <m/>
    <m/>
    <m/>
    <m/>
    <m/>
    <m/>
    <m/>
    <m/>
    <m/>
    <m/>
    <m/>
    <m/>
    <m/>
    <m/>
    <m/>
    <m/>
    <m/>
    <m/>
    <m/>
    <m/>
    <m/>
    <m/>
    <n v="14627975"/>
    <n v="3791865"/>
    <n v="3791865"/>
    <n v="10836110"/>
    <n v="0"/>
  </r>
  <r>
    <x v="0"/>
    <x v="0"/>
    <s v="Fortalecimiento del levantamiento, gestión y apropiación de la información para la planeación del sector minero energético con enfoque territorial nacional"/>
    <s v="Enfoque Territorial"/>
    <s v="Sí"/>
    <s v="Sí"/>
    <n v="1"/>
    <s v="100-1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8 Prestar servicios profesionales para articular el seguimiento de la planeación estratégica y la ejecución presupuestal del proyecto de Enfoque Territorial de la Dirección General, garantizando el cumplimiento efectivo de sus metas y su adecuada int"/>
    <s v="Enero "/>
    <s v="Enero "/>
    <s v="Enero "/>
    <n v="11.5"/>
    <s v="Meses"/>
    <s v="Contratación directa - Prestación de servicios profesionales "/>
    <s v="Propios - 20 - Ingresos corrientes"/>
    <n v="60000000"/>
    <n v="60000000"/>
    <s v="N/A"/>
    <s v="N/A"/>
    <s v="Sandra Caballero"/>
    <s v="Asesora Dirección general"/>
    <n v="6012220601"/>
    <s v="sandra.caballero@upme.gov.co"/>
    <n v="60000000"/>
    <n v="0"/>
    <n v="0"/>
    <n v="3200000"/>
    <n v="0"/>
    <n v="8000000"/>
    <n v="0"/>
    <n v="8000000"/>
    <n v="0"/>
    <n v="8000000"/>
    <n v="0"/>
    <n v="8000000"/>
    <n v="0"/>
    <n v="8000000"/>
    <n v="0"/>
    <n v="8000000"/>
    <n v="0"/>
    <n v="8000000"/>
    <n v="0"/>
    <n v="800000"/>
    <n v="0"/>
    <n v="0"/>
    <n v="0"/>
    <n v="0"/>
    <n v="60000000"/>
    <n v="60000000"/>
    <n v="0"/>
    <n v="0"/>
    <s v="Prestar servicios profesionales para articular el seguimiento de la planeación estratégica y la ejecución presupuestal del proyecto de Enfoque Territorial de la Dirección General, garantizando el cumplimiento efectivo de sus metas y su adecuada integració"/>
    <n v="60000000"/>
    <m/>
    <m/>
    <n v="3200000"/>
    <m/>
    <n v="8000000"/>
    <m/>
    <n v="8000000"/>
    <m/>
    <n v="8000000"/>
    <m/>
    <n v="8000000"/>
    <m/>
    <n v="8000000"/>
    <m/>
    <n v="8000000"/>
    <m/>
    <n v="8000000"/>
    <m/>
    <n v="800000"/>
    <m/>
    <n v="0"/>
    <m/>
    <n v="0"/>
    <m/>
    <m/>
    <n v="60000000"/>
    <n v="60000000"/>
    <n v="0"/>
    <n v="0"/>
    <n v="13526"/>
    <d v="2026-01-08T00:00:00"/>
    <n v="60000000"/>
    <n v="0"/>
    <n v="11926"/>
    <d v="2026-01-20T00:00:00"/>
    <n v="60000000"/>
    <n v="0"/>
    <n v="0"/>
    <s v="CARRANZA MOLINA OLGA LUCIA"/>
    <s v="CO1.PCCNTR.8914684"/>
    <n v="60000000"/>
    <m/>
    <m/>
    <m/>
    <m/>
    <m/>
    <m/>
    <n v="10666667"/>
    <n v="10666667"/>
    <m/>
    <n v="8000000"/>
    <n v="8000000"/>
    <m/>
    <m/>
    <m/>
    <m/>
    <m/>
    <m/>
    <m/>
    <m/>
    <m/>
    <m/>
    <m/>
    <m/>
    <m/>
    <m/>
    <m/>
    <m/>
    <m/>
    <m/>
    <m/>
    <m/>
    <m/>
    <m/>
    <m/>
    <m/>
    <n v="60000000"/>
    <n v="18666667"/>
    <n v="18666667"/>
    <n v="41333333"/>
    <n v="0"/>
  </r>
  <r>
    <x v="0"/>
    <x v="0"/>
    <s v="Fortalecimiento del levantamiento, gestión y apropiación de la información para la planeación del sector minero energético con enfoque territorial nacional"/>
    <s v="Enfoque Territorial"/>
    <s v="Sí"/>
    <s v="Sí"/>
    <n v="68"/>
    <s v="100-19"/>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9 Prestar servicios profesionales para apoyar a la UPME en la identificación, evaluación y mitigación de impactos ambientales derivados de sus actividades rutinarias, garantizando el cumplimiento de la normativa ambiental, la gestión adecuada de resi"/>
    <s v="Enero "/>
    <s v="Enero "/>
    <s v="Enero "/>
    <n v="10"/>
    <s v="Meses"/>
    <s v="Contratación directa - Prestación de servicios profesionales "/>
    <s v="Propios - 20 - Ingresos corrientes"/>
    <n v="65900000"/>
    <n v="65900000"/>
    <s v="N/A"/>
    <s v="N/A"/>
    <s v="Sandra Caballero"/>
    <s v="Asesora Dirección general"/>
    <n v="6012220601"/>
    <s v="jenny.pena@upme.gov.co"/>
    <n v="65900000"/>
    <n v="0"/>
    <n v="0"/>
    <n v="2196666"/>
    <n v="0"/>
    <n v="6590000"/>
    <n v="0"/>
    <n v="6590000"/>
    <n v="0"/>
    <n v="6590000"/>
    <n v="0"/>
    <n v="6590000"/>
    <n v="0"/>
    <n v="6590000"/>
    <n v="0"/>
    <n v="6590000"/>
    <n v="0"/>
    <n v="6590000"/>
    <n v="0"/>
    <n v="6590000"/>
    <n v="0"/>
    <n v="6590000"/>
    <n v="0"/>
    <n v="4393334"/>
    <n v="65900000"/>
    <n v="65900000"/>
    <n v="0"/>
    <n v="0"/>
    <s v="Prestar servicios profesionales para apoyar a la UPME en la identificación, evaluación y mitigación de impactos ambientales derivados de sus actividades rutinarias, garantizando el cumplimiento de la normativa ambiental, la gestión adecuada de residuos, y"/>
    <n v="65900000"/>
    <m/>
    <m/>
    <n v="2196666"/>
    <m/>
    <n v="6590000"/>
    <m/>
    <n v="6590000"/>
    <m/>
    <n v="6590000"/>
    <m/>
    <n v="6590000"/>
    <m/>
    <n v="6590000"/>
    <m/>
    <n v="6590000"/>
    <m/>
    <n v="6590000"/>
    <m/>
    <n v="6590000"/>
    <m/>
    <n v="6590000"/>
    <m/>
    <n v="4393334"/>
    <m/>
    <m/>
    <n v="65900000"/>
    <n v="65900000"/>
    <n v="0"/>
    <n v="0"/>
    <n v="13726"/>
    <d v="2026-01-08T00:00:00"/>
    <n v="65900000"/>
    <n v="0"/>
    <n v="15026"/>
    <d v="2026-01-21T00:00:00"/>
    <n v="65900000"/>
    <n v="0"/>
    <n v="0"/>
    <s v="GOMEZ BUITRAGO DANIEL RICARDO"/>
    <s v="CO1.PCCNTR.8938023"/>
    <n v="65900000"/>
    <m/>
    <m/>
    <m/>
    <n v="1977000"/>
    <n v="1977000"/>
    <m/>
    <n v="6590000"/>
    <n v="6590000"/>
    <m/>
    <n v="6590000"/>
    <n v="6590000"/>
    <m/>
    <m/>
    <m/>
    <m/>
    <m/>
    <m/>
    <m/>
    <m/>
    <m/>
    <m/>
    <m/>
    <m/>
    <m/>
    <m/>
    <m/>
    <m/>
    <m/>
    <m/>
    <m/>
    <m/>
    <m/>
    <m/>
    <m/>
    <m/>
    <n v="65900000"/>
    <n v="15157000"/>
    <n v="15157000"/>
    <n v="50743000"/>
    <n v="0"/>
  </r>
  <r>
    <x v="0"/>
    <x v="0"/>
    <s v="Fortalecimiento del levantamiento, gestión y apropiación de la información para la planeación del sector minero energético con enfoque territorial nacional"/>
    <s v="Enfoque Territorial"/>
    <s v="Sí"/>
    <s v="Sí"/>
    <n v="68"/>
    <s v="100-2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0 Prestar servicios profesionales para apoyar la formulación, actualización, articulación, monitoreo y mejora de los Planes Institucionales y el Sistema de Gestión Institucional de la UPME, garantizando su alineación con el Marco Estratégico Instituc"/>
    <s v="Enero "/>
    <s v="Enero "/>
    <s v="Enero "/>
    <n v="10"/>
    <s v="Meses"/>
    <s v="Contratación directa - Prestación de servicios profesionales "/>
    <s v="Propios - 20 - Ingresos corrientes"/>
    <n v="75000000"/>
    <n v="75000000"/>
    <s v="N/A"/>
    <s v="N/A"/>
    <s v="Veronica Tabares"/>
    <s v="Asesora Dirección general"/>
    <n v="6012220601"/>
    <s v="katherin.perez@upme.gov.co"/>
    <n v="75000000"/>
    <n v="0"/>
    <n v="0"/>
    <n v="3750000"/>
    <n v="0"/>
    <n v="7500000"/>
    <n v="0"/>
    <n v="7500000"/>
    <n v="0"/>
    <n v="7500000"/>
    <n v="0"/>
    <n v="7500000"/>
    <n v="0"/>
    <n v="7500000"/>
    <n v="0"/>
    <n v="7500000"/>
    <n v="0"/>
    <n v="7500000"/>
    <n v="0"/>
    <n v="7500000"/>
    <n v="0"/>
    <n v="7500000"/>
    <n v="0"/>
    <n v="3750000"/>
    <n v="75000000"/>
    <n v="75000000"/>
    <n v="0"/>
    <n v="0"/>
    <s v="Prestar servicios profesionales para apoyar la formulación, actualización, articulación, monitoreo y mejora de los Planes Institucionales y el Sistema de Gestión Institucional de la UPME, garantizando su alineación con el Marco Estratégico Institucional y"/>
    <n v="75000000"/>
    <m/>
    <m/>
    <n v="3750000"/>
    <m/>
    <n v="7500000"/>
    <m/>
    <n v="7500000"/>
    <m/>
    <n v="7500000"/>
    <m/>
    <n v="7500000"/>
    <m/>
    <n v="7500000"/>
    <m/>
    <n v="7500000"/>
    <m/>
    <n v="7500000"/>
    <m/>
    <n v="7500000"/>
    <m/>
    <n v="7500000"/>
    <m/>
    <n v="3750000"/>
    <m/>
    <m/>
    <n v="75000000"/>
    <n v="75000000"/>
    <n v="0"/>
    <n v="0"/>
    <n v="37526"/>
    <d v="2026-01-15T00:00:00"/>
    <n v="75000000"/>
    <n v="0"/>
    <n v="33326.646260000001"/>
    <s v="29/01/2026,19/03/2026"/>
    <n v="75000000"/>
    <n v="0"/>
    <n v="0"/>
    <s v="PRECIADO GUTIERREZ EDWAR HERNANDO,CAMACHO RIAÑO MICHAEL YESID_x000a_"/>
    <s v="CO1.PCCNTR.9098872"/>
    <n v="75000000"/>
    <m/>
    <m/>
    <m/>
    <n v="250000"/>
    <n v="250000"/>
    <m/>
    <n v="7500000"/>
    <n v="7500000"/>
    <m/>
    <n v="2750000"/>
    <n v="2750000"/>
    <m/>
    <m/>
    <m/>
    <m/>
    <m/>
    <m/>
    <m/>
    <m/>
    <m/>
    <m/>
    <m/>
    <m/>
    <m/>
    <m/>
    <m/>
    <m/>
    <m/>
    <m/>
    <m/>
    <m/>
    <m/>
    <m/>
    <m/>
    <m/>
    <n v="75000000"/>
    <n v="10500000"/>
    <n v="10500000"/>
    <n v="64500000"/>
    <n v="0"/>
  </r>
  <r>
    <x v="0"/>
    <x v="0"/>
    <s v="Fortalecimiento del levantamiento, gestión y apropiación de la información para la planeación del sector minero energético con enfoque territorial nacional"/>
    <s v="Enfoque Territorial"/>
    <s v="Sí"/>
    <s v="Sí"/>
    <n v="68"/>
    <s v="100-2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1 Prestar los servicios profesionales de enlace legislativo y asesoría jurídica del Proyecto Enfoque Territorial, mediante la elaboración de conceptos, análisis y seguimiento normativo, mediante el monitoreo de la normativa vigente de los proyectos y"/>
    <s v="Enero "/>
    <s v="Enero "/>
    <s v="Enero "/>
    <n v="10"/>
    <s v="Meses"/>
    <s v="Contratación directa - Prestación de servicios profesionales "/>
    <s v="Propios - 20 - Ingresos corrientes"/>
    <n v="94000000"/>
    <n v="94000000"/>
    <s v="N/A"/>
    <s v="N/A"/>
    <s v="Sandra Caballero"/>
    <s v="Asesora Dirección general"/>
    <n v="6012220601"/>
    <s v="jenny.pena@upme.gov.co"/>
    <n v="94000000"/>
    <n v="0"/>
    <n v="0"/>
    <n v="4700000"/>
    <n v="0"/>
    <n v="9400000"/>
    <n v="0"/>
    <n v="9400000"/>
    <n v="0"/>
    <n v="9400000"/>
    <n v="0"/>
    <n v="9400000"/>
    <n v="0"/>
    <n v="9400000"/>
    <n v="0"/>
    <n v="9400000"/>
    <n v="0"/>
    <n v="9400000"/>
    <n v="0"/>
    <n v="9400000"/>
    <n v="0"/>
    <n v="9400000"/>
    <n v="0"/>
    <n v="4700000"/>
    <n v="94000000"/>
    <n v="94000000"/>
    <n v="0"/>
    <n v="0"/>
    <s v="Prestar los servicios profesionales de enlace legislativo y asesoría jurídica del Proyecto Enfoque Territorial, mediante la elaboración de conceptos, análisis y seguimiento normativo, mediante el monitoreo de la normativa vigente de los proyectos y del se"/>
    <n v="94000000"/>
    <m/>
    <m/>
    <n v="4700000"/>
    <m/>
    <n v="9400000"/>
    <m/>
    <n v="9400000"/>
    <m/>
    <n v="9400000"/>
    <m/>
    <n v="9400000"/>
    <m/>
    <n v="9400000"/>
    <m/>
    <n v="9400000"/>
    <m/>
    <n v="9400000"/>
    <m/>
    <n v="9400000"/>
    <m/>
    <n v="9400000"/>
    <m/>
    <n v="4700000"/>
    <m/>
    <m/>
    <n v="94000000"/>
    <n v="94000000"/>
    <n v="0"/>
    <n v="0"/>
    <n v="7626"/>
    <d v="2026-01-06T00:00:00"/>
    <n v="94000000"/>
    <n v="0"/>
    <n v="11126"/>
    <d v="2026-01-17T00:00:00"/>
    <n v="94000000"/>
    <n v="0"/>
    <n v="0"/>
    <s v="CHAPARRO RODRIGUEZ JULIO CESAR"/>
    <s v="CO1.PCCNTR.8897590"/>
    <n v="94000000"/>
    <m/>
    <m/>
    <m/>
    <n v="3760000"/>
    <n v="3760000"/>
    <m/>
    <n v="9400000"/>
    <n v="9400000"/>
    <m/>
    <n v="9400000"/>
    <n v="9400000"/>
    <m/>
    <m/>
    <m/>
    <m/>
    <m/>
    <m/>
    <m/>
    <m/>
    <m/>
    <m/>
    <m/>
    <m/>
    <m/>
    <m/>
    <m/>
    <m/>
    <m/>
    <m/>
    <m/>
    <m/>
    <m/>
    <m/>
    <m/>
    <m/>
    <n v="94000000"/>
    <n v="22560000"/>
    <n v="22560000"/>
    <n v="71440000"/>
    <n v="0"/>
  </r>
  <r>
    <x v="0"/>
    <x v="0"/>
    <s v="Fortalecimiento del levantamiento, gestión y apropiación de la información para la planeación del sector minero energético con enfoque territorial nacional"/>
    <s v="Enfoque Territorial"/>
    <s v="Sí"/>
    <s v="Sí"/>
    <n v="2"/>
    <s v="100-22"/>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2 Prestar servicios profesionales para el diseño e implementación de una estrategia psicopedagógica y de transferencia de conocimiento, con análisis de política pública minero-energética, en el marco del Proyecto de Enfoque Territorial de la UPME."/>
    <s v="Enero "/>
    <s v="Enero "/>
    <s v="Enero "/>
    <n v="10"/>
    <s v="Meses"/>
    <s v="Contratación directa - Prestación de servicios profesionales "/>
    <s v="Propios - 20 - Ingresos corrientes"/>
    <n v="90000000"/>
    <n v="90000000"/>
    <s v="N/A"/>
    <s v="N/A"/>
    <s v="Sandra Caballero"/>
    <s v="Asesora Dirección general"/>
    <n v="6012220601"/>
    <s v="sandra.caballero@upme.gov.co"/>
    <n v="90000000"/>
    <n v="0"/>
    <n v="0"/>
    <n v="900000"/>
    <n v="0"/>
    <n v="9000000"/>
    <n v="0"/>
    <n v="9000000"/>
    <n v="0"/>
    <n v="9000000"/>
    <n v="0"/>
    <n v="9000000"/>
    <n v="0"/>
    <n v="9000000"/>
    <n v="0"/>
    <n v="9000000"/>
    <n v="0"/>
    <n v="9000000"/>
    <n v="0"/>
    <n v="9000000"/>
    <n v="0"/>
    <n v="9000000"/>
    <n v="0"/>
    <n v="8100000"/>
    <n v="90000000"/>
    <n v="90000000"/>
    <n v="0"/>
    <n v="0"/>
    <s v="Prestar servicios profesionales para el diseño e implementación de una estrategia psicopedagógica y de transferencia de conocimiento, con análisis de política pública minero-energética, en el marco del Proyecto de Enfoque Territorial de la UPME."/>
    <n v="90000000"/>
    <m/>
    <m/>
    <n v="900000"/>
    <m/>
    <n v="9000000"/>
    <m/>
    <n v="9000000"/>
    <m/>
    <n v="9000000"/>
    <m/>
    <n v="9000000"/>
    <m/>
    <n v="9000000"/>
    <m/>
    <n v="9000000"/>
    <m/>
    <n v="9000000"/>
    <m/>
    <n v="9000000"/>
    <m/>
    <n v="9000000"/>
    <m/>
    <n v="8100000"/>
    <m/>
    <m/>
    <n v="90000000"/>
    <n v="90000000"/>
    <n v="0"/>
    <n v="0"/>
    <n v="41126"/>
    <d v="2026-01-08T00:00:00"/>
    <n v="90000000"/>
    <n v="0"/>
    <n v="25326"/>
    <d v="2026-01-28T00:00:00"/>
    <n v="90000000"/>
    <n v="0"/>
    <n v="0"/>
    <s v="CAMACHO LEON ADRIANA DEL PILAR"/>
    <s v="CO1.PCCNTR.9099281"/>
    <n v="90000000"/>
    <m/>
    <m/>
    <m/>
    <m/>
    <m/>
    <m/>
    <n v="9600000"/>
    <n v="9600000"/>
    <m/>
    <n v="9000000"/>
    <n v="9000000"/>
    <m/>
    <m/>
    <m/>
    <m/>
    <m/>
    <m/>
    <m/>
    <m/>
    <m/>
    <m/>
    <m/>
    <m/>
    <m/>
    <m/>
    <m/>
    <m/>
    <m/>
    <m/>
    <m/>
    <m/>
    <m/>
    <m/>
    <m/>
    <m/>
    <n v="90000000"/>
    <n v="18600000"/>
    <n v="18600000"/>
    <n v="71400000"/>
    <n v="0"/>
  </r>
  <r>
    <x v="0"/>
    <x v="0"/>
    <s v="Fortalecimiento del levantamiento, gestión y apropiación de la información para la planeación del sector minero energético con enfoque territorial nacional"/>
    <s v="Enfoque Territorial"/>
    <s v="Sí"/>
    <s v="Sí"/>
    <n v="1"/>
    <s v="100-2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3 Prestar servicios profesionales para apoyo administrativo en la ejecución de actividades del proyecto enfoque territorial, incluyendo la organización de información, control de entregables, consolidación de reportes en coordinación con la Dirección"/>
    <s v="Enero "/>
    <s v="Enero "/>
    <s v="Enero "/>
    <n v="11.5"/>
    <s v="Meses"/>
    <s v="Contratación directa - Prestación de servicios profesionales "/>
    <s v="Propios - 20 - Ingresos corrientes"/>
    <n v="37782675"/>
    <n v="37782675"/>
    <s v="N/A"/>
    <s v="N/A"/>
    <s v="Sandra Caballero"/>
    <s v="Asesora Dirección general"/>
    <n v="6012220601"/>
    <s v="sandra.caballero@upme.gov.co"/>
    <n v="37782675"/>
    <n v="0"/>
    <n v="0"/>
    <n v="328545"/>
    <n v="0"/>
    <n v="3285450"/>
    <n v="0"/>
    <n v="3285450"/>
    <n v="0"/>
    <n v="3285450"/>
    <n v="0"/>
    <n v="3285450"/>
    <n v="0"/>
    <n v="3285450"/>
    <n v="0"/>
    <n v="3285450"/>
    <n v="0"/>
    <n v="3285450"/>
    <n v="0"/>
    <n v="3285450"/>
    <n v="0"/>
    <n v="3285450"/>
    <n v="0"/>
    <n v="7885080"/>
    <n v="37782675"/>
    <n v="37782675"/>
    <n v="0"/>
    <n v="0"/>
    <s v="Prestar servicios profesionales para apoyo administrativo en la ejecución de actividades del proyecto enfoque territorial, incluyendo la organización de información, control de entregables, consolidación de reportes en coordinación con la Dirección Genera"/>
    <n v="37782675"/>
    <m/>
    <m/>
    <n v="328545"/>
    <m/>
    <n v="3285450"/>
    <m/>
    <n v="3285450"/>
    <m/>
    <n v="3285450"/>
    <m/>
    <n v="3285450"/>
    <m/>
    <n v="3285450"/>
    <m/>
    <n v="3285450"/>
    <m/>
    <n v="3285450"/>
    <m/>
    <n v="3285450"/>
    <m/>
    <n v="3285450"/>
    <m/>
    <n v="7885080"/>
    <m/>
    <m/>
    <n v="37782675"/>
    <n v="37782675"/>
    <n v="0"/>
    <n v="0"/>
    <n v="9826"/>
    <d v="2026-01-07T00:00:00"/>
    <n v="37782675"/>
    <n v="0"/>
    <n v="30226"/>
    <d v="2026-01-28T00:00:00"/>
    <n v="37782675"/>
    <n v="0"/>
    <n v="0"/>
    <s v="RAMIREZ PORRES DANIEL"/>
    <s v="CO1.PCCNTR.8871444"/>
    <n v="37782675"/>
    <m/>
    <m/>
    <m/>
    <n v="109515"/>
    <n v="109515"/>
    <m/>
    <n v="3285450"/>
    <n v="3285450"/>
    <m/>
    <n v="3285450"/>
    <n v="3285450"/>
    <m/>
    <m/>
    <m/>
    <m/>
    <m/>
    <m/>
    <m/>
    <m/>
    <m/>
    <m/>
    <m/>
    <m/>
    <m/>
    <m/>
    <m/>
    <m/>
    <m/>
    <m/>
    <m/>
    <m/>
    <m/>
    <m/>
    <m/>
    <m/>
    <n v="37782675"/>
    <n v="6680415"/>
    <n v="6680415"/>
    <n v="31102260"/>
    <n v="0"/>
  </r>
  <r>
    <x v="0"/>
    <x v="0"/>
    <s v="Fortalecimiento del levantamiento, gestión y apropiación de la información para la planeación del sector minero energético con enfoque territorial nacional"/>
    <s v="Enfoque Territorial"/>
    <s v="Sí"/>
    <s v="Sí"/>
    <n v="68"/>
    <s v="100-2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4 Prestar servicios profesionales para apoyar técnica y estratégicamente a la Unidad de Planeación Minero-Energética – UPME en el desarrollo de la planeación sectorial con enfoque territorial, mediante el análisis político-institucional y socio-terri"/>
    <s v="Enero "/>
    <s v="Enero "/>
    <s v="Enero "/>
    <n v="10"/>
    <s v="Meses"/>
    <s v="Contratación directa - Prestación de servicios profesionales "/>
    <s v="Propios - 20 - Ingresos corrientes"/>
    <n v="100000000"/>
    <n v="100000000"/>
    <s v="N/A"/>
    <s v="N/A"/>
    <s v="Sandra Caballero"/>
    <s v="Asesora Dirección general"/>
    <n v="6012220601"/>
    <s v="sandra.caballero@upme.gov.co"/>
    <n v="100000000"/>
    <n v="0"/>
    <n v="0"/>
    <n v="3333333"/>
    <n v="0"/>
    <n v="10000000"/>
    <n v="0"/>
    <n v="10000000"/>
    <n v="0"/>
    <n v="10000000"/>
    <n v="0"/>
    <n v="10000000"/>
    <n v="0"/>
    <n v="10000000"/>
    <n v="0"/>
    <n v="10000000"/>
    <n v="0"/>
    <n v="10000000"/>
    <n v="0"/>
    <n v="10000000"/>
    <n v="0"/>
    <n v="10000000"/>
    <n v="0"/>
    <n v="6666667"/>
    <n v="100000000"/>
    <n v="100000000"/>
    <n v="0"/>
    <n v="0"/>
    <s v="Prestar servicios profesionales para apoyar técnica y estratégicamente a la Unidad de Planeación Minero-Energética – UPME en el desarrollo de la planeación sectorial con enfoque territorial, mediante el análisis político-institucional y socio-territorial,"/>
    <n v="100000000"/>
    <m/>
    <m/>
    <n v="3333333"/>
    <m/>
    <n v="10000000"/>
    <m/>
    <n v="10000000"/>
    <m/>
    <n v="10000000"/>
    <m/>
    <n v="10000000"/>
    <m/>
    <n v="10000000"/>
    <m/>
    <n v="10000000"/>
    <m/>
    <n v="10000000"/>
    <m/>
    <n v="10000000"/>
    <m/>
    <n v="10000000"/>
    <m/>
    <n v="6666667"/>
    <m/>
    <m/>
    <n v="100000000"/>
    <n v="100000000"/>
    <n v="0"/>
    <n v="0"/>
    <n v="11426"/>
    <d v="2026-01-08T00:00:00"/>
    <n v="100000000"/>
    <n v="0"/>
    <n v="13526"/>
    <d v="2026-01-20T00:00:00"/>
    <n v="100000000"/>
    <n v="0"/>
    <n v="0"/>
    <s v="LENTI ATTILA"/>
    <s v="CO1.PCCNTR.8954980"/>
    <n v="100000000"/>
    <m/>
    <m/>
    <m/>
    <m/>
    <m/>
    <m/>
    <n v="13333333"/>
    <n v="13333333"/>
    <m/>
    <n v="10000000"/>
    <n v="10000000"/>
    <m/>
    <m/>
    <m/>
    <m/>
    <m/>
    <m/>
    <m/>
    <m/>
    <m/>
    <m/>
    <m/>
    <m/>
    <m/>
    <m/>
    <m/>
    <m/>
    <m/>
    <m/>
    <m/>
    <m/>
    <m/>
    <m/>
    <m/>
    <m/>
    <n v="100000000"/>
    <n v="23333333"/>
    <n v="23333333"/>
    <n v="76666667"/>
    <n v="0"/>
  </r>
  <r>
    <x v="0"/>
    <x v="0"/>
    <s v="Fortalecimiento del levantamiento, gestión y apropiación de la información para la planeación del sector minero energético con enfoque territorial nacional"/>
    <s v="Enfoque Territorial"/>
    <s v="Sí"/>
    <s v="Sí"/>
    <s v="Radicado 20261000008453"/>
    <s v="100-2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5 Prestar servicios profesionales para la creación, desarrollo, producción y entrega de contenidos comunicacionales para las actividades de la UPME."/>
    <s v="Enero "/>
    <s v="Enero "/>
    <s v="Enero "/>
    <n v="10"/>
    <s v="Meses"/>
    <s v="Contratación directa - Prestación de servicios profesionales "/>
    <s v="Propios - 20 - Ingresos corrientes"/>
    <n v="40000000"/>
    <n v="40000000"/>
    <s v="N/A"/>
    <s v="N/A"/>
    <s v="Sandra Caballero"/>
    <s v="Asesora Dirección general"/>
    <n v="6012220601"/>
    <s v="sandra.caballero@upme.gov.co"/>
    <n v="0"/>
    <n v="0"/>
    <n v="0"/>
    <n v="0"/>
    <n v="0"/>
    <n v="0"/>
    <n v="0"/>
    <n v="0"/>
    <n v="0"/>
    <n v="0"/>
    <n v="0"/>
    <n v="0"/>
    <n v="40000000"/>
    <n v="0"/>
    <n v="0"/>
    <n v="6666666"/>
    <n v="0"/>
    <n v="6666666"/>
    <n v="0"/>
    <n v="6666666"/>
    <n v="0"/>
    <n v="6666666"/>
    <n v="0"/>
    <n v="13333336"/>
    <n v="40000000"/>
    <n v="40000000"/>
    <n v="0"/>
    <n v="0"/>
    <s v="Prestar servicios profesionales para la creación, desarrollo, producción y entrega de contenidos comunicacionales para las actividades de la UPME."/>
    <m/>
    <m/>
    <m/>
    <m/>
    <m/>
    <m/>
    <m/>
    <m/>
    <m/>
    <m/>
    <m/>
    <m/>
    <n v="40000000"/>
    <m/>
    <m/>
    <n v="6666666"/>
    <m/>
    <n v="6666666"/>
    <m/>
    <n v="6666666"/>
    <m/>
    <n v="6666666"/>
    <m/>
    <n v="13333336"/>
    <m/>
    <m/>
    <n v="40000000"/>
    <n v="40000000"/>
    <n v="0"/>
    <n v="0"/>
    <n v="28226"/>
    <d v="2026-01-14T00:00:00"/>
    <n v="40000000"/>
    <n v="0"/>
    <m/>
    <m/>
    <n v="0"/>
    <n v="40000000"/>
    <n v="400000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2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6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 la Dimensión de Control Interno mediante la ejecución del Plan Anual de Auditorías Internas Independientes, con énfasis en la evaluación de la gestión administrativa de la UPME."/>
    <m/>
    <m/>
    <m/>
    <m/>
    <m/>
    <m/>
    <m/>
    <m/>
    <m/>
    <m/>
    <m/>
    <m/>
    <m/>
    <m/>
    <m/>
    <m/>
    <m/>
    <m/>
    <m/>
    <m/>
    <m/>
    <m/>
    <m/>
    <m/>
    <m/>
    <m/>
    <n v="0"/>
    <n v="0"/>
    <n v="0"/>
    <n v="0"/>
    <m/>
    <m/>
    <m/>
    <n v="0"/>
    <m/>
    <m/>
    <n v="0"/>
    <n v="0"/>
    <n v="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2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7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m/>
    <m/>
    <m/>
    <m/>
    <m/>
    <m/>
    <m/>
    <m/>
    <m/>
    <m/>
    <m/>
    <m/>
    <m/>
    <m/>
    <n v="0"/>
    <n v="0"/>
    <n v="0"/>
    <n v="0"/>
    <m/>
    <m/>
    <m/>
    <n v="0"/>
    <m/>
    <m/>
    <n v="0"/>
    <n v="0"/>
    <n v="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2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8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m/>
    <m/>
    <m/>
    <m/>
    <m/>
    <m/>
    <m/>
    <m/>
    <m/>
    <m/>
    <m/>
    <m/>
    <m/>
    <m/>
    <n v="0"/>
    <n v="0"/>
    <n v="0"/>
    <n v="0"/>
    <m/>
    <m/>
    <m/>
    <n v="0"/>
    <m/>
    <m/>
    <n v="0"/>
    <n v="0"/>
    <n v="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3"/>
    <s v="100-29"/>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9 Prestar servicios profesionales a la Unidad de Planeación Minero-Energética (UPME) para apoyar la gestión y articulación interinstitucional e intersectorial, a través del ejercicio de la secretaría técnica de comités, el fortalecimiento de los proc"/>
    <s v="Enero "/>
    <s v="Enero "/>
    <s v="Enero "/>
    <n v="10"/>
    <s v="Meses"/>
    <s v="Contratación directa - Prestación de servicios profesionales "/>
    <s v="Propios - 20 - Ingresos corrientes"/>
    <n v="110000000"/>
    <n v="110000000"/>
    <s v="N/A"/>
    <s v="N/A"/>
    <s v="Sandra Caballero"/>
    <s v="Asesora Dirección general"/>
    <n v="6012220601"/>
    <s v="sandra.caballero@upme.gov.co"/>
    <n v="110000000"/>
    <n v="0"/>
    <n v="0"/>
    <n v="1466666"/>
    <n v="0"/>
    <n v="11000000"/>
    <n v="0"/>
    <n v="11000000"/>
    <n v="0"/>
    <n v="11000000"/>
    <n v="0"/>
    <n v="11000000"/>
    <n v="0"/>
    <n v="11000000"/>
    <n v="0"/>
    <n v="11000000"/>
    <n v="0"/>
    <n v="11000000"/>
    <n v="0"/>
    <n v="11000000"/>
    <n v="0"/>
    <n v="11000000"/>
    <n v="0"/>
    <n v="9533334"/>
    <n v="110000000"/>
    <n v="110000000"/>
    <n v="0"/>
    <n v="0"/>
    <s v="Prestar servicios profesionales a la Unidad de Planeación Minero-Energética (UPME) para apoyar la gestión y articulación interinstitucional e intersectorial, a través del ejercicio de la secretaría técnica de comités, el fortalecimiento de los procesos de"/>
    <n v="110000000"/>
    <m/>
    <m/>
    <n v="1466666"/>
    <m/>
    <n v="11000000"/>
    <m/>
    <n v="11000000"/>
    <m/>
    <n v="11000000"/>
    <m/>
    <n v="11000000"/>
    <m/>
    <n v="11000000"/>
    <m/>
    <n v="11000000"/>
    <m/>
    <n v="11000000"/>
    <m/>
    <n v="11000000"/>
    <m/>
    <n v="11000000"/>
    <m/>
    <n v="9533334"/>
    <m/>
    <m/>
    <n v="110000000"/>
    <n v="110000000"/>
    <n v="0"/>
    <n v="0"/>
    <n v="10126"/>
    <d v="2026-01-07T00:00:00"/>
    <n v="110000000"/>
    <n v="0"/>
    <n v="23526"/>
    <d v="2026-01-27T00:00:00"/>
    <n v="110000000"/>
    <n v="0"/>
    <n v="0"/>
    <s v="MORENO MENA YUDY SAMIRA"/>
    <s v="CO1.PCCNTR.9088734"/>
    <n v="110000000"/>
    <m/>
    <m/>
    <m/>
    <m/>
    <m/>
    <m/>
    <n v="12466667"/>
    <n v="12466667"/>
    <m/>
    <n v="11000000"/>
    <n v="11000000"/>
    <m/>
    <m/>
    <m/>
    <m/>
    <m/>
    <m/>
    <m/>
    <m/>
    <m/>
    <m/>
    <m/>
    <m/>
    <m/>
    <m/>
    <m/>
    <m/>
    <m/>
    <m/>
    <m/>
    <m/>
    <m/>
    <m/>
    <m/>
    <m/>
    <n v="110000000"/>
    <n v="23466667"/>
    <n v="23466667"/>
    <n v="86533333"/>
    <n v="0"/>
  </r>
  <r>
    <x v="0"/>
    <x v="0"/>
    <s v="Fortalecimiento del levantamiento, gestión y apropiación de la información para la planeación del sector minero energético con enfoque territorial nacional"/>
    <s v="Enfoque Territorial"/>
    <s v="Sí"/>
    <s v="Sí"/>
    <n v="68"/>
    <s v="100-3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30 Prestación de servicios profesionales para apoyar la sistematización de experiencias del proyecto de enfoque territorial, identificando buenas prácticas, cuellos de botella y dificultades en la articulación territorial programados por la UPME."/>
    <s v="Enero "/>
    <s v="Enero "/>
    <s v="Enero "/>
    <n v="10"/>
    <s v="Meses"/>
    <s v="Contratación directa - Prestación de servicios profesionales "/>
    <s v="Propios - 20 - Ingresos corrientes"/>
    <n v="32854500"/>
    <n v="32854500"/>
    <s v="N/A"/>
    <s v="N/A"/>
    <s v="Sandra Caballero"/>
    <s v="Asesora Dirección general"/>
    <n v="6012220601"/>
    <s v="sandra.caballero@upme.gov.co"/>
    <n v="0"/>
    <n v="0"/>
    <n v="0"/>
    <n v="0"/>
    <n v="0"/>
    <n v="0"/>
    <n v="0"/>
    <n v="0"/>
    <n v="0"/>
    <n v="0"/>
    <n v="0"/>
    <n v="0"/>
    <n v="32854500"/>
    <n v="0"/>
    <n v="0"/>
    <n v="0"/>
    <n v="0"/>
    <n v="0"/>
    <n v="0"/>
    <n v="0"/>
    <n v="0"/>
    <n v="0"/>
    <n v="0"/>
    <n v="32854500"/>
    <n v="32854500"/>
    <n v="32854500"/>
    <n v="0"/>
    <n v="0"/>
    <s v="Prestación de servicios profesionales para apoyar la sistematización de experiencias del proyecto de enfoque territorial, identificando buenas prácticas, cuellos de botella y dificultades en la articulación territorial programados por la UPME."/>
    <m/>
    <m/>
    <m/>
    <m/>
    <m/>
    <m/>
    <m/>
    <m/>
    <m/>
    <m/>
    <m/>
    <m/>
    <n v="32854500"/>
    <m/>
    <m/>
    <m/>
    <m/>
    <m/>
    <m/>
    <m/>
    <m/>
    <m/>
    <m/>
    <n v="32854500"/>
    <m/>
    <m/>
    <n v="32854500"/>
    <n v="32854500"/>
    <n v="0"/>
    <n v="0"/>
    <n v="36026"/>
    <d v="2026-01-15T00:00:00"/>
    <n v="32854500"/>
    <n v="0"/>
    <m/>
    <m/>
    <n v="0"/>
    <n v="32854500"/>
    <n v="328545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
    <s v="100-3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31 Prestar servicios de apoyo en la creación y diseño de productos gráficos innovadores para contenido digital e impreso, con el fin de contribuir a la gestión de comunicación interna y externa de la UPME."/>
    <s v="Enero "/>
    <s v="Enero "/>
    <s v="Enero "/>
    <n v="10"/>
    <s v="Meses"/>
    <s v="Contratación directa - Prestación de servicios profesionales "/>
    <s v="Propios - 20 - Ingresos corrientes"/>
    <n v="40000000"/>
    <n v="40000000"/>
    <s v="N/A"/>
    <s v="N/A"/>
    <s v="Sandra Caballero"/>
    <s v="Asesora Dirección general"/>
    <n v="6012220601"/>
    <s v="sandra.caballero@upme.gov.co"/>
    <n v="0"/>
    <n v="0"/>
    <n v="40000000"/>
    <n v="0"/>
    <n v="0"/>
    <n v="2547090"/>
    <n v="0"/>
    <n v="2938950"/>
    <n v="0"/>
    <n v="2938950"/>
    <n v="0"/>
    <n v="2938950"/>
    <n v="0"/>
    <n v="2938950"/>
    <n v="0"/>
    <n v="2938950"/>
    <n v="0"/>
    <n v="2938950"/>
    <n v="0"/>
    <n v="2938950"/>
    <n v="0"/>
    <n v="2938950"/>
    <n v="0"/>
    <n v="13941310"/>
    <n v="40000000"/>
    <n v="40000000"/>
    <n v="0"/>
    <n v="0"/>
    <s v="Prestar servicios de apoyo en la creación y diseño de productos gráficos innovadores para contenido digital e impreso, con el fin de contribuir a la gestión de comunicación interna y externa de la UPME."/>
    <m/>
    <m/>
    <n v="40000000"/>
    <m/>
    <m/>
    <n v="2547090"/>
    <m/>
    <n v="2938950"/>
    <m/>
    <n v="2938950"/>
    <m/>
    <n v="2938950"/>
    <m/>
    <n v="2938950"/>
    <m/>
    <n v="2938950"/>
    <m/>
    <n v="2938950"/>
    <m/>
    <n v="2938950"/>
    <m/>
    <n v="2938950"/>
    <m/>
    <n v="13941310"/>
    <m/>
    <m/>
    <n v="40000000"/>
    <n v="40000000"/>
    <n v="0"/>
    <n v="0"/>
    <n v="59626"/>
    <d v="2026-01-23T00:00:00"/>
    <n v="40000000"/>
    <n v="0"/>
    <n v="50726"/>
    <d v="2026-02-09T00:00:00"/>
    <n v="29389500"/>
    <n v="10610500"/>
    <n v="10610500"/>
    <s v="AVILA SANTAMARIA JUAN ANGEL"/>
    <s v="CO1.PCCNTR.9288243"/>
    <m/>
    <m/>
    <m/>
    <n v="29389500"/>
    <m/>
    <m/>
    <m/>
    <n v="2057265"/>
    <n v="2057265"/>
    <m/>
    <n v="2938950"/>
    <n v="2938950"/>
    <m/>
    <m/>
    <m/>
    <m/>
    <m/>
    <m/>
    <m/>
    <m/>
    <m/>
    <m/>
    <m/>
    <m/>
    <m/>
    <m/>
    <m/>
    <m/>
    <m/>
    <m/>
    <m/>
    <m/>
    <m/>
    <m/>
    <m/>
    <m/>
    <n v="29389500"/>
    <n v="4996215"/>
    <n v="4996215"/>
    <n v="24393285"/>
    <n v="0"/>
  </r>
  <r>
    <x v="0"/>
    <x v="0"/>
    <s v="Fortalecimiento del levantamiento, gestión y apropiación de la información para la planeación del sector minero energético con enfoque territorial nacional"/>
    <s v="Enfoque Territorial"/>
    <s v="Sí"/>
    <s v="Sí"/>
    <s v="Radicado 20261110012353"/>
    <s v="100-32"/>
    <s v="Incluir el uso de las particularidades propias de cada territorio en la planeación minero energética."/>
    <s v="Documentos Metodológicos"/>
    <s v="Identificar e incorporar variables sociales, ambientales y territoriales en los documentos de planeación minero energética."/>
    <n v="78111502"/>
    <s v="C-2106-1900-10-53105E-2106005-02"/>
    <x v="3"/>
    <s v="100-32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77196710"/>
    <n v="77196710"/>
    <s v="N/A"/>
    <s v="N/A"/>
    <s v="Sandra Caballero"/>
    <s v="Asesora Dirección general"/>
    <n v="6012220601"/>
    <s v="sandra.caballero@upme.gov.co"/>
    <n v="77196710"/>
    <n v="0"/>
    <n v="0"/>
    <n v="7719671"/>
    <n v="0"/>
    <n v="7719671"/>
    <n v="0"/>
    <n v="7719671"/>
    <n v="0"/>
    <n v="7719671"/>
    <n v="0"/>
    <n v="7719671"/>
    <n v="0"/>
    <n v="7719671"/>
    <n v="0"/>
    <n v="7719671"/>
    <n v="0"/>
    <n v="7719671"/>
    <n v="0"/>
    <n v="7719671"/>
    <n v="0"/>
    <n v="7719671"/>
    <n v="0"/>
    <n v="0"/>
    <n v="77196710"/>
    <n v="77196710"/>
    <n v="0"/>
    <n v="0"/>
    <s v="Adquirir los servicios necesarios para garantizar el desplazamiento de servidores públicos y contratistas de la UPME a los eventos y espacios institucionales de planeación minero energética."/>
    <n v="77196710"/>
    <m/>
    <m/>
    <n v="7719671"/>
    <m/>
    <n v="7719671"/>
    <m/>
    <n v="7719671"/>
    <m/>
    <n v="7719671"/>
    <m/>
    <n v="7719671"/>
    <m/>
    <n v="7719671"/>
    <m/>
    <n v="7719671"/>
    <m/>
    <n v="7719671"/>
    <m/>
    <n v="7719671"/>
    <m/>
    <n v="7719671"/>
    <m/>
    <m/>
    <m/>
    <m/>
    <n v="77196710"/>
    <n v="77196710"/>
    <n v="0"/>
    <n v="0"/>
    <n v="38826"/>
    <d v="2026-01-15T00:00:00"/>
    <n v="77196710"/>
    <n v="0"/>
    <n v="20326"/>
    <d v="2026-01-26T00:00:00"/>
    <n v="77196710"/>
    <n v="0"/>
    <n v="0"/>
    <s v="FESTIVAL TOURS S.A.S"/>
    <s v="CO1.PCCNTR.9020125"/>
    <n v="77196710"/>
    <m/>
    <m/>
    <m/>
    <m/>
    <m/>
    <m/>
    <n v="6354375"/>
    <n v="6354375"/>
    <m/>
    <n v="17911849"/>
    <n v="17911849"/>
    <m/>
    <m/>
    <m/>
    <m/>
    <m/>
    <m/>
    <m/>
    <m/>
    <m/>
    <m/>
    <m/>
    <m/>
    <m/>
    <m/>
    <m/>
    <m/>
    <m/>
    <m/>
    <m/>
    <m/>
    <m/>
    <m/>
    <m/>
    <m/>
    <n v="77196710"/>
    <n v="24266224"/>
    <n v="24266224"/>
    <n v="52930486"/>
    <n v="0"/>
  </r>
  <r>
    <x v="0"/>
    <x v="0"/>
    <s v="Fortalecimiento del levantamiento, gestión y apropiación de la información para la planeación del sector minero energético con enfoque territorial nacional"/>
    <s v="Enfoque Territorial"/>
    <s v="No"/>
    <s v="Sí"/>
    <n v="68"/>
    <s v="100-33"/>
    <s v="Incluir el uso de las particularidades propias de cada territorio en la planeación minero energética."/>
    <s v="Documentos Metodológicos"/>
    <s v="Identificar e incorporar variables sociales, ambientales y territoriales en los documentos de planeación minero energética."/>
    <s v="N/A"/>
    <s v="C-2106-1900-10-53105E-2106005-02"/>
    <x v="4"/>
    <s v="100-33 Viáticos o gastos de desplazamiento"/>
    <s v="N/A"/>
    <s v="N/A"/>
    <s v="N/A"/>
    <s v="N/A"/>
    <s v="N/A"/>
    <s v="N/A"/>
    <s v="Propios - 20 - Ingresos corrientes"/>
    <n v="14153641"/>
    <n v="14153641"/>
    <s v="N/A"/>
    <s v="N/A"/>
    <s v="Sandra Caballero"/>
    <s v="Asesora Dirección general"/>
    <n v="6012220601"/>
    <s v="sandra.caballero@upme.gov.co"/>
    <n v="0"/>
    <n v="0"/>
    <n v="0"/>
    <n v="0"/>
    <n v="14153641"/>
    <n v="1489857"/>
    <n v="0"/>
    <n v="1489857"/>
    <n v="0"/>
    <n v="1489857"/>
    <n v="0"/>
    <n v="1489857"/>
    <n v="0"/>
    <n v="1489857"/>
    <n v="0"/>
    <n v="1489857"/>
    <n v="0"/>
    <n v="1489857"/>
    <n v="0"/>
    <n v="1489857"/>
    <n v="0"/>
    <n v="1489857"/>
    <n v="0"/>
    <n v="744928"/>
    <n v="14153641"/>
    <n v="14153641"/>
    <n v="0"/>
    <n v="0"/>
    <s v="Viáticos o gastos de desplazamiento"/>
    <m/>
    <m/>
    <m/>
    <m/>
    <n v="14153641"/>
    <n v="1489857"/>
    <m/>
    <n v="1489857"/>
    <m/>
    <n v="1489857"/>
    <m/>
    <n v="1489857"/>
    <m/>
    <n v="1489857"/>
    <m/>
    <n v="1489857"/>
    <m/>
    <n v="1489857"/>
    <m/>
    <n v="1489857"/>
    <m/>
    <n v="1489857"/>
    <m/>
    <n v="744928"/>
    <m/>
    <m/>
    <n v="14153641"/>
    <n v="14153641"/>
    <n v="0"/>
    <n v="0"/>
    <n v="37426"/>
    <d v="2026-01-15T00:00:00"/>
    <n v="14153641"/>
    <n v="0"/>
    <n v="67726.737259999994"/>
    <d v="2026-04-07T00:00:00"/>
    <n v="1108840"/>
    <n v="13044801"/>
    <n v="13044801"/>
    <s v="CASTILLA ACEVEDO JOSE FERNANDO"/>
    <m/>
    <m/>
    <m/>
    <m/>
    <m/>
    <m/>
    <m/>
    <m/>
    <m/>
    <m/>
    <n v="1108840"/>
    <m/>
    <m/>
    <m/>
    <m/>
    <m/>
    <m/>
    <m/>
    <m/>
    <m/>
    <m/>
    <m/>
    <m/>
    <m/>
    <m/>
    <m/>
    <m/>
    <m/>
    <m/>
    <m/>
    <m/>
    <m/>
    <m/>
    <m/>
    <m/>
    <m/>
    <m/>
    <n v="1108840"/>
    <n v="0"/>
    <n v="0"/>
    <n v="1108840"/>
    <n v="0"/>
  </r>
  <r>
    <x v="0"/>
    <x v="0"/>
    <s v="Fortalecimiento del levantamiento, gestión y apropiación de la información para la planeación del sector minero energético con enfoque territorial nacional"/>
    <s v="Enfoque Territorial"/>
    <s v="No"/>
    <s v="Sí"/>
    <n v="68"/>
    <s v="100-34"/>
    <s v="Incluir el uso de las particularidades propias de cada territorio en la planeación minero energética."/>
    <s v="Documentos Metodológicos"/>
    <s v="Definir e implementar lineamientos articulados de gestión institucional con enfoque territorial ambiental y social."/>
    <s v="N/A"/>
    <s v="C-2106-1900-10-53105E-2106005-02"/>
    <x v="4"/>
    <s v="100-34 Viáticos o gastos de desplazamiento"/>
    <s v="N/A"/>
    <s v="N/A"/>
    <s v="N/A"/>
    <s v="N/A"/>
    <s v="N/A"/>
    <s v="N/A"/>
    <s v="Propios - 20 - Ingresos corrientes"/>
    <n v="16600000"/>
    <n v="16600000"/>
    <s v="N/A"/>
    <s v="N/A"/>
    <s v="Sandra Caballero"/>
    <s v="Asesora Dirección general"/>
    <n v="6012220601"/>
    <s v="sandra.caballero@upme.gov.co"/>
    <n v="0"/>
    <n v="0"/>
    <n v="0"/>
    <n v="0"/>
    <n v="16600000"/>
    <n v="1660000"/>
    <n v="0"/>
    <n v="1660000"/>
    <n v="0"/>
    <n v="1660000"/>
    <n v="0"/>
    <n v="1660000"/>
    <n v="0"/>
    <n v="1660000"/>
    <n v="0"/>
    <n v="1660000"/>
    <n v="0"/>
    <n v="1660000"/>
    <n v="0"/>
    <n v="1660000"/>
    <n v="0"/>
    <n v="1660000"/>
    <n v="0"/>
    <n v="1660000"/>
    <n v="16600000"/>
    <n v="16600000"/>
    <n v="0"/>
    <n v="0"/>
    <s v="Viáticos o gastos de desplazamiento"/>
    <m/>
    <m/>
    <m/>
    <m/>
    <n v="16600000"/>
    <n v="1660000"/>
    <m/>
    <n v="1660000"/>
    <m/>
    <n v="1660000"/>
    <m/>
    <n v="1660000"/>
    <m/>
    <n v="1660000"/>
    <m/>
    <n v="1660000"/>
    <m/>
    <n v="1660000"/>
    <m/>
    <n v="1660000"/>
    <m/>
    <n v="1660000"/>
    <m/>
    <n v="1660000"/>
    <m/>
    <m/>
    <n v="16600000"/>
    <n v="16600000"/>
    <n v="0"/>
    <n v="0"/>
    <n v="37426"/>
    <d v="2026-01-15T00:00:00"/>
    <n v="16600000"/>
    <n v="0"/>
    <m/>
    <m/>
    <n v="0"/>
    <n v="16600000"/>
    <n v="166000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35"/>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5 Prestar servicios profesionales para el diseño, implementación y seguimiento de estrategias de educación comunitaria y participación ciudadana, con un enfoque de derechos humanos y diferencial, para el fortalecimiento de la relación entre la UPME y"/>
    <s v="Enero "/>
    <s v="Enero "/>
    <s v="Enero "/>
    <n v="10.5"/>
    <s v="Meses"/>
    <s v="Contratación régimen especial (con ofertas)  - Régimen especial"/>
    <s v="Propios - 20 - Ingresos corrientes"/>
    <n v="42250000"/>
    <n v="42250000"/>
    <s v="N/A"/>
    <s v="N/A"/>
    <s v="Sandra Caballero"/>
    <s v="Asesora Dirección general"/>
    <n v="6012220601"/>
    <s v="sandra.caballero@upme.gov.co"/>
    <n v="0"/>
    <n v="0"/>
    <n v="42250000"/>
    <n v="0"/>
    <n v="0"/>
    <n v="4514125"/>
    <n v="0"/>
    <n v="5416950"/>
    <n v="0"/>
    <n v="5416950"/>
    <n v="0"/>
    <n v="5416950"/>
    <n v="0"/>
    <n v="5416950"/>
    <n v="0"/>
    <n v="5416950"/>
    <n v="0"/>
    <n v="5416950"/>
    <n v="0"/>
    <n v="5234175"/>
    <n v="0"/>
    <n v="0"/>
    <n v="0"/>
    <n v="0"/>
    <n v="42250000"/>
    <n v="42250000"/>
    <n v="0"/>
    <n v="0"/>
    <s v="Prestar servicios profesionales para el diseño, implementación y seguimiento de estrategias de educación comunitaria y participación ciudadana, con un enfoque de derechos humanos y diferencial, para el fortalecimiento de la relación entre la UPME y las co"/>
    <m/>
    <m/>
    <n v="42250000"/>
    <m/>
    <m/>
    <n v="4514125"/>
    <m/>
    <n v="5416950"/>
    <m/>
    <n v="5416950"/>
    <m/>
    <n v="5416950"/>
    <m/>
    <n v="5416950"/>
    <m/>
    <n v="5416950"/>
    <m/>
    <n v="5416950"/>
    <m/>
    <n v="5234175"/>
    <m/>
    <m/>
    <m/>
    <m/>
    <m/>
    <m/>
    <n v="42250000"/>
    <n v="42250000"/>
    <n v="0"/>
    <n v="0"/>
    <n v="43926"/>
    <d v="2026-01-17T00:00:00"/>
    <n v="42250000"/>
    <n v="0"/>
    <n v="50026"/>
    <d v="2026-02-09T00:00:00"/>
    <n v="42250000"/>
    <n v="0"/>
    <n v="0"/>
    <s v="BERNAL OLAYA SANDRA BIBIANA"/>
    <s v="CO1.PCCNTR.9296056"/>
    <m/>
    <m/>
    <m/>
    <n v="42250000"/>
    <m/>
    <m/>
    <m/>
    <m/>
    <m/>
    <m/>
    <n v="5416950"/>
    <n v="5416950"/>
    <m/>
    <m/>
    <m/>
    <m/>
    <m/>
    <m/>
    <m/>
    <m/>
    <m/>
    <m/>
    <m/>
    <m/>
    <m/>
    <m/>
    <m/>
    <m/>
    <m/>
    <m/>
    <m/>
    <m/>
    <m/>
    <m/>
    <m/>
    <m/>
    <n v="42250000"/>
    <n v="5416950"/>
    <n v="5416950"/>
    <n v="36833050"/>
    <n v="0"/>
  </r>
  <r>
    <x v="0"/>
    <x v="0"/>
    <s v="Fortalecimiento del levantamiento, gestión y apropiación de la información para la planeación del sector minero energético con enfoque territorial nacional"/>
    <s v="Enfoque Territorial"/>
    <s v="Sí"/>
    <s v="Sí"/>
    <n v="4"/>
    <s v="100-36"/>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6 Prestar servicios profesionales para analizar la información ambiental vinculada a proyectos de energía renovable, identificando factores críticos y oportunidades de mejora en la gestión institucional, formular recomendaciones técnicas y la elabora"/>
    <s v="Enero "/>
    <s v="Enero "/>
    <s v="Enero "/>
    <n v="10"/>
    <s v="Meses"/>
    <s v="Contratación directa - Prestación de servicios profesionales "/>
    <s v="Propios - 20 - Ingresos corrientes"/>
    <n v="67000000"/>
    <n v="67000000"/>
    <s v="N/A"/>
    <s v="N/A"/>
    <s v="Sandra Caballero"/>
    <s v="Asesora Dirección general"/>
    <n v="6012220601"/>
    <s v="sandra.caballero@upme.gov.co"/>
    <n v="0"/>
    <n v="0"/>
    <n v="67000000"/>
    <n v="0"/>
    <n v="0"/>
    <n v="2737875"/>
    <n v="0"/>
    <n v="3285450"/>
    <n v="0"/>
    <n v="3285450"/>
    <n v="0"/>
    <n v="3285450"/>
    <n v="0"/>
    <n v="3285450"/>
    <n v="0"/>
    <n v="3285450"/>
    <n v="0"/>
    <n v="3285450"/>
    <n v="0"/>
    <n v="3285450"/>
    <n v="0"/>
    <n v="3285450"/>
    <n v="0"/>
    <n v="37978525"/>
    <n v="67000000"/>
    <n v="67000000"/>
    <n v="0"/>
    <n v="0"/>
    <s v="Prestar servicios profesionales para analizar la información ambiental vinculada a proyectos de energía renovable, identificando factores críticos y oportunidades de mejora en la gestión institucional, formular recomendaciones técnicas y la elaboración de"/>
    <m/>
    <m/>
    <n v="67000000"/>
    <m/>
    <m/>
    <n v="2737875"/>
    <m/>
    <n v="3285450"/>
    <m/>
    <n v="3285450"/>
    <m/>
    <n v="3285450"/>
    <m/>
    <n v="3285450"/>
    <m/>
    <n v="3285450"/>
    <m/>
    <n v="3285450"/>
    <m/>
    <n v="3285450"/>
    <m/>
    <n v="3285450"/>
    <m/>
    <n v="37978525"/>
    <m/>
    <m/>
    <n v="67000000"/>
    <n v="67000000"/>
    <n v="0"/>
    <n v="0"/>
    <n v="50826"/>
    <d v="2026-01-20T00:00:00"/>
    <n v="67000000"/>
    <n v="0"/>
    <n v="57626"/>
    <d v="2026-02-10T00:00:00"/>
    <n v="32854500"/>
    <n v="34145500"/>
    <n v="34145500"/>
    <s v="JIMENEZ SANCHEZ MILEIDY JULIETH"/>
    <s v="CO1.PCCNTR.9309609"/>
    <m/>
    <m/>
    <m/>
    <n v="32854500"/>
    <m/>
    <m/>
    <m/>
    <n v="2190300"/>
    <n v="2190300"/>
    <m/>
    <n v="3285450"/>
    <n v="3285450"/>
    <m/>
    <m/>
    <m/>
    <m/>
    <m/>
    <m/>
    <m/>
    <m/>
    <m/>
    <m/>
    <m/>
    <m/>
    <m/>
    <m/>
    <m/>
    <m/>
    <m/>
    <m/>
    <m/>
    <m/>
    <m/>
    <m/>
    <m/>
    <m/>
    <n v="32854500"/>
    <n v="5475750"/>
    <n v="5475750"/>
    <n v="27378750"/>
    <n v="0"/>
  </r>
  <r>
    <x v="0"/>
    <x v="0"/>
    <s v="Fortalecimiento del levantamiento, gestión y apropiación de la información para la planeación del sector minero energético con enfoque territorial nacional"/>
    <s v="Enfoque Territorial"/>
    <s v="Sí"/>
    <s v="Sí"/>
    <n v="68"/>
    <s v="100-3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7 Prestar servicios profesionales para apoyar la identificación, análisis y aplicabilidad de variables ambientales, territoriales y de riesgo socioambiental para la planeación minero energética en los territorios priorizados. Adicionalmente, contribu"/>
    <s v="Enero "/>
    <s v="Enero "/>
    <s v="Enero "/>
    <n v="11"/>
    <s v="Meses"/>
    <s v="Contratación directa - Prestación de servicios profesionales "/>
    <s v="Propios - 20 - Ingresos corrientes"/>
    <n v="81400000"/>
    <n v="81400000"/>
    <s v="N/A"/>
    <s v="N/A"/>
    <s v="Sandra Caballero"/>
    <s v="Asesora Dirección general"/>
    <n v="6012220601"/>
    <s v="sandra.caballero@upme.gov.co"/>
    <n v="0"/>
    <n v="0"/>
    <n v="55000000"/>
    <n v="0"/>
    <n v="0"/>
    <n v="7200000"/>
    <n v="0"/>
    <n v="8000000"/>
    <n v="0"/>
    <n v="8000000"/>
    <n v="26400000"/>
    <n v="8000000"/>
    <n v="0"/>
    <n v="8000000"/>
    <n v="0"/>
    <n v="8000000"/>
    <n v="0"/>
    <n v="7800000"/>
    <n v="0"/>
    <n v="0"/>
    <n v="0"/>
    <n v="0"/>
    <n v="0"/>
    <n v="26400000"/>
    <n v="81400000"/>
    <n v="81400000"/>
    <n v="0"/>
    <n v="0"/>
    <s v="Prestar servicios profesionales para apoyar la identificación, análisis y aplicabilidad de variables ambientales, territoriales y de riesgo socioambiental para la planeación minero energética en los territorios priorizados. Adicionalmente, contribuir en l"/>
    <m/>
    <m/>
    <n v="55000000"/>
    <m/>
    <m/>
    <n v="7200000"/>
    <m/>
    <n v="8000000"/>
    <m/>
    <n v="8000000"/>
    <n v="26400000"/>
    <n v="8000000"/>
    <m/>
    <n v="8000000"/>
    <m/>
    <n v="8000000"/>
    <m/>
    <n v="7800000"/>
    <m/>
    <m/>
    <m/>
    <m/>
    <m/>
    <n v="26400000"/>
    <m/>
    <m/>
    <n v="81400000"/>
    <n v="81400000"/>
    <n v="0"/>
    <n v="0"/>
    <n v="38426"/>
    <d v="2026-01-15T00:00:00"/>
    <n v="81400000"/>
    <n v="0"/>
    <n v="52626"/>
    <d v="2026-02-10T00:00:00"/>
    <n v="81400000"/>
    <n v="0"/>
    <n v="0"/>
    <s v="SANABRIA HERNANDEZ SANDRA PATRICIA"/>
    <s v="CO1.PCCNTR.9259628"/>
    <m/>
    <m/>
    <m/>
    <n v="81400000"/>
    <m/>
    <m/>
    <m/>
    <m/>
    <m/>
    <m/>
    <n v="13333333"/>
    <n v="13333333"/>
    <m/>
    <m/>
    <m/>
    <m/>
    <m/>
    <m/>
    <m/>
    <m/>
    <m/>
    <m/>
    <m/>
    <m/>
    <m/>
    <m/>
    <m/>
    <m/>
    <m/>
    <m/>
    <m/>
    <m/>
    <m/>
    <m/>
    <m/>
    <m/>
    <n v="81400000"/>
    <n v="13333333"/>
    <n v="13333333"/>
    <n v="68066667"/>
    <n v="0"/>
  </r>
  <r>
    <x v="0"/>
    <x v="0"/>
    <s v="Fortalecimiento del levantamiento, gestión y apropiación de la información para la planeación del sector minero energético con enfoque territorial nacional"/>
    <s v="Enfoque Territorial"/>
    <s v="Sí"/>
    <s v="Sí"/>
    <n v="68"/>
    <s v="100-3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8 Prestar servicios profesionales para apoyar la evaluación, identificación y estructuración de acciones técnicas validadas para el acompañamiento permanente a entidades del orden nacional y regional, en zonas priorizadas con conflictos sociales para"/>
    <s v="Enero "/>
    <s v="Enero "/>
    <s v="Enero "/>
    <n v="10"/>
    <s v="Meses"/>
    <s v="Contratación directa - Prestación de servicios profesionales "/>
    <s v="Propios - 20 - Ingresos corrientes"/>
    <n v="55000000"/>
    <n v="55000000"/>
    <s v="N/A"/>
    <s v="N/A"/>
    <s v="Sandra Caballero"/>
    <s v="Asesora Dirección general"/>
    <n v="6012220601"/>
    <s v="sandra.caballero@upme.gov.co"/>
    <n v="0"/>
    <n v="0"/>
    <n v="55000000"/>
    <n v="0"/>
    <n v="0"/>
    <n v="4583333"/>
    <n v="0"/>
    <n v="5500000"/>
    <n v="0"/>
    <n v="5500000"/>
    <n v="0"/>
    <n v="5500000"/>
    <n v="0"/>
    <n v="5500000"/>
    <n v="0"/>
    <n v="5500000"/>
    <n v="0"/>
    <n v="5500000"/>
    <n v="0"/>
    <n v="5500000"/>
    <n v="0"/>
    <n v="5500000"/>
    <n v="0"/>
    <n v="6416667"/>
    <n v="55000000"/>
    <n v="55000000"/>
    <n v="0"/>
    <n v="0"/>
    <s v="Prestar servicios profesionales para apoyar la evaluación, identificación y estructuración de acciones técnicas validadas para el acompañamiento permanente a entidades del orden nacional y regional, en zonas priorizadas con conflictos sociales para la con"/>
    <m/>
    <m/>
    <n v="55000000"/>
    <m/>
    <m/>
    <n v="4583333"/>
    <m/>
    <n v="5500000"/>
    <m/>
    <n v="5500000"/>
    <m/>
    <n v="5500000"/>
    <m/>
    <n v="5500000"/>
    <m/>
    <n v="5500000"/>
    <m/>
    <n v="5500000"/>
    <m/>
    <n v="5500000"/>
    <m/>
    <n v="5500000"/>
    <m/>
    <n v="6416667"/>
    <m/>
    <m/>
    <n v="55000000"/>
    <n v="55000000"/>
    <n v="0"/>
    <n v="0"/>
    <n v="38226"/>
    <d v="2026-01-15T00:00:00"/>
    <n v="55000000"/>
    <n v="0"/>
    <n v="46526"/>
    <d v="2026-02-05T00:00:00"/>
    <n v="55000000"/>
    <n v="0"/>
    <n v="0"/>
    <s v="CASTILLO RINCON NICOLAS ALONSO"/>
    <s v="CO1.PCCNTR.9255056"/>
    <m/>
    <m/>
    <m/>
    <n v="55000000"/>
    <m/>
    <m/>
    <m/>
    <n v="4583333"/>
    <n v="4583333"/>
    <m/>
    <n v="5500000"/>
    <n v="5500000"/>
    <m/>
    <m/>
    <m/>
    <m/>
    <m/>
    <m/>
    <m/>
    <m/>
    <m/>
    <m/>
    <m/>
    <m/>
    <m/>
    <m/>
    <m/>
    <m/>
    <m/>
    <m/>
    <m/>
    <m/>
    <m/>
    <m/>
    <m/>
    <m/>
    <n v="55000000"/>
    <n v="10083333"/>
    <n v="10083333"/>
    <n v="44916667"/>
    <n v="0"/>
  </r>
  <r>
    <x v="0"/>
    <x v="0"/>
    <s v="Fortalecimiento del levantamiento, gestión y apropiación de la información para la planeación del sector minero energético con enfoque territorial nacional"/>
    <s v="Enfoque Territorial"/>
    <s v="Sí"/>
    <s v="Sí"/>
    <n v="2"/>
    <s v="100-3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9 Prestar servicios profesionales para apoyar las convocatorias, socializaciones, análisis de información y la elaboración de informes técnicos requeridos, que contribuyan a la gestión y al fortalecimiento de la ejecución del proyecto de Enfoque Terr"/>
    <s v="Enero "/>
    <s v="Enero "/>
    <s v="Enero "/>
    <n v="11"/>
    <s v="Meses"/>
    <s v="Contratación directa - Prestación de servicios profesionales "/>
    <s v="Propios - 20 - Ingresos corrientes"/>
    <n v="42406220"/>
    <n v="42406220"/>
    <s v="N/A"/>
    <s v="N/A"/>
    <s v="Sandra Caballero"/>
    <s v="Asesora Dirección general"/>
    <n v="6012220601"/>
    <s v="sandra.caballero@upme.gov.co"/>
    <n v="0"/>
    <n v="0"/>
    <n v="42406220"/>
    <n v="0"/>
    <n v="0"/>
    <n v="5000000"/>
    <n v="0"/>
    <n v="6000000"/>
    <n v="0"/>
    <n v="6000000"/>
    <n v="0"/>
    <n v="6000000"/>
    <n v="0"/>
    <n v="6000000"/>
    <n v="0"/>
    <n v="6000000"/>
    <n v="0"/>
    <n v="6000000"/>
    <n v="0"/>
    <n v="1406220"/>
    <n v="0"/>
    <n v="0"/>
    <n v="0"/>
    <n v="0"/>
    <n v="42406220"/>
    <n v="42406220"/>
    <n v="0"/>
    <n v="0"/>
    <s v="Prestar servicios profesionales para apoyar las convocatorias, socializaciones, análisis de información y la elaboración de informes técnicos requeridos, que contribuyan a la gestión y al fortalecimiento de la ejecución del proyecto de Enfoque Territorial"/>
    <m/>
    <m/>
    <n v="42406220"/>
    <m/>
    <m/>
    <n v="5000000"/>
    <m/>
    <n v="6000000"/>
    <m/>
    <n v="6000000"/>
    <m/>
    <n v="6000000"/>
    <m/>
    <n v="6000000"/>
    <m/>
    <n v="6000000"/>
    <m/>
    <n v="6000000"/>
    <m/>
    <n v="1406220"/>
    <m/>
    <m/>
    <m/>
    <m/>
    <m/>
    <m/>
    <n v="42406220"/>
    <n v="42406220"/>
    <n v="0"/>
    <n v="0"/>
    <n v="27026"/>
    <d v="2026-01-14T00:00:00"/>
    <n v="42406220"/>
    <n v="0"/>
    <n v="60326"/>
    <d v="2026-02-17T00:00:00"/>
    <n v="42406220"/>
    <n v="0"/>
    <n v="0"/>
    <s v="GARZON VILLEGAS NATALIA ANDREA"/>
    <s v="CO1.PCCNTR.9214784"/>
    <m/>
    <m/>
    <m/>
    <n v="42406220"/>
    <m/>
    <m/>
    <m/>
    <m/>
    <m/>
    <m/>
    <n v="6000000"/>
    <n v="6000000"/>
    <m/>
    <m/>
    <m/>
    <m/>
    <m/>
    <m/>
    <m/>
    <m/>
    <m/>
    <m/>
    <m/>
    <m/>
    <m/>
    <m/>
    <m/>
    <m/>
    <m/>
    <m/>
    <m/>
    <m/>
    <m/>
    <m/>
    <m/>
    <m/>
    <n v="42406220"/>
    <n v="6000000"/>
    <n v="6000000"/>
    <n v="36406220"/>
    <n v="0"/>
  </r>
  <r>
    <x v="0"/>
    <x v="0"/>
    <s v="Fortalecimiento del levantamiento, gestión y apropiación de la información para la planeación del sector minero energético con enfoque territorial nacional"/>
    <s v="Enfoque Territorial"/>
    <s v="Sí"/>
    <s v="Sí"/>
    <n v="68"/>
    <s v="100-40"/>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0 Prestación de servicios profesionales para la identificación y evaluación de variables ambientales que inciden en la planeación y ejecución de proyectos de energías renovables que tengan relación con entidades nacionales y regionales."/>
    <s v="Enero "/>
    <s v="Enero "/>
    <s v="Enero "/>
    <n v="10"/>
    <s v="Meses"/>
    <s v="Contratación régimen especial (con ofertas)  - Régimen especial"/>
    <s v="Propios - 20 - Ingresos corrientes"/>
    <n v="55000000"/>
    <n v="55000000"/>
    <s v="N/A"/>
    <s v="N/A"/>
    <s v="Sandra Caballero"/>
    <s v="Asesora Dirección general"/>
    <n v="6012220601"/>
    <s v="sandra.caballero@upme.gov.co"/>
    <n v="0"/>
    <n v="0"/>
    <n v="55000000"/>
    <n v="0"/>
    <n v="0"/>
    <n v="4583333"/>
    <n v="0"/>
    <n v="5500000"/>
    <n v="0"/>
    <n v="5500000"/>
    <n v="0"/>
    <n v="5500000"/>
    <n v="0"/>
    <n v="5500000"/>
    <n v="0"/>
    <n v="5500000"/>
    <n v="0"/>
    <n v="5500000"/>
    <n v="0"/>
    <n v="5500000"/>
    <n v="0"/>
    <n v="5500000"/>
    <n v="0"/>
    <n v="6416667"/>
    <n v="55000000"/>
    <n v="55000000"/>
    <n v="0"/>
    <n v="0"/>
    <s v="Prestación de servicios profesionales para la identificación y evaluación de variables ambientales que inciden en la planeación y ejecución de proyectos de energías renovables que tengan relación con entidades nacionales y regionales."/>
    <m/>
    <m/>
    <n v="55000000"/>
    <m/>
    <m/>
    <n v="4583333"/>
    <m/>
    <n v="5500000"/>
    <m/>
    <n v="5500000"/>
    <m/>
    <n v="5500000"/>
    <m/>
    <n v="5500000"/>
    <m/>
    <n v="5500000"/>
    <m/>
    <n v="5500000"/>
    <m/>
    <n v="5500000"/>
    <m/>
    <n v="5500000"/>
    <m/>
    <n v="6416667"/>
    <m/>
    <m/>
    <n v="55000000"/>
    <n v="55000000"/>
    <n v="0"/>
    <n v="0"/>
    <n v="37726"/>
    <d v="2026-01-15T00:00:00"/>
    <n v="55000000"/>
    <n v="0"/>
    <m/>
    <m/>
    <n v="0"/>
    <n v="55000000"/>
    <n v="550000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41"/>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1 Prestar los servicios profesionales para apoyar las convocatorias, socializaciones y mesas de trabajo de los proyectos de energías renovables y convencionales, con enfoque social territorial."/>
    <s v="Enero "/>
    <s v="Enero "/>
    <s v="Enero "/>
    <n v="10"/>
    <s v="Meses"/>
    <s v="Contratación régimen especial (con ofertas)  - Régimen especial"/>
    <s v="Propios - 20 - Ingresos corrientes"/>
    <n v="50000000"/>
    <n v="50000000"/>
    <s v="N/A"/>
    <s v="N/A"/>
    <s v="Sandra Caballero"/>
    <s v="Asesora Dirección general"/>
    <n v="6012220601"/>
    <s v="sandra.caballero@upme.gov.co"/>
    <n v="0"/>
    <n v="0"/>
    <n v="50000000"/>
    <n v="0"/>
    <n v="0"/>
    <n v="2956905"/>
    <n v="0"/>
    <n v="3285450"/>
    <n v="0"/>
    <n v="3285450"/>
    <n v="0"/>
    <n v="3285450"/>
    <n v="0"/>
    <n v="3285450"/>
    <n v="0"/>
    <n v="3285450"/>
    <n v="0"/>
    <n v="3285450"/>
    <n v="0"/>
    <n v="3285450"/>
    <n v="0"/>
    <n v="3285450"/>
    <n v="0"/>
    <n v="20759495"/>
    <n v="50000000"/>
    <n v="50000000"/>
    <n v="0"/>
    <n v="0"/>
    <s v="Prestar los servicios profesionales para apoyar las convocatorias, socializaciones y mesas de trabajo de los proyectos de energías renovables y convencionales, con enfoque social territorial."/>
    <m/>
    <m/>
    <n v="50000000"/>
    <m/>
    <m/>
    <n v="2956905"/>
    <m/>
    <n v="3285450"/>
    <m/>
    <n v="3285450"/>
    <m/>
    <n v="3285450"/>
    <m/>
    <n v="3285450"/>
    <m/>
    <n v="3285450"/>
    <m/>
    <n v="3285450"/>
    <m/>
    <n v="3285450"/>
    <m/>
    <n v="3285450"/>
    <m/>
    <n v="20759495"/>
    <m/>
    <m/>
    <n v="50000000"/>
    <n v="50000000"/>
    <n v="0"/>
    <n v="0"/>
    <n v="33926"/>
    <d v="2026-01-15T00:00:00"/>
    <n v="50000000"/>
    <n v="0"/>
    <n v="60126"/>
    <d v="2026-02-16T00:00:00"/>
    <n v="32854500"/>
    <n v="17145500"/>
    <n v="17145500"/>
    <s v="HURTADO CACERES ERIKA LORENA"/>
    <s v="CO1.PCCNTR.9298684"/>
    <m/>
    <m/>
    <m/>
    <n v="32854500"/>
    <m/>
    <m/>
    <m/>
    <n v="1533210"/>
    <n v="1533210"/>
    <m/>
    <n v="3285450"/>
    <n v="3285450"/>
    <m/>
    <m/>
    <m/>
    <m/>
    <m/>
    <m/>
    <m/>
    <m/>
    <m/>
    <m/>
    <m/>
    <m/>
    <m/>
    <m/>
    <m/>
    <m/>
    <m/>
    <m/>
    <m/>
    <m/>
    <m/>
    <m/>
    <m/>
    <m/>
    <n v="32854500"/>
    <n v="4818660"/>
    <n v="4818660"/>
    <n v="28035840"/>
    <n v="0"/>
  </r>
  <r>
    <x v="0"/>
    <x v="0"/>
    <s v="Fortalecimiento del levantamiento, gestión y apropiación de la información para la planeación del sector minero energético con enfoque territorial nacional"/>
    <s v="Enfoque Territorial"/>
    <s v="No"/>
    <s v="Sí"/>
    <n v="1"/>
    <s v="100-42"/>
    <s v="Incluir el uso de las particularidades propias de cada territorio en la planeación minero energética."/>
    <s v="Documentos Metodológicos"/>
    <s v="Definir e implementar lineamientos articulados de gestión institucional con enfoque territorial ambiental y social."/>
    <s v="N/A"/>
    <s v="C-2106-1900-10-53105E-2106005-02"/>
    <x v="4"/>
    <s v="100-42 Viáticos o gastos de desplazamiento"/>
    <s v="N/A"/>
    <s v="N/A"/>
    <s v="N/A"/>
    <s v="N/A"/>
    <s v="N/A"/>
    <s v="N/A"/>
    <s v="Propios - 20 - Ingresos corrientes"/>
    <n v="75774936"/>
    <n v="75774936"/>
    <s v="N/A"/>
    <s v="N/A"/>
    <s v="Sandra Caballero"/>
    <s v="Asesora Dirección general"/>
    <n v="6012220601"/>
    <s v="sandra.caballero@upme.gov.co"/>
    <n v="0"/>
    <n v="0"/>
    <n v="5000000"/>
    <n v="5000000"/>
    <n v="5000000"/>
    <n v="5000000"/>
    <n v="5000000"/>
    <n v="5000000"/>
    <n v="5000000"/>
    <n v="5000000"/>
    <n v="5000000"/>
    <n v="5000000"/>
    <n v="5000000"/>
    <n v="5000000"/>
    <n v="10000000"/>
    <n v="10000000"/>
    <n v="10000000"/>
    <n v="10000000"/>
    <n v="10000000"/>
    <n v="10000000"/>
    <n v="10000000"/>
    <n v="10000000"/>
    <n v="5774936"/>
    <n v="5774936"/>
    <n v="75774936"/>
    <n v="75774936"/>
    <n v="0"/>
    <n v="0"/>
    <s v="Viáticos o gastos de desplazamiento"/>
    <m/>
    <m/>
    <n v="5000000"/>
    <n v="5000000"/>
    <n v="5000000"/>
    <n v="5000000"/>
    <n v="5000000"/>
    <n v="5000000"/>
    <n v="5000000"/>
    <n v="5000000"/>
    <n v="5000000"/>
    <n v="5000000"/>
    <n v="5000000"/>
    <n v="5000000"/>
    <n v="10000000"/>
    <n v="10000000"/>
    <n v="10000000"/>
    <n v="10000000"/>
    <n v="10000000"/>
    <n v="10000000"/>
    <n v="10000000"/>
    <n v="10000000"/>
    <n v="5774936"/>
    <n v="5774936"/>
    <m/>
    <m/>
    <n v="75774936"/>
    <n v="75774936"/>
    <n v="0"/>
    <n v="0"/>
    <n v="68826"/>
    <d v="2026-02-02T00:00:00"/>
    <n v="75774936"/>
    <n v="0"/>
    <s v="45526, 55826, 56026, 56326, 56426, 56526, 57926, 45926, 61026, 61526, 61726, 62226,64326,67326,67426,69426,69526,69626,70326,70826,71626,71726,72126,72226,72926,73226,73526,73926"/>
    <s v="05/02/2026, 10/02/2026, 25/02/2026, 26/02/2026, 27/02/2026,01/04/2026"/>
    <n v="30019433"/>
    <n v="45755503"/>
    <n v="45755503"/>
    <s v="MORENO PLATA KAREN JULIETH,PORTOCARRERO OSPINA INDIRA CRISTINA,GALVIS FAYAD JOSHUA CALEM,QUINTERO CAMACHO WILSON, LARRARTE ARANGO MOISES RAFAEL,MORENO PLATA KAREN JULIETH,PORTOCARRERO OSPINA INDIRA CRISTINA,GOMEZ CHINCHILLA NATHALIA,PORTOCARRERO OSPINA IN"/>
    <m/>
    <m/>
    <m/>
    <m/>
    <n v="16374908"/>
    <n v="11908431"/>
    <n v="11908431"/>
    <n v="931157"/>
    <n v="3310736"/>
    <n v="3310736"/>
    <n v="12713368"/>
    <n v="7558198"/>
    <n v="7558198"/>
    <m/>
    <m/>
    <m/>
    <m/>
    <m/>
    <m/>
    <m/>
    <m/>
    <m/>
    <m/>
    <m/>
    <m/>
    <m/>
    <m/>
    <m/>
    <m/>
    <m/>
    <m/>
    <m/>
    <m/>
    <m/>
    <m/>
    <m/>
    <m/>
    <n v="30019433"/>
    <n v="22777365"/>
    <n v="22777365"/>
    <n v="7242068"/>
    <n v="0"/>
  </r>
  <r>
    <x v="0"/>
    <x v="0"/>
    <s v="Fortalecimiento del levantamiento, gestión y apropiación de la información para la planeación del sector minero energético con enfoque territorial nacional"/>
    <s v="Enfoque Territorial"/>
    <s v="Sí"/>
    <s v="Sí"/>
    <n v="68"/>
    <s v="100-43"/>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3 Prestar servicios profesionales para apoyar la planeación, convocatoria y desarrollo de espacios participativos con entidades nacionales y regionales vinculadas a proyectos energéticos, incluyendo la articulación con comunidades, contribuyendo a la"/>
    <s v="Enero "/>
    <s v="Enero "/>
    <s v="Enero "/>
    <n v="10"/>
    <s v="Meses"/>
    <s v="Contratación directa - Prestación de servicios profesionales "/>
    <s v="Propios - 20 - Ingresos corrientes"/>
    <n v="60000000"/>
    <n v="60000000"/>
    <s v="N/A"/>
    <s v="N/A"/>
    <s v="Sandra Caballero"/>
    <s v="Asesora Dirección general"/>
    <n v="6012220601"/>
    <s v="sandra.caballero@upme.gov.co"/>
    <n v="0"/>
    <n v="0"/>
    <n v="60000000"/>
    <n v="0"/>
    <n v="0"/>
    <n v="5000000"/>
    <n v="0"/>
    <n v="6000000"/>
    <n v="0"/>
    <n v="6000000"/>
    <n v="0"/>
    <n v="6000000"/>
    <n v="0"/>
    <n v="6000000"/>
    <n v="0"/>
    <n v="6000000"/>
    <n v="0"/>
    <n v="6000000"/>
    <n v="0"/>
    <n v="6000000"/>
    <n v="0"/>
    <n v="6000000"/>
    <n v="0"/>
    <n v="7000000"/>
    <n v="60000000"/>
    <n v="60000000"/>
    <n v="0"/>
    <n v="0"/>
    <s v="Prestar servicios profesionales para apoyar la planeación, convocatoria y desarrollo de espacios participativos con entidades nacionales y regionales vinculadas a proyectos energéticos, incluyendo la articulación con comunidades, contribuyendo a la sistem"/>
    <m/>
    <m/>
    <n v="60000000"/>
    <m/>
    <m/>
    <n v="5000000"/>
    <m/>
    <n v="6000000"/>
    <m/>
    <n v="6000000"/>
    <m/>
    <n v="6000000"/>
    <m/>
    <n v="6000000"/>
    <m/>
    <n v="6000000"/>
    <m/>
    <n v="6000000"/>
    <m/>
    <n v="6000000"/>
    <m/>
    <n v="6000000"/>
    <m/>
    <n v="7000000"/>
    <m/>
    <m/>
    <n v="60000000"/>
    <n v="60000000"/>
    <n v="0"/>
    <n v="0"/>
    <n v="37326"/>
    <d v="2026-01-15T00:00:00"/>
    <n v="60000000"/>
    <n v="0"/>
    <n v="42626"/>
    <d v="2026-02-05T00:00:00"/>
    <n v="60000000"/>
    <n v="0"/>
    <n v="0"/>
    <s v="TEJEDOR CASSIANI NORABIS ESTHER"/>
    <s v="CO1.PCCNTR.9267401"/>
    <m/>
    <m/>
    <m/>
    <n v="60000000"/>
    <m/>
    <m/>
    <m/>
    <n v="5200000"/>
    <n v="5200000"/>
    <m/>
    <n v="6000000"/>
    <n v="6000000"/>
    <m/>
    <m/>
    <m/>
    <m/>
    <m/>
    <m/>
    <m/>
    <m/>
    <m/>
    <m/>
    <m/>
    <m/>
    <m/>
    <m/>
    <m/>
    <m/>
    <m/>
    <m/>
    <m/>
    <m/>
    <m/>
    <m/>
    <m/>
    <m/>
    <n v="60000000"/>
    <n v="11200000"/>
    <n v="11200000"/>
    <n v="48800000"/>
    <n v="0"/>
  </r>
  <r>
    <x v="0"/>
    <x v="0"/>
    <s v="Fortalecimiento del levantamiento, gestión y apropiación de la información para la planeación del sector minero energético con enfoque territorial nacional"/>
    <s v="Enfoque Territorial"/>
    <s v="Sí"/>
    <s v="Sí"/>
    <n v="68"/>
    <s v="100-44"/>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4 Prestar servicios profesionales para el apoyo logístico, metodológico y de seguimiento a las convocatorias y talleres participativos con entidades del orden nacional y territorial, orientados a la construcción de rutas de acompañamiento institucion"/>
    <s v="Enero "/>
    <s v="Enero "/>
    <s v="Enero "/>
    <s v="10.5"/>
    <s v="Meses"/>
    <s v="Contratación directa - Prestación de servicios profesionales "/>
    <s v="Propios - 20 - Ingresos corrientes"/>
    <n v="55000000"/>
    <n v="55000000"/>
    <s v="N/A"/>
    <s v="N/A"/>
    <s v="Sandra Caballero"/>
    <s v="Asesora Dirección general"/>
    <n v="6012220601"/>
    <s v="sandra.caballero@upme.gov.co"/>
    <n v="52500000"/>
    <n v="0"/>
    <n v="0"/>
    <n v="1666666"/>
    <n v="0"/>
    <n v="5000000"/>
    <n v="0"/>
    <n v="5000000"/>
    <n v="0"/>
    <n v="5000000"/>
    <n v="0"/>
    <n v="5000000"/>
    <n v="2500000"/>
    <n v="5000000"/>
    <n v="0"/>
    <n v="5000000"/>
    <n v="0"/>
    <n v="5000000"/>
    <n v="0"/>
    <n v="5000000"/>
    <n v="0"/>
    <n v="5000000"/>
    <n v="0"/>
    <n v="8333334"/>
    <n v="55000000"/>
    <n v="55000000"/>
    <n v="0"/>
    <n v="0"/>
    <s v="Prestar servicios profesionales para el apoyo logístico, metodológico y de seguimiento a las convocatorias y talleres participativos con entidades del orden nacional y territorial, orientados a la construcción de rutas de acompañamiento institucional, la "/>
    <n v="52500000"/>
    <m/>
    <m/>
    <n v="1666666"/>
    <m/>
    <n v="5000000"/>
    <m/>
    <n v="5000000"/>
    <m/>
    <n v="5000000"/>
    <m/>
    <n v="5000000"/>
    <n v="2500000"/>
    <n v="5000000"/>
    <m/>
    <n v="5000000"/>
    <m/>
    <n v="5000000"/>
    <m/>
    <n v="5000000"/>
    <m/>
    <n v="5000000"/>
    <m/>
    <n v="8333334"/>
    <m/>
    <m/>
    <n v="55000000"/>
    <n v="55000000"/>
    <n v="0"/>
    <n v="0"/>
    <n v="7826"/>
    <d v="2026-01-06T00:00:00"/>
    <n v="55000000"/>
    <n v="0"/>
    <n v="14826"/>
    <d v="2026-01-21T00:00:00"/>
    <n v="52500000"/>
    <n v="2500000"/>
    <n v="2500000"/>
    <s v="CARMONA GIRALDO NATALI"/>
    <s v="CO1.PCCNTR.8946959"/>
    <n v="52500000"/>
    <m/>
    <m/>
    <m/>
    <m/>
    <m/>
    <m/>
    <n v="6500000"/>
    <n v="6500000"/>
    <m/>
    <n v="5000000"/>
    <n v="5000000"/>
    <m/>
    <m/>
    <m/>
    <m/>
    <m/>
    <m/>
    <m/>
    <m/>
    <m/>
    <m/>
    <m/>
    <m/>
    <m/>
    <m/>
    <m/>
    <m/>
    <m/>
    <m/>
    <m/>
    <m/>
    <m/>
    <m/>
    <m/>
    <m/>
    <n v="52500000"/>
    <n v="11500000"/>
    <n v="11500000"/>
    <n v="41000000"/>
    <n v="0"/>
  </r>
  <r>
    <x v="0"/>
    <x v="0"/>
    <s v="Fortalecimiento del levantamiento, gestión y apropiación de la información para la planeación del sector minero energético con enfoque territorial nacional"/>
    <s v="Enfoque Territorial"/>
    <s v="Sí"/>
    <s v="Sí"/>
    <n v="4"/>
    <s v="100-45"/>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5 Prestar servicios profesionales para el desarrollo del procedimiento de gestión contractual de la Unidad de Planeación Minero Energética con énfasis en el proyecto “Fortalecimiento del Levantamiento, Gestión y Apropiación de la Información Para La "/>
    <s v="Enero "/>
    <s v="Enero "/>
    <s v="Enero "/>
    <n v="6"/>
    <s v="Meses"/>
    <s v="Contratación directa - Prestación de servicios profesionales "/>
    <s v="Propios - 20 - Ingresos corrientes"/>
    <n v="36000000"/>
    <n v="36000000"/>
    <s v="N/A"/>
    <s v="N/A"/>
    <s v="Sandra Caballero"/>
    <s v="Asesora Dirección general"/>
    <n v="6012220601"/>
    <s v="edith.chavez@upme.gov.co"/>
    <n v="36000000"/>
    <n v="0"/>
    <n v="0"/>
    <n v="1400000"/>
    <n v="0"/>
    <n v="6000000"/>
    <n v="0"/>
    <n v="6000000"/>
    <n v="0"/>
    <n v="6000000"/>
    <n v="0"/>
    <n v="6000000"/>
    <n v="0"/>
    <n v="6000000"/>
    <n v="0"/>
    <n v="4600000"/>
    <n v="0"/>
    <n v="0"/>
    <n v="0"/>
    <n v="0"/>
    <n v="0"/>
    <n v="0"/>
    <n v="0"/>
    <n v="0"/>
    <n v="36000000"/>
    <n v="36000000"/>
    <n v="0"/>
    <n v="0"/>
    <s v="Prestar servicios profesionales para el desarrollo del procedimiento de gestión contractual de la Unidad de Planeación Minero Energética con énfasis en el proyecto “Fortalecimiento del Levantamiento, Gestión y Apropiación de la Información Para La Planeac"/>
    <n v="36000000"/>
    <m/>
    <m/>
    <n v="1400000"/>
    <m/>
    <n v="6000000"/>
    <m/>
    <n v="6000000"/>
    <m/>
    <n v="6000000"/>
    <m/>
    <n v="6000000"/>
    <m/>
    <n v="6000000"/>
    <m/>
    <n v="4600000"/>
    <m/>
    <m/>
    <m/>
    <m/>
    <m/>
    <m/>
    <m/>
    <m/>
    <m/>
    <m/>
    <n v="36000000"/>
    <n v="36000000"/>
    <n v="0"/>
    <n v="0"/>
    <n v="45226"/>
    <d v="2026-01-17T00:00:00"/>
    <n v="36000000"/>
    <n v="0"/>
    <n v="19026"/>
    <d v="2026-01-24T00:00:00"/>
    <n v="36000000"/>
    <n v="0"/>
    <n v="0"/>
    <s v="VERA ARGUELLES SANTOS ELIECER"/>
    <s v="CO1.PCCNTR.9013514"/>
    <n v="36000000"/>
    <m/>
    <m/>
    <m/>
    <n v="1000000"/>
    <n v="1000000"/>
    <m/>
    <n v="6000000"/>
    <n v="6000000"/>
    <m/>
    <n v="6000000"/>
    <n v="6000000"/>
    <m/>
    <m/>
    <m/>
    <m/>
    <m/>
    <m/>
    <m/>
    <m/>
    <m/>
    <m/>
    <m/>
    <m/>
    <m/>
    <m/>
    <m/>
    <m/>
    <m/>
    <m/>
    <m/>
    <m/>
    <m/>
    <m/>
    <m/>
    <m/>
    <n v="36000000"/>
    <n v="13000000"/>
    <n v="13000000"/>
    <n v="23000000"/>
    <n v="0"/>
  </r>
  <r>
    <x v="0"/>
    <x v="0"/>
    <s v="Fortalecimiento del levantamiento, gestión y apropiación de la información para la planeación del sector minero energético con enfoque territorial nacional"/>
    <s v="Enfoque Territorial"/>
    <s v="Sí"/>
    <s v="Sí"/>
    <n v="68"/>
    <s v="100-46"/>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6 Prestar los servicios profesionales para apoyar de manera integral el proceso de liquidación y gestión de la nómina de la UPME, incluyendo la elaboración de retroactivos, seguridad social, consolidación de la información, pago de acreencias laboral"/>
    <s v="Enero "/>
    <s v="Enero "/>
    <s v="Enero "/>
    <n v="11"/>
    <s v="Meses"/>
    <s v="Contratación directa - Prestación de servicios profesionales "/>
    <s v="Propios - 20 - Ingresos corrientes"/>
    <n v="88000000"/>
    <n v="88000000"/>
    <s v="N/A"/>
    <s v="N/A"/>
    <s v="Sandra Caballero"/>
    <s v="Asesora Dirección general"/>
    <n v="6012220601"/>
    <s v="katherin.perez@upme.gov.co"/>
    <n v="88000000"/>
    <n v="0"/>
    <n v="0"/>
    <n v="800000"/>
    <n v="0"/>
    <n v="8000000"/>
    <n v="0"/>
    <n v="8000000"/>
    <n v="0"/>
    <n v="8000000"/>
    <n v="0"/>
    <n v="8000000"/>
    <n v="0"/>
    <n v="8000000"/>
    <n v="0"/>
    <n v="8000000"/>
    <n v="0"/>
    <n v="8000000"/>
    <n v="0"/>
    <n v="8000000"/>
    <n v="0"/>
    <n v="8000000"/>
    <n v="0"/>
    <n v="15200000"/>
    <n v="88000000"/>
    <n v="88000000"/>
    <n v="0"/>
    <n v="0"/>
    <s v="Prestar los servicios profesionales para apoyar de manera integral el proceso de liquidación y gestión de la nómina de la UPME, incluyendo la elaboración de retroactivos, seguridad social, consolidación de la información, pago de acreencias laborales y de"/>
    <n v="88000000"/>
    <m/>
    <m/>
    <n v="800000"/>
    <m/>
    <n v="8000000"/>
    <m/>
    <n v="8000000"/>
    <m/>
    <n v="8000000"/>
    <m/>
    <n v="8000000"/>
    <m/>
    <n v="8000000"/>
    <m/>
    <n v="8000000"/>
    <m/>
    <n v="8000000"/>
    <m/>
    <n v="8000000"/>
    <m/>
    <n v="8000000"/>
    <m/>
    <n v="15200000"/>
    <m/>
    <m/>
    <n v="88000000"/>
    <n v="88000000"/>
    <n v="0"/>
    <n v="0"/>
    <n v="13326"/>
    <d v="2026-01-08T00:00:00"/>
    <n v="88000000"/>
    <n v="0"/>
    <n v="25926"/>
    <d v="2026-01-28T00:00:00"/>
    <n v="88000000"/>
    <n v="0"/>
    <n v="0"/>
    <s v="BOJACA BARRETO NELSON ALEJANDRO"/>
    <s v="CO1.PCCNTR.9108450"/>
    <n v="88000000"/>
    <m/>
    <m/>
    <m/>
    <m/>
    <m/>
    <m/>
    <n v="8533333"/>
    <n v="8533333"/>
    <m/>
    <n v="8000000"/>
    <n v="8000000"/>
    <m/>
    <m/>
    <m/>
    <m/>
    <m/>
    <m/>
    <m/>
    <m/>
    <m/>
    <m/>
    <m/>
    <m/>
    <m/>
    <m/>
    <m/>
    <m/>
    <m/>
    <m/>
    <m/>
    <m/>
    <m/>
    <m/>
    <m/>
    <m/>
    <n v="88000000"/>
    <n v="16533333"/>
    <n v="16533333"/>
    <n v="71466667"/>
    <n v="0"/>
  </r>
  <r>
    <x v="0"/>
    <x v="0"/>
    <s v="Fortalecimiento del levantamiento, gestión y apropiación de la información para la planeación del sector minero energético con enfoque territorial nacional"/>
    <s v="Enfoque Territorial"/>
    <s v="Sí"/>
    <s v="Sí"/>
    <n v="68"/>
    <s v="100-4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7 Prestar servicios profesionales para apoyar la evaluación, identificación y estructuración de acciones técnicas validadas para el acompañamiento permanente a entidades del orden nacional y regional con incidencia en la puesta en operación de proyec"/>
    <s v="Enero "/>
    <s v="Enero "/>
    <s v="Enero "/>
    <n v="11"/>
    <s v="Meses"/>
    <s v="Contratación directa - Prestación de servicios profesionales "/>
    <s v="Propios - 20 - Ingresos corrientes"/>
    <n v="50000000"/>
    <n v="50000000"/>
    <s v="N/A"/>
    <s v="N/A"/>
    <s v="Sandra Caballero"/>
    <s v="Asesora Dirección general"/>
    <n v="6012220601"/>
    <s v="sandra.caballero@upme.gov.co"/>
    <n v="0"/>
    <n v="0"/>
    <n v="50000000"/>
    <n v="0"/>
    <n v="0"/>
    <n v="4166666"/>
    <n v="0"/>
    <n v="5000000"/>
    <n v="0"/>
    <n v="5000000"/>
    <n v="0"/>
    <n v="5000000"/>
    <n v="0"/>
    <n v="5000000"/>
    <n v="0"/>
    <n v="5000000"/>
    <n v="0"/>
    <n v="5000000"/>
    <n v="0"/>
    <n v="5000000"/>
    <n v="0"/>
    <n v="5000000"/>
    <n v="0"/>
    <n v="5833334"/>
    <n v="50000000"/>
    <n v="50000000"/>
    <n v="0"/>
    <n v="0"/>
    <s v="Prestar servicios profesionales para apoyar la evaluación, identificación y estructuración de acciones técnicas validadas para el acompañamiento permanente a entidades del orden nacional y regional con incidencia en la puesta en operación de proyectos de "/>
    <m/>
    <m/>
    <n v="50000000"/>
    <m/>
    <m/>
    <n v="4166666"/>
    <m/>
    <n v="5000000"/>
    <m/>
    <n v="5000000"/>
    <m/>
    <n v="5000000"/>
    <m/>
    <n v="5000000"/>
    <m/>
    <n v="5000000"/>
    <m/>
    <n v="5000000"/>
    <m/>
    <n v="5000000"/>
    <m/>
    <n v="5000000"/>
    <m/>
    <n v="5833334"/>
    <m/>
    <m/>
    <n v="50000000"/>
    <n v="50000000"/>
    <n v="0"/>
    <n v="0"/>
    <n v="37226"/>
    <d v="2026-01-15T00:00:00"/>
    <n v="50000000"/>
    <n v="0"/>
    <n v="44626"/>
    <d v="2026-02-05T00:00:00"/>
    <n v="50000000"/>
    <n v="0"/>
    <n v="0"/>
    <s v="ROMERO SERRANO DIEGO RAUL"/>
    <s v="CO1.PCCNTR.9225376"/>
    <m/>
    <m/>
    <m/>
    <n v="50000000"/>
    <m/>
    <m/>
    <m/>
    <n v="4166667"/>
    <n v="4166667"/>
    <m/>
    <n v="5000000"/>
    <n v="5000000"/>
    <m/>
    <m/>
    <m/>
    <m/>
    <m/>
    <m/>
    <m/>
    <m/>
    <m/>
    <m/>
    <m/>
    <m/>
    <m/>
    <m/>
    <m/>
    <m/>
    <m/>
    <m/>
    <m/>
    <m/>
    <m/>
    <m/>
    <m/>
    <m/>
    <n v="50000000"/>
    <n v="9166667"/>
    <n v="9166667"/>
    <n v="40833333"/>
    <n v="0"/>
  </r>
  <r>
    <x v="0"/>
    <x v="0"/>
    <s v="Fortalecimiento del levantamiento, gestión y apropiación de la información para la planeación del sector minero energético con enfoque territorial nacional"/>
    <s v="Enfoque Territorial"/>
    <s v="Sí"/>
    <s v="Sí"/>
    <n v="68"/>
    <s v="100-4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8 Prestar servicios profesionales para apoyar al equipo de Enfoque Territorial en actividades técnicas y administrativas relacionadas con la articulación intra e intersectorial para la planeación minero-energética, así como el análisis institucional,"/>
    <s v="Enero "/>
    <s v="Enero "/>
    <s v="Enero "/>
    <n v="11"/>
    <s v="Meses"/>
    <s v="Contratación directa - Prestación de servicios profesionales "/>
    <s v="Propios - 20 - Ingresos corrientes"/>
    <n v="55000000"/>
    <n v="55000000"/>
    <s v="N/A"/>
    <s v="N/A"/>
    <s v="Sandra Caballero"/>
    <s v="Asesora Dirección general"/>
    <n v="6012220601"/>
    <s v="sandra.caballero@upme.gov.co"/>
    <n v="0"/>
    <n v="0"/>
    <n v="55000000"/>
    <n v="0"/>
    <n v="0"/>
    <n v="3791060"/>
    <n v="0"/>
    <n v="4374300"/>
    <n v="0"/>
    <n v="4374300"/>
    <n v="0"/>
    <n v="4374300"/>
    <n v="0"/>
    <n v="4374300"/>
    <n v="0"/>
    <n v="4374300"/>
    <n v="0"/>
    <n v="4374300"/>
    <n v="0"/>
    <n v="4374300"/>
    <n v="0"/>
    <n v="4374300"/>
    <n v="0"/>
    <n v="16214540"/>
    <n v="55000000"/>
    <n v="55000000"/>
    <n v="0"/>
    <n v="0"/>
    <s v="Prestar servicios profesionales para apoyar al equipo de Enfoque Territorial en actividades técnicas y administrativas relacionadas con la articulación intra e intersectorial para la planeación minero-energética, así como el análisis institucional, sistem"/>
    <m/>
    <m/>
    <n v="55000000"/>
    <m/>
    <m/>
    <n v="3791060"/>
    <m/>
    <n v="4374300"/>
    <m/>
    <n v="4374300"/>
    <m/>
    <n v="4374300"/>
    <m/>
    <n v="4374300"/>
    <m/>
    <n v="4374300"/>
    <m/>
    <n v="4374300"/>
    <m/>
    <n v="4374300"/>
    <m/>
    <n v="4374300"/>
    <m/>
    <n v="16214540"/>
    <m/>
    <m/>
    <n v="55000000"/>
    <n v="55000000"/>
    <n v="0"/>
    <n v="0"/>
    <n v="37026"/>
    <d v="2026-01-15T00:00:00"/>
    <n v="55000000"/>
    <n v="0"/>
    <n v="55626"/>
    <d v="2026-02-10T00:00:00"/>
    <n v="48117300"/>
    <n v="6882700"/>
    <n v="6882700"/>
    <s v="ACOSTA VERGARA JUAN MANUEL"/>
    <s v="CO1.PCCNTR.9277453"/>
    <m/>
    <m/>
    <m/>
    <n v="48117300"/>
    <m/>
    <m/>
    <m/>
    <n v="3062010"/>
    <n v="3062010"/>
    <m/>
    <m/>
    <m/>
    <m/>
    <m/>
    <m/>
    <m/>
    <m/>
    <m/>
    <m/>
    <m/>
    <m/>
    <m/>
    <m/>
    <m/>
    <m/>
    <m/>
    <m/>
    <m/>
    <m/>
    <m/>
    <m/>
    <m/>
    <m/>
    <m/>
    <m/>
    <m/>
    <n v="48117300"/>
    <n v="3062010"/>
    <n v="3062010"/>
    <n v="45055290"/>
    <n v="0"/>
  </r>
  <r>
    <x v="0"/>
    <x v="0"/>
    <s v="Fortalecimiento del levantamiento, gestión y apropiación de la información para la planeación del sector minero energético con enfoque territorial nacional"/>
    <s v="Enfoque Territorial"/>
    <s v="Sí"/>
    <s v="Sí"/>
    <n v="68"/>
    <s v="100-4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9 Prestar servicios profesionales de apoyo al seguimiento y análisis de los indicadores operativos del Plan Estratégico Institucional, orientados al cumplimiento de los objetivos del Proyecto Enfoque Territorial, así como en la consolidación de infor"/>
    <s v="Enero "/>
    <s v="Enero "/>
    <s v="Enero "/>
    <n v="11"/>
    <s v="Meses"/>
    <s v="Contratación directa - Prestación de servicios profesionales "/>
    <s v="Propios - 20 - Ingresos corrientes"/>
    <n v="49500000"/>
    <n v="49500000"/>
    <s v="N/A"/>
    <s v="N/A"/>
    <s v="Sandra Caballero"/>
    <s v="Asesora Dirección general"/>
    <n v="6012220601"/>
    <s v="sandra.caballero@upme.gov.co"/>
    <n v="0"/>
    <n v="0"/>
    <n v="49500000"/>
    <n v="0"/>
    <n v="0"/>
    <n v="3146730"/>
    <n v="0"/>
    <n v="3630900"/>
    <n v="0"/>
    <n v="3630900"/>
    <n v="0"/>
    <n v="3630900"/>
    <n v="0"/>
    <n v="3630900"/>
    <n v="0"/>
    <n v="3630900"/>
    <n v="0"/>
    <n v="3630900"/>
    <n v="0"/>
    <n v="3630900"/>
    <n v="0"/>
    <n v="3630900"/>
    <n v="0"/>
    <n v="17306070"/>
    <n v="49500000"/>
    <n v="49500000"/>
    <n v="0"/>
    <n v="0"/>
    <s v="Prestar servicios profesionales de apoyo al seguimiento y análisis de los indicadores operativos del Plan Estratégico Institucional, orientados al cumplimiento de los objetivos del Proyecto Enfoque Territorial, así como en la consolidación de informes téc"/>
    <m/>
    <m/>
    <n v="49500000"/>
    <m/>
    <m/>
    <n v="3146730"/>
    <m/>
    <n v="3630900"/>
    <m/>
    <n v="3630900"/>
    <m/>
    <n v="3630900"/>
    <m/>
    <n v="3630900"/>
    <m/>
    <n v="3630900"/>
    <m/>
    <n v="3630900"/>
    <m/>
    <n v="3630900"/>
    <m/>
    <n v="3630900"/>
    <m/>
    <n v="17306070"/>
    <m/>
    <m/>
    <n v="49500000"/>
    <n v="49500000"/>
    <n v="0"/>
    <n v="0"/>
    <n v="36826"/>
    <d v="2026-01-15T00:00:00"/>
    <n v="49500000"/>
    <n v="0"/>
    <n v="41226"/>
    <d v="2026-02-04T00:00:00"/>
    <n v="39939900"/>
    <n v="9560100"/>
    <n v="9560100"/>
    <s v="ROA PAEZ JUAN PABLO"/>
    <s v="CO1.PCCNTR.9281317"/>
    <m/>
    <m/>
    <m/>
    <n v="39939900"/>
    <m/>
    <m/>
    <m/>
    <n v="3146780"/>
    <n v="3146780"/>
    <m/>
    <n v="3630900"/>
    <n v="3630900"/>
    <m/>
    <m/>
    <m/>
    <m/>
    <m/>
    <m/>
    <m/>
    <m/>
    <m/>
    <m/>
    <m/>
    <m/>
    <m/>
    <m/>
    <m/>
    <m/>
    <m/>
    <m/>
    <m/>
    <m/>
    <m/>
    <m/>
    <m/>
    <m/>
    <n v="39939900"/>
    <n v="6777680"/>
    <n v="6777680"/>
    <n v="33162220"/>
    <n v="0"/>
  </r>
  <r>
    <x v="0"/>
    <x v="0"/>
    <s v="Fortalecimiento del levantamiento, gestión y apropiación de la información para la planeación del sector minero energético con enfoque territorial nacional"/>
    <s v="Enfoque Territorial"/>
    <s v="Sí"/>
    <s v="Sí"/>
    <n v="22"/>
    <s v="100-50"/>
    <s v="Incluir el uso de las particularidades propias de cada territorio en la planeación minero energética."/>
    <s v="Documentos Metodológicos"/>
    <s v="Definir e implementar lineamientos articulados de gestión institucional con enfoque territorial ambiental y social."/>
    <s v="43201800;43233405;43212201"/>
    <s v="C-2106-1900-10-53105E-2106005-02"/>
    <x v="1"/>
    <s v="100-50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55000000"/>
    <n v="55000000"/>
    <s v="N/A"/>
    <s v="N/A"/>
    <s v="Sandra Caballero"/>
    <s v="Asesora Dirección general"/>
    <n v="6012220601"/>
    <s v="sandra.caballero@upme.gov.co"/>
    <n v="0"/>
    <n v="0"/>
    <n v="0"/>
    <n v="0"/>
    <n v="0"/>
    <n v="0"/>
    <n v="0"/>
    <n v="0"/>
    <n v="0"/>
    <n v="0"/>
    <n v="0"/>
    <n v="0"/>
    <n v="55000000"/>
    <n v="0"/>
    <n v="0"/>
    <n v="0"/>
    <n v="0"/>
    <n v="0"/>
    <n v="0"/>
    <n v="0"/>
    <n v="0"/>
    <n v="0"/>
    <n v="0"/>
    <n v="55000000"/>
    <n v="55000000"/>
    <n v="55000000"/>
    <n v="0"/>
    <n v="0"/>
    <s v="Adquirir el licenciamiento por suscripción para Plataforma de virtualización y almacenamiento en nube incluyendo la adquisición del hardware para Computación y Storage que soporta esta solución de Hiperconvergencia."/>
    <m/>
    <m/>
    <m/>
    <m/>
    <m/>
    <m/>
    <m/>
    <m/>
    <m/>
    <m/>
    <m/>
    <m/>
    <n v="55000000"/>
    <m/>
    <m/>
    <m/>
    <m/>
    <m/>
    <m/>
    <m/>
    <m/>
    <n v="0"/>
    <m/>
    <n v="55000000"/>
    <m/>
    <m/>
    <n v="55000000"/>
    <n v="55000000"/>
    <n v="0"/>
    <n v="0"/>
    <n v="35526"/>
    <d v="2026-01-15T00:00:00"/>
    <n v="55000000"/>
    <n v="0"/>
    <m/>
    <m/>
    <n v="0"/>
    <n v="55000000"/>
    <n v="550000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51"/>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1 Prestar servicios profesionales para apoyar, desde una perspectiva jurídica básica, la integración de variables ambientales, territoriales y etnográficas en las herramientas de planeación minero-energética, con énfasis en escenarios de análisis ene"/>
    <s v="Enero "/>
    <s v="Enero "/>
    <s v="Enero "/>
    <n v="9"/>
    <s v="Meses"/>
    <s v="Contratación directa - Prestación de servicios profesionales "/>
    <s v="Propios - 20 - Ingresos corrientes"/>
    <n v="36000000"/>
    <n v="36000000"/>
    <s v="N/A"/>
    <s v="N/A"/>
    <s v="Sandra Caballero"/>
    <s v="Asesora Dirección general"/>
    <n v="6012220601"/>
    <s v="sandra.caballero@upme.gov.co"/>
    <n v="0"/>
    <n v="0"/>
    <n v="36000000"/>
    <n v="0"/>
    <n v="0"/>
    <n v="3600000"/>
    <n v="0"/>
    <n v="4000000"/>
    <n v="0"/>
    <n v="4000000"/>
    <n v="0"/>
    <n v="4000000"/>
    <n v="0"/>
    <n v="4000000"/>
    <n v="0"/>
    <n v="4000000"/>
    <n v="0"/>
    <n v="4000000"/>
    <n v="0"/>
    <n v="4000000"/>
    <n v="0"/>
    <n v="4000000"/>
    <n v="0"/>
    <n v="400000"/>
    <n v="36000000"/>
    <n v="36000000"/>
    <n v="0"/>
    <n v="0"/>
    <s v="Prestar servicios profesionales para apoyar, desde una perspectiva jurídica básica, la integración de variables ambientales, territoriales y etnográficas en las herramientas de planeación minero-energética, con énfasis en escenarios de análisis energético"/>
    <m/>
    <m/>
    <n v="36000000"/>
    <m/>
    <m/>
    <n v="3600000"/>
    <m/>
    <n v="4000000"/>
    <m/>
    <n v="4000000"/>
    <m/>
    <n v="4000000"/>
    <m/>
    <n v="4000000"/>
    <m/>
    <n v="4000000"/>
    <m/>
    <n v="4000000"/>
    <m/>
    <n v="4000000"/>
    <m/>
    <n v="4000000"/>
    <m/>
    <n v="400000"/>
    <m/>
    <m/>
    <n v="36000000"/>
    <n v="36000000"/>
    <n v="0"/>
    <n v="0"/>
    <n v="35326"/>
    <d v="2026-01-15T00:00:00"/>
    <n v="36000000"/>
    <n v="0"/>
    <n v="47626"/>
    <d v="2026-02-06T00:00:00"/>
    <n v="34152300"/>
    <n v="1847700"/>
    <n v="1847700"/>
    <s v="SANTIESTEBAN MOSQUERA LUISA FERNANDA"/>
    <s v="CO1.PCCNTR.9266493"/>
    <m/>
    <m/>
    <m/>
    <n v="34152300"/>
    <m/>
    <m/>
    <m/>
    <n v="2782780"/>
    <n v="2782780"/>
    <m/>
    <n v="3794700"/>
    <n v="3794700"/>
    <m/>
    <m/>
    <m/>
    <m/>
    <m/>
    <m/>
    <m/>
    <m/>
    <m/>
    <m/>
    <m/>
    <m/>
    <m/>
    <m/>
    <m/>
    <m/>
    <m/>
    <m/>
    <m/>
    <m/>
    <m/>
    <m/>
    <m/>
    <m/>
    <n v="34152300"/>
    <n v="6577480"/>
    <n v="6577480"/>
    <n v="27574820"/>
    <n v="0"/>
  </r>
  <r>
    <x v="0"/>
    <x v="0"/>
    <s v="Fortalecimiento del levantamiento, gestión y apropiación de la información para la planeación del sector minero energético con enfoque territorial nacional"/>
    <s v="Enfoque Territorial"/>
    <s v="Sí"/>
    <s v="Sí"/>
    <n v="4"/>
    <s v="100-52"/>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2 Prestar servicios de apoyo  en la realización audiovisual a cargo del grupo de comunicaciones y prensa, orientados a visibilizar la implementación del proyecto de Enfoque Territorial dirigido a los diversos actores del territorio y la ciudadanía en"/>
    <s v="Enero "/>
    <s v="Enero "/>
    <s v="Enero "/>
    <n v="11"/>
    <s v="Meses"/>
    <s v="Contratación directa - Prestación de servicios profesionales "/>
    <s v="Propios - 20 - Ingresos corrientes"/>
    <n v="15878175"/>
    <n v="15878175"/>
    <s v="N/A"/>
    <s v="N/A"/>
    <s v="Sandra Caballero"/>
    <s v="Asesora Dirección general"/>
    <n v="6012220601"/>
    <s v="edith.chavez@upme.gov.co"/>
    <n v="0"/>
    <n v="0"/>
    <n v="15878175"/>
    <n v="0"/>
    <n v="0"/>
    <n v="0"/>
    <n v="0"/>
    <n v="0"/>
    <n v="0"/>
    <n v="0"/>
    <n v="0"/>
    <n v="0"/>
    <n v="0"/>
    <n v="0"/>
    <n v="0"/>
    <n v="0"/>
    <n v="0"/>
    <n v="0"/>
    <n v="0"/>
    <n v="0"/>
    <n v="0"/>
    <n v="1845110"/>
    <n v="0"/>
    <n v="14033065"/>
    <n v="15878175"/>
    <n v="15878175"/>
    <n v="0"/>
    <n v="0"/>
    <s v="Prestar servicios de apoyo  en la realización audiovisual a cargo del grupo de comunicaciones y prensa, orientados a visibilizar la implementación del proyecto de Enfoque Territorial dirigido a los diversos actores del territorio y la ciudadanía en genera"/>
    <m/>
    <m/>
    <n v="15878175"/>
    <m/>
    <m/>
    <m/>
    <m/>
    <m/>
    <m/>
    <m/>
    <m/>
    <m/>
    <m/>
    <m/>
    <m/>
    <m/>
    <m/>
    <m/>
    <m/>
    <m/>
    <m/>
    <n v="1845110"/>
    <m/>
    <n v="14033065"/>
    <m/>
    <m/>
    <n v="15878175"/>
    <n v="15878175"/>
    <n v="0"/>
    <n v="0"/>
    <n v="64826"/>
    <d v="2026-01-25T00:00:00"/>
    <n v="15878175"/>
    <n v="0"/>
    <n v="49526"/>
    <d v="2026-02-09T00:00:00"/>
    <n v="5814950"/>
    <n v="10063225"/>
    <n v="10063225"/>
    <s v="DURAN MEZA NELSON MAURICIO"/>
    <s v="CO1.PCCNTR.9297578"/>
    <m/>
    <m/>
    <m/>
    <n v="5814950"/>
    <m/>
    <m/>
    <m/>
    <n v="2451960"/>
    <n v="2451960"/>
    <m/>
    <m/>
    <m/>
    <m/>
    <m/>
    <m/>
    <m/>
    <m/>
    <m/>
    <m/>
    <m/>
    <m/>
    <m/>
    <m/>
    <m/>
    <m/>
    <m/>
    <m/>
    <m/>
    <m/>
    <m/>
    <m/>
    <m/>
    <m/>
    <m/>
    <m/>
    <m/>
    <n v="5814950"/>
    <n v="2451960"/>
    <n v="2451960"/>
    <n v="3362990"/>
    <n v="0"/>
  </r>
  <r>
    <x v="0"/>
    <x v="0"/>
    <s v="Fortalecimiento del levantamiento, gestión y apropiación de la información para la planeación del sector minero energético con enfoque territorial nacional"/>
    <s v="Enfoque Territorial"/>
    <s v="Sí"/>
    <s v="Sí"/>
    <n v="68"/>
    <s v="100-53"/>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3 Prestar servicios profesionales para apoyar el diseño y la implementación de la estrategia de comunicación y participación con actores sectoriales y territoriales, orientada a mejorar el relacionamiento institucional bajo el Enfoque Territorial. In"/>
    <s v="Enero "/>
    <s v="Enero "/>
    <s v="Enero "/>
    <n v="9"/>
    <s v="Meses"/>
    <s v="Contratación directa - Prestación de servicios profesionales "/>
    <s v="Propios - 20 - Ingresos corrientes"/>
    <n v="29700000"/>
    <n v="29700000"/>
    <s v="N/A"/>
    <s v="N/A"/>
    <s v="Sandra Caballero"/>
    <s v="Asesora Dirección general"/>
    <n v="6012220601"/>
    <s v="sandra.caballero@upme.gov.co"/>
    <n v="0"/>
    <n v="0"/>
    <n v="29700000"/>
    <n v="0"/>
    <n v="0"/>
    <n v="2847230"/>
    <n v="0"/>
    <n v="3285450"/>
    <n v="0"/>
    <n v="3285450"/>
    <n v="0"/>
    <n v="3285450"/>
    <n v="0"/>
    <n v="3285450"/>
    <n v="0"/>
    <n v="3285450"/>
    <n v="0"/>
    <n v="3285450"/>
    <n v="0"/>
    <n v="3285450"/>
    <n v="0"/>
    <n v="3285450"/>
    <n v="0"/>
    <n v="569170"/>
    <n v="29700000"/>
    <n v="29700000"/>
    <n v="0"/>
    <n v="0"/>
    <s v="Prestar servicios profesionales para apoyar el diseño y la implementación de la estrategia de comunicación y participación con actores sectoriales y territoriales, orientada a mejorar el relacionamiento institucional bajo el Enfoque Territorial. Incluyend"/>
    <m/>
    <m/>
    <n v="29700000"/>
    <m/>
    <m/>
    <n v="2847230"/>
    <m/>
    <n v="3285450"/>
    <m/>
    <n v="3285450"/>
    <m/>
    <n v="3285450"/>
    <m/>
    <n v="3285450"/>
    <m/>
    <n v="3285450"/>
    <m/>
    <n v="3285450"/>
    <m/>
    <n v="3285450"/>
    <m/>
    <n v="3285450"/>
    <m/>
    <n v="569170"/>
    <m/>
    <m/>
    <n v="29700000"/>
    <n v="29700000"/>
    <n v="0"/>
    <n v="0"/>
    <n v="35126"/>
    <d v="2026-01-15T00:00:00"/>
    <n v="29700000"/>
    <n v="0"/>
    <n v="42426"/>
    <d v="2026-02-05T00:00:00"/>
    <n v="29569050"/>
    <n v="130950"/>
    <n v="130950"/>
    <s v="MENDOZA BENITEZ HAELY"/>
    <s v="CO1.PCCNTR.9232375"/>
    <m/>
    <m/>
    <m/>
    <n v="29569050"/>
    <m/>
    <m/>
    <m/>
    <m/>
    <m/>
    <m/>
    <n v="6132840"/>
    <n v="6132840"/>
    <m/>
    <m/>
    <m/>
    <m/>
    <m/>
    <m/>
    <m/>
    <m/>
    <m/>
    <m/>
    <m/>
    <m/>
    <m/>
    <m/>
    <m/>
    <m/>
    <m/>
    <m/>
    <m/>
    <m/>
    <m/>
    <m/>
    <m/>
    <m/>
    <n v="29569050"/>
    <n v="6132840"/>
    <n v="6132840"/>
    <n v="23436210"/>
    <n v="0"/>
  </r>
  <r>
    <x v="0"/>
    <x v="0"/>
    <s v="Fortalecimiento del levantamiento, gestión y apropiación de la información para la planeación del sector minero energético con enfoque territorial nacional"/>
    <s v="Enfoque Territorial"/>
    <s v="Sí"/>
    <s v="Sí"/>
    <n v="7"/>
    <s v="100-54"/>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4 Prestar servicios profesionales para apoyar las convocatorias, socializaciones, análisis de información y la elaboración de informes técnicos requeridos, que contribuyan a la gestión y al fortalecimiento de la ejecución del proyecto de Enfoque Terr"/>
    <s v="Enero "/>
    <s v="Enero "/>
    <s v="Enero "/>
    <n v="10"/>
    <s v="Meses"/>
    <s v="Contratación directa - Prestación de servicios profesionales "/>
    <s v="Propios - 20 - Ingresos corrientes"/>
    <n v="31652775"/>
    <n v="31652775"/>
    <s v="N/A"/>
    <s v="N/A"/>
    <s v="Sandra Caballero"/>
    <s v="Asesora Dirección general"/>
    <n v="6012220601"/>
    <s v="sandra.caballero@upme.gov.co"/>
    <n v="0"/>
    <n v="0"/>
    <n v="31652775"/>
    <n v="0"/>
    <n v="0"/>
    <n v="0"/>
    <n v="0"/>
    <n v="0"/>
    <n v="0"/>
    <n v="0"/>
    <n v="0"/>
    <n v="0"/>
    <n v="0"/>
    <n v="0"/>
    <n v="0"/>
    <n v="4593780"/>
    <n v="0"/>
    <n v="6000000"/>
    <n v="0"/>
    <n v="6000000"/>
    <n v="0"/>
    <n v="6000000"/>
    <n v="0"/>
    <n v="9058995"/>
    <n v="31652775"/>
    <n v="31652775"/>
    <n v="0"/>
    <n v="0"/>
    <s v="Prestar servicios profesionales para apoyar las convocatorias, socializaciones, análisis de información y la elaboración de informes técnicos requeridos, que contribuyan a la gestión y al fortalecimiento de la ejecución del proyecto de Enfoque Territorial"/>
    <m/>
    <m/>
    <n v="31652775"/>
    <m/>
    <m/>
    <m/>
    <m/>
    <m/>
    <m/>
    <m/>
    <m/>
    <m/>
    <m/>
    <m/>
    <m/>
    <n v="4593780"/>
    <m/>
    <n v="6000000"/>
    <m/>
    <n v="6000000"/>
    <m/>
    <n v="6000000"/>
    <m/>
    <n v="9058995"/>
    <m/>
    <m/>
    <n v="31652775"/>
    <n v="31652775"/>
    <n v="0"/>
    <n v="0"/>
    <n v="48526"/>
    <d v="2026-01-15T00:00:00"/>
    <n v="31652775"/>
    <n v="0"/>
    <n v="60426"/>
    <d v="2026-02-18T00:00:00"/>
    <n v="21593780"/>
    <n v="10058995"/>
    <n v="10058995"/>
    <s v="GARZON VILLEGAS NATALIA ANDREA"/>
    <s v="CO1.PCCNTR.9214784"/>
    <m/>
    <m/>
    <m/>
    <n v="21593780"/>
    <m/>
    <m/>
    <m/>
    <n v="2600000"/>
    <n v="2600000"/>
    <m/>
    <m/>
    <m/>
    <m/>
    <m/>
    <m/>
    <m/>
    <m/>
    <m/>
    <m/>
    <m/>
    <m/>
    <m/>
    <m/>
    <m/>
    <m/>
    <m/>
    <m/>
    <m/>
    <m/>
    <m/>
    <m/>
    <m/>
    <m/>
    <m/>
    <m/>
    <m/>
    <n v="21593780"/>
    <n v="2600000"/>
    <n v="2600000"/>
    <n v="18993780"/>
    <n v="0"/>
  </r>
  <r>
    <x v="0"/>
    <x v="0"/>
    <s v="Fortalecimiento del levantamiento, gestión y apropiación de la información para la planeación del sector minero energético con enfoque territorial nacional"/>
    <s v="Enfoque Territorial"/>
    <s v="Sí"/>
    <s v="Sí"/>
    <n v="68"/>
    <s v="100-55"/>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5 Prestación de servicios profesionales para la implementación de la estrategia de comunicación y participación de la UPME mediante acciones de diálogo social y territorial, incorporando enfoques de género, cuidado, análisis territorial y gobernanza."/>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847390"/>
    <n v="0"/>
    <n v="3285450"/>
    <n v="0"/>
    <n v="3285450"/>
    <n v="0"/>
    <n v="3285450"/>
    <n v="0"/>
    <n v="3285450"/>
    <n v="0"/>
    <n v="3285450"/>
    <n v="0"/>
    <n v="3285450"/>
    <n v="0"/>
    <n v="3285450"/>
    <n v="0"/>
    <n v="3285450"/>
    <n v="0"/>
    <n v="438060"/>
    <n v="29569050"/>
    <n v="29569050"/>
    <n v="0"/>
    <n v="0"/>
    <s v="Prestación de servicios profesionales para la implementación de la estrategia de comunicación y participación de la UPME mediante acciones de diálogo social y territorial, incorporando enfoques de género, cuidado, análisis territorial y gobernanza."/>
    <m/>
    <m/>
    <n v="29569050"/>
    <m/>
    <m/>
    <n v="2847390"/>
    <m/>
    <n v="3285450"/>
    <m/>
    <n v="3285450"/>
    <m/>
    <n v="3285450"/>
    <m/>
    <n v="3285450"/>
    <m/>
    <n v="3285450"/>
    <m/>
    <n v="3285450"/>
    <m/>
    <n v="3285450"/>
    <m/>
    <n v="3285450"/>
    <m/>
    <n v="438060"/>
    <m/>
    <m/>
    <n v="29569050"/>
    <n v="29569050"/>
    <n v="0"/>
    <n v="0"/>
    <n v="34626"/>
    <d v="2026-01-15T00:00:00"/>
    <n v="29569050"/>
    <n v="0"/>
    <n v="49926"/>
    <d v="2026-02-09T00:00:00"/>
    <n v="29569050"/>
    <n v="0"/>
    <n v="0"/>
    <s v="SIAUCHO ACEVEDO CESAR ALBERTO"/>
    <s v="CO1.PCCNTR.9296297"/>
    <m/>
    <m/>
    <m/>
    <n v="29569050"/>
    <m/>
    <m/>
    <m/>
    <n v="2299815"/>
    <n v="2299815"/>
    <m/>
    <m/>
    <m/>
    <m/>
    <m/>
    <m/>
    <m/>
    <m/>
    <m/>
    <m/>
    <m/>
    <m/>
    <m/>
    <m/>
    <m/>
    <m/>
    <m/>
    <m/>
    <m/>
    <m/>
    <m/>
    <m/>
    <m/>
    <m/>
    <m/>
    <m/>
    <m/>
    <n v="29569050"/>
    <n v="2299815"/>
    <n v="2299815"/>
    <n v="27269235"/>
    <n v="0"/>
  </r>
  <r>
    <x v="0"/>
    <x v="0"/>
    <s v="Fortalecimiento del levantamiento, gestión y apropiación de la información para la planeación del sector minero energético con enfoque territorial nacional"/>
    <s v="Enfoque Territorial"/>
    <s v="Sí"/>
    <s v="Sí"/>
    <n v="68"/>
    <s v="100-56"/>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6 Prestar los servicios profesionales para la implementación de la estrategia de comunicación y participación del dialogo social, territorial e interinstitucional con el fin de incorporar las variables de género y perspectiva del cuidado en la planea"/>
    <s v="Enero "/>
    <s v="Enero "/>
    <s v="Enero "/>
    <n v="9"/>
    <s v="Meses"/>
    <s v="Contratación directa - Prestación de servicios profesionales "/>
    <s v="Propios - 20 - Ingresos corrientes"/>
    <n v="49500000"/>
    <n v="49500000"/>
    <s v="N/A"/>
    <s v="N/A"/>
    <s v="Sandra Caballero"/>
    <s v="Asesora Dirección general"/>
    <n v="6012220601"/>
    <s v="sandra.caballero@upme.gov.co"/>
    <n v="49500000"/>
    <n v="0"/>
    <n v="0"/>
    <n v="183333"/>
    <n v="0"/>
    <n v="5500000"/>
    <n v="0"/>
    <n v="5500000"/>
    <n v="0"/>
    <n v="5500000"/>
    <n v="0"/>
    <n v="5500000"/>
    <n v="0"/>
    <n v="5500000"/>
    <n v="0"/>
    <n v="5500000"/>
    <n v="0"/>
    <n v="5500000"/>
    <n v="0"/>
    <n v="5500000"/>
    <n v="0"/>
    <n v="5316667"/>
    <n v="0"/>
    <n v="0"/>
    <n v="49500000"/>
    <n v="49500000"/>
    <n v="0"/>
    <n v="0"/>
    <s v="Prestar los servicios profesionales para la implementación de la estrategia de comunicación y participación del dialogo social, territorial e interinstitucional con el fin de incorporar las variables de género y perspectiva del cuidado en la planeación mi"/>
    <n v="49500000"/>
    <m/>
    <m/>
    <n v="183333"/>
    <m/>
    <n v="5500000"/>
    <m/>
    <n v="5500000"/>
    <m/>
    <n v="5500000"/>
    <m/>
    <n v="5500000"/>
    <m/>
    <n v="5500000"/>
    <m/>
    <n v="5500000"/>
    <m/>
    <n v="5500000"/>
    <m/>
    <n v="5500000"/>
    <m/>
    <n v="5316667"/>
    <m/>
    <m/>
    <m/>
    <m/>
    <n v="49500000"/>
    <n v="49500000"/>
    <n v="0"/>
    <n v="0"/>
    <n v="34226"/>
    <d v="2026-01-15T00:00:00"/>
    <n v="49500000"/>
    <n v="0"/>
    <n v="36726"/>
    <d v="2026-01-30T00:00:00"/>
    <n v="49500000"/>
    <n v="0"/>
    <n v="0"/>
    <s v="ROMERO VELASQUEZ CAMILO EDUARDO"/>
    <s v="CO1.PCCNTR.9147176"/>
    <n v="49500000"/>
    <m/>
    <m/>
    <m/>
    <m/>
    <m/>
    <m/>
    <n v="5316667"/>
    <n v="5316667"/>
    <m/>
    <n v="5500000"/>
    <n v="5500000"/>
    <m/>
    <m/>
    <m/>
    <m/>
    <m/>
    <m/>
    <m/>
    <m/>
    <m/>
    <m/>
    <m/>
    <m/>
    <m/>
    <m/>
    <m/>
    <m/>
    <m/>
    <m/>
    <m/>
    <m/>
    <m/>
    <m/>
    <m/>
    <m/>
    <n v="49500000"/>
    <n v="10816667"/>
    <n v="10816667"/>
    <n v="38683333"/>
    <n v="0"/>
  </r>
  <r>
    <x v="0"/>
    <x v="0"/>
    <s v="Fortalecimiento del levantamiento, gestión y apropiación de la información para la planeación del sector minero energético con enfoque territorial nacional"/>
    <s v="Enfoque Territorial"/>
    <s v="Sí"/>
    <s v="Sí"/>
    <n v="7"/>
    <s v="100-57"/>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7 Prestación de servicios profesionales para la conceptualización, diseño e implementación de estrategias pedagógicas innovadoras y metodologías efectivas de transferencia de conocimiento, con el propósito de fortalecer el diálogo, la apropiación soc"/>
    <s v="Enero "/>
    <s v="Enero "/>
    <s v="Enero "/>
    <n v="10"/>
    <s v="Meses"/>
    <s v="Contratación directa - Prestación de servicios profesionales "/>
    <s v="Propios - 20 - Ingresos corrientes"/>
    <n v="122462550"/>
    <n v="122462550"/>
    <s v="N/A"/>
    <s v="N/A"/>
    <s v="Sandra Caballero"/>
    <s v="Asesora Dirección general"/>
    <n v="6012220601"/>
    <s v="sandra.caballero@upme.gov.co"/>
    <n v="122462550"/>
    <n v="0"/>
    <n v="0"/>
    <n v="1360695"/>
    <n v="0"/>
    <n v="13606950"/>
    <n v="0"/>
    <n v="13606950"/>
    <n v="0"/>
    <n v="13606950"/>
    <n v="0"/>
    <n v="13606950"/>
    <n v="0"/>
    <n v="13606950"/>
    <n v="0"/>
    <n v="13606950"/>
    <n v="0"/>
    <n v="13606950"/>
    <n v="0"/>
    <n v="13606950"/>
    <n v="0"/>
    <n v="12246255"/>
    <n v="0"/>
    <n v="0"/>
    <n v="122462550"/>
    <n v="122462550"/>
    <n v="0"/>
    <n v="0"/>
    <s v="Prestación de servicios profesionales para la conceptualización, diseño e implementación de estrategias pedagógicas innovadoras y metodologías efectivas de transferencia de conocimiento, con el propósito de fortalecer el diálogo, la apropiación social y l"/>
    <n v="122462550"/>
    <m/>
    <m/>
    <n v="1360695"/>
    <m/>
    <n v="13606950"/>
    <m/>
    <n v="13606950"/>
    <m/>
    <n v="13606950"/>
    <m/>
    <n v="13606950"/>
    <m/>
    <n v="13606950"/>
    <m/>
    <n v="13606950"/>
    <m/>
    <n v="13606950"/>
    <m/>
    <n v="13606950"/>
    <m/>
    <n v="12246255"/>
    <m/>
    <m/>
    <m/>
    <m/>
    <n v="122462550"/>
    <n v="122462550"/>
    <n v="0"/>
    <n v="0"/>
    <n v="61426"/>
    <d v="2026-01-23T00:00:00"/>
    <n v="122462550"/>
    <n v="0"/>
    <n v="27926"/>
    <d v="2026-01-28T00:00:00"/>
    <n v="122462550"/>
    <n v="0"/>
    <n v="0"/>
    <s v="CUBILLOS OCAMPO JULIAN ALBERTO"/>
    <s v="CO1.PCCNTR.9139101"/>
    <n v="122462550"/>
    <m/>
    <m/>
    <m/>
    <m/>
    <m/>
    <m/>
    <n v="14060515"/>
    <n v="14060515"/>
    <m/>
    <n v="13606950"/>
    <n v="13606950"/>
    <m/>
    <m/>
    <m/>
    <m/>
    <m/>
    <m/>
    <m/>
    <m/>
    <m/>
    <m/>
    <m/>
    <m/>
    <m/>
    <m/>
    <m/>
    <m/>
    <m/>
    <m/>
    <m/>
    <m/>
    <m/>
    <m/>
    <m/>
    <m/>
    <n v="122462550"/>
    <n v="27667465"/>
    <n v="27667465"/>
    <n v="94795085"/>
    <n v="0"/>
  </r>
  <r>
    <x v="0"/>
    <x v="0"/>
    <s v="Fortalecimiento del levantamiento, gestión y apropiación de la información para la planeación del sector minero energético con enfoque territorial nacional"/>
    <s v="Enfoque Territorial"/>
    <s v="Sí"/>
    <s v="Sí"/>
    <n v="22"/>
    <s v="100-58"/>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8 Prestar servicios profesionales para el seguimiento a la implementación de los proyectos de generación con conexión aprobada por la Unidad de Planeación Minero Energética, en aras de identificar y gestionar soluciones a desafíos ambientales, social"/>
    <s v="Enero "/>
    <s v="Enero "/>
    <s v="Enero "/>
    <n v="9"/>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29569050"/>
    <n v="0"/>
    <n v="0"/>
    <n v="0"/>
    <n v="0"/>
    <n v="0"/>
    <n v="0"/>
    <n v="0"/>
    <n v="0"/>
    <n v="0"/>
    <n v="0"/>
    <n v="29569050"/>
    <n v="29569050"/>
    <n v="29569050"/>
    <n v="-29569050"/>
    <n v="-29569050"/>
    <s v="Prestar servicios profesionales para el seguimiento a la implementación de los proyectos de generación con conexión aprobada por la Unidad de Planeación Minero Energética, en aras de identificar y gestionar soluciones a desafíos ambientales, sociales, ter"/>
    <m/>
    <m/>
    <m/>
    <m/>
    <m/>
    <m/>
    <m/>
    <m/>
    <m/>
    <m/>
    <m/>
    <m/>
    <m/>
    <m/>
    <m/>
    <m/>
    <m/>
    <m/>
    <m/>
    <m/>
    <m/>
    <m/>
    <m/>
    <m/>
    <m/>
    <m/>
    <n v="0"/>
    <n v="0"/>
    <n v="0"/>
    <n v="0"/>
    <n v="34126"/>
    <d v="2026-01-15T00:00:00"/>
    <n v="0"/>
    <n v="0"/>
    <m/>
    <m/>
    <n v="0"/>
    <n v="0"/>
    <n v="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8"/>
    <s v="100-59"/>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9 Prestar servicios profesionales de asesoría jurídica y apoyo orientados a la incorporación transversal del enfoque social y de género en la gestión institucional, mediante la emisión de conceptos y estrategias jurídicas que promuevan y fortalezcan "/>
    <s v="Enero "/>
    <s v="Enero "/>
    <s v="Enero "/>
    <n v="9"/>
    <s v="Meses"/>
    <s v="Contratación directa - Prestación de servicios profesionales "/>
    <s v="Propios - 20 - Ingresos corrientes"/>
    <n v="48600000"/>
    <n v="48600000"/>
    <s v="N/A"/>
    <s v="N/A"/>
    <s v="Sandra Caballero"/>
    <s v="Asesora Dirección general"/>
    <n v="6012220601"/>
    <s v="sandra.caballero@upme.gov.co"/>
    <n v="0"/>
    <n v="0"/>
    <n v="48600000"/>
    <n v="0"/>
    <n v="0"/>
    <n v="4860000"/>
    <n v="0"/>
    <n v="5400000"/>
    <n v="0"/>
    <n v="5400000"/>
    <n v="0"/>
    <n v="5400000"/>
    <n v="0"/>
    <n v="5400000"/>
    <n v="0"/>
    <n v="5400000"/>
    <n v="0"/>
    <n v="5400000"/>
    <n v="0"/>
    <n v="5400000"/>
    <n v="0"/>
    <n v="5400000"/>
    <n v="0"/>
    <n v="540000"/>
    <n v="48600000"/>
    <n v="48600000"/>
    <n v="0"/>
    <n v="0"/>
    <s v="Prestar servicios profesionales de asesoría jurídica y apoyo orientados a la incorporación transversal del enfoque social y de género en la gestión institucional, mediante la emisión de conceptos y estrategias jurídicas que promuevan y fortalezcan la incl"/>
    <m/>
    <m/>
    <n v="48600000"/>
    <m/>
    <m/>
    <n v="4860000"/>
    <m/>
    <n v="5400000"/>
    <m/>
    <n v="5400000"/>
    <m/>
    <n v="5400000"/>
    <m/>
    <n v="5400000"/>
    <m/>
    <n v="5400000"/>
    <m/>
    <n v="5400000"/>
    <m/>
    <n v="5400000"/>
    <m/>
    <n v="5400000"/>
    <m/>
    <n v="540000"/>
    <m/>
    <m/>
    <n v="48600000"/>
    <n v="48600000"/>
    <n v="0"/>
    <n v="0"/>
    <n v="31626"/>
    <d v="2026-01-14T00:00:00"/>
    <n v="48600000"/>
    <n v="0"/>
    <n v="42826"/>
    <d v="2026-02-05T00:00:00"/>
    <n v="48600000"/>
    <n v="0"/>
    <n v="0"/>
    <s v="AGAMEZ RODRÍGUEZ ALFREDO ADOLFO"/>
    <s v="CO1.PCCNTR.9264669"/>
    <m/>
    <m/>
    <m/>
    <n v="48600000"/>
    <m/>
    <m/>
    <m/>
    <n v="4680000"/>
    <n v="4680000"/>
    <m/>
    <n v="5400000"/>
    <n v="5400000"/>
    <m/>
    <m/>
    <m/>
    <m/>
    <m/>
    <m/>
    <m/>
    <m/>
    <m/>
    <m/>
    <m/>
    <m/>
    <m/>
    <m/>
    <m/>
    <m/>
    <m/>
    <m/>
    <m/>
    <m/>
    <m/>
    <m/>
    <m/>
    <m/>
    <n v="48600000"/>
    <n v="10080000"/>
    <n v="10080000"/>
    <n v="38520000"/>
    <n v="0"/>
  </r>
  <r>
    <x v="0"/>
    <x v="0"/>
    <s v="Fortalecimiento del levantamiento, gestión y apropiación de la información para la planeación del sector minero energético con enfoque territorial nacional"/>
    <s v="Enfoque Territorial"/>
    <s v="Sí"/>
    <s v="Sí"/>
    <n v="22"/>
    <s v="100-60"/>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41607"/>
    <s v="C-2106-1900-10-53105E-2106022-02"/>
    <x v="2"/>
    <s v="100-60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66974271"/>
    <n v="66974271"/>
    <s v="N/A"/>
    <s v="N/A"/>
    <s v="Sandra Caballero"/>
    <s v="Asesora Dirección general"/>
    <n v="6012220601"/>
    <s v="sandra.caballero@upme.gov.co"/>
    <n v="66974271"/>
    <n v="0"/>
    <n v="0"/>
    <n v="0"/>
    <n v="0"/>
    <n v="0"/>
    <n v="0"/>
    <n v="0"/>
    <n v="0"/>
    <n v="0"/>
    <n v="0"/>
    <n v="0"/>
    <n v="0"/>
    <n v="0"/>
    <n v="0"/>
    <n v="0"/>
    <n v="0"/>
    <n v="0"/>
    <n v="0"/>
    <n v="0"/>
    <n v="0"/>
    <n v="20000000"/>
    <n v="0"/>
    <n v="46974271"/>
    <n v="66974271"/>
    <n v="66974271"/>
    <n v="0"/>
    <n v="0"/>
    <s v="Prestación de los servicios de apoyo logístico para el desarrollo de la estrategia de comunicación y participación con actores nacionales y territoriales, así como para otros espacios interinstitucionales en el marco de la misionalidad de la entidad y el "/>
    <n v="66974271"/>
    <n v="0"/>
    <n v="0"/>
    <n v="0"/>
    <n v="0"/>
    <n v="0"/>
    <n v="0"/>
    <n v="0"/>
    <n v="74569050"/>
    <n v="0"/>
    <n v="0"/>
    <n v="10000000"/>
    <n v="0"/>
    <n v="20000000"/>
    <n v="0"/>
    <n v="10000000"/>
    <n v="0"/>
    <n v="10000000"/>
    <n v="0"/>
    <n v="24569050"/>
    <n v="0"/>
    <n v="20000000"/>
    <n v="0"/>
    <n v="46974271"/>
    <m/>
    <m/>
    <n v="141543321"/>
    <n v="141543321"/>
    <n v="-74569050"/>
    <n v="-74569050"/>
    <n v="15126"/>
    <d v="2026-01-09T00:00:00"/>
    <n v="66974271"/>
    <n v="0"/>
    <n v="26226"/>
    <d v="2026-01-28T00:00:00"/>
    <n v="66974271"/>
    <n v="0"/>
    <n v="0"/>
    <s v="M2C ESTRATEGIAS SAS"/>
    <s v="CO1.PCCNTR.9130164"/>
    <n v="66974271"/>
    <m/>
    <m/>
    <m/>
    <m/>
    <m/>
    <m/>
    <m/>
    <m/>
    <m/>
    <n v="66974271"/>
    <n v="66974271"/>
    <m/>
    <m/>
    <m/>
    <m/>
    <m/>
    <m/>
    <m/>
    <m/>
    <m/>
    <m/>
    <m/>
    <m/>
    <m/>
    <m/>
    <m/>
    <m/>
    <m/>
    <m/>
    <m/>
    <m/>
    <m/>
    <m/>
    <m/>
    <m/>
    <n v="66974271"/>
    <n v="66974271"/>
    <n v="66974271"/>
    <n v="0"/>
    <n v="0"/>
  </r>
  <r>
    <x v="0"/>
    <x v="0"/>
    <s v="Fortalecimiento del levantamiento, gestión y apropiación de la información para la planeación del sector minero energético con enfoque territorial nacional"/>
    <s v="Enfoque Territorial"/>
    <s v="Sí"/>
    <s v="Sí"/>
    <s v="Radicado 20261000002293"/>
    <s v="100-61"/>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41607"/>
    <s v="C-2106-1900-10-53105E-2106022-02"/>
    <x v="2"/>
    <s v="100-61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147912029"/>
    <n v="147912029"/>
    <s v="N/A"/>
    <s v="N/A"/>
    <s v="Sandra Caballero"/>
    <s v="Asesora Dirección general"/>
    <n v="6012220601"/>
    <s v="sandra.caballero@upme.gov.co"/>
    <n v="73342979"/>
    <n v="0"/>
    <n v="0"/>
    <n v="0"/>
    <n v="0"/>
    <n v="15000000"/>
    <n v="0"/>
    <n v="0"/>
    <n v="0"/>
    <n v="15000000"/>
    <n v="0"/>
    <n v="15000000"/>
    <n v="0"/>
    <n v="15000000"/>
    <n v="0"/>
    <n v="0"/>
    <n v="0"/>
    <n v="13342979"/>
    <n v="0"/>
    <n v="0"/>
    <n v="0"/>
    <n v="0"/>
    <n v="0"/>
    <n v="0"/>
    <n v="73342979"/>
    <n v="73342979"/>
    <n v="74569050"/>
    <n v="74569050"/>
    <s v="Prestación de los servicios de apoyo logístico para el desarrollo de la estrategia de comunicación y participación con actores nacionales y territoriales, así como para otros espacios interinstitucionales en el marco de la misionalidad de la entidad y el "/>
    <n v="73342979"/>
    <m/>
    <m/>
    <m/>
    <m/>
    <n v="15000000"/>
    <m/>
    <m/>
    <m/>
    <n v="15000000"/>
    <m/>
    <n v="15000000"/>
    <m/>
    <n v="15000000"/>
    <m/>
    <m/>
    <m/>
    <n v="13342979"/>
    <m/>
    <m/>
    <m/>
    <m/>
    <m/>
    <m/>
    <m/>
    <m/>
    <n v="73342979"/>
    <n v="73342979"/>
    <n v="74569050"/>
    <n v="74569050"/>
    <n v="15126"/>
    <d v="2026-01-09T00:00:00"/>
    <n v="73342979"/>
    <n v="74569050"/>
    <n v="26226"/>
    <d v="2026-01-28T00:00:00"/>
    <n v="73342979"/>
    <n v="74569050"/>
    <n v="0"/>
    <s v="M2C ESTRATEGIAS SAS"/>
    <s v="CO1.PCCNTR.9130164"/>
    <n v="73342979"/>
    <m/>
    <m/>
    <m/>
    <m/>
    <m/>
    <m/>
    <m/>
    <m/>
    <m/>
    <n v="73342979"/>
    <n v="73342979"/>
    <m/>
    <m/>
    <m/>
    <m/>
    <m/>
    <m/>
    <m/>
    <m/>
    <m/>
    <m/>
    <m/>
    <m/>
    <m/>
    <m/>
    <m/>
    <m/>
    <m/>
    <m/>
    <m/>
    <m/>
    <m/>
    <m/>
    <m/>
    <m/>
    <n v="73342979"/>
    <n v="73342979"/>
    <n v="73342979"/>
    <n v="0"/>
    <n v="0"/>
  </r>
  <r>
    <x v="0"/>
    <x v="0"/>
    <s v="Fortalecimiento del levantamiento, gestión y apropiación de la información para la planeación del sector minero energético con enfoque territorial nacional"/>
    <s v="Enfoque Territorial"/>
    <s v="Sí"/>
    <s v="Sí"/>
    <n v="68"/>
    <s v="100-62"/>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2 Prestar servicios profesionales en la incorporación de enfoque de prevención de violencias basadas en género (VBG), la aplicación del protocolo institucional en comisiones nacionales y actividades de trabajo territorial, en concordancia con la Polí"/>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956905"/>
    <n v="0"/>
    <n v="3285450"/>
    <n v="0"/>
    <n v="3285450"/>
    <n v="0"/>
    <n v="3285450"/>
    <n v="0"/>
    <n v="3285450"/>
    <n v="0"/>
    <n v="3285450"/>
    <n v="0"/>
    <n v="3285450"/>
    <n v="0"/>
    <n v="3285450"/>
    <n v="0"/>
    <n v="3285450"/>
    <n v="0"/>
    <n v="328545"/>
    <n v="29569050"/>
    <n v="29569050"/>
    <n v="0"/>
    <n v="0"/>
    <s v="Prestar servicios profesionales en la incorporación de enfoque de prevención de violencias basadas en género (VBG), la aplicación del protocolo institucional en comisiones nacionales y actividades de trabajo territorial, en concordancia con la Política de"/>
    <m/>
    <m/>
    <n v="29569050"/>
    <m/>
    <m/>
    <n v="2956905"/>
    <m/>
    <n v="3285450"/>
    <m/>
    <n v="3285450"/>
    <m/>
    <n v="3285450"/>
    <m/>
    <n v="3285450"/>
    <m/>
    <n v="3285450"/>
    <m/>
    <n v="3285450"/>
    <m/>
    <n v="3285450"/>
    <m/>
    <n v="3285450"/>
    <m/>
    <n v="328545"/>
    <m/>
    <m/>
    <n v="29569050"/>
    <n v="29569050"/>
    <n v="0"/>
    <n v="0"/>
    <n v="31826"/>
    <d v="2026-01-14T00:00:00"/>
    <n v="29569050"/>
    <n v="0"/>
    <n v="57326"/>
    <d v="2026-02-10T00:00:00"/>
    <n v="29569050"/>
    <n v="0"/>
    <n v="0"/>
    <s v="BOTTO LUBO BAYRON JOSE"/>
    <s v="CO1.PCCNTR.9307142"/>
    <m/>
    <m/>
    <m/>
    <n v="29569050"/>
    <m/>
    <m/>
    <m/>
    <n v="2190300"/>
    <n v="2190300"/>
    <m/>
    <n v="3285450"/>
    <n v="3285450"/>
    <m/>
    <m/>
    <m/>
    <m/>
    <m/>
    <m/>
    <m/>
    <m/>
    <m/>
    <m/>
    <m/>
    <m/>
    <m/>
    <m/>
    <m/>
    <m/>
    <m/>
    <m/>
    <m/>
    <m/>
    <m/>
    <m/>
    <m/>
    <m/>
    <n v="29569050"/>
    <n v="5475750"/>
    <n v="5475750"/>
    <n v="24093300"/>
    <n v="0"/>
  </r>
  <r>
    <x v="0"/>
    <x v="0"/>
    <s v="Fortalecimiento del levantamiento, gestión y apropiación de la información para la planeación del sector minero energético con enfoque territorial nacional"/>
    <s v="Enfoque Territorial"/>
    <s v="Sí"/>
    <s v="Sí"/>
    <n v="68"/>
    <s v="100-63"/>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3 Prestar los servicios profesionales en la implementación y articulación de análisis técnico para la inclusión de variables sociales en los documentos de la entidad, y apoyar los procesos relacionados con víctimas de conflictividad social en las zon"/>
    <s v="Enero "/>
    <s v="Enero "/>
    <s v="Enero "/>
    <n v="9"/>
    <s v="Meses"/>
    <s v="Contratación directa - Prestación de servicios profesionales "/>
    <s v="Propios - 20 - Ingresos corrientes"/>
    <n v="64800000"/>
    <n v="64800000"/>
    <s v="N/A"/>
    <s v="N/A"/>
    <s v="Sandra Caballero"/>
    <s v="Asesora Dirección general"/>
    <n v="6012220601"/>
    <s v="sandra.caballero@upme.gov.co"/>
    <n v="0"/>
    <n v="0"/>
    <n v="64800000"/>
    <n v="0"/>
    <n v="0"/>
    <n v="6240000"/>
    <n v="0"/>
    <n v="7200000"/>
    <n v="0"/>
    <n v="7200000"/>
    <n v="0"/>
    <n v="7200000"/>
    <n v="0"/>
    <n v="7200000"/>
    <n v="0"/>
    <n v="7200000"/>
    <n v="0"/>
    <n v="7200000"/>
    <n v="0"/>
    <n v="7200000"/>
    <n v="0"/>
    <n v="7200000"/>
    <n v="0"/>
    <n v="960000"/>
    <n v="64800000"/>
    <n v="64800000"/>
    <n v="0"/>
    <n v="0"/>
    <s v="Prestar los servicios profesionales en la implementación y articulación de análisis técnico para la inclusión de variables sociales en los documentos de la entidad, y apoyar los procesos relacionados con víctimas de conflictividad social en las zonas prio"/>
    <m/>
    <m/>
    <n v="64800000"/>
    <m/>
    <m/>
    <n v="6240000"/>
    <m/>
    <n v="7200000"/>
    <m/>
    <n v="7200000"/>
    <m/>
    <n v="7200000"/>
    <m/>
    <n v="7200000"/>
    <m/>
    <n v="7200000"/>
    <m/>
    <n v="7200000"/>
    <m/>
    <n v="7200000"/>
    <m/>
    <n v="7200000"/>
    <m/>
    <n v="960000"/>
    <m/>
    <m/>
    <n v="64800000"/>
    <n v="64800000"/>
    <n v="0"/>
    <n v="0"/>
    <n v="33826"/>
    <d v="2026-01-15T00:00:00"/>
    <n v="64800000"/>
    <n v="0"/>
    <n v="46126"/>
    <d v="2026-02-05T00:00:00"/>
    <n v="64800000"/>
    <n v="0"/>
    <n v="0"/>
    <s v="COLMENARES RINCON NATALIA"/>
    <s v="CO1.PCCNTR.9280151"/>
    <m/>
    <m/>
    <m/>
    <n v="64800000"/>
    <m/>
    <m/>
    <m/>
    <n v="6720000"/>
    <n v="6720000"/>
    <m/>
    <n v="7200000"/>
    <n v="7200000"/>
    <m/>
    <m/>
    <m/>
    <m/>
    <m/>
    <m/>
    <m/>
    <m/>
    <m/>
    <m/>
    <m/>
    <m/>
    <m/>
    <m/>
    <m/>
    <m/>
    <m/>
    <m/>
    <m/>
    <m/>
    <m/>
    <m/>
    <m/>
    <m/>
    <n v="64800000"/>
    <n v="13920000"/>
    <n v="13920000"/>
    <n v="50880000"/>
    <n v="0"/>
  </r>
  <r>
    <x v="0"/>
    <x v="0"/>
    <s v="Fortalecimiento del levantamiento, gestión y apropiación de la información para la planeación del sector minero energético con enfoque territorial nacional"/>
    <s v="Enfoque Territorial"/>
    <s v="Sí"/>
    <s v="Sí"/>
    <n v="68"/>
    <s v="100-64"/>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4 Prestación de servicios profesionales para apoyar la planeación, convocatorias y jornadas pedagógicas presenciales y virtuales dirigida a actores locales, organizaciones comunitarias con entidades nacionales y regionales vinculadas a proyectos ener"/>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956905"/>
    <n v="0"/>
    <n v="3285450"/>
    <n v="0"/>
    <n v="3285450"/>
    <n v="0"/>
    <n v="3285450"/>
    <n v="0"/>
    <n v="3285450"/>
    <n v="0"/>
    <n v="3285450"/>
    <n v="0"/>
    <n v="3285450"/>
    <n v="0"/>
    <n v="3285450"/>
    <n v="0"/>
    <n v="3285450"/>
    <n v="0"/>
    <n v="328545"/>
    <n v="29569050"/>
    <n v="29569050"/>
    <n v="0"/>
    <n v="0"/>
    <s v="Prestación de servicios profesionales para apoyar la planeación, convocatorias y jornadas pedagógicas presenciales y virtuales dirigida a actores locales, organizaciones comunitarias con entidades nacionales y regionales vinculadas a proyectos energéticos"/>
    <m/>
    <m/>
    <n v="29569050"/>
    <m/>
    <m/>
    <n v="2956905"/>
    <m/>
    <n v="3285450"/>
    <m/>
    <n v="3285450"/>
    <m/>
    <n v="3285450"/>
    <m/>
    <n v="3285450"/>
    <m/>
    <n v="3285450"/>
    <m/>
    <n v="3285450"/>
    <m/>
    <n v="3285450"/>
    <m/>
    <n v="3285450"/>
    <m/>
    <n v="328545"/>
    <m/>
    <m/>
    <n v="29569050"/>
    <n v="29569050"/>
    <n v="0"/>
    <n v="0"/>
    <n v="32626"/>
    <d v="2026-01-14T00:00:00"/>
    <n v="29569050"/>
    <n v="0"/>
    <n v="47726"/>
    <d v="2026-02-06T00:00:00"/>
    <n v="29569050"/>
    <n v="0"/>
    <n v="0"/>
    <s v="PALLARES MEJIA CEDELSI"/>
    <s v="CO1.PCCNTR.9288309"/>
    <m/>
    <m/>
    <m/>
    <n v="29569050"/>
    <m/>
    <m/>
    <m/>
    <n v="2737875"/>
    <n v="2737875"/>
    <m/>
    <n v="3285450"/>
    <n v="3285450"/>
    <m/>
    <m/>
    <m/>
    <m/>
    <m/>
    <m/>
    <m/>
    <m/>
    <m/>
    <m/>
    <m/>
    <m/>
    <m/>
    <m/>
    <m/>
    <m/>
    <m/>
    <m/>
    <m/>
    <m/>
    <m/>
    <m/>
    <m/>
    <m/>
    <n v="29569050"/>
    <n v="6023325"/>
    <n v="6023325"/>
    <n v="23545725"/>
    <n v="0"/>
  </r>
  <r>
    <x v="0"/>
    <x v="0"/>
    <s v="Fortalecimiento del levantamiento, gestión y apropiación de la información para la planeación del sector minero energético con enfoque territorial nacional"/>
    <s v="Enfoque Territorial"/>
    <s v="Sí"/>
    <s v="Sí"/>
    <n v="22"/>
    <s v="100-65"/>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5 Prestar servicios profesionales especializados para la formulación, articulación e implementación de acciones de incidencia política y formación pedagógica en derechos humanos, orientadas al fortalecimiento de la gobernanza territorial y la gestión"/>
    <s v="Enero "/>
    <s v="Enero "/>
    <s v="Enero "/>
    <n v="9"/>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45000000"/>
    <n v="0"/>
    <n v="0"/>
    <n v="0"/>
    <n v="0"/>
    <n v="0"/>
    <n v="0"/>
    <n v="0"/>
    <n v="0"/>
    <n v="0"/>
    <n v="0"/>
    <n v="45000000"/>
    <n v="45000000"/>
    <n v="45000000"/>
    <n v="-45000000"/>
    <n v="-45000000"/>
    <s v="Prestar servicios profesionales especializados para la formulación, articulación e implementación de acciones de incidencia política y formación pedagógica en derechos humanos, orientadas al fortalecimiento de la gobernanza territorial y la gestión del en"/>
    <m/>
    <m/>
    <m/>
    <m/>
    <m/>
    <m/>
    <m/>
    <m/>
    <m/>
    <m/>
    <m/>
    <m/>
    <m/>
    <m/>
    <m/>
    <m/>
    <m/>
    <m/>
    <m/>
    <m/>
    <m/>
    <m/>
    <m/>
    <m/>
    <m/>
    <m/>
    <n v="0"/>
    <n v="0"/>
    <n v="0"/>
    <n v="0"/>
    <n v="40926"/>
    <d v="2026-01-01T00:00:00"/>
    <n v="45000000"/>
    <n v="-45000000"/>
    <m/>
    <m/>
    <n v="0"/>
    <n v="0"/>
    <n v="4500000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4"/>
    <s v="100-66"/>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6 Prestar servicios de apoyo  en la realización audiovisual a cargo del grupo de comunicaciones y prensa, orientados a visibilizar la implementación del proyecto de Enfoque Territorial dirigidas a los diversos actores del territorio y la ciudadanía e"/>
    <s v="Enero "/>
    <s v="Enero "/>
    <s v="Enero "/>
    <n v="11"/>
    <s v="Meses"/>
    <s v="Contratación directa - Prestación de servicios profesionales "/>
    <s v="Propios - 20 - Ingresos corrientes"/>
    <n v="29213050"/>
    <n v="29213050"/>
    <s v="N/A"/>
    <s v="N/A"/>
    <s v="Sandra Caballero"/>
    <s v="Asesora Dirección general"/>
    <n v="6012220601"/>
    <s v="sandra.caballero@upme.gov.co"/>
    <n v="0"/>
    <n v="0"/>
    <n v="29213050"/>
    <n v="0"/>
    <n v="0"/>
    <n v="3035760"/>
    <n v="0"/>
    <n v="3502800"/>
    <n v="0"/>
    <n v="3502800"/>
    <n v="0"/>
    <n v="3502800"/>
    <n v="0"/>
    <n v="3502800"/>
    <n v="0"/>
    <n v="3502800"/>
    <n v="0"/>
    <n v="3502800"/>
    <n v="0"/>
    <n v="3502800"/>
    <n v="0"/>
    <n v="1657690"/>
    <n v="0"/>
    <n v="0"/>
    <n v="29213050"/>
    <n v="29213050"/>
    <n v="0"/>
    <n v="0"/>
    <s v="Prestar servicios de apoyo  en la realización audiovisual a cargo del grupo de comunicaciones y prensa, orientados a visibilizar la implementación del proyecto de Enfoque Territorial dirigidas a los diversos actores del territorio y la ciudadanía en gener"/>
    <m/>
    <m/>
    <n v="29213050"/>
    <m/>
    <m/>
    <n v="3035760"/>
    <m/>
    <n v="3502800"/>
    <m/>
    <n v="3502800"/>
    <m/>
    <n v="3502800"/>
    <m/>
    <n v="3502800"/>
    <m/>
    <n v="3502800"/>
    <m/>
    <n v="3502800"/>
    <m/>
    <n v="3502800"/>
    <m/>
    <n v="1657690"/>
    <m/>
    <m/>
    <m/>
    <m/>
    <n v="29213050"/>
    <n v="29213050"/>
    <n v="0"/>
    <n v="0"/>
    <n v="64826"/>
    <d v="2026-01-25T00:00:00"/>
    <n v="29213050"/>
    <n v="0"/>
    <n v="49526"/>
    <d v="2026-02-09T00:00:00"/>
    <n v="29213050"/>
    <n v="0"/>
    <n v="0"/>
    <s v="DURAN MEZA NELSON MAURICIO"/>
    <s v="CO1.PCCNTR.9297578"/>
    <m/>
    <m/>
    <m/>
    <n v="29213050"/>
    <m/>
    <m/>
    <m/>
    <m/>
    <m/>
    <m/>
    <n v="3502800"/>
    <n v="3502800"/>
    <m/>
    <m/>
    <m/>
    <m/>
    <m/>
    <m/>
    <m/>
    <m/>
    <m/>
    <m/>
    <m/>
    <m/>
    <m/>
    <m/>
    <m/>
    <m/>
    <m/>
    <m/>
    <m/>
    <m/>
    <m/>
    <m/>
    <m/>
    <m/>
    <n v="29213050"/>
    <n v="3502800"/>
    <n v="3502800"/>
    <n v="25710250"/>
    <n v="0"/>
  </r>
  <r>
    <x v="0"/>
    <x v="0"/>
    <s v="Fortalecimiento del levantamiento, gestión y apropiación de la información para la planeación del sector minero energético con enfoque territorial nacional"/>
    <s v="Enfoque Territorial"/>
    <s v="Sí"/>
    <s v="Sí"/>
    <n v="1"/>
    <s v="100-6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6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
    <s v="Meses"/>
    <s v="Contratación directa - Prestación de servicios profesionales "/>
    <s v="Propios - 20 - Ingresos corrientes"/>
    <n v="16668844"/>
    <n v="16668844"/>
    <s v="N/A"/>
    <s v="N/A"/>
    <s v="Sandra Caballero"/>
    <s v="Asesora Dirección general"/>
    <n v="6012220601"/>
    <s v="sandra.caballero@upme.gov.co"/>
    <n v="0"/>
    <n v="0"/>
    <n v="16668844"/>
    <n v="0"/>
    <n v="0"/>
    <n v="7000000"/>
    <n v="0"/>
    <n v="8500000"/>
    <n v="0"/>
    <n v="1168844"/>
    <n v="0"/>
    <n v="0"/>
    <n v="0"/>
    <n v="0"/>
    <n v="0"/>
    <n v="0"/>
    <n v="0"/>
    <n v="0"/>
    <n v="0"/>
    <n v="0"/>
    <n v="0"/>
    <n v="0"/>
    <n v="0"/>
    <n v="0"/>
    <n v="16668844"/>
    <n v="16668844"/>
    <n v="0"/>
    <n v="0"/>
    <s v="Prestar servicios profesionales orientados al fortalecimiento de la Dimensión de Control Interno mediante la ejecución del Plan Anual de Auditorías Internas Independientes, con énfasis en la evaluación de la gestión administrativa de la UPME."/>
    <m/>
    <m/>
    <n v="16668844"/>
    <m/>
    <m/>
    <n v="7000000"/>
    <m/>
    <n v="8500000"/>
    <m/>
    <n v="1168844"/>
    <m/>
    <m/>
    <m/>
    <m/>
    <m/>
    <m/>
    <m/>
    <m/>
    <m/>
    <m/>
    <m/>
    <m/>
    <m/>
    <m/>
    <m/>
    <m/>
    <n v="16668844"/>
    <n v="16668844"/>
    <n v="0"/>
    <n v="0"/>
    <n v="64026"/>
    <d v="2026-01-23T00:00:00"/>
    <n v="16668844"/>
    <n v="0"/>
    <n v="59726"/>
    <d v="2026-02-12T00:00:00"/>
    <n v="16668844"/>
    <n v="0"/>
    <n v="0"/>
    <s v="NUÑEZ GANTIVA NATALIA ELIANA"/>
    <s v="CO1.PCCNTR.9306722"/>
    <m/>
    <m/>
    <m/>
    <n v="16668844"/>
    <m/>
    <m/>
    <m/>
    <n v="5100000"/>
    <n v="5100000"/>
    <m/>
    <m/>
    <m/>
    <m/>
    <m/>
    <m/>
    <m/>
    <m/>
    <m/>
    <m/>
    <m/>
    <m/>
    <m/>
    <m/>
    <m/>
    <m/>
    <m/>
    <m/>
    <m/>
    <m/>
    <m/>
    <m/>
    <m/>
    <m/>
    <m/>
    <m/>
    <m/>
    <n v="16668844"/>
    <n v="5100000"/>
    <n v="5100000"/>
    <n v="11568844"/>
    <n v="0"/>
  </r>
  <r>
    <x v="0"/>
    <x v="0"/>
    <s v="Fortalecimiento del levantamiento, gestión y apropiación de la información para la planeación del sector minero energético con enfoque territorial nacional"/>
    <s v="Enfoque Territorial"/>
    <s v="Sí"/>
    <s v="Sí"/>
    <n v="1"/>
    <s v="100-6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68 Prestar servicios profesionales para articular el seguimiento de la planeación estratégica y la ejecución presupuestal del proyecto de Enfoque Territorial de la Dirección General, garantizando el cumplimiento efectivo de sus metas y su adecuada int"/>
    <s v="Enero "/>
    <s v="Enero "/>
    <s v="Enero "/>
    <n v="11.5"/>
    <s v="Meses"/>
    <s v="Contratación directa - Prestación de servicios profesionales "/>
    <s v="Propios - 20 - Ingresos corrientes"/>
    <n v="32000000"/>
    <n v="32000000"/>
    <s v="N/A"/>
    <s v="N/A"/>
    <s v="Sandra Caballero"/>
    <s v="Asesora Dirección general"/>
    <n v="6012220601"/>
    <s v="sandra.caballero@upme.gov.co"/>
    <n v="32000000"/>
    <n v="0"/>
    <n v="0"/>
    <n v="0"/>
    <n v="0"/>
    <n v="0"/>
    <n v="0"/>
    <n v="0"/>
    <n v="0"/>
    <n v="0"/>
    <n v="0"/>
    <n v="0"/>
    <n v="0"/>
    <n v="0"/>
    <n v="0"/>
    <n v="0"/>
    <n v="0"/>
    <n v="0"/>
    <n v="0"/>
    <n v="7200000"/>
    <n v="0"/>
    <n v="8000000"/>
    <n v="0"/>
    <n v="16800000"/>
    <n v="32000000"/>
    <n v="32000000"/>
    <n v="0"/>
    <n v="0"/>
    <s v="Prestar servicios profesionales para articular el seguimiento de la planeación estratégica y la ejecución presupuestal del proyecto de Enfoque Territorial de la Dirección General, garantizando el cumplimiento efectivo de sus metas y su adecuada integració"/>
    <n v="32000000"/>
    <m/>
    <m/>
    <m/>
    <m/>
    <m/>
    <m/>
    <m/>
    <m/>
    <m/>
    <m/>
    <m/>
    <m/>
    <m/>
    <m/>
    <m/>
    <m/>
    <m/>
    <m/>
    <n v="7200000"/>
    <m/>
    <n v="8000000"/>
    <m/>
    <n v="16800000"/>
    <m/>
    <m/>
    <n v="32000000"/>
    <n v="32000000"/>
    <n v="0"/>
    <n v="0"/>
    <n v="13526"/>
    <d v="2026-01-08T00:00:00"/>
    <n v="30666667"/>
    <n v="1333333"/>
    <n v="11926"/>
    <d v="2026-01-20T00:00:00"/>
    <n v="30666667"/>
    <n v="1333333"/>
    <n v="0"/>
    <s v="CARRANZA MOLINA OLGA LUCIA"/>
    <s v="CO1.PCCNTR.8914684"/>
    <n v="32000000"/>
    <m/>
    <m/>
    <m/>
    <m/>
    <m/>
    <n v="-1333333"/>
    <m/>
    <m/>
    <m/>
    <m/>
    <m/>
    <m/>
    <m/>
    <m/>
    <m/>
    <m/>
    <m/>
    <m/>
    <m/>
    <m/>
    <m/>
    <m/>
    <m/>
    <m/>
    <m/>
    <m/>
    <m/>
    <m/>
    <m/>
    <m/>
    <m/>
    <m/>
    <m/>
    <m/>
    <m/>
    <n v="30666667"/>
    <n v="0"/>
    <n v="0"/>
    <n v="30666667"/>
    <n v="0"/>
  </r>
  <r>
    <x v="0"/>
    <x v="0"/>
    <s v="Fortalecimiento del levantamiento, gestión y apropiación de la información para la planeación del sector minero energético con enfoque territorial nacional"/>
    <s v="Enfoque Territorial"/>
    <s v="Sí"/>
    <s v="Sí"/>
    <n v="4"/>
    <s v="100-6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69 Prestación de servicios profesionales para la proyección oportuna y eficiente de los procedimientos contractuales de la entidad así como atender las PQRS y gestionar las actuaciones administrativas derivadas de las metas institucionales, en especia"/>
    <s v="Enero "/>
    <s v="Enero "/>
    <s v="Enero "/>
    <n v="9"/>
    <s v="Meses"/>
    <s v="Contratación directa - Prestación de servicios profesionales "/>
    <s v="Propios - 20 - Ingresos corrientes"/>
    <n v="36000000"/>
    <n v="36000000"/>
    <s v="N/A"/>
    <s v="N/A"/>
    <s v="Sandra Caballero"/>
    <s v="Asesora Dirección general"/>
    <n v="6012220601"/>
    <s v="sandra.caballero@upme.gov.co"/>
    <n v="0"/>
    <n v="0"/>
    <n v="0"/>
    <n v="0"/>
    <n v="0"/>
    <n v="0"/>
    <n v="0"/>
    <n v="0"/>
    <n v="0"/>
    <n v="0"/>
    <n v="0"/>
    <n v="0"/>
    <n v="36000000"/>
    <n v="0"/>
    <n v="0"/>
    <n v="0"/>
    <n v="0"/>
    <n v="0"/>
    <n v="0"/>
    <n v="0"/>
    <n v="0"/>
    <n v="0"/>
    <n v="0"/>
    <n v="36000000"/>
    <n v="36000000"/>
    <n v="36000000"/>
    <n v="0"/>
    <n v="0"/>
    <s v="Prestación de servicios profesionales para la proyección oportuna y eficiente de los procedimientos contractuales de la entidad así como atender las PQRS y gestionar las actuaciones administrativas derivadas de las metas institucionales, en especial lo re"/>
    <m/>
    <m/>
    <m/>
    <m/>
    <m/>
    <m/>
    <m/>
    <m/>
    <m/>
    <m/>
    <m/>
    <m/>
    <n v="36000000"/>
    <m/>
    <m/>
    <m/>
    <m/>
    <m/>
    <m/>
    <m/>
    <m/>
    <m/>
    <m/>
    <n v="36000000"/>
    <m/>
    <m/>
    <n v="36000000"/>
    <n v="36000000"/>
    <n v="0"/>
    <n v="0"/>
    <m/>
    <m/>
    <m/>
    <n v="36000000"/>
    <m/>
    <m/>
    <n v="0"/>
    <n v="36000000"/>
    <n v="0"/>
    <m/>
    <m/>
    <m/>
    <m/>
    <m/>
    <m/>
    <m/>
    <m/>
    <m/>
    <m/>
    <m/>
    <m/>
    <m/>
    <m/>
    <m/>
    <m/>
    <m/>
    <m/>
    <m/>
    <m/>
    <m/>
    <m/>
    <m/>
    <m/>
    <m/>
    <m/>
    <m/>
    <m/>
    <m/>
    <m/>
    <m/>
    <m/>
    <m/>
    <m/>
    <m/>
    <m/>
    <m/>
    <m/>
    <n v="0"/>
    <n v="0"/>
    <n v="0"/>
    <n v="0"/>
    <n v="0"/>
  </r>
  <r>
    <x v="0"/>
    <x v="0"/>
    <s v="Fortalecimiento del levantamiento, gestión y apropiación de la información para la planeación del sector minero energético con enfoque territorial nacional"/>
    <s v="Enfoque Territorial"/>
    <s v="Sí"/>
    <s v="Sí"/>
    <n v="6"/>
    <s v="100-7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70 Prestar servicios profesionales para apoyar la identificación, análisis y aplicabilidad de variables ambientales, territoriales y de riesgo socioambiental para la planeación minero energética en los territorios priorizados. Adicionalmente, contribu"/>
    <s v="Enero "/>
    <s v="Enero "/>
    <s v="Enero "/>
    <n v="11"/>
    <s v="Meses"/>
    <s v="Contratación directa - Prestación de servicios profesionales "/>
    <s v="Propios - 20 - Ingresos corrientes"/>
    <n v="16500000"/>
    <n v="16500000"/>
    <s v="N/A"/>
    <s v="N/A"/>
    <s v="Wilson Quintero"/>
    <s v="Asesor Dirección general"/>
    <n v="6012220601"/>
    <s v="wilson.quintero@upme.gov.co"/>
    <n v="0"/>
    <n v="0"/>
    <n v="16500000"/>
    <n v="0"/>
    <n v="0"/>
    <n v="0"/>
    <n v="0"/>
    <n v="0"/>
    <n v="0"/>
    <n v="0"/>
    <n v="0"/>
    <n v="0"/>
    <n v="0"/>
    <n v="0"/>
    <n v="0"/>
    <n v="0"/>
    <n v="0"/>
    <n v="200000"/>
    <n v="0"/>
    <n v="8000000"/>
    <n v="0"/>
    <n v="8000000"/>
    <n v="0"/>
    <n v="300000"/>
    <n v="16500000"/>
    <n v="16500000"/>
    <n v="0"/>
    <n v="0"/>
    <s v="Prestar servicios profesionales para apoyar la identificación, análisis y aplicabilidad de variables ambientales, territoriales y de riesgo socioambiental para la planeación minero energética en los territorios priorizados. Adicionalmente, contribuir en l"/>
    <m/>
    <m/>
    <n v="16500000"/>
    <m/>
    <m/>
    <m/>
    <m/>
    <m/>
    <m/>
    <m/>
    <m/>
    <m/>
    <m/>
    <m/>
    <m/>
    <m/>
    <m/>
    <n v="200000"/>
    <m/>
    <n v="8000000"/>
    <m/>
    <n v="8000000"/>
    <m/>
    <n v="300000"/>
    <m/>
    <m/>
    <n v="16500000"/>
    <n v="16500000"/>
    <n v="0"/>
    <n v="0"/>
    <n v="38426"/>
    <d v="2026-01-15T00:00:00"/>
    <n v="16500000"/>
    <n v="0"/>
    <n v="52626"/>
    <d v="2026-02-10T00:00:00"/>
    <n v="6600000"/>
    <n v="9900000"/>
    <n v="9900000"/>
    <s v="SANABRIA HERNANDEZ SANDRA PATRICIA"/>
    <s v="CO1.PCCNTR.9259628"/>
    <m/>
    <m/>
    <m/>
    <n v="6600000"/>
    <m/>
    <m/>
    <m/>
    <m/>
    <m/>
    <m/>
    <m/>
    <m/>
    <m/>
    <m/>
    <m/>
    <m/>
    <m/>
    <m/>
    <m/>
    <m/>
    <m/>
    <m/>
    <m/>
    <m/>
    <m/>
    <m/>
    <m/>
    <m/>
    <m/>
    <m/>
    <m/>
    <m/>
    <m/>
    <m/>
    <m/>
    <m/>
    <n v="6600000"/>
    <n v="0"/>
    <n v="0"/>
    <n v="6600000"/>
    <n v="0"/>
  </r>
  <r>
    <x v="0"/>
    <x v="0"/>
    <s v="Fortalecimiento del levantamiento, gestión y apropiación de la información para la planeación del sector minero energético con enfoque territorial nacional"/>
    <s v="Enfoque Territorial"/>
    <s v="Sí"/>
    <s v="Sí"/>
    <n v="22"/>
    <s v="100-71"/>
    <s v="Incluir el uso de las particularidades propias de cada territorio en la planeación minero energética."/>
    <s v="Documentos Metodológicos"/>
    <s v="Identificar e incorporar variables sociales, ambientales y territoriales en los documentos de planeación minero energética."/>
    <s v="43201800;43233405;43212201"/>
    <s v="C-2106-1900-10-53105E-2106005-02"/>
    <x v="1"/>
    <s v="100-71 Adquirir el licenciamiento por suscripción para Plataforma de virtualización y almacenamiento en nube incluyendo la adquisición del hardware para Computación y Storage que soporta esta solución de Hiperconvergencia."/>
    <s v="Abril"/>
    <s v="Mayo"/>
    <s v="Mayo"/>
    <n v="8"/>
    <s v="Meses"/>
    <s v="Seléccion abreviada - acuerdo marco"/>
    <s v="Propios - 20 - Ingresos corrientes"/>
    <n v="36000000"/>
    <n v="36000000"/>
    <s v="N/A"/>
    <s v="N/A"/>
    <s v="Sandra Caballero"/>
    <s v="Asesora Dirección general"/>
    <n v="6012220601"/>
    <s v="sandra.caballero@upme.gov.co"/>
    <n v="0"/>
    <n v="0"/>
    <n v="0"/>
    <n v="0"/>
    <n v="0"/>
    <n v="0"/>
    <n v="0"/>
    <n v="0"/>
    <n v="0"/>
    <n v="0"/>
    <n v="0"/>
    <n v="0"/>
    <n v="36000000"/>
    <n v="0"/>
    <n v="0"/>
    <n v="0"/>
    <n v="0"/>
    <n v="0"/>
    <n v="0"/>
    <n v="0"/>
    <n v="0"/>
    <n v="0"/>
    <n v="0"/>
    <n v="36000000"/>
    <n v="36000000"/>
    <n v="36000000"/>
    <n v="0"/>
    <n v="0"/>
    <s v="Adquirir el licenciamiento por suscripción para Plataforma de virtualización y almacenamiento en nube incluyendo la adquisición del hardware para Computación y Storage que soporta esta solución de Hiperconvergencia."/>
    <m/>
    <m/>
    <m/>
    <m/>
    <m/>
    <m/>
    <m/>
    <m/>
    <m/>
    <m/>
    <m/>
    <m/>
    <n v="36000000"/>
    <m/>
    <m/>
    <m/>
    <m/>
    <m/>
    <m/>
    <m/>
    <m/>
    <m/>
    <m/>
    <n v="36000000"/>
    <m/>
    <m/>
    <n v="36000000"/>
    <n v="36000000"/>
    <n v="0"/>
    <n v="0"/>
    <n v="67626"/>
    <d v="2026-01-30T00:00:00"/>
    <n v="0"/>
    <n v="36000000"/>
    <m/>
    <m/>
    <n v="0"/>
    <n v="36000000"/>
    <n v="0"/>
    <m/>
    <m/>
    <m/>
    <m/>
    <m/>
    <m/>
    <m/>
    <m/>
    <m/>
    <m/>
    <m/>
    <m/>
    <m/>
    <m/>
    <m/>
    <m/>
    <m/>
    <m/>
    <m/>
    <m/>
    <m/>
    <m/>
    <m/>
    <m/>
    <m/>
    <m/>
    <m/>
    <m/>
    <m/>
    <m/>
    <m/>
    <m/>
    <m/>
    <m/>
    <m/>
    <m/>
    <m/>
    <m/>
    <n v="0"/>
    <n v="0"/>
    <n v="0"/>
    <n v="0"/>
    <n v="0"/>
  </r>
  <r>
    <x v="0"/>
    <x v="1"/>
    <s v="Fortalecimiento de la percepción de la ciudadanía frente a los productos y servicios prestados por la UPME nacional"/>
    <s v="Transversal"/>
    <s v="Sí"/>
    <s v="Sí"/>
    <n v="68"/>
    <s v="101-1"/>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1 Prestar los servicios profesionales especializados para el desarrollo de los componentes de planeación, gestión de recursos y ejecución del ciclo de los proyectos de inversión pública, así como en la elaboración, actualización y mejora de las herram"/>
    <s v="Enero "/>
    <s v="Enero "/>
    <s v="Enero "/>
    <n v="345"/>
    <s v="Días"/>
    <s v="Contratación directa - Prestación de servicios profesionales "/>
    <s v="Propios - 20 - Ingresos corrientes"/>
    <n v="68357300"/>
    <n v="68357300"/>
    <s v="No"/>
    <s v="N/A"/>
    <s v="Verónica Tabares Muñoz"/>
    <s v="Jefe de Oficina Asesora de Planeación"/>
    <n v="6012220601"/>
    <s v="veronica.tabares@upme.gov.co"/>
    <n v="68357300"/>
    <n v="0"/>
    <n v="0"/>
    <n v="7333333"/>
    <n v="0"/>
    <n v="11000000"/>
    <n v="0"/>
    <n v="11000000"/>
    <n v="0"/>
    <n v="11000000"/>
    <n v="0"/>
    <n v="11000000"/>
    <n v="0"/>
    <n v="11000000"/>
    <n v="0"/>
    <n v="6023967"/>
    <n v="0"/>
    <n v="0"/>
    <n v="0"/>
    <n v="0"/>
    <n v="0"/>
    <n v="0"/>
    <n v="0"/>
    <n v="0"/>
    <n v="68357300"/>
    <n v="68357300"/>
    <n v="0"/>
    <n v="0"/>
    <s v="Prestar los servicios profesionales especializados para el desarrollo de los componentes de planeación, gestión de recursos y ejecución del ciclo de los proyectos de inversión pública, así como en la elaboración, actualización y mejora de las herramientas"/>
    <n v="68357300"/>
    <m/>
    <m/>
    <n v="7333333"/>
    <m/>
    <n v="11000000"/>
    <m/>
    <n v="11000000"/>
    <m/>
    <n v="11000000"/>
    <m/>
    <n v="11000000"/>
    <m/>
    <n v="11000000"/>
    <m/>
    <n v="6023967"/>
    <m/>
    <m/>
    <m/>
    <m/>
    <m/>
    <m/>
    <m/>
    <m/>
    <m/>
    <m/>
    <n v="68357300"/>
    <n v="68357300"/>
    <n v="0"/>
    <n v="0"/>
    <n v="2426"/>
    <d v="2026-01-05T00:00:00"/>
    <n v="67990633"/>
    <n v="366667"/>
    <n v="9926"/>
    <d v="2026-01-16T00:00:00"/>
    <n v="67990633"/>
    <n v="366667"/>
    <n v="0"/>
    <s v="FERNANDEZ GALVIS JENNYFER ROCIO"/>
    <s v="CO1.PCCNTR.8875400"/>
    <n v="68357300"/>
    <m/>
    <m/>
    <n v="-366667"/>
    <n v="5133333"/>
    <n v="5133333"/>
    <m/>
    <n v="11000000"/>
    <n v="11000000"/>
    <m/>
    <n v="11000000"/>
    <n v="11000000"/>
    <m/>
    <m/>
    <m/>
    <m/>
    <m/>
    <m/>
    <m/>
    <m/>
    <m/>
    <m/>
    <m/>
    <m/>
    <m/>
    <m/>
    <m/>
    <m/>
    <m/>
    <m/>
    <m/>
    <m/>
    <m/>
    <m/>
    <m/>
    <m/>
    <n v="67990633"/>
    <n v="27133333"/>
    <n v="27133333"/>
    <n v="40857300"/>
    <n v="0"/>
  </r>
  <r>
    <x v="0"/>
    <x v="1"/>
    <s v="Fortalecimiento de la percepción de la ciudadanía frente a los productos y servicios prestados por la UPME nacional"/>
    <s v="Transversal"/>
    <s v="Sí"/>
    <s v="Sí"/>
    <n v="68"/>
    <s v="101-2"/>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2 Prestar servicios profesionales para implementar, monitorear y realizar seguimiento al Plan de ejecución y monitoreo 2026 del Programa de Transparencia y Ética Pública (PTEP) 2026 - 2029 de la UPME, brindando orientación y apoyo metodológico para la"/>
    <s v="Enero "/>
    <s v="Enero "/>
    <s v="Enero "/>
    <n v="340"/>
    <s v="Días"/>
    <s v="Contratación directa - Prestación de servicios profesionales "/>
    <s v="Propios - 20 - Ingresos corrientes"/>
    <n v="30000000"/>
    <n v="30000000"/>
    <s v="No"/>
    <s v="N/A"/>
    <s v="Verónica Tabares Muñoz"/>
    <s v="Jefe de Oficina Asesora de Planeación"/>
    <n v="6012220601"/>
    <s v="veronica.tabares@upme.gov.co"/>
    <n v="0"/>
    <n v="0"/>
    <n v="30000000"/>
    <n v="0"/>
    <n v="0"/>
    <n v="5333333"/>
    <n v="0"/>
    <n v="8000000"/>
    <n v="0"/>
    <n v="8000000"/>
    <n v="0"/>
    <n v="8000000"/>
    <n v="0"/>
    <n v="666667"/>
    <n v="0"/>
    <n v="0"/>
    <n v="0"/>
    <n v="0"/>
    <n v="0"/>
    <n v="0"/>
    <n v="0"/>
    <n v="0"/>
    <n v="0"/>
    <n v="0"/>
    <n v="30000000"/>
    <n v="30000000"/>
    <n v="0"/>
    <n v="0"/>
    <s v="Prestar servicios profesionales para implementar, monitorear y realizar seguimiento al Plan de ejecución y monitoreo 2026 del Programa de Transparencia y Ética Pública (PTEP) 2026 - 2029 de la UPME, brindando orientación y apoyo metodológico para la adopc"/>
    <m/>
    <m/>
    <n v="30000000"/>
    <m/>
    <m/>
    <n v="5333333"/>
    <m/>
    <n v="8000000"/>
    <m/>
    <n v="8000000"/>
    <m/>
    <n v="8000000"/>
    <m/>
    <n v="666667"/>
    <m/>
    <m/>
    <m/>
    <m/>
    <m/>
    <m/>
    <m/>
    <m/>
    <m/>
    <m/>
    <m/>
    <m/>
    <n v="30000000"/>
    <n v="30000000"/>
    <n v="0"/>
    <n v="0"/>
    <n v="54426"/>
    <d v="2026-01-21T00:00:00"/>
    <n v="26000000"/>
    <n v="4000000"/>
    <n v="46026"/>
    <d v="2026-02-05T00:00:00"/>
    <n v="26000000"/>
    <n v="4000000"/>
    <n v="0"/>
    <s v="MURCIA VANEGAS JESSICA LORENA"/>
    <s v="CO1.PCCNTR.9249984"/>
    <m/>
    <m/>
    <m/>
    <n v="27333333"/>
    <m/>
    <m/>
    <n v="-1333333"/>
    <n v="6666667"/>
    <n v="6666667"/>
    <m/>
    <n v="8000000"/>
    <n v="8000000"/>
    <m/>
    <m/>
    <m/>
    <m/>
    <m/>
    <m/>
    <m/>
    <m/>
    <m/>
    <m/>
    <m/>
    <m/>
    <m/>
    <m/>
    <m/>
    <m/>
    <m/>
    <m/>
    <m/>
    <m/>
    <m/>
    <m/>
    <m/>
    <m/>
    <n v="26000000"/>
    <n v="14666667"/>
    <n v="14666667"/>
    <n v="11333333"/>
    <n v="0"/>
  </r>
  <r>
    <x v="0"/>
    <x v="1"/>
    <s v="Fortalecimiento de la percepción de la ciudadanía frente a los productos y servicios prestados por la UPME nacional"/>
    <s v="Transversal"/>
    <s v="Sí"/>
    <s v="Sí"/>
    <n v="68"/>
    <s v="101-3"/>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3 Prestar servicios profesionales para apoyar las acciones de formulación y seguimiento de los proyectos de inversión de la entidad; así como el registro, análisis y consolidación de información en las herramientas y sistemas de información definidos "/>
    <s v="Enero "/>
    <s v="Enero "/>
    <s v="Enero "/>
    <n v="340"/>
    <s v="Días"/>
    <s v="Contratación directa - Prestación de servicios profesionales "/>
    <s v="Propios - 20 - Ingresos corrientes"/>
    <n v="43006600"/>
    <n v="43006600"/>
    <s v="No"/>
    <s v="N/A"/>
    <s v="Verónica Tabares Muñoz"/>
    <s v="Jefe de Oficina Asesora de Planeación"/>
    <n v="6012220601"/>
    <s v="veronica.tabares@upme.gov.co"/>
    <n v="43006600"/>
    <n v="0"/>
    <n v="0"/>
    <n v="2529800"/>
    <n v="0"/>
    <n v="3794700"/>
    <n v="0"/>
    <n v="3794700"/>
    <n v="0"/>
    <n v="3794700"/>
    <n v="0"/>
    <n v="3794700"/>
    <n v="0"/>
    <n v="3794700"/>
    <n v="0"/>
    <n v="3794700"/>
    <n v="0"/>
    <n v="3794700"/>
    <n v="0"/>
    <n v="3794700"/>
    <n v="0"/>
    <n v="3794700"/>
    <n v="0"/>
    <n v="6324500"/>
    <n v="43006600"/>
    <n v="43006600"/>
    <n v="0"/>
    <n v="0"/>
    <s v="Prestar servicios profesionales para apoyar las acciones de formulación y seguimiento de los proyectos de inversión de la entidad; así como el registro, análisis y consolidación de información en las herramientas y sistemas de información definidos por la"/>
    <n v="43006600"/>
    <m/>
    <m/>
    <n v="2529800"/>
    <m/>
    <n v="3794700"/>
    <m/>
    <n v="3794700"/>
    <m/>
    <n v="3794700"/>
    <m/>
    <n v="3794700"/>
    <m/>
    <n v="3794700"/>
    <m/>
    <n v="3794700"/>
    <m/>
    <n v="3794700"/>
    <m/>
    <n v="3794700"/>
    <m/>
    <n v="3794700"/>
    <m/>
    <n v="6324500"/>
    <m/>
    <m/>
    <n v="43006600"/>
    <n v="43006600"/>
    <n v="0"/>
    <n v="0"/>
    <n v="2626"/>
    <d v="2026-01-05T00:00:00"/>
    <n v="43006600"/>
    <n v="0"/>
    <n v="10126"/>
    <d v="2026-01-16T00:00:00"/>
    <n v="43006600"/>
    <n v="0"/>
    <n v="0"/>
    <s v="PATIÑO GUTIERREZ MARIA JOSE"/>
    <s v="CO1.PCCNTR.8859914"/>
    <n v="43006600"/>
    <m/>
    <m/>
    <m/>
    <n v="1770860"/>
    <n v="1770860"/>
    <m/>
    <n v="3794700"/>
    <n v="3794700"/>
    <m/>
    <n v="3794700"/>
    <n v="3794700"/>
    <m/>
    <m/>
    <m/>
    <m/>
    <m/>
    <m/>
    <m/>
    <m/>
    <m/>
    <m/>
    <m/>
    <m/>
    <m/>
    <m/>
    <m/>
    <m/>
    <m/>
    <m/>
    <m/>
    <m/>
    <m/>
    <m/>
    <m/>
    <m/>
    <n v="43006600"/>
    <n v="9360260"/>
    <n v="9360260"/>
    <n v="33646340"/>
    <n v="0"/>
  </r>
  <r>
    <x v="0"/>
    <x v="1"/>
    <s v="Fortalecimiento de la percepción de la ciudadanía frente a los productos y servicios prestados por la UPME nacional"/>
    <s v="Transversal"/>
    <s v="Sí"/>
    <s v="Sí"/>
    <n v="68"/>
    <s v="101-4"/>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4 Prestar servicios profesionales para apoyar las actividades de seguimiento, evaluación y mejora del Sistema de Gestión Institucional, en articulación con el Modelo Integrado de Planeación y Gestión (MIPG)."/>
    <s v="Enero "/>
    <s v="Enero "/>
    <s v="Enero "/>
    <n v="330"/>
    <s v="Días"/>
    <s v="Contratación directa - Prestación de servicios profesionales "/>
    <s v="Propios - 20 - Ingresos corrientes"/>
    <n v="23923293"/>
    <n v="23923293"/>
    <s v="No"/>
    <s v="N/A"/>
    <s v="Verónica Tabares Muñoz"/>
    <s v="Jefe de Oficina Asesora de Planeación"/>
    <n v="6012220601"/>
    <s v="veronica.tabares@upme.gov.co"/>
    <n v="0"/>
    <n v="0"/>
    <n v="23923293"/>
    <n v="0"/>
    <n v="0"/>
    <n v="3500000"/>
    <n v="0"/>
    <n v="3500000"/>
    <n v="0"/>
    <n v="3500000"/>
    <n v="0"/>
    <n v="3500000"/>
    <n v="0"/>
    <n v="3500000"/>
    <n v="0"/>
    <n v="3500000"/>
    <n v="0"/>
    <n v="2923293"/>
    <n v="0"/>
    <n v="0"/>
    <n v="0"/>
    <n v="0"/>
    <n v="0"/>
    <n v="0"/>
    <n v="23923293"/>
    <n v="23923293"/>
    <n v="0"/>
    <n v="0"/>
    <s v="Prestar servicios profesionales para apoyar las actividades de seguimiento, evaluación y mejora del Sistema de Gestión Institucional, en articulación con el Modelo Integrado de Planeación y Gestión (MIPG)."/>
    <m/>
    <m/>
    <n v="23923293"/>
    <m/>
    <m/>
    <n v="3500000"/>
    <m/>
    <n v="3500000"/>
    <m/>
    <n v="3500000"/>
    <m/>
    <n v="3500000"/>
    <m/>
    <n v="3500000"/>
    <m/>
    <n v="3500000"/>
    <m/>
    <n v="2923293"/>
    <m/>
    <m/>
    <m/>
    <m/>
    <m/>
    <m/>
    <m/>
    <m/>
    <n v="23923293"/>
    <n v="23923293"/>
    <n v="0"/>
    <n v="0"/>
    <n v="54226"/>
    <d v="2026-01-21T00:00:00"/>
    <n v="22639960"/>
    <n v="1283333"/>
    <n v="58526"/>
    <d v="2026-02-11T00:00:00"/>
    <n v="22639960"/>
    <n v="1283333"/>
    <n v="0"/>
    <s v="AGUILERA MAYORGA FERNANDO"/>
    <s v="CO1.PCCNTR.9286588"/>
    <m/>
    <m/>
    <m/>
    <n v="23923293"/>
    <m/>
    <m/>
    <n v="-1283333"/>
    <n v="2216667"/>
    <n v="2216667"/>
    <m/>
    <n v="3500000"/>
    <n v="3500000"/>
    <m/>
    <m/>
    <m/>
    <m/>
    <m/>
    <m/>
    <m/>
    <m/>
    <m/>
    <m/>
    <m/>
    <m/>
    <m/>
    <m/>
    <m/>
    <m/>
    <m/>
    <m/>
    <m/>
    <m/>
    <m/>
    <m/>
    <m/>
    <m/>
    <n v="22639960"/>
    <n v="5716667"/>
    <n v="5716667"/>
    <n v="16923293"/>
    <n v="0"/>
  </r>
  <r>
    <x v="0"/>
    <x v="1"/>
    <s v="Fortalecimiento de la percepción de la ciudadanía frente a los productos y servicios prestados por la UPME nacional"/>
    <s v="Transversal"/>
    <s v="Sí"/>
    <s v="Sí"/>
    <n v="68"/>
    <s v="101-5"/>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5 Prestar servicios profesionales para acompañar el desarrollo de las actividades asociadas a la ejecución, seguimiento y organización de las acciones de cooperación internacional y demás tareas operativas asignadas a la Oficina Asesora de Planeación."/>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0"/>
    <n v="0"/>
    <n v="36139950"/>
    <n v="0"/>
    <n v="0"/>
    <n v="3285450"/>
    <n v="0"/>
    <n v="3285450"/>
    <n v="0"/>
    <n v="3285450"/>
    <n v="0"/>
    <n v="3285450"/>
    <n v="0"/>
    <n v="3285450"/>
    <n v="0"/>
    <n v="3285450"/>
    <n v="0"/>
    <n v="3285450"/>
    <n v="0"/>
    <n v="3285450"/>
    <n v="0"/>
    <n v="3285450"/>
    <n v="0"/>
    <n v="6570900"/>
    <n v="36139950"/>
    <n v="36139950"/>
    <n v="0"/>
    <n v="0"/>
    <s v="Prestar servicios profesionales para acompañar el desarrollo de las actividades asociadas a la ejecución, seguimiento y organización de las acciones de cooperación internacional y demás tareas operativas asignadas a la Oficina Asesora de Planeación."/>
    <m/>
    <m/>
    <n v="36139950"/>
    <m/>
    <m/>
    <n v="3285450"/>
    <m/>
    <n v="3285450"/>
    <m/>
    <n v="3285450"/>
    <m/>
    <n v="3285450"/>
    <m/>
    <n v="3285450"/>
    <m/>
    <n v="3285450"/>
    <m/>
    <n v="3285450"/>
    <m/>
    <n v="3285450"/>
    <m/>
    <n v="3285450"/>
    <m/>
    <n v="6570900"/>
    <m/>
    <m/>
    <n v="36139950"/>
    <n v="36139950"/>
    <n v="0"/>
    <n v="0"/>
    <n v="54326"/>
    <d v="2026-01-21T00:00:00"/>
    <n v="36139950"/>
    <n v="0"/>
    <n v="51426"/>
    <d v="2026-02-09T00:00:00"/>
    <n v="36139950"/>
    <n v="0"/>
    <n v="0"/>
    <s v="RODRIGUEZ QUINTERO JOHN ALEXANDER"/>
    <s v="CO1.PCCNTR.9284209"/>
    <m/>
    <m/>
    <m/>
    <n v="36139950"/>
    <m/>
    <m/>
    <m/>
    <m/>
    <m/>
    <m/>
    <n v="5585265"/>
    <n v="5585265"/>
    <m/>
    <m/>
    <m/>
    <m/>
    <m/>
    <m/>
    <m/>
    <m/>
    <m/>
    <m/>
    <m/>
    <m/>
    <m/>
    <m/>
    <m/>
    <m/>
    <m/>
    <m/>
    <m/>
    <m/>
    <m/>
    <m/>
    <m/>
    <m/>
    <n v="36139950"/>
    <n v="5585265"/>
    <n v="5585265"/>
    <n v="30554685"/>
    <n v="0"/>
  </r>
  <r>
    <x v="0"/>
    <x v="1"/>
    <s v="Fortalecimiento de la percepción de la ciudadanía frente a los productos y servicios prestados por la UPME nacional"/>
    <s v="Transversal"/>
    <s v="Sí"/>
    <s v="Sí"/>
    <n v="68"/>
    <s v="101-6"/>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6 Prestar los servicios profesionales especializados para el desarrollo de los componentes de planeación, gestión de recursos y ejecución del ciclo de los proyectos de inversión pública, así como en la elaboración, actualización y mejora de las herram"/>
    <s v="Enero "/>
    <s v="Enero "/>
    <s v="Enero "/>
    <n v="345"/>
    <s v="Días"/>
    <s v="Contratación directa - Prestación de servicios profesionales "/>
    <s v="Propios - 20 - Ingresos corrientes"/>
    <n v="58142700"/>
    <n v="58142700"/>
    <s v="No"/>
    <s v="N/A"/>
    <s v="Verónica Tabares Muñoz"/>
    <s v="Jefe de Oficina Asesora de Planeación"/>
    <n v="6012220601"/>
    <s v="veronica.tabares@upme.gov.co"/>
    <n v="58142700"/>
    <n v="0"/>
    <n v="0"/>
    <n v="0"/>
    <n v="0"/>
    <n v="0"/>
    <n v="0"/>
    <n v="0"/>
    <n v="0"/>
    <n v="0"/>
    <n v="0"/>
    <n v="0"/>
    <n v="0"/>
    <n v="0"/>
    <n v="0"/>
    <n v="4976033"/>
    <n v="0"/>
    <n v="11000000"/>
    <n v="0"/>
    <n v="11000000"/>
    <n v="0"/>
    <n v="11000000"/>
    <n v="0"/>
    <n v="20166667"/>
    <n v="58142700"/>
    <n v="58142700"/>
    <n v="0"/>
    <n v="0"/>
    <s v="Prestar los servicios profesionales especializados para el desarrollo de los componentes de planeación, gestión de recursos y ejecución del ciclo de los proyectos de inversión pública, así como en la elaboración, actualización y mejora de las herramientas"/>
    <n v="58142700"/>
    <m/>
    <m/>
    <m/>
    <m/>
    <m/>
    <m/>
    <m/>
    <m/>
    <m/>
    <m/>
    <m/>
    <m/>
    <m/>
    <m/>
    <n v="4976033"/>
    <m/>
    <n v="11000000"/>
    <m/>
    <n v="11000000"/>
    <m/>
    <n v="11000000"/>
    <m/>
    <n v="20166667"/>
    <m/>
    <m/>
    <n v="58142700"/>
    <n v="58142700"/>
    <n v="0"/>
    <n v="0"/>
    <n v="2426"/>
    <d v="2026-01-05T00:00:00"/>
    <n v="58142700"/>
    <n v="0"/>
    <n v="9926"/>
    <d v="2026-01-16T00:00:00"/>
    <n v="58142700"/>
    <n v="0"/>
    <n v="0"/>
    <s v="FERNANDEZ GALVIS JENNYFER ROCIO"/>
    <s v="CO1.PCCNTR.8875400"/>
    <n v="58142700"/>
    <m/>
    <m/>
    <m/>
    <m/>
    <m/>
    <m/>
    <m/>
    <m/>
    <m/>
    <m/>
    <m/>
    <m/>
    <m/>
    <m/>
    <m/>
    <m/>
    <m/>
    <m/>
    <m/>
    <m/>
    <m/>
    <m/>
    <m/>
    <m/>
    <m/>
    <m/>
    <m/>
    <m/>
    <m/>
    <m/>
    <m/>
    <m/>
    <m/>
    <m/>
    <m/>
    <n v="58142700"/>
    <n v="0"/>
    <n v="0"/>
    <n v="58142700"/>
    <n v="0"/>
  </r>
  <r>
    <x v="0"/>
    <x v="1"/>
    <s v="Fortalecimiento de la percepción de la ciudadanía frente a los productos y servicios prestados por la UPME nacional"/>
    <s v="Transversal"/>
    <s v="Sí"/>
    <s v="Sí"/>
    <n v="68"/>
    <s v="101-7"/>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7 Prestar servicios profesionales para implementar, monitorear y realizar seguimiento al Plan de ejecución y monitoreo 2026 del Programa de Transparencia y Ética Pública (PTEP) 2026 - 2029 de la UPME, brindando orientación y apoyo metodológico para la"/>
    <s v="Enero "/>
    <s v="Enero "/>
    <s v="Enero "/>
    <n v="340"/>
    <s v="Días"/>
    <s v="Contratación directa - Prestación de servicios profesionales "/>
    <s v="Propios - 20 - Ingresos corrientes"/>
    <n v="60666667"/>
    <n v="60666667"/>
    <s v="No"/>
    <s v="N/A"/>
    <s v="Verónica Tabares Muñoz"/>
    <s v="Jefe de Oficina Asesora de Planeación"/>
    <n v="6012220601"/>
    <s v="veronica.tabares@upme.gov.co"/>
    <n v="0"/>
    <n v="0"/>
    <n v="60666667"/>
    <n v="0"/>
    <n v="0"/>
    <n v="0"/>
    <n v="0"/>
    <n v="0"/>
    <n v="0"/>
    <n v="0"/>
    <n v="0"/>
    <n v="0"/>
    <n v="0"/>
    <n v="7333333"/>
    <n v="0"/>
    <n v="8000000"/>
    <n v="0"/>
    <n v="8000000"/>
    <n v="0"/>
    <n v="8000000"/>
    <n v="0"/>
    <n v="8000000"/>
    <n v="0"/>
    <n v="21333334"/>
    <n v="60666667"/>
    <n v="60666667"/>
    <n v="0"/>
    <n v="0"/>
    <s v="Prestar servicios profesionales para implementar, monitorear y realizar seguimiento al Plan de ejecución y monitoreo 2026 del Programa de Transparencia y Ética Pública (PTEP) 2026 - 2029 de la UPME, brindando orientación y apoyo metodológico para la adopc"/>
    <m/>
    <m/>
    <n v="60666667"/>
    <m/>
    <m/>
    <m/>
    <m/>
    <m/>
    <m/>
    <m/>
    <m/>
    <m/>
    <m/>
    <n v="7333333"/>
    <m/>
    <n v="8000000"/>
    <m/>
    <n v="8000000"/>
    <m/>
    <n v="8000000"/>
    <m/>
    <n v="8000000"/>
    <m/>
    <n v="21333334"/>
    <m/>
    <m/>
    <n v="60666667"/>
    <n v="60666667"/>
    <n v="0"/>
    <n v="0"/>
    <n v="54426"/>
    <d v="2026-01-21T00:00:00"/>
    <n v="60666667"/>
    <n v="0"/>
    <n v="46026"/>
    <d v="2026-02-05T00:00:00"/>
    <n v="60666667"/>
    <n v="0"/>
    <n v="0"/>
    <s v="MURCIA VANEGAS JESSICA LORENA"/>
    <s v="CO1.PCCNTR.9249984"/>
    <m/>
    <m/>
    <m/>
    <n v="60666667"/>
    <m/>
    <m/>
    <m/>
    <m/>
    <m/>
    <m/>
    <m/>
    <m/>
    <m/>
    <m/>
    <m/>
    <m/>
    <m/>
    <m/>
    <m/>
    <m/>
    <m/>
    <m/>
    <m/>
    <m/>
    <m/>
    <m/>
    <m/>
    <m/>
    <m/>
    <m/>
    <m/>
    <m/>
    <m/>
    <m/>
    <m/>
    <m/>
    <n v="60666667"/>
    <n v="0"/>
    <n v="0"/>
    <n v="60666667"/>
    <n v="0"/>
  </r>
  <r>
    <x v="0"/>
    <x v="1"/>
    <s v="Fortalecimiento de la percepción de la ciudadanía frente a los productos y servicios prestados por la UPME nacional"/>
    <s v="Transversal"/>
    <s v="Sí"/>
    <s v="Sí"/>
    <n v="4"/>
    <s v="101-8"/>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8 Prestar servicios profesionales para alinear, implementar y mejorar el Sistema de Administración del Riesgo de la Unidad de Planeación Minero Energética, en concordancia con la Política Integral de la Administración del Riesgo, conforme a las tipolo"/>
    <s v="Enero "/>
    <s v="Enero "/>
    <s v="Enero "/>
    <n v="330"/>
    <s v="Días"/>
    <s v="Contratación directa - Prestación de servicios profesionales "/>
    <s v="Propios - 20 - Ingresos corrientes"/>
    <n v="80000000"/>
    <n v="80000000"/>
    <s v="No"/>
    <s v="N/A"/>
    <s v="Verónica Tabares Muñoz"/>
    <s v="Jefe de Oficina Asesora de Planeación"/>
    <n v="6012220601"/>
    <s v="veronica.tabares@upme.gov.co"/>
    <n v="0"/>
    <n v="0"/>
    <n v="80000000"/>
    <n v="0"/>
    <n v="0"/>
    <n v="8000000"/>
    <n v="0"/>
    <n v="8000000"/>
    <n v="0"/>
    <n v="8000000"/>
    <n v="0"/>
    <n v="8000000"/>
    <n v="0"/>
    <n v="8000000"/>
    <n v="0"/>
    <n v="8000000"/>
    <n v="0"/>
    <n v="8000000"/>
    <n v="0"/>
    <n v="8000000"/>
    <n v="0"/>
    <n v="8000000"/>
    <n v="0"/>
    <n v="8000000"/>
    <n v="80000000"/>
    <n v="80000000"/>
    <n v="0"/>
    <n v="0"/>
    <s v="Prestar servicios profesionales para alinear, implementar y mejorar el Sistema de Administración del Riesgo de la Unidad de Planeación Minero Energética, en concordancia con la Política Integral de la Administración del Riesgo, conforme a las tipologías y"/>
    <m/>
    <m/>
    <n v="80000000"/>
    <m/>
    <m/>
    <n v="8000000"/>
    <m/>
    <n v="8000000"/>
    <m/>
    <n v="8000000"/>
    <m/>
    <n v="8000000"/>
    <m/>
    <n v="8000000"/>
    <m/>
    <n v="8000000"/>
    <m/>
    <n v="8000000"/>
    <m/>
    <n v="8000000"/>
    <m/>
    <n v="8000000"/>
    <m/>
    <n v="8000000"/>
    <m/>
    <m/>
    <n v="80000000"/>
    <n v="80000000"/>
    <n v="0"/>
    <n v="0"/>
    <n v="54626"/>
    <d v="2026-01-21T00:00:00"/>
    <n v="80000000"/>
    <n v="0"/>
    <n v="44326"/>
    <d v="2026-02-05T00:00:00"/>
    <n v="80000000"/>
    <n v="0"/>
    <n v="0"/>
    <s v="SANCHEZ GOMEZ LUISA FERNANDA"/>
    <s v="CO1.PCCNTR.9272478"/>
    <m/>
    <m/>
    <m/>
    <n v="80000000"/>
    <m/>
    <m/>
    <m/>
    <n v="6666667"/>
    <n v="6666667"/>
    <m/>
    <n v="8000000"/>
    <n v="8000000"/>
    <m/>
    <m/>
    <m/>
    <m/>
    <m/>
    <m/>
    <m/>
    <m/>
    <m/>
    <m/>
    <m/>
    <m/>
    <m/>
    <m/>
    <m/>
    <m/>
    <m/>
    <m/>
    <m/>
    <m/>
    <m/>
    <m/>
    <m/>
    <m/>
    <n v="80000000"/>
    <n v="14666667"/>
    <n v="14666667"/>
    <n v="65333333"/>
    <n v="0"/>
  </r>
  <r>
    <x v="0"/>
    <x v="1"/>
    <s v="Fortalecimiento de la percepción de la ciudadanía frente a los productos y servicios prestados por la UPME nacional"/>
    <s v="Transversal"/>
    <s v="Sí"/>
    <s v="Sí"/>
    <n v="7"/>
    <s v="101-9"/>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9 Prestar servicios profesionales para apoyar la implementación de la estrategia de cooperación internacional de la Unidad de Planeación Minero Energética"/>
    <s v="Enero "/>
    <s v="Enero "/>
    <s v="Enero "/>
    <n v="170"/>
    <s v="Días"/>
    <s v="Contratación directa - Prestación de servicios profesionales "/>
    <s v="Propios - 20 - Ingresos corrientes"/>
    <n v="3494869"/>
    <n v="3494869"/>
    <s v="No"/>
    <s v="N/A"/>
    <s v="Verónica Tabares Muñoz"/>
    <s v="Jefe de Oficina Asesora de Planeación"/>
    <n v="6012220601"/>
    <s v="veronica.tabares@upme.gov.co"/>
    <n v="0"/>
    <n v="0"/>
    <n v="3494869"/>
    <n v="0"/>
    <n v="0"/>
    <n v="0"/>
    <n v="0"/>
    <n v="0"/>
    <n v="0"/>
    <n v="0"/>
    <n v="0"/>
    <n v="0"/>
    <n v="0"/>
    <n v="0"/>
    <n v="0"/>
    <n v="3494869"/>
    <n v="0"/>
    <n v="0"/>
    <n v="0"/>
    <n v="0"/>
    <n v="0"/>
    <n v="0"/>
    <n v="0"/>
    <n v="0"/>
    <n v="3494869"/>
    <n v="3494869"/>
    <n v="0"/>
    <n v="0"/>
    <s v="Prestar servicios profesionales para apoyar la implementación de la estrategia de cooperación internacional de la Unidad de Planeación Minero Energética"/>
    <m/>
    <m/>
    <n v="3494869"/>
    <m/>
    <m/>
    <m/>
    <m/>
    <m/>
    <m/>
    <m/>
    <m/>
    <m/>
    <m/>
    <m/>
    <m/>
    <n v="3494869"/>
    <m/>
    <m/>
    <m/>
    <m/>
    <m/>
    <m/>
    <m/>
    <m/>
    <m/>
    <m/>
    <n v="3494869"/>
    <n v="3494869"/>
    <n v="0"/>
    <n v="0"/>
    <n v="63626"/>
    <d v="2026-01-23T00:00:00"/>
    <n v="3494869"/>
    <n v="0"/>
    <n v="38226"/>
    <d v="2026-02-03T00:00:00"/>
    <n v="3494869"/>
    <n v="0"/>
    <n v="0"/>
    <s v="OTERO LLANOS CAMILA ANDREA"/>
    <s v="CO1.PCCNTR.9239194"/>
    <m/>
    <m/>
    <m/>
    <n v="3494869"/>
    <m/>
    <m/>
    <m/>
    <n v="3494869"/>
    <n v="3494869"/>
    <m/>
    <m/>
    <m/>
    <m/>
    <m/>
    <m/>
    <m/>
    <m/>
    <m/>
    <m/>
    <m/>
    <m/>
    <m/>
    <m/>
    <m/>
    <m/>
    <m/>
    <m/>
    <m/>
    <m/>
    <m/>
    <m/>
    <m/>
    <m/>
    <m/>
    <m/>
    <m/>
    <n v="3494869"/>
    <n v="3494869"/>
    <n v="3494869"/>
    <n v="0"/>
    <n v="0"/>
  </r>
  <r>
    <x v="0"/>
    <x v="1"/>
    <s v="Fortalecimiento de la percepción de la ciudadanía frente a los productos y servicios prestados por la UPME nacional"/>
    <s v="Transversal"/>
    <s v="Sí"/>
    <s v="Sí"/>
    <n v="68"/>
    <s v="101-10"/>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10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330"/>
    <s v="Días"/>
    <s v="Contratación directa - Prestación de servicios profesionales "/>
    <s v="Propios - 20 - Ingresos corrientes"/>
    <n v="20596643"/>
    <n v="20596643"/>
    <s v="No"/>
    <s v="N/A"/>
    <s v="Verónica Tabares Muñoz"/>
    <s v="Jefe de Oficina Asesora de Planeación"/>
    <n v="6012220601"/>
    <s v="veronica.tabares@upme.gov.co"/>
    <n v="20596643"/>
    <n v="0"/>
    <n v="0"/>
    <n v="0"/>
    <n v="0"/>
    <n v="7000000"/>
    <n v="0"/>
    <n v="7000000"/>
    <n v="0"/>
    <n v="6596643"/>
    <n v="0"/>
    <n v="0"/>
    <n v="0"/>
    <n v="0"/>
    <n v="0"/>
    <n v="0"/>
    <n v="0"/>
    <n v="0"/>
    <n v="0"/>
    <n v="0"/>
    <n v="0"/>
    <n v="0"/>
    <n v="0"/>
    <n v="0"/>
    <n v="20596643"/>
    <n v="20596643"/>
    <n v="0"/>
    <n v="0"/>
    <s v="Prestar servicios profesionales para apoyar las actividades de fortalecimiento de la Política de Rendición de Cuentas, la Política de Participación Ciudadana en la Gestión y la Política de Servicio al Ciudadano de la UPME, en el marco del Modelo Integrado"/>
    <n v="20596643"/>
    <m/>
    <m/>
    <m/>
    <m/>
    <n v="7000000"/>
    <m/>
    <n v="7000000"/>
    <m/>
    <n v="6596643"/>
    <m/>
    <m/>
    <m/>
    <m/>
    <m/>
    <m/>
    <m/>
    <m/>
    <m/>
    <m/>
    <m/>
    <m/>
    <m/>
    <m/>
    <m/>
    <m/>
    <n v="20596643"/>
    <n v="20596643"/>
    <n v="0"/>
    <n v="0"/>
    <n v="3426"/>
    <d v="2026-01-05T00:00:00"/>
    <n v="20596643"/>
    <n v="0"/>
    <n v="14726"/>
    <d v="2026-01-21T00:00:00"/>
    <n v="20596643"/>
    <n v="0"/>
    <n v="0"/>
    <s v="ESPINOSA URIBE ADRIANA MILENA"/>
    <s v="CO1.PCCNTR.8898816"/>
    <n v="20596643"/>
    <m/>
    <m/>
    <m/>
    <m/>
    <m/>
    <m/>
    <n v="9100000"/>
    <n v="9100000"/>
    <m/>
    <n v="7000000"/>
    <n v="7000000"/>
    <m/>
    <m/>
    <m/>
    <m/>
    <m/>
    <m/>
    <m/>
    <m/>
    <m/>
    <m/>
    <m/>
    <m/>
    <m/>
    <m/>
    <m/>
    <m/>
    <m/>
    <m/>
    <m/>
    <m/>
    <m/>
    <m/>
    <m/>
    <m/>
    <n v="20596643"/>
    <n v="16100000"/>
    <n v="16100000"/>
    <n v="4496643"/>
    <n v="0"/>
  </r>
  <r>
    <x v="0"/>
    <x v="1"/>
    <s v="Fortalecimiento de la percepción de la ciudadanía frente a los productos y servicios prestados por la UPME nacional"/>
    <s v="Transversal"/>
    <s v="Sí"/>
    <s v="Sí"/>
    <n v="4"/>
    <s v="101-11"/>
    <s v="Mejorar el direccionamiento estratégico y la gestión de los procesos frente a la ciudadanía."/>
    <s v="Servicio de Implementación Sistemas de Gestión"/>
    <s v="Planificar y coordinar la apropiación e implementación del MIPG."/>
    <n v="80111620"/>
    <s v="C-2199-1900-4-53105B-2199062-02"/>
    <x v="0"/>
    <s v="101-11 Prestar servicios profesionales para la finalización del rediseño de los procesos definidos en el nuevo modelo operativo de la UPME y los elementos que los integran, así como los ajustes que sean requeridos en la implementación y mantenimiento del "/>
    <s v="Enero "/>
    <s v="Enero "/>
    <s v="Enero "/>
    <n v="330"/>
    <s v="Días"/>
    <s v="Contratación directa - Prestación de servicios profesionales "/>
    <s v="Propios - 20 - Ingresos corrientes"/>
    <n v="94500000"/>
    <n v="94500000"/>
    <s v="No"/>
    <s v="N/A"/>
    <s v="Verónica Tabares Muñoz"/>
    <s v="Jefe de Oficina Asesora de Planeación"/>
    <n v="6012220601"/>
    <s v="veronica.tabares@upme.gov.co"/>
    <n v="0"/>
    <n v="0"/>
    <n v="94500000"/>
    <n v="0"/>
    <n v="0"/>
    <n v="9000000"/>
    <n v="0"/>
    <n v="9000000"/>
    <n v="0"/>
    <n v="9000000"/>
    <n v="0"/>
    <n v="9000000"/>
    <n v="0"/>
    <n v="9000000"/>
    <n v="0"/>
    <n v="9000000"/>
    <n v="0"/>
    <n v="9000000"/>
    <n v="0"/>
    <n v="9000000"/>
    <n v="0"/>
    <n v="9000000"/>
    <n v="0"/>
    <n v="13500000"/>
    <n v="94500000"/>
    <n v="94500000"/>
    <n v="0"/>
    <n v="0"/>
    <s v="Prestar servicios profesionales para la finalización del rediseño de los procesos definidos en el nuevo modelo operativo de la UPME y los elementos que los integran, así como los ajustes que sean requeridos en la implementación y mantenimiento del Sistema"/>
    <m/>
    <m/>
    <n v="94500000"/>
    <m/>
    <m/>
    <n v="9000000"/>
    <m/>
    <n v="9000000"/>
    <m/>
    <n v="9000000"/>
    <m/>
    <n v="9000000"/>
    <m/>
    <n v="9000000"/>
    <m/>
    <n v="9000000"/>
    <m/>
    <n v="9000000"/>
    <m/>
    <n v="9000000"/>
    <m/>
    <n v="9000000"/>
    <m/>
    <n v="13500000"/>
    <m/>
    <m/>
    <n v="94500000"/>
    <n v="94500000"/>
    <n v="0"/>
    <n v="0"/>
    <n v="54926"/>
    <d v="2026-01-22T00:00:00"/>
    <n v="94500000"/>
    <n v="0"/>
    <n v="50626"/>
    <d v="2026-02-09T00:00:00"/>
    <n v="94500000"/>
    <n v="0"/>
    <n v="0"/>
    <s v="FERNANDEZ CUBIDES CLAUDIA"/>
    <s v="CO1.PCCNTR.9255339"/>
    <m/>
    <m/>
    <m/>
    <n v="94500000"/>
    <m/>
    <m/>
    <m/>
    <n v="6300000"/>
    <n v="6300000"/>
    <m/>
    <n v="9000000"/>
    <n v="9000000"/>
    <m/>
    <m/>
    <m/>
    <m/>
    <m/>
    <m/>
    <m/>
    <m/>
    <m/>
    <m/>
    <m/>
    <m/>
    <m/>
    <m/>
    <m/>
    <m/>
    <m/>
    <m/>
    <m/>
    <m/>
    <m/>
    <m/>
    <m/>
    <m/>
    <n v="94500000"/>
    <n v="15300000"/>
    <n v="15300000"/>
    <n v="79200000"/>
    <n v="0"/>
  </r>
  <r>
    <x v="0"/>
    <x v="1"/>
    <s v="Fortalecimiento de la percepción de la ciudadanía frente a los productos y servicios prestados por la UPME nacional"/>
    <s v="Transversal"/>
    <s v="Sí"/>
    <s v="Sí"/>
    <n v="7"/>
    <s v="101-12"/>
    <s v="Mejorar el direccionamiento estratégico y la gestión de los procesos frente a la ciudadanía."/>
    <s v="Servicio de Implementación Sistemas de Gestión"/>
    <s v="Planificar y coordinar la apropiación e implementación del MIPG."/>
    <n v="80111620"/>
    <s v="C-2199-1900-4-53105B-2199062-02"/>
    <x v="0"/>
    <s v="101-12 Prestar servicios profesionales para el desarrollo de actividades relacionadas con la gestión de la planeación institucional de la entidad, mediante el acompañamiento, seguimiento, monitoreo, análisis y elaboración de informes de avance de los plan"/>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0"/>
    <n v="0"/>
    <n v="36139950"/>
    <n v="0"/>
    <n v="0"/>
    <n v="3285450"/>
    <n v="0"/>
    <n v="3285450"/>
    <n v="0"/>
    <n v="3285450"/>
    <n v="0"/>
    <n v="3285450"/>
    <n v="0"/>
    <n v="3285450"/>
    <n v="0"/>
    <n v="3285450"/>
    <n v="0"/>
    <n v="3285450"/>
    <n v="0"/>
    <n v="3285450"/>
    <n v="0"/>
    <n v="3285450"/>
    <n v="0"/>
    <n v="6570900"/>
    <n v="36139950"/>
    <n v="36139950"/>
    <n v="0"/>
    <n v="0"/>
    <s v="Prestar servicios profesionales para el desarrollo de actividades relacionadas con la gestión de la planeación institucional de la entidad, mediante el acompañamiento, seguimiento, monitoreo, análisis y elaboración de informes de avance de los planes inst"/>
    <m/>
    <m/>
    <n v="36139950"/>
    <m/>
    <m/>
    <n v="3285450"/>
    <m/>
    <n v="3285450"/>
    <m/>
    <n v="3285450"/>
    <m/>
    <n v="3285450"/>
    <m/>
    <n v="3285450"/>
    <m/>
    <n v="3285450"/>
    <m/>
    <n v="3285450"/>
    <m/>
    <n v="3285450"/>
    <m/>
    <n v="3285450"/>
    <m/>
    <n v="6570900"/>
    <m/>
    <m/>
    <n v="36139950"/>
    <n v="36139950"/>
    <n v="0"/>
    <n v="0"/>
    <n v="60926"/>
    <d v="2026-01-23T00:00:00"/>
    <n v="36139950"/>
    <n v="0"/>
    <n v="49826"/>
    <d v="2026-02-09T00:00:00"/>
    <n v="36139950"/>
    <n v="0"/>
    <n v="0"/>
    <s v="GORDILLO GOMEZ JUAN DAVID"/>
    <s v="CO1.PCCNTR.9296691"/>
    <m/>
    <m/>
    <m/>
    <n v="36139950"/>
    <m/>
    <m/>
    <m/>
    <n v="2299815"/>
    <n v="2299815"/>
    <m/>
    <n v="3285450"/>
    <n v="3285450"/>
    <m/>
    <m/>
    <m/>
    <m/>
    <m/>
    <m/>
    <m/>
    <m/>
    <m/>
    <m/>
    <m/>
    <m/>
    <m/>
    <m/>
    <m/>
    <m/>
    <m/>
    <m/>
    <m/>
    <m/>
    <m/>
    <m/>
    <m/>
    <m/>
    <n v="36139950"/>
    <n v="5585265"/>
    <n v="5585265"/>
    <n v="30554685"/>
    <n v="0"/>
  </r>
  <r>
    <x v="0"/>
    <x v="1"/>
    <s v="Fortalecimiento de la percepción de la ciudadanía frente a los productos y servicios prestados por la UPME nacional"/>
    <s v="Transversal"/>
    <s v="Sí"/>
    <s v="Sí"/>
    <n v="68"/>
    <s v="101-13"/>
    <s v="Mejorar el direccionamiento estratégico y la gestión de los procesos frente a la ciudadanía."/>
    <s v="Servicio de Implementación Sistemas de Gestión"/>
    <s v="Planificar y coordinar la apropiación e implementación del MIPG."/>
    <n v="80111620"/>
    <s v="C-2199-1900-4-53105B-2199062-02"/>
    <x v="0"/>
    <s v="101-13 Prestar servicios profesionales para la implementación, seguimiento y reporte de las políticas de gestión y desempeño institucional en materia de defensa jurídica, mejora normativa y fortalecimiento del Sistema de Gestión Institucional, conforme a "/>
    <s v="Enero "/>
    <s v="Enero "/>
    <s v="Enero "/>
    <n v="330"/>
    <s v="Días"/>
    <s v="Contratación directa - Prestación de servicios profesionales "/>
    <s v="Propios - 20 - Ingresos corrientes"/>
    <n v="37273665"/>
    <n v="37273665"/>
    <s v="No"/>
    <s v="N/A"/>
    <s v="Verónica Tabares Muñoz"/>
    <s v="Jefe de Oficina Asesora de Planeación"/>
    <n v="6012220601"/>
    <s v="veronica.tabares@upme.gov.co"/>
    <n v="34273665"/>
    <n v="0"/>
    <n v="0"/>
    <n v="3000000"/>
    <n v="0"/>
    <n v="6000000"/>
    <n v="0"/>
    <n v="6000000"/>
    <n v="0"/>
    <n v="6000000"/>
    <n v="0"/>
    <n v="6000000"/>
    <n v="0"/>
    <n v="6000000"/>
    <n v="0"/>
    <n v="4273665"/>
    <n v="3000000"/>
    <n v="0"/>
    <n v="0"/>
    <n v="0"/>
    <n v="0"/>
    <n v="0"/>
    <n v="0"/>
    <n v="0"/>
    <n v="37273665"/>
    <n v="37273665"/>
    <n v="0"/>
    <n v="0"/>
    <s v="Prestar servicios profesionales para la implementación, seguimiento y reporte de las políticas de gestión y desempeño institucional en materia de defensa jurídica, mejora normativa y fortalecimiento del Sistema de Gestión Institucional, conforme a los lin"/>
    <n v="34273665"/>
    <m/>
    <m/>
    <n v="3000000"/>
    <m/>
    <n v="6000000"/>
    <m/>
    <n v="6000000"/>
    <m/>
    <n v="6000000"/>
    <m/>
    <n v="6000000"/>
    <m/>
    <n v="6000000"/>
    <m/>
    <n v="4273665"/>
    <n v="3000000"/>
    <m/>
    <m/>
    <m/>
    <m/>
    <m/>
    <m/>
    <m/>
    <m/>
    <m/>
    <n v="37273665"/>
    <n v="37273665"/>
    <n v="0"/>
    <n v="0"/>
    <n v="3326"/>
    <d v="2026-01-05T00:00:00"/>
    <n v="34273665"/>
    <n v="3000000"/>
    <n v="10626"/>
    <d v="2026-01-16T00:00:00"/>
    <n v="34273665"/>
    <n v="3000000"/>
    <n v="0"/>
    <s v="CACERES HERRERA DIANA MARCELA"/>
    <s v="CO1.PCCNTR.8875153"/>
    <n v="34273665"/>
    <m/>
    <m/>
    <m/>
    <m/>
    <m/>
    <m/>
    <m/>
    <m/>
    <m/>
    <m/>
    <m/>
    <m/>
    <m/>
    <m/>
    <m/>
    <m/>
    <m/>
    <m/>
    <m/>
    <m/>
    <m/>
    <m/>
    <m/>
    <m/>
    <m/>
    <m/>
    <m/>
    <m/>
    <m/>
    <m/>
    <m/>
    <m/>
    <m/>
    <m/>
    <m/>
    <n v="34273665"/>
    <n v="0"/>
    <n v="0"/>
    <n v="34273665"/>
    <n v="0"/>
  </r>
  <r>
    <x v="0"/>
    <x v="1"/>
    <s v="Fortalecimiento de la percepción de la ciudadanía frente a los productos y servicios prestados por la UPME nacional"/>
    <s v="Transversal"/>
    <s v="Sí"/>
    <s v="Sí"/>
    <n v="68"/>
    <s v="101-14"/>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14 Prestar servicios profesionales para apoyar las actividades de seguimiento, evaluación y mejora del Sistema de Gestión Institucional, en articulación con el Modelo Integrado de Planeación y Gestión (MIPG)."/>
    <s v="Enero "/>
    <s v="Enero "/>
    <s v="Enero "/>
    <n v="330"/>
    <s v="Días"/>
    <s v="Contratación directa - Prestación de servicios profesionales "/>
    <s v="Propios - 20 - Ingresos corrientes"/>
    <n v="14576707"/>
    <n v="14576707"/>
    <s v="No"/>
    <s v="N/A"/>
    <s v="Verónica Tabares Muñoz"/>
    <s v="Jefe de Oficina Asesora de Planeación"/>
    <n v="6012220601"/>
    <s v="veronica.tabares@upme.gov.co"/>
    <n v="0"/>
    <n v="0"/>
    <n v="14576707"/>
    <n v="0"/>
    <n v="0"/>
    <n v="0"/>
    <n v="0"/>
    <n v="0"/>
    <n v="0"/>
    <n v="0"/>
    <n v="0"/>
    <n v="0"/>
    <n v="0"/>
    <n v="0"/>
    <n v="0"/>
    <n v="0"/>
    <n v="0"/>
    <n v="576707"/>
    <n v="0"/>
    <n v="3500000"/>
    <n v="0"/>
    <n v="3500000"/>
    <n v="0"/>
    <n v="7000000"/>
    <n v="14576707"/>
    <n v="14576707"/>
    <n v="0"/>
    <n v="0"/>
    <s v="Prestar servicios profesionales para apoyar las actividades de seguimiento, evaluación y mejora del Sistema de Gestión Institucional, en articulación con el Modelo Integrado de Planeación y Gestión (MIPG)."/>
    <m/>
    <m/>
    <n v="14576707"/>
    <m/>
    <m/>
    <m/>
    <m/>
    <m/>
    <m/>
    <m/>
    <m/>
    <m/>
    <m/>
    <m/>
    <m/>
    <m/>
    <m/>
    <n v="576707"/>
    <m/>
    <n v="3500000"/>
    <m/>
    <n v="3500000"/>
    <m/>
    <n v="7000000"/>
    <m/>
    <m/>
    <n v="14576707"/>
    <n v="14576707"/>
    <n v="0"/>
    <n v="0"/>
    <n v="54226"/>
    <d v="2026-01-21T00:00:00"/>
    <n v="14576707"/>
    <n v="0"/>
    <n v="58526"/>
    <d v="2026-02-11T00:00:00"/>
    <n v="14576707"/>
    <n v="0"/>
    <n v="0"/>
    <s v="AGUILERA MAYORGA FERNANDO"/>
    <s v="CO1.PCCNTR.9286588"/>
    <m/>
    <m/>
    <m/>
    <n v="14576707"/>
    <m/>
    <m/>
    <m/>
    <m/>
    <m/>
    <m/>
    <m/>
    <m/>
    <m/>
    <m/>
    <m/>
    <m/>
    <m/>
    <m/>
    <m/>
    <m/>
    <m/>
    <m/>
    <m/>
    <m/>
    <m/>
    <m/>
    <m/>
    <m/>
    <m/>
    <m/>
    <m/>
    <m/>
    <m/>
    <m/>
    <m/>
    <m/>
    <n v="14576707"/>
    <n v="0"/>
    <n v="0"/>
    <n v="14576707"/>
    <n v="0"/>
  </r>
  <r>
    <x v="0"/>
    <x v="1"/>
    <s v="Fortalecimiento de la percepción de la ciudadanía frente a los productos y servicios prestados por la UPME nacional"/>
    <s v="Transversal"/>
    <s v="Sí"/>
    <s v="Sí"/>
    <n v="7"/>
    <s v="101-15"/>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15 Prestar servicios profesionales para apoyar la documentación y actualización de los procesos y procedimientos de la Unidad de Planeación Minero Energética, así como la gestión documental que se genere en el marco de la implementación y seguimiento "/>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36139950"/>
    <n v="0"/>
    <n v="0"/>
    <n v="0"/>
    <n v="0"/>
    <n v="3285450"/>
    <n v="0"/>
    <n v="3285450"/>
    <n v="0"/>
    <n v="3285450"/>
    <n v="0"/>
    <n v="3285450"/>
    <n v="0"/>
    <n v="3285450"/>
    <n v="0"/>
    <n v="3285450"/>
    <n v="0"/>
    <n v="3285450"/>
    <n v="0"/>
    <n v="3285450"/>
    <n v="0"/>
    <n v="3285450"/>
    <n v="0"/>
    <n v="6570900"/>
    <n v="36139950"/>
    <n v="36139950"/>
    <n v="0"/>
    <n v="0"/>
    <s v="Prestar servicios profesionales para apoyar la documentación y actualización de los procesos y procedimientos de la Unidad de Planeación Minero Energética, así como la gestión documental que se genere en el marco de la implementación y seguimiento del Sis"/>
    <n v="36139950"/>
    <m/>
    <m/>
    <m/>
    <m/>
    <n v="3285450"/>
    <m/>
    <n v="3285450"/>
    <m/>
    <n v="3285450"/>
    <m/>
    <n v="3285450"/>
    <m/>
    <n v="3285450"/>
    <m/>
    <n v="3285450"/>
    <m/>
    <n v="3285450"/>
    <m/>
    <n v="3285450"/>
    <m/>
    <n v="3285450"/>
    <m/>
    <n v="6570900"/>
    <m/>
    <m/>
    <n v="36139950"/>
    <n v="36139950"/>
    <n v="0"/>
    <n v="0"/>
    <n v="35226"/>
    <d v="2026-01-15T00:00:00"/>
    <n v="36139950"/>
    <n v="0"/>
    <n v="32426"/>
    <d v="2026-01-29T00:00:00"/>
    <n v="36139950"/>
    <n v="0"/>
    <n v="0"/>
    <s v="PITALNA BELEÑO SHIRLEY PAOLA"/>
    <s v="CO1.PCCNTR.9103881"/>
    <n v="36139950"/>
    <m/>
    <m/>
    <m/>
    <n v="109515"/>
    <n v="109515"/>
    <m/>
    <n v="3285450"/>
    <n v="3285450"/>
    <m/>
    <n v="3285450"/>
    <n v="3285450"/>
    <m/>
    <m/>
    <m/>
    <m/>
    <m/>
    <m/>
    <m/>
    <m/>
    <m/>
    <m/>
    <m/>
    <m/>
    <m/>
    <m/>
    <m/>
    <m/>
    <m/>
    <m/>
    <m/>
    <m/>
    <m/>
    <m/>
    <m/>
    <m/>
    <n v="36139950"/>
    <n v="6680415"/>
    <n v="6680415"/>
    <n v="29459535"/>
    <n v="0"/>
  </r>
  <r>
    <x v="0"/>
    <x v="1"/>
    <s v="Fortalecimiento de la percepción de la ciudadanía frente a los productos y servicios prestados por la UPME nacional"/>
    <s v="Transversal"/>
    <s v="Sí"/>
    <s v="Sí"/>
    <n v="68"/>
    <s v="101-16"/>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16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330"/>
    <s v="Días"/>
    <s v="Contratación directa - Prestación de servicios profesionales "/>
    <s v="Propios - 20 - Ingresos corrientes"/>
    <n v="26403357"/>
    <n v="26403357"/>
    <s v="No"/>
    <s v="N/A"/>
    <s v="Verónica Tabares Muñoz"/>
    <s v="Jefe de Oficina Asesora de Planeación"/>
    <n v="6012220601"/>
    <s v="veronica.tabares@upme.gov.co"/>
    <n v="26403357"/>
    <n v="0"/>
    <n v="0"/>
    <n v="0"/>
    <n v="0"/>
    <n v="0"/>
    <n v="0"/>
    <n v="0"/>
    <n v="0"/>
    <n v="403357"/>
    <n v="0"/>
    <n v="7000000"/>
    <n v="0"/>
    <n v="7000000"/>
    <n v="0"/>
    <n v="7000000"/>
    <n v="0"/>
    <n v="5000000"/>
    <n v="0"/>
    <n v="0"/>
    <n v="0"/>
    <n v="0"/>
    <n v="0"/>
    <n v="0"/>
    <n v="26403357"/>
    <n v="26403357"/>
    <n v="0"/>
    <n v="0"/>
    <s v="Prestar servicios profesionales para apoyar las actividades de fortalecimiento de la Política de Rendición de Cuentas, la Política de Participación Ciudadana en la Gestión y la Política de Servicio al Ciudadano de la UPME, en el marco del Modelo Integrado"/>
    <n v="26403357"/>
    <m/>
    <m/>
    <m/>
    <m/>
    <m/>
    <m/>
    <m/>
    <m/>
    <n v="403357"/>
    <m/>
    <n v="7000000"/>
    <m/>
    <n v="7000000"/>
    <m/>
    <n v="7000000"/>
    <m/>
    <n v="5000000"/>
    <m/>
    <m/>
    <m/>
    <m/>
    <m/>
    <m/>
    <m/>
    <m/>
    <n v="26403357"/>
    <n v="26403357"/>
    <n v="0"/>
    <n v="0"/>
    <n v="3426"/>
    <d v="2026-01-05T00:00:00"/>
    <n v="26403357"/>
    <n v="0"/>
    <n v="14726"/>
    <d v="2026-01-21T00:00:00"/>
    <n v="26403357"/>
    <n v="0"/>
    <n v="0"/>
    <s v="ESPINOSA URIBE ADRIANA MILENA"/>
    <s v="CO1.PCCNTR.8898816"/>
    <n v="26403357"/>
    <m/>
    <m/>
    <m/>
    <m/>
    <m/>
    <m/>
    <m/>
    <m/>
    <m/>
    <m/>
    <m/>
    <m/>
    <m/>
    <m/>
    <m/>
    <m/>
    <m/>
    <m/>
    <m/>
    <m/>
    <m/>
    <m/>
    <m/>
    <m/>
    <m/>
    <m/>
    <m/>
    <m/>
    <m/>
    <m/>
    <m/>
    <m/>
    <m/>
    <m/>
    <m/>
    <n v="26403357"/>
    <n v="0"/>
    <n v="0"/>
    <n v="26403357"/>
    <n v="0"/>
  </r>
  <r>
    <x v="0"/>
    <x v="1"/>
    <s v="Fortalecimiento de la percepción de la ciudadanía frente a los productos y servicios prestados por la UPME nacional"/>
    <s v="Transversal"/>
    <s v="Sí"/>
    <s v="Sí"/>
    <n v="68"/>
    <s v="101-17"/>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43233701"/>
    <s v="C-2199-1900-4-53105B-2199062-02"/>
    <x v="5"/>
    <s v="101-17 Renovar la suscripción del sistema de información para la integración y administración de la planeación institucional y de los sistemas de gestión de la Unidad de Planeación Minero Energética."/>
    <s v="Noviembre"/>
    <s v="Noviembre"/>
    <s v="Noviembre"/>
    <n v="365"/>
    <s v="Días"/>
    <s v="Contratación directa - único oferente"/>
    <s v="Propios - 20 - Ingresos corrientes"/>
    <n v="127210300"/>
    <n v="127210300"/>
    <s v="No"/>
    <s v="N/A"/>
    <s v="Verónica Tabares Muñoz"/>
    <s v="Jefe de Oficina Asesora de Planeación"/>
    <n v="6012220601"/>
    <s v="veronica.tabares@upme.gov.co"/>
    <n v="0"/>
    <n v="0"/>
    <n v="0"/>
    <n v="0"/>
    <n v="0"/>
    <n v="0"/>
    <n v="0"/>
    <n v="0"/>
    <n v="0"/>
    <n v="0"/>
    <n v="0"/>
    <n v="0"/>
    <n v="0"/>
    <n v="0"/>
    <n v="0"/>
    <n v="0"/>
    <n v="0"/>
    <n v="0"/>
    <n v="0"/>
    <n v="0"/>
    <n v="127210300"/>
    <n v="0"/>
    <n v="0"/>
    <n v="127210300"/>
    <n v="127210300"/>
    <n v="127210300"/>
    <n v="0"/>
    <n v="0"/>
    <s v="Renovar la suscripción del sistema de información para la integración y administración de la planeación institucional y de los sistemas de gestión de la Unidad de Planeación Minero Energética."/>
    <m/>
    <m/>
    <m/>
    <m/>
    <m/>
    <m/>
    <m/>
    <m/>
    <m/>
    <m/>
    <m/>
    <m/>
    <m/>
    <m/>
    <m/>
    <m/>
    <m/>
    <m/>
    <m/>
    <m/>
    <n v="127210300"/>
    <m/>
    <m/>
    <n v="127210300"/>
    <m/>
    <m/>
    <n v="127210300"/>
    <n v="127210300"/>
    <n v="0"/>
    <n v="0"/>
    <m/>
    <m/>
    <m/>
    <n v="127210300"/>
    <m/>
    <m/>
    <n v="0"/>
    <n v="127210300"/>
    <n v="0"/>
    <m/>
    <m/>
    <m/>
    <m/>
    <m/>
    <m/>
    <m/>
    <m/>
    <m/>
    <m/>
    <m/>
    <m/>
    <m/>
    <m/>
    <m/>
    <m/>
    <m/>
    <m/>
    <m/>
    <m/>
    <m/>
    <m/>
    <m/>
    <m/>
    <m/>
    <m/>
    <m/>
    <m/>
    <m/>
    <m/>
    <m/>
    <m/>
    <m/>
    <m/>
    <m/>
    <m/>
    <m/>
    <m/>
    <n v="0"/>
    <n v="0"/>
    <n v="0"/>
    <n v="0"/>
    <n v="0"/>
  </r>
  <r>
    <x v="0"/>
    <x v="1"/>
    <s v="Fortalecimiento de la percepción de la ciudadanía frente a los productos y servicios prestados por la UPME nacional"/>
    <s v="Transversal"/>
    <s v="Sí"/>
    <s v="Sí"/>
    <n v="68"/>
    <s v="101-18"/>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4111603"/>
    <s v="C-2199-1900-4-53105B-2199062-02"/>
    <x v="6"/>
    <s v="101-18 Realizar la auditoría interna al Sistema de Gestión Institucional de la UPME, con el propósito de validar el grado de cumplimiento de los requisitos establecidos en la Norma Técnica Colombiana NTC ISO 9001:2015."/>
    <s v="Octubre"/>
    <s v="Octubre"/>
    <s v="Octubre"/>
    <n v="1"/>
    <s v="Meses"/>
    <s v="Contratación directa - Contratos menor cuantía"/>
    <s v="Propios - 20 - Ingresos corrientes"/>
    <n v="15000000"/>
    <n v="15000000"/>
    <s v="No"/>
    <s v="N/A"/>
    <s v="Verónica Tabares Muñoz"/>
    <s v="Jefe de Oficina Asesora de Planeación"/>
    <n v="6012220601"/>
    <s v="veronica.tabares@upme.gov.co"/>
    <n v="0"/>
    <n v="0"/>
    <n v="0"/>
    <n v="0"/>
    <n v="0"/>
    <n v="0"/>
    <n v="0"/>
    <n v="0"/>
    <n v="0"/>
    <n v="0"/>
    <n v="0"/>
    <n v="0"/>
    <n v="0"/>
    <n v="0"/>
    <n v="0"/>
    <n v="0"/>
    <n v="0"/>
    <n v="0"/>
    <n v="15000000"/>
    <n v="0"/>
    <n v="0"/>
    <n v="15000000"/>
    <n v="0"/>
    <n v="0"/>
    <n v="15000000"/>
    <n v="15000000"/>
    <n v="0"/>
    <n v="0"/>
    <s v="Realizar la auditoría interna al Sistema de Gestión Institucional de la UPME, con el propósito de validar el grado de cumplimiento de los requisitos establecidos en la Norma Técnica Colombiana NTC ISO 9001:2015."/>
    <m/>
    <m/>
    <m/>
    <m/>
    <m/>
    <m/>
    <m/>
    <m/>
    <m/>
    <m/>
    <m/>
    <m/>
    <m/>
    <m/>
    <m/>
    <m/>
    <m/>
    <m/>
    <n v="15000000"/>
    <m/>
    <m/>
    <n v="15000000"/>
    <m/>
    <m/>
    <m/>
    <m/>
    <n v="15000000"/>
    <n v="15000000"/>
    <n v="0"/>
    <n v="0"/>
    <m/>
    <m/>
    <m/>
    <n v="15000000"/>
    <m/>
    <m/>
    <n v="0"/>
    <n v="15000000"/>
    <n v="0"/>
    <m/>
    <m/>
    <m/>
    <m/>
    <m/>
    <m/>
    <m/>
    <m/>
    <m/>
    <m/>
    <m/>
    <m/>
    <m/>
    <m/>
    <m/>
    <m/>
    <m/>
    <m/>
    <m/>
    <m/>
    <m/>
    <m/>
    <m/>
    <m/>
    <m/>
    <m/>
    <m/>
    <m/>
    <m/>
    <m/>
    <m/>
    <m/>
    <m/>
    <m/>
    <m/>
    <m/>
    <m/>
    <m/>
    <n v="0"/>
    <n v="0"/>
    <n v="0"/>
    <n v="0"/>
    <n v="0"/>
  </r>
  <r>
    <x v="0"/>
    <x v="1"/>
    <s v="Fortalecimiento de la percepción de la ciudadanía frente a los productos y servicios prestados por la UPME nacional"/>
    <s v="Transversal"/>
    <s v="Sí"/>
    <s v="Sí"/>
    <n v="68"/>
    <s v="101-19"/>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4111603"/>
    <s v="C-2199-1900-4-53105B-2199062-02"/>
    <x v="6"/>
    <s v="101-19 Realizar la auditoría de certificación del Sistema de Gestión Institucional bajo la NTC ISO 9001:2015 en la UPME."/>
    <s v="Mayo"/>
    <s v="Mayo"/>
    <s v="Junio"/>
    <n v="1"/>
    <s v="Meses"/>
    <s v="Contratación directa - Contratos menor cuantía"/>
    <s v="Propios - 20 - Ingresos corrientes"/>
    <n v="15700751"/>
    <n v="15700751"/>
    <s v="No"/>
    <s v="N/A"/>
    <s v="Verónica Tabares Muñoz"/>
    <s v="Jefe de Oficina Asesora de Planeación"/>
    <n v="6012220601"/>
    <s v="veronica.tabares@upme.gov.co"/>
    <n v="0"/>
    <n v="0"/>
    <n v="0"/>
    <n v="0"/>
    <n v="0"/>
    <n v="0"/>
    <n v="0"/>
    <n v="0"/>
    <n v="0"/>
    <n v="0"/>
    <n v="15700751"/>
    <n v="0"/>
    <n v="0"/>
    <n v="0"/>
    <n v="0"/>
    <n v="0"/>
    <n v="0"/>
    <n v="15700751"/>
    <n v="0"/>
    <n v="0"/>
    <n v="0"/>
    <n v="0"/>
    <n v="0"/>
    <n v="0"/>
    <n v="15700751"/>
    <n v="15700751"/>
    <n v="0"/>
    <n v="0"/>
    <s v="Realizar la auditoría de certificación del Sistema de Gestión Institucional bajo la NTC ISO 9001:2015 en la UPME."/>
    <m/>
    <m/>
    <m/>
    <m/>
    <m/>
    <m/>
    <m/>
    <m/>
    <m/>
    <m/>
    <n v="15700751"/>
    <m/>
    <m/>
    <m/>
    <m/>
    <m/>
    <m/>
    <n v="15700751"/>
    <m/>
    <m/>
    <m/>
    <m/>
    <m/>
    <m/>
    <m/>
    <m/>
    <n v="15700751"/>
    <n v="15700751"/>
    <n v="0"/>
    <n v="0"/>
    <m/>
    <m/>
    <m/>
    <n v="15700751"/>
    <m/>
    <m/>
    <n v="0"/>
    <n v="15700751"/>
    <n v="0"/>
    <m/>
    <m/>
    <m/>
    <m/>
    <m/>
    <m/>
    <m/>
    <m/>
    <m/>
    <m/>
    <m/>
    <m/>
    <m/>
    <m/>
    <m/>
    <m/>
    <m/>
    <m/>
    <m/>
    <m/>
    <m/>
    <m/>
    <m/>
    <m/>
    <m/>
    <m/>
    <m/>
    <m/>
    <m/>
    <m/>
    <m/>
    <m/>
    <m/>
    <m/>
    <m/>
    <m/>
    <m/>
    <m/>
    <n v="0"/>
    <n v="0"/>
    <n v="0"/>
    <n v="0"/>
    <n v="0"/>
  </r>
  <r>
    <x v="0"/>
    <x v="1"/>
    <s v="Fortalecimiento de la percepción de la ciudadanía frente a los productos y servicios prestados por la UPME nacional"/>
    <s v="Transversal"/>
    <s v="Sí"/>
    <s v="Sí"/>
    <n v="7"/>
    <s v="101-20"/>
    <s v="Fortalecer la gestión de conocimiento para la planeación minero energética."/>
    <s v="Documentos Metodológicos"/>
    <s v="Realizar la implementación de un esquema organizativo y de gobernabilidad para la gestión del conocimiento"/>
    <n v="80111620"/>
    <s v="C-2199-1900-4-53105B-2199057-02"/>
    <x v="0"/>
    <s v="101-20 Prestar servicios profesionales en la coordinación de la implementación de la Política y Modelo de Gestión del Conocimiento e Innovación (Gesco+i) de la Entidad, para fortalecer la adopción, seguimiento y consolidación de las actividades establecid"/>
    <s v="Enero "/>
    <s v="Enero "/>
    <s v="Enero "/>
    <n v="330"/>
    <s v="Días"/>
    <s v="Contratación directa - Prestación de servicios profesionales "/>
    <s v="Propios - 20 - Ingresos corrientes"/>
    <n v="110000000"/>
    <n v="110000000"/>
    <s v="No"/>
    <s v="N/A"/>
    <s v="Verónica Tabares Muñoz"/>
    <s v="Jefe de Oficina Asesora de Planeación"/>
    <n v="6012220601"/>
    <s v="veronica.tabares@upme.gov.co"/>
    <n v="0"/>
    <n v="0"/>
    <n v="110000000"/>
    <n v="0"/>
    <n v="0"/>
    <n v="10000000"/>
    <n v="0"/>
    <n v="10000000"/>
    <n v="0"/>
    <n v="10000000"/>
    <n v="0"/>
    <n v="10000000"/>
    <n v="0"/>
    <n v="10000000"/>
    <n v="0"/>
    <n v="10000000"/>
    <n v="0"/>
    <n v="10000000"/>
    <n v="0"/>
    <n v="10000000"/>
    <n v="0"/>
    <n v="10000000"/>
    <n v="0"/>
    <n v="20000000"/>
    <n v="110000000"/>
    <n v="110000000"/>
    <n v="0"/>
    <n v="0"/>
    <s v="Prestar servicios profesionales en la coordinación de la implementación de la Política y Modelo de Gestión del Conocimiento e Innovación (Gesco+i) de la Entidad, para fortalecer la adopción, seguimiento y consolidación de las actividades establecidas en l"/>
    <m/>
    <m/>
    <n v="110000000"/>
    <m/>
    <m/>
    <n v="10000000"/>
    <m/>
    <n v="10000000"/>
    <m/>
    <n v="10000000"/>
    <m/>
    <n v="10000000"/>
    <m/>
    <n v="10000000"/>
    <m/>
    <n v="10000000"/>
    <m/>
    <n v="10000000"/>
    <m/>
    <n v="10000000"/>
    <m/>
    <n v="10000000"/>
    <m/>
    <n v="20000000"/>
    <m/>
    <m/>
    <n v="110000000"/>
    <n v="110000000"/>
    <n v="0"/>
    <n v="0"/>
    <n v="55026"/>
    <d v="2026-01-22T00:00:00"/>
    <n v="110000000"/>
    <n v="0"/>
    <n v="45826"/>
    <d v="2026-02-05T00:00:00"/>
    <n v="110000000"/>
    <n v="0"/>
    <n v="0"/>
    <s v="BOHORQUEZ GIL DIANA CAROLINA"/>
    <s v="CO1.PCCNTR.9200374"/>
    <m/>
    <m/>
    <m/>
    <n v="110000000"/>
    <m/>
    <m/>
    <m/>
    <n v="8333333"/>
    <n v="8333333"/>
    <m/>
    <n v="10000000"/>
    <n v="10000000"/>
    <m/>
    <m/>
    <m/>
    <m/>
    <m/>
    <m/>
    <m/>
    <m/>
    <m/>
    <m/>
    <m/>
    <m/>
    <m/>
    <m/>
    <m/>
    <m/>
    <m/>
    <m/>
    <m/>
    <m/>
    <m/>
    <m/>
    <m/>
    <m/>
    <n v="110000000"/>
    <n v="18333333"/>
    <n v="18333333"/>
    <n v="91666667"/>
    <n v="0"/>
  </r>
  <r>
    <x v="0"/>
    <x v="1"/>
    <s v="Fortalecimiento de la percepción de la ciudadanía frente a los productos y servicios prestados por la UPME nacional"/>
    <s v="Transversal"/>
    <s v="Sí"/>
    <s v="Sí"/>
    <n v="68"/>
    <s v="101-21"/>
    <s v="Fortalecer la gestión de conocimiento para la planeación minero energética."/>
    <s v="Documentos Metodológicos"/>
    <s v="Realizar la implementación de un esquema organizativo y de gobernabilidad para la gestión del conocimiento"/>
    <n v="80111620"/>
    <s v="C-2199-1900-4-53105B-2199057-02"/>
    <x v="0"/>
    <s v="101-21 Prestar servicios profesionales para la implementación del Modelo Gestión del Conocimiento e Innovación – Gesco+i de la Entidad, para fortalecer la adopción, seguimiento y consolidación de las actividades establecidas en la Política Institucional y"/>
    <s v="Enero "/>
    <s v="Enero "/>
    <s v="Enero "/>
    <n v="330"/>
    <s v="Días"/>
    <s v="Contratación directa - Prestación de servicios profesionales "/>
    <s v="Propios - 20 - Ingresos corrientes"/>
    <n v="38185934"/>
    <n v="38185934"/>
    <s v="No"/>
    <s v="N/A"/>
    <s v="Verónica Tabares Muñoz"/>
    <s v="Jefe de Oficina Asesora de Planeación"/>
    <n v="6012220601"/>
    <s v="veronica.tabares@upme.gov.co"/>
    <n v="38185934"/>
    <n v="0"/>
    <n v="0"/>
    <n v="3333333"/>
    <n v="0"/>
    <n v="10000000"/>
    <n v="0"/>
    <n v="10000000"/>
    <n v="0"/>
    <n v="10000000"/>
    <n v="0"/>
    <n v="4852601"/>
    <n v="0"/>
    <n v="0"/>
    <n v="0"/>
    <n v="0"/>
    <n v="0"/>
    <n v="0"/>
    <n v="0"/>
    <n v="0"/>
    <n v="0"/>
    <n v="0"/>
    <n v="0"/>
    <n v="0"/>
    <n v="38185934"/>
    <n v="38185934"/>
    <n v="0"/>
    <n v="0"/>
    <s v="Prestar servicios profesionales para la implementación del Modelo Gestión del Conocimiento e Innovación – Gesco+i de la Entidad, para fortalecer la adopción, seguimiento y consolidación de las actividades establecidas en la Política Institucional y la Hoj"/>
    <n v="38185934"/>
    <m/>
    <m/>
    <n v="3333333"/>
    <m/>
    <n v="10000000"/>
    <m/>
    <n v="10000000"/>
    <m/>
    <n v="10000000"/>
    <m/>
    <n v="4852601"/>
    <m/>
    <m/>
    <m/>
    <m/>
    <m/>
    <m/>
    <m/>
    <m/>
    <m/>
    <m/>
    <m/>
    <m/>
    <m/>
    <m/>
    <n v="38185934"/>
    <n v="38185934"/>
    <n v="0"/>
    <n v="0"/>
    <n v="36226"/>
    <d v="2026-01-15T00:00:00"/>
    <n v="38185934"/>
    <n v="0"/>
    <n v="28226"/>
    <d v="2026-01-28T00:00:00"/>
    <n v="38185934"/>
    <n v="0"/>
    <n v="0"/>
    <s v="JARAMILLO RINCON RICARDO ALFREDO"/>
    <s v="CO1.PCCNTR.9142145"/>
    <n v="38185934"/>
    <m/>
    <m/>
    <m/>
    <n v="666667"/>
    <n v="666667"/>
    <m/>
    <n v="10000000"/>
    <n v="10000000"/>
    <m/>
    <n v="10000000"/>
    <n v="10000000"/>
    <m/>
    <m/>
    <m/>
    <m/>
    <m/>
    <m/>
    <m/>
    <m/>
    <m/>
    <m/>
    <m/>
    <m/>
    <m/>
    <m/>
    <m/>
    <m/>
    <m/>
    <m/>
    <m/>
    <m/>
    <m/>
    <m/>
    <m/>
    <m/>
    <n v="38185934"/>
    <n v="20666667"/>
    <n v="20666667"/>
    <n v="17519267"/>
    <n v="0"/>
  </r>
  <r>
    <x v="0"/>
    <x v="1"/>
    <s v="Fortalecimiento de la percepción de la ciudadanía frente a los productos y servicios prestados por la UPME nacional"/>
    <s v="Transversal"/>
    <s v="Sí"/>
    <s v="Sí"/>
    <n v="68"/>
    <s v="101-22"/>
    <s v="Fortalecer la gestión de conocimiento para la planeación minero energética."/>
    <s v="Documentos Metodológicos"/>
    <s v="Realizar la implementación de un esquema organizativo y de gobernabilidad para la gestión del conocimiento"/>
    <n v="80111620"/>
    <s v="C-2199-1900-4-53105B-2199057-02"/>
    <x v="0"/>
    <s v="101-22 Prestar servicios profesionales para la implementación del Modelo Gestión del Conocimiento e Innovación – Gesco+i de la Entidad, para fortalecer la adopción, seguimiento y consolidación de las actividades establecidas en la Política Institucional y"/>
    <s v="Enero "/>
    <s v="Enero "/>
    <s v="Enero "/>
    <n v="330"/>
    <s v="Días"/>
    <s v="Contratación directa - Prestación de servicios profesionales "/>
    <s v="Propios - 21 - Otros recursos de tesorería"/>
    <n v="71814066"/>
    <n v="71814066"/>
    <s v="No"/>
    <s v="N/A"/>
    <s v="Verónica Tabares Muñoz"/>
    <s v="Jefe de Oficina Asesora de Planeación"/>
    <n v="6012220601"/>
    <s v="veronica.tabares@upme.gov.co"/>
    <n v="71814066"/>
    <n v="0"/>
    <n v="0"/>
    <n v="0"/>
    <n v="0"/>
    <n v="0"/>
    <n v="0"/>
    <n v="0"/>
    <n v="0"/>
    <n v="0"/>
    <n v="0"/>
    <n v="5147399"/>
    <n v="0"/>
    <n v="10000000"/>
    <n v="0"/>
    <n v="10000000"/>
    <n v="0"/>
    <n v="10000000"/>
    <n v="0"/>
    <n v="10000000"/>
    <n v="0"/>
    <n v="10000000"/>
    <n v="0"/>
    <n v="16666667"/>
    <n v="71814066"/>
    <n v="71814066"/>
    <n v="0"/>
    <n v="0"/>
    <s v="Prestar servicios profesionales para la implementación del Modelo Gestión del Conocimiento e Innovación – Gesco+i de la Entidad, para fortalecer la adopción, seguimiento y consolidación de las actividades establecidas en la Política Institucional y la Hoj"/>
    <n v="71814066"/>
    <m/>
    <m/>
    <m/>
    <m/>
    <m/>
    <m/>
    <m/>
    <m/>
    <m/>
    <m/>
    <n v="5147399"/>
    <m/>
    <n v="10000000"/>
    <m/>
    <n v="10000000"/>
    <m/>
    <n v="10000000"/>
    <m/>
    <n v="10000000"/>
    <m/>
    <n v="10000000"/>
    <m/>
    <n v="16666667"/>
    <m/>
    <m/>
    <n v="71814066"/>
    <n v="71814066"/>
    <n v="0"/>
    <n v="0"/>
    <n v="36226"/>
    <d v="2026-01-15T00:00:00"/>
    <n v="71814066"/>
    <n v="0"/>
    <n v="28226"/>
    <d v="2026-01-28T00:00:00"/>
    <n v="71814066"/>
    <n v="0"/>
    <n v="0"/>
    <s v="JARAMILLO RINCON RICARDO ALFREDO"/>
    <s v="CO1.PCCNTR.9142145"/>
    <n v="71814066"/>
    <m/>
    <m/>
    <m/>
    <m/>
    <m/>
    <m/>
    <m/>
    <m/>
    <m/>
    <m/>
    <m/>
    <m/>
    <m/>
    <m/>
    <m/>
    <m/>
    <m/>
    <m/>
    <m/>
    <m/>
    <m/>
    <m/>
    <m/>
    <m/>
    <m/>
    <m/>
    <m/>
    <m/>
    <m/>
    <m/>
    <m/>
    <m/>
    <m/>
    <m/>
    <m/>
    <n v="71814066"/>
    <n v="0"/>
    <n v="0"/>
    <n v="71814066"/>
    <n v="0"/>
  </r>
  <r>
    <x v="0"/>
    <x v="1"/>
    <s v="Fortalecimiento de la percepción de la ciudadanía frente a los productos y servicios prestados por la UPME nacional"/>
    <s v="Transversal"/>
    <s v="Sí"/>
    <s v="Sí"/>
    <n v="68"/>
    <s v="101-23"/>
    <s v="Fortalecer la gestión de conocimiento para la planeación minero energética."/>
    <s v="Documentos Metodológicos"/>
    <s v="Realizar la implementación de un esquema organizativo y de gobernabilidad para la gestión del conocimiento"/>
    <n v="80111620"/>
    <s v="C-2199-1900-4-53105B-2199057-02"/>
    <x v="0"/>
    <s v="101-23 Prestar servicios profesionales para apoyar el fortalecimiento técnico, metodológico y operativo de las actividades establecidas en Política y Modelo de Gestión del Conocimiento e Innovación (Gesco+i) en el marco de la implementación del Modelo Int"/>
    <s v="Enero "/>
    <s v="Enero "/>
    <s v="Enero "/>
    <n v="330"/>
    <s v="Días"/>
    <s v="Contratación directa - Prestación de servicios profesionales "/>
    <s v="Propios - 21 - Otros recursos de tesorería"/>
    <n v="36139950"/>
    <n v="36139950"/>
    <s v="No"/>
    <s v="N/A"/>
    <s v="Verónica Tabares Muñoz"/>
    <s v="Jefe de Oficina Asesora de Planeación"/>
    <n v="6012220601"/>
    <s v="veronica.tabares@upme.gov.co"/>
    <n v="0"/>
    <n v="0"/>
    <n v="36139950"/>
    <n v="0"/>
    <n v="0"/>
    <n v="1095150"/>
    <n v="0"/>
    <n v="3285450"/>
    <n v="0"/>
    <n v="3285450"/>
    <n v="0"/>
    <n v="3285450"/>
    <n v="0"/>
    <n v="3285450"/>
    <n v="0"/>
    <n v="3285450"/>
    <n v="0"/>
    <n v="3285450"/>
    <n v="0"/>
    <n v="3285450"/>
    <n v="0"/>
    <n v="3285450"/>
    <n v="0"/>
    <n v="8761200"/>
    <n v="36139950"/>
    <n v="36139950"/>
    <n v="0"/>
    <n v="0"/>
    <s v="Prestar servicios profesionales para apoyar el fortalecimiento técnico, metodológico y operativo de las actividades establecidas en Política y Modelo de Gestión del Conocimiento e Innovación (Gesco+i) en el marco de la implementación del Modelo Integrado "/>
    <m/>
    <m/>
    <n v="36139950"/>
    <m/>
    <m/>
    <n v="1095150"/>
    <m/>
    <n v="3285450"/>
    <m/>
    <n v="3285450"/>
    <m/>
    <n v="3285450"/>
    <m/>
    <n v="3285450"/>
    <m/>
    <n v="3285450"/>
    <m/>
    <n v="3285450"/>
    <m/>
    <n v="3285450"/>
    <m/>
    <n v="3285450"/>
    <m/>
    <n v="8761200"/>
    <m/>
    <m/>
    <n v="36139950"/>
    <n v="36139950"/>
    <n v="0"/>
    <n v="0"/>
    <n v="53826"/>
    <d v="2026-01-21T00:00:00"/>
    <n v="36139950"/>
    <n v="0"/>
    <n v="54726"/>
    <d v="2026-02-10T00:00:00"/>
    <n v="36139950"/>
    <n v="0"/>
    <n v="0"/>
    <s v="TORRIJOS OSPINA YOSSIE ESTEBAN"/>
    <s v="CO1.PCCNTR.9280946"/>
    <m/>
    <m/>
    <m/>
    <n v="36139950"/>
    <m/>
    <m/>
    <m/>
    <n v="1642725"/>
    <n v="1642725"/>
    <m/>
    <m/>
    <m/>
    <m/>
    <m/>
    <m/>
    <m/>
    <m/>
    <m/>
    <m/>
    <m/>
    <m/>
    <m/>
    <m/>
    <m/>
    <m/>
    <m/>
    <m/>
    <m/>
    <m/>
    <m/>
    <m/>
    <m/>
    <m/>
    <m/>
    <m/>
    <m/>
    <n v="36139950"/>
    <n v="1642725"/>
    <n v="1642725"/>
    <n v="34497225"/>
    <n v="0"/>
  </r>
  <r>
    <x v="0"/>
    <x v="1"/>
    <s v="Fortalecimiento de la percepción de la ciudadanía frente a los productos y servicios prestados por la UPME nacional"/>
    <s v="Transversal"/>
    <s v="Sí"/>
    <s v="Sí"/>
    <n v="68"/>
    <s v="101-24"/>
    <s v="Fortalecer la gestión de conocimiento para la planeación minero energética."/>
    <s v="Documentos Metodológicos"/>
    <s v="Realizar la implementación de un esquema organizativo y de gobernabilidad para la gestión del conocimiento"/>
    <n v="80111620"/>
    <s v="C-2199-1900-4-53105B-2199057-02"/>
    <x v="0"/>
    <s v="101-24 Prestar servicios profesionales para realizar el análisis, procesamiento y visualización de datos relacionados con la ejecución presupuestal de los proyectos de inversión, el Sistema de Gestión Institucional, los planes institucionales y las políti"/>
    <s v="Enero "/>
    <s v="Enero "/>
    <s v="Enero "/>
    <n v="330"/>
    <s v="Días"/>
    <s v="Contratación directa - Prestación de servicios profesionales "/>
    <s v="Propios - 21 - Otros recursos de tesorería"/>
    <n v="66000000"/>
    <n v="66000000"/>
    <s v="No"/>
    <s v="N/A"/>
    <s v="Verónica Tabares Muñoz"/>
    <s v="Jefe de Oficina Asesora de Planeación"/>
    <n v="6012220601"/>
    <s v="veronica.tabares@upme.gov.co"/>
    <n v="66000000"/>
    <n v="0"/>
    <n v="0"/>
    <n v="0"/>
    <n v="0"/>
    <n v="6000000"/>
    <n v="0"/>
    <n v="6000000"/>
    <n v="0"/>
    <n v="6000000"/>
    <n v="0"/>
    <n v="6000000"/>
    <n v="0"/>
    <n v="6000000"/>
    <n v="0"/>
    <n v="6000000"/>
    <n v="0"/>
    <n v="6000000"/>
    <n v="0"/>
    <n v="6000000"/>
    <n v="0"/>
    <n v="6000000"/>
    <n v="0"/>
    <n v="12000000"/>
    <n v="66000000"/>
    <n v="66000000"/>
    <n v="0"/>
    <n v="0"/>
    <s v="Prestar servicios profesionales para realizar el análisis, procesamiento y visualización de datos relacionados con la ejecución presupuestal de los proyectos de inversión, el Sistema de Gestión Institucional, los planes institucionales y las políticas del"/>
    <n v="66000000"/>
    <m/>
    <m/>
    <m/>
    <m/>
    <n v="6000000"/>
    <m/>
    <n v="6000000"/>
    <m/>
    <n v="6000000"/>
    <m/>
    <n v="6000000"/>
    <m/>
    <n v="6000000"/>
    <m/>
    <n v="6000000"/>
    <m/>
    <n v="6000000"/>
    <m/>
    <n v="6000000"/>
    <m/>
    <n v="6000000"/>
    <m/>
    <n v="12000000"/>
    <m/>
    <m/>
    <n v="66000000"/>
    <n v="66000000"/>
    <n v="0"/>
    <n v="0"/>
    <n v="35426"/>
    <d v="2026-01-15T00:00:00"/>
    <n v="66000000"/>
    <n v="0"/>
    <n v="33626"/>
    <d v="2026-01-29T00:00:00"/>
    <n v="66000000"/>
    <n v="0"/>
    <n v="0"/>
    <s v="PINZON GOMEZ MARIA FERNANDA"/>
    <s v="CO1.PCCNTR.9142164"/>
    <n v="66000000"/>
    <m/>
    <m/>
    <m/>
    <m/>
    <m/>
    <m/>
    <n v="6200000"/>
    <n v="6200000"/>
    <m/>
    <n v="6000000"/>
    <n v="6000000"/>
    <m/>
    <m/>
    <m/>
    <m/>
    <m/>
    <m/>
    <m/>
    <m/>
    <m/>
    <m/>
    <m/>
    <m/>
    <m/>
    <m/>
    <m/>
    <m/>
    <m/>
    <m/>
    <m/>
    <m/>
    <m/>
    <m/>
    <m/>
    <m/>
    <n v="66000000"/>
    <n v="12200000"/>
    <n v="12200000"/>
    <n v="53800000"/>
    <n v="0"/>
  </r>
  <r>
    <x v="0"/>
    <x v="1"/>
    <s v="Fortalecimiento de la percepción de la ciudadanía frente a los productos y servicios prestados por la UPME nacional"/>
    <s v="Transversal"/>
    <s v="Sí"/>
    <s v="Sí"/>
    <n v="68"/>
    <s v="101-25"/>
    <s v="Fortalecer la gestión de conocimiento para la planeación minero energética."/>
    <s v="Documentos Metodológicos"/>
    <s v="Realizar la implementación de un esquema organizativo y de gobernabilidad para la gestión del conocimiento"/>
    <n v="80111620"/>
    <s v="C-2199-1900-4-53105B-2199057-02"/>
    <x v="0"/>
    <s v="101-25 Prestar servicios profesionales para apoyar el diligenciamiento, administración y actualización de bases de datos institucionales, relacionadas con la ejecución presupuestal de los proyectos de inversión, el Sistema de Gestión Institucional y el se"/>
    <s v="Enero "/>
    <s v="Enero "/>
    <s v="Enero "/>
    <n v="330"/>
    <s v="Días"/>
    <s v="Contratación directa - Prestación de servicios profesionales "/>
    <s v="Propios - 21 - Otros recursos de tesorería"/>
    <n v="38500000"/>
    <n v="38500000"/>
    <s v="No"/>
    <s v="N/A"/>
    <s v="Verónica Tabares Muñoz"/>
    <s v="Jefe de Oficina Asesora de Planeación"/>
    <n v="6012220601"/>
    <s v="veronica.tabares@upme.gov.co"/>
    <n v="0"/>
    <n v="0"/>
    <n v="38500000"/>
    <n v="0"/>
    <n v="0"/>
    <n v="3500000"/>
    <n v="0"/>
    <n v="3500000"/>
    <n v="0"/>
    <n v="3500000"/>
    <n v="0"/>
    <n v="3500000"/>
    <n v="0"/>
    <n v="3500000"/>
    <n v="0"/>
    <n v="3500000"/>
    <n v="0"/>
    <n v="3500000"/>
    <n v="0"/>
    <n v="3500000"/>
    <n v="0"/>
    <n v="3500000"/>
    <n v="0"/>
    <n v="7000000"/>
    <n v="38500000"/>
    <n v="38500000"/>
    <n v="0"/>
    <n v="0"/>
    <s v="Prestar servicios profesionales para apoyar el diligenciamiento, administración y actualización de bases de datos institucionales, relacionadas con la ejecución presupuestal de los proyectos de inversión, el Sistema de Gestión Institucional y el seguimien"/>
    <m/>
    <m/>
    <n v="38500000"/>
    <m/>
    <m/>
    <n v="3500000"/>
    <m/>
    <n v="3500000"/>
    <m/>
    <n v="3500000"/>
    <m/>
    <n v="3500000"/>
    <m/>
    <n v="3500000"/>
    <m/>
    <n v="3500000"/>
    <m/>
    <n v="3500000"/>
    <m/>
    <n v="3500000"/>
    <m/>
    <n v="3500000"/>
    <m/>
    <n v="7000000"/>
    <m/>
    <m/>
    <n v="38500000"/>
    <n v="38500000"/>
    <n v="0"/>
    <n v="0"/>
    <n v="54026"/>
    <d v="2026-01-21T00:00:00"/>
    <n v="37916667"/>
    <n v="583333"/>
    <n v="46426"/>
    <d v="2026-02-05T00:00:00"/>
    <n v="37916667"/>
    <n v="583333"/>
    <n v="0"/>
    <s v="ARROYO MORALES SERGIO LUIS"/>
    <s v="CO1.PCCNTR.9202720"/>
    <m/>
    <m/>
    <m/>
    <n v="38500000"/>
    <m/>
    <m/>
    <n v="-583333"/>
    <n v="2916667"/>
    <n v="2916667"/>
    <m/>
    <n v="3500000"/>
    <n v="3500000"/>
    <m/>
    <m/>
    <m/>
    <m/>
    <m/>
    <m/>
    <m/>
    <m/>
    <m/>
    <m/>
    <m/>
    <m/>
    <m/>
    <m/>
    <m/>
    <m/>
    <m/>
    <m/>
    <m/>
    <m/>
    <m/>
    <m/>
    <m/>
    <m/>
    <n v="37916667"/>
    <n v="6416667"/>
    <n v="6416667"/>
    <n v="31500000"/>
    <n v="0"/>
  </r>
  <r>
    <x v="0"/>
    <x v="1"/>
    <s v="Fortalecimiento de la percepción de la ciudadanía frente a los productos y servicios prestados por la UPME nacional"/>
    <s v="Transversal"/>
    <s v="Sí"/>
    <s v="Sí"/>
    <n v="68"/>
    <s v="101-26"/>
    <s v="Fortalecer la gestión de conocimiento para la planeación minero energética."/>
    <s v="Documentos Metodológicos"/>
    <s v="Realizar la implementación de un esquema organizativo y de gobernabilidad para la gestión del conocimiento"/>
    <n v="80111620"/>
    <s v="C-2199-1900-4-53105B-2199057-02"/>
    <x v="0"/>
    <s v="101-26 Prestar servicios profesionales para la implementación, seguimiento y reporte de las políticas de gestión y desempeño institucional en materia de defensa jurídica, mejora normativa y fortalecimiento del Sistema de Gestión Institucional, conforme a "/>
    <s v="Enero "/>
    <s v="Enero "/>
    <s v="Enero "/>
    <n v="330"/>
    <s v="Días"/>
    <s v="Contratación directa - Prestación de servicios profesionales "/>
    <s v="Propios - 21 - Otros recursos de tesorería"/>
    <n v="31726335"/>
    <n v="31726335"/>
    <s v="No"/>
    <s v="N/A"/>
    <s v="Verónica Tabares Muñoz"/>
    <s v="Jefe de Oficina Asesora de Planeación"/>
    <n v="6012220601"/>
    <s v="veronica.tabares@upme.gov.co"/>
    <n v="31726335"/>
    <n v="0"/>
    <n v="0"/>
    <n v="0"/>
    <n v="0"/>
    <n v="0"/>
    <n v="0"/>
    <n v="0"/>
    <n v="0"/>
    <n v="0"/>
    <n v="0"/>
    <n v="0"/>
    <n v="0"/>
    <n v="0"/>
    <n v="0"/>
    <n v="1726335"/>
    <n v="0"/>
    <n v="6000000"/>
    <n v="0"/>
    <n v="6000000"/>
    <n v="0"/>
    <n v="6000000"/>
    <n v="0"/>
    <n v="12000000"/>
    <n v="31726335"/>
    <n v="31726335"/>
    <n v="0"/>
    <n v="0"/>
    <s v="Prestar servicios profesionales para la implementación, seguimiento y reporte de las políticas de gestión y desempeño institucional en materia de defensa jurídica, mejora normativa y fortalecimiento del Sistema de Gestión Institucional, conforme a los lin"/>
    <n v="31726335"/>
    <m/>
    <m/>
    <m/>
    <m/>
    <m/>
    <m/>
    <m/>
    <m/>
    <m/>
    <m/>
    <m/>
    <m/>
    <m/>
    <m/>
    <n v="1726335"/>
    <m/>
    <n v="6000000"/>
    <m/>
    <n v="6000000"/>
    <m/>
    <n v="6000000"/>
    <m/>
    <n v="12000000"/>
    <m/>
    <m/>
    <n v="31726335"/>
    <n v="31726335"/>
    <n v="0"/>
    <n v="0"/>
    <n v="3326"/>
    <d v="2026-01-05T00:00:00"/>
    <n v="31726335"/>
    <n v="0"/>
    <n v="10626"/>
    <d v="2026-01-16T00:00:00"/>
    <n v="31726335"/>
    <n v="0"/>
    <n v="0"/>
    <s v="CACERES HERRERA DIANA MARCELA"/>
    <s v="CO1.PCCNTR.8875153"/>
    <n v="31726335"/>
    <m/>
    <m/>
    <m/>
    <n v="2800000"/>
    <n v="2800000"/>
    <m/>
    <n v="6000000"/>
    <n v="6000000"/>
    <m/>
    <n v="6000000"/>
    <n v="6000000"/>
    <m/>
    <m/>
    <m/>
    <m/>
    <m/>
    <m/>
    <m/>
    <m/>
    <m/>
    <m/>
    <m/>
    <m/>
    <m/>
    <m/>
    <m/>
    <m/>
    <m/>
    <m/>
    <m/>
    <m/>
    <m/>
    <m/>
    <m/>
    <m/>
    <n v="31726335"/>
    <n v="14800000"/>
    <n v="14800000"/>
    <n v="16926335"/>
    <n v="0"/>
  </r>
  <r>
    <x v="0"/>
    <x v="1"/>
    <s v="Fortalecimiento de la percepción de la ciudadanía frente a los productos y servicios prestados por la UPME nacional"/>
    <s v="Transversal"/>
    <s v="Sí"/>
    <s v="Sí"/>
    <n v="4"/>
    <s v="101-27"/>
    <s v="Fortalecer la gestión de conocimiento para la planeación minero energética."/>
    <s v="Documentos Metodológicos"/>
    <s v="Realizar la implementación de un esquema organizativo y de gobernabilidad para la gestión del conocimiento"/>
    <n v="80111620"/>
    <s v="C-2199-1900-4-53105B-2199057-02"/>
    <x v="0"/>
    <s v="101-27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330"/>
    <s v="Días"/>
    <s v="Contratación directa - Prestación de servicios profesionales "/>
    <s v="Propios - 21 - Otros recursos de tesorería"/>
    <n v="55000000"/>
    <n v="55000000"/>
    <s v="No"/>
    <s v="N/A"/>
    <s v="Verónica Tabares Muñoz"/>
    <s v="Jefe de Oficina Asesora de Planeación"/>
    <n v="6012220601"/>
    <s v="veronica.tabares@upme.gov.co"/>
    <n v="0"/>
    <n v="0"/>
    <n v="55000000"/>
    <n v="0"/>
    <n v="0"/>
    <n v="5000000"/>
    <n v="0"/>
    <n v="5000000"/>
    <n v="0"/>
    <n v="5000000"/>
    <n v="0"/>
    <n v="5000000"/>
    <n v="0"/>
    <n v="5000000"/>
    <n v="0"/>
    <n v="5000000"/>
    <n v="0"/>
    <n v="5000000"/>
    <n v="0"/>
    <n v="5000000"/>
    <n v="0"/>
    <n v="5000000"/>
    <n v="0"/>
    <n v="10000000"/>
    <n v="55000000"/>
    <n v="550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55000000"/>
    <m/>
    <m/>
    <n v="5000000"/>
    <m/>
    <n v="5000000"/>
    <m/>
    <n v="5000000"/>
    <m/>
    <n v="5000000"/>
    <m/>
    <n v="5000000"/>
    <m/>
    <n v="5000000"/>
    <m/>
    <n v="5000000"/>
    <m/>
    <n v="5000000"/>
    <m/>
    <n v="5000000"/>
    <m/>
    <n v="10000000"/>
    <m/>
    <m/>
    <n v="55000000"/>
    <n v="55000000"/>
    <n v="0"/>
    <n v="0"/>
    <n v="52826"/>
    <d v="2026-01-20T00:00:00"/>
    <n v="55000000"/>
    <n v="0"/>
    <n v="45026"/>
    <d v="2026-02-05T00:00:00"/>
    <n v="55000000"/>
    <n v="0"/>
    <n v="0"/>
    <s v="PULIDO RINCON JENNY"/>
    <s v="CO1.PCCNTR.9253728"/>
    <m/>
    <m/>
    <m/>
    <n v="55000000"/>
    <m/>
    <m/>
    <m/>
    <m/>
    <m/>
    <m/>
    <n v="6000000"/>
    <n v="6000000"/>
    <m/>
    <m/>
    <m/>
    <m/>
    <m/>
    <m/>
    <m/>
    <m/>
    <m/>
    <m/>
    <m/>
    <m/>
    <m/>
    <m/>
    <m/>
    <m/>
    <m/>
    <m/>
    <m/>
    <m/>
    <m/>
    <m/>
    <m/>
    <m/>
    <n v="55000000"/>
    <n v="6000000"/>
    <n v="6000000"/>
    <n v="49000000"/>
    <n v="0"/>
  </r>
  <r>
    <x v="0"/>
    <x v="1"/>
    <s v="Fortalecimiento de la percepción de la ciudadanía frente a los productos y servicios prestados por la UPME nacional"/>
    <s v="Transversal"/>
    <s v="Sí"/>
    <s v="Sí"/>
    <n v="68"/>
    <s v="101-28"/>
    <s v="Fortalecer la gestión de conocimiento para la planeación minero energética."/>
    <s v="Documentos Metodológicos"/>
    <s v="Realizar la implementación de un esquema organizativo y de gobernabilidad para la gestión del conocimiento"/>
    <n v="80111620"/>
    <s v="C-2199-1900-4-53105B-2199057-02"/>
    <x v="0"/>
    <s v="101-28 Prestar servicios profesionales para el seguimiento como segunda línea de defensa de la política de Seguridad y Salud en el Trabajo, así como, articular las diferentes áreas de la entidad para la elaboración y actualización del Plan de Continuidad "/>
    <s v="Enero "/>
    <s v="Enero "/>
    <s v="Enero "/>
    <n v="330"/>
    <s v="Días"/>
    <s v="Contratación directa - Prestación de servicios profesionales "/>
    <s v="Propios - 21 - Otros recursos de tesorería"/>
    <n v="44000000"/>
    <n v="44000000"/>
    <s v="No"/>
    <s v="N/A"/>
    <s v="Verónica Tabares Muñoz"/>
    <s v="Jefe de Oficina Asesora de Planeación"/>
    <n v="6012220601"/>
    <s v="veronica.tabares@upme.gov.co"/>
    <n v="0"/>
    <n v="0"/>
    <n v="44000000"/>
    <n v="0"/>
    <n v="0"/>
    <n v="4000000"/>
    <n v="0"/>
    <n v="4000000"/>
    <n v="0"/>
    <n v="4000000"/>
    <n v="0"/>
    <n v="4000000"/>
    <n v="0"/>
    <n v="4000000"/>
    <n v="0"/>
    <n v="4000000"/>
    <n v="0"/>
    <n v="4000000"/>
    <n v="0"/>
    <n v="4000000"/>
    <n v="0"/>
    <n v="4000000"/>
    <n v="0"/>
    <n v="8000000"/>
    <n v="44000000"/>
    <n v="44000000"/>
    <n v="0"/>
    <n v="0"/>
    <s v="Prestar servicios profesionales para el seguimiento como segunda línea de defensa de la política de Seguridad y Salud en el Trabajo, así como, articular las diferentes áreas de la entidad para la elaboración y actualización del Plan de Continuidad del Neg"/>
    <m/>
    <m/>
    <n v="44000000"/>
    <m/>
    <m/>
    <n v="4000000"/>
    <m/>
    <n v="4000000"/>
    <m/>
    <n v="4000000"/>
    <m/>
    <n v="4000000"/>
    <m/>
    <n v="4000000"/>
    <m/>
    <n v="4000000"/>
    <m/>
    <n v="4000000"/>
    <m/>
    <n v="4000000"/>
    <m/>
    <n v="4000000"/>
    <m/>
    <n v="8000000"/>
    <m/>
    <m/>
    <n v="44000000"/>
    <n v="44000000"/>
    <n v="0"/>
    <n v="0"/>
    <n v="52526"/>
    <d v="2026-01-20T00:00:00"/>
    <n v="44000000"/>
    <n v="0"/>
    <n v="48126"/>
    <d v="2026-02-06T00:00:00"/>
    <n v="44000000"/>
    <n v="0"/>
    <n v="0"/>
    <s v="CHAVERRA CORDOBA BISMARK ALEXANDER"/>
    <s v="CO1.PCCNTR.9282223"/>
    <m/>
    <m/>
    <m/>
    <n v="44000000"/>
    <m/>
    <m/>
    <m/>
    <n v="2933333"/>
    <n v="2933333"/>
    <m/>
    <n v="4000000"/>
    <n v="4000000"/>
    <m/>
    <m/>
    <m/>
    <m/>
    <m/>
    <m/>
    <m/>
    <m/>
    <m/>
    <m/>
    <m/>
    <m/>
    <m/>
    <m/>
    <m/>
    <m/>
    <m/>
    <m/>
    <m/>
    <m/>
    <m/>
    <m/>
    <m/>
    <m/>
    <n v="44000000"/>
    <n v="6933333"/>
    <n v="6933333"/>
    <n v="37066667"/>
    <n v="0"/>
  </r>
  <r>
    <x v="0"/>
    <x v="1"/>
    <s v="Fortalecimiento de la percepción de la ciudadanía frente a los productos y servicios prestados por la UPME nacional"/>
    <s v="Transversal"/>
    <s v="Sí"/>
    <s v="Sí"/>
    <n v="68"/>
    <s v="101-29"/>
    <s v="Fortalecer la gestión de conocimiento para la planeación minero energética."/>
    <s v="Documentos Metodológicos"/>
    <s v="Realizar la implementación de un esquema organizativo y de gobernabilidad para la gestión del conocimiento"/>
    <n v="84111603"/>
    <s v="C-2199-1900-4-53105B-2199057-02"/>
    <x v="6"/>
    <s v="101-29 Realizar la auditoría de certificación del Sistema de Gestión Institucional bajo la NTC ISO 9001:2015 en la UPME."/>
    <s v="Mayo"/>
    <s v="Mayo"/>
    <s v="Junio"/>
    <n v="1"/>
    <s v="Meses"/>
    <s v="Contratación directa - Contratos menor cuantía"/>
    <s v="Propios - 21 - Otros recursos de tesorería"/>
    <n v="1000000"/>
    <n v="1000000"/>
    <s v="No"/>
    <s v="N/A"/>
    <s v="Verónica Tabares Muñoz"/>
    <s v="Jefe de Oficina Asesora de Planeación"/>
    <n v="6012220601"/>
    <s v="veronica.tabares@upme.gov.co"/>
    <n v="0"/>
    <n v="0"/>
    <n v="0"/>
    <n v="0"/>
    <n v="0"/>
    <n v="0"/>
    <n v="0"/>
    <n v="0"/>
    <n v="0"/>
    <n v="0"/>
    <n v="1000000"/>
    <n v="0"/>
    <n v="0"/>
    <n v="0"/>
    <n v="0"/>
    <n v="0"/>
    <n v="0"/>
    <n v="1000000"/>
    <n v="0"/>
    <n v="0"/>
    <n v="0"/>
    <n v="0"/>
    <n v="0"/>
    <n v="0"/>
    <n v="1000000"/>
    <n v="1000000"/>
    <n v="0"/>
    <n v="0"/>
    <s v="Realizar la auditoría de certificación del Sistema de Gestión Institucional bajo la NTC ISO 9001:2015 en la UPME."/>
    <m/>
    <m/>
    <m/>
    <m/>
    <m/>
    <m/>
    <m/>
    <m/>
    <m/>
    <m/>
    <n v="1000000"/>
    <m/>
    <m/>
    <m/>
    <m/>
    <m/>
    <m/>
    <n v="1000000"/>
    <m/>
    <m/>
    <m/>
    <m/>
    <m/>
    <m/>
    <m/>
    <m/>
    <n v="1000000"/>
    <n v="1000000"/>
    <n v="0"/>
    <n v="0"/>
    <m/>
    <m/>
    <m/>
    <n v="1000000"/>
    <m/>
    <m/>
    <n v="0"/>
    <n v="1000000"/>
    <n v="0"/>
    <m/>
    <m/>
    <m/>
    <m/>
    <m/>
    <m/>
    <m/>
    <m/>
    <m/>
    <m/>
    <m/>
    <m/>
    <m/>
    <m/>
    <m/>
    <m/>
    <m/>
    <m/>
    <m/>
    <m/>
    <m/>
    <m/>
    <m/>
    <m/>
    <m/>
    <m/>
    <m/>
    <m/>
    <m/>
    <m/>
    <m/>
    <m/>
    <m/>
    <m/>
    <m/>
    <m/>
    <m/>
    <m/>
    <n v="0"/>
    <n v="0"/>
    <n v="0"/>
    <n v="0"/>
    <n v="0"/>
  </r>
  <r>
    <x v="0"/>
    <x v="1"/>
    <s v="Fortalecimiento de la percepción de la ciudadanía frente a los productos y servicios prestados por la UPME nacional"/>
    <s v="Transversal"/>
    <s v="Sí"/>
    <s v="Sí"/>
    <n v="68"/>
    <s v="101-30"/>
    <s v="Fortalecer la gestión de conocimiento para la planeación minero energética."/>
    <s v="Documentos Metodológicos"/>
    <s v="Realizar la implementación de un esquema organizativo y de gobernabilidad para la gestión del conocimiento"/>
    <n v="80111620"/>
    <s v="C-2199-1900-4-53105B-2199057-02"/>
    <x v="0"/>
    <s v="101-3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61009"/>
    <n v="61009"/>
    <s v="No"/>
    <s v="N/A"/>
    <s v="Verónica Tabares Muñoz"/>
    <s v="Jefe de Oficina Asesora de Planeación"/>
    <n v="6012220601"/>
    <s v="veronica.tabares@upme.gov.co"/>
    <n v="0"/>
    <n v="0"/>
    <n v="61009"/>
    <n v="0"/>
    <n v="0"/>
    <n v="0"/>
    <n v="0"/>
    <n v="0"/>
    <n v="0"/>
    <n v="61009"/>
    <n v="0"/>
    <n v="0"/>
    <n v="0"/>
    <n v="0"/>
    <n v="0"/>
    <n v="0"/>
    <n v="0"/>
    <n v="0"/>
    <n v="0"/>
    <n v="0"/>
    <n v="0"/>
    <n v="0"/>
    <n v="0"/>
    <n v="0"/>
    <n v="61009"/>
    <n v="61009"/>
    <n v="0"/>
    <n v="0"/>
    <s v="Prestar servicios profesionales orientados al fortalecimiento de la Dimensión de Control Interno mediante la ejecución del Plan Anual de Auditorías Internas Independientes, con énfasis en la evaluación de la gestión administrativa de la UPME."/>
    <m/>
    <m/>
    <n v="61009"/>
    <m/>
    <m/>
    <m/>
    <m/>
    <m/>
    <m/>
    <n v="61009"/>
    <m/>
    <m/>
    <m/>
    <m/>
    <m/>
    <m/>
    <m/>
    <m/>
    <m/>
    <m/>
    <m/>
    <m/>
    <m/>
    <m/>
    <m/>
    <m/>
    <n v="61009"/>
    <n v="61009"/>
    <n v="0"/>
    <n v="0"/>
    <n v="64026"/>
    <d v="2026-01-23T00:00:00"/>
    <n v="61009"/>
    <n v="0"/>
    <n v="59726"/>
    <d v="2026-02-12T00:00:00"/>
    <n v="61009"/>
    <n v="0"/>
    <n v="0"/>
    <s v="NUÑEZ GANTIVA NATALIA ELIANA"/>
    <s v="CO1.PCCNTR.9306722"/>
    <m/>
    <m/>
    <m/>
    <n v="61009"/>
    <m/>
    <m/>
    <m/>
    <m/>
    <m/>
    <m/>
    <m/>
    <m/>
    <m/>
    <m/>
    <m/>
    <m/>
    <m/>
    <m/>
    <m/>
    <m/>
    <m/>
    <m/>
    <m/>
    <m/>
    <m/>
    <m/>
    <m/>
    <m/>
    <m/>
    <m/>
    <m/>
    <m/>
    <m/>
    <m/>
    <m/>
    <m/>
    <n v="61009"/>
    <n v="0"/>
    <n v="0"/>
    <n v="61009"/>
    <n v="0"/>
  </r>
  <r>
    <x v="0"/>
    <x v="1"/>
    <s v="Fortalecimiento de la percepción de la ciudadanía frente a los productos y servicios prestados por la UPME nacional"/>
    <s v="Transversal"/>
    <s v="Sí"/>
    <s v="Sí"/>
    <n v="68"/>
    <s v="101-31"/>
    <s v="Fortalecer la gestión de conocimiento para la planeación minero energética."/>
    <s v="Documentos Metodológicos"/>
    <s v="Realizar la implementación de un esquema organizativo y de gobernabilidad para la gestión del conocimiento"/>
    <n v="80111620"/>
    <s v="C-2199-1900-4-53105B-2199057-02"/>
    <x v="0"/>
    <s v="101-31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3075304"/>
    <n v="3075304"/>
    <s v="No"/>
    <s v="N/A"/>
    <s v="Verónica Tabares Muñoz"/>
    <s v="Jefe de Oficina Asesora de Planeación"/>
    <n v="6012220601"/>
    <s v="veronica.tabares@upme.gov.co"/>
    <n v="0"/>
    <n v="0"/>
    <n v="0"/>
    <n v="0"/>
    <n v="0"/>
    <n v="0"/>
    <n v="0"/>
    <n v="0"/>
    <n v="0"/>
    <n v="0"/>
    <n v="0"/>
    <n v="0"/>
    <n v="3075304"/>
    <n v="0"/>
    <n v="0"/>
    <n v="0"/>
    <n v="0"/>
    <n v="0"/>
    <n v="0"/>
    <n v="1000000"/>
    <n v="0"/>
    <n v="1000000"/>
    <n v="0"/>
    <n v="1075304"/>
    <n v="3075304"/>
    <n v="3075304"/>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3075304"/>
    <m/>
    <m/>
    <m/>
    <m/>
    <m/>
    <m/>
    <n v="1000000"/>
    <m/>
    <n v="1000000"/>
    <m/>
    <n v="1075304"/>
    <m/>
    <m/>
    <n v="3075304"/>
    <n v="3075304"/>
    <n v="0"/>
    <n v="0"/>
    <m/>
    <m/>
    <m/>
    <n v="3075304"/>
    <m/>
    <m/>
    <n v="0"/>
    <n v="3075304"/>
    <n v="0"/>
    <m/>
    <m/>
    <m/>
    <m/>
    <m/>
    <m/>
    <m/>
    <m/>
    <m/>
    <m/>
    <m/>
    <m/>
    <m/>
    <m/>
    <m/>
    <m/>
    <m/>
    <m/>
    <m/>
    <m/>
    <m/>
    <m/>
    <m/>
    <m/>
    <m/>
    <m/>
    <m/>
    <m/>
    <m/>
    <m/>
    <m/>
    <m/>
    <m/>
    <m/>
    <m/>
    <m/>
    <m/>
    <m/>
    <n v="0"/>
    <n v="0"/>
    <n v="0"/>
    <n v="0"/>
    <n v="0"/>
  </r>
  <r>
    <x v="0"/>
    <x v="1"/>
    <s v="Fortalecimiento de la percepción de la ciudadanía frente a los productos y servicios prestados por la UPME nacional"/>
    <s v="Transversal"/>
    <s v="Sí"/>
    <s v="Sí"/>
    <n v="68"/>
    <s v="101-32"/>
    <s v="Fortalecer la gestión de conocimiento para la planeación minero energética."/>
    <s v="Documentos Metodológicos"/>
    <s v="Realizar la implementación de un esquema organizativo y de gobernabilidad para la gestión del conocimiento"/>
    <n v="80111620"/>
    <s v="C-2199-1900-4-53105B-2199057-02"/>
    <x v="0"/>
    <s v="101-32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1 - Otros recursos de tesorería"/>
    <n v="3075304"/>
    <n v="3075304"/>
    <s v="No"/>
    <s v="N/A"/>
    <s v="Verónica Tabares Muñoz"/>
    <s v="Jefe de Oficina Asesora de Planeación"/>
    <n v="6012220601"/>
    <s v="veronica.tabares@upme.gov.co"/>
    <n v="0"/>
    <n v="0"/>
    <n v="0"/>
    <n v="0"/>
    <n v="0"/>
    <n v="0"/>
    <n v="0"/>
    <n v="0"/>
    <n v="0"/>
    <n v="0"/>
    <n v="0"/>
    <n v="0"/>
    <n v="3075304"/>
    <n v="0"/>
    <n v="0"/>
    <n v="0"/>
    <n v="0"/>
    <n v="0"/>
    <n v="0"/>
    <n v="1000000"/>
    <n v="0"/>
    <n v="1000000"/>
    <n v="0"/>
    <n v="1075304"/>
    <n v="3075304"/>
    <n v="3075304"/>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3075304"/>
    <m/>
    <m/>
    <m/>
    <m/>
    <m/>
    <m/>
    <n v="1000000"/>
    <m/>
    <n v="1000000"/>
    <m/>
    <n v="1075304"/>
    <m/>
    <m/>
    <n v="3075304"/>
    <n v="3075304"/>
    <n v="0"/>
    <n v="0"/>
    <m/>
    <m/>
    <m/>
    <n v="3075304"/>
    <m/>
    <m/>
    <n v="0"/>
    <n v="3075304"/>
    <n v="0"/>
    <m/>
    <m/>
    <m/>
    <m/>
    <m/>
    <m/>
    <m/>
    <m/>
    <m/>
    <m/>
    <m/>
    <m/>
    <m/>
    <m/>
    <m/>
    <m/>
    <m/>
    <m/>
    <m/>
    <m/>
    <m/>
    <m/>
    <m/>
    <m/>
    <m/>
    <m/>
    <m/>
    <m/>
    <m/>
    <m/>
    <m/>
    <m/>
    <m/>
    <m/>
    <m/>
    <m/>
    <m/>
    <m/>
    <n v="0"/>
    <n v="0"/>
    <n v="0"/>
    <n v="0"/>
    <n v="0"/>
  </r>
  <r>
    <x v="0"/>
    <x v="1"/>
    <s v="Fortalecimiento de la percepción de la ciudadanía frente a los productos y servicios prestados por la UPME nacional"/>
    <s v="Transversal"/>
    <s v="Sí"/>
    <s v="Sí"/>
    <n v="4"/>
    <s v="101-33"/>
    <s v="Mejorar el direccionamiento estratégico y la gestión de los procesos frente a la ciudadanía."/>
    <s v="Servicio de Implementación Sistemas de Gestión"/>
    <s v="Planificar y coordinar la apropiación e implementación del MIPG."/>
    <n v="80111620"/>
    <s v="C-2199-1900-4-53105B-2199062-02"/>
    <x v="0"/>
    <s v="101-33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11"/>
    <s v="Meses"/>
    <s v="Contratación directa - Prestación de servicios profesionales "/>
    <s v="Propios - 20 - Ingresos corrientes"/>
    <n v="4500000"/>
    <n v="4500000"/>
    <s v="No"/>
    <s v="N/A"/>
    <s v="Verónica Tabares Muñoz"/>
    <s v="Jefe de Oficina Asesora de Planeación"/>
    <n v="6012220601"/>
    <s v="veronica.tabares@upme.gov.co"/>
    <n v="0"/>
    <n v="0"/>
    <n v="4500000"/>
    <n v="0"/>
    <n v="0"/>
    <n v="0"/>
    <n v="0"/>
    <n v="0"/>
    <n v="0"/>
    <n v="0"/>
    <n v="0"/>
    <n v="0"/>
    <n v="0"/>
    <n v="0"/>
    <n v="0"/>
    <n v="0"/>
    <n v="0"/>
    <n v="0"/>
    <n v="0"/>
    <n v="0"/>
    <n v="0"/>
    <n v="1000000"/>
    <n v="0"/>
    <n v="3500000"/>
    <n v="4500000"/>
    <n v="45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4500000"/>
    <m/>
    <m/>
    <m/>
    <m/>
    <m/>
    <m/>
    <m/>
    <m/>
    <m/>
    <m/>
    <m/>
    <m/>
    <m/>
    <m/>
    <m/>
    <m/>
    <m/>
    <m/>
    <n v="1000000"/>
    <m/>
    <n v="3500000"/>
    <m/>
    <m/>
    <n v="4500000"/>
    <n v="4500000"/>
    <n v="0"/>
    <n v="0"/>
    <n v="52826"/>
    <d v="2026-01-20T00:00:00"/>
    <n v="4500000"/>
    <n v="0"/>
    <n v="45026"/>
    <d v="2026-02-05T00:00:00"/>
    <n v="4500000"/>
    <n v="0"/>
    <n v="0"/>
    <s v="PULIDO RINCON JENNY"/>
    <s v="CO1.PCCNTR.9253728"/>
    <m/>
    <m/>
    <m/>
    <n v="4500000"/>
    <m/>
    <m/>
    <m/>
    <m/>
    <m/>
    <m/>
    <m/>
    <m/>
    <m/>
    <m/>
    <m/>
    <m/>
    <m/>
    <m/>
    <m/>
    <m/>
    <m/>
    <m/>
    <m/>
    <m/>
    <m/>
    <m/>
    <m/>
    <m/>
    <m/>
    <m/>
    <m/>
    <m/>
    <m/>
    <m/>
    <m/>
    <m/>
    <n v="4500000"/>
    <n v="0"/>
    <n v="0"/>
    <n v="4500000"/>
    <n v="0"/>
  </r>
  <r>
    <x v="0"/>
    <x v="1"/>
    <s v="Fortalecimiento de la percepción de la ciudadanía frente a los productos y servicios prestados por la UPME nacional"/>
    <s v="Transversal"/>
    <s v="Sí"/>
    <s v="Sí"/>
    <n v="4"/>
    <s v="101-34"/>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34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11"/>
    <s v="Meses"/>
    <s v="Contratación directa - Prestación de servicios profesionales "/>
    <s v="Propios - 20 - Ingresos corrientes"/>
    <n v="6500000"/>
    <n v="6500000"/>
    <s v="No"/>
    <s v="N/A"/>
    <s v="Verónica Tabares Muñoz"/>
    <s v="Jefe de Oficina Asesora de Planeación"/>
    <n v="6012220601"/>
    <s v="veronica.tabares@upme.gov.co"/>
    <n v="0"/>
    <n v="0"/>
    <n v="6500000"/>
    <n v="0"/>
    <n v="0"/>
    <n v="0"/>
    <n v="0"/>
    <n v="0"/>
    <n v="0"/>
    <n v="0"/>
    <n v="0"/>
    <n v="0"/>
    <n v="0"/>
    <n v="0"/>
    <n v="0"/>
    <n v="0"/>
    <n v="0"/>
    <n v="0"/>
    <n v="0"/>
    <n v="0"/>
    <n v="0"/>
    <n v="0"/>
    <n v="0"/>
    <n v="6500000"/>
    <n v="6500000"/>
    <n v="65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6500000"/>
    <m/>
    <m/>
    <m/>
    <m/>
    <m/>
    <m/>
    <m/>
    <m/>
    <m/>
    <m/>
    <m/>
    <m/>
    <m/>
    <m/>
    <m/>
    <m/>
    <m/>
    <m/>
    <m/>
    <m/>
    <n v="6500000"/>
    <m/>
    <m/>
    <n v="6500000"/>
    <n v="6500000"/>
    <n v="0"/>
    <n v="0"/>
    <n v="52826"/>
    <d v="2026-01-20T00:00:00"/>
    <n v="6500000"/>
    <n v="0"/>
    <n v="45026"/>
    <d v="2026-02-05T00:00:00"/>
    <n v="6500000"/>
    <n v="0"/>
    <n v="0"/>
    <s v="PULIDO RINCON JENNY"/>
    <s v="CO1.PCCNTR.9253728"/>
    <m/>
    <m/>
    <m/>
    <n v="6500000"/>
    <m/>
    <m/>
    <m/>
    <n v="5000000"/>
    <n v="5000000"/>
    <m/>
    <m/>
    <m/>
    <m/>
    <m/>
    <m/>
    <m/>
    <m/>
    <m/>
    <m/>
    <m/>
    <m/>
    <m/>
    <m/>
    <m/>
    <m/>
    <m/>
    <m/>
    <m/>
    <m/>
    <m/>
    <m/>
    <m/>
    <m/>
    <m/>
    <m/>
    <m/>
    <n v="6500000"/>
    <n v="5000000"/>
    <n v="5000000"/>
    <n v="1500000"/>
    <n v="0"/>
  </r>
  <r>
    <x v="0"/>
    <x v="1"/>
    <s v="Fortalecimiento de la percepción de la ciudadanía frente a los productos y servicios prestados por la UPME nacional"/>
    <s v="Transversal"/>
    <s v="Sí"/>
    <s v="Sí"/>
    <n v="4"/>
    <s v="101-35"/>
    <s v="Mejorar el direccionamiento estratégico y la gestión de los procesos frente a la ciudadanía."/>
    <s v="Documentos de Planeación"/>
    <s v="Realizar la programación y seguimiento a la ejecución de las políticas, estrategias, los planes y proyectos institucionales."/>
    <n v="84111603"/>
    <s v="C-2199-1900-4-53105B-2199056-02"/>
    <x v="6"/>
    <s v="101-35 Realizar la auditoría de certificación del Sistema de Gestión Institucional bajo la NTC ISO 9001:2015 en la UPME."/>
    <s v="Mayo"/>
    <s v="Mayo"/>
    <s v="Junio"/>
    <n v="3"/>
    <s v="Meses"/>
    <s v="Contratación directa "/>
    <s v="Propios - 20 - Ingresos corrientes"/>
    <n v="1500000"/>
    <n v="1500000"/>
    <s v="No"/>
    <s v="N/A"/>
    <s v="Verónica Tabares Muñoz"/>
    <s v="Jefe de Oficina Asesora de Planeación"/>
    <n v="6012220601"/>
    <s v="veronica.tabares@upme.gov.co"/>
    <n v="0"/>
    <n v="0"/>
    <n v="0"/>
    <n v="0"/>
    <n v="0"/>
    <n v="0"/>
    <n v="0"/>
    <n v="0"/>
    <n v="0"/>
    <n v="0"/>
    <n v="1500000"/>
    <n v="0"/>
    <n v="0"/>
    <n v="0"/>
    <n v="0"/>
    <n v="0"/>
    <n v="0"/>
    <n v="1500000"/>
    <n v="0"/>
    <n v="0"/>
    <n v="0"/>
    <n v="0"/>
    <n v="0"/>
    <n v="0"/>
    <n v="1500000"/>
    <n v="1500000"/>
    <n v="0"/>
    <n v="0"/>
    <s v="Realizar la auditoría de certificación del Sistema de Gestión Institucional bajo la NTC ISO 9001:2015 en la UPME."/>
    <m/>
    <m/>
    <m/>
    <m/>
    <m/>
    <m/>
    <m/>
    <m/>
    <m/>
    <m/>
    <n v="1500000"/>
    <m/>
    <m/>
    <m/>
    <m/>
    <m/>
    <m/>
    <n v="1500000"/>
    <m/>
    <m/>
    <m/>
    <m/>
    <m/>
    <m/>
    <m/>
    <m/>
    <n v="1500000"/>
    <n v="1500000"/>
    <n v="0"/>
    <n v="0"/>
    <m/>
    <m/>
    <m/>
    <n v="1500000"/>
    <m/>
    <m/>
    <n v="0"/>
    <n v="1500000"/>
    <n v="0"/>
    <m/>
    <m/>
    <m/>
    <m/>
    <m/>
    <m/>
    <m/>
    <m/>
    <m/>
    <m/>
    <m/>
    <m/>
    <m/>
    <m/>
    <m/>
    <m/>
    <m/>
    <m/>
    <m/>
    <m/>
    <m/>
    <m/>
    <m/>
    <m/>
    <m/>
    <m/>
    <m/>
    <m/>
    <m/>
    <m/>
    <m/>
    <m/>
    <m/>
    <m/>
    <m/>
    <m/>
    <m/>
    <m/>
    <n v="0"/>
    <n v="0"/>
    <n v="0"/>
    <n v="0"/>
    <n v="0"/>
  </r>
  <r>
    <x v="0"/>
    <x v="1"/>
    <s v="Fortalecimiento de la percepción de la ciudadanía frente a los productos y servicios prestados por la UPME nacional"/>
    <s v="Transversal"/>
    <s v="Sí"/>
    <s v="Sí"/>
    <n v="7"/>
    <s v="101-36"/>
    <s v="Mejorar el direccionamiento estratégico y la gestión de los procesos frente a la ciudadanía."/>
    <s v="Servicio de Implementación Sistemas de Gestión"/>
    <s v="Planificar y coordinar la apropiación e implementación del MIPG."/>
    <n v="80111620"/>
    <s v="C-2199-1900-4-53105B-2199062-02"/>
    <x v="0"/>
    <s v="101-36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20865181"/>
    <n v="20865181"/>
    <s v="No"/>
    <s v="N/A"/>
    <s v="Verónica Tabares Muñoz"/>
    <s v="Jefe de Oficina Asesora de Planeación"/>
    <n v="6012220601"/>
    <s v="veronica.tabares@upme.gov.co"/>
    <n v="0"/>
    <n v="0"/>
    <n v="20865181"/>
    <n v="0"/>
    <n v="0"/>
    <n v="5500000"/>
    <n v="0"/>
    <n v="5500000"/>
    <n v="0"/>
    <n v="5500000"/>
    <n v="0"/>
    <n v="4365181"/>
    <n v="0"/>
    <n v="0"/>
    <n v="0"/>
    <n v="0"/>
    <n v="0"/>
    <n v="0"/>
    <n v="0"/>
    <n v="0"/>
    <n v="0"/>
    <n v="0"/>
    <n v="0"/>
    <n v="0"/>
    <n v="20865181"/>
    <n v="20865181"/>
    <n v="0"/>
    <n v="0"/>
    <s v="Prestar servicios profesionales para apoyar la implementación de la estrategia de cooperación internacional de la Unidad de Planeación Minero Energética"/>
    <m/>
    <m/>
    <n v="20865181"/>
    <m/>
    <m/>
    <n v="5500000"/>
    <m/>
    <n v="5500000"/>
    <m/>
    <n v="5500000"/>
    <m/>
    <n v="4365181"/>
    <m/>
    <m/>
    <m/>
    <m/>
    <m/>
    <m/>
    <m/>
    <m/>
    <m/>
    <m/>
    <m/>
    <m/>
    <m/>
    <m/>
    <n v="20865181"/>
    <n v="20865181"/>
    <n v="0"/>
    <n v="0"/>
    <n v="63626"/>
    <d v="2026-01-23T00:00:00"/>
    <n v="20865181"/>
    <n v="0"/>
    <n v="38226"/>
    <d v="2026-02-03T00:00:00"/>
    <n v="20865181"/>
    <n v="0"/>
    <n v="0"/>
    <s v="OTERO LLANOS CAMILA ANDREA"/>
    <s v="CO1.PCCNTR.9239194"/>
    <m/>
    <m/>
    <m/>
    <n v="20865181"/>
    <m/>
    <m/>
    <m/>
    <m/>
    <m/>
    <m/>
    <n v="5500000"/>
    <n v="5500000"/>
    <m/>
    <m/>
    <m/>
    <m/>
    <m/>
    <m/>
    <m/>
    <m/>
    <m/>
    <m/>
    <m/>
    <m/>
    <m/>
    <m/>
    <m/>
    <m/>
    <m/>
    <m/>
    <m/>
    <m/>
    <m/>
    <m/>
    <m/>
    <m/>
    <n v="20865181"/>
    <n v="5500000"/>
    <n v="5500000"/>
    <n v="15365181"/>
    <n v="0"/>
  </r>
  <r>
    <x v="0"/>
    <x v="1"/>
    <s v="Fortalecimiento de la percepción de la ciudadanía frente a los productos y servicios prestados por la UPME nacional"/>
    <s v="Transversal"/>
    <s v="Sí"/>
    <s v="Sí"/>
    <n v="7"/>
    <s v="101-37"/>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37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2360050"/>
    <n v="2360050"/>
    <s v="No"/>
    <s v="N/A"/>
    <s v="Verónica Tabares Muñoz"/>
    <s v="Jefe de Oficina Asesora de Planeación"/>
    <n v="6012220601"/>
    <s v="veronica.tabares@upme.gov.co"/>
    <n v="0"/>
    <n v="0"/>
    <n v="2360050"/>
    <n v="0"/>
    <n v="0"/>
    <n v="0"/>
    <n v="0"/>
    <n v="0"/>
    <n v="0"/>
    <n v="0"/>
    <n v="0"/>
    <n v="1134819"/>
    <n v="0"/>
    <n v="1225231"/>
    <n v="0"/>
    <n v="0"/>
    <n v="0"/>
    <n v="0"/>
    <n v="0"/>
    <n v="0"/>
    <n v="0"/>
    <n v="0"/>
    <n v="0"/>
    <n v="0"/>
    <n v="2360050"/>
    <n v="2360050"/>
    <n v="0"/>
    <n v="0"/>
    <s v="Prestar servicios profesionales para apoyar la implementación de la estrategia de cooperación internacional de la Unidad de Planeación Minero Energética"/>
    <m/>
    <m/>
    <n v="2360050"/>
    <m/>
    <m/>
    <m/>
    <m/>
    <m/>
    <m/>
    <m/>
    <m/>
    <n v="1134819"/>
    <m/>
    <n v="1225231"/>
    <m/>
    <m/>
    <m/>
    <m/>
    <m/>
    <m/>
    <m/>
    <m/>
    <m/>
    <m/>
    <m/>
    <m/>
    <n v="2360050"/>
    <n v="2360050"/>
    <n v="0"/>
    <n v="0"/>
    <n v="63626"/>
    <d v="2026-01-23T00:00:00"/>
    <n v="2360050"/>
    <n v="0"/>
    <n v="38226"/>
    <d v="2026-02-03T00:00:00"/>
    <n v="2360050"/>
    <n v="0"/>
    <n v="0"/>
    <s v="OTERO LLANOS CAMILA ANDREA"/>
    <s v="CO1.PCCNTR.9239194"/>
    <m/>
    <m/>
    <m/>
    <n v="2360050"/>
    <m/>
    <m/>
    <m/>
    <m/>
    <m/>
    <m/>
    <m/>
    <m/>
    <m/>
    <m/>
    <m/>
    <m/>
    <m/>
    <m/>
    <m/>
    <m/>
    <m/>
    <m/>
    <m/>
    <m/>
    <m/>
    <m/>
    <m/>
    <m/>
    <m/>
    <m/>
    <m/>
    <m/>
    <m/>
    <m/>
    <m/>
    <m/>
    <n v="2360050"/>
    <n v="0"/>
    <n v="0"/>
    <n v="2360050"/>
    <n v="0"/>
  </r>
  <r>
    <x v="0"/>
    <x v="1"/>
    <s v="Fortalecimiento de la percepción de la ciudadanía frente a los productos y servicios prestados por la UPME nacional"/>
    <s v="Transversal"/>
    <s v="Sí"/>
    <s v="Sí"/>
    <n v="7"/>
    <s v="101-38"/>
    <s v="Fortalecer la gestión de conocimiento para la planeación minero energética."/>
    <s v="Documentos Metodológicos"/>
    <s v="Realizar la implementación de un esquema organizativo y de gobernabilidad para la gestión del conocimiento"/>
    <n v="80111620"/>
    <s v="C-2199-1900-4-53105B-2199057-02"/>
    <x v="0"/>
    <s v="101-38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5000000"/>
    <n v="5000000"/>
    <s v="No"/>
    <s v="N/A"/>
    <s v="Verónica Tabares Muñoz"/>
    <s v="Jefe de Oficina Asesora de Planeación"/>
    <n v="6012220601"/>
    <s v="veronica.tabares@upme.gov.co"/>
    <n v="0"/>
    <n v="0"/>
    <n v="4446567"/>
    <n v="0"/>
    <n v="0"/>
    <n v="0"/>
    <n v="0"/>
    <n v="0"/>
    <n v="0"/>
    <n v="0"/>
    <n v="0"/>
    <n v="0"/>
    <n v="553433"/>
    <n v="4274769"/>
    <n v="0"/>
    <n v="725231"/>
    <n v="0"/>
    <n v="0"/>
    <n v="0"/>
    <n v="0"/>
    <n v="0"/>
    <n v="0"/>
    <n v="0"/>
    <n v="0"/>
    <n v="5000000"/>
    <n v="5000000"/>
    <n v="0"/>
    <n v="0"/>
    <s v="Prestar servicios profesionales para apoyar la implementación de la estrategia de cooperación internacional de la Unidad de Planeación Minero Energética"/>
    <m/>
    <m/>
    <n v="4446567"/>
    <m/>
    <m/>
    <m/>
    <m/>
    <m/>
    <m/>
    <m/>
    <m/>
    <m/>
    <n v="553433"/>
    <n v="4274769"/>
    <m/>
    <n v="725231"/>
    <m/>
    <m/>
    <m/>
    <m/>
    <m/>
    <m/>
    <m/>
    <m/>
    <m/>
    <m/>
    <n v="5000000"/>
    <n v="5000000"/>
    <n v="0"/>
    <n v="0"/>
    <n v="63626"/>
    <d v="2026-01-23T00:00:00"/>
    <n v="4446567"/>
    <n v="553433"/>
    <n v="38226"/>
    <d v="2026-02-03T00:00:00"/>
    <n v="4446567"/>
    <n v="553433"/>
    <n v="0"/>
    <s v="OTERO LLANOS CAMILA ANDREA"/>
    <s v="CO1.PCCNTR.9239194"/>
    <m/>
    <m/>
    <m/>
    <n v="4446567"/>
    <m/>
    <m/>
    <m/>
    <n v="1455131"/>
    <n v="1455131"/>
    <m/>
    <m/>
    <m/>
    <m/>
    <m/>
    <m/>
    <m/>
    <m/>
    <m/>
    <m/>
    <m/>
    <m/>
    <m/>
    <m/>
    <m/>
    <m/>
    <m/>
    <m/>
    <m/>
    <m/>
    <m/>
    <m/>
    <m/>
    <m/>
    <m/>
    <m/>
    <m/>
    <n v="4446567"/>
    <n v="1455131"/>
    <n v="1455131"/>
    <n v="2991436"/>
    <n v="0"/>
  </r>
  <r>
    <x v="0"/>
    <x v="2"/>
    <s v="Mejoramiento de la participación ciudadana en el modelo energético y de infraestructura energética, en el marco de la transición energética justa a nivel  nacional"/>
    <s v="Fondos"/>
    <s v="No"/>
    <s v="Sí"/>
    <n v="68"/>
    <s v="180-1"/>
    <s v="Mejorar la capacidad de los interesados en formular proyectos de inversión en el sector energético."/>
    <s v="Servicio de Asistencia Técnica"/>
    <s v="Capacitar interesados en la presentación de proyectos de inversión."/>
    <s v="N/A"/>
    <s v="C-2102-1900-5-53106A-2102071-02"/>
    <x v="4"/>
    <s v="180-1 Viáticos o gastos de desplazamiento"/>
    <s v="N/A"/>
    <s v="N/A"/>
    <s v="N/A"/>
    <s v="N/A"/>
    <s v="N/A"/>
    <s v="N/A"/>
    <s v="Propios - 20 - Ingresos corrientes"/>
    <n v="45967360"/>
    <n v="45967360"/>
    <s v="No"/>
    <s v="N/A"/>
    <s v="Manuel Peña Suarez"/>
    <s v="Jefe Oficina Gestión de Proyectos de Fondos"/>
    <n v="6012220601"/>
    <s v="manuel.pena@upme.govco"/>
    <n v="0"/>
    <n v="0"/>
    <n v="0"/>
    <n v="0"/>
    <n v="5000000"/>
    <n v="5000000"/>
    <n v="5000000"/>
    <n v="5000000"/>
    <n v="5000000"/>
    <n v="5000000"/>
    <n v="5000000"/>
    <n v="5000000"/>
    <n v="5000000"/>
    <n v="5000000"/>
    <n v="5000000"/>
    <n v="5000000"/>
    <n v="5000000"/>
    <n v="5000000"/>
    <n v="5000000"/>
    <n v="5000000"/>
    <n v="5967360"/>
    <n v="5967360"/>
    <n v="0"/>
    <n v="0"/>
    <n v="45967360"/>
    <n v="45967360"/>
    <n v="0"/>
    <n v="0"/>
    <s v="Viáticos o gastos de desplazamiento"/>
    <m/>
    <m/>
    <m/>
    <m/>
    <n v="5000000"/>
    <n v="5000000"/>
    <n v="5000000"/>
    <n v="5000000"/>
    <n v="5000000"/>
    <n v="5000000"/>
    <n v="5000000"/>
    <n v="5000000"/>
    <n v="5000000"/>
    <n v="5000000"/>
    <n v="5000000"/>
    <n v="5000000"/>
    <n v="5000000"/>
    <n v="5000000"/>
    <n v="5000000"/>
    <n v="5000000"/>
    <n v="5967360"/>
    <n v="5967360"/>
    <m/>
    <m/>
    <m/>
    <m/>
    <n v="45967360"/>
    <n v="45967360"/>
    <n v="0"/>
    <n v="0"/>
    <n v="69426"/>
    <d v="2026-03-05T00:00:00"/>
    <n v="45967360"/>
    <n v="0"/>
    <s v="62726,65226,68426,68526,69726,71926,72426,73826"/>
    <s v="10/03/2026,24/03/2026,10/04/2026"/>
    <n v="6504881"/>
    <n v="39462479"/>
    <n v="39462479"/>
    <s v="TELLEZ GUTIERREZ SANDRA MILENA,PRIETO MATEUS LUIS ANDRES,GOMEZ ALVAREZ IVAN DARIO_x000a_"/>
    <m/>
    <m/>
    <m/>
    <m/>
    <m/>
    <m/>
    <m/>
    <n v="1635470"/>
    <n v="1332303"/>
    <n v="1332303"/>
    <n v="4869411"/>
    <n v="3046073"/>
    <n v="3046073"/>
    <m/>
    <m/>
    <m/>
    <m/>
    <m/>
    <m/>
    <m/>
    <m/>
    <m/>
    <m/>
    <m/>
    <m/>
    <m/>
    <m/>
    <m/>
    <m/>
    <m/>
    <m/>
    <m/>
    <m/>
    <m/>
    <m/>
    <m/>
    <m/>
    <n v="6504881"/>
    <n v="4378376"/>
    <n v="4378376"/>
    <n v="2126505"/>
    <n v="0"/>
  </r>
  <r>
    <x v="0"/>
    <x v="2"/>
    <s v="Mejoramiento de la participación ciudadana en el modelo energético y de infraestructura energética, en el marco de la transición energética justa a nivel  nacional"/>
    <s v="Fondos"/>
    <s v="Sí"/>
    <s v="Sí"/>
    <s v="Radicado 20261110012353"/>
    <s v="180-2"/>
    <s v="Mejorar la capacidad de los interesados en formular proyectos de inversión en el sector energético."/>
    <s v="Servicio de Asistencia Técnica"/>
    <s v="Capacitar organizaciones y usuarios en general en las regiones."/>
    <n v="78111502"/>
    <s v="C-2102-1900-5-53106A-2102071-02"/>
    <x v="3"/>
    <s v="180-2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6640212"/>
    <n v="56640212"/>
    <s v="No"/>
    <s v="N/A"/>
    <s v="Manuel Peña Suarez"/>
    <s v="Jefe Oficina Gestión de Proyectos de Fondos"/>
    <n v="6012220601"/>
    <s v="manuel.pena@upme.govco"/>
    <n v="0"/>
    <n v="0"/>
    <n v="0"/>
    <n v="0"/>
    <n v="0"/>
    <n v="0"/>
    <n v="0"/>
    <n v="0"/>
    <n v="0"/>
    <n v="0"/>
    <n v="0"/>
    <n v="0"/>
    <n v="0"/>
    <n v="0"/>
    <n v="0"/>
    <n v="0"/>
    <n v="56640212"/>
    <n v="12000000"/>
    <n v="0"/>
    <n v="15000000"/>
    <n v="0"/>
    <n v="18000000"/>
    <n v="0"/>
    <n v="11640212"/>
    <n v="56640212"/>
    <n v="56640212"/>
    <n v="0"/>
    <n v="0"/>
    <s v="Adquirir los servicios necesarios para garantizar el desplazamiento de servidores públicos y contratistas de la UPME a los eventos y espacios institucionales de planeación minero energética."/>
    <m/>
    <m/>
    <m/>
    <m/>
    <m/>
    <m/>
    <m/>
    <m/>
    <m/>
    <m/>
    <m/>
    <m/>
    <m/>
    <m/>
    <m/>
    <m/>
    <n v="56640212"/>
    <n v="12000000"/>
    <m/>
    <n v="15000000"/>
    <m/>
    <n v="18000000"/>
    <m/>
    <n v="11640212"/>
    <m/>
    <m/>
    <n v="56640212"/>
    <n v="56640212"/>
    <n v="0"/>
    <n v="0"/>
    <m/>
    <m/>
    <m/>
    <n v="56640212"/>
    <m/>
    <m/>
    <n v="0"/>
    <n v="56640212"/>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3"/>
    <s v="180-3"/>
    <s v="Mejorar la capacidad de los interesados en formular proyectos de inversión en el sector energético."/>
    <s v="Servicio de Asistencia Técnica"/>
    <s v="Capacitar organizaciones y usuarios en general en las regiones."/>
    <n v="80111620"/>
    <s v="C-2102-1900-5-53106A-2102071-02"/>
    <x v="0"/>
    <s v="180-3 Prestar los servicios profesionales para realizar el seguimiento y reporte de las actividades relacionadas con la planeación estratégica y el sistema de gestión de calidad de la Oficina de Gestión de Proyectos de Fondos de la UPME."/>
    <s v="Enero "/>
    <s v="Enero "/>
    <s v="Enero "/>
    <n v="6"/>
    <s v="Meses"/>
    <s v="Contratación directa - Prestación de servicios profesionales "/>
    <s v="Propios - 20 - Ingresos corrientes"/>
    <n v="34479900"/>
    <n v="34479900"/>
    <s v="No"/>
    <s v="N/A"/>
    <s v="Oscar Zabaleta"/>
    <s v="Jefe Oficina Gestión de Proyectos de Fondos"/>
    <n v="6012220607"/>
    <s v="oscar.zabaleta@upme.gov.co"/>
    <n v="0"/>
    <n v="0"/>
    <n v="34479900"/>
    <n v="0"/>
    <n v="0"/>
    <n v="5746650"/>
    <n v="0"/>
    <n v="5746650"/>
    <n v="0"/>
    <n v="5746650"/>
    <n v="0"/>
    <n v="5746650"/>
    <n v="0"/>
    <n v="5746650"/>
    <n v="0"/>
    <n v="0"/>
    <n v="0"/>
    <n v="5746650"/>
    <n v="0"/>
    <n v="0"/>
    <n v="0"/>
    <n v="0"/>
    <n v="0"/>
    <n v="0"/>
    <n v="34479900"/>
    <n v="34479900"/>
    <n v="0"/>
    <n v="0"/>
    <s v="Prestar los servicios profesionales para realizar el seguimiento y reporte de las actividades relacionadas con la planeación estratégica y el sistema de gestión de calidad de la Oficina de Gestión de Proyectos de Fondos de la UPME."/>
    <m/>
    <m/>
    <n v="34479900"/>
    <m/>
    <m/>
    <n v="5746650"/>
    <m/>
    <n v="5746650"/>
    <m/>
    <n v="5746650"/>
    <m/>
    <n v="5746650"/>
    <m/>
    <n v="5746650"/>
    <m/>
    <m/>
    <m/>
    <n v="5746650"/>
    <m/>
    <m/>
    <m/>
    <m/>
    <m/>
    <m/>
    <m/>
    <m/>
    <n v="34479900"/>
    <n v="34479900"/>
    <n v="0"/>
    <n v="0"/>
    <n v="45726"/>
    <d v="2026-01-19T00:00:00"/>
    <n v="34479900"/>
    <n v="0"/>
    <n v="46326"/>
    <d v="2026-02-06T00:00:00"/>
    <n v="34479900"/>
    <n v="0"/>
    <n v="0"/>
    <s v="PEÑA GONZALEZ DAVID LEONARDO"/>
    <s v="CO1.PCCNTR.9201104"/>
    <m/>
    <m/>
    <m/>
    <n v="34479900"/>
    <m/>
    <m/>
    <m/>
    <n v="4788875"/>
    <n v="4788875"/>
    <m/>
    <n v="5746650"/>
    <n v="5746650"/>
    <m/>
    <m/>
    <m/>
    <m/>
    <m/>
    <m/>
    <m/>
    <m/>
    <m/>
    <m/>
    <m/>
    <m/>
    <m/>
    <m/>
    <m/>
    <m/>
    <m/>
    <m/>
    <m/>
    <m/>
    <m/>
    <m/>
    <m/>
    <m/>
    <n v="34479900"/>
    <n v="10535525"/>
    <n v="10535525"/>
    <n v="23944375"/>
    <n v="0"/>
  </r>
  <r>
    <x v="0"/>
    <x v="2"/>
    <s v="Mejoramiento de la participación ciudadana en el modelo energético y de infraestructura energética, en el marco de la transición energética justa a nivel  nacional"/>
    <s v="Fondos"/>
    <s v="Sí"/>
    <s v="Sí"/>
    <n v="68"/>
    <s v="180-4"/>
    <s v="Mejorar la capacidad de los interesados en formular proyectos de inversión en el sector energético."/>
    <s v="Servicio de Asistencia Técnica"/>
    <s v="Capacitar organizaciones y usuarios en general en las regiones."/>
    <n v="80111620"/>
    <s v="C-2102-1900-5-53106A-2102071-02"/>
    <x v="0"/>
    <s v="180-4 Prestar servicios profesionales para realizar la atención de PQRS, capacitación externa e interna, levantamiento de requerimientos de la plataforma SUU en marco del proceso de emisión de conceptos de la oficina de gestión de proyectos de fondos de l"/>
    <s v="Enero "/>
    <s v="Enero "/>
    <s v="Enero "/>
    <n v="11.5"/>
    <s v="Meses"/>
    <s v="Contratación directa - Prestación de servicios profesionales "/>
    <s v="Propios - 20 - Ingresos corrientes"/>
    <n v="66086475"/>
    <n v="66086475"/>
    <s v="No"/>
    <s v="N/A"/>
    <s v="Manuel Peña Suarez"/>
    <s v="Jefe Oficina Gestión de Proyectos de Fondos"/>
    <n v="6012220603"/>
    <s v="manuel.pena@upme.govco"/>
    <n v="63213150"/>
    <n v="0"/>
    <n v="0"/>
    <n v="2873325"/>
    <n v="0"/>
    <n v="5746650"/>
    <n v="0"/>
    <n v="5746650"/>
    <n v="0"/>
    <n v="5746650"/>
    <n v="0"/>
    <n v="5746650"/>
    <n v="0"/>
    <n v="5746650"/>
    <n v="0"/>
    <n v="5746650"/>
    <n v="0"/>
    <n v="5746650"/>
    <n v="0"/>
    <n v="5746650"/>
    <n v="0"/>
    <n v="5746650"/>
    <n v="2873325"/>
    <n v="11493300"/>
    <n v="66086475"/>
    <n v="66086475"/>
    <n v="0"/>
    <n v="0"/>
    <s v="Prestar servicios profesionales para realizar la atención de PQRS, capacitación externa e interna, levantamiento de requerimientos de la plataforma SUU en marco del proceso de emisión de conceptos de la oficina de gestión de proyectos de fondos de la UPME"/>
    <n v="63213150"/>
    <m/>
    <m/>
    <n v="2873325"/>
    <m/>
    <n v="5746650"/>
    <m/>
    <n v="5746650"/>
    <m/>
    <n v="5746650"/>
    <m/>
    <n v="5746650"/>
    <m/>
    <n v="5746650"/>
    <m/>
    <n v="5746650"/>
    <m/>
    <n v="5746650"/>
    <m/>
    <n v="5746650"/>
    <m/>
    <n v="5746650"/>
    <n v="2873325"/>
    <n v="11493300"/>
    <m/>
    <m/>
    <n v="66086475"/>
    <n v="66086475"/>
    <n v="0"/>
    <n v="0"/>
    <n v="32926"/>
    <d v="2026-01-14T00:00:00"/>
    <n v="66086475"/>
    <n v="0"/>
    <n v="28426"/>
    <d v="2026-01-28T00:00:00"/>
    <n v="63213150"/>
    <n v="2873325"/>
    <n v="2873325"/>
    <s v="MYERSTON VEGA LISETH CAROLINA"/>
    <s v="CO1.PCCNTR.9142127"/>
    <n v="63213150"/>
    <m/>
    <m/>
    <m/>
    <n v="383110"/>
    <n v="383110"/>
    <m/>
    <n v="5746650"/>
    <n v="5746650"/>
    <m/>
    <n v="5746650"/>
    <n v="5746650"/>
    <m/>
    <m/>
    <m/>
    <m/>
    <m/>
    <m/>
    <m/>
    <m/>
    <m/>
    <m/>
    <m/>
    <m/>
    <m/>
    <m/>
    <m/>
    <m/>
    <m/>
    <m/>
    <m/>
    <m/>
    <m/>
    <m/>
    <m/>
    <m/>
    <n v="63213150"/>
    <n v="11876410"/>
    <n v="11876410"/>
    <n v="51336740"/>
    <n v="0"/>
  </r>
  <r>
    <x v="0"/>
    <x v="2"/>
    <s v="Mejoramiento de la participación ciudadana en el modelo energético y de infraestructura energética, en el marco de la transición energética justa a nivel  nacional"/>
    <s v="Fondos"/>
    <s v="Sí"/>
    <s v="Sí"/>
    <n v="20"/>
    <s v="180-5"/>
    <s v="Mejorar la capacidad de los interesados en formular proyectos de inversión en el sector energético."/>
    <s v="Servicio de Asistencia Técnica"/>
    <s v="Capacitar organizaciones y usuarios en general en las regiones."/>
    <n v="80111620"/>
    <s v="C-2102-1900-5-53106A-2102071-02"/>
    <x v="0"/>
    <s v="180-5 Prestar servicios profesionales especializados en el desarrollo, implementación y mantenimiento de soluciones tecnológicas para la Oficina de Gestión de Proyectos de Fondos (OGPF) de la UPME."/>
    <s v="Enero "/>
    <s v="Enero "/>
    <s v="Enero "/>
    <n v="2.1"/>
    <s v="Meses"/>
    <s v="Contratación directa - Prestación de servicios profesionales "/>
    <s v="Propios - 20 - Ingresos corrientes"/>
    <n v="46670167"/>
    <n v="46670167"/>
    <s v="No"/>
    <s v="N/A"/>
    <s v="Manuel Peña Suarez"/>
    <s v="Jefe Oficina Gestión de Proyectos de Fondos"/>
    <n v="6012220604"/>
    <s v="manuel.pena@upme.govco"/>
    <n v="81034800"/>
    <n v="0"/>
    <n v="0"/>
    <n v="3683400"/>
    <n v="0"/>
    <n v="7366800"/>
    <n v="0"/>
    <n v="7366800"/>
    <n v="0"/>
    <n v="7366800"/>
    <n v="0"/>
    <n v="7366800"/>
    <n v="0"/>
    <n v="7366800"/>
    <n v="0"/>
    <n v="7366800"/>
    <n v="0"/>
    <n v="7366800"/>
    <n v="0"/>
    <n v="7366800"/>
    <n v="0"/>
    <n v="7366800"/>
    <n v="3683400"/>
    <n v="14733600"/>
    <n v="84718200"/>
    <n v="84718200"/>
    <n v="-38048033"/>
    <n v="-38048033"/>
    <s v="Prestar servicios profesionales especializados en el desarrollo, implementación y mantenimiento de soluciones tecnológicas para la Oficina de Gestión de Proyectos de Fondos (OGPF) de la UPME."/>
    <n v="84718200"/>
    <n v="0"/>
    <n v="0"/>
    <n v="982240"/>
    <n v="0"/>
    <n v="7366800"/>
    <n v="-38048033"/>
    <n v="7366800"/>
    <n v="0"/>
    <n v="0"/>
    <n v="0"/>
    <n v="0"/>
    <n v="0"/>
    <n v="30954327"/>
    <n v="0"/>
    <n v="0"/>
    <n v="0"/>
    <n v="0"/>
    <n v="0"/>
    <n v="0"/>
    <n v="0"/>
    <n v="0"/>
    <n v="0"/>
    <n v="0"/>
    <m/>
    <m/>
    <n v="46670167"/>
    <n v="46670167"/>
    <n v="0"/>
    <n v="0"/>
    <n v="40326"/>
    <d v="2026-01-16T00:00:00"/>
    <n v="15715840"/>
    <n v="30954327"/>
    <n v="20626"/>
    <d v="2026-01-26T00:00:00"/>
    <n v="15715840"/>
    <n v="30954327"/>
    <n v="0"/>
    <s v="LOPEZ TIMANA JORGE ENRIQUE"/>
    <s v="CO1.PCCNTR.9067508"/>
    <n v="81034800"/>
    <m/>
    <m/>
    <m/>
    <m/>
    <m/>
    <m/>
    <n v="982240"/>
    <n v="982240"/>
    <n v="-65318960"/>
    <m/>
    <m/>
    <m/>
    <m/>
    <m/>
    <m/>
    <m/>
    <m/>
    <m/>
    <m/>
    <m/>
    <m/>
    <m/>
    <m/>
    <m/>
    <m/>
    <m/>
    <m/>
    <m/>
    <m/>
    <m/>
    <m/>
    <m/>
    <m/>
    <m/>
    <m/>
    <n v="15715840"/>
    <n v="982240"/>
    <n v="982240"/>
    <n v="14733600"/>
    <n v="0"/>
  </r>
  <r>
    <x v="0"/>
    <x v="2"/>
    <s v="Mejoramiento de la participación ciudadana en el modelo energético y de infraestructura energética, en el marco de la transición energética justa a nivel  nacional"/>
    <s v="Fondos"/>
    <s v="Sí"/>
    <s v="Sí"/>
    <n v="68"/>
    <s v="180-6"/>
    <s v="Mejorar la capacidad de los interesados en formular proyectos de inversión en el sector energético."/>
    <s v="Servicio de Asistencia Técnica"/>
    <s v="Capacitar organizaciones y usuarios en general en las regiones."/>
    <n v="80111620"/>
    <s v="C-2102-1900-5-53106A-2102071-02"/>
    <x v="0"/>
    <s v="180-6 Prestar servicios profesionales para realizar la evaluación técnica y financiera de los proyectos energéticos que solicitan recursos a los diferentes fondos y mecanismos de financiación del Ministerio de Minas y Energía (MME) evaluados por la UPME, "/>
    <s v="Enero "/>
    <s v="Enero "/>
    <s v="Enero "/>
    <n v="11.5"/>
    <s v="Meses"/>
    <s v="Contratación directa - Prestación de servicios profesionales "/>
    <s v="Propios - 20 - Ingresos corrientes"/>
    <n v="71604750"/>
    <n v="71604750"/>
    <s v="No"/>
    <s v="N/A"/>
    <s v="Manuel Peña Suarez"/>
    <s v="Jefe Oficina Gestión de Proyectos de Fondos"/>
    <n v="6012220605"/>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n v="35826"/>
    <d v="2026-01-15T00:00:00"/>
    <n v="68491500"/>
    <n v="3113250"/>
    <n v="19326"/>
    <d v="2026-01-24T00:00:00"/>
    <n v="68491500"/>
    <n v="3113250"/>
    <n v="0"/>
    <s v="RAMOS HERNANDEZ KEVIN ENRIQUE"/>
    <s v="CO1.PCCNTR.9066483"/>
    <n v="68491500"/>
    <m/>
    <m/>
    <m/>
    <n v="1037750"/>
    <n v="1037750"/>
    <m/>
    <n v="6226500"/>
    <n v="6226500"/>
    <m/>
    <n v="6226500"/>
    <n v="6226500"/>
    <m/>
    <m/>
    <m/>
    <m/>
    <m/>
    <m/>
    <m/>
    <m/>
    <m/>
    <m/>
    <m/>
    <m/>
    <m/>
    <m/>
    <m/>
    <m/>
    <m/>
    <m/>
    <m/>
    <m/>
    <m/>
    <m/>
    <m/>
    <m/>
    <n v="68491500"/>
    <n v="13490750"/>
    <n v="13490750"/>
    <n v="55000750"/>
    <n v="0"/>
  </r>
  <r>
    <x v="0"/>
    <x v="2"/>
    <s v="Mejoramiento de la participación ciudadana en el modelo energético y de infraestructura energética, en el marco de la transición energética justa a nivel  nacional"/>
    <s v="Fondos"/>
    <s v="Sí"/>
    <s v="Sí"/>
    <n v="68"/>
    <s v="180-7"/>
    <s v="Mejorar la capacidad de los interesados en formular proyectos de inversión en el sector energético."/>
    <s v="Servicio de Asistencia Técnica"/>
    <s v="Capacitar organizaciones y usuarios en general en las regiones."/>
    <n v="80111620"/>
    <s v="C-2102-1900-5-53106A-2102071-02"/>
    <x v="0"/>
    <s v="180-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6009896"/>
    <n v="0"/>
    <n v="0"/>
    <n v="0"/>
    <n v="0"/>
    <n v="0"/>
    <n v="0"/>
    <n v="0"/>
    <n v="0"/>
    <n v="0"/>
    <n v="0"/>
    <n v="0"/>
    <n v="0"/>
    <n v="0"/>
    <n v="0"/>
    <n v="0"/>
    <n v="0"/>
    <n v="0"/>
    <n v="0"/>
    <n v="0"/>
    <n v="0"/>
    <n v="6009896"/>
    <n v="6009896"/>
    <n v="6009896"/>
    <n v="0"/>
    <n v="0"/>
    <s v="Prestar servicios profesionales orientados al fortalecimiento de la Dimensión de Control Interno mediante la ejecución del Plan Anual de Auditorías Internas Independientes, con énfasis en la evaluación de la gestión administrativa de la UPME."/>
    <m/>
    <m/>
    <n v="6009896"/>
    <m/>
    <m/>
    <m/>
    <m/>
    <m/>
    <m/>
    <m/>
    <m/>
    <m/>
    <m/>
    <m/>
    <m/>
    <m/>
    <m/>
    <m/>
    <m/>
    <m/>
    <m/>
    <m/>
    <m/>
    <n v="6009896"/>
    <m/>
    <m/>
    <n v="6009896"/>
    <n v="6009896"/>
    <n v="0"/>
    <n v="0"/>
    <n v="64026"/>
    <d v="2026-01-23T00:00:00"/>
    <n v="6009896"/>
    <n v="0"/>
    <n v="59726"/>
    <d v="2026-02-12T00:00:00"/>
    <n v="6009896"/>
    <n v="0"/>
    <n v="0"/>
    <s v="NUÑEZ GANTIVA NATALIA ELIANA"/>
    <s v="CO1.PCCNTR.9306722"/>
    <m/>
    <m/>
    <m/>
    <n v="6009896"/>
    <m/>
    <m/>
    <m/>
    <m/>
    <m/>
    <m/>
    <m/>
    <m/>
    <m/>
    <m/>
    <m/>
    <m/>
    <m/>
    <m/>
    <m/>
    <m/>
    <m/>
    <m/>
    <m/>
    <m/>
    <m/>
    <m/>
    <m/>
    <m/>
    <m/>
    <m/>
    <m/>
    <m/>
    <m/>
    <m/>
    <m/>
    <m/>
    <n v="6009896"/>
    <n v="0"/>
    <n v="0"/>
    <n v="6009896"/>
    <n v="0"/>
  </r>
  <r>
    <x v="0"/>
    <x v="2"/>
    <s v="Mejoramiento de la participación ciudadana en el modelo energético y de infraestructura energética, en el marco de la transición energética justa a nivel  nacional"/>
    <s v="Fondos"/>
    <s v="Sí"/>
    <s v="Sí"/>
    <n v="68"/>
    <s v="180-8"/>
    <s v="Mejorar la capacidad de los interesados en formular proyectos de inversión en el sector energético."/>
    <s v="Servicio de Asistencia Técnica"/>
    <s v="Capacitar organizaciones y usuarios en general en las regiones."/>
    <n v="80111620"/>
    <s v="C-2102-1900-5-53106A-2102071-02"/>
    <x v="0"/>
    <s v="180-8 Prestar servicios profesionales orientados al fortalecimiento de la Política Institucional de Control Interno a través de la ejecución del Plan Anual de Auditorías Internas Independientes, con énfasis en la evaluación de la gestión financiera de la "/>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0"/>
    <n v="0"/>
    <n v="0"/>
    <n v="0"/>
    <n v="0"/>
    <n v="0"/>
    <n v="0"/>
    <n v="0"/>
    <n v="0"/>
    <n v="0"/>
    <n v="6009896"/>
    <n v="0"/>
    <n v="0"/>
    <n v="0"/>
    <n v="0"/>
    <n v="0"/>
    <n v="0"/>
    <n v="2000000"/>
    <n v="0"/>
    <n v="2000000"/>
    <n v="0"/>
    <n v="2009896"/>
    <n v="6009896"/>
    <n v="6009896"/>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009896"/>
    <m/>
    <m/>
    <m/>
    <m/>
    <m/>
    <m/>
    <n v="2000000"/>
    <m/>
    <n v="2000000"/>
    <m/>
    <n v="2009896"/>
    <m/>
    <m/>
    <n v="6009896"/>
    <n v="6009896"/>
    <n v="0"/>
    <n v="0"/>
    <m/>
    <m/>
    <m/>
    <n v="6009896"/>
    <m/>
    <m/>
    <n v="0"/>
    <n v="6009896"/>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68"/>
    <s v="180-9"/>
    <s v="Mejorar la capacidad de los interesados en formular proyectos de inversión en el sector energético."/>
    <s v="Servicio de Asistencia Técnica"/>
    <s v="Capacitar organizaciones y usuarios en general en las regiones."/>
    <n v="80111620"/>
    <s v="C-2102-1900-5-53106A-2102071-02"/>
    <x v="0"/>
    <s v="180-9 Prestar servicios profesionales orientados al fortalecimiento del componente de Información y Comunicación del Modelo Estándar de Control Interno (MECI), a través de la ejecución del Plan Anual de Auditorías Internas Independientes, con énfasis en l"/>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0"/>
    <n v="0"/>
    <n v="0"/>
    <n v="0"/>
    <n v="0"/>
    <n v="0"/>
    <n v="0"/>
    <n v="0"/>
    <n v="0"/>
    <n v="0"/>
    <n v="6009896"/>
    <n v="0"/>
    <n v="0"/>
    <n v="0"/>
    <n v="0"/>
    <n v="0"/>
    <n v="0"/>
    <n v="2000000"/>
    <n v="0"/>
    <n v="2000000"/>
    <n v="0"/>
    <n v="2009896"/>
    <n v="6009896"/>
    <n v="6009896"/>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009896"/>
    <m/>
    <m/>
    <m/>
    <m/>
    <m/>
    <m/>
    <n v="2000000"/>
    <m/>
    <n v="2000000"/>
    <m/>
    <n v="2009896"/>
    <m/>
    <m/>
    <n v="6009896"/>
    <n v="6009896"/>
    <n v="0"/>
    <n v="0"/>
    <m/>
    <m/>
    <m/>
    <n v="6009896"/>
    <m/>
    <m/>
    <n v="0"/>
    <n v="6009896"/>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20"/>
    <s v="180-10"/>
    <s v="Mejorar la capacidad de los interesados en formular proyectos de inversión en el sector energético."/>
    <s v="Servicio de Asistencia Técnica"/>
    <s v="Capacitar organizaciones y usuarios en general en las regiones."/>
    <s v="43201800;43233405;43212201"/>
    <s v="C-2102-1900-5-53106A-2102071-02"/>
    <x v="1"/>
    <s v="180-10 Adquirir el licenciamiento por suscripción para Plataforma de virtualización y almacenamiento en nube incluyendo la adquisición del hardware para Computación y Storage que soporta esta solución de Hiperconvergencia."/>
    <s v="Abril"/>
    <s v="Abril"/>
    <s v="Mayo"/>
    <n v="8"/>
    <s v="Meses"/>
    <s v="Contratación régimen especial (con ofertas)  - Régimen especial"/>
    <s v="Propios - 20 - Ingresos corrientes"/>
    <n v="150000000"/>
    <n v="150000000"/>
    <s v="No"/>
    <s v="N/A"/>
    <s v="Manuel Peña Suarez"/>
    <s v="Jefe Oficina Gestión de Proyectos de Fondos"/>
    <n v="6012220607"/>
    <s v="manuel.pena@upme.govco"/>
    <n v="0"/>
    <n v="0"/>
    <n v="0"/>
    <n v="0"/>
    <n v="0"/>
    <n v="0"/>
    <n v="46309367"/>
    <n v="0"/>
    <n v="0"/>
    <n v="0"/>
    <n v="0"/>
    <n v="46309367"/>
    <n v="0"/>
    <n v="0"/>
    <n v="0"/>
    <n v="0"/>
    <n v="0"/>
    <n v="0"/>
    <n v="0"/>
    <n v="0"/>
    <n v="0"/>
    <n v="0"/>
    <n v="0"/>
    <n v="0"/>
    <n v="46309367"/>
    <n v="46309367"/>
    <n v="103690633"/>
    <n v="103690633"/>
    <s v="Adquirir el licenciamiento por suscripción para Plataforma de virtualización y almacenamiento en nube incluyendo la adquisición del hardware para Computación y Storage que soporta esta solución de Hiperconvergencia."/>
    <n v="0"/>
    <n v="0"/>
    <n v="0"/>
    <n v="0"/>
    <n v="0"/>
    <n v="0"/>
    <n v="0"/>
    <n v="0"/>
    <n v="0"/>
    <n v="0"/>
    <n v="150000000"/>
    <n v="0"/>
    <n v="0"/>
    <n v="150000000"/>
    <n v="0"/>
    <n v="0"/>
    <n v="0"/>
    <n v="0"/>
    <n v="0"/>
    <n v="0"/>
    <n v="0"/>
    <n v="0"/>
    <n v="0"/>
    <n v="0"/>
    <m/>
    <m/>
    <n v="150000000"/>
    <n v="150000000"/>
    <n v="0"/>
    <n v="0"/>
    <m/>
    <m/>
    <m/>
    <n v="150000000"/>
    <m/>
    <m/>
    <n v="0"/>
    <n v="150000000"/>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s v="No. Rad 202601300040373"/>
    <s v="180-11"/>
    <s v="Mejorar la capacidad de los interesados en formular proyectos de inversión en el sector energético."/>
    <s v="Servicio de Asistencia Técnica"/>
    <s v="Capacitar organizaciones y usuarios en general en las regiones."/>
    <s v="43201800;43233405;43212201"/>
    <s v="C-2102-1900-5-53106A-2102071-02"/>
    <x v="1"/>
    <s v="180-1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541383"/>
    <n v="541383"/>
    <s v="No"/>
    <s v="N/A"/>
    <s v="Oscar Zabaleta"/>
    <s v="Jefe Oficina Gestión de Proyectos de Fondos"/>
    <n v="6012220607"/>
    <s v="oscar.zabaleta@upme.gov.co"/>
    <n v="0"/>
    <n v="0"/>
    <n v="0"/>
    <n v="0"/>
    <n v="0"/>
    <n v="0"/>
    <n v="541383"/>
    <n v="0"/>
    <n v="0"/>
    <n v="0"/>
    <n v="0"/>
    <n v="541383"/>
    <n v="0"/>
    <n v="0"/>
    <n v="0"/>
    <n v="0"/>
    <n v="0"/>
    <n v="0"/>
    <n v="0"/>
    <n v="0"/>
    <n v="0"/>
    <n v="0"/>
    <n v="0"/>
    <n v="0"/>
    <n v="541383"/>
    <n v="541383"/>
    <n v="0"/>
    <n v="0"/>
    <s v="Adquirir el licenciamiento por suscripción para Plataforma de virtualización y almacenamiento en nube incluyendo la adquisición del hardware para Computación y Storage que soporta esta solución de Hiperconvergencia."/>
    <m/>
    <m/>
    <m/>
    <m/>
    <m/>
    <m/>
    <n v="541383"/>
    <m/>
    <m/>
    <m/>
    <m/>
    <n v="541383"/>
    <m/>
    <m/>
    <m/>
    <m/>
    <m/>
    <m/>
    <m/>
    <m/>
    <m/>
    <m/>
    <m/>
    <m/>
    <m/>
    <m/>
    <n v="541383"/>
    <n v="541383"/>
    <n v="0"/>
    <n v="0"/>
    <m/>
    <m/>
    <m/>
    <n v="541383"/>
    <m/>
    <m/>
    <n v="0"/>
    <n v="541383"/>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20"/>
    <s v="180-12"/>
    <s v="Mejorar la capacidad de los interesados en formular proyectos de inversión en el sector energético."/>
    <s v="Servicio de Asistencia Técnica"/>
    <s v="Capacitar organizaciones y usuarios en general en las regiones."/>
    <n v="80111620"/>
    <s v="C-2102-1900-5-53106A-2102071-02"/>
    <x v="0"/>
    <s v="180-12 Prestar servicios profesionales en comunicación estratégica para la planeación, desarrollo y ejecución de acciones de free press que promuevan la visibilidad institucional y la articulación intra e intersectorial de la Unidad de Planeación Minero E"/>
    <s v="Enero "/>
    <s v="Enero "/>
    <s v="Enero "/>
    <n v="7"/>
    <s v="Meses"/>
    <s v="Contratación directa - Prestación de servicios profesionales "/>
    <s v="Propios - 20 - Ingresos corrientes"/>
    <n v="84000000"/>
    <n v="84000000"/>
    <s v="No"/>
    <s v="N/A"/>
    <s v="Manuel Peña Suarez"/>
    <s v="Jefe Oficina Gestión de Proyectos de Fondos"/>
    <n v="6012220607"/>
    <s v="manuel.pena@upme.govco"/>
    <n v="0"/>
    <n v="0"/>
    <n v="95450000"/>
    <n v="0"/>
    <n v="0"/>
    <n v="8300000"/>
    <n v="0"/>
    <n v="8300000"/>
    <n v="0"/>
    <n v="8300000"/>
    <n v="0"/>
    <n v="8300000"/>
    <n v="0"/>
    <n v="8300000"/>
    <n v="0"/>
    <n v="8300000"/>
    <n v="0"/>
    <n v="8300000"/>
    <n v="0"/>
    <n v="8300000"/>
    <n v="0"/>
    <n v="8300000"/>
    <n v="0"/>
    <n v="20750000"/>
    <n v="95450000"/>
    <n v="95450000"/>
    <n v="-11450000"/>
    <n v="-11450000"/>
    <s v="Prestar servicios profesionales en comunicación estratégica para la planeación, desarrollo y ejecución de acciones de free press que promuevan la visibilidad institucional y la articulación intra e intersectorial de la Unidad de Planeación Minero Energéti"/>
    <n v="95450000"/>
    <n v="0"/>
    <n v="0"/>
    <n v="12000000"/>
    <n v="0"/>
    <n v="12000000"/>
    <n v="-11450000"/>
    <n v="12000000"/>
    <n v="0"/>
    <n v="12000000"/>
    <n v="0"/>
    <n v="12000000"/>
    <n v="0"/>
    <n v="12000000"/>
    <n v="0"/>
    <n v="12000000"/>
    <n v="0"/>
    <m/>
    <n v="0"/>
    <m/>
    <n v="0"/>
    <n v="0"/>
    <n v="0"/>
    <n v="0"/>
    <m/>
    <m/>
    <n v="84000000"/>
    <n v="84000000"/>
    <n v="0"/>
    <n v="0"/>
    <n v="64626"/>
    <d v="2026-01-24T00:00:00"/>
    <n v="84000000"/>
    <n v="0"/>
    <n v="55126"/>
    <d v="2026-02-10T00:00:00"/>
    <n v="84000000"/>
    <n v="0"/>
    <n v="0"/>
    <s v="BELTRAN FRANCO GERSON STEVEN"/>
    <s v="CO1.PCCNTR.9308638"/>
    <m/>
    <m/>
    <m/>
    <n v="84000000"/>
    <m/>
    <m/>
    <m/>
    <n v="8000000"/>
    <n v="8000000"/>
    <m/>
    <n v="12000000"/>
    <n v="12000000"/>
    <m/>
    <m/>
    <m/>
    <m/>
    <m/>
    <m/>
    <m/>
    <m/>
    <m/>
    <m/>
    <m/>
    <m/>
    <m/>
    <m/>
    <m/>
    <m/>
    <m/>
    <m/>
    <m/>
    <m/>
    <m/>
    <m/>
    <m/>
    <m/>
    <n v="84000000"/>
    <n v="20000000"/>
    <n v="20000000"/>
    <n v="64000000"/>
    <n v="0"/>
  </r>
  <r>
    <x v="0"/>
    <x v="2"/>
    <s v="Mejoramiento de la participación ciudadana en el modelo energético y de infraestructura energética, en el marco de la transición energética justa a nivel  nacional"/>
    <s v="Fondos"/>
    <s v="Sí"/>
    <s v="Sí"/>
    <n v="68"/>
    <s v="180-13"/>
    <s v="Mejorar la capacidad de los interesados en formular proyectos de inversión en el sector energético."/>
    <s v="Documentos de Lineamientos Técnicos"/>
    <s v="Documento con la descripción de procesos, métodos y herramientas."/>
    <n v="80111620"/>
    <s v="C-2102-1900-5-53106A-2102008-02"/>
    <x v="0"/>
    <s v="180-13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11.5"/>
    <s v="Meses"/>
    <s v="Contratación directa - Prestación de servicios profesionales "/>
    <s v="Propios - 20 - Ingresos corrientes"/>
    <n v="84718200"/>
    <n v="84718200"/>
    <s v="No"/>
    <s v="N/A"/>
    <s v="Manuel Peña Suarez"/>
    <s v="Jefe Oficina Gestión de Proyectos de Fondos"/>
    <n v="6012220607"/>
    <s v="manuel.pena@upme.govco"/>
    <n v="84718200"/>
    <n v="0"/>
    <n v="0"/>
    <n v="3683400"/>
    <n v="0"/>
    <n v="7366800"/>
    <n v="0"/>
    <n v="7366800"/>
    <n v="0"/>
    <n v="7366800"/>
    <n v="0"/>
    <n v="7366800"/>
    <n v="0"/>
    <n v="7366800"/>
    <n v="0"/>
    <n v="7366800"/>
    <n v="0"/>
    <n v="7366800"/>
    <n v="0"/>
    <n v="7366800"/>
    <n v="0"/>
    <n v="7366800"/>
    <n v="0"/>
    <n v="14733600"/>
    <n v="84718200"/>
    <n v="84718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84718200"/>
    <m/>
    <m/>
    <n v="3683400"/>
    <m/>
    <n v="7366800"/>
    <m/>
    <n v="7366800"/>
    <m/>
    <n v="7366800"/>
    <m/>
    <n v="7366800"/>
    <m/>
    <n v="7366800"/>
    <m/>
    <n v="7366800"/>
    <m/>
    <n v="7366800"/>
    <m/>
    <n v="7366800"/>
    <m/>
    <n v="7366800"/>
    <m/>
    <n v="14733600"/>
    <m/>
    <m/>
    <n v="84718200"/>
    <n v="84718200"/>
    <n v="0"/>
    <n v="0"/>
    <n v="19526"/>
    <d v="2026-01-11T00:00:00"/>
    <n v="81771480"/>
    <n v="2946720"/>
    <n v="22926"/>
    <d v="2026-01-27T00:00:00"/>
    <n v="81771480"/>
    <n v="2946720"/>
    <n v="0"/>
    <s v="CORREDOR CALDERON FELIPE HUMBERTO"/>
    <s v="CO1.PCCNTR.8997068"/>
    <n v="84718200"/>
    <m/>
    <m/>
    <m/>
    <n v="736680"/>
    <n v="736680"/>
    <n v="-2946720"/>
    <n v="7366800"/>
    <n v="7366800"/>
    <m/>
    <n v="7366800"/>
    <n v="7366800"/>
    <m/>
    <m/>
    <m/>
    <m/>
    <m/>
    <m/>
    <m/>
    <m/>
    <m/>
    <m/>
    <m/>
    <m/>
    <m/>
    <m/>
    <m/>
    <m/>
    <m/>
    <m/>
    <m/>
    <m/>
    <m/>
    <m/>
    <m/>
    <m/>
    <n v="81771480"/>
    <n v="15470280"/>
    <n v="15470280"/>
    <n v="66301200"/>
    <n v="0"/>
  </r>
  <r>
    <x v="0"/>
    <x v="2"/>
    <s v="Mejoramiento de la participación ciudadana en el modelo energético y de infraestructura energética, en el marco de la transición energética justa a nivel  nacional"/>
    <s v="Fondos"/>
    <s v="Sí"/>
    <s v="Sí"/>
    <s v="Radicado 20261800004593"/>
    <s v="180-14"/>
    <s v="Mejorar la capacidad de los interesados en formular proyectos de inversión en el sector energético."/>
    <s v="Documentos de Lineamientos Técnicos"/>
    <s v="Documento con la descripción de procesos, métodos y herramientas."/>
    <n v="80141607"/>
    <s v="C-2102-1900-5-53106A-2102008-02"/>
    <x v="2"/>
    <s v="180-14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4918152"/>
    <n v="4918152"/>
    <s v="No"/>
    <s v="N/A"/>
    <s v="Manuel Peña Suarez"/>
    <s v="Jefe Oficina Gestión de Proyectos de Fondos"/>
    <n v="6012220607"/>
    <s v="manuel.pena@upme.govco"/>
    <n v="4918152"/>
    <n v="0"/>
    <n v="0"/>
    <n v="0"/>
    <n v="0"/>
    <n v="0"/>
    <n v="0"/>
    <n v="0"/>
    <n v="0"/>
    <n v="0"/>
    <n v="0"/>
    <n v="0"/>
    <n v="0"/>
    <n v="0"/>
    <n v="0"/>
    <n v="0"/>
    <n v="0"/>
    <n v="0"/>
    <n v="0"/>
    <n v="0"/>
    <n v="0"/>
    <n v="0"/>
    <n v="0"/>
    <n v="4918152"/>
    <n v="4918152"/>
    <n v="4918152"/>
    <n v="0"/>
    <n v="0"/>
    <s v="Prestación de los servicios de apoyo logístico para el desarrollo de la estrategia de comunicación y participación con actores nacionales y territoriales, así como para otros espacios interinstitucionales en el marco de la misionalidad de la entidad y el "/>
    <n v="4918152"/>
    <m/>
    <m/>
    <m/>
    <m/>
    <m/>
    <m/>
    <m/>
    <m/>
    <m/>
    <m/>
    <m/>
    <m/>
    <m/>
    <m/>
    <m/>
    <m/>
    <m/>
    <m/>
    <m/>
    <m/>
    <m/>
    <m/>
    <n v="4918152"/>
    <m/>
    <m/>
    <n v="4918152"/>
    <n v="4918152"/>
    <n v="0"/>
    <n v="0"/>
    <n v="15126"/>
    <d v="2026-01-09T00:00:00"/>
    <n v="4918152"/>
    <n v="0"/>
    <n v="26226"/>
    <d v="2026-01-28T00:00:00"/>
    <n v="4918152"/>
    <n v="0"/>
    <n v="0"/>
    <s v="M2C ESTRATEGIAS SAS"/>
    <s v="CO1.PCCNTR.9130164"/>
    <n v="4918152"/>
    <m/>
    <m/>
    <m/>
    <m/>
    <m/>
    <m/>
    <m/>
    <m/>
    <m/>
    <m/>
    <m/>
    <m/>
    <m/>
    <m/>
    <m/>
    <m/>
    <m/>
    <m/>
    <m/>
    <m/>
    <m/>
    <m/>
    <m/>
    <m/>
    <m/>
    <m/>
    <m/>
    <m/>
    <m/>
    <m/>
    <m/>
    <m/>
    <m/>
    <m/>
    <m/>
    <n v="4918152"/>
    <n v="0"/>
    <n v="0"/>
    <n v="4918152"/>
    <n v="0"/>
  </r>
  <r>
    <x v="0"/>
    <x v="2"/>
    <s v="Mejoramiento de la participación ciudadana en el modelo energético y de infraestructura energética, en el marco de la transición energética justa a nivel  nacional"/>
    <s v="Fondos"/>
    <s v="Sí"/>
    <s v="Sí"/>
    <n v="68"/>
    <s v="180-15"/>
    <s v="Mejorar la capacidad de los interesados en formular proyectos de inversión en el sector energético."/>
    <s v="Documentos de Lineamientos Técnicos"/>
    <s v="Documento con los resultados de las validaciones."/>
    <n v="80111620"/>
    <s v="C-2102-1900-5-53106A-2102008-02"/>
    <x v="0"/>
    <s v="180-15 Prestar servicios profesionales para llevar a cabo la evaluación técnica y financiera de los proyectos energéticos que solicitan recursos a los diferentes fondos y mecanismos de financiación evaluados por la UPME, así como, liderar mesas técnicas, "/>
    <s v="Enero "/>
    <s v="Enero "/>
    <s v="Enero "/>
    <n v="11.5"/>
    <s v="Meses"/>
    <s v="Contratación directa - Prestación de servicios profesionales "/>
    <s v="Propios - 20 - Ingresos corrientes"/>
    <n v="96068700"/>
    <n v="96068700"/>
    <s v="No"/>
    <s v="N/A"/>
    <s v="Manuel Peña Suarez"/>
    <s v="Jefe Oficina Gestión de Proyectos de Fondos"/>
    <n v="6012220608"/>
    <s v="manuel.pena@upme.govco"/>
    <n v="96068700"/>
    <n v="0"/>
    <n v="0"/>
    <n v="4176900"/>
    <n v="0"/>
    <n v="8353800"/>
    <n v="0"/>
    <n v="8353800"/>
    <n v="0"/>
    <n v="8353800"/>
    <n v="0"/>
    <n v="8353800"/>
    <n v="0"/>
    <n v="8353800"/>
    <n v="0"/>
    <n v="8353800"/>
    <n v="0"/>
    <n v="8353800"/>
    <n v="0"/>
    <n v="8353800"/>
    <n v="0"/>
    <n v="8353800"/>
    <n v="0"/>
    <n v="16707600"/>
    <n v="96068700"/>
    <n v="96068700"/>
    <n v="0"/>
    <n v="0"/>
    <s v="Prestar servicios profesionales para llevar a cabo la evaluación técnica y financiera de los proyectos energéticos que solicitan recursos a los diferentes fondos y mecanismos de financiación evaluados por la UPME, así como, liderar mesas técnicas, contrib"/>
    <n v="96068700"/>
    <m/>
    <m/>
    <n v="4176900"/>
    <m/>
    <n v="8353800"/>
    <m/>
    <n v="8353800"/>
    <m/>
    <n v="8353800"/>
    <m/>
    <n v="8353800"/>
    <m/>
    <n v="8353800"/>
    <m/>
    <n v="8353800"/>
    <m/>
    <n v="8353800"/>
    <m/>
    <n v="8353800"/>
    <m/>
    <n v="8353800"/>
    <m/>
    <n v="16707600"/>
    <m/>
    <m/>
    <n v="96068700"/>
    <n v="96068700"/>
    <n v="0"/>
    <n v="0"/>
    <n v="19326"/>
    <d v="2026-01-11T00:00:00"/>
    <n v="94397940"/>
    <n v="1670760"/>
    <n v="15726"/>
    <d v="2026-01-21T00:00:00"/>
    <n v="94397940"/>
    <n v="1670760"/>
    <n v="0"/>
    <s v="HERNANDEZ HERNANDEZ MICHAEL ALVARO"/>
    <s v="CO1.PCCNTR.8936740"/>
    <n v="96068700"/>
    <m/>
    <m/>
    <m/>
    <n v="2506140"/>
    <n v="2506140"/>
    <n v="-1670760"/>
    <n v="8353800"/>
    <n v="8353800"/>
    <m/>
    <n v="8353800"/>
    <n v="8353800"/>
    <m/>
    <m/>
    <m/>
    <m/>
    <m/>
    <m/>
    <m/>
    <m/>
    <m/>
    <m/>
    <m/>
    <m/>
    <m/>
    <m/>
    <m/>
    <m/>
    <m/>
    <m/>
    <m/>
    <m/>
    <m/>
    <m/>
    <m/>
    <m/>
    <n v="94397940"/>
    <n v="19213740"/>
    <n v="19213740"/>
    <n v="75184200"/>
    <n v="0"/>
  </r>
  <r>
    <x v="0"/>
    <x v="2"/>
    <s v="Mejoramiento de la participación ciudadana en el modelo energético y de infraestructura energética, en el marco de la transición energética justa a nivel  nacional"/>
    <s v="Fondos"/>
    <s v="Sí"/>
    <s v="Sí"/>
    <n v="3"/>
    <s v="180-16"/>
    <s v="Mejorar la capacidad de los interesados en formular proyectos de inversión en el sector energético."/>
    <s v="Documentos de Lineamientos Técnicos"/>
    <s v="Documento con los resultados de las validaciones."/>
    <n v="80111620"/>
    <s v="C-2102-1900-5-53106A-2102008-02"/>
    <x v="0"/>
    <s v="180-16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0 - Ingresos corrientes"/>
    <n v="47653200"/>
    <n v="47653200"/>
    <s v="No"/>
    <s v="N/A"/>
    <s v="Oscar Zabaleta"/>
    <s v="Jefe Oficina Gestión de Proyectos de Fondos"/>
    <n v="6012220607"/>
    <s v="oscar.zabaleta@upme.gov.co"/>
    <n v="47653200"/>
    <n v="0"/>
    <n v="0"/>
    <n v="7942200"/>
    <n v="0"/>
    <n v="7942200"/>
    <n v="0"/>
    <n v="7942200"/>
    <n v="0"/>
    <n v="7942200"/>
    <n v="0"/>
    <n v="7942200"/>
    <n v="0"/>
    <n v="7942200"/>
    <n v="0"/>
    <n v="0"/>
    <n v="0"/>
    <n v="0"/>
    <n v="0"/>
    <n v="0"/>
    <n v="0"/>
    <n v="0"/>
    <n v="0"/>
    <n v="0"/>
    <n v="47653200"/>
    <n v="476532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47653200"/>
    <m/>
    <m/>
    <n v="7942200"/>
    <m/>
    <n v="7942200"/>
    <m/>
    <n v="7942200"/>
    <m/>
    <n v="7942200"/>
    <m/>
    <n v="7942200"/>
    <m/>
    <n v="7942200"/>
    <m/>
    <m/>
    <m/>
    <m/>
    <m/>
    <m/>
    <m/>
    <m/>
    <m/>
    <m/>
    <m/>
    <m/>
    <n v="47653200"/>
    <n v="47653200"/>
    <n v="0"/>
    <n v="0"/>
    <n v="43526"/>
    <d v="2026-01-17T00:00:00"/>
    <n v="39975740"/>
    <n v="7677460"/>
    <n v="33226"/>
    <d v="2026-01-29T00:00:00"/>
    <n v="39975740"/>
    <n v="7677460"/>
    <n v="0"/>
    <s v="ACOSTA SANCHEZ CARLOS ARTURO"/>
    <s v="CO1.PCCNTR.9171327"/>
    <n v="47653200"/>
    <m/>
    <m/>
    <m/>
    <m/>
    <m/>
    <n v="-7677460"/>
    <n v="264740"/>
    <n v="264740"/>
    <m/>
    <n v="15884400"/>
    <n v="15884400"/>
    <m/>
    <m/>
    <m/>
    <m/>
    <m/>
    <m/>
    <m/>
    <m/>
    <m/>
    <m/>
    <m/>
    <m/>
    <m/>
    <m/>
    <m/>
    <m/>
    <m/>
    <m/>
    <m/>
    <m/>
    <m/>
    <m/>
    <m/>
    <m/>
    <n v="39975740"/>
    <n v="16149140"/>
    <n v="16149140"/>
    <n v="23826600"/>
    <n v="0"/>
  </r>
  <r>
    <x v="0"/>
    <x v="2"/>
    <s v="Mejoramiento de la participación ciudadana en el modelo energético y de infraestructura energética, en el marco de la transición energética justa a nivel  nacional"/>
    <s v="Fondos"/>
    <s v="Sí"/>
    <s v="Sí"/>
    <n v="68"/>
    <s v="180-17"/>
    <s v="Mejorar la capacidad de los interesados en formular proyectos de inversión en el sector energético."/>
    <s v="Documentos de Lineamientos Técnicos"/>
    <s v="Documento con los resultados de las validaciones."/>
    <n v="80111620"/>
    <s v="C-2102-1900-5-53106A-2102008-02"/>
    <x v="0"/>
    <s v="180-17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11.5"/>
    <s v="Meses"/>
    <s v="Contratación directa - Prestación de servicios profesionales "/>
    <s v="Propios - 20 - Ingresos corrientes"/>
    <n v="84718200"/>
    <n v="84718200"/>
    <s v="No"/>
    <s v="N/A"/>
    <s v="Manuel Peña Suarez"/>
    <s v="Jefe Oficina Gestión de Proyectos de Fondos"/>
    <n v="6012220609"/>
    <s v="manuel.pena@upme.govco"/>
    <n v="84718200"/>
    <n v="0"/>
    <n v="0"/>
    <n v="3683400"/>
    <n v="0"/>
    <n v="7366800"/>
    <n v="0"/>
    <n v="7366800"/>
    <n v="0"/>
    <n v="7366800"/>
    <n v="0"/>
    <n v="7366800"/>
    <n v="0"/>
    <n v="7366800"/>
    <n v="0"/>
    <n v="7366800"/>
    <n v="0"/>
    <n v="7366800"/>
    <n v="0"/>
    <n v="7366800"/>
    <n v="0"/>
    <n v="7366800"/>
    <n v="0"/>
    <n v="14733600"/>
    <n v="84718200"/>
    <n v="84718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84718200"/>
    <m/>
    <m/>
    <n v="3683400"/>
    <m/>
    <n v="7366800"/>
    <m/>
    <n v="7366800"/>
    <m/>
    <n v="7366800"/>
    <m/>
    <n v="7366800"/>
    <m/>
    <n v="7366800"/>
    <m/>
    <n v="7366800"/>
    <m/>
    <n v="7366800"/>
    <m/>
    <n v="7366800"/>
    <m/>
    <n v="7366800"/>
    <m/>
    <n v="14733600"/>
    <m/>
    <m/>
    <n v="84718200"/>
    <n v="84718200"/>
    <n v="0"/>
    <n v="0"/>
    <n v="16826"/>
    <d v="2026-01-09T00:00:00"/>
    <n v="83490400"/>
    <n v="1227800"/>
    <n v="13126"/>
    <d v="2026-01-20T00:00:00"/>
    <n v="83490400"/>
    <n v="1227800"/>
    <n v="0"/>
    <s v="TEJEDOR PEREZ GERARDO"/>
    <s v="CO1.PCCNTR.8918146"/>
    <n v="84718200"/>
    <m/>
    <m/>
    <m/>
    <n v="2455600"/>
    <n v="2455600"/>
    <n v="-1227800"/>
    <n v="7366800"/>
    <n v="7366800"/>
    <m/>
    <n v="7366800"/>
    <n v="7366800"/>
    <m/>
    <m/>
    <m/>
    <m/>
    <m/>
    <m/>
    <m/>
    <m/>
    <m/>
    <m/>
    <m/>
    <m/>
    <m/>
    <m/>
    <m/>
    <m/>
    <m/>
    <m/>
    <m/>
    <m/>
    <m/>
    <m/>
    <m/>
    <m/>
    <n v="83490400"/>
    <n v="17189200"/>
    <n v="17189200"/>
    <n v="66301200"/>
    <n v="0"/>
  </r>
  <r>
    <x v="0"/>
    <x v="2"/>
    <s v="Mejoramiento de la participación ciudadana en el modelo energético y de infraestructura energética, en el marco de la transición energética justa a nivel  nacional"/>
    <s v="Fondos"/>
    <s v="Sí"/>
    <s v="Sí"/>
    <n v="3"/>
    <s v="180-18"/>
    <s v="Mejorar la capacidad de los interesados en formular proyectos de inversión en el sector energético."/>
    <s v="Documentos de Lineamientos Técnicos"/>
    <s v="Documento con los resultados de las validaciones."/>
    <n v="80111620"/>
    <s v="C-2102-1900-5-53106A-2102008-02"/>
    <x v="0"/>
    <s v="180-18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6"/>
    <s v="Meses"/>
    <s v="Contratación directa - Prestación de servicios profesionales "/>
    <s v="Propios - 20 - Ingresos corrientes"/>
    <n v="47653200"/>
    <n v="47653200"/>
    <s v="No"/>
    <s v="N/A"/>
    <s v="Oscar Zabaleta"/>
    <s v="Jefe Oficina Gestión de Proyectos de Fondos"/>
    <n v="6012220607"/>
    <s v="oscar.zabaleta@upme.gov.co"/>
    <n v="37359000"/>
    <n v="0"/>
    <n v="0"/>
    <n v="0"/>
    <n v="0"/>
    <n v="5590000"/>
    <n v="0"/>
    <n v="7942200"/>
    <n v="0"/>
    <n v="7942200"/>
    <n v="0"/>
    <n v="7942200"/>
    <n v="0"/>
    <n v="7942200"/>
    <n v="10294200"/>
    <n v="7942200"/>
    <n v="0"/>
    <n v="2352200"/>
    <n v="0"/>
    <n v="0"/>
    <n v="0"/>
    <n v="0"/>
    <n v="0"/>
    <n v="0"/>
    <n v="47653200"/>
    <n v="47653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37359000"/>
    <m/>
    <m/>
    <m/>
    <m/>
    <n v="5590000"/>
    <m/>
    <n v="7942200"/>
    <m/>
    <n v="7942200"/>
    <m/>
    <n v="7942200"/>
    <m/>
    <n v="7942200"/>
    <n v="10294200"/>
    <n v="7942200"/>
    <m/>
    <n v="2352200"/>
    <m/>
    <m/>
    <m/>
    <m/>
    <m/>
    <m/>
    <m/>
    <m/>
    <n v="47653200"/>
    <n v="47653200"/>
    <n v="0"/>
    <n v="0"/>
    <n v="50726"/>
    <d v="2026-01-20T00:00:00"/>
    <n v="47653200"/>
    <n v="0"/>
    <n v="34026"/>
    <d v="2026-01-29T00:00:00"/>
    <n v="37359000"/>
    <n v="10294200"/>
    <n v="10294200"/>
    <s v="PEÑA CACERES ELISBETH VANNESA"/>
    <s v="CO1.PCCNTR.9172594"/>
    <n v="37359000"/>
    <m/>
    <m/>
    <m/>
    <m/>
    <m/>
    <m/>
    <n v="6434050"/>
    <n v="6434050"/>
    <m/>
    <n v="6226500"/>
    <n v="6226500"/>
    <m/>
    <m/>
    <m/>
    <m/>
    <m/>
    <m/>
    <m/>
    <m/>
    <m/>
    <m/>
    <m/>
    <m/>
    <m/>
    <m/>
    <m/>
    <m/>
    <m/>
    <m/>
    <m/>
    <m/>
    <m/>
    <m/>
    <m/>
    <m/>
    <n v="37359000"/>
    <n v="12660550"/>
    <n v="12660550"/>
    <n v="24698450"/>
    <n v="0"/>
  </r>
  <r>
    <x v="0"/>
    <x v="2"/>
    <s v="Mejoramiento de la participación ciudadana en el modelo energético y de infraestructura energética, en el marco de la transición energética justa a nivel  nacional"/>
    <s v="Fondos"/>
    <s v="Sí"/>
    <s v="Sí"/>
    <n v="68"/>
    <s v="180-19"/>
    <s v="Mejorar la capacidad de los interesados en formular proyectos de inversión en el sector energético."/>
    <s v="Documentos de Lineamientos Técnicos"/>
    <s v="Documento con los resultados de las validaciones."/>
    <n v="80111620"/>
    <s v="C-2102-1900-5-53106A-2102008-02"/>
    <x v="0"/>
    <s v="180-19 Prestar servicios profesionales para llevar a cabo la evaluación técnica y financiera de proyectos energéticos que solicitan recursos a los fondos y mecanismos de financiación evaluados por la UPME, participar en mesas técnicas y apoyar en la defin"/>
    <s v="Enero "/>
    <s v="Enero "/>
    <s v="Enero "/>
    <n v="11.5"/>
    <s v="Meses"/>
    <s v="Contratación directa - Prestación de servicios profesionales "/>
    <s v="Propios - 20 - Ingresos corrientes"/>
    <n v="76627950"/>
    <n v="76627950"/>
    <s v="No"/>
    <s v="N/A"/>
    <s v="Manuel Peña Suarez"/>
    <s v="Jefe Oficina Gestión de Proyectos de Fondos"/>
    <n v="6012220610"/>
    <s v="manuel.pena@upme.govco"/>
    <n v="76627950"/>
    <n v="0"/>
    <n v="0"/>
    <n v="3331650"/>
    <n v="0"/>
    <n v="6663300"/>
    <n v="0"/>
    <n v="6663300"/>
    <n v="0"/>
    <n v="6663300"/>
    <n v="0"/>
    <n v="6663300"/>
    <n v="0"/>
    <n v="6663300"/>
    <n v="0"/>
    <n v="6663300"/>
    <n v="0"/>
    <n v="6663300"/>
    <n v="0"/>
    <n v="6663300"/>
    <n v="0"/>
    <n v="6663300"/>
    <n v="0"/>
    <n v="13326600"/>
    <n v="76627950"/>
    <n v="76627950"/>
    <n v="0"/>
    <n v="0"/>
    <s v="Prestar servicios profesionales para llevar a cabo la evaluación técnica y financiera de proyectos energéticos que solicitan recursos a los fondos y mecanismos de financiación evaluados por la UPME, participar en mesas técnicas y apoyar en la definición d"/>
    <n v="76627950"/>
    <m/>
    <m/>
    <n v="3331650"/>
    <m/>
    <n v="6663300"/>
    <m/>
    <n v="6663300"/>
    <m/>
    <n v="6663300"/>
    <m/>
    <n v="6663300"/>
    <m/>
    <n v="6663300"/>
    <m/>
    <n v="6663300"/>
    <m/>
    <n v="6663300"/>
    <m/>
    <n v="6663300"/>
    <m/>
    <n v="6663300"/>
    <m/>
    <n v="13326600"/>
    <m/>
    <m/>
    <n v="76627950"/>
    <n v="76627950"/>
    <n v="0"/>
    <n v="0"/>
    <n v="16526"/>
    <d v="2026-01-09T00:00:00"/>
    <n v="75295290"/>
    <n v="1332660"/>
    <n v="13926"/>
    <d v="2026-01-20T00:00:00"/>
    <n v="75295290"/>
    <n v="1332660"/>
    <n v="0"/>
    <s v="LUQUE GONZALEZ RAFAEL ANGELO"/>
    <s v="CO1.PCCNTR.8918263"/>
    <n v="76627950"/>
    <m/>
    <m/>
    <m/>
    <n v="1998990"/>
    <n v="1998990"/>
    <n v="-1332660"/>
    <n v="6663300"/>
    <n v="6663300"/>
    <m/>
    <n v="6663300"/>
    <n v="6663300"/>
    <m/>
    <m/>
    <m/>
    <m/>
    <m/>
    <m/>
    <m/>
    <m/>
    <m/>
    <m/>
    <m/>
    <m/>
    <m/>
    <m/>
    <m/>
    <m/>
    <m/>
    <m/>
    <m/>
    <m/>
    <m/>
    <m/>
    <m/>
    <m/>
    <n v="75295290"/>
    <n v="15325590"/>
    <n v="15325590"/>
    <n v="59969700"/>
    <n v="0"/>
  </r>
  <r>
    <x v="0"/>
    <x v="2"/>
    <s v="Mejoramiento de la participación ciudadana en el modelo energético y de infraestructura energética, en el marco de la transición energética justa a nivel  nacional"/>
    <s v="Fondos"/>
    <s v="Sí"/>
    <s v="Sí"/>
    <n v="68"/>
    <s v="180-20"/>
    <s v="Mejorar la capacidad de los interesados en formular proyectos de inversión en el sector energético."/>
    <s v="Documentos de Lineamientos Técnicos"/>
    <s v="Documento con los resultados de las validaciones."/>
    <n v="80111620"/>
    <s v="C-2102-1900-5-53106A-2102008-02"/>
    <x v="0"/>
    <s v="180-20 Prestar servicios profesionales para llevar a cabo la evaluación técnica y financiera de proyectos energéticos que solicitan recursos a los fondos y mecanismos de financiación evaluados por la UPME, participar en mesas técnicas y apoyar en la defin"/>
    <s v="Enero "/>
    <s v="Enero "/>
    <s v="Enero "/>
    <n v="11.5"/>
    <s v="Meses"/>
    <s v="Contratación directa - Prestación de servicios profesionales "/>
    <s v="Propios - 20 - Ingresos corrientes"/>
    <n v="76627950"/>
    <n v="76627950"/>
    <s v="No"/>
    <s v="N/A"/>
    <s v="Manuel Peña Suarez"/>
    <s v="Jefe Oficina Gestión de Proyectos de Fondos"/>
    <n v="6012220611"/>
    <s v="manuel.pena@upme.govco"/>
    <n v="76627950"/>
    <n v="0"/>
    <n v="0"/>
    <n v="3331650"/>
    <n v="0"/>
    <n v="6663300"/>
    <n v="0"/>
    <n v="6663300"/>
    <n v="0"/>
    <n v="6663300"/>
    <n v="0"/>
    <n v="6663300"/>
    <n v="0"/>
    <n v="6663300"/>
    <n v="0"/>
    <n v="6663300"/>
    <n v="0"/>
    <n v="6663300"/>
    <n v="0"/>
    <n v="6663300"/>
    <n v="0"/>
    <n v="6663300"/>
    <n v="0"/>
    <n v="13326600"/>
    <n v="76627950"/>
    <n v="76627950"/>
    <n v="0"/>
    <n v="0"/>
    <s v="Prestar servicios profesionales para llevar a cabo la evaluación técnica y financiera de proyectos energéticos que solicitan recursos a los fondos y mecanismos de financiación evaluados por la UPME, participar en mesas técnicas y apoyar en la definición d"/>
    <n v="76627950"/>
    <m/>
    <m/>
    <n v="3331650"/>
    <m/>
    <n v="6663300"/>
    <m/>
    <n v="6663300"/>
    <m/>
    <n v="6663300"/>
    <m/>
    <n v="6663300"/>
    <m/>
    <n v="6663300"/>
    <m/>
    <n v="6663300"/>
    <m/>
    <n v="6663300"/>
    <m/>
    <n v="6663300"/>
    <m/>
    <n v="6663300"/>
    <m/>
    <n v="13326600"/>
    <m/>
    <m/>
    <n v="76627950"/>
    <n v="76627950"/>
    <n v="0"/>
    <n v="0"/>
    <n v="16426"/>
    <d v="2026-01-09T00:00:00"/>
    <n v="75295290"/>
    <n v="1332660"/>
    <n v="13326"/>
    <d v="2026-01-20T00:00:00"/>
    <n v="75295290"/>
    <n v="1332660"/>
    <n v="0"/>
    <s v="DUQUE POSADA BRAYAN STEVEN"/>
    <s v="CO1.PCCNTR.8939128"/>
    <n v="76627950"/>
    <m/>
    <m/>
    <n v="-1332660"/>
    <n v="1998990"/>
    <n v="1998990"/>
    <m/>
    <n v="6663300"/>
    <n v="6663300"/>
    <m/>
    <n v="6663300"/>
    <n v="6663300"/>
    <m/>
    <m/>
    <m/>
    <m/>
    <m/>
    <m/>
    <m/>
    <m/>
    <m/>
    <m/>
    <m/>
    <m/>
    <m/>
    <m/>
    <m/>
    <m/>
    <m/>
    <m/>
    <m/>
    <m/>
    <m/>
    <m/>
    <m/>
    <m/>
    <n v="75295290"/>
    <n v="15325590"/>
    <n v="15325590"/>
    <n v="59969700"/>
    <n v="0"/>
  </r>
  <r>
    <x v="0"/>
    <x v="2"/>
    <s v="Mejoramiento de la participación ciudadana en el modelo energético y de infraestructura energética, en el marco de la transición energética justa a nivel  nacional"/>
    <s v="Fondos"/>
    <s v="Sí"/>
    <s v="Sí"/>
    <n v="68"/>
    <s v="180-21"/>
    <s v="Mejorar la capacidad de los interesados en formular proyectos de inversión en el sector energético."/>
    <s v="Documentos de Lineamientos Técnicos"/>
    <s v="Documento con los resultados de las validaciones."/>
    <n v="80111620"/>
    <s v="C-2102-1900-5-53106A-2102008-02"/>
    <x v="0"/>
    <s v="180-21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11.5"/>
    <s v="Meses"/>
    <s v="Contratación directa - Prestación de servicios profesionales "/>
    <s v="Propios - 20 - Ingresos corrientes"/>
    <n v="71604750"/>
    <n v="71604750"/>
    <s v="No"/>
    <s v="N/A"/>
    <s v="Manuel Peña Suarez"/>
    <s v="Jefe Oficina Gestión de Proyectos de Fondos"/>
    <n v="6012220612"/>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n v="40226"/>
    <d v="2026-01-15T00:00:00"/>
    <n v="68491500"/>
    <n v="3113250"/>
    <n v="21226"/>
    <d v="2026-01-26T00:00:00"/>
    <n v="68491500"/>
    <n v="3113250"/>
    <n v="0"/>
    <s v="SALGADO BENITEZ NELSON ALBERTO"/>
    <s v="CO1.PCCNTR.9063561"/>
    <n v="68491500"/>
    <m/>
    <m/>
    <m/>
    <n v="830200"/>
    <n v="830200"/>
    <m/>
    <n v="6226500"/>
    <n v="6226500"/>
    <m/>
    <n v="6226500"/>
    <n v="6226500"/>
    <m/>
    <m/>
    <m/>
    <m/>
    <m/>
    <m/>
    <m/>
    <m/>
    <m/>
    <m/>
    <m/>
    <m/>
    <m/>
    <m/>
    <m/>
    <m/>
    <m/>
    <m/>
    <m/>
    <m/>
    <m/>
    <m/>
    <m/>
    <m/>
    <n v="68491500"/>
    <n v="13283200"/>
    <n v="13283200"/>
    <n v="55208300"/>
    <n v="0"/>
  </r>
  <r>
    <x v="0"/>
    <x v="2"/>
    <s v="Mejoramiento de la participación ciudadana en el modelo energético y de infraestructura energética, en el marco de la transición energética justa a nivel  nacional"/>
    <s v="Fondos"/>
    <s v="Sí"/>
    <s v="Sí"/>
    <n v="68"/>
    <s v="180-22"/>
    <s v="Mejorar la capacidad de los interesados en formular proyectos de inversión en el sector energético."/>
    <s v="Documentos de Lineamientos Técnicos"/>
    <s v="Documento con los resultados de las validaciones."/>
    <n v="80111620"/>
    <s v="C-2102-1900-5-53106A-2102008-02"/>
    <x v="0"/>
    <s v="180-22 Prestar servicios profesionales para realizar la evaluación técnica, financiera y ambiental de los proyectos energéticos que solicitan recursos a los diferentes fondos y mecanismos de financiación del Ministerio de Minas y Energía (MME) evaluados p"/>
    <s v="Enero "/>
    <s v="Enero "/>
    <s v="Enero "/>
    <n v="11.5"/>
    <s v="Meses"/>
    <s v="Contratación directa - Prestación de servicios profesionales "/>
    <s v="Propios - 20 - Ingresos corrientes"/>
    <n v="71604750"/>
    <n v="71604750"/>
    <s v="No"/>
    <s v="N/A"/>
    <s v="Manuel Peña Suarez"/>
    <s v="Jefe Oficina Gestión de Proyectos de Fondos"/>
    <n v="6012220613"/>
    <s v="manuel.pena@upme.govco"/>
    <n v="71604750"/>
    <n v="0"/>
    <n v="0"/>
    <n v="3113250"/>
    <n v="0"/>
    <n v="6226500"/>
    <n v="0"/>
    <n v="6226500"/>
    <n v="0"/>
    <n v="6226500"/>
    <n v="0"/>
    <n v="6226500"/>
    <n v="0"/>
    <n v="6226500"/>
    <n v="0"/>
    <n v="6226500"/>
    <n v="0"/>
    <n v="6226500"/>
    <n v="0"/>
    <n v="6226500"/>
    <n v="0"/>
    <n v="6226500"/>
    <n v="0"/>
    <n v="12453000"/>
    <n v="71604750"/>
    <n v="71604750"/>
    <n v="0"/>
    <n v="0"/>
    <s v="Prestar servicios profesionales para realizar la evaluación técnica, financiera y ambiental de los proyectos energéticos que solicitan recursos a los diferentes fondos y mecanismos de financiación del Ministerio de Minas y Energía (MME) evaluados por la U"/>
    <n v="71604750"/>
    <m/>
    <m/>
    <n v="3113250"/>
    <m/>
    <n v="6226500"/>
    <m/>
    <n v="6226500"/>
    <m/>
    <n v="6226500"/>
    <m/>
    <n v="6226500"/>
    <m/>
    <n v="6226500"/>
    <m/>
    <n v="6226500"/>
    <m/>
    <n v="6226500"/>
    <m/>
    <n v="6226500"/>
    <m/>
    <n v="6226500"/>
    <m/>
    <n v="12453000"/>
    <m/>
    <m/>
    <n v="71604750"/>
    <n v="71604750"/>
    <n v="0"/>
    <n v="0"/>
    <n v="19726"/>
    <d v="2026-01-11T00:00:00"/>
    <n v="70151900"/>
    <n v="1452850"/>
    <n v="16626"/>
    <d v="2026-01-22T00:00:00"/>
    <n v="70151900"/>
    <n v="1452850"/>
    <n v="0"/>
    <s v="ACEVEDO GARAVITO ALIDA YAMILE"/>
    <s v="CO1.PCCNTR.8936092"/>
    <n v="71604750"/>
    <m/>
    <m/>
    <m/>
    <n v="1660400"/>
    <n v="1660400"/>
    <n v="-1452850"/>
    <n v="6226500"/>
    <n v="6226500"/>
    <m/>
    <n v="6226500"/>
    <n v="6226500"/>
    <m/>
    <m/>
    <m/>
    <m/>
    <m/>
    <m/>
    <m/>
    <m/>
    <m/>
    <m/>
    <m/>
    <m/>
    <m/>
    <m/>
    <m/>
    <m/>
    <m/>
    <m/>
    <m/>
    <m/>
    <m/>
    <m/>
    <m/>
    <m/>
    <n v="70151900"/>
    <n v="14113400"/>
    <n v="14113400"/>
    <n v="56038500"/>
    <n v="0"/>
  </r>
  <r>
    <x v="0"/>
    <x v="2"/>
    <s v="Mejoramiento de la participación ciudadana en el modelo energético y de infraestructura energética, en el marco de la transición energética justa a nivel  nacional"/>
    <s v="Fondos"/>
    <s v="Sí"/>
    <s v="Sí"/>
    <n v="3"/>
    <s v="180-23"/>
    <s v="Mejorar la capacidad de los interesados en formular proyectos de inversión en el sector energético."/>
    <s v="Documentos de Lineamientos Técnicos"/>
    <s v="Documento con los resultados de las validaciones."/>
    <n v="80111620"/>
    <s v="C-2102-1900-5-53106A-2102008-02"/>
    <x v="0"/>
    <s v="180-23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6"/>
    <s v="Meses"/>
    <s v="Contratación directa - Prestación de servicios profesionales "/>
    <s v="Propios - 20 - Ingresos corrientes"/>
    <n v="37359000"/>
    <n v="37359000"/>
    <s v="No"/>
    <s v="N/A"/>
    <s v="Oscar Zabaleta"/>
    <s v="Jefe Oficina Gestión de Proyectos de Fondos"/>
    <n v="6012220607"/>
    <s v="oscar.zabaleta@upme.gov.co"/>
    <n v="37359000"/>
    <n v="0"/>
    <n v="0"/>
    <n v="6226500"/>
    <n v="0"/>
    <n v="6226500"/>
    <n v="0"/>
    <n v="6226500"/>
    <n v="0"/>
    <n v="6226500"/>
    <n v="0"/>
    <n v="6226500"/>
    <n v="0"/>
    <n v="6226500"/>
    <n v="0"/>
    <n v="0"/>
    <n v="0"/>
    <n v="0"/>
    <n v="0"/>
    <n v="0"/>
    <n v="0"/>
    <n v="0"/>
    <n v="0"/>
    <n v="0"/>
    <n v="37359000"/>
    <n v="37359000"/>
    <n v="0"/>
    <n v="0"/>
    <s v="Prestar servicios profesionales para realizar la evaluación técnica y financiera de los proyectos energéticos que solicitan recursos a los diferentes fondos y mecanismos de financiación del Ministerio de Minas y Energía (MME) evaluados por la UPME, así co"/>
    <n v="37359000"/>
    <m/>
    <m/>
    <n v="6226500"/>
    <m/>
    <n v="6226500"/>
    <m/>
    <n v="6226500"/>
    <m/>
    <n v="6226500"/>
    <m/>
    <n v="6226500"/>
    <m/>
    <n v="6226500"/>
    <m/>
    <m/>
    <m/>
    <m/>
    <m/>
    <m/>
    <m/>
    <m/>
    <m/>
    <m/>
    <m/>
    <m/>
    <n v="37359000"/>
    <n v="37359000"/>
    <n v="0"/>
    <n v="0"/>
    <n v="43726"/>
    <d v="2026-01-17T00:00:00"/>
    <n v="37359000"/>
    <n v="0"/>
    <n v="32026"/>
    <d v="2026-01-29T00:00:00"/>
    <n v="37359000"/>
    <n v="0"/>
    <n v="0"/>
    <s v="SANCHEZ SANCHEZ FABIO"/>
    <s v="CO1.PCCNTR.9170242"/>
    <n v="37359000"/>
    <m/>
    <m/>
    <m/>
    <m/>
    <m/>
    <m/>
    <n v="207550"/>
    <n v="207550"/>
    <m/>
    <n v="12453000"/>
    <n v="12453000"/>
    <m/>
    <m/>
    <m/>
    <m/>
    <m/>
    <m/>
    <m/>
    <m/>
    <m/>
    <m/>
    <m/>
    <m/>
    <m/>
    <m/>
    <m/>
    <m/>
    <m/>
    <m/>
    <m/>
    <m/>
    <m/>
    <m/>
    <m/>
    <m/>
    <n v="37359000"/>
    <n v="12660550"/>
    <n v="12660550"/>
    <n v="24698450"/>
    <n v="0"/>
  </r>
  <r>
    <x v="0"/>
    <x v="2"/>
    <s v="Mejoramiento de la participación ciudadana en el modelo energético y de infraestructura energética, en el marco de la transición energética justa a nivel  nacional"/>
    <s v="Fondos"/>
    <s v="Sí"/>
    <s v="Sí"/>
    <n v="9"/>
    <s v="180-24"/>
    <s v="Mejorar la capacidad de los interesados en formular proyectos de inversión en el sector energético."/>
    <s v="Documentos de Lineamientos Técnicos"/>
    <s v="Documento con los resultados de las validaciones."/>
    <n v="80111620"/>
    <s v="C-2102-1900-5-53106A-2102008-02"/>
    <x v="0"/>
    <s v="180-24 Prestar los servicios profesionales en la construcción de herramientas y documentos con criterio social en marcado en procesos de la dirección general de la UPME."/>
    <s v="Enero "/>
    <s v="Enero "/>
    <s v="Enero "/>
    <n v="6"/>
    <s v="Meses"/>
    <s v="Contratación directa - Prestación de servicios profesionales "/>
    <s v="Propios - 20 - Ingresos corrientes"/>
    <n v="53984700"/>
    <n v="53984700"/>
    <s v="No"/>
    <s v="N/A"/>
    <s v="Oscar Zabaleta"/>
    <s v="Jefe Oficina Gestión de Proyectos de Fondos"/>
    <n v="6012220607"/>
    <s v="oscar.zabaleta@upme.gov.co"/>
    <n v="0"/>
    <n v="0"/>
    <n v="53984700"/>
    <n v="0"/>
    <n v="0"/>
    <n v="8997450"/>
    <n v="0"/>
    <n v="8997450"/>
    <n v="0"/>
    <n v="8997450"/>
    <n v="0"/>
    <n v="8997450"/>
    <n v="0"/>
    <n v="8997450"/>
    <n v="0"/>
    <n v="8997450"/>
    <n v="0"/>
    <n v="0"/>
    <n v="0"/>
    <n v="0"/>
    <n v="0"/>
    <n v="0"/>
    <n v="0"/>
    <n v="0"/>
    <n v="53984700"/>
    <n v="53984700"/>
    <n v="0"/>
    <n v="0"/>
    <s v="Prestar los servicios profesionales en la construcción de herramientas y documentos con criterio social en marcado en procesos de la dirección general de la UPME."/>
    <m/>
    <m/>
    <n v="53984700"/>
    <m/>
    <m/>
    <n v="8997450"/>
    <m/>
    <n v="8997450"/>
    <m/>
    <n v="8997450"/>
    <m/>
    <n v="8997450"/>
    <m/>
    <n v="8997450"/>
    <m/>
    <n v="8997450"/>
    <m/>
    <m/>
    <m/>
    <m/>
    <m/>
    <m/>
    <m/>
    <m/>
    <m/>
    <m/>
    <n v="53984700"/>
    <n v="53984700"/>
    <n v="0"/>
    <n v="0"/>
    <n v="66826"/>
    <d v="2026-01-29T00:00:00"/>
    <n v="53984700"/>
    <n v="0"/>
    <n v="50926"/>
    <d v="2026-02-09T00:00:00"/>
    <n v="53984700"/>
    <n v="0"/>
    <n v="0"/>
    <s v="DIAZ CHAVES FELIPE"/>
    <s v=". CO1.PCCNTR.9285780"/>
    <m/>
    <m/>
    <m/>
    <n v="53984700"/>
    <m/>
    <m/>
    <m/>
    <m/>
    <m/>
    <m/>
    <n v="15295665"/>
    <n v="15295665"/>
    <m/>
    <m/>
    <m/>
    <m/>
    <m/>
    <m/>
    <m/>
    <m/>
    <m/>
    <m/>
    <m/>
    <m/>
    <m/>
    <m/>
    <m/>
    <m/>
    <m/>
    <m/>
    <m/>
    <m/>
    <m/>
    <m/>
    <m/>
    <m/>
    <n v="53984700"/>
    <n v="15295665"/>
    <n v="15295665"/>
    <n v="38689035"/>
    <n v="0"/>
  </r>
  <r>
    <x v="0"/>
    <x v="2"/>
    <s v="Mejoramiento de la participación ciudadana en el modelo energético y de infraestructura energética, en el marco de la transición energética justa a nivel  nacional"/>
    <s v="Fondos"/>
    <s v="Sí"/>
    <s v="Sí"/>
    <n v="68"/>
    <s v="180-25"/>
    <s v="Mejorar la capacidad de los interesados en formular proyectos de inversión en el sector energético."/>
    <s v="Documentos de Lineamientos Técnicos"/>
    <s v="Documento con los resultados de las validaciones."/>
    <n v="80111620"/>
    <s v="C-2102-1900-5-53106A-2102008-02"/>
    <x v="0"/>
    <s v="180-25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11.5"/>
    <s v="Meses"/>
    <s v="Contratación directa - Prestación de servicios profesionales "/>
    <s v="Propios - 20 - Ingresos corrientes"/>
    <n v="71604750"/>
    <n v="71604750"/>
    <s v="No"/>
    <s v="N/A"/>
    <s v="Manuel Peña Suarez"/>
    <s v="Jefe Oficina Gestión de Proyectos de Fondos"/>
    <n v="6012220616"/>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n v="35926"/>
    <d v="2026-01-15T00:00:00"/>
    <n v="68491500"/>
    <n v="3113250"/>
    <n v="32326"/>
    <d v="2026-01-29T00:00:00"/>
    <n v="68491500"/>
    <n v="3113250"/>
    <n v="0"/>
    <s v="GARCIA ANGARITA JOSE ABRAHAM"/>
    <s v="CO1.PCCNTR.9171227"/>
    <n v="68491500"/>
    <m/>
    <m/>
    <m/>
    <m/>
    <m/>
    <m/>
    <n v="6434050"/>
    <n v="6434050"/>
    <m/>
    <n v="6226500"/>
    <n v="6226500"/>
    <m/>
    <m/>
    <m/>
    <m/>
    <m/>
    <m/>
    <m/>
    <m/>
    <m/>
    <m/>
    <m/>
    <m/>
    <m/>
    <m/>
    <m/>
    <m/>
    <m/>
    <m/>
    <m/>
    <m/>
    <m/>
    <m/>
    <m/>
    <m/>
    <n v="68491500"/>
    <n v="12660550"/>
    <n v="12660550"/>
    <n v="55830950"/>
    <n v="0"/>
  </r>
  <r>
    <x v="0"/>
    <x v="2"/>
    <s v="Mejoramiento de la participación ciudadana en el modelo energético y de infraestructura energética, en el marco de la transición energética justa a nivel  nacional"/>
    <s v="Fondos"/>
    <s v="Sí"/>
    <s v="Sí"/>
    <n v="68"/>
    <s v="180-26"/>
    <s v="Mejorar la capacidad de los interesados en formular proyectos de inversión en el sector energético."/>
    <s v="Documentos de Lineamientos Técnicos"/>
    <s v="Documento con los resultados de las validaciones."/>
    <n v="80111620"/>
    <s v="C-2102-1900-5-53106A-2102008-02"/>
    <x v="0"/>
    <s v="180-26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1.5"/>
    <s v="Meses"/>
    <s v="Contratación directa - Prestación de servicios profesionales "/>
    <s v="Propios - 21 - Otros recursos de tesorería"/>
    <n v="48613950"/>
    <n v="48613950"/>
    <s v="No"/>
    <s v="N/A"/>
    <s v="Manuel Peña Suarez"/>
    <s v="Jefe Oficina Gestión de Proyectos de Fondos"/>
    <n v="6012220617"/>
    <s v="manuel.pena@upme.govco"/>
    <n v="46500300"/>
    <n v="0"/>
    <n v="0"/>
    <n v="2113650"/>
    <n v="0"/>
    <n v="4227300"/>
    <n v="0"/>
    <n v="4227300"/>
    <n v="0"/>
    <n v="4227300"/>
    <n v="0"/>
    <n v="4227300"/>
    <n v="0"/>
    <n v="4227300"/>
    <n v="0"/>
    <n v="4227300"/>
    <n v="0"/>
    <n v="4227300"/>
    <n v="0"/>
    <n v="4227300"/>
    <n v="0"/>
    <n v="4227300"/>
    <n v="2113650"/>
    <n v="8454600"/>
    <n v="48613950"/>
    <n v="48613950"/>
    <n v="0"/>
    <n v="0"/>
    <s v="Prestar servicios profesionales para realizar en la evaluación técnica y financiera de proyectos energéticos que solicitan recursos a los fondos y mecanismos de financiación evaluados por la UPME, y apoyar las mesas técnicas en el marco de las actividades"/>
    <n v="46500300"/>
    <m/>
    <m/>
    <n v="2113650"/>
    <m/>
    <n v="4227300"/>
    <m/>
    <n v="4227300"/>
    <m/>
    <n v="4227300"/>
    <m/>
    <n v="4227300"/>
    <m/>
    <n v="4227300"/>
    <m/>
    <n v="4227300"/>
    <m/>
    <n v="4227300"/>
    <m/>
    <n v="4227300"/>
    <m/>
    <n v="4227300"/>
    <n v="2113650"/>
    <n v="8454600"/>
    <m/>
    <m/>
    <n v="48613950"/>
    <n v="48613950"/>
    <n v="0"/>
    <n v="0"/>
    <n v="40526"/>
    <d v="2026-01-16T00:00:00"/>
    <n v="46500300"/>
    <n v="2113650"/>
    <n v="32126"/>
    <d v="2026-01-29T00:00:00"/>
    <n v="46500300"/>
    <n v="2113650"/>
    <n v="0"/>
    <s v="BELTRAN GOMEZ NESTOR EDUARDO"/>
    <s v="CO1.PCCNTR.9103350"/>
    <n v="46500300"/>
    <m/>
    <m/>
    <m/>
    <m/>
    <m/>
    <m/>
    <n v="140910"/>
    <n v="140910"/>
    <m/>
    <n v="8454600"/>
    <n v="8454600"/>
    <m/>
    <m/>
    <m/>
    <m/>
    <m/>
    <m/>
    <m/>
    <m/>
    <m/>
    <m/>
    <m/>
    <m/>
    <m/>
    <m/>
    <m/>
    <m/>
    <m/>
    <m/>
    <m/>
    <m/>
    <m/>
    <m/>
    <m/>
    <m/>
    <n v="46500300"/>
    <n v="8595510"/>
    <n v="8595510"/>
    <n v="37904790"/>
    <n v="0"/>
  </r>
  <r>
    <x v="0"/>
    <x v="2"/>
    <s v="Mejoramiento de la participación ciudadana en el modelo energético y de infraestructura energética, en el marco de la transición energética justa a nivel  nacional"/>
    <s v="Fondos"/>
    <s v="Sí"/>
    <s v="Sí"/>
    <n v="3"/>
    <s v="180-27"/>
    <s v="Mejorar la capacidad de los interesados en formular proyectos de inversión en el sector energético."/>
    <s v="Documentos de Lineamientos Técnicos"/>
    <s v="Documento con los resultados de las validaciones."/>
    <n v="80111620"/>
    <s v="C-2102-1900-5-53106A-2102008-02"/>
    <x v="0"/>
    <s v="180-27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0.5"/>
    <s v="Meses"/>
    <s v="Contratación directa - Prestación de servicios profesionales "/>
    <s v="Propios - 21 - Otros recursos de tesorería"/>
    <n v="45647760"/>
    <n v="45647760"/>
    <s v="No"/>
    <s v="N/A"/>
    <s v="Oscar Zabaleta"/>
    <s v="Jefe Oficina Gestión de Proyectos de Fondos"/>
    <n v="6012220607"/>
    <s v="oscar.zabaleta@upme.gov.co"/>
    <n v="44386650"/>
    <n v="0"/>
    <n v="0"/>
    <n v="4227300"/>
    <n v="0"/>
    <n v="4227300"/>
    <n v="0"/>
    <n v="4227300"/>
    <n v="0"/>
    <n v="4227300"/>
    <n v="0"/>
    <n v="4227300"/>
    <n v="0"/>
    <n v="4227300"/>
    <n v="0"/>
    <n v="4227300"/>
    <n v="0"/>
    <n v="4227300"/>
    <n v="0"/>
    <n v="4227300"/>
    <n v="0"/>
    <n v="4227300"/>
    <n v="1261110"/>
    <n v="3374760"/>
    <n v="45647760"/>
    <n v="45647760"/>
    <n v="0"/>
    <n v="0"/>
    <s v="Prestar servicios profesionales para realizar en la evaluación técnica y financiera de proyectos energéticos que solicitan recursos a los fondos y mecanismos de financiación evaluados por la UPME, y apoyar las mesas técnicas en el marco de las actividades"/>
    <n v="44386650"/>
    <m/>
    <m/>
    <n v="4227300"/>
    <m/>
    <n v="4227300"/>
    <m/>
    <n v="4227300"/>
    <m/>
    <n v="4227300"/>
    <m/>
    <n v="4227300"/>
    <m/>
    <n v="4227300"/>
    <m/>
    <n v="4227300"/>
    <m/>
    <n v="4227300"/>
    <m/>
    <n v="4227300"/>
    <m/>
    <n v="4227300"/>
    <n v="1261110"/>
    <n v="3374760"/>
    <m/>
    <m/>
    <n v="45647760"/>
    <n v="45647760"/>
    <n v="0"/>
    <n v="0"/>
    <n v="41726"/>
    <d v="2026-01-16T00:00:00"/>
    <n v="45647760"/>
    <n v="0"/>
    <n v="34726"/>
    <d v="2026-01-29T00:00:00"/>
    <n v="44386650"/>
    <n v="1261110"/>
    <n v="1261110"/>
    <s v="CABALLERO VILLAMIL DIEGO ALEJANDRO"/>
    <s v="CO1.PCCNTR.9173130"/>
    <n v="44386650"/>
    <m/>
    <m/>
    <m/>
    <m/>
    <m/>
    <m/>
    <n v="4086390"/>
    <n v="4086390"/>
    <m/>
    <n v="4227300"/>
    <n v="4227300"/>
    <m/>
    <m/>
    <m/>
    <m/>
    <m/>
    <m/>
    <m/>
    <m/>
    <m/>
    <m/>
    <m/>
    <m/>
    <m/>
    <m/>
    <m/>
    <m/>
    <m/>
    <m/>
    <m/>
    <m/>
    <m/>
    <m/>
    <m/>
    <m/>
    <n v="44386650"/>
    <n v="8313690"/>
    <n v="8313690"/>
    <n v="36072960"/>
    <n v="0"/>
  </r>
  <r>
    <x v="0"/>
    <x v="2"/>
    <s v="Mejoramiento de la participación ciudadana en el modelo energético y de infraestructura energética, en el marco de la transición energética justa a nivel  nacional"/>
    <s v="Fondos"/>
    <s v="Sí"/>
    <s v="Sí"/>
    <n v="68"/>
    <s v="180-28"/>
    <s v="Mejorar la capacidad de los interesados en formular proyectos de inversión en el sector energético."/>
    <s v="Documentos de Lineamientos Técnicos"/>
    <s v="Documento con los resultados de las validaciones."/>
    <n v="80111620"/>
    <s v="C-2102-1900-5-53106A-2102008-02"/>
    <x v="0"/>
    <s v="180-28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1.5"/>
    <s v="Meses"/>
    <s v="Contratación directa - Prestación de servicios profesionales "/>
    <s v="Propios - 21 - Otros recursos de tesorería"/>
    <n v="48613950"/>
    <n v="48613950"/>
    <s v="No"/>
    <s v="N/A"/>
    <s v="Manuel Peña Suarez"/>
    <s v="Jefe Oficina Gestión de Proyectos de Fondos"/>
    <n v="6012220619"/>
    <s v="manuel.pena@upme.govco"/>
    <n v="48613950"/>
    <n v="0"/>
    <n v="0"/>
    <n v="2113650"/>
    <n v="0"/>
    <n v="4227300"/>
    <n v="0"/>
    <n v="4227300"/>
    <n v="0"/>
    <n v="4227300"/>
    <n v="0"/>
    <n v="4227300"/>
    <n v="0"/>
    <n v="4227300"/>
    <n v="0"/>
    <n v="4227300"/>
    <n v="0"/>
    <n v="4227300"/>
    <n v="0"/>
    <n v="4227300"/>
    <n v="0"/>
    <n v="4227300"/>
    <n v="0"/>
    <n v="8454600"/>
    <n v="48613950"/>
    <n v="48613950"/>
    <n v="0"/>
    <n v="0"/>
    <s v="Prestar servicios profesionales para realizar en la evaluación técnica y financiera de proyectos energéticos que solicitan recursos a los fondos y mecanismos de financiación evaluados por la UPME, y apoyar las mesas técnicas en el marco de las actividades"/>
    <n v="48613950"/>
    <m/>
    <m/>
    <n v="2113650"/>
    <m/>
    <n v="4227300"/>
    <m/>
    <n v="4227300"/>
    <m/>
    <n v="4227300"/>
    <m/>
    <n v="4227300"/>
    <m/>
    <n v="4227300"/>
    <m/>
    <n v="4227300"/>
    <m/>
    <n v="4227300"/>
    <m/>
    <n v="4227300"/>
    <m/>
    <n v="4227300"/>
    <m/>
    <n v="8454600"/>
    <m/>
    <m/>
    <n v="48613950"/>
    <n v="48613950"/>
    <n v="0"/>
    <n v="0"/>
    <n v="19126"/>
    <d v="2026-01-11T00:00:00"/>
    <n v="47627580"/>
    <n v="986370"/>
    <n v="16326"/>
    <d v="2026-01-22T00:00:00"/>
    <n v="47627580"/>
    <n v="986370"/>
    <n v="0"/>
    <s v="GARCIA MANZANO JESUS DANIEL"/>
    <s v="CO1.PCCNTR.8939338"/>
    <n v="48613950"/>
    <m/>
    <m/>
    <m/>
    <n v="1127280"/>
    <n v="1127280"/>
    <n v="-986370"/>
    <n v="4227300"/>
    <n v="4227300"/>
    <m/>
    <m/>
    <m/>
    <m/>
    <m/>
    <m/>
    <m/>
    <m/>
    <m/>
    <m/>
    <m/>
    <m/>
    <m/>
    <m/>
    <m/>
    <m/>
    <m/>
    <m/>
    <m/>
    <m/>
    <m/>
    <m/>
    <m/>
    <m/>
    <m/>
    <m/>
    <m/>
    <n v="47627580"/>
    <n v="5354580"/>
    <n v="5354580"/>
    <n v="42273000"/>
    <n v="0"/>
  </r>
  <r>
    <x v="0"/>
    <x v="2"/>
    <s v="Mejoramiento de la participación ciudadana en el modelo energético y de infraestructura energética, en el marco de la transición energética justa a nivel  nacional"/>
    <s v="Fondos"/>
    <s v="Sí"/>
    <s v="Sí"/>
    <n v="68"/>
    <s v="180-29"/>
    <s v="Mejorar la capacidad de los interesados en formular proyectos de inversión en el sector energético."/>
    <s v="Documentos de Lineamientos Técnicos"/>
    <s v="Documento con los resultados de las validaciones."/>
    <n v="80111620"/>
    <s v="C-2102-1900-5-53106A-2102008-02"/>
    <x v="0"/>
    <s v="180-29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1 - Otros recursos de tesorería"/>
    <n v="19712700"/>
    <n v="19712700"/>
    <s v="No"/>
    <s v="N/A"/>
    <s v="Manuel Peña Suarez"/>
    <s v="Jefe Oficina Gestión de Proyectos de Fondos"/>
    <n v="6012220620"/>
    <s v="manuel.pena@upme.govco"/>
    <n v="19712700"/>
    <n v="0"/>
    <n v="0"/>
    <n v="1642725"/>
    <n v="0"/>
    <n v="3285450"/>
    <n v="0"/>
    <n v="3285450"/>
    <n v="0"/>
    <n v="3285450"/>
    <n v="0"/>
    <n v="3285450"/>
    <n v="0"/>
    <n v="3285450"/>
    <n v="0"/>
    <n v="1642725"/>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1642725"/>
    <m/>
    <n v="3285450"/>
    <m/>
    <n v="3285450"/>
    <m/>
    <n v="3285450"/>
    <m/>
    <n v="3285450"/>
    <m/>
    <n v="3285450"/>
    <m/>
    <n v="1642725"/>
    <m/>
    <m/>
    <m/>
    <m/>
    <m/>
    <m/>
    <m/>
    <m/>
    <m/>
    <m/>
    <n v="19712700"/>
    <n v="19712700"/>
    <n v="0"/>
    <n v="0"/>
    <n v="45526"/>
    <d v="2026-01-19T00:00:00"/>
    <n v="19712700"/>
    <n v="0"/>
    <n v="34226"/>
    <d v="2026-01-29T00:00:00"/>
    <n v="19712700"/>
    <n v="0"/>
    <n v="0"/>
    <s v="CARVAJAL IBARRA MARLENY LIBERTAD"/>
    <s v="CO1.PCCNTR.9172570"/>
    <n v="19712700"/>
    <m/>
    <m/>
    <m/>
    <m/>
    <m/>
    <m/>
    <m/>
    <m/>
    <m/>
    <n v="3394965"/>
    <n v="3394965"/>
    <m/>
    <m/>
    <m/>
    <m/>
    <m/>
    <m/>
    <m/>
    <m/>
    <m/>
    <m/>
    <m/>
    <m/>
    <m/>
    <m/>
    <m/>
    <m/>
    <m/>
    <m/>
    <m/>
    <m/>
    <m/>
    <m/>
    <m/>
    <m/>
    <n v="19712700"/>
    <n v="3394965"/>
    <n v="3394965"/>
    <n v="16317735"/>
    <n v="0"/>
  </r>
  <r>
    <x v="0"/>
    <x v="2"/>
    <s v="Mejoramiento de la participación ciudadana en el modelo energético y de infraestructura energética, en el marco de la transición energética justa a nivel  nacional"/>
    <s v="Fondos"/>
    <s v="Sí"/>
    <s v="Sí"/>
    <n v="3"/>
    <s v="180-30"/>
    <s v="Mejorar la capacidad de los interesados en formular proyectos de inversión en el sector energético."/>
    <s v="Documentos de Lineamientos Técnicos"/>
    <s v="Documento con los resultados de las validaciones."/>
    <n v="80111620"/>
    <s v="C-2102-1900-5-53106A-2102008-02"/>
    <x v="0"/>
    <s v="180-30 Prestar servicios profesionales para llevar a cabo la evaluación técnica y financiera de proyectos energéticos que solicitan recursos a los fondos y mecanismos de financiación evaluados por la UPME, liderar en mesas técnicas, contribuir en la defin"/>
    <s v="Enero "/>
    <s v="Enero "/>
    <s v="Enero "/>
    <n v="6"/>
    <s v="Meses"/>
    <s v="Contratación directa - Prestación de servicios profesionales "/>
    <s v="Propios - 21 - Otros recursos de tesorería"/>
    <n v="37359000"/>
    <n v="37359000"/>
    <s v="No"/>
    <s v="N/A"/>
    <s v="Oscar Zabaleta"/>
    <s v="Jefe Oficina Gestión de Proyectos de Fondos"/>
    <n v="6012220607"/>
    <s v="oscar.zabaleta@upme.gov.co"/>
    <n v="0"/>
    <n v="0"/>
    <n v="37359000"/>
    <n v="0"/>
    <n v="0"/>
    <n v="6226500"/>
    <n v="0"/>
    <n v="6226500"/>
    <n v="0"/>
    <n v="6226500"/>
    <n v="0"/>
    <n v="6226500"/>
    <n v="0"/>
    <n v="6226500"/>
    <n v="0"/>
    <n v="6226500"/>
    <n v="0"/>
    <n v="0"/>
    <n v="0"/>
    <n v="0"/>
    <n v="0"/>
    <n v="0"/>
    <n v="0"/>
    <n v="0"/>
    <n v="37359000"/>
    <n v="37359000"/>
    <n v="0"/>
    <n v="0"/>
    <s v="Prestar servicios profesionales para llevar a cabo la evaluación técnica y financiera de proyectos energéticos que solicitan recursos a los fondos y mecanismos de financiación evaluados por la UPME, liderar en mesas técnicas, contribuir en la definición d"/>
    <m/>
    <m/>
    <n v="37359000"/>
    <m/>
    <m/>
    <n v="6226500"/>
    <m/>
    <n v="6226500"/>
    <m/>
    <n v="6226500"/>
    <m/>
    <n v="6226500"/>
    <m/>
    <n v="6226500"/>
    <m/>
    <n v="6226500"/>
    <m/>
    <m/>
    <m/>
    <m/>
    <m/>
    <m/>
    <m/>
    <m/>
    <m/>
    <m/>
    <n v="37359000"/>
    <n v="37359000"/>
    <n v="0"/>
    <n v="0"/>
    <n v="50526"/>
    <d v="2026-01-20T00:00:00"/>
    <n v="37359000"/>
    <n v="0"/>
    <n v="41326"/>
    <d v="2026-02-04T00:00:00"/>
    <n v="37359000"/>
    <n v="0"/>
    <n v="0"/>
    <s v="ANGULO ANGULO ANEIDER"/>
    <s v="CO1.PCCNTR.9254356"/>
    <m/>
    <m/>
    <m/>
    <n v="37359000"/>
    <m/>
    <m/>
    <m/>
    <n v="5396300"/>
    <n v="5396300"/>
    <m/>
    <n v="6226500"/>
    <n v="6226500"/>
    <m/>
    <m/>
    <m/>
    <m/>
    <m/>
    <m/>
    <m/>
    <m/>
    <m/>
    <m/>
    <m/>
    <m/>
    <m/>
    <m/>
    <m/>
    <m/>
    <m/>
    <m/>
    <m/>
    <m/>
    <m/>
    <m/>
    <m/>
    <m/>
    <n v="37359000"/>
    <n v="11622800"/>
    <n v="11622800"/>
    <n v="25736200"/>
    <n v="0"/>
  </r>
  <r>
    <x v="0"/>
    <x v="2"/>
    <s v="Mejoramiento de la participación ciudadana en el modelo energético y de infraestructura energética, en el marco de la transición energética justa a nivel  nacional"/>
    <s v="Fondos"/>
    <s v="Sí"/>
    <s v="Sí"/>
    <n v="68"/>
    <s v="180-31"/>
    <s v="Mejorar la capacidad de los interesados en formular proyectos de inversión en el sector energético."/>
    <s v="Documentos de Lineamientos Técnicos"/>
    <s v="Documento con los resultados de las validaciones."/>
    <n v="80111620"/>
    <s v="C-2102-1900-5-53106A-2102008-02"/>
    <x v="0"/>
    <s v="180-31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1 - Otros recursos de tesorería"/>
    <n v="53984700"/>
    <n v="53984700"/>
    <s v="No"/>
    <s v="N/A"/>
    <s v="Manuel Peña Suarez"/>
    <s v="Jefe Oficina Gestión de Proyectos de Fondos"/>
    <n v="6012220621"/>
    <s v="manuel.pena@upme.govco"/>
    <n v="53984700"/>
    <n v="0"/>
    <n v="0"/>
    <n v="4498725"/>
    <n v="0"/>
    <n v="8997450"/>
    <n v="0"/>
    <n v="8997450"/>
    <n v="0"/>
    <n v="8997450"/>
    <n v="0"/>
    <n v="8997450"/>
    <n v="0"/>
    <n v="8997450"/>
    <n v="0"/>
    <n v="4498725"/>
    <n v="0"/>
    <n v="0"/>
    <n v="0"/>
    <n v="0"/>
    <n v="0"/>
    <n v="0"/>
    <n v="0"/>
    <n v="0"/>
    <n v="53984700"/>
    <n v="539847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53984700"/>
    <m/>
    <m/>
    <n v="4498725"/>
    <m/>
    <n v="8997450"/>
    <m/>
    <n v="8997450"/>
    <m/>
    <n v="8997450"/>
    <m/>
    <n v="8997450"/>
    <m/>
    <n v="8997450"/>
    <m/>
    <n v="4498725"/>
    <m/>
    <m/>
    <m/>
    <m/>
    <m/>
    <m/>
    <m/>
    <m/>
    <m/>
    <m/>
    <n v="53984700"/>
    <n v="53984700"/>
    <n v="0"/>
    <n v="0"/>
    <n v="33026"/>
    <d v="2026-01-15T00:00:00"/>
    <n v="53984700"/>
    <n v="0"/>
    <n v="21426"/>
    <d v="2026-01-26T00:00:00"/>
    <n v="53984700"/>
    <n v="0"/>
    <n v="0"/>
    <s v="MERCADO ORTEGA JULIETA ALEXANDRA"/>
    <s v="CO1.PCCNTR.9064351"/>
    <n v="53984700"/>
    <m/>
    <m/>
    <m/>
    <n v="1199660"/>
    <n v="1199660"/>
    <m/>
    <n v="8997450"/>
    <n v="8997450"/>
    <m/>
    <n v="8997450"/>
    <n v="8997450"/>
    <m/>
    <m/>
    <m/>
    <m/>
    <m/>
    <m/>
    <m/>
    <m/>
    <m/>
    <m/>
    <m/>
    <m/>
    <m/>
    <m/>
    <m/>
    <m/>
    <m/>
    <m/>
    <m/>
    <m/>
    <m/>
    <m/>
    <m/>
    <m/>
    <n v="53984700"/>
    <n v="19194560"/>
    <n v="19194560"/>
    <n v="34790140"/>
    <n v="0"/>
  </r>
  <r>
    <x v="0"/>
    <x v="2"/>
    <s v="Mejoramiento de la participación ciudadana en el modelo energético y de infraestructura energética, en el marco de la transición energética justa a nivel  nacional"/>
    <s v="Fondos"/>
    <s v="Sí"/>
    <s v="Sí"/>
    <n v="68"/>
    <s v="180-32"/>
    <s v="Mejorar la capacidad de los interesados en formular proyectos de inversión en el sector energético."/>
    <s v="Documentos de Lineamientos Técnicos"/>
    <s v="Documento con los resultados de las validaciones."/>
    <n v="80111620"/>
    <s v="C-2102-1900-5-53106A-2102008-02"/>
    <x v="0"/>
    <s v="180-32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1 - Otros recursos de tesorería"/>
    <n v="47653200"/>
    <n v="47653200"/>
    <s v="No"/>
    <s v="N/A"/>
    <s v="Manuel Peña Suarez"/>
    <s v="Jefe Oficina Gestión de Proyectos de Fondos"/>
    <n v="6012220621"/>
    <s v="manuel.pena@upme.govco"/>
    <n v="47653200"/>
    <n v="0"/>
    <n v="0"/>
    <n v="3971100"/>
    <n v="0"/>
    <n v="7942200"/>
    <n v="0"/>
    <n v="7942200"/>
    <n v="0"/>
    <n v="7942200"/>
    <n v="0"/>
    <n v="7942200"/>
    <n v="0"/>
    <n v="7942200"/>
    <n v="0"/>
    <n v="3971100"/>
    <n v="0"/>
    <n v="0"/>
    <n v="0"/>
    <n v="0"/>
    <n v="0"/>
    <n v="0"/>
    <n v="0"/>
    <n v="0"/>
    <n v="47653200"/>
    <n v="476532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47653200"/>
    <m/>
    <m/>
    <n v="3971100"/>
    <m/>
    <n v="7942200"/>
    <m/>
    <n v="7942200"/>
    <m/>
    <n v="7942200"/>
    <m/>
    <n v="7942200"/>
    <m/>
    <n v="7942200"/>
    <m/>
    <n v="3971100"/>
    <m/>
    <m/>
    <m/>
    <m/>
    <m/>
    <m/>
    <m/>
    <m/>
    <m/>
    <m/>
    <n v="47653200"/>
    <n v="47653200"/>
    <n v="0"/>
    <n v="0"/>
    <n v="35726"/>
    <d v="2026-01-15T00:00:00"/>
    <n v="47653200"/>
    <n v="0"/>
    <n v="32226"/>
    <d v="2026-01-29T00:00:00"/>
    <n v="47653200"/>
    <n v="0"/>
    <n v="0"/>
    <s v="GUAYARA SANCHEZ MARIA CRISTINA"/>
    <s v="CO1.PCCNTR.9170392"/>
    <n v="47653200"/>
    <m/>
    <m/>
    <m/>
    <m/>
    <m/>
    <m/>
    <n v="8206940"/>
    <n v="8206940"/>
    <m/>
    <n v="7942200"/>
    <n v="7942200"/>
    <m/>
    <m/>
    <m/>
    <m/>
    <m/>
    <m/>
    <m/>
    <m/>
    <m/>
    <m/>
    <m/>
    <m/>
    <m/>
    <m/>
    <m/>
    <m/>
    <m/>
    <m/>
    <m/>
    <m/>
    <m/>
    <m/>
    <m/>
    <m/>
    <n v="47653200"/>
    <n v="16149140"/>
    <n v="16149140"/>
    <n v="31504060"/>
    <n v="0"/>
  </r>
  <r>
    <x v="0"/>
    <x v="2"/>
    <s v="Mejoramiento de la participación ciudadana en el modelo energético y de infraestructura energética, en el marco de la transición energética justa a nivel  nacional"/>
    <s v="Fondos"/>
    <s v="Sí"/>
    <s v="Sí"/>
    <n v="68"/>
    <s v="180-33"/>
    <s v="Mejorar la capacidad de los interesados en formular proyectos de inversión en el sector energético."/>
    <s v="Documentos de Lineamientos Técnicos"/>
    <s v="Documento con los resultados de las validaciones."/>
    <n v="80111620"/>
    <s v="C-2102-1900-5-53106A-2102008-02"/>
    <x v="0"/>
    <s v="180-33 Prestar servicios profesionales para la evaluación técnica y financiera de proyectos energéticos que solicitan recursos a los fondos y mecanismos de financiación evaluados por la UPME."/>
    <s v="Enero "/>
    <s v="Enero "/>
    <s v="Enero "/>
    <n v="11.5"/>
    <s v="Meses"/>
    <s v="Contratación directa - Prestación de servicios profesionales "/>
    <s v="Propios - 21 - Otros recursos de tesorería"/>
    <n v="37782675"/>
    <n v="37782675"/>
    <s v="No"/>
    <s v="N/A"/>
    <s v="Manuel Peña Suarez"/>
    <s v="Jefe Oficina Gestión de Proyectos de Fondos"/>
    <n v="6012220621"/>
    <s v="manuel.pena@upme.govco"/>
    <n v="36139950"/>
    <n v="0"/>
    <n v="0"/>
    <n v="1642725"/>
    <n v="0"/>
    <n v="3285450"/>
    <n v="0"/>
    <n v="3285450"/>
    <n v="0"/>
    <n v="3285450"/>
    <n v="0"/>
    <n v="3285450"/>
    <n v="0"/>
    <n v="3285450"/>
    <n v="0"/>
    <n v="3285450"/>
    <n v="0"/>
    <n v="3285450"/>
    <n v="0"/>
    <n v="3285450"/>
    <n v="0"/>
    <n v="3285450"/>
    <n v="1642725"/>
    <n v="6570900"/>
    <n v="37782675"/>
    <n v="37782675"/>
    <n v="0"/>
    <n v="0"/>
    <s v="Prestar servicios profesionales para la evaluación técnica y financiera de proyectos energéticos que solicitan recursos a los fondos y mecanismos de financiación evaluados por la UPME."/>
    <n v="36139950"/>
    <m/>
    <m/>
    <n v="1642725"/>
    <m/>
    <n v="3285450"/>
    <m/>
    <n v="3285450"/>
    <m/>
    <n v="3285450"/>
    <m/>
    <n v="3285450"/>
    <m/>
    <n v="3285450"/>
    <m/>
    <n v="3285450"/>
    <m/>
    <n v="3285450"/>
    <m/>
    <n v="3285450"/>
    <m/>
    <n v="3285450"/>
    <n v="1642725"/>
    <n v="6570900"/>
    <m/>
    <m/>
    <n v="37782675"/>
    <n v="37782675"/>
    <n v="0"/>
    <n v="0"/>
    <n v="36326"/>
    <d v="2026-01-15T00:00:00"/>
    <n v="37782675"/>
    <n v="0"/>
    <n v="30026"/>
    <d v="2026-01-28T00:00:00"/>
    <n v="36139950"/>
    <n v="1642725"/>
    <n v="1642725"/>
    <s v="GOMEZ VASQUEZ DIANA MILENA"/>
    <s v="CO1.PCCNTR.9071909"/>
    <n v="36139950"/>
    <m/>
    <m/>
    <m/>
    <m/>
    <m/>
    <m/>
    <n v="3394965"/>
    <n v="3394965"/>
    <m/>
    <n v="3285450"/>
    <n v="3285450"/>
    <m/>
    <m/>
    <m/>
    <m/>
    <m/>
    <m/>
    <m/>
    <m/>
    <m/>
    <m/>
    <m/>
    <m/>
    <m/>
    <m/>
    <m/>
    <m/>
    <m/>
    <m/>
    <m/>
    <m/>
    <m/>
    <m/>
    <m/>
    <m/>
    <n v="36139950"/>
    <n v="6680415"/>
    <n v="6680415"/>
    <n v="29459535"/>
    <n v="0"/>
  </r>
  <r>
    <x v="0"/>
    <x v="2"/>
    <s v="Mejoramiento de la participación ciudadana en el modelo energético y de infraestructura energética, en el marco de la transición energética justa a nivel  nacional"/>
    <s v="Fondos"/>
    <s v="Sí"/>
    <s v="Sí"/>
    <n v="68"/>
    <s v="180-34"/>
    <s v="Mejorar la capacidad de los interesados en formular proyectos de inversión en el sector energético."/>
    <s v="Documentos de Lineamientos Técnicos"/>
    <s v="Documento con los resultados de las validaciones."/>
    <n v="80111620"/>
    <s v="C-2102-1900-5-53106A-2102008-02"/>
    <x v="0"/>
    <s v="180-34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1 - Otros recursos de tesorería"/>
    <n v="19712700"/>
    <n v="19712700"/>
    <s v="No"/>
    <s v="N/A"/>
    <s v="Manuel Peña Suarez"/>
    <s v="Jefe Oficina Gestión de Proyectos de Fondos"/>
    <n v="6012220621"/>
    <s v="manuel.pena@upme.govco"/>
    <n v="19712700"/>
    <n v="0"/>
    <n v="0"/>
    <n v="1642725"/>
    <n v="0"/>
    <n v="3285450"/>
    <n v="0"/>
    <n v="3285450"/>
    <n v="0"/>
    <n v="3285450"/>
    <n v="0"/>
    <n v="3285450"/>
    <n v="0"/>
    <n v="3285450"/>
    <n v="0"/>
    <n v="1642725"/>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1642725"/>
    <m/>
    <n v="3285450"/>
    <m/>
    <n v="3285450"/>
    <m/>
    <n v="3285450"/>
    <m/>
    <n v="3285450"/>
    <m/>
    <n v="3285450"/>
    <m/>
    <n v="1642725"/>
    <m/>
    <m/>
    <m/>
    <m/>
    <m/>
    <m/>
    <m/>
    <m/>
    <m/>
    <m/>
    <n v="19712700"/>
    <n v="19712700"/>
    <n v="0"/>
    <n v="0"/>
    <n v="40126"/>
    <d v="2026-01-15T00:00:00"/>
    <n v="19712700"/>
    <n v="0"/>
    <n v="33526"/>
    <d v="2026-01-29T00:00:00"/>
    <n v="19712700"/>
    <n v="0"/>
    <n v="0"/>
    <s v="GARCIA HOYOS JHON JAIRO"/>
    <s v="CO1.PCCNTR.9171493"/>
    <n v="19712700"/>
    <m/>
    <m/>
    <m/>
    <m/>
    <m/>
    <m/>
    <n v="3394965"/>
    <n v="3394965"/>
    <m/>
    <n v="3285450"/>
    <n v="3285450"/>
    <m/>
    <m/>
    <m/>
    <m/>
    <m/>
    <m/>
    <m/>
    <m/>
    <m/>
    <m/>
    <m/>
    <m/>
    <m/>
    <m/>
    <m/>
    <m/>
    <m/>
    <m/>
    <m/>
    <m/>
    <m/>
    <m/>
    <m/>
    <m/>
    <n v="19712700"/>
    <n v="6680415"/>
    <n v="6680415"/>
    <n v="13032285"/>
    <n v="0"/>
  </r>
  <r>
    <x v="0"/>
    <x v="2"/>
    <s v="Mejoramiento de la participación ciudadana en el modelo energético y de infraestructura energética, en el marco de la transición energética justa a nivel  nacional"/>
    <s v="Fondos"/>
    <s v="Sí"/>
    <s v="Sí"/>
    <n v="7"/>
    <s v="180-35"/>
    <s v="Mejorar la capacidad de los interesados en formular proyectos de inversión en el sector energético."/>
    <s v="Documentos de Lineamientos Técnicos"/>
    <s v="Documento con los resultados de las validaciones."/>
    <n v="80111620"/>
    <s v="C-2102-1900-5-53106A-2102008-02"/>
    <x v="0"/>
    <s v="180-35 Prestar servicios profesionales para apoyar la evaluación de  proyectos en los componentes constructivos que solicitan recursos a los fondos y mecanismos de financiación evaluados por la UPME, ademas de la consolidación de información de referencia"/>
    <s v="Enero "/>
    <s v="Enero "/>
    <s v="Enero "/>
    <n v="6"/>
    <s v="Meses"/>
    <s v="Contratación directa - Prestación de servicios profesionales "/>
    <s v="Propios - 21 - Otros recursos de tesorería"/>
    <n v="19712700"/>
    <n v="19712700"/>
    <s v="No"/>
    <s v="N/A"/>
    <s v="Manuel Peña Suarez"/>
    <s v="Jefe Oficina Gestión de Proyectos de Fondos"/>
    <n v="6012220622"/>
    <s v="manuel.pena@upme.govco"/>
    <n v="0"/>
    <n v="0"/>
    <n v="0"/>
    <n v="0"/>
    <n v="0"/>
    <n v="0"/>
    <n v="0"/>
    <n v="0"/>
    <n v="0"/>
    <n v="0"/>
    <n v="19712700"/>
    <n v="3285450"/>
    <n v="0"/>
    <n v="3285450"/>
    <n v="0"/>
    <n v="3285450"/>
    <n v="0"/>
    <n v="3285450"/>
    <n v="0"/>
    <n v="3285450"/>
    <n v="0"/>
    <n v="3285450"/>
    <n v="0"/>
    <n v="0"/>
    <n v="19712700"/>
    <n v="19712700"/>
    <n v="0"/>
    <n v="0"/>
    <s v="Prestar servicios profesionales para apoyar la evaluación de  proyectos en los componentes constructivos que solicitan recursos a los fondos y mecanismos de financiación evaluados por la UPME, ademas de la consolidación de información de referencia de los"/>
    <m/>
    <m/>
    <m/>
    <m/>
    <m/>
    <m/>
    <m/>
    <m/>
    <m/>
    <m/>
    <n v="19712700"/>
    <n v="3285450"/>
    <m/>
    <n v="3285450"/>
    <m/>
    <n v="3285450"/>
    <m/>
    <n v="3285450"/>
    <m/>
    <n v="3285450"/>
    <m/>
    <n v="3285450"/>
    <m/>
    <m/>
    <m/>
    <m/>
    <n v="19712700"/>
    <n v="19712700"/>
    <n v="0"/>
    <n v="0"/>
    <n v="40026"/>
    <d v="2026-01-15T00:00:00"/>
    <m/>
    <n v="19712700"/>
    <m/>
    <m/>
    <n v="0"/>
    <n v="19712700"/>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6"/>
    <s v="180-36"/>
    <s v="Mejorar la capacidad de los interesados en formular proyectos de inversión en el sector energético."/>
    <s v="Documentos de Lineamientos Técnicos"/>
    <s v="Documento con los resultados de las validaciones."/>
    <n v="80111620"/>
    <s v="C-2102-1900-5-53106A-2102008-02"/>
    <x v="0"/>
    <s v="180-36 Prestar servicios profesionales para el desarrollo, implementación y mantenimiento de modelos geoespaciales en SIG basados en Python (scripts, modelos analíticos y flujos automatizados), orientados al análisis espacial requeridos en la Oficina de G"/>
    <s v="Enero "/>
    <s v="Enero "/>
    <s v="Enero "/>
    <n v="10"/>
    <s v="Meses"/>
    <s v="Contratación directa - Prestación de servicios profesionales "/>
    <s v="Propios - 21 - Otros recursos de tesorería"/>
    <n v="60000000"/>
    <n v="60000000"/>
    <s v="No"/>
    <s v="N/A"/>
    <s v="Manuel Peña Suarez"/>
    <s v="Jefe Oficina Gestión de Proyectos de Fondos"/>
    <n v="6012220622"/>
    <s v="manuel.pena@upme.govco"/>
    <n v="0"/>
    <n v="0"/>
    <n v="42273000"/>
    <n v="0"/>
    <n v="0"/>
    <n v="4227300"/>
    <n v="0"/>
    <n v="4227300"/>
    <n v="0"/>
    <n v="4227300"/>
    <n v="0"/>
    <n v="4227300"/>
    <n v="0"/>
    <n v="4227300"/>
    <n v="0"/>
    <n v="4227300"/>
    <n v="0"/>
    <n v="4227300"/>
    <n v="0"/>
    <n v="4227300"/>
    <n v="0"/>
    <n v="4227300"/>
    <n v="17727000"/>
    <n v="21954300"/>
    <n v="60000000"/>
    <n v="60000000"/>
    <n v="0"/>
    <n v="0"/>
    <s v="Prestar servicios profesionales para el desarrollo, implementación y mantenimiento de modelos geoespaciales en SIG basados en Python (scripts, modelos analíticos y flujos automatizados), orientados al análisis espacial requeridos en la Oficina de Gestión "/>
    <m/>
    <m/>
    <n v="42273000"/>
    <m/>
    <m/>
    <n v="4227300"/>
    <m/>
    <n v="4227300"/>
    <m/>
    <n v="4227300"/>
    <m/>
    <n v="4227300"/>
    <m/>
    <n v="4227300"/>
    <m/>
    <n v="4227300"/>
    <m/>
    <n v="4227300"/>
    <m/>
    <n v="4227300"/>
    <m/>
    <n v="4227300"/>
    <n v="17727000"/>
    <n v="21954300"/>
    <m/>
    <m/>
    <n v="60000000"/>
    <n v="60000000"/>
    <n v="0"/>
    <n v="0"/>
    <n v="57626"/>
    <d v="2026-01-23T00:00:00"/>
    <n v="60000000"/>
    <n v="0"/>
    <n v="42226"/>
    <d v="2026-02-05T00:00:00"/>
    <n v="42273000"/>
    <n v="17727000"/>
    <n v="17727000"/>
    <s v="CASALLAS CHAVEZ ANGIE NATALIA"/>
    <s v="CO1.PCCNTR.9233349"/>
    <m/>
    <m/>
    <m/>
    <n v="42273000"/>
    <m/>
    <m/>
    <m/>
    <n v="3663660"/>
    <n v="3663660"/>
    <m/>
    <n v="4227300"/>
    <n v="4227300"/>
    <m/>
    <m/>
    <m/>
    <m/>
    <m/>
    <m/>
    <m/>
    <m/>
    <m/>
    <m/>
    <m/>
    <m/>
    <m/>
    <m/>
    <m/>
    <m/>
    <m/>
    <m/>
    <m/>
    <m/>
    <m/>
    <m/>
    <m/>
    <m/>
    <n v="42273000"/>
    <n v="7890960"/>
    <n v="7890960"/>
    <n v="34382040"/>
    <n v="0"/>
  </r>
  <r>
    <x v="0"/>
    <x v="2"/>
    <s v="Mejoramiento de la participación ciudadana en el modelo energético y de infraestructura energética, en el marco de la transición energética justa a nivel  nacional"/>
    <s v="Fondos"/>
    <s v="No"/>
    <s v="Sí"/>
    <n v="68"/>
    <s v="180-37"/>
    <s v="Mejorar la capacidad de los interesados en formular proyectos de inversión en el sector energético."/>
    <s v="Documentos de Lineamientos Técnicos"/>
    <s v="Documento con los resultados de las validaciones."/>
    <s v="N/A"/>
    <s v="C-2102-1900-5-53106A-2102008-02"/>
    <x v="7"/>
    <s v="180-37 Gastos de personal de los empleos de la planta temporal"/>
    <s v="N/A"/>
    <s v="N/A"/>
    <s v="N/A"/>
    <s v="N/A"/>
    <s v="N/A"/>
    <s v="N/A"/>
    <s v="Propios - 21 - Otros recursos de tesorería"/>
    <n v="464024227"/>
    <n v="464024227"/>
    <s v="No"/>
    <s v="N/A"/>
    <s v="Manuel Peña Suarez"/>
    <s v="Jefe Oficina Gestión de Proyectos de Fondos"/>
    <n v="6012220622"/>
    <s v="manuel.pena@upme.govco"/>
    <n v="0"/>
    <n v="0"/>
    <n v="0"/>
    <n v="0"/>
    <n v="0"/>
    <n v="0"/>
    <n v="0"/>
    <n v="0"/>
    <n v="0"/>
    <n v="0"/>
    <n v="0"/>
    <n v="0"/>
    <n v="76975384"/>
    <n v="76975384"/>
    <n v="76975384"/>
    <n v="76975384"/>
    <n v="76975384"/>
    <n v="76975384"/>
    <n v="76975384"/>
    <n v="76975384"/>
    <n v="76975384"/>
    <n v="76975384"/>
    <n v="79147307"/>
    <n v="79147307"/>
    <n v="464024227"/>
    <n v="464024227"/>
    <n v="0"/>
    <n v="0"/>
    <s v="Gastos de personal de los empleos de la planta temporal"/>
    <m/>
    <m/>
    <m/>
    <m/>
    <m/>
    <m/>
    <m/>
    <m/>
    <m/>
    <m/>
    <m/>
    <m/>
    <n v="76975384"/>
    <n v="76975384"/>
    <n v="76975384"/>
    <n v="76975384"/>
    <n v="76975384"/>
    <n v="76975384"/>
    <n v="76975384"/>
    <n v="76975384"/>
    <n v="76975384"/>
    <n v="76975384"/>
    <n v="79147307"/>
    <n v="79147307"/>
    <m/>
    <m/>
    <n v="464024227"/>
    <n v="464024227"/>
    <n v="0"/>
    <n v="0"/>
    <m/>
    <m/>
    <m/>
    <n v="464024227"/>
    <m/>
    <m/>
    <n v="0"/>
    <n v="464024227"/>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No"/>
    <s v="Sí"/>
    <n v="68"/>
    <s v="180-38"/>
    <s v="Mejorar la capacidad de los interesados en formular proyectos de inversión en el sector energético."/>
    <s v="Documentos de Lineamientos Técnicos"/>
    <s v="Documento con los resultados de las validaciones."/>
    <s v="N/A"/>
    <s v="C-2102-1900-5-53106A-2102008-02"/>
    <x v="7"/>
    <s v="180-38 Gastos administrativos por puestos de trabajo empleos de la planta temporal"/>
    <s v="N/A"/>
    <s v="N/A"/>
    <s v="N/A"/>
    <s v="N/A"/>
    <s v="N/A"/>
    <s v="N/A"/>
    <s v="Propios - 21 - Otros recursos de tesorería"/>
    <n v="95793924"/>
    <n v="95793924"/>
    <s v="No"/>
    <s v="N/A"/>
    <s v="Manuel Peña Suarez"/>
    <s v="Jefe Oficina Gestión de Proyectos de Fondos"/>
    <n v="6012220622"/>
    <s v="manuel.pena@upme.govco"/>
    <n v="0"/>
    <n v="0"/>
    <n v="0"/>
    <n v="0"/>
    <n v="0"/>
    <n v="0"/>
    <n v="0"/>
    <n v="0"/>
    <n v="0"/>
    <n v="0"/>
    <n v="0"/>
    <n v="0"/>
    <n v="15965654"/>
    <n v="15965654"/>
    <n v="15965654"/>
    <n v="15965654"/>
    <n v="15965654"/>
    <n v="15965654"/>
    <n v="15965654"/>
    <n v="15965654"/>
    <n v="15965654"/>
    <n v="15965654"/>
    <n v="15965654"/>
    <n v="15965654"/>
    <n v="95793924"/>
    <n v="95793924"/>
    <n v="0"/>
    <n v="0"/>
    <s v="Gastos administrativos por puestos de trabajo empleos de la planta temporal"/>
    <m/>
    <m/>
    <m/>
    <m/>
    <m/>
    <m/>
    <m/>
    <m/>
    <m/>
    <m/>
    <m/>
    <m/>
    <n v="15965654"/>
    <n v="15965654"/>
    <n v="15965654"/>
    <n v="15965654"/>
    <n v="15965654"/>
    <n v="15965654"/>
    <n v="15965654"/>
    <n v="15965654"/>
    <n v="15965654"/>
    <n v="15965654"/>
    <n v="15965654"/>
    <n v="15965654"/>
    <m/>
    <m/>
    <n v="95793924"/>
    <n v="95793924"/>
    <n v="0"/>
    <n v="0"/>
    <m/>
    <m/>
    <m/>
    <n v="95793924"/>
    <m/>
    <m/>
    <n v="0"/>
    <n v="95793924"/>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68"/>
    <s v="180-39"/>
    <s v="Mejorar caracterización socio económica de los territorios en su desarrollo energético."/>
    <s v="Documentos de Planeación"/>
    <s v="Plan de trabajo."/>
    <n v="80111620"/>
    <s v="C-2102-1900-5-53106A-2102009-02"/>
    <x v="0"/>
    <s v="180-39 Prestar los servicios profesionales para asesorar la Oficina de Gestión de Proyectos de Fondos en el diseño, desarrollo y seguimiento de procesos de planeación energética y ampliación de cobertura de gas combustible y apoyo en definición de criteri"/>
    <s v="Enero "/>
    <s v="Enero "/>
    <s v="Enero "/>
    <n v="11.5"/>
    <s v="Meses"/>
    <s v="Contratación directa - Prestación de servicios profesionales "/>
    <s v="Propios - 21 - Otros recursos de tesorería"/>
    <n v="103470675"/>
    <n v="103470675"/>
    <s v="No"/>
    <s v="N/A"/>
    <s v="Manuel Peña Suarez"/>
    <s v="Jefe Oficina Gestión de Proyectos de Fondos"/>
    <n v="6012220622"/>
    <s v="manuel.pena@upme.govco"/>
    <n v="103470675"/>
    <n v="0"/>
    <n v="0"/>
    <n v="4498725"/>
    <n v="0"/>
    <n v="8997450"/>
    <n v="0"/>
    <n v="8997450"/>
    <n v="0"/>
    <n v="8997450"/>
    <n v="0"/>
    <n v="8997450"/>
    <n v="0"/>
    <n v="8997450"/>
    <n v="0"/>
    <n v="8997450"/>
    <n v="0"/>
    <n v="8997450"/>
    <n v="0"/>
    <n v="8997450"/>
    <n v="0"/>
    <n v="8997450"/>
    <n v="0"/>
    <n v="17994900"/>
    <n v="103470675"/>
    <n v="103470675"/>
    <n v="0"/>
    <n v="0"/>
    <s v="Prestar los servicios profesionales para asesorar la Oficina de Gestión de Proyectos de Fondos en el diseño, desarrollo y seguimiento de procesos de planeación energética y ampliación de cobertura de gas combustible y apoyo en definición de criterios acor"/>
    <n v="103470675"/>
    <m/>
    <m/>
    <n v="4498725"/>
    <m/>
    <n v="8997450"/>
    <m/>
    <n v="8997450"/>
    <m/>
    <n v="8997450"/>
    <m/>
    <n v="8997450"/>
    <m/>
    <n v="8997450"/>
    <m/>
    <n v="8997450"/>
    <m/>
    <n v="8997450"/>
    <m/>
    <n v="8997450"/>
    <m/>
    <n v="8997450"/>
    <m/>
    <n v="17994900"/>
    <m/>
    <m/>
    <n v="103470675"/>
    <n v="103470675"/>
    <n v="0"/>
    <n v="0"/>
    <n v="17026"/>
    <d v="2026-01-09T00:00:00"/>
    <n v="101971100"/>
    <n v="1499575"/>
    <n v="13626"/>
    <d v="2026-01-20T00:00:00"/>
    <n v="101971100"/>
    <n v="1499575"/>
    <n v="0"/>
    <s v="SOTELO SANCHEZ CESAR HERNAN"/>
    <s v="CO1.PCCNTR.8918270"/>
    <n v="103470675"/>
    <m/>
    <m/>
    <m/>
    <n v="2999150"/>
    <n v="2999150"/>
    <n v="-1499575"/>
    <n v="8997450"/>
    <n v="8997450"/>
    <m/>
    <n v="8997450"/>
    <n v="8997450"/>
    <m/>
    <m/>
    <m/>
    <m/>
    <m/>
    <m/>
    <m/>
    <m/>
    <m/>
    <m/>
    <m/>
    <m/>
    <m/>
    <m/>
    <m/>
    <m/>
    <m/>
    <m/>
    <m/>
    <m/>
    <m/>
    <m/>
    <m/>
    <m/>
    <n v="101971100"/>
    <n v="20994050"/>
    <n v="20994050"/>
    <n v="80977050"/>
    <n v="0"/>
  </r>
  <r>
    <x v="0"/>
    <x v="2"/>
    <s v="Mejoramiento de la participación ciudadana en el modelo energético y de infraestructura energética, en el marco de la transición energética justa a nivel  nacional"/>
    <s v="Fondos"/>
    <s v="Sí"/>
    <s v="Sí"/>
    <n v="68"/>
    <s v="180-40"/>
    <s v="Mejorar caracterización socio económica de los territorios en su desarrollo energético."/>
    <s v="Documentos de Planeación"/>
    <s v="Plan de trabajo."/>
    <n v="80111620"/>
    <s v="C-2102-1900-5-53106A-2102009-02"/>
    <x v="0"/>
    <s v="180-40 Prestar los servicios profesionales para asesorar a la Oficina de Gestión de Proyectos de Fondos en el diseño, desarrollo y seguimiento de procesos de planeación energética y definición de estrategias de energización de las regiones del país, apoya"/>
    <s v="Enero "/>
    <s v="Enero "/>
    <s v="Enero "/>
    <n v="11.5"/>
    <s v="Meses"/>
    <s v="Contratación directa - Prestación de servicios profesionales "/>
    <s v="Propios - 21 - Otros recursos de tesorería"/>
    <n v="103470675"/>
    <n v="103470675"/>
    <s v="No"/>
    <s v="N/A"/>
    <s v="Manuel Peña Suarez"/>
    <s v="Jefe Oficina Gestión de Proyectos de Fondos"/>
    <n v="6012220622"/>
    <s v="manuel.pena@upme.govco"/>
    <n v="103470675"/>
    <n v="0"/>
    <n v="0"/>
    <n v="4498725"/>
    <n v="0"/>
    <n v="8997450"/>
    <n v="0"/>
    <n v="8997450"/>
    <n v="0"/>
    <n v="8997450"/>
    <n v="0"/>
    <n v="8997450"/>
    <n v="0"/>
    <n v="8997450"/>
    <n v="0"/>
    <n v="8997450"/>
    <n v="0"/>
    <n v="8997450"/>
    <n v="0"/>
    <n v="8997450"/>
    <n v="0"/>
    <n v="8997450"/>
    <n v="0"/>
    <n v="17994900"/>
    <n v="103470675"/>
    <n v="103470675"/>
    <n v="0"/>
    <n v="0"/>
    <s v="Prestar los servicios profesionales para asesorar a la Oficina de Gestión de Proyectos de Fondos en el diseño, desarrollo y seguimiento de procesos de planeación energética y definición de estrategias de energización de las regiones del país, apoyando la "/>
    <n v="103470675"/>
    <m/>
    <m/>
    <n v="4498725"/>
    <m/>
    <n v="8997450"/>
    <m/>
    <n v="8997450"/>
    <m/>
    <n v="8997450"/>
    <m/>
    <n v="8997450"/>
    <m/>
    <n v="8997450"/>
    <m/>
    <n v="8997450"/>
    <m/>
    <n v="8997450"/>
    <m/>
    <n v="8997450"/>
    <m/>
    <n v="8997450"/>
    <m/>
    <n v="17994900"/>
    <m/>
    <m/>
    <n v="103470675"/>
    <n v="103470675"/>
    <n v="0"/>
    <n v="0"/>
    <n v="16326"/>
    <d v="2026-01-09T00:00:00"/>
    <n v="101071355"/>
    <n v="2399320"/>
    <n v="18326"/>
    <d v="2026-01-23T00:00:00"/>
    <n v="101071355"/>
    <n v="2399320"/>
    <n v="0"/>
    <s v="RAMIREZ YAIMA OLGA ESTELLA"/>
    <s v="CO1.PCCNTR.8996675"/>
    <n v="103470675"/>
    <m/>
    <m/>
    <m/>
    <m/>
    <m/>
    <n v="-2399320"/>
    <n v="11096855"/>
    <n v="11096855"/>
    <m/>
    <n v="8997450"/>
    <n v="8997450"/>
    <m/>
    <m/>
    <m/>
    <m/>
    <m/>
    <m/>
    <m/>
    <m/>
    <m/>
    <m/>
    <m/>
    <m/>
    <m/>
    <m/>
    <m/>
    <m/>
    <m/>
    <m/>
    <m/>
    <m/>
    <m/>
    <m/>
    <m/>
    <m/>
    <n v="101071355"/>
    <n v="20094305"/>
    <n v="20094305"/>
    <n v="80977050"/>
    <n v="0"/>
  </r>
  <r>
    <x v="0"/>
    <x v="2"/>
    <s v="Mejoramiento de la participación ciudadana en el modelo energético y de infraestructura energética, en el marco de la transición energética justa a nivel  nacional"/>
    <s v="Fondos"/>
    <s v="Sí"/>
    <s v="Sí"/>
    <n v="68"/>
    <s v="180-41"/>
    <s v="Mejorar caracterización socio económica de los territorios en su desarrollo energético."/>
    <s v="Documentos de Planeación"/>
    <s v="Plan de trabajo."/>
    <n v="81101516"/>
    <s v="C-2102-1900-5-53106A-2102009-02"/>
    <x v="8"/>
    <s v="180-41 Desarrollar estrategias de energización en la región como insumo para la planeación territorial"/>
    <s v="Junio"/>
    <s v="Junio"/>
    <s v="Julio"/>
    <n v="6"/>
    <s v="Meses"/>
    <s v="Contratación régimen especial (con ofertas)  - Régimen especial"/>
    <s v="Propios - 21 - Otros recursos de tesorería"/>
    <n v="195273050"/>
    <n v="195273050"/>
    <s v="No"/>
    <s v="N/A"/>
    <s v="Manuel Peña Suarez"/>
    <s v="Jefe Oficina Gestión de Proyectos de Fondos"/>
    <n v="6012220607"/>
    <s v="manuel.pena@upme.govco"/>
    <n v="0"/>
    <n v="0"/>
    <n v="0"/>
    <n v="0"/>
    <n v="0"/>
    <n v="0"/>
    <n v="0"/>
    <n v="0"/>
    <n v="0"/>
    <n v="0"/>
    <n v="0"/>
    <n v="0"/>
    <n v="195273050"/>
    <n v="0"/>
    <n v="0"/>
    <n v="100000000"/>
    <n v="0"/>
    <n v="50000000"/>
    <n v="0"/>
    <n v="45273050"/>
    <n v="0"/>
    <n v="0"/>
    <n v="0"/>
    <n v="0"/>
    <n v="195273050"/>
    <n v="195273050"/>
    <n v="0"/>
    <n v="0"/>
    <s v="Desarrollar estrategias de energización en la región como insumo para la planeación territorial"/>
    <m/>
    <m/>
    <m/>
    <m/>
    <m/>
    <m/>
    <m/>
    <m/>
    <m/>
    <m/>
    <m/>
    <m/>
    <n v="195273050"/>
    <m/>
    <m/>
    <n v="100000000"/>
    <m/>
    <n v="50000000"/>
    <m/>
    <n v="45273050"/>
    <m/>
    <m/>
    <m/>
    <m/>
    <m/>
    <m/>
    <n v="195273050"/>
    <n v="195273050"/>
    <n v="0"/>
    <n v="0"/>
    <m/>
    <m/>
    <m/>
    <n v="195273050"/>
    <m/>
    <m/>
    <n v="0"/>
    <n v="195273050"/>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68"/>
    <s v="180-42"/>
    <s v="Mejorar caracterización socio económica de los territorios en su desarrollo energético."/>
    <s v="Documentos de Planeación"/>
    <s v="Documento de planeación validado."/>
    <n v="81101516"/>
    <s v="C-2102-1900-5-53106A-2102009-02"/>
    <x v="8"/>
    <s v="180-42 Desarrollar estrategias de energización en la región como insumo para la planeación territorial"/>
    <s v="Junio"/>
    <s v="Junio"/>
    <s v="Julio"/>
    <n v="6"/>
    <s v="Meses"/>
    <s v="Contratación régimen especial (con ofertas)  - Régimen especial"/>
    <s v="Propios - 21 - Otros recursos de tesorería"/>
    <n v="605317665"/>
    <n v="605317665"/>
    <s v="No"/>
    <s v="N/A"/>
    <s v="Manuel Peña Suarez"/>
    <s v="Jefe Oficina Gestión de Proyectos de Fondos"/>
    <n v="6012220607"/>
    <s v="manuel.pena@upme.govco"/>
    <n v="0"/>
    <n v="0"/>
    <n v="0"/>
    <n v="0"/>
    <n v="0"/>
    <n v="0"/>
    <n v="0"/>
    <n v="0"/>
    <n v="0"/>
    <n v="0"/>
    <n v="0"/>
    <n v="0"/>
    <n v="605317665"/>
    <n v="0"/>
    <n v="0"/>
    <n v="200000000"/>
    <n v="0"/>
    <n v="200000000"/>
    <n v="0"/>
    <n v="205317665"/>
    <n v="0"/>
    <n v="0"/>
    <n v="0"/>
    <n v="0"/>
    <n v="605317665"/>
    <n v="605317665"/>
    <n v="0"/>
    <n v="0"/>
    <s v="Desarrollar estrategias de energización en la región como insumo para la planeación territorial"/>
    <m/>
    <m/>
    <m/>
    <m/>
    <m/>
    <m/>
    <m/>
    <m/>
    <m/>
    <m/>
    <m/>
    <m/>
    <n v="605317665"/>
    <m/>
    <m/>
    <n v="200000000"/>
    <m/>
    <n v="200000000"/>
    <m/>
    <n v="205317665"/>
    <m/>
    <m/>
    <m/>
    <m/>
    <m/>
    <m/>
    <n v="605317665"/>
    <n v="605317665"/>
    <n v="0"/>
    <n v="0"/>
    <m/>
    <m/>
    <m/>
    <n v="605317665"/>
    <m/>
    <m/>
    <n v="0"/>
    <n v="605317665"/>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3"/>
    <s v="180-43"/>
    <s v="Mejorar la capacidad de los interesados en formular proyectos de inversión en el sector energético."/>
    <s v="Documentos de Lineamientos Técnicos"/>
    <s v="Documento con los resultados de las validaciones."/>
    <n v="80111620"/>
    <s v="C-2102-1900-5-53106A-2102008-02"/>
    <x v="0"/>
    <s v="180-43 Prestar los servicios profesionales especializados a la Dirección General en los asuntos técnicos del sector energético, con énfasis en la planeación y la eficiencia energética."/>
    <s v="Enero "/>
    <s v="Enero "/>
    <s v="Enero "/>
    <n v="7"/>
    <s v="Meses"/>
    <s v="Contratación directa - Prestación de servicios profesionales "/>
    <s v="Propios - 21 - Otros recursos de tesorería"/>
    <n v="84000000"/>
    <n v="84000000"/>
    <s v="No"/>
    <s v="N/A"/>
    <s v="Oscar Zabaleta"/>
    <s v="Jefe Oficina Gestión de Proyectos de Fondos"/>
    <n v="6012220607"/>
    <s v="oscar.zabaleta@upme.gov.co"/>
    <n v="0"/>
    <n v="0"/>
    <n v="49000000"/>
    <n v="0"/>
    <n v="0"/>
    <n v="7000000"/>
    <n v="0"/>
    <n v="7000000"/>
    <n v="0"/>
    <n v="7000000"/>
    <n v="0"/>
    <n v="7000000"/>
    <n v="0"/>
    <n v="7000000"/>
    <n v="0"/>
    <n v="7000000"/>
    <n v="0"/>
    <n v="7000000"/>
    <n v="35000000"/>
    <n v="35000000"/>
    <n v="0"/>
    <n v="0"/>
    <n v="0"/>
    <n v="0"/>
    <n v="84000000"/>
    <n v="84000000"/>
    <n v="0"/>
    <n v="0"/>
    <s v="Prestar los servicios profesionales especializados a la Dirección General en los asuntos técnicos del sector energético, con énfasis en la planeación y la eficiencia energética."/>
    <m/>
    <m/>
    <n v="49000000"/>
    <m/>
    <m/>
    <n v="7000000"/>
    <m/>
    <n v="7000000"/>
    <m/>
    <n v="7000000"/>
    <m/>
    <n v="7000000"/>
    <m/>
    <n v="7000000"/>
    <m/>
    <n v="7000000"/>
    <m/>
    <n v="7000000"/>
    <n v="35000000"/>
    <n v="35000000"/>
    <m/>
    <m/>
    <m/>
    <m/>
    <m/>
    <m/>
    <n v="84000000"/>
    <n v="84000000"/>
    <n v="0"/>
    <n v="0"/>
    <n v="45626"/>
    <d v="2026-01-19T00:00:00"/>
    <n v="84000000"/>
    <n v="0"/>
    <n v="54826"/>
    <d v="2026-02-10T00:00:00"/>
    <n v="49000000"/>
    <n v="35000000"/>
    <n v="35000000"/>
    <s v="CHARRY VELASQUEZ ARLEYN"/>
    <s v="CO1.PCCNTR.9308593"/>
    <m/>
    <m/>
    <m/>
    <n v="49000000"/>
    <m/>
    <m/>
    <m/>
    <m/>
    <m/>
    <m/>
    <n v="11666667"/>
    <n v="11666667"/>
    <m/>
    <m/>
    <m/>
    <m/>
    <m/>
    <m/>
    <m/>
    <m/>
    <m/>
    <m/>
    <m/>
    <m/>
    <m/>
    <m/>
    <m/>
    <m/>
    <m/>
    <m/>
    <m/>
    <m/>
    <m/>
    <m/>
    <m/>
    <m/>
    <n v="49000000"/>
    <n v="11666667"/>
    <n v="11666667"/>
    <n v="37333333"/>
    <n v="0"/>
  </r>
  <r>
    <x v="0"/>
    <x v="2"/>
    <s v="Mejoramiento de la participación ciudadana en el modelo energético y de infraestructura energética, en el marco de la transición energética justa a nivel  nacional"/>
    <s v="Fondos"/>
    <s v="Sí"/>
    <s v="Sí"/>
    <n v="68"/>
    <s v="180-44"/>
    <s v="Mejorar la capacidad de los interesados en formular proyectos de inversión en el sector energético."/>
    <s v="Documentos de Lineamientos Técnicos"/>
    <s v="Documento con los resultados de las validaciones."/>
    <n v="80111620"/>
    <s v="C-2102-1900-5-53106A-2102008-02"/>
    <x v="0"/>
    <s v="180-44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6"/>
    <s v="Meses"/>
    <s v="Contratación régimen especial - Régimen especial"/>
    <s v="Propios - 21 - Otros recursos de tesorería"/>
    <n v="25363800"/>
    <n v="25363800"/>
    <s v="No"/>
    <s v="N/A"/>
    <s v="Manuel Peña Suarez"/>
    <s v="Jefe Oficina Gestión de Proyectos de Fondos"/>
    <n v="6012220607"/>
    <s v="manuel.pena@upme.govco"/>
    <n v="25363800"/>
    <n v="0"/>
    <n v="0"/>
    <n v="2113650"/>
    <n v="0"/>
    <n v="4227300"/>
    <n v="0"/>
    <n v="4227300"/>
    <n v="0"/>
    <n v="4227300"/>
    <n v="0"/>
    <n v="4227300"/>
    <n v="0"/>
    <n v="4227300"/>
    <n v="0"/>
    <n v="2113650"/>
    <n v="0"/>
    <n v="0"/>
    <n v="0"/>
    <n v="0"/>
    <n v="0"/>
    <n v="0"/>
    <n v="0"/>
    <n v="0"/>
    <n v="25363800"/>
    <n v="25363800"/>
    <n v="0"/>
    <n v="0"/>
    <s v="Prestar servicios profesionales para realizar en la evaluación técnica y financiera de proyectos energéticos que solicitan recursos a los fondos y mecanismos de financiación evaluados por la UPME, y apoyar las mesas técnicas en el marco de las actividades"/>
    <n v="25363800"/>
    <m/>
    <m/>
    <n v="2113650"/>
    <m/>
    <n v="4227300"/>
    <m/>
    <n v="4227300"/>
    <m/>
    <n v="4227300"/>
    <m/>
    <n v="4227300"/>
    <m/>
    <n v="4227300"/>
    <m/>
    <n v="2113650"/>
    <m/>
    <m/>
    <m/>
    <m/>
    <m/>
    <m/>
    <m/>
    <m/>
    <m/>
    <m/>
    <n v="25363800"/>
    <n v="25363800"/>
    <n v="0"/>
    <n v="0"/>
    <n v="45326"/>
    <d v="2026-01-17T00:00:00"/>
    <n v="25363800"/>
    <n v="0"/>
    <n v="33926"/>
    <d v="2026-01-29T00:00:00"/>
    <n v="25363800"/>
    <n v="0"/>
    <n v="0"/>
    <s v="PALACIOS MORENO JUAN CARLOS"/>
    <s v="CO1.PCCNTR.9172375"/>
    <n v="25363800"/>
    <m/>
    <m/>
    <m/>
    <m/>
    <m/>
    <m/>
    <n v="4368210"/>
    <n v="4368210"/>
    <m/>
    <n v="4227300"/>
    <n v="4227300"/>
    <m/>
    <m/>
    <m/>
    <m/>
    <m/>
    <m/>
    <m/>
    <m/>
    <m/>
    <m/>
    <m/>
    <m/>
    <m/>
    <m/>
    <m/>
    <m/>
    <m/>
    <m/>
    <m/>
    <m/>
    <m/>
    <m/>
    <m/>
    <m/>
    <n v="25363800"/>
    <n v="8595510"/>
    <n v="8595510"/>
    <n v="16768290"/>
    <n v="0"/>
  </r>
  <r>
    <x v="0"/>
    <x v="2"/>
    <s v="Mejoramiento de la participación ciudadana en el modelo energético y de infraestructura energética, en el marco de la transición energética justa a nivel  nacional"/>
    <s v="Fondos"/>
    <s v="Sí"/>
    <s v="Sí"/>
    <n v="3"/>
    <s v="180-45"/>
    <s v="Mejorar la capacidad de los interesados en formular proyectos de inversión en el sector energético."/>
    <s v="Documentos de Lineamientos Técnicos"/>
    <s v="Documento con los resultados de las validaciones."/>
    <n v="80111620"/>
    <s v="C-2102-1900-5-53106A-2102008-02"/>
    <x v="0"/>
    <s v="180-45  Prestar los servicios profesionales en la construcción de herramientas y documentos en el carácter social y político como mecanismo de unificación de criterios en la evaluación y estrategias de energización en los procesos de la Oficina de Gestión"/>
    <s v="Enero "/>
    <s v="Enero "/>
    <s v="Enero "/>
    <n v="6"/>
    <s v="Meses"/>
    <s v="Contratación directa - Prestación de servicios profesionales "/>
    <s v="Propios - 21 - Otros recursos de tesorería"/>
    <n v="37359000"/>
    <n v="37359000"/>
    <s v="No"/>
    <s v="N/A"/>
    <s v="Oscar Zabaleta"/>
    <s v="Jefe Oficina Gestión de Proyectos de Fondos"/>
    <n v="6012220607"/>
    <s v="oscar.zabaleta@upme.gov.co"/>
    <n v="0"/>
    <n v="0"/>
    <n v="37359000"/>
    <n v="3113250"/>
    <n v="0"/>
    <n v="6226500"/>
    <n v="0"/>
    <n v="6226500"/>
    <n v="0"/>
    <n v="6226500"/>
    <n v="0"/>
    <n v="6226500"/>
    <n v="0"/>
    <n v="6226500"/>
    <n v="0"/>
    <n v="3113250"/>
    <n v="0"/>
    <n v="0"/>
    <n v="0"/>
    <n v="0"/>
    <n v="0"/>
    <n v="0"/>
    <n v="0"/>
    <n v="0"/>
    <n v="37359000"/>
    <n v="37359000"/>
    <n v="0"/>
    <n v="0"/>
    <s v=" Prestar los servicios profesionales en la construcción de herramientas y documentos en el carácter social y político como mecanismo de unificación de criterios en la evaluación y estrategias de energización en los procesos de la Oficina de Gestión de Pro"/>
    <m/>
    <m/>
    <n v="37359000"/>
    <n v="3113250"/>
    <m/>
    <n v="6226500"/>
    <m/>
    <n v="6226500"/>
    <m/>
    <n v="6226500"/>
    <m/>
    <n v="6226500"/>
    <m/>
    <n v="6226500"/>
    <m/>
    <n v="3113250"/>
    <m/>
    <m/>
    <m/>
    <m/>
    <m/>
    <m/>
    <m/>
    <m/>
    <m/>
    <m/>
    <n v="37359000"/>
    <n v="37359000"/>
    <n v="0"/>
    <n v="0"/>
    <n v="45426"/>
    <d v="2026-01-17T00:00:00"/>
    <n v="37359000"/>
    <n v="0"/>
    <n v="43926"/>
    <d v="2026-02-05T00:00:00"/>
    <n v="37359000"/>
    <n v="0"/>
    <n v="0"/>
    <s v="MONTAÑO MORA AVINADAD"/>
    <s v="CO1.PCCNTR.9253051"/>
    <m/>
    <m/>
    <m/>
    <n v="37359000"/>
    <m/>
    <m/>
    <m/>
    <n v="5188750"/>
    <n v="5188750"/>
    <m/>
    <n v="6226500"/>
    <n v="6226500"/>
    <m/>
    <m/>
    <m/>
    <m/>
    <m/>
    <m/>
    <m/>
    <m/>
    <m/>
    <m/>
    <m/>
    <m/>
    <m/>
    <m/>
    <m/>
    <m/>
    <m/>
    <m/>
    <m/>
    <m/>
    <m/>
    <m/>
    <m/>
    <m/>
    <n v="37359000"/>
    <n v="11415250"/>
    <n v="11415250"/>
    <n v="25943750"/>
    <n v="0"/>
  </r>
  <r>
    <x v="0"/>
    <x v="2"/>
    <s v="Mejoramiento de la participación ciudadana en el modelo energético y de infraestructura energética, en el marco de la transición energética justa a nivel  nacional"/>
    <s v="Fondos"/>
    <s v="Sí"/>
    <s v="Sí"/>
    <n v="3"/>
    <s v="180-46"/>
    <s v="Mejorar la capacidad de los interesados en formular proyectos de inversión en el sector energético."/>
    <s v="Servicio de Asistencia Técnica"/>
    <s v="Capacitar organizaciones y usuarios en general en las regiones."/>
    <n v="80111620"/>
    <s v="C-2102-1900-5-53106A-2102071-02"/>
    <x v="0"/>
    <s v="180-46 Prestar los servicios profesionales para realizar el seguimiento y reporte de las actividades relacionadas con el proyecto de inversión y contractual de la Oficina de Gestión de Proyectos de Fondos de la UPME."/>
    <s v="Enero "/>
    <s v="Enero "/>
    <s v="Enero "/>
    <n v="6"/>
    <s v="Meses"/>
    <s v="Contratación directa - Prestación de servicios profesionales "/>
    <s v="Propios - 20 - Ingresos corrientes"/>
    <n v="34495387"/>
    <n v="34495387"/>
    <s v="No"/>
    <s v="N/A"/>
    <s v="Oscar Zabaleta"/>
    <s v="Jefe Oficina Gestión de Proyectos de Fondos"/>
    <n v="6012220607"/>
    <s v="oscar.zabaleta@upme.gov.co"/>
    <n v="34479900"/>
    <n v="0"/>
    <n v="0"/>
    <n v="5746650"/>
    <n v="0"/>
    <n v="5746650"/>
    <n v="0"/>
    <n v="5746650"/>
    <n v="0"/>
    <n v="5746650"/>
    <n v="0"/>
    <n v="5762137"/>
    <n v="0"/>
    <n v="5746650"/>
    <n v="0"/>
    <n v="0"/>
    <n v="0"/>
    <n v="0"/>
    <n v="0"/>
    <n v="0"/>
    <n v="0"/>
    <n v="0"/>
    <n v="15487"/>
    <n v="0"/>
    <n v="34495387"/>
    <n v="34495387"/>
    <n v="0"/>
    <n v="0"/>
    <s v="Prestar los servicios profesionales para realizar el seguimiento y reporte de las actividades relacionadas con el proyecto de inversión y contractual de la Oficina de Gestión de Proyectos de Fondos de la UPME."/>
    <n v="34479900"/>
    <m/>
    <m/>
    <n v="5746650"/>
    <m/>
    <n v="5746650"/>
    <m/>
    <n v="5746650"/>
    <m/>
    <n v="5746650"/>
    <m/>
    <n v="5762137"/>
    <m/>
    <n v="5746650"/>
    <m/>
    <m/>
    <m/>
    <m/>
    <m/>
    <m/>
    <m/>
    <m/>
    <n v="15487"/>
    <m/>
    <m/>
    <m/>
    <n v="34495387"/>
    <n v="34495387"/>
    <n v="0"/>
    <n v="0"/>
    <n v="62726"/>
    <d v="2026-01-23T00:00:00"/>
    <n v="34495387"/>
    <n v="0"/>
    <n v="34126"/>
    <d v="2026-01-29T00:00:00"/>
    <n v="34479900"/>
    <n v="15487"/>
    <n v="15487"/>
    <s v="CADENA SERRANO YECENIA"/>
    <s v="CO1.PCCNTR.9172561"/>
    <n v="34479900"/>
    <m/>
    <m/>
    <m/>
    <m/>
    <m/>
    <m/>
    <n v="5938205"/>
    <n v="5938205"/>
    <m/>
    <n v="5746650"/>
    <n v="5746650"/>
    <m/>
    <m/>
    <m/>
    <m/>
    <m/>
    <m/>
    <m/>
    <m/>
    <m/>
    <m/>
    <m/>
    <m/>
    <m/>
    <m/>
    <m/>
    <m/>
    <m/>
    <m/>
    <m/>
    <m/>
    <m/>
    <m/>
    <m/>
    <m/>
    <n v="34479900"/>
    <n v="11684855"/>
    <n v="11684855"/>
    <n v="22795045"/>
    <n v="0"/>
  </r>
  <r>
    <x v="0"/>
    <x v="2"/>
    <s v="Mejoramiento de la participación ciudadana en el modelo energético y de infraestructura energética, en el marco de la transición energética justa a nivel  nacional"/>
    <s v="Fondos"/>
    <s v="Sí"/>
    <s v="Sí"/>
    <n v="3"/>
    <s v="180-47"/>
    <s v="Mejorar la capacidad de los interesados en formular proyectos de inversión en el sector energético."/>
    <s v="Servicio de Asistencia Técnica"/>
    <s v="Capacitar organizaciones y usuarios en general en las regiones."/>
    <n v="80111620"/>
    <s v="C-2102-1900-5-53106A-2102071-02"/>
    <x v="0"/>
    <s v="180 - 47 Prestar servicios profesionales para realizar la evaluación técnica y financiera de proyectos energéticos que solicitan recursos a los fondos y mecanismos de financiación evaluados por la UPME, y participar en mesas técnicas."/>
    <s v="Enero "/>
    <s v="Enero "/>
    <s v="Enero "/>
    <n v="6"/>
    <s v="Meses"/>
    <s v="Contratación directa - Prestación de servicios profesionales "/>
    <s v="Propios - 20 - Ingresos corrientes"/>
    <n v="34495388"/>
    <n v="34495388"/>
    <s v="No"/>
    <s v="N/A"/>
    <s v="Oscar Zabaleta"/>
    <s v="Jefe Oficina Gestión de Proyectos de Fondos (E)"/>
    <n v="6012220607"/>
    <s v="oscar.zabaleta@upme.gov.co"/>
    <n v="0"/>
    <n v="0"/>
    <n v="34495388"/>
    <n v="5746650"/>
    <n v="0"/>
    <n v="5746650"/>
    <n v="0"/>
    <n v="5746650"/>
    <n v="0"/>
    <n v="5746650"/>
    <n v="0"/>
    <n v="5762138"/>
    <n v="0"/>
    <n v="5746650"/>
    <n v="0"/>
    <n v="0"/>
    <n v="0"/>
    <n v="0"/>
    <n v="0"/>
    <n v="0"/>
    <n v="0"/>
    <n v="0"/>
    <n v="0"/>
    <n v="0"/>
    <n v="34495388"/>
    <n v="34495388"/>
    <n v="0"/>
    <n v="0"/>
    <s v="- 47 Prestar servicios profesionales para realizar la evaluación técnica y financiera de proyectos energéticos que solicitan recursos a los fondos y mecanismos de financiación evaluados por la UPME, y participar en mesas técnicas."/>
    <m/>
    <m/>
    <n v="34495388"/>
    <n v="5746650"/>
    <m/>
    <n v="5746650"/>
    <m/>
    <n v="5746650"/>
    <m/>
    <n v="5746650"/>
    <m/>
    <n v="5762138"/>
    <m/>
    <n v="5746650"/>
    <m/>
    <m/>
    <m/>
    <m/>
    <m/>
    <m/>
    <m/>
    <m/>
    <m/>
    <m/>
    <m/>
    <m/>
    <n v="34495388"/>
    <n v="34495388"/>
    <n v="0"/>
    <n v="0"/>
    <n v="45926"/>
    <d v="2026-01-19T00:00:00"/>
    <n v="34495388"/>
    <n v="0"/>
    <n v="41026"/>
    <d v="2026-02-04T00:00:00"/>
    <n v="34479900"/>
    <n v="15488"/>
    <n v="15488"/>
    <s v="GUZMAN HERAZO JAQUELINE DEL CARMEN"/>
    <s v="CO1.PCCNTR.9254811"/>
    <m/>
    <m/>
    <m/>
    <n v="34479900"/>
    <m/>
    <m/>
    <m/>
    <m/>
    <m/>
    <m/>
    <n v="10727080"/>
    <n v="10727080"/>
    <m/>
    <m/>
    <m/>
    <m/>
    <m/>
    <m/>
    <m/>
    <m/>
    <m/>
    <m/>
    <m/>
    <m/>
    <m/>
    <m/>
    <m/>
    <m/>
    <m/>
    <m/>
    <m/>
    <m/>
    <m/>
    <m/>
    <m/>
    <m/>
    <n v="34479900"/>
    <n v="10727080"/>
    <n v="10727080"/>
    <n v="23752820"/>
    <n v="0"/>
  </r>
  <r>
    <x v="0"/>
    <x v="2"/>
    <s v="Mejoramiento de la participación ciudadana en el modelo energético y de infraestructura energética, en el marco de la transición energética justa a nivel  nacional"/>
    <s v="Fondos"/>
    <s v="Sí"/>
    <s v="Sí"/>
    <n v="3"/>
    <s v="180-48"/>
    <s v="Mejorar la capacidad de los interesados en formular proyectos de inversión en el sector energético."/>
    <s v="Documentos de Lineamientos Técnicos"/>
    <s v="Documento con los resultados de las validaciones."/>
    <n v="80111620"/>
    <s v="C-2102-1900-5-53106A-2102008-02"/>
    <x v="0"/>
    <s v="180-48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19712700"/>
    <n v="0"/>
    <n v="0"/>
    <n v="3942540"/>
    <n v="0"/>
    <n v="3942540"/>
    <n v="0"/>
    <n v="3942540"/>
    <n v="0"/>
    <n v="3942540"/>
    <n v="0"/>
    <n v="3942540"/>
    <n v="0"/>
    <n v="0"/>
    <n v="0"/>
    <n v="0"/>
    <n v="0"/>
    <n v="0"/>
    <n v="0"/>
    <n v="0"/>
    <n v="0"/>
    <n v="0"/>
    <n v="19712700"/>
    <n v="19712700"/>
    <n v="0"/>
    <n v="0"/>
    <s v="Prestar servicios profesionales para la evaluación técnica y financiera de proyectos energéticos que solicitan recursos a los fondos y mecanismos de financiación evaluados por la UPME."/>
    <m/>
    <m/>
    <n v="19712700"/>
    <m/>
    <m/>
    <n v="3942540"/>
    <m/>
    <n v="3942540"/>
    <m/>
    <n v="3942540"/>
    <m/>
    <n v="3942540"/>
    <m/>
    <n v="3942540"/>
    <m/>
    <m/>
    <m/>
    <m/>
    <m/>
    <m/>
    <m/>
    <m/>
    <m/>
    <m/>
    <m/>
    <m/>
    <n v="19712700"/>
    <n v="19712700"/>
    <n v="0"/>
    <n v="0"/>
    <n v="63826"/>
    <d v="2026-01-23T00:00:00"/>
    <n v="19712700"/>
    <n v="0"/>
    <n v="54926"/>
    <d v="2026-02-10T00:00:00"/>
    <n v="19712700"/>
    <n v="0"/>
    <n v="0"/>
    <s v="QUINONES VALENTIERRA JOHN EDINSON"/>
    <s v="CO1.PCCNTR.9285323"/>
    <m/>
    <m/>
    <m/>
    <n v="19712700"/>
    <m/>
    <m/>
    <m/>
    <n v="2190300"/>
    <n v="2190300"/>
    <m/>
    <m/>
    <m/>
    <m/>
    <m/>
    <m/>
    <m/>
    <m/>
    <m/>
    <m/>
    <m/>
    <m/>
    <m/>
    <m/>
    <m/>
    <m/>
    <m/>
    <m/>
    <m/>
    <m/>
    <m/>
    <m/>
    <m/>
    <m/>
    <m/>
    <m/>
    <m/>
    <n v="19712700"/>
    <n v="2190300"/>
    <n v="2190300"/>
    <n v="17522400"/>
    <n v="0"/>
  </r>
  <r>
    <x v="0"/>
    <x v="2"/>
    <s v="Mejoramiento de la participación ciudadana en el modelo energético y de infraestructura energética, en el marco de la transición energética justa a nivel  nacional"/>
    <s v="Fondos"/>
    <s v="Sí"/>
    <s v="Sí"/>
    <n v="3"/>
    <s v="180-49"/>
    <s v="Mejorar la capacidad de los interesados en formular proyectos de inversión en el sector energético."/>
    <s v="Documentos de Lineamientos Técnicos"/>
    <s v="Documento con los resultados de las validaciones."/>
    <n v="80111620"/>
    <s v="C-2102-1900-5-53106A-2102008-02"/>
    <x v="0"/>
    <s v="180-49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0"/>
    <n v="0"/>
    <n v="0"/>
    <n v="0"/>
    <n v="0"/>
    <n v="0"/>
    <n v="0"/>
    <n v="0"/>
    <n v="19712700"/>
    <n v="0"/>
    <n v="0"/>
    <n v="3285450"/>
    <n v="0"/>
    <n v="3285450"/>
    <n v="0"/>
    <n v="3285450"/>
    <n v="0"/>
    <n v="3285450"/>
    <n v="0"/>
    <n v="3285450"/>
    <n v="0"/>
    <n v="3285450"/>
    <n v="19712700"/>
    <n v="19712700"/>
    <n v="0"/>
    <n v="0"/>
    <s v="Prestar servicios profesionales para la evaluación técnica y financiera de proyectos energéticos que solicitan recursos a los fondos y mecanismos de financiación evaluados por la UPME."/>
    <m/>
    <m/>
    <m/>
    <m/>
    <m/>
    <m/>
    <m/>
    <m/>
    <m/>
    <m/>
    <n v="19712700"/>
    <m/>
    <m/>
    <n v="3285450"/>
    <m/>
    <n v="3285450"/>
    <m/>
    <n v="3285450"/>
    <m/>
    <n v="3285450"/>
    <m/>
    <n v="3285450"/>
    <m/>
    <n v="3285450"/>
    <m/>
    <m/>
    <n v="19712700"/>
    <n v="19712700"/>
    <n v="0"/>
    <n v="0"/>
    <m/>
    <m/>
    <m/>
    <n v="19712700"/>
    <m/>
    <m/>
    <n v="0"/>
    <n v="19712700"/>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3"/>
    <s v="180-50"/>
    <s v="Mejorar la capacidad de los interesados en formular proyectos de inversión en el sector energético."/>
    <s v="Documentos de Lineamientos Técnicos"/>
    <s v="Documento con los resultados de las validaciones."/>
    <n v="80111620"/>
    <s v="C-2102-1900-5-53106A-2102008-02"/>
    <x v="0"/>
    <s v="180-50 Prestar los servicios profesionales como enlace en la Region Pacifico en la implementación de la estrategia de comunicación de la UPME al Territorio, orientada a fortalecer la transparencia de los procesos de planeación minero-energética mediante 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19712700"/>
    <n v="0"/>
    <n v="0"/>
    <n v="3285450"/>
    <n v="0"/>
    <n v="3285450"/>
    <n v="0"/>
    <n v="3285450"/>
    <n v="0"/>
    <n v="3285450"/>
    <n v="0"/>
    <n v="3285450"/>
    <n v="0"/>
    <n v="3285450"/>
    <n v="0"/>
    <n v="0"/>
    <n v="0"/>
    <n v="0"/>
    <n v="0"/>
    <n v="0"/>
    <n v="0"/>
    <n v="0"/>
    <n v="19712700"/>
    <n v="19712700"/>
    <n v="0"/>
    <n v="0"/>
    <s v="Prestar los servicios profesionales como enlace en la Region Pacifico en la implementación de la estrategia de comunicación de la UPME al Territorio, orientada a fortalecer la transparencia de los procesos de planeación minero-energética mediante el desar"/>
    <m/>
    <m/>
    <n v="19712700"/>
    <m/>
    <m/>
    <n v="3285450"/>
    <m/>
    <n v="3285450"/>
    <m/>
    <n v="3285450"/>
    <m/>
    <n v="3285450"/>
    <m/>
    <n v="3285450"/>
    <m/>
    <n v="3285450"/>
    <m/>
    <m/>
    <m/>
    <m/>
    <m/>
    <m/>
    <m/>
    <m/>
    <m/>
    <m/>
    <n v="19712700"/>
    <n v="19712700"/>
    <n v="0"/>
    <n v="0"/>
    <n v="55426"/>
    <d v="2026-01-22T00:00:00"/>
    <n v="19712700"/>
    <n v="0"/>
    <n v="46926"/>
    <d v="2026-02-06T00:00:00"/>
    <n v="19605950"/>
    <n v="106750"/>
    <n v="106750"/>
    <s v="ORTEGA OSPINA JUAN DAVID"/>
    <s v="CO1.PCCNTR.9268554"/>
    <m/>
    <m/>
    <m/>
    <n v="19605950"/>
    <m/>
    <m/>
    <m/>
    <n v="2782780"/>
    <n v="2782780"/>
    <m/>
    <n v="3794700"/>
    <n v="3794700"/>
    <m/>
    <m/>
    <m/>
    <m/>
    <m/>
    <m/>
    <m/>
    <m/>
    <m/>
    <m/>
    <m/>
    <m/>
    <m/>
    <m/>
    <m/>
    <m/>
    <m/>
    <m/>
    <m/>
    <m/>
    <m/>
    <m/>
    <m/>
    <m/>
    <n v="19605950"/>
    <n v="6577480"/>
    <n v="6577480"/>
    <n v="13028470"/>
    <n v="0"/>
  </r>
  <r>
    <x v="0"/>
    <x v="2"/>
    <s v="Mejoramiento de la participación ciudadana en el modelo energético y de infraestructura energética, en el marco de la transición energética justa a nivel  nacional"/>
    <s v="Fondos"/>
    <s v="Sí"/>
    <s v="Sí"/>
    <n v="3"/>
    <s v="180-51"/>
    <s v="Mejorar la capacidad de los interesados en formular proyectos de inversión en el sector energético."/>
    <s v="Documentos de Lineamientos Técnicos"/>
    <s v="Documento con los resultados de las validaciones."/>
    <n v="80111620"/>
    <s v="C-2102-1900-5-53106A-2102008-02"/>
    <x v="0"/>
    <s v="180-51 Prestar sus servicios profesionales especializados a la Dirección General en asuntos técnicos del sector energético, con énfasis en la planeación eléctrica y/o la integración territorial de variables energéticas."/>
    <s v="Enero "/>
    <s v="Enero "/>
    <s v="Enero "/>
    <n v="6"/>
    <s v="Meses"/>
    <s v="Contratación directa - Prestación de servicios profesionales "/>
    <s v="Propios - 20 - Ingresos corrientes"/>
    <n v="53762100"/>
    <n v="53762100"/>
    <s v="No"/>
    <s v="N/A"/>
    <s v="Oscar Zabaleta"/>
    <s v="Jefe Oficina Gestión de Proyectos de Fondos (E)"/>
    <n v="6012220607"/>
    <s v="oscar.zabaleta@upme.gov.co"/>
    <n v="0"/>
    <n v="0"/>
    <n v="53762100"/>
    <n v="0"/>
    <n v="0"/>
    <n v="8997450"/>
    <n v="0"/>
    <n v="8997450"/>
    <n v="0"/>
    <n v="8997450"/>
    <n v="0"/>
    <n v="8774850"/>
    <n v="0"/>
    <n v="8997450"/>
    <n v="0"/>
    <n v="8997450"/>
    <n v="0"/>
    <n v="0"/>
    <n v="0"/>
    <n v="0"/>
    <n v="0"/>
    <n v="0"/>
    <n v="0"/>
    <n v="0"/>
    <n v="53762100"/>
    <n v="53762100"/>
    <n v="0"/>
    <n v="0"/>
    <s v="Prestar sus servicios profesionales especializados a la Dirección General en asuntos técnicos del sector energético, con énfasis en la planeación eléctrica y/o la integración territorial de variables energéticas."/>
    <m/>
    <m/>
    <n v="53762100"/>
    <m/>
    <m/>
    <n v="8997450"/>
    <m/>
    <n v="8997450"/>
    <m/>
    <n v="8997450"/>
    <m/>
    <n v="8774850"/>
    <m/>
    <n v="8997450"/>
    <m/>
    <n v="8997450"/>
    <m/>
    <m/>
    <m/>
    <m/>
    <m/>
    <m/>
    <m/>
    <m/>
    <m/>
    <m/>
    <n v="53762100"/>
    <n v="53762100"/>
    <n v="0"/>
    <n v="0"/>
    <n v="50626"/>
    <d v="2026-01-20T00:00:00"/>
    <n v="53762100"/>
    <n v="0"/>
    <n v="51826"/>
    <d v="2026-02-09T00:00:00"/>
    <n v="53762100"/>
    <n v="0"/>
    <n v="0"/>
    <s v="ORJUELA LOPEZ LUIS ALBERTO"/>
    <s v="CO1.PCCNTR.9171620"/>
    <m/>
    <m/>
    <m/>
    <n v="53762100"/>
    <m/>
    <m/>
    <m/>
    <m/>
    <m/>
    <m/>
    <n v="15295665"/>
    <n v="15295665"/>
    <m/>
    <m/>
    <m/>
    <m/>
    <m/>
    <m/>
    <m/>
    <m/>
    <m/>
    <m/>
    <m/>
    <m/>
    <m/>
    <m/>
    <m/>
    <m/>
    <m/>
    <m/>
    <m/>
    <m/>
    <m/>
    <m/>
    <m/>
    <m/>
    <n v="53762100"/>
    <n v="15295665"/>
    <n v="15295665"/>
    <n v="38466435"/>
    <n v="0"/>
  </r>
  <r>
    <x v="0"/>
    <x v="2"/>
    <s v="Mejoramiento de la participación ciudadana en el modelo energético y de infraestructura energética, en el marco de la transición energética justa a nivel  nacional"/>
    <s v="Fondos"/>
    <s v="Sí"/>
    <s v="Sí"/>
    <n v="3"/>
    <s v="180-52"/>
    <s v="Mejorar la capacidad de los interesados en formular proyectos de inversión en el sector energético."/>
    <s v="Documentos de Lineamientos Técnicos"/>
    <s v="Documento con los resultados de las validaciones."/>
    <n v="80111620"/>
    <s v="C-2102-1900-5-53106A-2102008-02"/>
    <x v="0"/>
    <s v="180-52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19712700"/>
    <n v="0"/>
    <n v="0"/>
    <n v="3285450"/>
    <n v="0"/>
    <n v="3285450"/>
    <n v="0"/>
    <n v="3285450"/>
    <n v="0"/>
    <n v="3285450"/>
    <n v="0"/>
    <n v="3285450"/>
    <n v="0"/>
    <n v="3285450"/>
    <n v="0"/>
    <n v="0"/>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3285450"/>
    <m/>
    <n v="3285450"/>
    <m/>
    <n v="3285450"/>
    <m/>
    <n v="3285450"/>
    <m/>
    <n v="3285450"/>
    <m/>
    <n v="3285450"/>
    <m/>
    <m/>
    <m/>
    <m/>
    <m/>
    <m/>
    <m/>
    <m/>
    <m/>
    <m/>
    <m/>
    <m/>
    <n v="19712700"/>
    <n v="19712700"/>
    <n v="0"/>
    <n v="0"/>
    <n v="46426"/>
    <d v="2026-01-19T00:00:00"/>
    <n v="19712700"/>
    <n v="0"/>
    <n v="34326"/>
    <d v="2026-01-29T00:00:00"/>
    <n v="19712700"/>
    <n v="0"/>
    <n v="0"/>
    <s v="SALAZAR CHAVEZ DAVID GUSTAVO"/>
    <s v="CO1.PCCNTR.9173013"/>
    <n v="19712700"/>
    <m/>
    <m/>
    <m/>
    <m/>
    <m/>
    <m/>
    <n v="3175935"/>
    <n v="3175935"/>
    <m/>
    <n v="3285450"/>
    <n v="3285450"/>
    <m/>
    <m/>
    <m/>
    <m/>
    <m/>
    <m/>
    <m/>
    <m/>
    <m/>
    <m/>
    <m/>
    <m/>
    <m/>
    <m/>
    <m/>
    <m/>
    <m/>
    <m/>
    <m/>
    <m/>
    <m/>
    <m/>
    <m/>
    <m/>
    <n v="19712700"/>
    <n v="6461385"/>
    <n v="6461385"/>
    <n v="13251315"/>
    <n v="0"/>
  </r>
  <r>
    <x v="0"/>
    <x v="2"/>
    <s v="Mejoramiento de la participación ciudadana en el modelo energético y de infraestructura energética, en el marco de la transición energética justa a nivel  nacional"/>
    <s v="Fondos"/>
    <s v="Sí"/>
    <s v="Sí"/>
    <n v="3"/>
    <s v="180-53"/>
    <s v="Mejorar la capacidad de los interesados en formular proyectos de inversión en el sector energético."/>
    <s v="Servicio de Asistencia Técnica"/>
    <s v="Capacitar organizaciones y usuarios en general en las regiones."/>
    <n v="80111620"/>
    <s v="C-2102-1900-5-53106A-2102071-02"/>
    <x v="0"/>
    <s v="180-53 Prestar sus servicios profesionales especializados a la Dirección General en asuntos técnicos del sector energético, con énfasis en la planeación eléctrica y/o la integración territorial de variables energéticas."/>
    <s v="Enero "/>
    <s v="Enero "/>
    <s v="Enero "/>
    <n v="4"/>
    <s v="Meses"/>
    <s v="Contratación directa - Prestación de servicios profesionales "/>
    <s v="Propios - 21 - Otros recursos de tesorería"/>
    <n v="44987250"/>
    <n v="44987250"/>
    <s v="No"/>
    <s v="N/A"/>
    <s v="Oscar Zabaleta"/>
    <s v="Jefe Oficina Gestión de Proyectos de Fondos (E)"/>
    <n v="6012220607"/>
    <s v="oscar.zabaleta@upme.gov.co"/>
    <n v="0"/>
    <n v="0"/>
    <n v="44987250"/>
    <n v="0"/>
    <n v="0"/>
    <n v="0"/>
    <n v="0"/>
    <n v="0"/>
    <n v="0"/>
    <n v="0"/>
    <n v="0"/>
    <n v="0"/>
    <n v="0"/>
    <n v="0"/>
    <n v="0"/>
    <n v="0"/>
    <n v="0"/>
    <n v="8997450"/>
    <n v="0"/>
    <n v="8997450"/>
    <n v="0"/>
    <n v="8997450"/>
    <n v="0"/>
    <n v="17994900"/>
    <n v="44987250"/>
    <n v="44987250"/>
    <n v="0"/>
    <n v="0"/>
    <s v="Prestar sus servicios profesionales especializados a la Dirección General en asuntos técnicos del sector energético, con énfasis en la planeación eléctrica y/o la integración territorial de variables energéticas."/>
    <m/>
    <m/>
    <n v="44987250"/>
    <m/>
    <m/>
    <m/>
    <m/>
    <m/>
    <m/>
    <m/>
    <m/>
    <m/>
    <m/>
    <m/>
    <m/>
    <m/>
    <m/>
    <n v="8997450"/>
    <m/>
    <n v="8997450"/>
    <m/>
    <n v="8997450"/>
    <m/>
    <n v="17994900"/>
    <m/>
    <m/>
    <n v="44987250"/>
    <n v="44987250"/>
    <n v="0"/>
    <n v="0"/>
    <n v="50626"/>
    <d v="2026-01-20T00:00:00"/>
    <n v="44987250"/>
    <n v="0"/>
    <n v="51826"/>
    <d v="2026-02-09T00:00:00"/>
    <n v="44909935"/>
    <n v="77315"/>
    <n v="77315"/>
    <s v="ORJUELA LOPEZ LUIS ALBERTO"/>
    <s v="CO1.PCCNTR.9171620"/>
    <m/>
    <m/>
    <m/>
    <n v="44909935"/>
    <m/>
    <m/>
    <m/>
    <m/>
    <m/>
    <m/>
    <m/>
    <m/>
    <m/>
    <m/>
    <m/>
    <m/>
    <m/>
    <m/>
    <m/>
    <m/>
    <m/>
    <m/>
    <m/>
    <m/>
    <m/>
    <m/>
    <m/>
    <m/>
    <m/>
    <m/>
    <m/>
    <m/>
    <m/>
    <m/>
    <m/>
    <m/>
    <n v="44909935"/>
    <n v="0"/>
    <n v="0"/>
    <n v="44909935"/>
    <n v="0"/>
  </r>
  <r>
    <x v="0"/>
    <x v="2"/>
    <s v="Mejoramiento de la participación ciudadana en el modelo energético y de infraestructura energética, en el marco de la transición energética justa a nivel  nacional"/>
    <s v="Fondos"/>
    <s v="Sí"/>
    <s v="Sí"/>
    <n v="4"/>
    <s v="180-54"/>
    <s v="Mejorar la capacidad de los interesados en formular proyectos de inversión en el sector energético."/>
    <s v="Servicio de Asistencia Técnica"/>
    <s v="Capacitar organizaciones y usuarios en general en las regiones."/>
    <n v="80111620"/>
    <s v="C-2102-1900-5-53106A-2102071-02"/>
    <x v="0"/>
    <s v="180-54 Prestar servicios profesionales para llevar a cabo la evaluación técnica y financiera de proyectos del sector de energia electrica que solicitan recursos a los fondos y mecanismos de financiación evaluados por la UPME, así como liderar las mesas té"/>
    <s v="Enero "/>
    <s v="Enero "/>
    <s v="Enero "/>
    <n v="6"/>
    <s v="Meses"/>
    <s v="Contratación directa - Prestación de servicios profesionales "/>
    <s v="Propios - 21 - Otros recursos de tesorería"/>
    <n v="53984700"/>
    <n v="53984700"/>
    <s v="No"/>
    <s v="N/A"/>
    <s v="Oscar Zabaleta"/>
    <s v="Jefe Oficina Gestión de Proyectos de Fondos (E)"/>
    <n v="6012220607"/>
    <s v="oscar.zabaleta@upme.gov.co"/>
    <n v="0"/>
    <n v="0"/>
    <n v="53984700"/>
    <n v="0"/>
    <n v="0"/>
    <n v="8997450"/>
    <n v="0"/>
    <n v="8997450"/>
    <n v="0"/>
    <n v="8997450"/>
    <n v="0"/>
    <n v="8997450"/>
    <n v="0"/>
    <n v="8997450"/>
    <n v="0"/>
    <n v="8997450"/>
    <n v="0"/>
    <n v="0"/>
    <n v="0"/>
    <n v="0"/>
    <n v="0"/>
    <n v="0"/>
    <n v="0"/>
    <n v="0"/>
    <n v="53984700"/>
    <n v="53984700"/>
    <n v="0"/>
    <n v="0"/>
    <s v="Prestar servicios profesionales para llevar a cabo la evaluación técnica y financiera de proyectos del sector de energia electrica que solicitan recursos a los fondos y mecanismos de financiación evaluados por la UPME, así como liderar las mesas técnicas "/>
    <m/>
    <m/>
    <n v="53984700"/>
    <m/>
    <m/>
    <n v="8997450"/>
    <m/>
    <n v="8997450"/>
    <m/>
    <n v="8997450"/>
    <m/>
    <n v="8997450"/>
    <m/>
    <n v="8997450"/>
    <m/>
    <n v="8997450"/>
    <m/>
    <m/>
    <m/>
    <m/>
    <m/>
    <m/>
    <m/>
    <m/>
    <m/>
    <m/>
    <n v="53984700"/>
    <n v="53984700"/>
    <n v="0"/>
    <n v="0"/>
    <n v="46526"/>
    <d v="2026-01-19T00:00:00"/>
    <n v="53984700"/>
    <n v="0"/>
    <n v="44226"/>
    <d v="2026-02-05T00:00:00"/>
    <n v="53984700"/>
    <n v="0"/>
    <n v="0"/>
    <s v="PEDRAZA GARCIA ANGELA RUTH"/>
    <s v="CO1.PCCNTR.9219941"/>
    <m/>
    <m/>
    <m/>
    <n v="53984700"/>
    <m/>
    <m/>
    <m/>
    <m/>
    <m/>
    <m/>
    <m/>
    <m/>
    <m/>
    <m/>
    <m/>
    <m/>
    <m/>
    <m/>
    <m/>
    <m/>
    <m/>
    <m/>
    <m/>
    <m/>
    <m/>
    <m/>
    <m/>
    <m/>
    <m/>
    <m/>
    <m/>
    <m/>
    <m/>
    <m/>
    <m/>
    <m/>
    <n v="53984700"/>
    <n v="0"/>
    <n v="0"/>
    <n v="53984700"/>
    <n v="0"/>
  </r>
  <r>
    <x v="0"/>
    <x v="2"/>
    <s v="Mejoramiento de la participación ciudadana en el modelo energético y de infraestructura energética, en el marco de la transición energética justa a nivel  nacional"/>
    <s v="Fondos"/>
    <s v="Sí"/>
    <s v="Sí"/>
    <n v="4"/>
    <s v="180-55"/>
    <s v="Mejorar la capacidad de los interesados en formular proyectos de inversión en el sector energético."/>
    <s v="Servicio de Asistencia Técnica"/>
    <s v="Capacitar organizaciones y usuarios en general en las regiones."/>
    <n v="80111620"/>
    <s v="C-2102-1900-5-53106A-2102071-02"/>
    <x v="0"/>
    <s v="180-55 Prestar servicios profesionales para llevar a cabo la evaluación técnica y financiera de proyectos del sector de gas combustible que solicitan recursos a los fondos y mecanismos de financiación evaluados por la UPME, así como liderar las mesas técn"/>
    <s v="Enero "/>
    <s v="Enero "/>
    <s v="Enero "/>
    <n v="6"/>
    <s v="Meses"/>
    <s v="Contratación directa - Prestación de servicios profesionales "/>
    <s v="Propios - 21 - Otros recursos de tesorería"/>
    <n v="53984700"/>
    <n v="53984700"/>
    <s v="No"/>
    <s v="N/A"/>
    <s v="Oscar Zabaleta"/>
    <s v="Jefe Oficina Gestión de Proyectos de Fondos (E)"/>
    <n v="6012220607"/>
    <s v="oscar.zabaleta@upme.gov.co"/>
    <n v="0"/>
    <n v="0"/>
    <n v="53984700"/>
    <n v="0"/>
    <n v="0"/>
    <n v="8997450"/>
    <n v="0"/>
    <n v="8997450"/>
    <n v="0"/>
    <n v="8997450"/>
    <n v="0"/>
    <n v="8997450"/>
    <n v="0"/>
    <n v="8997450"/>
    <n v="0"/>
    <n v="8997450"/>
    <n v="0"/>
    <n v="0"/>
    <n v="0"/>
    <n v="0"/>
    <n v="0"/>
    <n v="0"/>
    <n v="0"/>
    <n v="0"/>
    <n v="53984700"/>
    <n v="53984700"/>
    <n v="0"/>
    <n v="0"/>
    <s v="Prestar servicios profesionales para llevar a cabo la evaluación técnica y financiera de proyectos del sector de gas combustible que solicitan recursos a los fondos y mecanismos de financiación evaluados por la UPME, así como liderar las mesas técnicas, c"/>
    <m/>
    <m/>
    <n v="53984700"/>
    <m/>
    <m/>
    <n v="8997450"/>
    <m/>
    <n v="8997450"/>
    <m/>
    <n v="8997450"/>
    <m/>
    <n v="8997450"/>
    <m/>
    <n v="8997450"/>
    <m/>
    <n v="8997450"/>
    <m/>
    <m/>
    <m/>
    <m/>
    <m/>
    <m/>
    <m/>
    <m/>
    <m/>
    <m/>
    <n v="53984700"/>
    <n v="53984700"/>
    <n v="0"/>
    <n v="0"/>
    <n v="46626"/>
    <d v="2026-01-19T00:00:00"/>
    <n v="53984700"/>
    <n v="0"/>
    <n v="39626"/>
    <d v="2026-02-03T00:00:00"/>
    <n v="53984700"/>
    <n v="0"/>
    <n v="0"/>
    <s v="ENRIQUEZ YAGUE JULIAN OSWALDO"/>
    <s v="CO1.PCCNTR.9191484"/>
    <m/>
    <m/>
    <m/>
    <n v="53984700"/>
    <m/>
    <m/>
    <m/>
    <n v="8097705"/>
    <n v="8097705"/>
    <m/>
    <n v="8997450"/>
    <n v="8997450"/>
    <m/>
    <m/>
    <m/>
    <m/>
    <m/>
    <m/>
    <m/>
    <m/>
    <m/>
    <m/>
    <m/>
    <m/>
    <m/>
    <m/>
    <m/>
    <m/>
    <m/>
    <m/>
    <m/>
    <m/>
    <m/>
    <m/>
    <m/>
    <m/>
    <n v="53984700"/>
    <n v="17095155"/>
    <n v="17095155"/>
    <n v="36889545"/>
    <n v="0"/>
  </r>
  <r>
    <x v="0"/>
    <x v="2"/>
    <s v="Mejoramiento de la participación ciudadana en el modelo energético y de infraestructura energética, en el marco de la transición energética justa a nivel  nacional"/>
    <s v="Fondos"/>
    <s v="Sí"/>
    <s v="Sí"/>
    <n v="7"/>
    <s v="180-56"/>
    <s v="Mejorar la capacidad de los interesados en formular proyectos de inversión en el sector energético."/>
    <s v="Servicio de Asistencia Técnica"/>
    <s v="Capacitar organizaciones y usuarios en general en las regiones."/>
    <n v="80111620"/>
    <s v="C-2102-1900-5-53106A-2102071-02"/>
    <x v="0"/>
    <s v="180-56 Prestar servicios profesionales para liderar, planificar, implementar, gestionar y supervisar el Sistema de Gestión de Seguridad de la Información (SGSI) de la UPME y asegurar el cumplimiento de las políticas, normativas internas y legislación vige"/>
    <s v="Enero "/>
    <s v="Enero "/>
    <s v="Enero "/>
    <n v="6"/>
    <s v="Meses"/>
    <s v="Contratación directa - Prestación de servicios profesionales "/>
    <s v="Propios - 21 - Otros recursos de tesorería"/>
    <n v="60000000"/>
    <n v="60000000"/>
    <s v="No"/>
    <s v="N/A"/>
    <s v="Oscar Zabaleta"/>
    <s v="Jefe Oficina Gestión de Proyectos de Fondos (E)"/>
    <n v="6012220607"/>
    <s v="oscar.zabaleta@upme.gov.co"/>
    <n v="0"/>
    <n v="0"/>
    <n v="0"/>
    <n v="0"/>
    <n v="0"/>
    <n v="0"/>
    <n v="0"/>
    <n v="0"/>
    <n v="0"/>
    <n v="0"/>
    <n v="0"/>
    <n v="0"/>
    <n v="60000000"/>
    <n v="0"/>
    <n v="0"/>
    <n v="10000000"/>
    <n v="0"/>
    <n v="10000000"/>
    <n v="0"/>
    <n v="10000000"/>
    <n v="0"/>
    <n v="10000000"/>
    <n v="0"/>
    <n v="20000000"/>
    <n v="60000000"/>
    <n v="60000000"/>
    <n v="0"/>
    <n v="0"/>
    <s v="Prestar servicios profesionales para liderar, planificar, implementar, gestionar y supervisar el Sistema de Gestión de Seguridad de la Información (SGSI) de la UPME y asegurar el cumplimiento de las políticas, normativas internas y legislación vigente en "/>
    <m/>
    <m/>
    <m/>
    <m/>
    <m/>
    <m/>
    <m/>
    <m/>
    <m/>
    <m/>
    <m/>
    <m/>
    <n v="60000000"/>
    <m/>
    <m/>
    <n v="10000000"/>
    <m/>
    <n v="10000000"/>
    <m/>
    <n v="10000000"/>
    <m/>
    <n v="10000000"/>
    <m/>
    <n v="20000000"/>
    <m/>
    <m/>
    <n v="60000000"/>
    <n v="60000000"/>
    <n v="0"/>
    <n v="0"/>
    <m/>
    <m/>
    <m/>
    <n v="60000000"/>
    <m/>
    <m/>
    <n v="0"/>
    <n v="60000000"/>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20"/>
    <s v="180-57"/>
    <s v="Mejorar la capacidad de los interesados en formular proyectos de inversión en el sector energético."/>
    <s v="Servicio de Asistencia Técnica"/>
    <s v="Capacitar organizaciones y usuarios en general en las regiones."/>
    <n v="80111620"/>
    <s v="C-2102-1900-5-53106A-2102071-02"/>
    <x v="0"/>
    <s v="180-57 Prestar servicios profesionales para llevar a cabo la evaluación técnica y ambiental de proyectos que solicitan recursos a los fondos y mecanismos de financiación evaluados por la UPME, así como liderar las mesas técnicas, contribuir en la definici"/>
    <s v="Enero "/>
    <s v="Enero "/>
    <s v="Enero "/>
    <n v="6"/>
    <s v="Meses"/>
    <s v="Contratación directa - Prestación de servicios profesionales "/>
    <s v="Propios - 20 - Ingresos corrientes"/>
    <n v="0"/>
    <n v="0"/>
    <s v="No"/>
    <s v="N/A"/>
    <s v="Oscar Zabaleta"/>
    <s v="Jefe Oficina Gestión de Proyectos de Fondos (E)"/>
    <n v="6012220607"/>
    <s v="oscar.zabaleta@upme.gov.co"/>
    <n v="0"/>
    <n v="0"/>
    <n v="0"/>
    <n v="0"/>
    <n v="0"/>
    <n v="0"/>
    <n v="0"/>
    <n v="0"/>
    <n v="0"/>
    <n v="0"/>
    <n v="0"/>
    <n v="0"/>
    <n v="34479900"/>
    <n v="0"/>
    <n v="0"/>
    <n v="5746650"/>
    <n v="0"/>
    <n v="5746650"/>
    <n v="0"/>
    <n v="5746650"/>
    <n v="0"/>
    <n v="5746650"/>
    <n v="0"/>
    <n v="11493300"/>
    <n v="34479900"/>
    <n v="34479900"/>
    <n v="-34479900"/>
    <n v="-34479900"/>
    <s v="Prestar servicios profesionales para llevar a cabo la evaluación técnica y ambiental de proyectos que solicitan recursos a los fondos y mecanismos de financiación evaluados por la UPME, así como liderar las mesas técnicas, contribuir en la definición de c"/>
    <m/>
    <m/>
    <m/>
    <m/>
    <m/>
    <m/>
    <m/>
    <m/>
    <m/>
    <m/>
    <m/>
    <m/>
    <m/>
    <m/>
    <m/>
    <m/>
    <m/>
    <m/>
    <m/>
    <m/>
    <m/>
    <m/>
    <m/>
    <m/>
    <m/>
    <m/>
    <n v="0"/>
    <n v="0"/>
    <n v="0"/>
    <n v="0"/>
    <n v="64726"/>
    <d v="2026-01-24T00:00:00"/>
    <n v="0"/>
    <n v="0"/>
    <m/>
    <m/>
    <n v="0"/>
    <n v="0"/>
    <n v="0"/>
    <m/>
    <m/>
    <m/>
    <m/>
    <m/>
    <m/>
    <m/>
    <m/>
    <m/>
    <m/>
    <m/>
    <m/>
    <m/>
    <m/>
    <m/>
    <m/>
    <m/>
    <m/>
    <m/>
    <m/>
    <m/>
    <m/>
    <m/>
    <m/>
    <m/>
    <m/>
    <m/>
    <m/>
    <m/>
    <m/>
    <m/>
    <m/>
    <m/>
    <m/>
    <m/>
    <m/>
    <m/>
    <m/>
    <n v="0"/>
    <n v="0"/>
    <n v="0"/>
    <n v="0"/>
    <n v="0"/>
  </r>
  <r>
    <x v="0"/>
    <x v="2"/>
    <s v="Mejoramiento de la participación ciudadana en el modelo energético y de infraestructura energética, en el marco de la transición energética justa a nivel  nacional"/>
    <s v="Fondos"/>
    <s v="Sí"/>
    <s v="Sí"/>
    <n v="20"/>
    <s v="180-58"/>
    <s v="Mejorar la capacidad de los interesados en formular proyectos de inversión en el sector energético."/>
    <s v="Servicio de Asistencia Técnica"/>
    <s v="Capacitar organizaciones y usuarios en general en las regiones."/>
    <n v="80111620"/>
    <s v="C-2102-1900-5-53106A-2102071-02"/>
    <x v="0"/>
    <s v="180-58 Prestar los servicios profesionales en la definición de variable sociales en apoyo al area de enfoque territorial de la direccion general de la unidad. "/>
    <s v="Enero "/>
    <s v="Enero "/>
    <s v="Enero "/>
    <n v="6"/>
    <s v="Meses"/>
    <s v="Contratación directa - Prestación de servicios profesionales "/>
    <s v="Propios - 20 - Ingresos corrientes"/>
    <n v="0"/>
    <n v="0"/>
    <s v="No"/>
    <s v="N/A"/>
    <s v="Oscar Zabaleta"/>
    <s v="Jefe Oficina Gestión de Proyectos de Fondos (E)"/>
    <n v="6012220607"/>
    <s v="oscar.zabaleta@upme.gov.co"/>
    <n v="0"/>
    <n v="0"/>
    <n v="0"/>
    <n v="0"/>
    <n v="0"/>
    <n v="0"/>
    <n v="0"/>
    <n v="0"/>
    <n v="0"/>
    <n v="0"/>
    <n v="0"/>
    <n v="0"/>
    <n v="19712700"/>
    <n v="0"/>
    <n v="0"/>
    <n v="3285450"/>
    <n v="0"/>
    <n v="3285450"/>
    <n v="0"/>
    <n v="3285450"/>
    <n v="0"/>
    <n v="3285450"/>
    <n v="0"/>
    <n v="6570900"/>
    <n v="19712700"/>
    <n v="19712700"/>
    <n v="-19712700"/>
    <n v="-19712700"/>
    <s v="Prestar los servicios profesionales en la definición de variable sociales en apoyo al area de enfoque territorial de la direccion general de la unidad. "/>
    <m/>
    <m/>
    <m/>
    <m/>
    <m/>
    <m/>
    <m/>
    <m/>
    <m/>
    <m/>
    <m/>
    <m/>
    <m/>
    <m/>
    <m/>
    <m/>
    <m/>
    <m/>
    <m/>
    <m/>
    <m/>
    <m/>
    <m/>
    <m/>
    <m/>
    <m/>
    <n v="0"/>
    <n v="0"/>
    <n v="0"/>
    <n v="0"/>
    <m/>
    <m/>
    <m/>
    <n v="0"/>
    <m/>
    <m/>
    <n v="0"/>
    <n v="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1"/>
    <s v="Mejorar la implementación del modelo de Gestión de Información Institucional."/>
    <s v="Servicios de Información Implementados"/>
    <s v="Identificar y apropiar soluciones de TI."/>
    <n v="80111620"/>
    <s v="C-2199-1900-5-53105B-2199065-02"/>
    <x v="0"/>
    <s v="130-1 Prestar servicios profesionales de gestión y soporte especializado para el mantenimiento de los procesos automatizados en la plataforma de gestión de procesos de negocio (BPMS) de la UPME, asegurando la continuidad operativa y la correcta prestación"/>
    <s v="Enero "/>
    <s v="Enero "/>
    <s v="Enero "/>
    <n v="11"/>
    <s v="Meses"/>
    <s v="Contratación directa - Prestación de servicios profesionales "/>
    <s v="Propios - 20 - Ingresos corrientes"/>
    <n v="77000000"/>
    <n v="77000000"/>
    <s v="No"/>
    <s v="N/A"/>
    <s v="Paola del Pilar Puerta Peña"/>
    <s v="Jefe Oficina de Tecnologías de la Información"/>
    <n v="6012220601"/>
    <s v="pilar.puerta@upme.gov.co"/>
    <n v="77000000"/>
    <n v="0"/>
    <n v="0"/>
    <n v="0"/>
    <n v="0"/>
    <n v="7000000"/>
    <n v="0"/>
    <n v="7000000"/>
    <n v="0"/>
    <n v="7000000"/>
    <n v="0"/>
    <n v="7000000"/>
    <n v="0"/>
    <n v="7000000"/>
    <n v="0"/>
    <n v="7000000"/>
    <n v="0"/>
    <n v="7000000"/>
    <n v="0"/>
    <n v="7000000"/>
    <n v="0"/>
    <n v="7000000"/>
    <n v="0"/>
    <n v="14000000"/>
    <n v="77000000"/>
    <n v="77000000"/>
    <n v="0"/>
    <n v="0"/>
    <s v="Prestar servicios profesionales de gestión y soporte especializado para el mantenimiento de los procesos automatizados en la plataforma de gestión de procesos de negocio (BPMS) de la UPME, asegurando la continuidad operativa y la correcta prestación de lo"/>
    <n v="77000000"/>
    <m/>
    <m/>
    <m/>
    <m/>
    <n v="7000000"/>
    <m/>
    <n v="7000000"/>
    <m/>
    <n v="7000000"/>
    <m/>
    <n v="7000000"/>
    <m/>
    <n v="7000000"/>
    <m/>
    <n v="7000000"/>
    <m/>
    <n v="7000000"/>
    <m/>
    <n v="7000000"/>
    <m/>
    <n v="7000000"/>
    <m/>
    <n v="14000000"/>
    <m/>
    <m/>
    <n v="77000000"/>
    <n v="77000000"/>
    <n v="0"/>
    <n v="0"/>
    <n v="28626"/>
    <d v="2026-01-14T00:00:00"/>
    <n v="77000000"/>
    <n v="0"/>
    <n v="21826"/>
    <d v="2026-01-26T00:00:00"/>
    <n v="77000000"/>
    <n v="0"/>
    <n v="0"/>
    <s v="CIFUENTES CORTES JEHISON DAVID"/>
    <s v="CO1.PCCNTR. 9065563"/>
    <n v="77000000"/>
    <m/>
    <m/>
    <m/>
    <n v="933333.33"/>
    <n v="933333.33"/>
    <m/>
    <n v="7000000"/>
    <n v="7000000"/>
    <m/>
    <n v="7000000"/>
    <n v="7000000"/>
    <m/>
    <m/>
    <m/>
    <m/>
    <m/>
    <m/>
    <m/>
    <m/>
    <m/>
    <m/>
    <m/>
    <m/>
    <m/>
    <m/>
    <m/>
    <m/>
    <m/>
    <m/>
    <m/>
    <m/>
    <m/>
    <m/>
    <m/>
    <m/>
    <n v="77000000"/>
    <n v="14933333.33"/>
    <n v="14933333.33"/>
    <n v="62066666.670000002"/>
    <n v="0"/>
  </r>
  <r>
    <x v="0"/>
    <x v="3"/>
    <s v="Fortalecimiento de los servicios digitales aumentando la capacidad para la transformación digital e interacción con el ciudadano"/>
    <s v="TIC"/>
    <s v="Sí"/>
    <s v="Sí"/>
    <n v="20"/>
    <s v="130-2"/>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 Prestar servicios profesionales como analista y documentador para proyectos de sistemas de información en la Unidad de Planeación Minero Energética (UPME), documentando los requisitos funcionales y técnicos de las iniciativas de desarrollo de softwa"/>
    <s v="Enero "/>
    <s v="Enero "/>
    <s v="Enero "/>
    <n v="11"/>
    <s v="Meses"/>
    <s v="Contratación directa - Prestación de servicios profesionales "/>
    <s v="Propios - 20 - Ingresos corrientes"/>
    <n v="58680000"/>
    <n v="58680000"/>
    <s v="No"/>
    <s v="N/A"/>
    <s v="Paola del Pilar Puerta Peña"/>
    <s v="Jefe Oficina de Tecnologías de la Información"/>
    <n v="6012220601"/>
    <s v="pilar.puerta@upme.gov.co"/>
    <n v="0"/>
    <n v="0"/>
    <n v="59400000"/>
    <n v="0"/>
    <n v="0"/>
    <n v="5400000"/>
    <n v="0"/>
    <n v="5400000"/>
    <n v="0"/>
    <n v="5400000"/>
    <n v="0"/>
    <n v="5400000"/>
    <n v="0"/>
    <n v="5400000"/>
    <n v="0"/>
    <n v="5400000"/>
    <n v="0"/>
    <n v="5400000"/>
    <n v="0"/>
    <n v="5400000"/>
    <n v="0"/>
    <n v="5400000"/>
    <n v="0"/>
    <n v="10800000"/>
    <n v="59400000"/>
    <n v="59400000"/>
    <n v="-720000"/>
    <n v="-720000"/>
    <s v="Prestar servicios profesionales como analista y documentador para proyectos de sistemas de información en la Unidad de Planeación Minero Energética (UPME), documentando los requisitos funcionales y técnicos de las iniciativas de desarrollo de software, as"/>
    <n v="0"/>
    <n v="0"/>
    <n v="59400000"/>
    <n v="0"/>
    <n v="0"/>
    <n v="4680000"/>
    <n v="-720000"/>
    <n v="5400000"/>
    <n v="0"/>
    <n v="5400000"/>
    <n v="0"/>
    <n v="5400000"/>
    <n v="0"/>
    <n v="5400000"/>
    <n v="0"/>
    <n v="5400000"/>
    <n v="0"/>
    <n v="5400000"/>
    <n v="0"/>
    <n v="5400000"/>
    <n v="0"/>
    <n v="5400000"/>
    <n v="0"/>
    <n v="10800000"/>
    <m/>
    <m/>
    <n v="58680000"/>
    <n v="58680000"/>
    <n v="0"/>
    <n v="0"/>
    <n v="26626"/>
    <d v="2026-01-14T00:00:00"/>
    <n v="58680000"/>
    <n v="0"/>
    <n v="38426"/>
    <d v="2026-02-03T00:00:00"/>
    <n v="58680000"/>
    <n v="0"/>
    <n v="0"/>
    <s v="ARRIETA DIAZ ALVARO JAVIER"/>
    <s v="CO1.PCCNTR.9181880"/>
    <m/>
    <m/>
    <m/>
    <n v="59400000"/>
    <m/>
    <m/>
    <m/>
    <n v="4680000"/>
    <n v="4680000"/>
    <n v="-720000"/>
    <n v="5400000"/>
    <n v="5400000"/>
    <m/>
    <m/>
    <m/>
    <m/>
    <m/>
    <m/>
    <m/>
    <m/>
    <m/>
    <m/>
    <m/>
    <m/>
    <m/>
    <m/>
    <m/>
    <m/>
    <m/>
    <m/>
    <m/>
    <m/>
    <m/>
    <m/>
    <m/>
    <m/>
    <n v="58680000"/>
    <n v="10080000"/>
    <n v="10080000"/>
    <n v="48600000"/>
    <n v="0"/>
  </r>
  <r>
    <x v="0"/>
    <x v="3"/>
    <s v="Fortalecimiento de los servicios digitales aumentando la capacidad para la transformación digital e interacción con el ciudadano"/>
    <s v="TIC"/>
    <s v="Sí"/>
    <s v="Sí"/>
    <n v="20"/>
    <s v="130-3"/>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 Prestar servicios profesionales de diseño y diagramación de planes, productos, piezas de diseño y diversos formatos para su publicación los distintos canales de la UPME y necesidades del plan de comunicaciones."/>
    <s v="Enero "/>
    <s v="Enero "/>
    <s v="Enero "/>
    <n v="11"/>
    <s v="Meses"/>
    <s v="Contratación directa - Prestación de servicios profesionales "/>
    <s v="Propios - 20 - Ingresos corrientes"/>
    <n v="54570000"/>
    <n v="54570000"/>
    <s v="No"/>
    <s v="N/A"/>
    <s v="Paola del Pilar Puerta Peña"/>
    <s v="Jefe Oficina de Tecnologías de la Información"/>
    <n v="6012220601"/>
    <s v="pilar.puerta@upme.gov.co"/>
    <n v="0"/>
    <n v="0"/>
    <n v="56100000"/>
    <n v="0"/>
    <n v="0"/>
    <n v="5100000"/>
    <n v="0"/>
    <n v="5100000"/>
    <n v="0"/>
    <n v="5100000"/>
    <n v="0"/>
    <n v="5100000"/>
    <n v="0"/>
    <n v="5100000"/>
    <n v="0"/>
    <n v="5100000"/>
    <n v="0"/>
    <n v="5100000"/>
    <n v="0"/>
    <n v="5100000"/>
    <n v="0"/>
    <n v="5100000"/>
    <n v="0"/>
    <n v="10200000"/>
    <n v="56100000"/>
    <n v="56100000"/>
    <n v="-1530000"/>
    <n v="-1530000"/>
    <s v="Prestar servicios profesionales de diseño y diagramación de planes, productos, piezas de diseño y diversos formatos para su publicación los distintos canales de la UPME y necesidades del plan de comunicaciones."/>
    <n v="0"/>
    <n v="0"/>
    <n v="56100000"/>
    <n v="0"/>
    <n v="0"/>
    <n v="3570000"/>
    <n v="-1530000"/>
    <n v="5100000"/>
    <n v="0"/>
    <n v="5100000"/>
    <n v="0"/>
    <n v="5100000"/>
    <n v="0"/>
    <n v="5100000"/>
    <n v="0"/>
    <n v="5100000"/>
    <n v="0"/>
    <n v="5100000"/>
    <n v="0"/>
    <n v="5100000"/>
    <n v="0"/>
    <n v="5100000"/>
    <n v="0"/>
    <n v="10200000"/>
    <m/>
    <m/>
    <n v="54570000"/>
    <n v="54570000"/>
    <n v="0"/>
    <n v="0"/>
    <n v="48126"/>
    <d v="2026-01-19T00:00:00"/>
    <n v="56100000"/>
    <n v="-1530000"/>
    <n v="49626"/>
    <d v="2026-02-09T00:00:00"/>
    <n v="56100000"/>
    <n v="-1530000"/>
    <n v="0"/>
    <s v="CASTRO LUENGAS LUISA FERNANDA"/>
    <s v="CO1.PCCNTR.9286515"/>
    <m/>
    <m/>
    <m/>
    <n v="56100000"/>
    <m/>
    <m/>
    <m/>
    <n v="3570000"/>
    <n v="3570000"/>
    <m/>
    <n v="5100000"/>
    <n v="5100000"/>
    <m/>
    <m/>
    <m/>
    <m/>
    <m/>
    <m/>
    <m/>
    <m/>
    <m/>
    <m/>
    <m/>
    <m/>
    <m/>
    <m/>
    <m/>
    <m/>
    <m/>
    <m/>
    <m/>
    <m/>
    <m/>
    <m/>
    <m/>
    <m/>
    <n v="56100000"/>
    <n v="8670000"/>
    <n v="8670000"/>
    <n v="47430000"/>
    <n v="0"/>
  </r>
  <r>
    <x v="0"/>
    <x v="3"/>
    <s v="Fortalecimiento de los servicios digitales aumentando la capacidad para la transformación digital e interacción con el ciudadano"/>
    <s v="TIC"/>
    <s v="Sí"/>
    <s v="Sí"/>
    <n v="20"/>
    <s v="130-4"/>
    <s v="Incrementar el desarrollo de los habilitadores transversales de la política de gobierno digital."/>
    <s v="Documento para la Planeación Estratégica en TI"/>
    <s v="Mantener y fortalecer el modelo Operativo de TI."/>
    <n v="80111620"/>
    <s v="C-2199-1900-5-53105B-2199066-02"/>
    <x v="0"/>
    <s v="130-4 Prestar servicios profesionales especializados para el fortalecimiento de la gestión de la seguridad perimetral de la Unidad de Planeación Minero Energética (UPME), blindando la infraestructura tecnológica a través de procesos óptimos sobre las herr"/>
    <s v="Enero "/>
    <s v="Enero "/>
    <s v="Enero "/>
    <n v="11"/>
    <s v="Meses"/>
    <s v="Contratación directa - Prestación de servicios profesionales "/>
    <s v="Propios - 20 - Ingresos corrientes"/>
    <n v="99542000"/>
    <n v="99542000"/>
    <s v="No"/>
    <s v="N/A"/>
    <s v="Paola del Pilar Puerta Peña"/>
    <s v="Jefe Oficina de Tecnologías de la Información"/>
    <n v="6012220601"/>
    <s v="pilar.puerta@upme.gov.co"/>
    <n v="99000000"/>
    <n v="0"/>
    <n v="0"/>
    <n v="3000000"/>
    <n v="0"/>
    <n v="9000000"/>
    <n v="0"/>
    <n v="9000000"/>
    <n v="0"/>
    <n v="9000000"/>
    <n v="0"/>
    <n v="9000000"/>
    <n v="0"/>
    <n v="9000000"/>
    <n v="0"/>
    <n v="9000000"/>
    <n v="0"/>
    <n v="9000000"/>
    <n v="0"/>
    <n v="9000000"/>
    <n v="0"/>
    <n v="9000000"/>
    <n v="0"/>
    <n v="15000000"/>
    <n v="99000000"/>
    <n v="99000000"/>
    <n v="542000"/>
    <n v="542000"/>
    <s v="Prestar servicios profesionales especializados para el fortalecimiento de la gestión de la seguridad perimetral de la Unidad de Planeación Minero Energética (UPME), blindando la infraestructura tecnológica a través de procesos óptimos sobre las herramient"/>
    <n v="99000000"/>
    <n v="0"/>
    <n v="0"/>
    <n v="3000000"/>
    <n v="0"/>
    <n v="9000000"/>
    <n v="0"/>
    <n v="9000000"/>
    <n v="542000"/>
    <n v="9000000"/>
    <n v="0"/>
    <n v="9000000"/>
    <n v="0"/>
    <n v="9000000"/>
    <n v="0"/>
    <n v="9000000"/>
    <n v="0"/>
    <n v="9000000"/>
    <n v="0"/>
    <n v="9000000"/>
    <n v="0"/>
    <n v="9000000"/>
    <n v="0"/>
    <n v="15542000"/>
    <m/>
    <m/>
    <n v="99542000"/>
    <n v="99542000"/>
    <n v="0"/>
    <n v="0"/>
    <n v="25826"/>
    <d v="2026-01-13T00:00:00"/>
    <n v="99000000"/>
    <n v="542000"/>
    <n v="13826"/>
    <d v="2026-01-20T00:00:00"/>
    <n v="99000000"/>
    <n v="542000"/>
    <n v="0"/>
    <s v="SUAREZ CARDENAS HENDRIX"/>
    <s v="CO1.PCCNTR.8920313"/>
    <n v="99000000"/>
    <m/>
    <m/>
    <m/>
    <n v="3000000"/>
    <n v="3000000"/>
    <m/>
    <n v="9000000"/>
    <n v="9000000"/>
    <m/>
    <n v="9000000"/>
    <n v="9000000"/>
    <m/>
    <m/>
    <m/>
    <m/>
    <m/>
    <m/>
    <m/>
    <m/>
    <m/>
    <m/>
    <m/>
    <m/>
    <m/>
    <m/>
    <m/>
    <m/>
    <m/>
    <m/>
    <m/>
    <m/>
    <m/>
    <m/>
    <m/>
    <m/>
    <n v="99000000"/>
    <n v="21000000"/>
    <n v="21000000"/>
    <n v="78000000"/>
    <n v="0"/>
  </r>
  <r>
    <x v="0"/>
    <x v="3"/>
    <s v="Fortalecimiento de los servicios digitales aumentando la capacidad para la transformación digital e interacción con el ciudadano"/>
    <s v="TIC"/>
    <s v="Sí"/>
    <s v="Sí"/>
    <n v="20"/>
    <s v="130-5"/>
    <s v="Incrementar el desarrollo de los habilitadores transversales de la política de gobierno digital."/>
    <s v="Documento para la Planeación Estratégica en TI"/>
    <s v="Mantener y fortalecer el modelo Operativo de TI."/>
    <n v="80111620"/>
    <s v="C-2199-1900-5-53105B-2199066-02"/>
    <x v="0"/>
    <s v="130-5 Prestar servicios profesionales para apoyar las diferentes labores que se desprendan de la administración de las herramientas de seguridad perimetral de la UPME y en la elaboración de documentación, relacionada con el Dominio de Seguridad Digital pa"/>
    <s v="Enero "/>
    <s v="Enero "/>
    <s v="Enero "/>
    <n v="11"/>
    <s v="Meses"/>
    <s v="Contratación directa - Prestación de servicios profesionales "/>
    <s v="Propios - 20 - Ingresos corrientes"/>
    <n v="35811405"/>
    <n v="35811405"/>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328545"/>
    <n v="-328545"/>
    <s v="Prestar servicios profesionales para apoyar las diferentes labores que se desprendan de la administración de las herramientas de seguridad perimetral de la UPME y en la elaboración de documentación, relacionada con el Dominio de Seguridad Digital para la "/>
    <n v="0"/>
    <n v="0"/>
    <n v="36139950"/>
    <n v="0"/>
    <n v="0"/>
    <n v="2956905"/>
    <n v="-328545"/>
    <n v="3285450"/>
    <n v="0"/>
    <n v="3285450"/>
    <n v="0"/>
    <n v="3285450"/>
    <n v="0"/>
    <n v="3285450"/>
    <n v="0"/>
    <n v="3285450"/>
    <n v="0"/>
    <n v="3285450"/>
    <n v="0"/>
    <n v="3285450"/>
    <n v="0"/>
    <n v="3285450"/>
    <n v="0"/>
    <n v="6570900"/>
    <m/>
    <m/>
    <n v="35811405"/>
    <n v="35811405"/>
    <n v="0"/>
    <n v="0"/>
    <n v="39826"/>
    <d v="2026-01-15T00:00:00"/>
    <n v="36139950"/>
    <n v="-328545"/>
    <n v="39326"/>
    <d v="2026-02-03T00:00:00"/>
    <n v="36139950"/>
    <n v="-328545"/>
    <n v="0"/>
    <s v="GARZON POLOCHE JUAN CARLOS"/>
    <s v="CO1.PCCNTR.9196560"/>
    <m/>
    <m/>
    <m/>
    <n v="36139950"/>
    <m/>
    <m/>
    <m/>
    <n v="2956905"/>
    <n v="2956905"/>
    <m/>
    <n v="3285450"/>
    <n v="3285450"/>
    <m/>
    <m/>
    <m/>
    <m/>
    <m/>
    <m/>
    <m/>
    <m/>
    <m/>
    <m/>
    <m/>
    <m/>
    <m/>
    <m/>
    <m/>
    <m/>
    <m/>
    <m/>
    <m/>
    <m/>
    <m/>
    <m/>
    <m/>
    <m/>
    <n v="36139950"/>
    <n v="6242355"/>
    <n v="6242355"/>
    <n v="29897595"/>
    <n v="0"/>
  </r>
  <r>
    <x v="0"/>
    <x v="3"/>
    <s v="Fortalecimiento de los servicios digitales aumentando la capacidad para la transformación digital e interacción con el ciudadano"/>
    <s v="TIC"/>
    <s v="Sí"/>
    <s v="Sí"/>
    <n v="68"/>
    <s v="130-6"/>
    <s v="Mejorar la implementación del modelo de Gestión de Información Institucional."/>
    <s v="Servicios de Información Implementados"/>
    <s v="Identificar y apropiar soluciones de TI."/>
    <n v="80111620"/>
    <s v="C-2199-1900-5-53105B-2199065-02"/>
    <x v="0"/>
    <s v="130-6 Prestar servicios profesionales de desarrollo y ajuste de software para fortalecer la interoperabilidad y sincronización de los sistemas de información de la entidad incluyendo la creación y modificación de aplicaciones web, servicios web y/o Apis m"/>
    <s v="Enero "/>
    <s v="Enero "/>
    <s v="Enero "/>
    <n v="11"/>
    <s v="Meses"/>
    <s v="Contratación directa - Prestación de servicios profesionales "/>
    <s v="Propios - 20 - Ingresos corrientes"/>
    <n v="66000000"/>
    <n v="66000000"/>
    <s v="No"/>
    <s v="N/A"/>
    <s v="Paola del Pilar Puerta Peña"/>
    <s v="Jefe Oficina de Tecnologías de la Información"/>
    <n v="6012220601"/>
    <s v="pilar.puerta@upme.gov.co"/>
    <n v="66000000"/>
    <n v="0"/>
    <n v="0"/>
    <n v="0"/>
    <n v="0"/>
    <n v="6000000"/>
    <n v="0"/>
    <n v="6000000"/>
    <n v="0"/>
    <n v="6000000"/>
    <n v="0"/>
    <n v="6000000"/>
    <n v="0"/>
    <n v="6000000"/>
    <n v="0"/>
    <n v="6000000"/>
    <n v="0"/>
    <n v="6000000"/>
    <n v="0"/>
    <n v="6000000"/>
    <n v="0"/>
    <n v="6000000"/>
    <n v="0"/>
    <n v="12000000"/>
    <n v="66000000"/>
    <n v="66000000"/>
    <n v="0"/>
    <n v="0"/>
    <s v="Prestar servicios profesionales de desarrollo y ajuste de software para fortalecer la interoperabilidad y sincronización de los sistemas de información de la entidad incluyendo la creación y modificación de aplicaciones web, servicios web y/o Apis mejoran"/>
    <n v="66000000"/>
    <m/>
    <m/>
    <m/>
    <m/>
    <n v="6000000"/>
    <m/>
    <n v="6000000"/>
    <m/>
    <n v="6000000"/>
    <m/>
    <n v="6000000"/>
    <m/>
    <n v="6000000"/>
    <m/>
    <n v="6000000"/>
    <m/>
    <n v="6000000"/>
    <m/>
    <n v="6000000"/>
    <m/>
    <n v="6000000"/>
    <m/>
    <n v="12000000"/>
    <m/>
    <m/>
    <n v="66000000"/>
    <n v="66000000"/>
    <n v="0"/>
    <n v="0"/>
    <n v="39426"/>
    <d v="2026-01-15T00:00:00"/>
    <n v="66000000"/>
    <n v="0"/>
    <n v="30326"/>
    <d v="2026-01-28T00:00:00"/>
    <n v="66000000"/>
    <n v="0"/>
    <n v="0"/>
    <s v="BAUTISTA HERNANDEZ EDWIN ALEXANDER"/>
    <s v="CO1.PCCNTR.9133615"/>
    <n v="66000000"/>
    <m/>
    <m/>
    <m/>
    <m/>
    <m/>
    <m/>
    <n v="6200000"/>
    <n v="6200000"/>
    <m/>
    <n v="6000000"/>
    <n v="6000000"/>
    <m/>
    <m/>
    <m/>
    <m/>
    <m/>
    <m/>
    <m/>
    <m/>
    <m/>
    <m/>
    <m/>
    <m/>
    <m/>
    <m/>
    <m/>
    <m/>
    <m/>
    <m/>
    <m/>
    <m/>
    <m/>
    <m/>
    <m/>
    <m/>
    <n v="66000000"/>
    <n v="12200000"/>
    <n v="12200000"/>
    <n v="53800000"/>
    <n v="0"/>
  </r>
  <r>
    <x v="0"/>
    <x v="3"/>
    <s v="Fortalecimiento de los servicios digitales aumentando la capacidad para la transformación digital e interacción con el ciudadano"/>
    <s v="TIC"/>
    <s v="Sí"/>
    <s v="Sí"/>
    <n v="68"/>
    <s v="130-7"/>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7 Prestación de servicios profesionales en la Oficina de Tecnologías de la Información para la aplicación de gestión de proyectos de TI, que contribuyan a la implementación de la política de gobierno digital en la Entidad, de conformidad con la Metodo"/>
    <s v="Enero "/>
    <s v="Enero "/>
    <s v="Enero "/>
    <n v="11"/>
    <s v="Meses"/>
    <s v="Contratación directa - Prestación de servicios profesionales "/>
    <s v="Propios - 20 - Ingresos corrientes"/>
    <n v="99000000"/>
    <n v="99000000"/>
    <s v="No"/>
    <s v="N/A"/>
    <s v="Paola del Pilar Puerta Peña"/>
    <s v="Jefe Oficina de Tecnologías de la Información"/>
    <n v="6012220601"/>
    <s v="pilar.puerta@upme.gov.co"/>
    <n v="99000000"/>
    <n v="0"/>
    <n v="0"/>
    <n v="0"/>
    <n v="0"/>
    <n v="9000000"/>
    <n v="0"/>
    <n v="9000000"/>
    <n v="0"/>
    <n v="9000000"/>
    <n v="0"/>
    <n v="9000000"/>
    <n v="0"/>
    <n v="9000000"/>
    <n v="0"/>
    <n v="9000000"/>
    <n v="0"/>
    <n v="9000000"/>
    <n v="0"/>
    <n v="9000000"/>
    <n v="0"/>
    <n v="9000000"/>
    <n v="0"/>
    <n v="18000000"/>
    <n v="99000000"/>
    <n v="99000000"/>
    <n v="0"/>
    <n v="0"/>
    <s v="Prestación de servicios profesionales en la Oficina de Tecnologías de la Información para la aplicación de gestión de proyectos de TI, que contribuyan a la implementación de la política de gobierno digital en la Entidad, de conformidad con la Metodología "/>
    <n v="99000000"/>
    <m/>
    <m/>
    <m/>
    <m/>
    <n v="9000000"/>
    <m/>
    <n v="9000000"/>
    <m/>
    <n v="9000000"/>
    <m/>
    <n v="9000000"/>
    <m/>
    <n v="9000000"/>
    <m/>
    <n v="9000000"/>
    <m/>
    <n v="9000000"/>
    <m/>
    <n v="9000000"/>
    <m/>
    <n v="9000000"/>
    <m/>
    <n v="18000000"/>
    <m/>
    <m/>
    <n v="99000000"/>
    <n v="99000000"/>
    <n v="0"/>
    <n v="0"/>
    <n v="25126"/>
    <d v="2026-01-13T00:00:00"/>
    <n v="99000000"/>
    <n v="0"/>
    <n v="29626.669259999999"/>
    <d v="2026-01-28T00:00:00"/>
    <n v="99000000"/>
    <n v="0"/>
    <n v="0"/>
    <s v="ROJAS ORTIZ ADRIANA YASMILI,RAMIREZ ESPITIA JONNATHAN RICARDO_x000a_"/>
    <s v="CO1.PCCNTR.9132421"/>
    <n v="99000000"/>
    <m/>
    <m/>
    <m/>
    <n v="600000"/>
    <n v="600000"/>
    <m/>
    <n v="9000000"/>
    <n v="9000000"/>
    <m/>
    <m/>
    <m/>
    <m/>
    <m/>
    <m/>
    <m/>
    <m/>
    <m/>
    <m/>
    <m/>
    <m/>
    <m/>
    <m/>
    <m/>
    <m/>
    <m/>
    <m/>
    <m/>
    <m/>
    <m/>
    <m/>
    <m/>
    <m/>
    <m/>
    <m/>
    <m/>
    <n v="99000000"/>
    <n v="9600000"/>
    <n v="9600000"/>
    <n v="89400000"/>
    <n v="0"/>
  </r>
  <r>
    <x v="0"/>
    <x v="3"/>
    <s v="Fortalecimiento de los servicios digitales aumentando la capacidad para la transformación digital e interacción con el ciudadano"/>
    <s v="TIC"/>
    <s v="Sí"/>
    <s v="Sí"/>
    <n v="16"/>
    <s v="130-8"/>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8 Prestar servicios profesionales para la proyección de documentos de contenido legal y apoyo de los asuntos de tipo jurídico que resulten de las actuaciones administrativas de competencia de la UPME, en el marco de la gestión institucional de la Enti"/>
    <s v="Enero "/>
    <s v="Enero "/>
    <s v="Enero "/>
    <n v="11.5"/>
    <s v="Meses"/>
    <s v="Contratación directa - Prestación de servicios profesionales "/>
    <s v="Propios - 20 - Ingresos corrientes"/>
    <n v="79200000"/>
    <n v="79200000"/>
    <s v="No"/>
    <s v="N/A"/>
    <s v="Paola del Pilar Puerta Peña"/>
    <s v="Jefe Oficina de Tecnologías de la Información"/>
    <n v="6012220601"/>
    <s v="pilar.puerta@upme.gov.co"/>
    <n v="79200000"/>
    <n v="0"/>
    <n v="0"/>
    <n v="1200000"/>
    <n v="0"/>
    <n v="7200000"/>
    <n v="0"/>
    <n v="7200000"/>
    <n v="0"/>
    <n v="7200000"/>
    <n v="0"/>
    <n v="7200000"/>
    <n v="0"/>
    <n v="7200000"/>
    <n v="0"/>
    <n v="7200000"/>
    <n v="0"/>
    <n v="7200000"/>
    <n v="0"/>
    <n v="7200000"/>
    <n v="0"/>
    <n v="7200000"/>
    <n v="3600000"/>
    <n v="16800000"/>
    <n v="82800000"/>
    <n v="82800000"/>
    <n v="-3600000"/>
    <n v="-3600000"/>
    <s v="Prestar servicios profesionales para la proyección de documentos de contenido legal y apoyo de los asuntos de tipo jurídico que resulten de las actuaciones administrativas de competencia de la UPME, en el marco de la gestión institucional de la Entidad."/>
    <n v="79200000"/>
    <n v="0"/>
    <n v="0"/>
    <n v="1200000"/>
    <n v="0"/>
    <n v="7200000"/>
    <n v="0"/>
    <n v="7200000"/>
    <n v="0"/>
    <n v="7200000"/>
    <n v="0"/>
    <n v="7200000"/>
    <n v="0"/>
    <n v="7200000"/>
    <n v="0"/>
    <n v="7200000"/>
    <n v="0"/>
    <n v="7200000"/>
    <n v="0"/>
    <n v="7200000"/>
    <n v="0"/>
    <n v="7200000"/>
    <n v="0"/>
    <n v="13200000"/>
    <m/>
    <m/>
    <n v="79200000"/>
    <n v="79200000"/>
    <n v="0"/>
    <n v="0"/>
    <n v="44326"/>
    <d v="2026-01-17T00:00:00"/>
    <n v="79200000"/>
    <n v="0"/>
    <n v="19426"/>
    <d v="2026-01-24T00:00:00"/>
    <n v="79200000"/>
    <n v="0"/>
    <n v="0"/>
    <s v="GOMEZ RAMIREZ LUISA MARIA"/>
    <s v="CO1.PCCNTR.9066372"/>
    <n v="79200000"/>
    <m/>
    <m/>
    <m/>
    <n v="1200000"/>
    <n v="1200000"/>
    <m/>
    <n v="7200000"/>
    <n v="7200000"/>
    <m/>
    <n v="7200000"/>
    <n v="7200000"/>
    <m/>
    <m/>
    <m/>
    <m/>
    <m/>
    <m/>
    <m/>
    <m/>
    <m/>
    <m/>
    <m/>
    <m/>
    <m/>
    <m/>
    <m/>
    <m/>
    <m/>
    <m/>
    <m/>
    <m/>
    <m/>
    <m/>
    <m/>
    <m/>
    <n v="79200000"/>
    <n v="15600000"/>
    <n v="15600000"/>
    <n v="63600000"/>
    <n v="0"/>
  </r>
  <r>
    <x v="0"/>
    <x v="3"/>
    <s v="Fortalecimiento de los servicios digitales aumentando la capacidad para la transformación digital e interacción con el ciudadano"/>
    <s v="TIC"/>
    <s v="Sí"/>
    <s v="Sí"/>
    <n v="68"/>
    <s v="130-9"/>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9 Prestar servicios profesionales para la revisión, diagnóstico, evaluación y definición de lineamientos en materia de infraestructura tecnológica, servicios tecnológicos, telecomunicaciones y ciberseguridad, con el fin de orientar y garantizar que se"/>
    <s v="Enero "/>
    <s v="Enero "/>
    <s v="Enero "/>
    <n v="11"/>
    <s v="Meses"/>
    <s v="Contratación directa - Prestación de servicios profesionales "/>
    <s v="Propios - 20 - Ingresos corrientes"/>
    <n v="88000000"/>
    <n v="88000000"/>
    <s v="No"/>
    <s v="N/A"/>
    <s v="Paola del Pilar Puerta Peña"/>
    <s v="Jefe Oficina de Tecnologías de la Información"/>
    <n v="6012220601"/>
    <s v="pilar.puerta@upme.gov.co"/>
    <n v="0"/>
    <n v="0"/>
    <n v="88000000"/>
    <n v="0"/>
    <n v="0"/>
    <n v="9000000"/>
    <n v="0"/>
    <n v="9000000"/>
    <n v="0"/>
    <n v="9000000"/>
    <n v="0"/>
    <n v="9000000"/>
    <n v="0"/>
    <n v="9000000"/>
    <n v="0"/>
    <n v="9000000"/>
    <n v="0"/>
    <n v="9000000"/>
    <n v="0"/>
    <n v="9000000"/>
    <n v="0"/>
    <n v="9000000"/>
    <n v="0"/>
    <n v="7000000"/>
    <n v="88000000"/>
    <n v="88000000"/>
    <n v="0"/>
    <n v="0"/>
    <s v="Prestar servicios profesionales para la revisión, diagnóstico, evaluación y definición de lineamientos en materia de infraestructura tecnológica, servicios tecnológicos, telecomunicaciones y ciberseguridad, con el fin de orientar y garantizar que se cumpl"/>
    <m/>
    <m/>
    <n v="88000000"/>
    <m/>
    <m/>
    <n v="9000000"/>
    <m/>
    <n v="9000000"/>
    <m/>
    <n v="9000000"/>
    <m/>
    <n v="9000000"/>
    <m/>
    <n v="9000000"/>
    <m/>
    <n v="9000000"/>
    <m/>
    <n v="9000000"/>
    <m/>
    <n v="9000000"/>
    <m/>
    <n v="9000000"/>
    <m/>
    <n v="7000000"/>
    <m/>
    <m/>
    <n v="88000000"/>
    <n v="88000000"/>
    <n v="0"/>
    <n v="0"/>
    <n v="29126"/>
    <d v="2026-01-14T00:00:00"/>
    <n v="88000000"/>
    <n v="0"/>
    <n v="51126"/>
    <d v="2026-02-09T00:00:00"/>
    <n v="88000000"/>
    <n v="0"/>
    <n v="0"/>
    <s v="CARVAJAL RAMIREZ JOAN RENE"/>
    <s v="CO1.PCCNTR.9268464"/>
    <m/>
    <m/>
    <m/>
    <n v="88000000"/>
    <m/>
    <m/>
    <m/>
    <n v="6300000"/>
    <n v="6300000"/>
    <m/>
    <n v="9000000"/>
    <n v="9000000"/>
    <m/>
    <m/>
    <m/>
    <m/>
    <m/>
    <m/>
    <m/>
    <m/>
    <m/>
    <m/>
    <m/>
    <m/>
    <m/>
    <m/>
    <m/>
    <m/>
    <m/>
    <m/>
    <m/>
    <m/>
    <m/>
    <m/>
    <m/>
    <m/>
    <n v="88000000"/>
    <n v="15300000"/>
    <n v="15300000"/>
    <n v="72700000"/>
    <n v="0"/>
  </r>
  <r>
    <x v="0"/>
    <x v="3"/>
    <s v="Fortalecimiento de los servicios digitales aumentando la capacidad para la transformación digital e interacción con el ciudadano"/>
    <s v="TIC"/>
    <s v="Sí"/>
    <s v="Sí"/>
    <n v="20"/>
    <s v="130-1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10 Prestar servicios profesionales para apoyar en los proyectos de tecnología en todas sus fases y ciclos de proceso, especialmente, en aquellos enfocados en la transformación digital a la Oficina de Tecnología de la Información de la UPME"/>
    <s v="Enero "/>
    <s v="Enero "/>
    <s v="Enero "/>
    <n v="11"/>
    <s v="Meses"/>
    <s v="Contratación directa - Prestación de servicios profesionales "/>
    <s v="Propios - 20 - Ingresos corrientes"/>
    <n v="87200000"/>
    <n v="87200000"/>
    <s v="No"/>
    <s v="N/A"/>
    <s v="Paola del Pilar Puerta Peña"/>
    <s v="Jefe Oficina de Tecnologías de la Información"/>
    <n v="6012220601"/>
    <s v="pilar.puerta@upme.gov.co"/>
    <n v="0"/>
    <n v="0"/>
    <n v="88000000"/>
    <n v="0"/>
    <n v="0"/>
    <n v="8000000"/>
    <n v="0"/>
    <n v="8000000"/>
    <n v="0"/>
    <n v="8000000"/>
    <n v="0"/>
    <n v="8000000"/>
    <n v="0"/>
    <n v="8000000"/>
    <n v="0"/>
    <n v="8000000"/>
    <n v="0"/>
    <n v="8000000"/>
    <n v="0"/>
    <n v="8000000"/>
    <n v="0"/>
    <n v="8000000"/>
    <n v="0"/>
    <n v="16000000"/>
    <n v="88000000"/>
    <n v="88000000"/>
    <n v="-800000"/>
    <n v="-800000"/>
    <s v="Prestar servicios profesionales para apoyar en los proyectos de tecnología en todas sus fases y ciclos de proceso, especialmente, en aquellos enfocados en la transformación digital a la Oficina de Tecnología de la Información de la UPME"/>
    <n v="0"/>
    <n v="0"/>
    <n v="88000000"/>
    <n v="0"/>
    <n v="0"/>
    <n v="7200000"/>
    <n v="-800000"/>
    <n v="8000000"/>
    <n v="0"/>
    <n v="8000000"/>
    <n v="0"/>
    <n v="8000000"/>
    <n v="0"/>
    <n v="8000000"/>
    <n v="0"/>
    <n v="8000000"/>
    <n v="0"/>
    <n v="8000000"/>
    <n v="0"/>
    <n v="8000000"/>
    <n v="0"/>
    <n v="8000000"/>
    <n v="0"/>
    <n v="16000000"/>
    <m/>
    <m/>
    <n v="87200000"/>
    <n v="87200000"/>
    <n v="0"/>
    <n v="0"/>
    <n v="39226"/>
    <d v="2026-01-15T00:00:00"/>
    <n v="88000000"/>
    <n v="-800000"/>
    <n v="39926"/>
    <d v="2026-02-03T00:00:00"/>
    <n v="88000000"/>
    <n v="-800000"/>
    <n v="0"/>
    <s v="REVUELTAS VIDES ELKIN"/>
    <s v="CO1.PCCNTR.9195627"/>
    <m/>
    <m/>
    <m/>
    <n v="88000000"/>
    <m/>
    <m/>
    <m/>
    <n v="7200000"/>
    <n v="7200000"/>
    <m/>
    <n v="8000000"/>
    <n v="8000000"/>
    <m/>
    <m/>
    <m/>
    <m/>
    <m/>
    <m/>
    <m/>
    <m/>
    <m/>
    <m/>
    <m/>
    <m/>
    <m/>
    <m/>
    <m/>
    <m/>
    <m/>
    <m/>
    <m/>
    <m/>
    <m/>
    <m/>
    <m/>
    <m/>
    <n v="88000000"/>
    <n v="15200000"/>
    <n v="15200000"/>
    <n v="72800000"/>
    <n v="0"/>
  </r>
  <r>
    <x v="0"/>
    <x v="3"/>
    <s v="Fortalecimiento de los servicios digitales aumentando la capacidad para la transformación digital e interacción con el ciudadano"/>
    <s v="TIC"/>
    <s v="Sí"/>
    <s v="Sí"/>
    <n v="2"/>
    <s v="130-11"/>
    <s v="Incrementar el desarrollo de los habilitadores transversales de la política de gobierno digital."/>
    <s v="Documento para la Planeación Estratégica en TI"/>
    <s v="Mantener y fortalecer el modelo Operativo de TI."/>
    <n v="80111620"/>
    <s v="C-2199-1900-5-53105B-2199066-02"/>
    <x v="0"/>
    <s v="130-11 Prestación de servicios profesionales especializados para la ingeniería, configuración y puesta en marcha de una infraestructura de red convergente y escalable para la UPME, así como la administración de soluciones de conectividad híbrida, la segme"/>
    <s v="Enero "/>
    <s v="Enero "/>
    <s v="Enero "/>
    <n v="11"/>
    <s v="Meses"/>
    <s v="Contratación directa - Prestación de servicios profesionales "/>
    <s v="Propios - 20 - Ingresos corrientes"/>
    <n v="99000000"/>
    <n v="99000000"/>
    <s v="No"/>
    <s v="N/A"/>
    <s v="Paola del Pilar Puerta Peña"/>
    <s v="Jefe Oficina de Tecnologías de la Información"/>
    <n v="6012220601"/>
    <s v="pilar.puerta@upme.gov.co"/>
    <n v="0"/>
    <n v="0"/>
    <n v="99000000"/>
    <n v="0"/>
    <n v="0"/>
    <n v="9000000"/>
    <n v="0"/>
    <n v="9000000"/>
    <n v="0"/>
    <n v="9000000"/>
    <n v="0"/>
    <n v="9000000"/>
    <n v="0"/>
    <n v="9000000"/>
    <n v="0"/>
    <n v="9000000"/>
    <n v="0"/>
    <n v="9000000"/>
    <n v="0"/>
    <n v="9000000"/>
    <n v="0"/>
    <n v="9000000"/>
    <n v="0"/>
    <n v="18000000"/>
    <n v="99000000"/>
    <n v="99000000"/>
    <n v="0"/>
    <n v="0"/>
    <s v="Prestación de servicios profesionales especializados para la ingeniería, configuración y puesta en marcha de una infraestructura de red convergente y escalable para la UPME, así como la administración de soluciones de conectividad híbrida, la segmentación"/>
    <m/>
    <m/>
    <n v="99000000"/>
    <m/>
    <m/>
    <n v="9000000"/>
    <m/>
    <n v="9000000"/>
    <m/>
    <n v="9000000"/>
    <m/>
    <n v="9000000"/>
    <m/>
    <n v="9000000"/>
    <m/>
    <n v="9000000"/>
    <m/>
    <n v="9000000"/>
    <m/>
    <n v="9000000"/>
    <m/>
    <n v="9000000"/>
    <m/>
    <n v="18000000"/>
    <m/>
    <m/>
    <n v="99000000"/>
    <n v="99000000"/>
    <n v="0"/>
    <n v="0"/>
    <n v="36126"/>
    <d v="2026-01-15T00:00:00"/>
    <n v="99000000"/>
    <n v="0"/>
    <n v="47326"/>
    <d v="2026-02-06T00:00:00"/>
    <n v="96600000"/>
    <n v="2400000"/>
    <n v="2400000"/>
    <s v="MENDEZ MARTIN EDUARD ALBEIRO"/>
    <s v="CO1.PCCNTR.9248184"/>
    <m/>
    <m/>
    <m/>
    <n v="99000000"/>
    <m/>
    <m/>
    <m/>
    <m/>
    <m/>
    <n v="-2400000"/>
    <n v="15300000"/>
    <n v="15300000"/>
    <m/>
    <m/>
    <m/>
    <m/>
    <m/>
    <m/>
    <m/>
    <m/>
    <m/>
    <m/>
    <m/>
    <m/>
    <m/>
    <m/>
    <m/>
    <m/>
    <m/>
    <m/>
    <m/>
    <m/>
    <m/>
    <m/>
    <m/>
    <m/>
    <n v="96600000"/>
    <n v="15300000"/>
    <n v="15300000"/>
    <n v="81300000"/>
    <n v="0"/>
  </r>
  <r>
    <x v="0"/>
    <x v="3"/>
    <s v="Fortalecimiento de los servicios digitales aumentando la capacidad para la transformación digital e interacción con el ciudadano"/>
    <s v="TIC"/>
    <s v="Sí"/>
    <s v="Sí"/>
    <n v="20"/>
    <s v="130-12"/>
    <s v="Incrementar el desarrollo de los habilitadores transversales de la política de gobierno digital."/>
    <s v="Documento para la Planeación Estratégica en TI"/>
    <s v="Mantener y fortalecer el modelo Operativo de TI."/>
    <n v="80111620"/>
    <s v="C-2199-1900-5-53105B-2199066-02"/>
    <x v="0"/>
    <s v="130-12 Prestar servicios de apoyo a la gestión para la operatividad de los sistemas de información y de Infraestructura de la Unidad de Planeación Minero-Energética – UPME, así como en las actividades asociadas al soporte y monitoreo en las respectivas he"/>
    <s v="Enero "/>
    <s v="Enero "/>
    <s v="Enero "/>
    <n v="11"/>
    <s v="Meses"/>
    <s v="Contratación directa - Prestación de servicios profesionales "/>
    <s v="Propios - 20 - Ingresos corrientes"/>
    <n v="52944920"/>
    <n v="52944920"/>
    <s v="No"/>
    <s v="N/A"/>
    <s v="Paola del Pilar Puerta Peña"/>
    <s v="Jefe Oficina de Tecnologías de la Información"/>
    <n v="6012220601"/>
    <s v="pilar.puerta@upme.gov.co"/>
    <n v="50496600"/>
    <n v="0"/>
    <n v="0"/>
    <n v="2601340"/>
    <n v="0"/>
    <n v="4590600"/>
    <n v="0"/>
    <n v="4590600"/>
    <n v="0"/>
    <n v="4590600"/>
    <n v="0"/>
    <n v="4590600"/>
    <n v="0"/>
    <n v="4590600"/>
    <n v="0"/>
    <n v="4590600"/>
    <n v="0"/>
    <n v="4590600"/>
    <n v="0"/>
    <n v="4590600"/>
    <n v="0"/>
    <n v="4590600"/>
    <n v="0"/>
    <n v="6579860"/>
    <n v="50496600"/>
    <n v="50496600"/>
    <n v="2448320"/>
    <n v="2448320"/>
    <s v="Prestar servicios de apoyo a la gestión para la operatividad de los sistemas de información y de Infraestructura de la Unidad de Planeación Minero-Energética – UPME, así como en las actividades asociadas al soporte y monitoreo en las respectivas herramien"/>
    <n v="50496600"/>
    <n v="0"/>
    <n v="0"/>
    <n v="2448320"/>
    <n v="0"/>
    <n v="4590600"/>
    <n v="0"/>
    <n v="4590600"/>
    <n v="2448320"/>
    <n v="4590600"/>
    <n v="0"/>
    <n v="4590600"/>
    <n v="0"/>
    <n v="4590600"/>
    <n v="0"/>
    <n v="4590600"/>
    <n v="0"/>
    <n v="4590600"/>
    <n v="0"/>
    <n v="4590600"/>
    <n v="0"/>
    <n v="4590600"/>
    <n v="0"/>
    <n v="9181200"/>
    <m/>
    <m/>
    <n v="52944920"/>
    <n v="52944920"/>
    <n v="0"/>
    <n v="0"/>
    <n v="3226"/>
    <d v="2026-01-05T00:00:00"/>
    <n v="50496600"/>
    <n v="2448320"/>
    <n v="8626"/>
    <d v="2026-01-13T00:00:00"/>
    <n v="50496600"/>
    <n v="2448320"/>
    <n v="0"/>
    <s v="VELASQUEZ RIVERA EDISSON"/>
    <s v="CO1.PCCNTR.8804681"/>
    <n v="50496600"/>
    <m/>
    <m/>
    <m/>
    <n v="2448320"/>
    <n v="2448320"/>
    <m/>
    <n v="4590600"/>
    <n v="4590600"/>
    <m/>
    <n v="4590600"/>
    <n v="4590600"/>
    <m/>
    <m/>
    <m/>
    <m/>
    <m/>
    <m/>
    <m/>
    <m/>
    <m/>
    <m/>
    <m/>
    <m/>
    <m/>
    <m/>
    <m/>
    <m/>
    <m/>
    <m/>
    <m/>
    <m/>
    <m/>
    <m/>
    <m/>
    <m/>
    <n v="50496600"/>
    <n v="11629520"/>
    <n v="11629520"/>
    <n v="38867080"/>
    <n v="0"/>
  </r>
  <r>
    <x v="0"/>
    <x v="3"/>
    <s v="Fortalecimiento de los servicios digitales aumentando la capacidad para la transformación digital e interacción con el ciudadano"/>
    <s v="TIC"/>
    <s v="Sí"/>
    <s v="Sí"/>
    <n v="20"/>
    <s v="130-13"/>
    <s v="Incrementar el desarrollo de los habilitadores transversales de la política de gobierno digital."/>
    <s v="Documento para la Planeación Estratégica en TI"/>
    <s v="Mantener y fortalecer el modelo Operativo de TI."/>
    <n v="80111620"/>
    <s v="C-2199-1900-5-53105B-2199066-02"/>
    <x v="0"/>
    <s v="130-13 Prestar servicios de apoyo a la gestión como analista de sistemas de TI en Gestión de Servicios, para liderar proyectos orientados a la implementación, ajuste y mejora del servicio al cliente interno y externo, asegurando la alineación de la mesa d"/>
    <s v="Enero "/>
    <s v="Enero "/>
    <s v="Enero "/>
    <n v="11.5"/>
    <s v="Meses"/>
    <s v="Contratación directa - Prestación de servicios profesionales "/>
    <s v="Propios - 20 - Ingresos corrientes"/>
    <n v="53097940"/>
    <n v="53097940"/>
    <s v="No"/>
    <s v="N/A"/>
    <s v="Paola del Pilar Puerta Peña"/>
    <s v="Jefe Oficina de Tecnologías de la Información"/>
    <n v="6012220601"/>
    <s v="pilar.puerta@upme.gov.co"/>
    <n v="52791900"/>
    <n v="0"/>
    <n v="0"/>
    <n v="2601340"/>
    <n v="0"/>
    <n v="4590600"/>
    <n v="0"/>
    <n v="4590600"/>
    <n v="0"/>
    <n v="4590600"/>
    <n v="0"/>
    <n v="4590600"/>
    <n v="0"/>
    <n v="4590600"/>
    <n v="0"/>
    <n v="4590600"/>
    <n v="0"/>
    <n v="4590600"/>
    <n v="0"/>
    <n v="4590600"/>
    <n v="0"/>
    <n v="4590600"/>
    <n v="0"/>
    <n v="8875160"/>
    <n v="52791900"/>
    <n v="52791900"/>
    <n v="306040"/>
    <n v="306040"/>
    <s v="Prestar servicios de apoyo a la gestión como analista de sistemas de TI en Gestión de Servicios, para liderar proyectos orientados a la implementación, ajuste y mejora del servicio al cliente interno y externo, asegurando la alineación de la mesa de servi"/>
    <n v="52791900"/>
    <n v="0"/>
    <n v="0"/>
    <n v="2601340"/>
    <n v="0"/>
    <n v="4590600"/>
    <n v="0"/>
    <n v="4590600"/>
    <n v="306040"/>
    <n v="4590600"/>
    <n v="0"/>
    <n v="4590600"/>
    <n v="0"/>
    <n v="4590600"/>
    <n v="0"/>
    <n v="4590600"/>
    <n v="0"/>
    <n v="4590600"/>
    <n v="0"/>
    <n v="4590600"/>
    <n v="0"/>
    <n v="4590600"/>
    <n v="0"/>
    <n v="9181200"/>
    <m/>
    <m/>
    <n v="53097940"/>
    <n v="53097940"/>
    <n v="0"/>
    <n v="0"/>
    <n v="2226"/>
    <d v="2026-01-05T00:00:00"/>
    <n v="52791900"/>
    <n v="306040"/>
    <n v="3326"/>
    <d v="2026-01-09T00:00:00"/>
    <n v="52791900"/>
    <n v="306040"/>
    <n v="0"/>
    <s v="FLOREZ AVILA JEFERSON"/>
    <s v="CO1.PCCNTR8791266"/>
    <n v="52791900"/>
    <m/>
    <m/>
    <m/>
    <n v="2601340"/>
    <n v="2601340"/>
    <m/>
    <n v="4590600"/>
    <n v="4590600"/>
    <m/>
    <n v="4590600"/>
    <n v="4590600"/>
    <m/>
    <m/>
    <m/>
    <m/>
    <m/>
    <m/>
    <m/>
    <m/>
    <m/>
    <m/>
    <m/>
    <m/>
    <m/>
    <m/>
    <m/>
    <m/>
    <m/>
    <m/>
    <m/>
    <m/>
    <m/>
    <m/>
    <m/>
    <m/>
    <n v="52791900"/>
    <n v="11782540"/>
    <n v="11782540"/>
    <n v="41009360"/>
    <n v="0"/>
  </r>
  <r>
    <x v="0"/>
    <x v="3"/>
    <s v="Fortalecimiento de los servicios digitales aumentando la capacidad para la transformación digital e interacción con el ciudadano"/>
    <s v="TIC"/>
    <s v="Sí"/>
    <s v="Sí"/>
    <n v="20"/>
    <s v="130-14"/>
    <s v="Incrementar el desarrollo de los habilitadores transversales de la política de gobierno digital."/>
    <s v="Documento para la Planeación Estratégica en TI"/>
    <s v="Mantener y fortalecer el modelo Operativo de TI."/>
    <n v="80111620"/>
    <s v="C-2199-1900-5-53105B-2199066-02"/>
    <x v="0"/>
    <s v="130-14 Prestar servicios de apoyo a la gestión en la mesa de servicio para atender, registrar, clasificar y dar solución de primer nivel a los requerimientos tecnológicos, bajo las buenas prácticas ITIL y los procedimientos establecidos para la gestión de"/>
    <s v="Enero "/>
    <s v="Enero "/>
    <s v="Enero "/>
    <n v="11.5"/>
    <s v="Meses"/>
    <s v="Contratación directa - Prestación de servicios profesionales "/>
    <s v="Propios - 20 - Ingresos corrientes"/>
    <n v="52050000"/>
    <n v="52050000"/>
    <s v="No"/>
    <s v="N/A"/>
    <s v="Paola del Pilar Puerta Peña"/>
    <s v="Jefe Oficina de Tecnologías de la Información"/>
    <n v="6012220601"/>
    <s v="pilar.puerta@upme.gov.co"/>
    <n v="51750000"/>
    <n v="0"/>
    <n v="0"/>
    <n v="2550000"/>
    <n v="0"/>
    <n v="4500000"/>
    <n v="0"/>
    <n v="4500000"/>
    <n v="0"/>
    <n v="4500000"/>
    <n v="0"/>
    <n v="4500000"/>
    <n v="0"/>
    <n v="4500000"/>
    <n v="0"/>
    <n v="4500000"/>
    <n v="0"/>
    <n v="4500000"/>
    <n v="0"/>
    <n v="4500000"/>
    <n v="0"/>
    <n v="4500000"/>
    <n v="0"/>
    <n v="8700000"/>
    <n v="51750000"/>
    <n v="51750000"/>
    <n v="300000"/>
    <n v="300000"/>
    <s v="Prestar servicios de apoyo a la gestión en la mesa de servicio para atender, registrar, clasificar y dar solución de primer nivel a los requerimientos tecnológicos, bajo las buenas prácticas ITIL y los procedimientos establecidos para la gestión de servic"/>
    <n v="51750000"/>
    <n v="0"/>
    <n v="0"/>
    <n v="2550000"/>
    <n v="0"/>
    <n v="4500000"/>
    <n v="0"/>
    <n v="4500000"/>
    <n v="300000"/>
    <n v="4500000"/>
    <n v="0"/>
    <n v="4500000"/>
    <n v="0"/>
    <n v="4500000"/>
    <n v="0"/>
    <n v="4500000"/>
    <n v="0"/>
    <n v="4500000"/>
    <n v="0"/>
    <n v="4500000"/>
    <n v="0"/>
    <n v="4500000"/>
    <n v="0"/>
    <n v="9000000"/>
    <m/>
    <m/>
    <n v="52050000"/>
    <n v="52050000"/>
    <n v="0"/>
    <n v="0"/>
    <n v="2326"/>
    <d v="2026-01-05T00:00:00"/>
    <n v="51750000"/>
    <n v="300000"/>
    <n v="3126"/>
    <d v="2026-01-09T00:00:00"/>
    <n v="51750000"/>
    <n v="300000"/>
    <n v="0"/>
    <s v="CAJAMARCA MARTINEZ ESTEFANY LIZETTE"/>
    <s v="CO1.PCCNTR.8787186"/>
    <n v="51750000"/>
    <m/>
    <m/>
    <m/>
    <n v="2550000"/>
    <n v="2550000"/>
    <m/>
    <n v="4500000"/>
    <n v="4500000"/>
    <m/>
    <n v="4500000"/>
    <n v="4500000"/>
    <m/>
    <m/>
    <m/>
    <m/>
    <m/>
    <m/>
    <m/>
    <m/>
    <m/>
    <m/>
    <m/>
    <m/>
    <m/>
    <m/>
    <m/>
    <m/>
    <m/>
    <m/>
    <m/>
    <m/>
    <m/>
    <m/>
    <m/>
    <m/>
    <n v="51750000"/>
    <n v="11550000"/>
    <n v="11550000"/>
    <n v="40200000"/>
    <n v="0"/>
  </r>
  <r>
    <x v="0"/>
    <x v="3"/>
    <s v="Fortalecimiento de los servicios digitales aumentando la capacidad para la transformación digital e interacción con el ciudadano"/>
    <s v="TIC"/>
    <s v="Sí"/>
    <s v="Sí"/>
    <n v="20"/>
    <s v="130-15"/>
    <s v="Incrementar el desarrollo de los habilitadores transversales de la política de gobierno digital."/>
    <s v="Documento para la Planeación Estratégica en TI"/>
    <s v="Mantener y fortalecer el modelo Operativo de TI."/>
    <n v="80111620"/>
    <s v="C-2199-1900-5-53105B-2199066-02"/>
    <x v="0"/>
    <s v="130-15 Prestar servicios de apoyo a la gestión para la atención de solicitudes de los servicios tecnológicos, apoyar en la gestión de la mesa de servicio y medición de indicadores de TI de la UPME."/>
    <s v="Enero "/>
    <s v="Enero "/>
    <s v="Enero "/>
    <n v="11.5"/>
    <s v="Meses"/>
    <s v="Contratación directa - Prestación de servicios profesionales "/>
    <s v="Propios - 20 - Ingresos corrientes"/>
    <n v="52200000"/>
    <n v="52200000"/>
    <s v="No"/>
    <s v="N/A"/>
    <s v="Paola del Pilar Puerta Peña"/>
    <s v="Jefe Oficina de Tecnologías de la Información"/>
    <n v="6012220601"/>
    <s v="pilar.puerta@upme.gov.co"/>
    <n v="51750000"/>
    <n v="0"/>
    <n v="0"/>
    <n v="2700000"/>
    <n v="0"/>
    <n v="4500000"/>
    <n v="0"/>
    <n v="4500000"/>
    <n v="0"/>
    <n v="4500000"/>
    <n v="0"/>
    <n v="4500000"/>
    <n v="0"/>
    <n v="4500000"/>
    <n v="0"/>
    <n v="4500000"/>
    <n v="0"/>
    <n v="4500000"/>
    <n v="0"/>
    <n v="4500000"/>
    <n v="0"/>
    <n v="4500000"/>
    <n v="0"/>
    <n v="8550000"/>
    <n v="51750000"/>
    <n v="51750000"/>
    <n v="450000"/>
    <n v="450000"/>
    <s v="Prestar servicios de apoyo a la gestión para la atención de solicitudes de los servicios tecnológicos, apoyar en la gestión de la mesa de servicio y medición de indicadores de TI de la UPME."/>
    <n v="51750000"/>
    <n v="0"/>
    <n v="0"/>
    <n v="2700000"/>
    <n v="0"/>
    <n v="4500000"/>
    <n v="0"/>
    <n v="4500000"/>
    <n v="450000"/>
    <n v="4500000"/>
    <n v="0"/>
    <n v="4500000"/>
    <n v="0"/>
    <n v="4500000"/>
    <n v="0"/>
    <n v="4500000"/>
    <n v="0"/>
    <n v="4500000"/>
    <n v="0"/>
    <n v="4500000"/>
    <n v="0"/>
    <n v="4500000"/>
    <n v="0"/>
    <n v="9000000"/>
    <m/>
    <m/>
    <n v="52200000"/>
    <n v="52200000"/>
    <n v="0"/>
    <n v="0"/>
    <n v="2526"/>
    <d v="2026-01-05T00:00:00"/>
    <n v="51750000"/>
    <n v="450000"/>
    <n v="4126"/>
    <d v="2026-01-09T00:00:00"/>
    <n v="51750000"/>
    <n v="450000"/>
    <n v="0"/>
    <s v="AMARILES SANCHEZ JOSE LEONEL"/>
    <s v="CO1.PCCNTR.8785486"/>
    <n v="51750000"/>
    <m/>
    <m/>
    <m/>
    <n v="2700000"/>
    <n v="2700000"/>
    <m/>
    <n v="4500000"/>
    <n v="4500000"/>
    <m/>
    <n v="4500000"/>
    <n v="4500000"/>
    <m/>
    <m/>
    <m/>
    <m/>
    <m/>
    <m/>
    <m/>
    <m/>
    <m/>
    <m/>
    <m/>
    <m/>
    <m/>
    <m/>
    <m/>
    <m/>
    <m/>
    <m/>
    <m/>
    <m/>
    <m/>
    <m/>
    <m/>
    <m/>
    <n v="51750000"/>
    <n v="11700000"/>
    <n v="11700000"/>
    <n v="40050000"/>
    <n v="0"/>
  </r>
  <r>
    <x v="0"/>
    <x v="3"/>
    <s v="Fortalecimiento de los servicios digitales aumentando la capacidad para la transformación digital e interacción con el ciudadano"/>
    <s v="TIC"/>
    <s v="Sí"/>
    <s v="Sí"/>
    <n v="68"/>
    <s v="130-16"/>
    <s v="Mejorar la implementación del modelo de Gestión de Información Institucional."/>
    <s v="Servicios de Información Implementados"/>
    <s v="Identificar y apropiar soluciones de TI."/>
    <n v="80111620"/>
    <s v="C-2199-1900-5-53105B-2199065-02"/>
    <x v="0"/>
    <s v="130-16 Prestar servicios profesionales especializados orientados a la atención, análisis y resolución de incidentes o requerimientos que afecten los sistemas de información implementados en la UPME, así como la plataforma tecnológica necesaria para su ope"/>
    <s v="Enero "/>
    <s v="Enero "/>
    <s v="Enero "/>
    <n v="11"/>
    <s v="Meses"/>
    <s v="Contratación directa - Prestación de servicios profesionales "/>
    <s v="Propios - 20 - Ingresos corrientes"/>
    <n v="93500000"/>
    <n v="93500000"/>
    <s v="No"/>
    <s v="N/A"/>
    <s v="Paola del Pilar Puerta Peña"/>
    <s v="Jefe Oficina de Tecnologías de la Información"/>
    <n v="6012220601"/>
    <s v="pilar.puerta@upme.gov.co"/>
    <n v="93500000"/>
    <n v="0"/>
    <n v="0"/>
    <n v="2400000"/>
    <n v="0"/>
    <n v="9000000"/>
    <n v="0"/>
    <n v="9000000"/>
    <n v="0"/>
    <n v="9000000"/>
    <n v="0"/>
    <n v="9000000"/>
    <n v="0"/>
    <n v="9000000"/>
    <n v="0"/>
    <n v="9000000"/>
    <n v="0"/>
    <n v="9000000"/>
    <n v="0"/>
    <n v="9000000"/>
    <n v="0"/>
    <n v="9000000"/>
    <n v="0"/>
    <n v="10100000"/>
    <n v="93500000"/>
    <n v="93500000"/>
    <n v="0"/>
    <n v="0"/>
    <s v="Prestar servicios profesionales especializados orientados a la atención, análisis y resolución de incidentes o requerimientos que afecten los sistemas de información implementados en la UPME, así como la plataforma tecnológica necesaria para su operación."/>
    <n v="93500000"/>
    <m/>
    <m/>
    <n v="2400000"/>
    <m/>
    <n v="9000000"/>
    <m/>
    <n v="9000000"/>
    <m/>
    <n v="9000000"/>
    <m/>
    <n v="9000000"/>
    <m/>
    <n v="9000000"/>
    <m/>
    <n v="9000000"/>
    <m/>
    <n v="9000000"/>
    <m/>
    <n v="9000000"/>
    <m/>
    <n v="9000000"/>
    <m/>
    <n v="10100000"/>
    <m/>
    <m/>
    <n v="93500000"/>
    <n v="93500000"/>
    <n v="0"/>
    <n v="0"/>
    <n v="29426"/>
    <d v="2026-01-14T00:00:00"/>
    <n v="93500000"/>
    <n v="0"/>
    <n v="16526"/>
    <d v="2026-01-22T00:00:00"/>
    <n v="93500000"/>
    <n v="0"/>
    <n v="0"/>
    <s v="ESPINOSA MUÑOZ NINROTH"/>
    <s v="CO1.PCCNTR 8899609"/>
    <n v="93500000"/>
    <m/>
    <m/>
    <m/>
    <m/>
    <m/>
    <m/>
    <n v="9000000"/>
    <n v="9000000"/>
    <m/>
    <n v="9000000"/>
    <n v="9000000"/>
    <m/>
    <m/>
    <m/>
    <m/>
    <m/>
    <m/>
    <m/>
    <m/>
    <m/>
    <m/>
    <m/>
    <m/>
    <m/>
    <m/>
    <m/>
    <m/>
    <m/>
    <m/>
    <m/>
    <m/>
    <m/>
    <m/>
    <m/>
    <m/>
    <n v="93500000"/>
    <n v="18000000"/>
    <n v="18000000"/>
    <n v="75500000"/>
    <n v="0"/>
  </r>
  <r>
    <x v="0"/>
    <x v="3"/>
    <s v="Fortalecimiento de los servicios digitales aumentando la capacidad para la transformación digital e interacción con el ciudadano"/>
    <s v="TIC"/>
    <s v="Sí"/>
    <s v="Sí"/>
    <n v="20"/>
    <s v="130-17"/>
    <s v="Mejorar la implementación del modelo de Gestión de Información Institucional."/>
    <s v="Servicios de Información Implementados"/>
    <s v="Identificar y apropiar soluciones de TI."/>
    <n v="80111620"/>
    <s v="C-2199-1900-5-53105B-2199065-02"/>
    <x v="0"/>
    <s v="130-17 Prestar servicios profesionales especializados en la administración y gestión integral de bases de datos, con el fin de asegurar la correcta implementación, mantenimiento, y optimización de las bases de datos que soportan las aplicaciones y portale"/>
    <s v="Enero "/>
    <s v="Enero "/>
    <s v="Enero "/>
    <n v="11"/>
    <s v="Meses"/>
    <s v="Contratación directa - Prestación de servicios profesionales "/>
    <s v="Propios - 20 - Ingresos corrientes"/>
    <n v="88233333"/>
    <n v="88233333"/>
    <s v="No"/>
    <s v="N/A"/>
    <s v="Paola del Pilar Puerta Peña"/>
    <s v="Jefe Oficina de Tecnologías de la Información"/>
    <n v="6012220601"/>
    <s v="pilar.puerta@upme.gov.co"/>
    <n v="88000000"/>
    <n v="0"/>
    <n v="0"/>
    <n v="1066667"/>
    <n v="0"/>
    <n v="8000000"/>
    <n v="0"/>
    <n v="8000000"/>
    <n v="0"/>
    <n v="8000000"/>
    <n v="0"/>
    <n v="8000000"/>
    <n v="0"/>
    <n v="8000000"/>
    <n v="0"/>
    <n v="8000000"/>
    <n v="0"/>
    <n v="8000000"/>
    <n v="0"/>
    <n v="8000000"/>
    <n v="0"/>
    <n v="8000000"/>
    <n v="0"/>
    <n v="14933333"/>
    <n v="88000000"/>
    <n v="88000000"/>
    <n v="233333"/>
    <n v="233333"/>
    <s v="Prestar servicios profesionales especializados en la administración y gestión integral de bases de datos, con el fin de asegurar la correcta implementación, mantenimiento, y optimización de las bases de datos que soportan las aplicaciones y portales web d"/>
    <n v="88000000"/>
    <n v="0"/>
    <n v="0"/>
    <n v="1066667"/>
    <n v="0"/>
    <n v="8000000"/>
    <n v="0"/>
    <n v="8000000"/>
    <n v="233333"/>
    <n v="8000000"/>
    <n v="0"/>
    <n v="8000000"/>
    <n v="0"/>
    <n v="8000000"/>
    <n v="0"/>
    <n v="8000000"/>
    <n v="0"/>
    <n v="8000000"/>
    <n v="0"/>
    <n v="8000000"/>
    <n v="0"/>
    <n v="8000000"/>
    <n v="0"/>
    <n v="15166666"/>
    <m/>
    <m/>
    <n v="88233333"/>
    <n v="88233333"/>
    <n v="0"/>
    <n v="0"/>
    <n v="25426"/>
    <d v="2026-01-13T00:00:00"/>
    <n v="88000000"/>
    <n v="233333"/>
    <n v="20226"/>
    <d v="2026-01-26T00:00:00"/>
    <n v="88000000"/>
    <n v="233333"/>
    <n v="0"/>
    <s v="VARGAS ACUÑA GILDARDO ANDRES"/>
    <s v="CO1.PCCNTR.9013312"/>
    <n v="88000000"/>
    <m/>
    <m/>
    <m/>
    <n v="1066667"/>
    <n v="1066667"/>
    <m/>
    <n v="8000000"/>
    <n v="8000000"/>
    <m/>
    <n v="8000000"/>
    <n v="8000000"/>
    <m/>
    <m/>
    <m/>
    <m/>
    <m/>
    <m/>
    <m/>
    <m/>
    <m/>
    <m/>
    <m/>
    <m/>
    <m/>
    <m/>
    <m/>
    <m/>
    <m/>
    <m/>
    <m/>
    <m/>
    <m/>
    <m/>
    <m/>
    <m/>
    <n v="88000000"/>
    <n v="17066667"/>
    <n v="17066667"/>
    <n v="70933333"/>
    <n v="0"/>
  </r>
  <r>
    <x v="0"/>
    <x v="3"/>
    <s v="Fortalecimiento de los servicios digitales aumentando la capacidad para la transformación digital e interacción con el ciudadano"/>
    <s v="TIC"/>
    <s v="Sí"/>
    <s v="Sí"/>
    <n v="20"/>
    <s v="130-18"/>
    <s v="Incrementar el desarrollo de los habilitadores transversales de la política de gobierno digital."/>
    <s v="Documento para la Planeación Estratégica en TI"/>
    <s v="Mantener y fortalecer el modelo Operativo de TI."/>
    <n v="80111620"/>
    <s v="C-2199-1900-5-53105B-2199066-02"/>
    <x v="0"/>
    <s v="130-18 Prestar servicios profesionales especializados para apoyar el seguimiento y control de los instrumentos de planeación institucional y del Proyecto de Inversión de la Oficina de Tecnologías de la Información, comprendiendo el acompañamiento en la ej"/>
    <s v="Enero "/>
    <s v="Enero "/>
    <s v="Enero "/>
    <n v="11.5"/>
    <s v="Meses"/>
    <s v="Contratación directa - Prestación de servicios profesionales "/>
    <s v="Propios - 20 - Ingresos corrientes"/>
    <n v="105600000"/>
    <n v="105600000"/>
    <s v="No"/>
    <s v="N/A"/>
    <s v="Paola del Pilar Puerta Peña"/>
    <s v="Jefe Oficina de Tecnologías de la Información"/>
    <n v="6012220601"/>
    <s v="pilar.puerta@upme.gov.co"/>
    <n v="103500000"/>
    <n v="0"/>
    <n v="0"/>
    <n v="6600000"/>
    <n v="0"/>
    <n v="9000000"/>
    <n v="0"/>
    <n v="9000000"/>
    <n v="0"/>
    <n v="9000000"/>
    <n v="0"/>
    <n v="9000000"/>
    <n v="0"/>
    <n v="9000000"/>
    <n v="0"/>
    <n v="9000000"/>
    <n v="0"/>
    <n v="9000000"/>
    <n v="0"/>
    <n v="9000000"/>
    <n v="0"/>
    <n v="9000000"/>
    <n v="0"/>
    <n v="15900000"/>
    <n v="103500000"/>
    <n v="103500000"/>
    <n v="2100000"/>
    <n v="2100000"/>
    <s v="Prestar servicios profesionales especializados para apoyar el seguimiento y control de los instrumentos de planeación institucional y del Proyecto de Inversión de la Oficina de Tecnologías de la Información, comprendiendo el acompañamiento en la ejecución"/>
    <n v="103500000"/>
    <n v="0"/>
    <n v="0"/>
    <n v="6600000"/>
    <n v="0"/>
    <n v="9000000"/>
    <n v="0"/>
    <n v="9000000"/>
    <n v="2100000"/>
    <n v="9000000"/>
    <n v="0"/>
    <n v="9000000"/>
    <n v="0"/>
    <n v="9000000"/>
    <n v="0"/>
    <n v="9000000"/>
    <n v="0"/>
    <n v="9000000"/>
    <n v="0"/>
    <n v="9000000"/>
    <n v="0"/>
    <n v="9000000"/>
    <n v="0"/>
    <n v="18000000"/>
    <m/>
    <m/>
    <n v="105600000"/>
    <n v="105600000"/>
    <n v="0"/>
    <n v="0"/>
    <n v="2726"/>
    <d v="2026-01-05T00:00:00"/>
    <n v="103500000"/>
    <n v="2100000"/>
    <n v="2926"/>
    <d v="2026-01-08T00:00:00"/>
    <n v="103500000"/>
    <n v="2100000"/>
    <n v="0"/>
    <s v="AVILA MONTENEGRO DANIELA ALEJANDRA"/>
    <s v="CO1.PCCNTR.8782596"/>
    <n v="103500000"/>
    <m/>
    <m/>
    <m/>
    <n v="6600000"/>
    <n v="6600000"/>
    <m/>
    <n v="9000000"/>
    <n v="9000000"/>
    <m/>
    <n v="9000000"/>
    <n v="9000000"/>
    <m/>
    <m/>
    <m/>
    <m/>
    <m/>
    <m/>
    <m/>
    <m/>
    <m/>
    <m/>
    <m/>
    <m/>
    <m/>
    <m/>
    <m/>
    <m/>
    <m/>
    <m/>
    <m/>
    <m/>
    <m/>
    <m/>
    <m/>
    <m/>
    <n v="103500000"/>
    <n v="24600000"/>
    <n v="24600000"/>
    <n v="78900000"/>
    <n v="0"/>
  </r>
  <r>
    <x v="0"/>
    <x v="3"/>
    <s v="Fortalecimiento de los servicios digitales aumentando la capacidad para la transformación digital e interacción con el ciudadano"/>
    <s v="TIC"/>
    <s v="Sí"/>
    <s v="Sí"/>
    <n v="2"/>
    <s v="130-19"/>
    <s v="Incrementar el desarrollo de los habilitadores transversales de la política de gobierno digital."/>
    <s v="Documento para la Planeación Estratégica en TI"/>
    <s v="Mantener y fortalecer el modelo Operativo de TI."/>
    <n v="80111620"/>
    <s v="C-2199-1900-5-53105B-2199066-02"/>
    <x v="0"/>
    <s v="130-19 Prestar servicios profesionales para apoyar en los proyectos de tecnología en todas sus fases y ciclos de proceso, especialmente, en aquellos enfocados en infraestructura tecnológica a la Oficina de Tecnología de la Información de la UPME."/>
    <s v="Enero "/>
    <s v="Enero "/>
    <s v="Enero "/>
    <n v="11"/>
    <s v="Meses"/>
    <s v="Contratación directa - Prestación de servicios profesionales "/>
    <s v="Propios - 20 - Ingresos corrientes"/>
    <n v="41741700"/>
    <n v="41741700"/>
    <s v="No"/>
    <s v="N/A"/>
    <s v="Paola del Pilar Puerta Peña"/>
    <s v="Jefe Oficina de Tecnologías de la Información"/>
    <n v="6012220601"/>
    <s v="pilar.puerta@upme.gov.co"/>
    <n v="41741700"/>
    <n v="0"/>
    <n v="0"/>
    <n v="0"/>
    <n v="0"/>
    <n v="3794700"/>
    <n v="0"/>
    <n v="3794700"/>
    <n v="0"/>
    <n v="3794700"/>
    <n v="0"/>
    <n v="3794700"/>
    <n v="0"/>
    <n v="3794700"/>
    <n v="0"/>
    <n v="3794700"/>
    <n v="0"/>
    <n v="3794700"/>
    <n v="0"/>
    <n v="3794700"/>
    <n v="0"/>
    <n v="3794700"/>
    <n v="0"/>
    <n v="7589400"/>
    <n v="41741700"/>
    <n v="41741700"/>
    <n v="0"/>
    <n v="0"/>
    <s v="Prestar servicios profesionales para apoyar en los proyectos de tecnología en todas sus fases y ciclos de proceso, especialmente, en aquellos enfocados en infraestructura tecnológica a la Oficina de Tecnología de la Información de la UPME."/>
    <n v="41741700"/>
    <m/>
    <m/>
    <m/>
    <m/>
    <n v="3794700"/>
    <m/>
    <n v="3794700"/>
    <m/>
    <n v="3794700"/>
    <m/>
    <n v="3794700"/>
    <m/>
    <n v="3794700"/>
    <m/>
    <n v="3794700"/>
    <m/>
    <n v="3794700"/>
    <m/>
    <n v="3794700"/>
    <m/>
    <n v="3794700"/>
    <m/>
    <n v="7589400"/>
    <m/>
    <m/>
    <n v="41741700"/>
    <n v="41741700"/>
    <n v="0"/>
    <n v="0"/>
    <n v="39726"/>
    <d v="2026-01-15T00:00:00"/>
    <n v="41741700"/>
    <n v="0"/>
    <n v="27826"/>
    <d v="2026-01-28T00:00:00"/>
    <n v="41741700"/>
    <n v="0"/>
    <n v="0"/>
    <s v="ANGULO ANGULO HUGO HAIDER"/>
    <s v="CO1. PCCNTR.9133157"/>
    <n v="41741700"/>
    <m/>
    <m/>
    <m/>
    <n v="252980"/>
    <n v="252980"/>
    <m/>
    <n v="3794700"/>
    <n v="3794700"/>
    <m/>
    <n v="3794700"/>
    <n v="3794700"/>
    <m/>
    <m/>
    <m/>
    <m/>
    <m/>
    <m/>
    <m/>
    <m/>
    <m/>
    <m/>
    <m/>
    <m/>
    <m/>
    <m/>
    <m/>
    <m/>
    <m/>
    <m/>
    <m/>
    <m/>
    <m/>
    <m/>
    <m/>
    <m/>
    <n v="41741700"/>
    <n v="7842380"/>
    <n v="7842380"/>
    <n v="33899320"/>
    <n v="0"/>
  </r>
  <r>
    <x v="0"/>
    <x v="3"/>
    <s v="Fortalecimiento de los servicios digitales aumentando la capacidad para la transformación digital e interacción con el ciudadano"/>
    <s v="TIC"/>
    <s v="Sí"/>
    <s v="Sí"/>
    <n v="20"/>
    <s v="130-2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0 Prestar servicios profesionales para apoyar la administración y el mejoramiento continuo del Sistema de Gestión de Seguridad y Privacidad de la Información – SGSI, en el marco del Modelo de Seguridad y Privacidad de la Información – MSPI, orientado"/>
    <s v="Enero "/>
    <s v="Enero "/>
    <s v="Enero "/>
    <n v="11"/>
    <s v="Meses"/>
    <s v="Contratación directa - Prestación de servicios profesionales "/>
    <s v="Propios - 20 - Ingresos corrientes"/>
    <n v="87200000"/>
    <n v="87200000"/>
    <s v="No"/>
    <s v="N/A"/>
    <s v="Paola del Pilar Puerta Peña"/>
    <s v="Jefe Oficina de Tecnologías de la Información"/>
    <n v="6012220601"/>
    <s v="pilar.puerta@upme.gov.co"/>
    <n v="0"/>
    <n v="0"/>
    <n v="88000000"/>
    <n v="0"/>
    <n v="0"/>
    <n v="8000000"/>
    <n v="0"/>
    <n v="8000000"/>
    <n v="0"/>
    <n v="8000000"/>
    <n v="0"/>
    <n v="8000000"/>
    <n v="0"/>
    <n v="8000000"/>
    <n v="0"/>
    <n v="8000000"/>
    <n v="0"/>
    <n v="8000000"/>
    <n v="0"/>
    <n v="8000000"/>
    <n v="0"/>
    <n v="8000000"/>
    <n v="0"/>
    <n v="16000000"/>
    <n v="88000000"/>
    <n v="88000000"/>
    <n v="-800000"/>
    <n v="-800000"/>
    <s v="Prestar servicios profesionales para apoyar la administración y el mejoramiento continuo del Sistema de Gestión de Seguridad y Privacidad de la Información – SGSI, en el marco del Modelo de Seguridad y Privacidad de la Información – MSPI, orientado a los "/>
    <n v="0"/>
    <n v="0"/>
    <n v="88000000"/>
    <n v="0"/>
    <n v="0"/>
    <n v="7200000"/>
    <n v="-800000"/>
    <n v="8000000"/>
    <n v="0"/>
    <n v="8000000"/>
    <n v="0"/>
    <n v="8000000"/>
    <n v="0"/>
    <n v="8000000"/>
    <n v="0"/>
    <n v="8000000"/>
    <n v="0"/>
    <n v="8000000"/>
    <n v="0"/>
    <n v="8000000"/>
    <n v="0"/>
    <n v="8000000"/>
    <n v="0"/>
    <n v="16000000"/>
    <m/>
    <m/>
    <n v="87200000"/>
    <n v="87200000"/>
    <n v="0"/>
    <n v="0"/>
    <n v="27826"/>
    <d v="2026-01-14T00:00:00"/>
    <n v="88000000"/>
    <n v="-800000"/>
    <n v="39226"/>
    <d v="2026-02-03T00:00:00"/>
    <n v="88000000"/>
    <n v="-800000"/>
    <n v="0"/>
    <s v="ROJAS ROA JAVIER ELKIN"/>
    <s v="CO1.PCCNTR. 9180090"/>
    <m/>
    <m/>
    <m/>
    <n v="88000000"/>
    <m/>
    <m/>
    <m/>
    <n v="7200000"/>
    <n v="7200000"/>
    <m/>
    <n v="8000000"/>
    <n v="8000000"/>
    <m/>
    <m/>
    <m/>
    <m/>
    <m/>
    <m/>
    <m/>
    <m/>
    <m/>
    <m/>
    <m/>
    <m/>
    <m/>
    <m/>
    <m/>
    <m/>
    <m/>
    <m/>
    <m/>
    <m/>
    <m/>
    <m/>
    <m/>
    <m/>
    <n v="88000000"/>
    <n v="15200000"/>
    <n v="15200000"/>
    <n v="72800000"/>
    <n v="0"/>
  </r>
  <r>
    <x v="0"/>
    <x v="3"/>
    <s v="Fortalecimiento de los servicios digitales aumentando la capacidad para la transformación digital e interacción con el ciudadano"/>
    <s v="TIC"/>
    <s v="Sí"/>
    <s v="Sí"/>
    <n v="20"/>
    <s v="130-21"/>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1 Prestar servicios profesionales para gestionar y alinear la Arquitectura Empresarial de sistemas de información de la UPME, garantizando el gobierno de datos y apoyar de manera eficiente la misión y los objetivos estratégicos de la entidad."/>
    <s v="Enero "/>
    <s v="Enero "/>
    <s v="Enero "/>
    <n v="11"/>
    <s v="Meses"/>
    <s v="Contratación directa - Prestación de servicios profesionales "/>
    <s v="Propios - 20 - Ingresos corrientes"/>
    <n v="82250000"/>
    <n v="82250000"/>
    <s v="No"/>
    <s v="N/A"/>
    <s v="Paola del Pilar Puerta Peña"/>
    <s v="Jefe Oficina de Tecnologías de la Información"/>
    <n v="6012220601"/>
    <s v="pilar.puerta@upme.gov.co"/>
    <n v="82500000"/>
    <n v="0"/>
    <n v="0"/>
    <n v="0"/>
    <n v="0"/>
    <n v="7500000"/>
    <n v="0"/>
    <n v="7500000"/>
    <n v="0"/>
    <n v="7500000"/>
    <n v="0"/>
    <n v="7500000"/>
    <n v="0"/>
    <n v="7500000"/>
    <n v="0"/>
    <n v="7500000"/>
    <n v="0"/>
    <n v="7500000"/>
    <n v="0"/>
    <n v="7500000"/>
    <n v="0"/>
    <n v="7500000"/>
    <n v="0"/>
    <n v="15000000"/>
    <n v="82500000"/>
    <n v="82500000"/>
    <n v="-250000"/>
    <n v="-250000"/>
    <s v="Prestar servicios profesionales para gestionar y alinear la Arquitectura Empresarial de sistemas de información de la UPME, garantizando el gobierno de datos y apoyar de manera eficiente la misión y los objetivos estratégicos de la entidad."/>
    <n v="0"/>
    <n v="0"/>
    <n v="82500000"/>
    <n v="0"/>
    <n v="0"/>
    <n v="7250000"/>
    <n v="-250000"/>
    <n v="7500000"/>
    <n v="0"/>
    <n v="7500000"/>
    <n v="0"/>
    <n v="7500000"/>
    <n v="0"/>
    <n v="7500000"/>
    <n v="0"/>
    <n v="7500000"/>
    <n v="0"/>
    <n v="7500000"/>
    <n v="0"/>
    <n v="7500000"/>
    <n v="0"/>
    <n v="7500000"/>
    <n v="0"/>
    <n v="15000000"/>
    <m/>
    <m/>
    <n v="82250000"/>
    <n v="82250000"/>
    <n v="0"/>
    <n v="0"/>
    <n v="27226"/>
    <d v="2026-01-14T00:00:00"/>
    <n v="82500000"/>
    <n v="-250000"/>
    <n v="36926"/>
    <d v="2026-01-30T00:00:00"/>
    <n v="82500000"/>
    <n v="-250000"/>
    <n v="0"/>
    <s v="FONSECA REYES WILLIAM FERNANDO"/>
    <s v="CO1.PCCNTR.9133814"/>
    <n v="82500000"/>
    <m/>
    <m/>
    <m/>
    <m/>
    <m/>
    <m/>
    <n v="7250000"/>
    <n v="7250000"/>
    <m/>
    <n v="7500000"/>
    <n v="7500000"/>
    <m/>
    <m/>
    <m/>
    <m/>
    <m/>
    <m/>
    <m/>
    <m/>
    <m/>
    <m/>
    <m/>
    <m/>
    <m/>
    <m/>
    <m/>
    <m/>
    <m/>
    <m/>
    <m/>
    <m/>
    <m/>
    <m/>
    <m/>
    <m/>
    <n v="82500000"/>
    <n v="14750000"/>
    <n v="14750000"/>
    <n v="67750000"/>
    <n v="0"/>
  </r>
  <r>
    <x v="0"/>
    <x v="3"/>
    <s v="Fortalecimiento de los servicios digitales aumentando la capacidad para la transformación digital e interacción con el ciudadano"/>
    <s v="TIC"/>
    <s v="Sí"/>
    <s v="Sí"/>
    <n v="20"/>
    <s v="130-22"/>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2 Prestar servicios profesionales para fortalecer la gestión estratégica de tecnología y la transformación digital de la entidad; mediante el diseño, alineación y gestión de la implementación de la Arquitectura Empresarial de la UPME, asegurando la r"/>
    <s v="Enero "/>
    <s v="Enero "/>
    <s v="Enero "/>
    <n v="11"/>
    <s v="Meses"/>
    <s v="Contratación directa - Prestación de servicios profesionales "/>
    <s v="Propios - 20 - Ingresos corrientes"/>
    <n v="75133333"/>
    <n v="75133333"/>
    <s v="No"/>
    <s v="N/A"/>
    <s v="Paola del Pilar Puerta Peña"/>
    <s v="Jefe Oficina de Tecnologías de la Información"/>
    <n v="6012220601"/>
    <s v="pilar.puerta@upme.gov.co"/>
    <n v="0"/>
    <n v="0"/>
    <n v="77000000"/>
    <n v="0"/>
    <n v="0"/>
    <n v="7000000"/>
    <n v="0"/>
    <n v="7000000"/>
    <n v="0"/>
    <n v="7000000"/>
    <n v="0"/>
    <n v="7000000"/>
    <n v="0"/>
    <n v="7000000"/>
    <n v="0"/>
    <n v="7000000"/>
    <n v="0"/>
    <n v="7000000"/>
    <n v="0"/>
    <n v="7000000"/>
    <n v="0"/>
    <n v="7000000"/>
    <n v="0"/>
    <n v="14000000"/>
    <n v="77000000"/>
    <n v="77000000"/>
    <n v="-1866667"/>
    <n v="-1866667"/>
    <s v="Prestar servicios profesionales para fortalecer la gestión estratégica de tecnología y la transformación digital de la entidad; mediante el diseño, alineación y gestión de la implementación de la Arquitectura Empresarial de la UPME, asegurando la relación"/>
    <n v="0"/>
    <n v="0"/>
    <n v="77000000"/>
    <n v="0"/>
    <n v="0"/>
    <n v="5133333"/>
    <n v="-1866667"/>
    <n v="7000000"/>
    <n v="0"/>
    <n v="7000000"/>
    <n v="0"/>
    <n v="7000000"/>
    <n v="0"/>
    <n v="7000000"/>
    <n v="0"/>
    <n v="7000000"/>
    <n v="0"/>
    <n v="7000000"/>
    <n v="0"/>
    <n v="7000000"/>
    <n v="0"/>
    <n v="7000000"/>
    <n v="0"/>
    <n v="14000000"/>
    <m/>
    <m/>
    <n v="75133333"/>
    <n v="75133333"/>
    <n v="0"/>
    <n v="0"/>
    <n v="26126"/>
    <d v="2026-01-13T00:00:00"/>
    <n v="77000000"/>
    <n v="-1866667"/>
    <n v="47926"/>
    <d v="2026-02-06T00:00:00"/>
    <n v="77000000"/>
    <n v="-1866667"/>
    <n v="0"/>
    <s v="RODRIGUEZ VALBUENA JOSE MANUEL"/>
    <s v="CO1.PCCNTR. 9259612"/>
    <m/>
    <m/>
    <m/>
    <n v="77000000"/>
    <m/>
    <m/>
    <m/>
    <n v="5133333"/>
    <n v="5133333"/>
    <m/>
    <n v="7000000"/>
    <n v="7000000"/>
    <m/>
    <m/>
    <m/>
    <m/>
    <m/>
    <m/>
    <m/>
    <m/>
    <m/>
    <m/>
    <m/>
    <m/>
    <m/>
    <m/>
    <m/>
    <m/>
    <m/>
    <m/>
    <m/>
    <m/>
    <m/>
    <m/>
    <m/>
    <m/>
    <n v="77000000"/>
    <n v="12133333"/>
    <n v="12133333"/>
    <n v="64866667"/>
    <n v="0"/>
  </r>
  <r>
    <x v="0"/>
    <x v="3"/>
    <s v="Fortalecimiento de los servicios digitales aumentando la capacidad para la transformación digital e interacción con el ciudadano"/>
    <s v="TIC"/>
    <s v="Sí"/>
    <s v="Sí"/>
    <n v="7"/>
    <s v="130-23"/>
    <s v="Incrementar el desarrollo de los habilitadores transversales de la política de gobierno digital."/>
    <s v="Documento para la Planeación Estratégica en TI"/>
    <s v="Mantener y fortalecer el modelo Operativo de TI."/>
    <n v="80111620"/>
    <s v="C-2199-1900-5-53105B-2199066-02"/>
    <x v="0"/>
    <s v="130-23 Prestar servicios de apoyo a la gestión para la comunicación estratégica de la entidad, orientados a la divulgación, socialización y posicionamiento de sus planes, programas, proyectos, procesos y resultados, así como a la articulación de estos con"/>
    <s v="Enero "/>
    <s v="Enero "/>
    <s v="Enero "/>
    <n v="9"/>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36139950"/>
    <n v="0"/>
    <n v="0"/>
    <n v="5000000"/>
    <n v="0"/>
    <n v="5000000"/>
    <n v="0"/>
    <n v="5000000"/>
    <n v="0"/>
    <n v="5000000"/>
    <n v="0"/>
    <n v="5000000"/>
    <n v="0"/>
    <n v="5000000"/>
    <n v="0"/>
    <n v="5000000"/>
    <n v="0"/>
    <n v="1139950"/>
    <n v="0"/>
    <n v="0"/>
    <n v="0"/>
    <n v="0"/>
    <n v="36139950"/>
    <n v="36139950"/>
    <n v="0"/>
    <n v="0"/>
    <s v="Prestar servicios de apoyo a la gestión para la comunicación estratégica de la entidad, orientados a la divulgación, socialización y posicionamiento de sus planes, programas, proyectos, procesos y resultados, así como a la articulación de estos con las es"/>
    <m/>
    <m/>
    <n v="36139950"/>
    <m/>
    <m/>
    <n v="5000000"/>
    <m/>
    <n v="5000000"/>
    <m/>
    <n v="5000000"/>
    <m/>
    <n v="5000000"/>
    <m/>
    <n v="5000000"/>
    <m/>
    <n v="5000000"/>
    <m/>
    <n v="5000000"/>
    <m/>
    <n v="1139950"/>
    <m/>
    <m/>
    <m/>
    <m/>
    <m/>
    <m/>
    <n v="36139950"/>
    <n v="36139950"/>
    <n v="0"/>
    <n v="0"/>
    <n v="64226"/>
    <d v="2026-01-24T00:00:00"/>
    <n v="36139950"/>
    <n v="0"/>
    <n v="46826"/>
    <d v="2026-02-06T00:00:00"/>
    <n v="36139950"/>
    <n v="0"/>
    <n v="0"/>
    <s v="FLOREZ MENDEZ JERLY PAOLA"/>
    <s v="CO1.PCCNTR.9268748"/>
    <m/>
    <m/>
    <m/>
    <n v="36139950"/>
    <m/>
    <m/>
    <m/>
    <n v="3666667"/>
    <n v="3666667"/>
    <m/>
    <n v="5000000"/>
    <n v="5000000"/>
    <m/>
    <m/>
    <m/>
    <m/>
    <m/>
    <m/>
    <m/>
    <m/>
    <m/>
    <m/>
    <m/>
    <m/>
    <m/>
    <m/>
    <m/>
    <m/>
    <m/>
    <m/>
    <m/>
    <m/>
    <m/>
    <m/>
    <m/>
    <m/>
    <n v="36139950"/>
    <n v="8666667"/>
    <n v="8666667"/>
    <n v="27473283"/>
    <n v="0"/>
  </r>
  <r>
    <x v="0"/>
    <x v="3"/>
    <s v="Fortalecimiento de los servicios digitales aumentando la capacidad para la transformación digital e interacción con el ciudadano"/>
    <s v="TIC"/>
    <s v="Sí"/>
    <s v="Sí"/>
    <n v="20"/>
    <s v="130-24"/>
    <s v="Incrementar el desarrollo de los habilitadores transversales de la política de gobierno digital."/>
    <s v="Documento para la Planeación Estratégica en TI"/>
    <s v="Mantener y fortalecer el modelo Operativo de TI."/>
    <n v="80111620"/>
    <s v="C-2199-1900-5-53105B-2199066-02"/>
    <x v="0"/>
    <s v="130-24 Prestar servicios profesionales en la Oficina de Tecnologías de la Información para apoyar actividades administrativas, como la proyección, seguimiento y actualización de los documentos, procesos, procedimientos, guías, instructivos y demás documen"/>
    <s v="Enero "/>
    <s v="Enero "/>
    <s v="Enero "/>
    <n v="11"/>
    <s v="Meses"/>
    <s v="Contratación directa - Prestación de servicios profesionales "/>
    <s v="Propios - 20 - Ingresos corrientes"/>
    <n v="63800000"/>
    <n v="63800000"/>
    <s v="No"/>
    <s v="N/A"/>
    <s v="Paola del Pilar Puerta Peña"/>
    <s v="Jefe Oficina de Tecnologías de la Información"/>
    <n v="6012220601"/>
    <s v="pilar.puerta@upme.gov.co"/>
    <n v="0"/>
    <n v="0"/>
    <n v="66000000"/>
    <n v="0"/>
    <n v="0"/>
    <n v="6000000"/>
    <n v="0"/>
    <n v="6000000"/>
    <n v="0"/>
    <n v="6000000"/>
    <n v="0"/>
    <n v="6000000"/>
    <n v="0"/>
    <n v="6000000"/>
    <n v="0"/>
    <n v="6000000"/>
    <n v="0"/>
    <n v="6000000"/>
    <n v="0"/>
    <n v="6000000"/>
    <n v="0"/>
    <n v="6000000"/>
    <n v="0"/>
    <n v="12000000"/>
    <n v="66000000"/>
    <n v="66000000"/>
    <n v="-2200000"/>
    <n v="-2200000"/>
    <s v="Prestar servicios profesionales en la Oficina de Tecnologías de la Información para apoyar actividades administrativas, como la proyección, seguimiento y actualización de los documentos, procesos, procedimientos, guías, instructivos y demás documentos req"/>
    <n v="0"/>
    <n v="0"/>
    <n v="66000000"/>
    <n v="0"/>
    <n v="0"/>
    <n v="3800000"/>
    <n v="-2200000"/>
    <n v="6000000"/>
    <n v="0"/>
    <n v="6000000"/>
    <n v="0"/>
    <n v="6000000"/>
    <n v="0"/>
    <n v="6000000"/>
    <n v="0"/>
    <n v="6000000"/>
    <n v="0"/>
    <n v="6000000"/>
    <n v="0"/>
    <n v="6000000"/>
    <n v="0"/>
    <n v="6000000"/>
    <n v="0"/>
    <n v="12000000"/>
    <m/>
    <m/>
    <n v="63800000"/>
    <n v="63800000"/>
    <n v="0"/>
    <n v="0"/>
    <n v="26326"/>
    <d v="2026-01-13T00:00:00"/>
    <n v="63800000"/>
    <n v="0"/>
    <n v="58626"/>
    <d v="2026-02-11T00:00:00"/>
    <n v="63800000"/>
    <n v="0"/>
    <n v="0"/>
    <s v="HERNANDEZ TORRES AURA ELENA"/>
    <s v="CO1.PCCNTR.9257064"/>
    <m/>
    <m/>
    <m/>
    <n v="66000000"/>
    <m/>
    <m/>
    <m/>
    <n v="3800000"/>
    <n v="3800000"/>
    <n v="-2200000"/>
    <n v="6000000"/>
    <n v="6000000"/>
    <m/>
    <m/>
    <m/>
    <m/>
    <m/>
    <m/>
    <m/>
    <m/>
    <m/>
    <m/>
    <m/>
    <m/>
    <m/>
    <m/>
    <m/>
    <m/>
    <m/>
    <m/>
    <m/>
    <m/>
    <m/>
    <m/>
    <m/>
    <m/>
    <n v="63800000"/>
    <n v="9800000"/>
    <n v="9800000"/>
    <n v="54000000"/>
    <n v="0"/>
  </r>
  <r>
    <x v="0"/>
    <x v="3"/>
    <s v="Fortalecimiento de los servicios digitales aumentando la capacidad para la transformación digital e interacción con el ciudadano"/>
    <s v="TIC"/>
    <s v="Sí"/>
    <s v="Sí"/>
    <n v="20"/>
    <s v="130-25"/>
    <s v="Mejorar la implementación del modelo de Gestión de Información Institucional."/>
    <s v="Servicios de Información Implementados"/>
    <s v="Identificar y apropiar soluciones de TI."/>
    <n v="80111620"/>
    <s v="C-2199-1900-5-53105B-2199065-02"/>
    <x v="0"/>
    <s v="130-25 Prestar servicios profesionales para apoyar en los proyectos de tecnología en todas sus fases y ciclos de proceso, especialmente, en aquellos enfocados en la calidad de los sistemas de información a la Oficina de Tecnología de la Información de la "/>
    <s v="Enero "/>
    <s v="Enero "/>
    <s v="Enero "/>
    <n v="11"/>
    <s v="Meses"/>
    <s v="Contratación directa - Prestación de servicios profesionales "/>
    <s v="Propios - 20 - Ingresos corrientes"/>
    <n v="76766667"/>
    <n v="76766667"/>
    <s v="No"/>
    <s v="N/A"/>
    <s v="Paola del Pilar Puerta Peña"/>
    <s v="Jefe Oficina de Tecnologías de la Información"/>
    <n v="6012220601"/>
    <s v="pilar.puerta@upme.gov.co"/>
    <n v="77000000"/>
    <n v="0"/>
    <n v="0"/>
    <n v="0"/>
    <n v="0"/>
    <n v="7000000"/>
    <n v="0"/>
    <n v="7000000"/>
    <n v="0"/>
    <n v="7000000"/>
    <n v="0"/>
    <n v="7000000"/>
    <n v="0"/>
    <n v="7000000"/>
    <n v="0"/>
    <n v="7000000"/>
    <n v="0"/>
    <n v="7000000"/>
    <n v="0"/>
    <n v="7000000"/>
    <n v="0"/>
    <n v="7000000"/>
    <n v="0"/>
    <n v="14000000"/>
    <n v="77000000"/>
    <n v="77000000"/>
    <n v="-233333"/>
    <n v="-233333"/>
    <s v="Prestar servicios profesionales para apoyar en los proyectos de tecnología en todas sus fases y ciclos de proceso, especialmente, en aquellos enfocados en la calidad de los sistemas de información a la Oficina de Tecnología de la Información de la UPME"/>
    <n v="77000000"/>
    <n v="0"/>
    <n v="0"/>
    <n v="0"/>
    <n v="0"/>
    <n v="6766667"/>
    <n v="-233333"/>
    <n v="7000000"/>
    <n v="0"/>
    <n v="7000000"/>
    <n v="0"/>
    <n v="7000000"/>
    <n v="0"/>
    <n v="7000000"/>
    <n v="0"/>
    <n v="7000000"/>
    <n v="0"/>
    <n v="7000000"/>
    <n v="0"/>
    <n v="7000000"/>
    <n v="0"/>
    <n v="7000000"/>
    <n v="0"/>
    <n v="14000000"/>
    <m/>
    <m/>
    <n v="76766667"/>
    <n v="76766667"/>
    <n v="0"/>
    <n v="0"/>
    <n v="27426"/>
    <d v="2026-01-14T00:00:00"/>
    <n v="77000000"/>
    <n v="-233333"/>
    <n v="36326"/>
    <d v="2026-01-30T00:00:00"/>
    <n v="77000000"/>
    <n v="-233333"/>
    <n v="0"/>
    <s v="CARO SILVA JUAN SEBASTIAN"/>
    <s v="CO1.PCCNTR.9178571"/>
    <n v="77000000"/>
    <m/>
    <m/>
    <m/>
    <m/>
    <m/>
    <m/>
    <n v="6766667"/>
    <n v="6766667"/>
    <m/>
    <n v="7000000"/>
    <n v="7000000"/>
    <m/>
    <m/>
    <m/>
    <m/>
    <m/>
    <m/>
    <m/>
    <m/>
    <m/>
    <m/>
    <m/>
    <m/>
    <m/>
    <m/>
    <m/>
    <m/>
    <m/>
    <m/>
    <m/>
    <m/>
    <m/>
    <m/>
    <m/>
    <m/>
    <n v="77000000"/>
    <n v="13766667"/>
    <n v="13766667"/>
    <n v="63233333"/>
    <n v="0"/>
  </r>
  <r>
    <x v="0"/>
    <x v="3"/>
    <s v="Fortalecimiento de los servicios digitales aumentando la capacidad para la transformación digital e interacción con el ciudadano"/>
    <s v="TIC"/>
    <s v="Sí"/>
    <s v="Sí"/>
    <n v="20"/>
    <s v="130-2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26 Prestar servicios profesionales especializados para la administración y supervisión integral del entorno tecnológico, abarcando redes, servidores, sistemas y plataformas en la nube, lo que incluye la gestión eficiente de los recursos de TI, la opti"/>
    <s v="Enero "/>
    <s v="Enero "/>
    <s v="Enero "/>
    <n v="11.5"/>
    <s v="Meses"/>
    <s v="Contratación directa - Prestación de servicios profesionales "/>
    <s v="Propios - 20 - Ingresos corrientes"/>
    <n v="115666667"/>
    <n v="115666667"/>
    <s v="No"/>
    <s v="N/A"/>
    <s v="Paola del Pilar Puerta Peña"/>
    <s v="Jefe Oficina de Tecnologías de la Información"/>
    <n v="6012220601"/>
    <s v="pilar.puerta@upme.gov.co"/>
    <n v="115000000"/>
    <n v="0"/>
    <n v="0"/>
    <n v="5333333"/>
    <n v="0"/>
    <n v="10000000"/>
    <n v="0"/>
    <n v="10000000"/>
    <n v="0"/>
    <n v="10000000"/>
    <n v="0"/>
    <n v="10000000"/>
    <n v="0"/>
    <n v="10000000"/>
    <n v="0"/>
    <n v="10000000"/>
    <n v="0"/>
    <n v="10000000"/>
    <n v="0"/>
    <n v="10000000"/>
    <n v="0"/>
    <n v="10000000"/>
    <n v="0"/>
    <n v="19666667"/>
    <n v="115000000"/>
    <n v="115000000"/>
    <n v="666667"/>
    <n v="666667"/>
    <s v="Prestar servicios profesionales especializados para la administración y supervisión integral del entorno tecnológico, abarcando redes, servidores, sistemas y plataformas en la nube, lo que incluye la gestión eficiente de los recursos de TI, la optimizació"/>
    <n v="115000000"/>
    <n v="0"/>
    <n v="0"/>
    <n v="5666667"/>
    <n v="0"/>
    <n v="10000000"/>
    <n v="0"/>
    <n v="10000000"/>
    <n v="666667"/>
    <n v="10000000"/>
    <n v="0"/>
    <n v="10000000"/>
    <n v="0"/>
    <n v="10000000"/>
    <n v="0"/>
    <n v="10000000"/>
    <n v="0"/>
    <n v="10000000"/>
    <n v="0"/>
    <n v="10000000"/>
    <n v="0"/>
    <n v="10000000"/>
    <n v="0"/>
    <n v="20000000"/>
    <m/>
    <m/>
    <n v="115666667"/>
    <n v="115666667"/>
    <n v="0"/>
    <n v="0"/>
    <n v="2926"/>
    <d v="2026-01-05T00:00:00"/>
    <n v="115000000"/>
    <n v="666667"/>
    <n v="6126"/>
    <d v="2026-01-13T00:00:00"/>
    <n v="115000000"/>
    <n v="666667"/>
    <n v="0"/>
    <s v="SIERRA HUERTAS TANIA"/>
    <s v="CO1.PCCNTR.8818891"/>
    <n v="115000000"/>
    <m/>
    <m/>
    <m/>
    <n v="5666666"/>
    <n v="5666666"/>
    <m/>
    <n v="10000000"/>
    <n v="10000000"/>
    <m/>
    <n v="10000000"/>
    <n v="10000000"/>
    <m/>
    <m/>
    <m/>
    <m/>
    <m/>
    <m/>
    <m/>
    <m/>
    <m/>
    <m/>
    <m/>
    <m/>
    <m/>
    <m/>
    <m/>
    <m/>
    <m/>
    <m/>
    <m/>
    <m/>
    <m/>
    <m/>
    <m/>
    <m/>
    <n v="115000000"/>
    <n v="25666666"/>
    <n v="25666666"/>
    <n v="89333334"/>
    <n v="0"/>
  </r>
  <r>
    <x v="0"/>
    <x v="3"/>
    <s v="Fortalecimiento de los servicios digitales aumentando la capacidad para la transformación digital e interacción con el ciudadano"/>
    <s v="TIC"/>
    <s v="Sí"/>
    <s v="Sí"/>
    <n v="20"/>
    <s v="130-27"/>
    <s v="Incrementar el desarrollo de los habilitadores transversales de la política de gobierno digital."/>
    <s v="Documento para la Planeación Estratégica en TI"/>
    <s v="Mantener y fortalecer el modelo Operativo de TI."/>
    <n v="80111620"/>
    <s v="C-2199-1900-5-53105B-2199066-02"/>
    <x v="0"/>
    <s v="130-27 Prestar servicios profesionales para realizar actividades de mantenimiento preventivo y correctivo de equipos de cómputo, diagnóstico y reparación de fallas de hardware y software, así como el diseño, instalación, configuración y puesta en funciona"/>
    <s v="Enero "/>
    <s v="Enero "/>
    <s v="Enero "/>
    <n v="11"/>
    <s v="Meses"/>
    <s v="Contratación directa - Prestación de servicios profesionales "/>
    <s v="Propios - 20 - Ingresos corrientes"/>
    <n v="57200000"/>
    <n v="57200000"/>
    <s v="No"/>
    <s v="N/A"/>
    <s v="Paola del Pilar Puerta Peña"/>
    <s v="Jefe Oficina de Tecnologías de la Información"/>
    <n v="6012220601"/>
    <s v="pilar.puerta@upme.gov.co"/>
    <n v="0"/>
    <n v="0"/>
    <n v="59400000"/>
    <n v="0"/>
    <n v="0"/>
    <n v="5400000"/>
    <n v="0"/>
    <n v="5400000"/>
    <n v="0"/>
    <n v="5400000"/>
    <n v="0"/>
    <n v="5400000"/>
    <n v="0"/>
    <n v="5400000"/>
    <n v="0"/>
    <n v="5400000"/>
    <n v="0"/>
    <n v="5400000"/>
    <n v="0"/>
    <n v="5400000"/>
    <n v="0"/>
    <n v="5400000"/>
    <n v="0"/>
    <n v="10800000"/>
    <n v="59400000"/>
    <n v="59400000"/>
    <n v="-2200000"/>
    <n v="-2200000"/>
    <s v="Prestar servicios profesionales para realizar actividades de mantenimiento preventivo y correctivo de equipos de cómputo, diagnóstico y reparación de fallas de hardware y software, así como el diseño, instalación, configuración y puesta en funcionamiento "/>
    <n v="0"/>
    <n v="0"/>
    <n v="59400000"/>
    <n v="0"/>
    <n v="0"/>
    <n v="3800000"/>
    <n v="-2200000"/>
    <n v="6000000"/>
    <n v="0"/>
    <n v="6000000"/>
    <n v="0"/>
    <n v="6000000"/>
    <n v="0"/>
    <n v="6000000"/>
    <n v="0"/>
    <n v="6000000"/>
    <n v="0"/>
    <n v="6000000"/>
    <n v="0"/>
    <n v="6000000"/>
    <n v="0"/>
    <n v="6000000"/>
    <n v="0"/>
    <n v="5400000"/>
    <m/>
    <m/>
    <n v="57200000"/>
    <n v="57200000"/>
    <n v="0"/>
    <n v="0"/>
    <n v="26226"/>
    <d v="2026-01-13T00:00:00"/>
    <n v="59400000"/>
    <n v="-2200000"/>
    <n v="48226"/>
    <d v="2026-02-06T00:00:00"/>
    <n v="59400000"/>
    <n v="-2200000"/>
    <n v="0"/>
    <s v="RUIZ HERNANDEZ EDWIN JOSE"/>
    <s v="CO1.PCCNTR.9261191"/>
    <m/>
    <m/>
    <m/>
    <n v="59400000"/>
    <m/>
    <m/>
    <m/>
    <n v="3800000"/>
    <n v="3800000"/>
    <m/>
    <n v="6000000"/>
    <n v="6000000"/>
    <m/>
    <m/>
    <m/>
    <m/>
    <m/>
    <m/>
    <m/>
    <m/>
    <m/>
    <m/>
    <m/>
    <m/>
    <m/>
    <m/>
    <m/>
    <m/>
    <m/>
    <m/>
    <m/>
    <m/>
    <m/>
    <m/>
    <m/>
    <m/>
    <n v="59400000"/>
    <n v="9800000"/>
    <n v="9800000"/>
    <n v="49600000"/>
    <n v="0"/>
  </r>
  <r>
    <x v="0"/>
    <x v="3"/>
    <s v="Fortalecimiento de los servicios digitales aumentando la capacidad para la transformación digital e interacción con el ciudadano"/>
    <s v="TIC"/>
    <s v="Sí"/>
    <s v="Sí"/>
    <n v="68"/>
    <s v="130-28"/>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8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9640643"/>
    <n v="9640643"/>
    <s v="No"/>
    <s v="N/A"/>
    <s v="Paola del Pilar Puerta Peña"/>
    <s v="Jefe Oficina de Tecnologías de la Información"/>
    <n v="6012220601"/>
    <s v="pilar.puerta@upme.gov.co"/>
    <n v="0"/>
    <n v="0"/>
    <n v="9640643"/>
    <n v="0"/>
    <n v="0"/>
    <n v="0"/>
    <n v="0"/>
    <n v="0"/>
    <n v="0"/>
    <n v="4511963"/>
    <n v="0"/>
    <n v="5128680"/>
    <n v="0"/>
    <n v="0"/>
    <n v="0"/>
    <n v="0"/>
    <n v="0"/>
    <n v="0"/>
    <n v="0"/>
    <n v="0"/>
    <n v="0"/>
    <n v="0"/>
    <n v="0"/>
    <n v="0"/>
    <n v="9640643"/>
    <n v="9640643"/>
    <n v="0"/>
    <n v="0"/>
    <s v="Prestar servicios profesionales orientados al fortalecimiento de la Dimensión de Control Interno mediante la ejecución del Plan Anual de Auditorías Internas Independientes, con énfasis en la evaluación de la gestión administrativa de la UPME."/>
    <m/>
    <m/>
    <n v="9640643"/>
    <m/>
    <m/>
    <m/>
    <m/>
    <m/>
    <m/>
    <n v="4511963"/>
    <m/>
    <n v="5128680"/>
    <m/>
    <m/>
    <m/>
    <m/>
    <m/>
    <m/>
    <m/>
    <m/>
    <m/>
    <m/>
    <m/>
    <m/>
    <m/>
    <m/>
    <n v="9640643"/>
    <n v="9640643"/>
    <n v="0"/>
    <n v="0"/>
    <n v="64026"/>
    <d v="2026-01-23T00:00:00"/>
    <n v="9640643"/>
    <n v="0"/>
    <n v="59726"/>
    <d v="2026-02-12T00:00:00"/>
    <n v="9640643"/>
    <n v="0"/>
    <n v="0"/>
    <s v="NUÑEZ GANTIVA NATALIA ELIANA"/>
    <s v="CO1.PCCNTR.9306722"/>
    <m/>
    <m/>
    <m/>
    <n v="9640643"/>
    <m/>
    <m/>
    <m/>
    <m/>
    <m/>
    <m/>
    <m/>
    <m/>
    <m/>
    <m/>
    <m/>
    <m/>
    <m/>
    <m/>
    <m/>
    <m/>
    <m/>
    <m/>
    <m/>
    <m/>
    <m/>
    <m/>
    <m/>
    <m/>
    <m/>
    <m/>
    <m/>
    <m/>
    <m/>
    <m/>
    <m/>
    <m/>
    <n v="9640643"/>
    <n v="0"/>
    <n v="0"/>
    <n v="9640643"/>
    <n v="0"/>
  </r>
  <r>
    <x v="0"/>
    <x v="3"/>
    <s v="Fortalecimiento de los servicios digitales aumentando la capacidad para la transformación digital e interacción con el ciudadano"/>
    <s v="TIC"/>
    <s v="Sí"/>
    <s v="Sí"/>
    <n v="68"/>
    <s v="130-29"/>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9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9640643"/>
    <n v="9640643"/>
    <s v="No"/>
    <s v="N/A"/>
    <s v="Paola del Pilar Puerta Peña"/>
    <s v="Jefe Oficina de Tecnologías de la Información"/>
    <n v="6012220601"/>
    <s v="pilar.puerta@upme.gov.co"/>
    <n v="0"/>
    <n v="0"/>
    <n v="0"/>
    <n v="0"/>
    <n v="0"/>
    <n v="0"/>
    <n v="0"/>
    <n v="0"/>
    <n v="0"/>
    <n v="0"/>
    <n v="0"/>
    <n v="0"/>
    <n v="9640643"/>
    <n v="0"/>
    <n v="0"/>
    <n v="0"/>
    <n v="0"/>
    <n v="0"/>
    <n v="0"/>
    <n v="3000000"/>
    <n v="0"/>
    <n v="3000000"/>
    <n v="0"/>
    <n v="3640643"/>
    <n v="9640643"/>
    <n v="9640643"/>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9640643"/>
    <m/>
    <m/>
    <m/>
    <m/>
    <m/>
    <m/>
    <n v="3000000"/>
    <m/>
    <n v="3000000"/>
    <m/>
    <n v="3640643"/>
    <m/>
    <m/>
    <n v="9640643"/>
    <n v="9640643"/>
    <n v="0"/>
    <n v="0"/>
    <m/>
    <m/>
    <m/>
    <n v="9640643"/>
    <m/>
    <m/>
    <n v="0"/>
    <n v="9640643"/>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3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0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9640642"/>
    <n v="9640642"/>
    <s v="No"/>
    <s v="N/A"/>
    <s v="Paola del Pilar Puerta Peña"/>
    <s v="Jefe Oficina de Tecnologías de la Información"/>
    <n v="6012220601"/>
    <s v="pilar.puerta@upme.gov.co"/>
    <n v="0"/>
    <n v="0"/>
    <n v="0"/>
    <n v="0"/>
    <n v="0"/>
    <n v="0"/>
    <n v="0"/>
    <n v="0"/>
    <n v="0"/>
    <n v="0"/>
    <n v="0"/>
    <n v="0"/>
    <n v="9640642"/>
    <n v="0"/>
    <n v="0"/>
    <n v="0"/>
    <n v="0"/>
    <n v="0"/>
    <n v="0"/>
    <n v="3000000"/>
    <n v="0"/>
    <n v="3000000"/>
    <n v="0"/>
    <n v="3640642"/>
    <n v="9640642"/>
    <n v="9640642"/>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9640642"/>
    <m/>
    <m/>
    <m/>
    <m/>
    <m/>
    <m/>
    <n v="3000000"/>
    <m/>
    <n v="3000000"/>
    <m/>
    <n v="3640642"/>
    <m/>
    <m/>
    <n v="9640642"/>
    <n v="9640642"/>
    <n v="0"/>
    <n v="0"/>
    <m/>
    <m/>
    <m/>
    <n v="9640642"/>
    <m/>
    <m/>
    <n v="0"/>
    <n v="9640642"/>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
    <s v="130-31"/>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1 Prestar servicios profesionales para el desarrollo de la gestión contractual de la entidad, desde el Git de Gestión Contractual, en especial, lo relacionado con las actividades derivadas de la Oficina de Tecnologías de la Información."/>
    <s v="Enero "/>
    <s v="Enero "/>
    <s v="Enero "/>
    <n v="6"/>
    <s v="Meses"/>
    <s v="Contratación directa - Prestación de servicios profesionales "/>
    <s v="Propios - 20 - Ingresos corrientes"/>
    <n v="39979800"/>
    <n v="39979800"/>
    <s v="No"/>
    <s v="N/A"/>
    <s v="Paola del Pilar Puerta Peña"/>
    <s v="Jefe Oficina de Tecnologías de la Información"/>
    <n v="6012220601"/>
    <s v="pilar.puerta@upme.gov.co"/>
    <n v="39979800"/>
    <n v="0"/>
    <n v="0"/>
    <n v="4664310"/>
    <n v="0"/>
    <n v="6663300"/>
    <n v="0"/>
    <n v="6663300"/>
    <n v="0"/>
    <n v="6663300"/>
    <n v="0"/>
    <n v="6663300"/>
    <n v="0"/>
    <n v="6663300"/>
    <n v="0"/>
    <n v="1998990"/>
    <n v="0"/>
    <n v="0"/>
    <n v="0"/>
    <n v="0"/>
    <n v="0"/>
    <n v="0"/>
    <n v="0"/>
    <n v="0"/>
    <n v="39979800"/>
    <n v="39979800"/>
    <n v="0"/>
    <n v="0"/>
    <s v="Prestar servicios profesionales para el desarrollo de la gestión contractual de la entidad, desde el Git de Gestión Contractual, en especial, lo relacionado con las actividades derivadas de la Oficina de Tecnologías de la Información."/>
    <n v="39979800"/>
    <m/>
    <m/>
    <n v="4664310"/>
    <m/>
    <n v="6663300"/>
    <m/>
    <n v="6663300"/>
    <m/>
    <n v="6663300"/>
    <m/>
    <n v="6663300"/>
    <m/>
    <n v="6663300"/>
    <m/>
    <n v="1998990"/>
    <m/>
    <m/>
    <m/>
    <m/>
    <m/>
    <m/>
    <m/>
    <m/>
    <m/>
    <m/>
    <n v="39979800"/>
    <n v="39979800"/>
    <n v="0"/>
    <n v="0"/>
    <n v="6626"/>
    <d v="2026-01-06T00:00:00"/>
    <n v="39979800"/>
    <n v="0"/>
    <n v="3226"/>
    <d v="2026-01-09T00:00:00"/>
    <n v="39979800"/>
    <n v="0"/>
    <n v="0"/>
    <s v="CORREDOR ROJAS CLAUDIA PATRICIA"/>
    <s v="CO1.PCCNTR.8788046"/>
    <n v="39979800"/>
    <m/>
    <m/>
    <m/>
    <n v="3997980"/>
    <n v="3997980"/>
    <m/>
    <m/>
    <m/>
    <m/>
    <n v="13326600"/>
    <n v="13326600"/>
    <m/>
    <m/>
    <m/>
    <m/>
    <m/>
    <m/>
    <m/>
    <m/>
    <m/>
    <m/>
    <m/>
    <m/>
    <m/>
    <m/>
    <m/>
    <m/>
    <m/>
    <m/>
    <m/>
    <m/>
    <m/>
    <m/>
    <m/>
    <m/>
    <n v="39979800"/>
    <n v="17324580"/>
    <n v="17324580"/>
    <n v="22655220"/>
    <n v="0"/>
  </r>
  <r>
    <x v="0"/>
    <x v="3"/>
    <s v="Fortalecimiento de los servicios digitales aumentando la capacidad para la transformación digital e interacción con el ciudadano"/>
    <s v="TIC"/>
    <s v="Sí"/>
    <s v="Sí"/>
    <n v="20"/>
    <s v="130-32"/>
    <s v="Incrementar el desarrollo de los habilitadores transversales de la política de gobierno digital."/>
    <s v="Documento para la Planeación Estratégica en TI"/>
    <s v="Mantener y fortalecer el modelo Operativo de TI."/>
    <n v="80111620"/>
    <s v="C-2199-1900-5-53105B-2199066-02"/>
    <x v="0"/>
    <s v="130-32 Prestar servicios profesionales para apoyar a la oficina de tecnologías de la información en la implementación del Modelo de Gestión y Gobierno de acuerdo a los lineamientos establecidos por el MinTIC."/>
    <s v="Enero "/>
    <s v="Enero "/>
    <s v="Enero "/>
    <n v="11"/>
    <s v="Meses"/>
    <s v="Contratación directa - Prestación de servicios profesionales "/>
    <s v="Propios - 20 - Ingresos corrientes"/>
    <n v="38850630"/>
    <n v="38850630"/>
    <s v="No"/>
    <s v="N/A"/>
    <s v="Paola del Pilar Puerta Peña"/>
    <s v="Jefe Oficina de Tecnologías de la Información"/>
    <n v="6012220601"/>
    <s v="pilar.puerta@upme.gov.co"/>
    <n v="0"/>
    <n v="0"/>
    <n v="39939900"/>
    <n v="0"/>
    <n v="0"/>
    <n v="3630900"/>
    <n v="0"/>
    <n v="3630900"/>
    <n v="0"/>
    <n v="3630900"/>
    <n v="0"/>
    <n v="3630900"/>
    <n v="0"/>
    <n v="3630900"/>
    <n v="0"/>
    <n v="3630900"/>
    <n v="0"/>
    <n v="3630900"/>
    <n v="0"/>
    <n v="3630900"/>
    <n v="0"/>
    <n v="3630900"/>
    <n v="0"/>
    <n v="7261800"/>
    <n v="39939900"/>
    <n v="39939900"/>
    <n v="-1089270"/>
    <n v="-1089270"/>
    <s v="Prestar servicios profesionales para apoyar a la oficina de tecnologías de la información en la implementación del Modelo de Gestión y Gobierno de acuerdo a los lineamientos establecidos por el MinTIC."/>
    <n v="0"/>
    <n v="0"/>
    <n v="39939900"/>
    <n v="0"/>
    <n v="0"/>
    <n v="2541630"/>
    <n v="-1089270"/>
    <n v="3630900"/>
    <n v="0"/>
    <n v="3630900"/>
    <n v="0"/>
    <n v="3630900"/>
    <n v="0"/>
    <n v="3630900"/>
    <n v="0"/>
    <n v="3630900"/>
    <n v="0"/>
    <n v="3630900"/>
    <n v="0"/>
    <n v="3630900"/>
    <n v="0"/>
    <n v="3630900"/>
    <n v="0"/>
    <n v="7261800"/>
    <m/>
    <m/>
    <n v="38850630"/>
    <n v="38850630"/>
    <n v="0"/>
    <n v="0"/>
    <n v="26726"/>
    <d v="2026-01-14T00:00:00"/>
    <n v="39939900"/>
    <n v="-1089270"/>
    <n v="52126"/>
    <d v="2026-02-09T00:00:00"/>
    <n v="39939900"/>
    <n v="-1089270"/>
    <n v="0"/>
    <s v="QUINTERO DAVILA RICARDO"/>
    <s v="CO1.PCCNTR.9272950"/>
    <m/>
    <m/>
    <m/>
    <n v="39939900"/>
    <m/>
    <m/>
    <m/>
    <n v="2541630"/>
    <n v="2541630"/>
    <m/>
    <n v="3630900"/>
    <n v="3630900"/>
    <m/>
    <m/>
    <m/>
    <m/>
    <m/>
    <m/>
    <m/>
    <m/>
    <m/>
    <m/>
    <m/>
    <m/>
    <m/>
    <m/>
    <m/>
    <m/>
    <m/>
    <m/>
    <m/>
    <m/>
    <m/>
    <m/>
    <m/>
    <m/>
    <n v="39939900"/>
    <n v="6172530"/>
    <n v="6172530"/>
    <n v="33767370"/>
    <n v="0"/>
  </r>
  <r>
    <x v="0"/>
    <x v="3"/>
    <s v="Fortalecimiento de los servicios digitales aumentando la capacidad para la transformación digital e interacción con el ciudadano"/>
    <s v="TIC"/>
    <s v="Sí"/>
    <s v="Sí"/>
    <n v="2"/>
    <s v="130-33"/>
    <s v="Incrementar el desarrollo de los habilitadores transversales de la política de gobierno digital."/>
    <s v="Documento para la Planeación Estratégica en TI"/>
    <s v="Mantener y fortalecer el modelo Operativo de TI."/>
    <n v="80111620"/>
    <s v="C-2199-1900-5-53105B-2199066-02"/>
    <x v="0"/>
    <s v="130-33 Prestar servicios profesionales especializados para el desarrollo de la gestión contractual de la Unidad, brindando especial atención a las necesidades de la Oficina de Tecnologías de la Información, en coordinación del Jit de Gestión Contractual."/>
    <s v="Enero "/>
    <s v="Enero "/>
    <s v="Enero "/>
    <n v="6"/>
    <s v="Meses"/>
    <s v="Contratación directa - Prestación de servicios profesionales "/>
    <s v="Propios - 20 - Ingresos corrientes"/>
    <n v="39000000"/>
    <n v="39000000"/>
    <s v="No"/>
    <s v="N/A"/>
    <s v="Paola del Pilar Puerta Peña"/>
    <s v="Jefe Oficina de Tecnologías de la Información"/>
    <n v="6012220601"/>
    <s v="pilar.puerta@upme.gov.co"/>
    <n v="39000000"/>
    <n v="0"/>
    <n v="0"/>
    <n v="3250000"/>
    <n v="0"/>
    <n v="6500000"/>
    <n v="0"/>
    <n v="6500000"/>
    <n v="0"/>
    <n v="6500000"/>
    <n v="0"/>
    <n v="6500000"/>
    <n v="0"/>
    <n v="6500000"/>
    <n v="0"/>
    <n v="3250000"/>
    <n v="0"/>
    <n v="0"/>
    <n v="0"/>
    <n v="0"/>
    <n v="0"/>
    <n v="0"/>
    <n v="0"/>
    <n v="0"/>
    <n v="39000000"/>
    <n v="39000000"/>
    <n v="0"/>
    <n v="0"/>
    <s v="Prestar servicios profesionales especializados para el desarrollo de la gestión contractual de la Unidad, brindando especial atención a las necesidades de la Oficina de Tecnologías de la Información, en coordinación del Jit de Gestión Contractual."/>
    <n v="39000000"/>
    <m/>
    <m/>
    <n v="3250000"/>
    <m/>
    <n v="6500000"/>
    <m/>
    <n v="6500000"/>
    <m/>
    <n v="6500000"/>
    <m/>
    <n v="6500000"/>
    <m/>
    <n v="6500000"/>
    <m/>
    <n v="3250000"/>
    <m/>
    <m/>
    <m/>
    <m/>
    <m/>
    <m/>
    <m/>
    <m/>
    <m/>
    <m/>
    <n v="39000000"/>
    <n v="39000000"/>
    <n v="0"/>
    <n v="0"/>
    <n v="6226"/>
    <d v="2026-01-06T00:00:00"/>
    <n v="39000000"/>
    <n v="0"/>
    <n v="3526"/>
    <d v="2026-01-09T00:00:00"/>
    <n v="39000000"/>
    <n v="0"/>
    <n v="0"/>
    <s v="HERRERA DE LA HOZ MILENA DEL PILAR"/>
    <s v="CO1.PCCNTR.8786372"/>
    <n v="39000000"/>
    <m/>
    <m/>
    <m/>
    <n v="3900000"/>
    <n v="3900000"/>
    <m/>
    <n v="6500000"/>
    <n v="6500000"/>
    <m/>
    <n v="6500000"/>
    <n v="6500000"/>
    <m/>
    <m/>
    <m/>
    <m/>
    <m/>
    <m/>
    <m/>
    <m/>
    <m/>
    <m/>
    <m/>
    <m/>
    <m/>
    <m/>
    <m/>
    <m/>
    <m/>
    <m/>
    <m/>
    <m/>
    <m/>
    <m/>
    <m/>
    <m/>
    <n v="39000000"/>
    <n v="16900000"/>
    <n v="16900000"/>
    <n v="22100000"/>
    <n v="0"/>
  </r>
  <r>
    <x v="0"/>
    <x v="3"/>
    <s v="Fortalecimiento de los servicios digitales aumentando la capacidad para la transformación digital e interacción con el ciudadano"/>
    <s v="TIC"/>
    <s v="Sí"/>
    <s v="Sí"/>
    <n v="16"/>
    <s v="130-34"/>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4 Prestar servicios profesionales para el desarrollo de las actividades relacionadas con la gestión contractual de la Oficina de Tecnologías de la Información, y para el apoyo de las mismas de manera transversal en la Entidad."/>
    <s v="Enero "/>
    <s v="Enero "/>
    <s v="Enero "/>
    <n v="6"/>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19712700"/>
    <n v="0"/>
    <n v="0"/>
    <n v="3285450"/>
    <n v="0"/>
    <n v="3285450"/>
    <n v="0"/>
    <n v="3285450"/>
    <n v="0"/>
    <n v="3285450"/>
    <n v="0"/>
    <n v="3285450"/>
    <n v="0"/>
    <n v="3285450"/>
    <n v="0"/>
    <n v="0"/>
    <n v="0"/>
    <n v="0"/>
    <n v="0"/>
    <n v="0"/>
    <n v="19287300"/>
    <n v="19287300"/>
    <n v="39000000"/>
    <n v="39000000"/>
    <n v="-2860050"/>
    <n v="-2860050"/>
    <s v="Prestar servicios profesionales para el desarrollo de las actividades relacionadas con la gestión contractual de la Oficina de Tecnologías de la Información, y para el apoyo de las mismas de manera transversal en la Entidad."/>
    <n v="36139950"/>
    <n v="0"/>
    <n v="0"/>
    <n v="0"/>
    <n v="0"/>
    <n v="3285450"/>
    <n v="0"/>
    <n v="3285450"/>
    <n v="0"/>
    <n v="3285450"/>
    <n v="0"/>
    <n v="3285450"/>
    <n v="0"/>
    <n v="3285450"/>
    <n v="0"/>
    <n v="3285450"/>
    <n v="0"/>
    <n v="0"/>
    <n v="0"/>
    <n v="0"/>
    <n v="0"/>
    <n v="0"/>
    <n v="0"/>
    <n v="16427250"/>
    <m/>
    <m/>
    <n v="36139950"/>
    <n v="36139950"/>
    <n v="0"/>
    <n v="0"/>
    <n v="67426"/>
    <d v="2026-01-30T00:00:00"/>
    <n v="36139950"/>
    <n v="0"/>
    <n v="54126"/>
    <d v="2026-02-10T00:00:00"/>
    <n v="19712700"/>
    <n v="16427250"/>
    <n v="16427250"/>
    <s v="VILLALBA ALVAREZ WILMAN JOSÉ"/>
    <s v="CO1.PCCNTR.9308424"/>
    <m/>
    <m/>
    <m/>
    <n v="19712700"/>
    <m/>
    <m/>
    <m/>
    <n v="2190300"/>
    <n v="2190300"/>
    <m/>
    <n v="3285450"/>
    <n v="3285450"/>
    <m/>
    <m/>
    <m/>
    <m/>
    <m/>
    <m/>
    <m/>
    <m/>
    <m/>
    <m/>
    <m/>
    <m/>
    <m/>
    <m/>
    <m/>
    <m/>
    <m/>
    <m/>
    <m/>
    <m/>
    <m/>
    <m/>
    <m/>
    <m/>
    <n v="19712700"/>
    <n v="5475750"/>
    <n v="5475750"/>
    <n v="14236950"/>
    <n v="0"/>
  </r>
  <r>
    <x v="0"/>
    <x v="3"/>
    <s v="Fortalecimiento de los servicios digitales aumentando la capacidad para la transformación digital e interacción con el ciudadano"/>
    <s v="TIC"/>
    <s v="Sí"/>
    <s v="Sí"/>
    <n v="16"/>
    <s v="130-35"/>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5 Prestar servicios profesionales especializados para apoyar de manera transversal la gestión del talento humano de la Unidad de Planeación Minero Energética UPME, mediante la implementación, seguimiento y mejora del Sistema de Gestión de Seguridad y"/>
    <s v="Enero "/>
    <s v="Enero "/>
    <s v="Enero "/>
    <n v="11.5"/>
    <s v="Meses"/>
    <s v="Contratación directa - Prestación de servicios profesionales "/>
    <s v="Propios - 20 - Ingresos corrientes"/>
    <n v="60500000"/>
    <n v="60500000"/>
    <s v="No"/>
    <s v="N/A"/>
    <s v="Paola del Pilar Puerta Peña"/>
    <s v="Jefe Oficina de Tecnologías de la Información"/>
    <n v="6012220601"/>
    <s v="pilar.puerta@upme.gov.co"/>
    <n v="60500000"/>
    <n v="0"/>
    <n v="0"/>
    <n v="0"/>
    <n v="0"/>
    <n v="5500000"/>
    <n v="0"/>
    <n v="5500000"/>
    <n v="0"/>
    <n v="5500000"/>
    <n v="0"/>
    <n v="5500000"/>
    <n v="0"/>
    <n v="5500000"/>
    <n v="0"/>
    <n v="5500000"/>
    <n v="0"/>
    <n v="5500000"/>
    <n v="0"/>
    <n v="5500000"/>
    <n v="0"/>
    <n v="5500000"/>
    <n v="2750000"/>
    <n v="13750000"/>
    <n v="63250000"/>
    <n v="63250000"/>
    <n v="-2750000"/>
    <n v="-2750000"/>
    <s v="Prestar servicios profesionales especializados para apoyar de manera transversal la gestión del talento humano de la Unidad de Planeación Minero Energética UPME, mediante la implementación, seguimiento y mejora del Sistema de Gestión de Seguridad y Salud "/>
    <n v="60500000"/>
    <n v="0"/>
    <n v="0"/>
    <n v="0"/>
    <n v="0"/>
    <n v="5500000"/>
    <n v="0"/>
    <n v="5500000"/>
    <n v="0"/>
    <n v="5500000"/>
    <n v="0"/>
    <n v="5500000"/>
    <n v="0"/>
    <n v="5500000"/>
    <n v="0"/>
    <n v="5500000"/>
    <n v="0"/>
    <n v="5500000"/>
    <n v="0"/>
    <n v="5500000"/>
    <n v="0"/>
    <n v="5500000"/>
    <n v="0"/>
    <n v="11000000"/>
    <m/>
    <m/>
    <n v="60500000"/>
    <n v="60500000"/>
    <n v="0"/>
    <n v="0"/>
    <n v="27626"/>
    <d v="2026-01-14T00:00:00"/>
    <n v="60500000"/>
    <n v="0"/>
    <n v="28726"/>
    <d v="2026-01-28T00:00:00"/>
    <n v="60500000"/>
    <n v="0"/>
    <n v="0"/>
    <s v="TAPIA SANCHEZ KATTY CAROLINA"/>
    <s v="CO1.PCCNTR.9141654"/>
    <n v="60500000"/>
    <m/>
    <m/>
    <m/>
    <m/>
    <m/>
    <m/>
    <n v="5866666"/>
    <n v="5866666"/>
    <m/>
    <n v="5500000"/>
    <n v="5500000"/>
    <m/>
    <m/>
    <m/>
    <m/>
    <m/>
    <m/>
    <m/>
    <m/>
    <m/>
    <m/>
    <m/>
    <m/>
    <m/>
    <m/>
    <m/>
    <m/>
    <m/>
    <m/>
    <m/>
    <m/>
    <m/>
    <m/>
    <m/>
    <m/>
    <n v="60500000"/>
    <n v="11366666"/>
    <n v="11366666"/>
    <n v="49133334"/>
    <n v="0"/>
  </r>
  <r>
    <x v="0"/>
    <x v="3"/>
    <s v="Fortalecimiento de los servicios digitales aumentando la capacidad para la transformación digital e interacción con el ciudadano"/>
    <s v="TIC"/>
    <s v="Sí"/>
    <s v="Sí"/>
    <n v="20"/>
    <s v="130-3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6 Prestar servicios profesionales especializados orientados a la atención, análisis y resolución de incidentes o requerimientos que afecten los sistemas de información implementados en la UPME, así como la plataforma tecnológica necesaria para su ope"/>
    <s v="Enero "/>
    <s v="Enero "/>
    <s v="Enero "/>
    <n v="11"/>
    <s v="Meses"/>
    <s v="Contratación directa - Prestación de servicios profesionales "/>
    <s v="Propios - 20 - Ingresos corrientes"/>
    <n v="7900000"/>
    <n v="7900000"/>
    <s v="No"/>
    <s v="N/A"/>
    <s v="Paola del Pilar Puerta Peña"/>
    <s v="Jefe Oficina de Tecnologías de la Información"/>
    <n v="6012220601"/>
    <s v="pilar.puerta@upme.gov.co"/>
    <n v="5500000"/>
    <n v="0"/>
    <n v="0"/>
    <n v="0"/>
    <n v="0"/>
    <n v="0"/>
    <n v="0"/>
    <n v="0"/>
    <n v="0"/>
    <n v="0"/>
    <n v="0"/>
    <n v="0"/>
    <n v="0"/>
    <n v="0"/>
    <n v="0"/>
    <n v="0"/>
    <n v="0"/>
    <n v="0"/>
    <n v="0"/>
    <n v="0"/>
    <n v="0"/>
    <n v="0"/>
    <n v="0"/>
    <n v="5500000"/>
    <n v="5500000"/>
    <n v="5500000"/>
    <n v="2400000"/>
    <n v="2400000"/>
    <s v="Prestar servicios profesionales especializados orientados a la atención, análisis y resolución de incidentes o requerimientos que afecten los sistemas de información implementados en la UPME, así como la plataforma tecnológica necesaria para su operación."/>
    <n v="5500000"/>
    <n v="0"/>
    <n v="0"/>
    <n v="0"/>
    <n v="0"/>
    <n v="600000"/>
    <n v="0"/>
    <n v="7300000"/>
    <n v="2400000"/>
    <n v="0"/>
    <n v="0"/>
    <n v="0"/>
    <n v="0"/>
    <n v="0"/>
    <n v="0"/>
    <n v="0"/>
    <n v="0"/>
    <n v="0"/>
    <n v="0"/>
    <n v="0"/>
    <n v="0"/>
    <n v="0"/>
    <n v="0"/>
    <n v="0"/>
    <m/>
    <m/>
    <n v="7900000"/>
    <n v="7900000"/>
    <n v="0"/>
    <n v="0"/>
    <n v="29426"/>
    <d v="2026-01-14T00:00:00"/>
    <n v="5500000"/>
    <n v="2400000"/>
    <n v="16526"/>
    <d v="2026-01-22T00:00:00"/>
    <n v="5500000"/>
    <n v="2400000"/>
    <n v="0"/>
    <s v="ESPINOSA MUÑOZ NINROTH"/>
    <s v="CO1.PCCNTR 8899609"/>
    <n v="5500000"/>
    <m/>
    <m/>
    <m/>
    <m/>
    <m/>
    <m/>
    <n v="600000"/>
    <n v="600000"/>
    <m/>
    <m/>
    <m/>
    <m/>
    <m/>
    <m/>
    <m/>
    <m/>
    <m/>
    <m/>
    <m/>
    <m/>
    <m/>
    <m/>
    <m/>
    <m/>
    <m/>
    <m/>
    <m/>
    <m/>
    <m/>
    <m/>
    <m/>
    <m/>
    <m/>
    <m/>
    <m/>
    <n v="5500000"/>
    <n v="600000"/>
    <n v="600000"/>
    <n v="4900000"/>
    <n v="0"/>
  </r>
  <r>
    <x v="0"/>
    <x v="3"/>
    <s v="Fortalecimiento de los servicios digitales aumentando la capacidad para la transformación digital e interacción con el ciudadano"/>
    <s v="TIC"/>
    <s v="Sí"/>
    <s v="Sí"/>
    <n v="20"/>
    <s v="130-37"/>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7 Prestar los servicios profesionales de acompañamiento jurídico y técnico en los asuntos de gestión precontractual, contractual y pos contractual de la Oficina de Tecnologías de la Información"/>
    <s v="Enero "/>
    <s v="Enero "/>
    <s v="Enero "/>
    <n v="11.5"/>
    <s v="Meses"/>
    <s v="Contratación directa - Prestación de servicios profesionales "/>
    <s v="Propios - 20 - Ingresos corrientes"/>
    <n v="105600000"/>
    <n v="105600000"/>
    <s v="No"/>
    <s v="N/A"/>
    <s v="Paola del Pilar Puerta Peña"/>
    <s v="Jefe Oficina de Tecnologías de la Información"/>
    <n v="6012220601"/>
    <s v="pilar.puerta@upme.gov.co"/>
    <n v="103500000"/>
    <n v="0"/>
    <n v="0"/>
    <n v="6600000"/>
    <n v="0"/>
    <n v="9000000"/>
    <n v="0"/>
    <n v="9000000"/>
    <n v="0"/>
    <n v="9000000"/>
    <n v="0"/>
    <n v="9000000"/>
    <n v="0"/>
    <n v="9000000"/>
    <n v="0"/>
    <n v="9000000"/>
    <n v="0"/>
    <n v="9000000"/>
    <n v="0"/>
    <n v="9000000"/>
    <n v="0"/>
    <n v="9000000"/>
    <n v="0"/>
    <n v="15900000"/>
    <n v="103500000"/>
    <n v="103500000"/>
    <n v="2100000"/>
    <n v="2100000"/>
    <s v="Prestar los servicios profesionales de acompañamiento jurídico y técnico en los asuntos de gestión precontractual, contractual y pos contractual de la Oficina de Tecnologías de la Información"/>
    <n v="103500000"/>
    <n v="0"/>
    <n v="0"/>
    <n v="6600000"/>
    <n v="0"/>
    <n v="9000000"/>
    <n v="0"/>
    <n v="9000000"/>
    <n v="2100000"/>
    <n v="9000000"/>
    <n v="0"/>
    <n v="9000000"/>
    <n v="0"/>
    <n v="9000000"/>
    <n v="0"/>
    <n v="9000000"/>
    <n v="0"/>
    <n v="9000000"/>
    <n v="0"/>
    <n v="9000000"/>
    <n v="0"/>
    <n v="9000000"/>
    <n v="0"/>
    <n v="18000000"/>
    <m/>
    <m/>
    <n v="105600000"/>
    <n v="105600000"/>
    <n v="0"/>
    <n v="0"/>
    <n v="2826"/>
    <d v="2026-01-05T00:00:00"/>
    <n v="103500000"/>
    <n v="2100000"/>
    <n v="2626"/>
    <d v="2026-01-08T00:00:00"/>
    <n v="103500000"/>
    <n v="2100000"/>
    <n v="0"/>
    <s v="DIAZ SOLANO ANDREI ALEXANDER"/>
    <s v="CO1.PCCNTR.8782296"/>
    <n v="103500000"/>
    <m/>
    <m/>
    <m/>
    <n v="6600000"/>
    <n v="6600000"/>
    <m/>
    <n v="9000000"/>
    <n v="9000000"/>
    <m/>
    <n v="9000000"/>
    <n v="9000000"/>
    <m/>
    <m/>
    <m/>
    <m/>
    <m/>
    <m/>
    <m/>
    <m/>
    <m/>
    <m/>
    <m/>
    <m/>
    <m/>
    <m/>
    <m/>
    <m/>
    <m/>
    <m/>
    <m/>
    <m/>
    <m/>
    <m/>
    <m/>
    <m/>
    <n v="103500000"/>
    <n v="24600000"/>
    <n v="24600000"/>
    <n v="78900000"/>
    <n v="0"/>
  </r>
  <r>
    <x v="0"/>
    <x v="3"/>
    <s v="Fortalecimiento de los servicios digitales aumentando la capacidad para la transformación digital e interacción con el ciudadano"/>
    <s v="TIC"/>
    <s v="Sí"/>
    <s v="Sí"/>
    <n v="20"/>
    <s v="130-38"/>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8 Prestar servicios profesionales para la revisión, diagnóstico, evaluación y definición de lineamientos en materia de infraestructura tecnológica, servicios tecnológicos, telecomunicaciones y ciberseguridad, con el fin de orientar y garantizar que s"/>
    <s v="Enero "/>
    <s v="Enero "/>
    <s v="Enero "/>
    <n v="11"/>
    <s v="Meses"/>
    <s v="Contratación directa - Prestación de servicios profesionales "/>
    <s v="Propios - 20 - Ingresos corrientes"/>
    <n v="8300000"/>
    <n v="8300000"/>
    <s v="No"/>
    <s v="N/A"/>
    <s v="Paola del Pilar Puerta Peña"/>
    <s v="Jefe Oficina de Tecnologías de la Información"/>
    <n v="6012220601"/>
    <s v="pilar.puerta@upme.gov.co"/>
    <n v="0"/>
    <n v="0"/>
    <n v="11000000"/>
    <n v="0"/>
    <n v="0"/>
    <n v="0"/>
    <n v="0"/>
    <n v="0"/>
    <n v="0"/>
    <n v="0"/>
    <n v="0"/>
    <n v="0"/>
    <n v="0"/>
    <n v="0"/>
    <n v="0"/>
    <n v="0"/>
    <n v="0"/>
    <n v="0"/>
    <n v="0"/>
    <n v="0"/>
    <n v="0"/>
    <n v="0"/>
    <n v="0"/>
    <n v="11000000"/>
    <n v="11000000"/>
    <n v="11000000"/>
    <n v="-2700000"/>
    <n v="-2700000"/>
    <s v="Prestar servicios profesionales para la revisión, diagnóstico, evaluación y definición de lineamientos en materia de infraestructura tecnológica, servicios tecnológicos, telecomunicaciones y ciberseguridad, con el fin de orientar y garantizar que se cumpl"/>
    <n v="0"/>
    <n v="0"/>
    <n v="11000000"/>
    <n v="0"/>
    <n v="0"/>
    <n v="0"/>
    <n v="-2700000"/>
    <n v="0"/>
    <n v="0"/>
    <n v="0"/>
    <n v="0"/>
    <n v="0"/>
    <n v="0"/>
    <n v="0"/>
    <n v="0"/>
    <n v="0"/>
    <n v="0"/>
    <n v="0"/>
    <n v="0"/>
    <n v="0"/>
    <n v="0"/>
    <n v="0"/>
    <n v="0"/>
    <n v="8300000"/>
    <m/>
    <m/>
    <n v="8300000"/>
    <n v="8300000"/>
    <n v="0"/>
    <n v="0"/>
    <n v="29126"/>
    <d v="2026-01-14T00:00:00"/>
    <n v="8300000"/>
    <n v="0"/>
    <n v="51126"/>
    <d v="2026-02-09T00:00:00"/>
    <n v="8300000"/>
    <n v="0"/>
    <n v="0"/>
    <s v="CARVAJAL RAMIREZ JOAN RENE"/>
    <s v="CO1.PCCNTR.9268464"/>
    <m/>
    <m/>
    <m/>
    <n v="11000000"/>
    <m/>
    <m/>
    <m/>
    <m/>
    <m/>
    <n v="-2700000"/>
    <m/>
    <m/>
    <m/>
    <m/>
    <m/>
    <m/>
    <m/>
    <m/>
    <m/>
    <m/>
    <m/>
    <m/>
    <m/>
    <m/>
    <m/>
    <m/>
    <m/>
    <m/>
    <m/>
    <m/>
    <m/>
    <m/>
    <m/>
    <m/>
    <m/>
    <m/>
    <n v="8300000"/>
    <n v="0"/>
    <n v="0"/>
    <n v="8300000"/>
    <n v="0"/>
  </r>
  <r>
    <x v="0"/>
    <x v="3"/>
    <s v="Fortalecimiento de los servicios digitales aumentando la capacidad para la transformación digital e interacción con el ciudadano"/>
    <s v="TIC"/>
    <s v="Sí"/>
    <s v="Sí"/>
    <n v="20"/>
    <s v="130-39"/>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9 Prestar servicios profesionales en la Oficina de Tecnologías de la Información para apoyar la implementación de buenas prácticas en Gestión de Proyectos y en el seguimiento al Plan Estratégico de Tecnologías de la Información."/>
    <s v="Enero "/>
    <s v="Enero "/>
    <s v="Enero "/>
    <n v="11"/>
    <s v="Meses"/>
    <s v="Contratación directa - Prestación de servicios profesionales "/>
    <s v="Propios - 20 - Ingresos corrientes"/>
    <n v="10080000"/>
    <n v="10080000"/>
    <s v="No"/>
    <s v="N/A"/>
    <s v="Paola del Pilar Puerta Peña"/>
    <s v="Jefe Oficina de Tecnologías de la Información"/>
    <n v="6012220601"/>
    <s v="pilar.puerta@upme.gov.co"/>
    <n v="59400000"/>
    <n v="0"/>
    <n v="0"/>
    <n v="1620000"/>
    <n v="0"/>
    <n v="5400000"/>
    <n v="0"/>
    <n v="5400000"/>
    <n v="0"/>
    <n v="5400000"/>
    <n v="0"/>
    <n v="5400000"/>
    <n v="0"/>
    <n v="5400000"/>
    <n v="0"/>
    <n v="5400000"/>
    <n v="0"/>
    <n v="5400000"/>
    <n v="0"/>
    <n v="5400000"/>
    <n v="0"/>
    <n v="5400000"/>
    <n v="0"/>
    <n v="9180000"/>
    <n v="59400000"/>
    <n v="59400000"/>
    <n v="-49320000"/>
    <n v="-49320000"/>
    <s v="Prestar servicios profesionales en la Oficina de Tecnologías de la Información para apoyar la implementación de buenas prácticas en Gestión de Proyectos y en el seguimiento al Plan Estratégico de Tecnologías de la Información."/>
    <n v="59400000"/>
    <n v="0"/>
    <n v="0"/>
    <n v="1620000"/>
    <n v="0"/>
    <n v="5400000"/>
    <n v="-49320000"/>
    <n v="3060000"/>
    <n v="0"/>
    <n v="0"/>
    <n v="0"/>
    <n v="0"/>
    <n v="0"/>
    <n v="0"/>
    <n v="0"/>
    <n v="0"/>
    <n v="0"/>
    <n v="0"/>
    <n v="0"/>
    <n v="0"/>
    <n v="0"/>
    <n v="0"/>
    <n v="0"/>
    <n v="0"/>
    <m/>
    <m/>
    <n v="10080000"/>
    <n v="10080000"/>
    <n v="0"/>
    <n v="0"/>
    <n v="25226"/>
    <d v="2026-01-13T00:00:00"/>
    <n v="10080000"/>
    <n v="0"/>
    <n v="15526"/>
    <d v="2026-01-21T00:00:00"/>
    <n v="10080000"/>
    <n v="0"/>
    <n v="0"/>
    <s v="SIERRA ROMERO ANA MARIA"/>
    <s v="CO1.PCCNTR.8994766"/>
    <n v="59400000"/>
    <m/>
    <m/>
    <m/>
    <n v="1620000"/>
    <n v="1620000"/>
    <n v="-49320000"/>
    <m/>
    <m/>
    <m/>
    <n v="5400000"/>
    <n v="5400000"/>
    <m/>
    <m/>
    <m/>
    <m/>
    <m/>
    <m/>
    <m/>
    <m/>
    <m/>
    <m/>
    <m/>
    <m/>
    <m/>
    <m/>
    <m/>
    <m/>
    <m/>
    <m/>
    <m/>
    <m/>
    <m/>
    <m/>
    <m/>
    <m/>
    <n v="10080000"/>
    <n v="7020000"/>
    <n v="7020000"/>
    <n v="3060000"/>
    <n v="0"/>
  </r>
  <r>
    <x v="0"/>
    <x v="3"/>
    <s v="Fortalecimiento de los servicios digitales aumentando la capacidad para la transformación digital e interacción con el ciudadano"/>
    <s v="TIC"/>
    <s v="Sí"/>
    <s v="Sí"/>
    <n v="20"/>
    <s v="130-40"/>
    <s v="Incrementar el desarrollo de los habilitadores transversales de la política de gobierno digital."/>
    <s v="Documento para la Planeación Estratégica en TI"/>
    <s v="Mantener y fortalecer el modelo Operativo de TI."/>
    <n v="80111620"/>
    <s v="C-2199-1900-5-53105B-2199066-02"/>
    <x v="0"/>
    <s v="130-40 Prestar servicios profesionales para apoyar actividades tanto operativas como administrativas inherentes al GIT de Arquitectura empresarial y Seguridad de la información."/>
    <s v="Enero "/>
    <s v="Enero "/>
    <s v="Enero "/>
    <n v="11"/>
    <s v="Meses"/>
    <s v="Contratación directa - Prestación de servicios profesionales "/>
    <s v="Propios - 20 - Ingresos corrientes"/>
    <n v="35811405"/>
    <n v="35811405"/>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328545"/>
    <n v="-328545"/>
    <s v="Prestar servicios profesionales para apoyar actividades tanto operativas como administrativas inherentes al GIT de Arquitectura empresarial y Seguridad de la información."/>
    <n v="0"/>
    <n v="0"/>
    <n v="36139950"/>
    <n v="0"/>
    <n v="0"/>
    <n v="2956905"/>
    <n v="-328545"/>
    <n v="3285450"/>
    <n v="0"/>
    <n v="3285450"/>
    <n v="0"/>
    <n v="3285450"/>
    <n v="0"/>
    <n v="3285450"/>
    <n v="0"/>
    <n v="3285450"/>
    <n v="0"/>
    <n v="3285450"/>
    <n v="0"/>
    <n v="3285450"/>
    <n v="0"/>
    <n v="3285450"/>
    <n v="0"/>
    <n v="6570900"/>
    <m/>
    <m/>
    <n v="35811405"/>
    <n v="35811405"/>
    <n v="0"/>
    <n v="0"/>
    <n v="39626"/>
    <d v="2026-01-15T00:00:00"/>
    <n v="36139950"/>
    <n v="-328545"/>
    <n v="38826"/>
    <d v="2026-02-03T00:00:00"/>
    <n v="36139950"/>
    <n v="-328545"/>
    <n v="0"/>
    <s v="HINESTROZA RUIZ JUAN"/>
    <s v="CO1.PCCNTR.9178116"/>
    <m/>
    <m/>
    <m/>
    <n v="36139950"/>
    <m/>
    <m/>
    <m/>
    <n v="2956905"/>
    <n v="2956905"/>
    <m/>
    <n v="3285450"/>
    <n v="3285450"/>
    <m/>
    <m/>
    <m/>
    <m/>
    <m/>
    <m/>
    <m/>
    <m/>
    <m/>
    <m/>
    <m/>
    <m/>
    <m/>
    <m/>
    <m/>
    <m/>
    <m/>
    <m/>
    <m/>
    <m/>
    <m/>
    <m/>
    <m/>
    <m/>
    <n v="36139950"/>
    <n v="6242355"/>
    <n v="6242355"/>
    <n v="29897595"/>
    <n v="0"/>
  </r>
  <r>
    <x v="0"/>
    <x v="3"/>
    <s v="Fortalecimiento de los servicios digitales aumentando la capacidad para la transformación digital e interacción con el ciudadano"/>
    <s v="TIC"/>
    <s v="Sí"/>
    <s v="Sí"/>
    <n v="68"/>
    <s v="130-41"/>
    <s v="Incrementar el desarrollo de los habilitadores transversales de la política de gobierno digital."/>
    <s v="Documento para la Planeación Estratégica en TI"/>
    <s v="Mantener y fortalecer el modelo Operativo de TI."/>
    <n v="80111620"/>
    <s v="C-2199-1900-5-53105B-2199066-02"/>
    <x v="0"/>
    <s v="130-41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1"/>
    <s v="Meses"/>
    <s v="Contratación directa - Prestación de servicios profesionales "/>
    <s v="Propios - 20 - Ingresos corrientes"/>
    <n v="10363450"/>
    <n v="10363450"/>
    <s v="No"/>
    <s v="N/A"/>
    <s v="Paola del Pilar Puerta Peña"/>
    <s v="Jefe Oficina de Tecnologías de la Información"/>
    <n v="6012220601"/>
    <s v="pilar.puerta@upme.gov.co"/>
    <n v="10363450"/>
    <n v="0"/>
    <n v="0"/>
    <n v="0"/>
    <n v="0"/>
    <n v="0"/>
    <n v="0"/>
    <n v="0"/>
    <n v="0"/>
    <n v="0"/>
    <n v="0"/>
    <n v="0"/>
    <n v="0"/>
    <n v="0"/>
    <n v="0"/>
    <n v="0"/>
    <n v="0"/>
    <n v="0"/>
    <n v="0"/>
    <n v="0"/>
    <n v="0"/>
    <n v="0"/>
    <n v="0"/>
    <n v="10363450"/>
    <n v="10363450"/>
    <n v="10363450"/>
    <n v="0"/>
    <n v="0"/>
    <s v="Prestar servicios profesionales para la proyección de documentos de contenido legal y apoyo de los asuntos de tipo jurídico que resulten de las actuaciones administrativas de competencia de la UPME, en el marco de la gestión institucional de la Entidad."/>
    <n v="10363450"/>
    <m/>
    <m/>
    <m/>
    <m/>
    <m/>
    <m/>
    <m/>
    <m/>
    <m/>
    <m/>
    <m/>
    <m/>
    <m/>
    <m/>
    <m/>
    <m/>
    <m/>
    <m/>
    <m/>
    <m/>
    <m/>
    <m/>
    <n v="10363450"/>
    <m/>
    <m/>
    <n v="10363450"/>
    <n v="10363450"/>
    <n v="0"/>
    <n v="0"/>
    <n v="28926"/>
    <d v="2026-01-14T00:00:00"/>
    <n v="10363450"/>
    <n v="0"/>
    <n v="30726"/>
    <d v="2026-01-29T00:00:00"/>
    <n v="10363450"/>
    <n v="0"/>
    <n v="0"/>
    <s v="PINZON ESTEBAN MARTHA LUCIA"/>
    <s v="CO1.PCCNTR.9138645"/>
    <n v="10363450"/>
    <m/>
    <m/>
    <m/>
    <m/>
    <m/>
    <m/>
    <n v="6200000"/>
    <n v="6200000"/>
    <m/>
    <m/>
    <m/>
    <m/>
    <m/>
    <m/>
    <m/>
    <m/>
    <m/>
    <m/>
    <m/>
    <m/>
    <m/>
    <m/>
    <m/>
    <m/>
    <m/>
    <m/>
    <m/>
    <m/>
    <m/>
    <m/>
    <m/>
    <m/>
    <m/>
    <m/>
    <m/>
    <n v="10363450"/>
    <n v="6200000"/>
    <n v="6200000"/>
    <n v="4163450"/>
    <n v="0"/>
  </r>
  <r>
    <x v="0"/>
    <x v="3"/>
    <s v="Fortalecimiento de los servicios digitales aumentando la capacidad para la transformación digital e interacción con el ciudadano"/>
    <s v="TIC"/>
    <s v="Sí"/>
    <s v="Sí"/>
    <n v="68"/>
    <s v="130-42"/>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1"/>
    <s v="Meses"/>
    <s v="Contratación directa - Prestación de servicios profesionales "/>
    <s v="Propios - 20 - Ingresos corrientes"/>
    <n v="55636550"/>
    <n v="55636550"/>
    <s v="No"/>
    <s v="N/A"/>
    <s v="Paola del Pilar Puerta Peña"/>
    <s v="Jefe Oficina de Tecnologías de la Información"/>
    <n v="6012220601"/>
    <s v="pilar.puerta@upme.gov.co"/>
    <n v="55636550"/>
    <n v="0"/>
    <n v="0"/>
    <n v="0"/>
    <n v="0"/>
    <n v="6000000"/>
    <n v="0"/>
    <n v="6000000"/>
    <n v="0"/>
    <n v="6000000"/>
    <n v="0"/>
    <n v="6000000"/>
    <n v="0"/>
    <n v="6000000"/>
    <n v="0"/>
    <n v="6000000"/>
    <n v="0"/>
    <n v="6000000"/>
    <n v="0"/>
    <n v="6000000"/>
    <n v="0"/>
    <n v="7636550"/>
    <n v="0"/>
    <n v="0"/>
    <n v="55636550"/>
    <n v="55636550"/>
    <n v="0"/>
    <n v="0"/>
    <s v="Prestar servicios profesionales para la proyección de documentos de contenido legal y apoyo de los asuntos de tipo jurídico que resulten de las actuaciones administrativas de competencia de la UPME, en el marco de la gestión institucional de la Entidad."/>
    <n v="55636550"/>
    <m/>
    <m/>
    <m/>
    <m/>
    <n v="6000000"/>
    <m/>
    <n v="6000000"/>
    <m/>
    <n v="6000000"/>
    <m/>
    <n v="6000000"/>
    <m/>
    <n v="6000000"/>
    <m/>
    <n v="6000000"/>
    <m/>
    <n v="6000000"/>
    <m/>
    <n v="6000000"/>
    <m/>
    <n v="7636550"/>
    <m/>
    <m/>
    <m/>
    <m/>
    <n v="55636550"/>
    <n v="55636550"/>
    <n v="0"/>
    <n v="0"/>
    <n v="28926"/>
    <d v="2026-01-14T00:00:00"/>
    <n v="55636550"/>
    <n v="0"/>
    <n v="30726"/>
    <d v="2026-01-29T00:00:00"/>
    <n v="55636550"/>
    <n v="0"/>
    <n v="0"/>
    <s v="PINZON ESTEBAN MARTHA LUCIA"/>
    <s v="CO1.PCCNTR.9138645"/>
    <n v="55636550"/>
    <m/>
    <m/>
    <m/>
    <m/>
    <m/>
    <m/>
    <m/>
    <m/>
    <m/>
    <n v="6000000"/>
    <n v="6000000"/>
    <m/>
    <m/>
    <m/>
    <m/>
    <m/>
    <m/>
    <m/>
    <m/>
    <m/>
    <m/>
    <m/>
    <m/>
    <m/>
    <m/>
    <m/>
    <m/>
    <m/>
    <m/>
    <m/>
    <m/>
    <m/>
    <m/>
    <m/>
    <m/>
    <n v="55636550"/>
    <n v="6000000"/>
    <n v="6000000"/>
    <n v="49636550"/>
    <n v="0"/>
  </r>
  <r>
    <x v="0"/>
    <x v="3"/>
    <s v="Fortalecimiento de los servicios digitales aumentando la capacidad para la transformación digital e interacción con el ciudadano"/>
    <s v="TIC"/>
    <s v="Sí"/>
    <s v="Sí"/>
    <n v="7"/>
    <s v="130-43"/>
    <s v="Incrementar el desarrollo de los habilitadores transversales de la política de gobierno digital."/>
    <s v="Documento para la Planeación Estratégica en TI"/>
    <s v="Mantener y fortalecer el modelo Operativo de TI."/>
    <n v="80111620"/>
    <s v="C-2199-1900-5-53105B-2199066-02"/>
    <x v="0"/>
    <s v="130-43 Prestar servicios de apoyo a la gestión para la comunicación estratégica de la entidad, orientados a la divulgación, socialización y posicionamiento de sus planes, programas, proyectos, procesos y resultados, así como a la articulación de estos con"/>
    <s v="Enero "/>
    <s v="Enero "/>
    <s v="Enero "/>
    <n v="9"/>
    <s v="Meses"/>
    <s v="Contratación directa - Prestación de servicios profesionales "/>
    <s v="Propios - 20 - Ingresos corrientes"/>
    <n v="7860050"/>
    <n v="7860050"/>
    <s v="No"/>
    <s v="N/A"/>
    <s v="Paola del Pilar Puerta Peña"/>
    <s v="Jefe Oficina de Tecnologías de la Información"/>
    <n v="6012220601"/>
    <s v="pilar.puerta@upme.gov.co"/>
    <n v="0"/>
    <n v="0"/>
    <n v="7360050"/>
    <n v="0"/>
    <n v="0"/>
    <n v="0"/>
    <n v="0"/>
    <n v="0"/>
    <n v="0"/>
    <n v="0"/>
    <n v="0"/>
    <n v="0"/>
    <n v="0"/>
    <n v="0"/>
    <n v="0"/>
    <n v="0"/>
    <n v="0"/>
    <n v="0"/>
    <n v="0"/>
    <n v="3860050"/>
    <n v="0"/>
    <n v="4000000"/>
    <n v="500000"/>
    <n v="0"/>
    <n v="7860050"/>
    <n v="7860050"/>
    <n v="0"/>
    <n v="0"/>
    <s v="Prestar servicios de apoyo a la gestión para la comunicación estratégica de la entidad, orientados a la divulgación, socialización y posicionamiento de sus planes, programas, proyectos, procesos y resultados, así como a la articulación de estos con las es"/>
    <m/>
    <m/>
    <n v="7360050"/>
    <m/>
    <m/>
    <m/>
    <m/>
    <m/>
    <m/>
    <m/>
    <m/>
    <m/>
    <m/>
    <m/>
    <m/>
    <m/>
    <m/>
    <m/>
    <m/>
    <n v="3860050"/>
    <m/>
    <n v="4000000"/>
    <n v="500000"/>
    <m/>
    <m/>
    <m/>
    <n v="7860050"/>
    <n v="7860050"/>
    <n v="0"/>
    <n v="0"/>
    <n v="64226"/>
    <d v="2026-01-24T00:00:00"/>
    <n v="7860050"/>
    <n v="0"/>
    <n v="46826"/>
    <d v="2026-02-06T00:00:00"/>
    <n v="7860050"/>
    <n v="0"/>
    <n v="0"/>
    <s v="FLOREZ MENDEZ JERLY PAOLA"/>
    <s v="CO1.PCCNTR.9268748"/>
    <m/>
    <m/>
    <m/>
    <n v="7860050"/>
    <m/>
    <m/>
    <m/>
    <m/>
    <m/>
    <m/>
    <m/>
    <m/>
    <m/>
    <m/>
    <m/>
    <m/>
    <m/>
    <m/>
    <m/>
    <m/>
    <m/>
    <m/>
    <m/>
    <m/>
    <m/>
    <m/>
    <m/>
    <m/>
    <m/>
    <m/>
    <m/>
    <m/>
    <m/>
    <m/>
    <m/>
    <m/>
    <n v="7860050"/>
    <n v="0"/>
    <n v="0"/>
    <n v="7860050"/>
    <n v="0"/>
  </r>
  <r>
    <x v="0"/>
    <x v="3"/>
    <s v="Fortalecimiento de los servicios digitales aumentando la capacidad para la transformación digital e interacción con el ciudadano"/>
    <s v="TIC"/>
    <s v="Sí"/>
    <s v="Sí"/>
    <n v="68"/>
    <s v="130-44"/>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4 Prestar servicios profesionales para apoyar a la Oficina de Tecnologías de la Información en la definición y/o actualización del plan estratégico de tecnologías de información y en la gestión de los proyectos de su mapa de ruta"/>
    <s v="Enero "/>
    <s v="Enero "/>
    <s v="Enero "/>
    <n v="11"/>
    <s v="Meses"/>
    <s v="Contratación directa - Prestación de servicios profesionales "/>
    <s v="Propios - 20 - Ingresos corrientes"/>
    <n v="66000000"/>
    <n v="66000000"/>
    <s v="No"/>
    <s v="N/A"/>
    <s v="Paola del Pilar Puerta Peña"/>
    <s v="Jefe Oficina de Tecnologías de la Información"/>
    <n v="6012220601"/>
    <s v="pilar.puerta@upme.gov.co"/>
    <n v="66000000"/>
    <n v="0"/>
    <n v="0"/>
    <n v="1600000"/>
    <n v="0"/>
    <n v="6000000"/>
    <n v="0"/>
    <n v="6000000"/>
    <n v="0"/>
    <n v="6000000"/>
    <n v="0"/>
    <n v="6000000"/>
    <n v="0"/>
    <n v="6000000"/>
    <n v="0"/>
    <n v="6000000"/>
    <n v="0"/>
    <n v="6000000"/>
    <n v="0"/>
    <n v="6000000"/>
    <n v="0"/>
    <n v="6000000"/>
    <n v="0"/>
    <n v="10400000"/>
    <n v="66000000"/>
    <n v="66000000"/>
    <n v="0"/>
    <n v="0"/>
    <s v="Prestar servicios profesionales para apoyar a la Oficina de Tecnologías de la Información en la definición y/o actualización del plan estratégico de tecnologías de información y en la gestión de los proyectos de su mapa de ruta"/>
    <n v="66000000"/>
    <m/>
    <m/>
    <n v="1600000"/>
    <m/>
    <n v="6000000"/>
    <m/>
    <n v="6000000"/>
    <m/>
    <n v="6000000"/>
    <m/>
    <n v="6000000"/>
    <m/>
    <n v="6000000"/>
    <m/>
    <n v="6000000"/>
    <m/>
    <n v="6000000"/>
    <m/>
    <n v="6000000"/>
    <m/>
    <n v="6000000"/>
    <m/>
    <n v="10400000"/>
    <m/>
    <m/>
    <n v="66000000"/>
    <n v="66000000"/>
    <n v="0"/>
    <n v="0"/>
    <n v="28326"/>
    <d v="2026-01-14T00:00:00"/>
    <n v="66000000"/>
    <n v="0"/>
    <n v="17126"/>
    <d v="2026-01-22T00:00:00"/>
    <n v="66000000"/>
    <n v="0"/>
    <n v="0"/>
    <s v="TARAZONA GALINDO HOLLMAN"/>
    <s v="CO1.PCCNTR.8995196"/>
    <n v="66000000"/>
    <m/>
    <m/>
    <m/>
    <n v="1600000"/>
    <n v="1600000"/>
    <m/>
    <n v="6000000"/>
    <n v="6000000"/>
    <m/>
    <n v="6000000"/>
    <n v="6000000"/>
    <m/>
    <m/>
    <m/>
    <m/>
    <m/>
    <m/>
    <m/>
    <m/>
    <m/>
    <m/>
    <m/>
    <m/>
    <m/>
    <m/>
    <m/>
    <m/>
    <m/>
    <m/>
    <m/>
    <m/>
    <m/>
    <m/>
    <m/>
    <m/>
    <n v="66000000"/>
    <n v="13600000"/>
    <n v="13600000"/>
    <n v="52400000"/>
    <n v="0"/>
  </r>
  <r>
    <x v="0"/>
    <x v="3"/>
    <s v="Fortalecimiento de los servicios digitales aumentando la capacidad para la transformación digital e interacción con el ciudadano"/>
    <s v="TIC"/>
    <s v="Sí"/>
    <s v="Sí"/>
    <n v="20"/>
    <s v="130-45"/>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5 Prestar servicios profesionales para la atención de los requerimientos y PQRs relacionados con la operación de las plataformas tecnológicas de trámites y servicios prestados a la ciudadanía."/>
    <s v="Enero "/>
    <s v="Enero "/>
    <s v="Enero "/>
    <n v="11"/>
    <s v="Meses"/>
    <s v="Contratación directa - Prestación de servicios profesionales "/>
    <s v="Propios - 20 - Ingresos corrientes"/>
    <n v="38971660"/>
    <n v="38971660"/>
    <s v="No"/>
    <s v="N/A"/>
    <s v="Paola del Pilar Puerta Peña"/>
    <s v="Jefe Oficina de Tecnologías de la Información"/>
    <n v="6012220601"/>
    <s v="pilar.puerta@upme.gov.co"/>
    <n v="0"/>
    <n v="0"/>
    <n v="39939900"/>
    <n v="0"/>
    <n v="0"/>
    <n v="3630900"/>
    <n v="0"/>
    <n v="3630900"/>
    <n v="0"/>
    <n v="3630900"/>
    <n v="0"/>
    <n v="3630900"/>
    <n v="0"/>
    <n v="3630900"/>
    <n v="0"/>
    <n v="3630900"/>
    <n v="0"/>
    <n v="3630900"/>
    <n v="0"/>
    <n v="3630900"/>
    <n v="0"/>
    <n v="3630900"/>
    <n v="0"/>
    <n v="7261800"/>
    <n v="39939900"/>
    <n v="39939900"/>
    <n v="-968240"/>
    <n v="-968240"/>
    <s v="Prestar servicios profesionales para la atención de los requerimientos y PQRs relacionados con la operación de las plataformas tecnológicas de trámites y servicios prestados a la ciudadanía."/>
    <n v="0"/>
    <n v="0"/>
    <n v="39939900"/>
    <n v="0"/>
    <n v="0"/>
    <n v="2662660"/>
    <n v="-968240"/>
    <n v="3630900"/>
    <n v="0"/>
    <n v="3630900"/>
    <n v="0"/>
    <n v="3630900"/>
    <n v="0"/>
    <n v="3630900"/>
    <n v="0"/>
    <n v="3630900"/>
    <n v="0"/>
    <n v="3630900"/>
    <n v="0"/>
    <n v="3630900"/>
    <n v="0"/>
    <n v="3630900"/>
    <n v="0"/>
    <n v="7261800"/>
    <m/>
    <m/>
    <n v="38971660"/>
    <n v="38971660"/>
    <n v="0"/>
    <n v="0"/>
    <n v="26426"/>
    <d v="2026-01-13T00:00:00"/>
    <n v="39939900"/>
    <n v="-968240"/>
    <n v="48426"/>
    <d v="2026-02-06T00:00:00"/>
    <n v="39939900"/>
    <n v="-968240"/>
    <n v="0"/>
    <s v="LOPEZ SAYAS CAROLINA"/>
    <s v="CO1.PCCNTR.9262364"/>
    <m/>
    <m/>
    <m/>
    <n v="39939900"/>
    <m/>
    <m/>
    <m/>
    <n v="2662660"/>
    <n v="2662660"/>
    <m/>
    <n v="3630900"/>
    <n v="3630900"/>
    <m/>
    <m/>
    <m/>
    <m/>
    <m/>
    <m/>
    <m/>
    <m/>
    <m/>
    <m/>
    <m/>
    <m/>
    <m/>
    <m/>
    <m/>
    <m/>
    <m/>
    <m/>
    <m/>
    <m/>
    <m/>
    <m/>
    <m/>
    <m/>
    <n v="39939900"/>
    <n v="6293560"/>
    <n v="6293560"/>
    <n v="33646340"/>
    <n v="0"/>
  </r>
  <r>
    <x v="0"/>
    <x v="3"/>
    <s v="Fortalecimiento de los servicios digitales aumentando la capacidad para la transformación digital e interacción con el ciudadano"/>
    <s v="TIC"/>
    <s v="Sí"/>
    <s v="Sí"/>
    <n v="20"/>
    <s v="130-4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6 Prestar servicios de apoyo a la gestión para el diseño, gestión y administración de las redes de telecomunicaciones de la UPME tanto de redes de área local LAN y redes inalámbricas, garantizando la seguridad y la eficiencia de la información."/>
    <s v="Enero "/>
    <s v="Enero "/>
    <s v="Enero "/>
    <n v="11"/>
    <s v="Meses"/>
    <s v="Contratación directa - Prestación de servicios profesionales "/>
    <s v="Propios - 20 - Ingresos corrientes"/>
    <n v="7800000"/>
    <n v="7800000"/>
    <s v="No"/>
    <s v="N/A"/>
    <s v="Paola del Pilar Puerta Peña"/>
    <s v="Jefe Oficina de Tecnologías de la Información"/>
    <n v="6012220601"/>
    <s v="pilar.puerta@upme.gov.co"/>
    <n v="49500000"/>
    <n v="0"/>
    <n v="0"/>
    <n v="600000"/>
    <n v="0"/>
    <n v="4500000"/>
    <n v="0"/>
    <n v="4500000"/>
    <n v="0"/>
    <n v="4500000"/>
    <n v="0"/>
    <n v="4500000"/>
    <n v="0"/>
    <n v="4500000"/>
    <n v="0"/>
    <n v="4500000"/>
    <n v="0"/>
    <n v="4500000"/>
    <n v="0"/>
    <n v="4500000"/>
    <n v="0"/>
    <n v="4500000"/>
    <n v="0"/>
    <n v="8400000"/>
    <n v="49500000"/>
    <n v="49500000"/>
    <n v="-41700000"/>
    <n v="-41700000"/>
    <s v="Prestar servicios de apoyo a la gestión para el diseño, gestión y administración de las redes de telecomunicaciones de la UPME tanto de redes de área local LAN y redes inalámbricas, garantizando la seguridad y la eficiencia de la información."/>
    <n v="49500000"/>
    <n v="0"/>
    <n v="0"/>
    <n v="750000"/>
    <n v="0"/>
    <n v="4500000"/>
    <n v="-41700000"/>
    <n v="2550000"/>
    <n v="0"/>
    <n v="0"/>
    <n v="0"/>
    <n v="0"/>
    <n v="0"/>
    <n v="0"/>
    <n v="0"/>
    <n v="0"/>
    <n v="0"/>
    <n v="0"/>
    <n v="0"/>
    <n v="0"/>
    <n v="0"/>
    <n v="0"/>
    <n v="0"/>
    <n v="0"/>
    <m/>
    <m/>
    <n v="7800000"/>
    <n v="7800000"/>
    <n v="0"/>
    <n v="0"/>
    <n v="28426"/>
    <d v="2026-01-14T00:00:00"/>
    <n v="7800000"/>
    <n v="0"/>
    <n v="18626"/>
    <d v="2026-01-23T00:00:00"/>
    <n v="7800000"/>
    <n v="0"/>
    <n v="0"/>
    <s v="QUINTERO SERRANO JESUS JAVIER"/>
    <s v="CO1.PCCNTR. 9003686"/>
    <n v="49500000"/>
    <m/>
    <m/>
    <m/>
    <n v="750000"/>
    <n v="750000"/>
    <n v="-41700000"/>
    <n v="4500000"/>
    <n v="4500000"/>
    <m/>
    <n v="2550000"/>
    <n v="2550000"/>
    <m/>
    <m/>
    <m/>
    <m/>
    <m/>
    <m/>
    <m/>
    <m/>
    <m/>
    <m/>
    <m/>
    <m/>
    <m/>
    <m/>
    <m/>
    <m/>
    <m/>
    <m/>
    <m/>
    <m/>
    <m/>
    <m/>
    <m/>
    <m/>
    <n v="7800000"/>
    <n v="7800000"/>
    <n v="7800000"/>
    <n v="0"/>
    <n v="0"/>
  </r>
  <r>
    <x v="0"/>
    <x v="3"/>
    <s v="Fortalecimiento de los servicios digitales aumentando la capacidad para la transformación digital e interacción con el ciudadano"/>
    <s v="TIC"/>
    <s v="Sí"/>
    <s v="Sí"/>
    <n v="20"/>
    <s v="130-47"/>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7 Prestar servicios profesionales para apoyar en los proyectos de tecnología en todas sus fases y ciclos de proceso, especialmente, en aquellos enfocados en la arquitectura empresarial y seguridad informática a la Oficina de Tecnología de la Informac"/>
    <s v="Enero "/>
    <s v="Enero "/>
    <s v="Enero "/>
    <n v="11"/>
    <s v="Meses"/>
    <s v="Contratación directa - Prestación de servicios profesionales "/>
    <s v="Propios - 20 - Ingresos corrientes"/>
    <n v="60840000"/>
    <n v="60840000"/>
    <s v="No"/>
    <s v="N/A"/>
    <s v="Paola del Pilar Puerta Peña"/>
    <s v="Jefe Oficina de Tecnologías de la Información"/>
    <n v="6012220601"/>
    <s v="pilar.puerta@upme.gov.co"/>
    <n v="59400000"/>
    <n v="0"/>
    <n v="0"/>
    <n v="1440000"/>
    <n v="0"/>
    <n v="5400000"/>
    <n v="0"/>
    <n v="5400000"/>
    <n v="0"/>
    <n v="5400000"/>
    <n v="0"/>
    <n v="5400000"/>
    <n v="0"/>
    <n v="5400000"/>
    <n v="0"/>
    <n v="5400000"/>
    <n v="0"/>
    <n v="5400000"/>
    <n v="0"/>
    <n v="5400000"/>
    <n v="0"/>
    <n v="5400000"/>
    <n v="0"/>
    <n v="9360000"/>
    <n v="59400000"/>
    <n v="59400000"/>
    <n v="1440000"/>
    <n v="1440000"/>
    <s v="Prestar servicios profesionales para apoyar en los proyectos de tecnología en todas sus fases y ciclos de proceso, especialmente, en aquellos enfocados en la arquitectura empresarial y seguridad informática a la Oficina de Tecnología de la Información de "/>
    <n v="59400000"/>
    <n v="0"/>
    <n v="0"/>
    <n v="1440000"/>
    <n v="0"/>
    <n v="5400000"/>
    <n v="0"/>
    <n v="5400000"/>
    <n v="1440000"/>
    <n v="5400000"/>
    <n v="0"/>
    <n v="5400000"/>
    <n v="0"/>
    <n v="5400000"/>
    <n v="0"/>
    <n v="5400000"/>
    <n v="0"/>
    <n v="5400000"/>
    <n v="0"/>
    <n v="5400000"/>
    <n v="0"/>
    <n v="5400000"/>
    <n v="0"/>
    <n v="10800000"/>
    <m/>
    <m/>
    <n v="60840000"/>
    <n v="60840000"/>
    <n v="0"/>
    <n v="0"/>
    <n v="25626"/>
    <d v="2026-01-13T00:00:00"/>
    <n v="59400000"/>
    <n v="1440000"/>
    <n v="15926"/>
    <d v="2026-01-22T00:00:00"/>
    <n v="59400000"/>
    <n v="1440000"/>
    <n v="0"/>
    <s v="PRADA RUEDA PEDRO NEL"/>
    <s v="CO1.PCCNTR. 9005262"/>
    <n v="59400000"/>
    <m/>
    <m/>
    <m/>
    <n v="1440000"/>
    <n v="1440000"/>
    <m/>
    <n v="5400000"/>
    <n v="5400000"/>
    <m/>
    <n v="5400000"/>
    <n v="5400000"/>
    <m/>
    <m/>
    <m/>
    <m/>
    <m/>
    <m/>
    <m/>
    <m/>
    <m/>
    <m/>
    <m/>
    <m/>
    <m/>
    <m/>
    <m/>
    <m/>
    <m/>
    <m/>
    <m/>
    <m/>
    <m/>
    <m/>
    <m/>
    <m/>
    <n v="59400000"/>
    <n v="12240000"/>
    <n v="12240000"/>
    <n v="47160000"/>
    <n v="0"/>
  </r>
  <r>
    <x v="0"/>
    <x v="3"/>
    <s v="Fortalecimiento de los servicios digitales aumentando la capacidad para la transformación digital e interacción con el ciudadano"/>
    <s v="TIC"/>
    <s v="Sí"/>
    <s v="Sí"/>
    <n v="68"/>
    <s v="130-48"/>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8 Prestar servicios profesionales para realizar actividades de mantenimiento preventivo y correctivo de equipos de cómputo, diagnóstico y reparación de fallas de hardware y software, así como el diseño, instalación, configuración y puesta en funciona"/>
    <s v="Enero "/>
    <s v="Enero "/>
    <s v="Enero "/>
    <n v="11"/>
    <s v="Meses"/>
    <s v="Contratación directa - Prestación de servicios profesionales "/>
    <s v="Propios - 20 - Ingresos corrientes"/>
    <n v="6600000"/>
    <n v="6600000"/>
    <s v="No"/>
    <s v="N/A"/>
    <s v="Paola del Pilar Puerta Peña"/>
    <s v="Jefe Oficina de Tecnologías de la Información"/>
    <n v="6012220601"/>
    <s v="pilar.puerta@upme.gov.co"/>
    <n v="0"/>
    <n v="0"/>
    <n v="6600000"/>
    <n v="0"/>
    <n v="0"/>
    <n v="0"/>
    <n v="0"/>
    <n v="0"/>
    <n v="0"/>
    <n v="0"/>
    <n v="0"/>
    <n v="0"/>
    <n v="0"/>
    <n v="0"/>
    <n v="0"/>
    <n v="0"/>
    <n v="0"/>
    <n v="0"/>
    <n v="0"/>
    <n v="0"/>
    <n v="0"/>
    <n v="0"/>
    <n v="0"/>
    <n v="6600000"/>
    <n v="6600000"/>
    <n v="6600000"/>
    <n v="0"/>
    <n v="0"/>
    <s v="Prestar servicios profesionales para realizar actividades de mantenimiento preventivo y correctivo de equipos de cómputo, diagnóstico y reparación de fallas de hardware y software, así como el diseño, instalación, configuración y puesta en funcionamiento "/>
    <m/>
    <m/>
    <n v="6600000"/>
    <m/>
    <m/>
    <m/>
    <m/>
    <m/>
    <m/>
    <m/>
    <m/>
    <m/>
    <m/>
    <m/>
    <m/>
    <m/>
    <m/>
    <m/>
    <m/>
    <m/>
    <m/>
    <m/>
    <m/>
    <n v="6600000"/>
    <m/>
    <m/>
    <n v="6600000"/>
    <n v="6600000"/>
    <n v="0"/>
    <n v="0"/>
    <n v="26226"/>
    <d v="2026-01-13T00:00:00"/>
    <n v="6600000"/>
    <n v="0"/>
    <n v="48226"/>
    <d v="2026-02-06T00:00:00"/>
    <n v="6600000"/>
    <n v="0"/>
    <n v="0"/>
    <s v="RUIZ HERNANDEZ EDWIN JOSE"/>
    <s v="CO1.PCCNTR.9261191"/>
    <m/>
    <m/>
    <m/>
    <n v="6600000"/>
    <m/>
    <m/>
    <m/>
    <m/>
    <m/>
    <m/>
    <m/>
    <m/>
    <m/>
    <m/>
    <m/>
    <m/>
    <m/>
    <m/>
    <m/>
    <m/>
    <m/>
    <m/>
    <m/>
    <m/>
    <m/>
    <m/>
    <m/>
    <m/>
    <m/>
    <m/>
    <m/>
    <m/>
    <m/>
    <m/>
    <m/>
    <m/>
    <n v="6600000"/>
    <n v="0"/>
    <n v="0"/>
    <n v="6600000"/>
    <n v="0"/>
  </r>
  <r>
    <x v="0"/>
    <x v="3"/>
    <s v="Fortalecimiento de los servicios digitales aumentando la capacidad para la transformación digital e interacción con el ciudadano"/>
    <s v="TIC"/>
    <s v="Sí"/>
    <s v="Sí"/>
    <n v="20"/>
    <s v="130-49"/>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x v="0"/>
    <s v="130-49 Prestar servicios profesionales en comunicación institucional del sector minero-energético, mediante la revisión, análisis y conceptuación de documentos, la elaboración de insumos comunicacionales y contenidos base para piezas informativas y audiov"/>
    <s v="Enero "/>
    <s v="Enero "/>
    <s v="Enero "/>
    <n v="11"/>
    <s v="Meses"/>
    <s v="Contratación directa - Prestación de servicios profesionales "/>
    <s v="Propios - 21 - Otros recursos de tesorería"/>
    <n v="69766667"/>
    <n v="69766667"/>
    <s v="No"/>
    <s v="N/A"/>
    <s v="Paola del Pilar Puerta Peña"/>
    <s v="Jefe Oficina de Tecnologías de la Información"/>
    <n v="6012220601"/>
    <s v="pilar.puerta@upme.gov.co"/>
    <n v="0"/>
    <n v="0"/>
    <n v="71500000"/>
    <n v="0"/>
    <n v="0"/>
    <n v="6500000"/>
    <n v="0"/>
    <n v="6500000"/>
    <n v="0"/>
    <n v="6500000"/>
    <n v="0"/>
    <n v="6500000"/>
    <n v="0"/>
    <n v="6500000"/>
    <n v="0"/>
    <n v="6500000"/>
    <n v="0"/>
    <n v="6500000"/>
    <n v="0"/>
    <n v="6500000"/>
    <n v="0"/>
    <n v="6500000"/>
    <n v="0"/>
    <n v="13000000"/>
    <n v="71500000"/>
    <n v="71500000"/>
    <n v="-1733333"/>
    <n v="-1733333"/>
    <s v="Prestar servicios profesionales en comunicación institucional del sector minero-energético, mediante la revisión, análisis y conceptuación de documentos, la elaboración de insumos comunicacionales y contenidos base para piezas informativas y audiovisuales"/>
    <n v="0"/>
    <n v="0"/>
    <n v="71500000"/>
    <n v="0"/>
    <n v="0"/>
    <n v="4766667"/>
    <n v="-1733333"/>
    <n v="6500000"/>
    <n v="0"/>
    <n v="6500000"/>
    <n v="0"/>
    <n v="6500000"/>
    <n v="0"/>
    <n v="6500000"/>
    <n v="0"/>
    <n v="6500000"/>
    <n v="0"/>
    <n v="6500000"/>
    <n v="0"/>
    <n v="6500000"/>
    <n v="0"/>
    <n v="6500000"/>
    <n v="0"/>
    <n v="13000000"/>
    <m/>
    <m/>
    <n v="69766667"/>
    <n v="69766667"/>
    <n v="0"/>
    <n v="0"/>
    <n v="53226"/>
    <d v="2026-01-21T00:00:00"/>
    <n v="71500000"/>
    <n v="-1733333"/>
    <n v="48326"/>
    <d v="2026-02-06T00:00:00"/>
    <n v="71500000"/>
    <n v="-1733333"/>
    <n v="0"/>
    <s v="MARTINEZ ROJAS EMERSON"/>
    <s v="CO1.PCCNTR.9266924"/>
    <m/>
    <m/>
    <m/>
    <n v="71500000"/>
    <m/>
    <m/>
    <m/>
    <n v="4766667"/>
    <n v="4766667"/>
    <m/>
    <n v="6500000"/>
    <n v="6500000"/>
    <m/>
    <m/>
    <m/>
    <m/>
    <m/>
    <m/>
    <m/>
    <m/>
    <m/>
    <m/>
    <m/>
    <m/>
    <m/>
    <m/>
    <m/>
    <m/>
    <m/>
    <m/>
    <m/>
    <m/>
    <m/>
    <m/>
    <m/>
    <m/>
    <n v="71500000"/>
    <n v="11266667"/>
    <n v="11266667"/>
    <n v="60233333"/>
    <n v="0"/>
  </r>
  <r>
    <x v="0"/>
    <x v="3"/>
    <s v="Fortalecimiento de los servicios digitales aumentando la capacidad para la transformación digital e interacción con el ciudadano"/>
    <s v="TIC"/>
    <s v="Sí"/>
    <s v="Sí"/>
    <n v="20"/>
    <s v="130-50"/>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50 Prestar servicios de apoyo a la gestión  de la comunicación digital de la entidad, mediante la creación, administración y dinamización de contenidos en canales digitales y redes sociales, orientados a la divulgación y socialización de los procesos,"/>
    <s v="Enero "/>
    <s v="Enero "/>
    <s v="Enero "/>
    <n v="11"/>
    <s v="Meses"/>
    <s v="Contratación directa - Prestación de servicios profesionales "/>
    <s v="Propios - 20 - Ingresos corrientes"/>
    <n v="49731500"/>
    <n v="49731500"/>
    <s v="No"/>
    <s v="N/A"/>
    <s v="Paola del Pilar Puerta Peña"/>
    <s v="Jefe Oficina de Tecnologías de la Información"/>
    <n v="6012220601"/>
    <s v="pilar.puerta@upme.gov.co"/>
    <n v="0"/>
    <n v="0"/>
    <n v="55000000"/>
    <n v="0"/>
    <n v="0"/>
    <n v="5000000"/>
    <n v="0"/>
    <n v="5000000"/>
    <n v="0"/>
    <n v="5000000"/>
    <n v="0"/>
    <n v="5000000"/>
    <n v="0"/>
    <n v="5000000"/>
    <n v="0"/>
    <n v="5000000"/>
    <n v="0"/>
    <n v="5000000"/>
    <n v="0"/>
    <n v="5000000"/>
    <n v="0"/>
    <n v="5000000"/>
    <n v="0"/>
    <n v="10000000"/>
    <n v="55000000"/>
    <n v="55000000"/>
    <n v="-5268500"/>
    <n v="-5268500"/>
    <s v="Prestar servicios de apoyo a la gestión  de la comunicación digital de la entidad, mediante la creación, administración y dinamización de contenidos en canales digitales y redes sociales, orientados a la divulgación y socialización de los procesos, proyec"/>
    <n v="0"/>
    <n v="0"/>
    <n v="50496600"/>
    <n v="0"/>
    <n v="0"/>
    <n v="3825500"/>
    <n v="-765100"/>
    <n v="5000000"/>
    <n v="0"/>
    <n v="5000000"/>
    <n v="0"/>
    <n v="5000000"/>
    <n v="0"/>
    <n v="5000000"/>
    <n v="0"/>
    <n v="5000000"/>
    <n v="0"/>
    <n v="5000000"/>
    <n v="0"/>
    <n v="5000000"/>
    <n v="0"/>
    <n v="5000000"/>
    <n v="0"/>
    <n v="5906000"/>
    <m/>
    <m/>
    <n v="49731500"/>
    <n v="49731500"/>
    <n v="0"/>
    <n v="0"/>
    <n v="48426"/>
    <d v="2026-01-19T00:00:00"/>
    <n v="50496600"/>
    <n v="-765100"/>
    <n v="44526"/>
    <d v="2026-02-05T00:00:00"/>
    <n v="50496600"/>
    <n v="-765100"/>
    <n v="0"/>
    <s v="MEDINA RAMOS LUIS EDUARDO"/>
    <s v="CO1.PCCNTR.9216444"/>
    <m/>
    <m/>
    <m/>
    <n v="50496600"/>
    <m/>
    <m/>
    <m/>
    <n v="3825500"/>
    <n v="3825500"/>
    <m/>
    <n v="4590600"/>
    <n v="4590600"/>
    <m/>
    <m/>
    <m/>
    <m/>
    <m/>
    <m/>
    <m/>
    <m/>
    <m/>
    <m/>
    <m/>
    <m/>
    <m/>
    <m/>
    <m/>
    <m/>
    <m/>
    <m/>
    <m/>
    <m/>
    <m/>
    <m/>
    <m/>
    <m/>
    <n v="50496600"/>
    <n v="8416100"/>
    <n v="8416100"/>
    <n v="42080500"/>
    <n v="0"/>
  </r>
  <r>
    <x v="0"/>
    <x v="3"/>
    <s v="Fortalecimiento de los servicios digitales aumentando la capacidad para la transformación digital e interacción con el ciudadano"/>
    <s v="TIC"/>
    <s v="Sí"/>
    <s v="Sí"/>
    <n v="20"/>
    <s v="130-51"/>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51 Prestar servicios de apoyo a la gestión de la comunicación institucional, orientados a la coordinación, articulación y seguimiento de acciones, campañas y contenidos comunicacionales de la entidad, garantizando la coherencia de los mensajes, la per"/>
    <s v="Enero "/>
    <s v="Enero "/>
    <s v="Enero "/>
    <n v="11"/>
    <s v="Meses"/>
    <s v="Contratación directa - Prestación de servicios profesionales "/>
    <s v="Propios - 20 - Ingresos corrientes"/>
    <n v="54333333"/>
    <n v="54333333"/>
    <s v="No"/>
    <s v="N/A"/>
    <s v="Paola del Pilar Puerta Peña"/>
    <s v="Jefe Oficina de Tecnologías de la Información"/>
    <n v="6012220601"/>
    <s v="pilar.puerta@upme.gov.co"/>
    <n v="0"/>
    <n v="0"/>
    <n v="55000000"/>
    <n v="0"/>
    <n v="0"/>
    <n v="5000000"/>
    <n v="0"/>
    <n v="5000000"/>
    <n v="0"/>
    <n v="5000000"/>
    <n v="0"/>
    <n v="5000000"/>
    <n v="0"/>
    <n v="5000000"/>
    <n v="0"/>
    <n v="5000000"/>
    <n v="0"/>
    <n v="5000000"/>
    <n v="0"/>
    <n v="5000000"/>
    <n v="0"/>
    <n v="5000000"/>
    <n v="0"/>
    <n v="10000000"/>
    <n v="55000000"/>
    <n v="55000000"/>
    <n v="-666667"/>
    <n v="-666667"/>
    <s v="Prestar servicios de apoyo a la gestión de la comunicación institucional, orientados a la coordinación, articulación y seguimiento de acciones, campañas y contenidos comunicacionales de la entidad, garantizando la coherencia de los mensajes, la pertinenci"/>
    <n v="0"/>
    <n v="0"/>
    <n v="55000000"/>
    <n v="0"/>
    <n v="0"/>
    <n v="4333333"/>
    <n v="-666667"/>
    <n v="5000000"/>
    <n v="0"/>
    <n v="5000000"/>
    <n v="0"/>
    <n v="5000000"/>
    <n v="0"/>
    <n v="5000000"/>
    <n v="0"/>
    <n v="5000000"/>
    <n v="0"/>
    <n v="5000000"/>
    <n v="0"/>
    <n v="5000000"/>
    <n v="0"/>
    <n v="5000000"/>
    <n v="0"/>
    <n v="10000000"/>
    <m/>
    <m/>
    <n v="54333333"/>
    <n v="54333333"/>
    <n v="0"/>
    <n v="0"/>
    <n v="48326"/>
    <d v="2026-01-19T00:00:00"/>
    <n v="55000000"/>
    <n v="-666667"/>
    <n v="44426"/>
    <d v="2026-02-05T00:00:00"/>
    <n v="55000000"/>
    <n v="-666667"/>
    <n v="0"/>
    <s v="PALMETT ARSANIOS JUAN CARLOS"/>
    <s v="CO1.PCCNTR.9217085"/>
    <m/>
    <m/>
    <m/>
    <n v="55000000"/>
    <m/>
    <m/>
    <m/>
    <n v="4333333"/>
    <n v="4333333"/>
    <m/>
    <n v="5000000"/>
    <n v="5000000"/>
    <m/>
    <m/>
    <m/>
    <m/>
    <m/>
    <m/>
    <m/>
    <m/>
    <m/>
    <m/>
    <m/>
    <m/>
    <m/>
    <m/>
    <m/>
    <m/>
    <m/>
    <m/>
    <m/>
    <m/>
    <m/>
    <m/>
    <m/>
    <m/>
    <n v="55000000"/>
    <n v="9333333"/>
    <n v="9333333"/>
    <n v="45666667"/>
    <n v="0"/>
  </r>
  <r>
    <x v="0"/>
    <x v="3"/>
    <s v="Fortalecimiento de los servicios digitales aumentando la capacidad para la transformación digital e interacción con el ciudadano"/>
    <s v="TIC"/>
    <s v="Sí"/>
    <s v="Sí"/>
    <n v="68"/>
    <s v="130-52"/>
    <s v="Mejorar la implementación del modelo de Gestión de Información Institucional."/>
    <s v="Servicios de Información Implementados"/>
    <s v="Realizar la adopción del modelo de gestión de Información Institucional."/>
    <n v="80111620"/>
    <s v="C-2199-1900-5-53105B-2199065-02"/>
    <x v="0"/>
    <s v="130-52 Prestar servicios profesionales para el apoyo técnico en la operación y seguimiento del entorno tecnológico de la entidad, así como el mantenimiento y soporte de la infraestructura tecnológica, los servicios tecnológicos y los sistemas de informaci"/>
    <s v="Enero "/>
    <s v="Enero "/>
    <s v="Enero "/>
    <n v="11"/>
    <s v="Meses"/>
    <s v="Contratación directa - Prestación de servicios profesionales "/>
    <s v="Propios - 20 - Ingresos corrientes"/>
    <n v="55000000"/>
    <n v="55000000"/>
    <s v="No"/>
    <s v="N/A"/>
    <s v="Paola del Pilar Puerta Peña"/>
    <s v="Jefe Oficina de Tecnologías de la Información"/>
    <n v="6012220601"/>
    <s v="pilar.puerta@upme.gov.co"/>
    <n v="55000000"/>
    <n v="0"/>
    <n v="0"/>
    <n v="0"/>
    <n v="0"/>
    <n v="5000000"/>
    <n v="0"/>
    <n v="5000000"/>
    <n v="0"/>
    <n v="5000000"/>
    <n v="0"/>
    <n v="5000000"/>
    <n v="0"/>
    <n v="5000000"/>
    <n v="0"/>
    <n v="5000000"/>
    <n v="0"/>
    <n v="5000000"/>
    <n v="0"/>
    <n v="5000000"/>
    <n v="0"/>
    <n v="5000000"/>
    <n v="0"/>
    <n v="10000000"/>
    <n v="55000000"/>
    <n v="55000000"/>
    <n v="0"/>
    <n v="0"/>
    <s v="Prestar servicios profesionales para el apoyo técnico en la operación y seguimiento del entorno tecnológico de la entidad, así como el mantenimiento y soporte de la infraestructura tecnológica, los servicios tecnológicos y los sistemas de información de l"/>
    <n v="55000000"/>
    <m/>
    <m/>
    <m/>
    <m/>
    <n v="5000000"/>
    <m/>
    <n v="5000000"/>
    <m/>
    <n v="5000000"/>
    <m/>
    <n v="5000000"/>
    <m/>
    <n v="5000000"/>
    <m/>
    <n v="5000000"/>
    <m/>
    <n v="5000000"/>
    <m/>
    <n v="5000000"/>
    <m/>
    <n v="5000000"/>
    <m/>
    <n v="10000000"/>
    <m/>
    <m/>
    <n v="55000000"/>
    <n v="55000000"/>
    <n v="0"/>
    <n v="0"/>
    <n v="39926"/>
    <d v="2026-01-15T00:00:00"/>
    <n v="55000000"/>
    <n v="0"/>
    <n v="28126"/>
    <d v="2026-01-28T00:00:00"/>
    <n v="55000000"/>
    <n v="0"/>
    <n v="0"/>
    <s v="VENEGAS GUALTEROS MARY CRUZ"/>
    <s v="CO1.PCCNTR.9132963"/>
    <n v="55000000"/>
    <m/>
    <m/>
    <m/>
    <m/>
    <m/>
    <m/>
    <n v="5333333"/>
    <n v="5333333"/>
    <m/>
    <n v="5000000"/>
    <n v="5000000"/>
    <m/>
    <m/>
    <m/>
    <m/>
    <m/>
    <m/>
    <m/>
    <m/>
    <m/>
    <m/>
    <m/>
    <m/>
    <m/>
    <m/>
    <m/>
    <m/>
    <m/>
    <m/>
    <m/>
    <m/>
    <m/>
    <m/>
    <m/>
    <m/>
    <n v="55000000"/>
    <n v="10333333"/>
    <n v="10333333"/>
    <n v="44666667"/>
    <n v="0"/>
  </r>
  <r>
    <x v="0"/>
    <x v="3"/>
    <s v="Fortalecimiento de los servicios digitales aumentando la capacidad para la transformación digital e interacción con el ciudadano"/>
    <s v="TIC"/>
    <s v="No"/>
    <s v="Sí"/>
    <n v="68"/>
    <s v="130-53"/>
    <s v="Incrementar el desarrollo de los habilitadores transversales de la política de gobierno digital."/>
    <s v="Documento para la Planeación Estratégica en TI"/>
    <s v="Definir y estructurar las acciones tendientes a la apropiación e implementación de la política de Gobierno Digital."/>
    <s v="N/A"/>
    <s v="C-2199-1900-5-53105B-2199066-02"/>
    <x v="4"/>
    <s v="130-53 Viáticos o gastos de desplazamiento"/>
    <s v="N/A"/>
    <s v="N/A"/>
    <s v="N/A"/>
    <s v="N/A"/>
    <s v="N/A"/>
    <s v="N/A"/>
    <s v="Propios - 20 - Ingresos corrientes"/>
    <n v="30000000"/>
    <n v="30000000"/>
    <s v="No"/>
    <s v="N/A"/>
    <s v="Paola del Pilar Puerta Peña"/>
    <s v="Jefe Oficina de Tecnologías de la Información"/>
    <n v="6012220601"/>
    <s v="pilar.puerta@upme.gov.co"/>
    <n v="0"/>
    <n v="0"/>
    <n v="0"/>
    <n v="0"/>
    <n v="0"/>
    <n v="0"/>
    <n v="0"/>
    <n v="0"/>
    <n v="0"/>
    <n v="0"/>
    <n v="4285700"/>
    <n v="4285700"/>
    <n v="4285700"/>
    <n v="4285700"/>
    <n v="4285700"/>
    <n v="4285700"/>
    <n v="4285700"/>
    <n v="4285700"/>
    <n v="4285700"/>
    <n v="4285700"/>
    <n v="4285700"/>
    <n v="4285700"/>
    <n v="4285800"/>
    <n v="4285800"/>
    <n v="30000000"/>
    <n v="30000000"/>
    <n v="0"/>
    <n v="0"/>
    <s v="Viáticos o gastos de desplazamiento"/>
    <m/>
    <m/>
    <m/>
    <m/>
    <m/>
    <m/>
    <m/>
    <m/>
    <m/>
    <m/>
    <n v="4285700"/>
    <n v="4285700"/>
    <n v="4285700"/>
    <n v="4285700"/>
    <n v="4285700"/>
    <n v="4285700"/>
    <n v="4285700"/>
    <n v="4285700"/>
    <n v="4285700"/>
    <n v="4285700"/>
    <n v="4285700"/>
    <n v="4285700"/>
    <n v="4285800"/>
    <n v="4285800"/>
    <m/>
    <m/>
    <n v="30000000"/>
    <n v="30000000"/>
    <n v="0"/>
    <n v="0"/>
    <m/>
    <m/>
    <m/>
    <n v="30000000"/>
    <m/>
    <m/>
    <n v="0"/>
    <n v="30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s v="Radicado 20261110012353"/>
    <s v="130-54"/>
    <s v="Incrementar el desarrollo de los habilitadores transversales de la política de gobierno digital."/>
    <s v="Documento para la Planeación Estratégica en TI"/>
    <s v="Definir y estructurar las acciones tendientes a la apropiación e implementación de la política de Gobierno Digital."/>
    <n v="78111502"/>
    <s v="C-2199-1900-5-53105B-2199066-02"/>
    <x v="3"/>
    <s v="130-5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4200000"/>
    <n v="14200000"/>
    <s v="No"/>
    <s v="N/A"/>
    <s v="Paola del Pilar Puerta Peña"/>
    <s v="Jefe Oficina de Tecnologías de la Información"/>
    <n v="6012220601"/>
    <s v="pilar.puerta@upme.gov.co"/>
    <n v="14200000"/>
    <n v="0"/>
    <n v="0"/>
    <n v="0"/>
    <n v="0"/>
    <n v="0"/>
    <n v="0"/>
    <n v="0"/>
    <n v="0"/>
    <n v="0"/>
    <n v="0"/>
    <n v="2028500"/>
    <n v="0"/>
    <n v="2028500"/>
    <n v="0"/>
    <n v="2028500"/>
    <n v="0"/>
    <n v="2028500"/>
    <n v="0"/>
    <n v="2028500"/>
    <n v="0"/>
    <n v="2028500"/>
    <n v="0"/>
    <n v="2029000"/>
    <n v="14200000"/>
    <n v="14200000"/>
    <n v="0"/>
    <n v="0"/>
    <s v="Adquirir los servicios necesarios para garantizar el desplazamiento de servidores públicos y contratistas de la UPME a los eventos y espacios institucionales de planeación minero energética."/>
    <n v="14200000"/>
    <m/>
    <m/>
    <m/>
    <m/>
    <m/>
    <m/>
    <m/>
    <m/>
    <m/>
    <m/>
    <n v="2028500"/>
    <m/>
    <n v="2028500"/>
    <m/>
    <n v="2028500"/>
    <m/>
    <n v="2028500"/>
    <m/>
    <n v="2028500"/>
    <m/>
    <n v="2028500"/>
    <m/>
    <n v="2029000"/>
    <m/>
    <m/>
    <n v="14200000"/>
    <n v="14200000"/>
    <n v="0"/>
    <n v="0"/>
    <n v="38826"/>
    <d v="2026-01-15T00:00:00"/>
    <n v="14200000"/>
    <n v="0"/>
    <n v="20326"/>
    <d v="2026-01-26T00:00:00"/>
    <n v="14200000"/>
    <n v="0"/>
    <n v="0"/>
    <s v="FESTIVAL TOURS S.A.S"/>
    <s v="CO1.PCCNTR.9020125"/>
    <n v="14200000"/>
    <m/>
    <m/>
    <m/>
    <m/>
    <m/>
    <m/>
    <m/>
    <m/>
    <m/>
    <m/>
    <m/>
    <m/>
    <m/>
    <m/>
    <m/>
    <m/>
    <m/>
    <m/>
    <m/>
    <m/>
    <m/>
    <m/>
    <m/>
    <m/>
    <m/>
    <m/>
    <m/>
    <m/>
    <m/>
    <m/>
    <m/>
    <m/>
    <m/>
    <m/>
    <m/>
    <n v="14200000"/>
    <n v="0"/>
    <n v="0"/>
    <n v="14200000"/>
    <n v="0"/>
  </r>
  <r>
    <x v="0"/>
    <x v="3"/>
    <s v="Fortalecimiento de los servicios digitales aumentando la capacidad para la transformación digital e interacción con el ciudadano"/>
    <s v="TIC"/>
    <s v="Sí"/>
    <s v="Sí"/>
    <n v="68"/>
    <s v="130-55"/>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1112106"/>
    <s v="C-2199-1900-5-53105B-2199067-02"/>
    <x v="9"/>
    <s v="130-55 Adquirir suscripción online de consulta e información jurídica."/>
    <s v="Enero "/>
    <s v="Enero "/>
    <s v="Enero "/>
    <n v="11.5"/>
    <s v="Meses"/>
    <s v="Contratación directa - Contratos menor cuantía"/>
    <s v="Propios - 21 - Otros recursos de tesorería"/>
    <n v="6000000"/>
    <n v="6000000"/>
    <s v="No"/>
    <s v="N/A"/>
    <s v="Paola del Pilar Puerta Peña"/>
    <s v="Jefe Oficina de Tecnologías de la Información"/>
    <n v="6012220601"/>
    <s v="pilar.puerta@upme.gov.co"/>
    <n v="0"/>
    <n v="0"/>
    <n v="0"/>
    <n v="0"/>
    <n v="0"/>
    <n v="0"/>
    <n v="0"/>
    <n v="0"/>
    <n v="0"/>
    <n v="0"/>
    <n v="0"/>
    <n v="0"/>
    <n v="0"/>
    <n v="0"/>
    <n v="6000000"/>
    <n v="0"/>
    <n v="0"/>
    <n v="0"/>
    <n v="0"/>
    <n v="0"/>
    <n v="0"/>
    <n v="0"/>
    <n v="0"/>
    <n v="6000000"/>
    <n v="6000000"/>
    <n v="6000000"/>
    <n v="0"/>
    <n v="0"/>
    <s v="Adquirir suscripción online de consulta e información jurídica."/>
    <m/>
    <m/>
    <m/>
    <m/>
    <m/>
    <m/>
    <m/>
    <m/>
    <m/>
    <m/>
    <m/>
    <m/>
    <m/>
    <m/>
    <n v="6000000"/>
    <m/>
    <m/>
    <m/>
    <m/>
    <m/>
    <m/>
    <m/>
    <m/>
    <n v="6000000"/>
    <m/>
    <m/>
    <n v="6000000"/>
    <n v="6000000"/>
    <n v="0"/>
    <n v="0"/>
    <n v="43126"/>
    <d v="2026-01-17T00:00:00"/>
    <n v="6000000"/>
    <n v="0"/>
    <m/>
    <m/>
    <n v="0"/>
    <n v="6000000"/>
    <n v="600000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56"/>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10"/>
    <s v="130-56 Adquirir Certificado Wildcard SSL Multidominio para los servidores de la Unidad"/>
    <s v="Julio"/>
    <s v="Julio"/>
    <s v="Octubre"/>
    <n v="12"/>
    <s v="Meses"/>
    <s v="Contratación directa - Contratos menor cuantía"/>
    <s v="Propios - 20 - Ingresos corrientes"/>
    <n v="2000000"/>
    <n v="2000000"/>
    <s v="No"/>
    <s v="N/A"/>
    <s v="Paola del Pilar Puerta Peña"/>
    <s v="Jefe Oficina de Tecnologías de la Información"/>
    <n v="6012220601"/>
    <s v="pilar.puerta@upme.gov.co"/>
    <n v="0"/>
    <n v="0"/>
    <n v="0"/>
    <n v="0"/>
    <n v="0"/>
    <n v="0"/>
    <n v="0"/>
    <n v="0"/>
    <n v="0"/>
    <n v="0"/>
    <n v="0"/>
    <n v="0"/>
    <n v="0"/>
    <n v="0"/>
    <n v="0"/>
    <n v="0"/>
    <n v="0"/>
    <n v="0"/>
    <n v="2000000"/>
    <n v="0"/>
    <n v="0"/>
    <n v="2000000"/>
    <n v="0"/>
    <n v="0"/>
    <n v="2000000"/>
    <n v="2000000"/>
    <n v="0"/>
    <n v="0"/>
    <s v="Adquirir Certificado Wildcard SSL Multidominio para los servidores de la Unidad"/>
    <m/>
    <m/>
    <m/>
    <m/>
    <m/>
    <m/>
    <m/>
    <m/>
    <m/>
    <m/>
    <m/>
    <m/>
    <m/>
    <m/>
    <m/>
    <m/>
    <m/>
    <m/>
    <n v="2000000"/>
    <m/>
    <m/>
    <n v="2000000"/>
    <m/>
    <m/>
    <m/>
    <m/>
    <n v="2000000"/>
    <n v="2000000"/>
    <n v="0"/>
    <n v="0"/>
    <m/>
    <m/>
    <m/>
    <n v="2000000"/>
    <m/>
    <m/>
    <n v="0"/>
    <n v="2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57"/>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10"/>
    <s v="130-57 Adquirir el servicio de firmado digital incluyendo certificados de firma digital en el sistema de gestión documental de la UPME y los de función pública SIIF Nación (token) y un certificado de firma digital de persona jurídica para facturación elec"/>
    <s v="Agosto"/>
    <s v="Agosto"/>
    <s v="Noviembre"/>
    <n v="12"/>
    <s v="Meses"/>
    <s v="Contratación directa - Contratos menor cuantía"/>
    <s v="Propios - 20 - Ingresos corrientes"/>
    <n v="26000000"/>
    <n v="26000000"/>
    <s v="No"/>
    <s v="N/A"/>
    <s v="Paola del Pilar Puerta Peña"/>
    <s v="Jefe Oficina de Tecnologías de la Información"/>
    <n v="6012220601"/>
    <s v="pilar.puerta@upme.gov.co"/>
    <n v="0"/>
    <n v="0"/>
    <n v="0"/>
    <n v="0"/>
    <n v="0"/>
    <n v="0"/>
    <n v="0"/>
    <n v="0"/>
    <n v="0"/>
    <n v="0"/>
    <n v="0"/>
    <n v="0"/>
    <n v="0"/>
    <n v="0"/>
    <n v="0"/>
    <n v="0"/>
    <n v="0"/>
    <n v="0"/>
    <n v="0"/>
    <n v="0"/>
    <n v="26000000"/>
    <n v="0"/>
    <n v="0"/>
    <n v="26000000"/>
    <n v="26000000"/>
    <n v="26000000"/>
    <n v="0"/>
    <n v="0"/>
    <s v="Adquirir el servicio de firmado digital incluyendo certificados de firma digital en el sistema de gestión documental de la UPME y los de función pública SIIF Nación (token) y un certificado de firma digital de persona jurídica para facturación electrónica"/>
    <m/>
    <m/>
    <m/>
    <m/>
    <m/>
    <m/>
    <m/>
    <m/>
    <m/>
    <m/>
    <m/>
    <m/>
    <m/>
    <m/>
    <m/>
    <m/>
    <m/>
    <m/>
    <m/>
    <m/>
    <n v="26000000"/>
    <m/>
    <m/>
    <n v="26000000"/>
    <m/>
    <m/>
    <n v="26000000"/>
    <n v="26000000"/>
    <n v="0"/>
    <n v="0"/>
    <m/>
    <m/>
    <m/>
    <n v="26000000"/>
    <m/>
    <m/>
    <n v="0"/>
    <n v="26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58"/>
    <s v="Mejorar la implementación del modelo de Gestión de Información Institucional."/>
    <s v="Servicios de Información Implementados"/>
    <s v="Realizar la adopción del modelo de gestión de Información Institucional."/>
    <s v="43222501;43233205;43222503"/>
    <s v="C-2199-1900-5-53105B-2199065-02"/>
    <x v="10"/>
    <s v="130-58 Adquirir el servicio de ciberseguridad contra ransomware y el licenciamiento de la solución Endpoint con la que cuenta la UPME"/>
    <s v="Agosto"/>
    <s v="Agosto"/>
    <s v="Noviembre"/>
    <n v="12"/>
    <s v="Meses"/>
    <s v="Contratación directa - Contratos menor cuantía"/>
    <s v="Propios - 21 - Otros recursos de tesorería"/>
    <n v="165000000"/>
    <n v="165000000"/>
    <s v="No"/>
    <s v="N/A"/>
    <s v="Paola del Pilar Puerta Peña"/>
    <s v="Jefe Oficina de Tecnologías de la Información"/>
    <n v="6012220601"/>
    <s v="pilar.puerta@upme.gov.co"/>
    <n v="0"/>
    <n v="0"/>
    <n v="0"/>
    <n v="0"/>
    <n v="0"/>
    <n v="0"/>
    <n v="0"/>
    <n v="0"/>
    <n v="0"/>
    <n v="0"/>
    <n v="0"/>
    <n v="0"/>
    <n v="0"/>
    <n v="0"/>
    <n v="0"/>
    <n v="0"/>
    <n v="0"/>
    <n v="0"/>
    <n v="0"/>
    <n v="0"/>
    <n v="165000000"/>
    <n v="0"/>
    <n v="0"/>
    <n v="165000000"/>
    <n v="165000000"/>
    <n v="165000000"/>
    <n v="0"/>
    <n v="0"/>
    <s v="Adquirir el servicio de ciberseguridad contra ransomware y el licenciamiento de la solución Endpoint con la que cuenta la UPME"/>
    <m/>
    <m/>
    <m/>
    <m/>
    <m/>
    <m/>
    <m/>
    <m/>
    <m/>
    <m/>
    <m/>
    <m/>
    <m/>
    <m/>
    <m/>
    <m/>
    <m/>
    <m/>
    <m/>
    <m/>
    <n v="165000000"/>
    <m/>
    <m/>
    <n v="165000000"/>
    <m/>
    <m/>
    <n v="165000000"/>
    <n v="165000000"/>
    <n v="0"/>
    <n v="0"/>
    <m/>
    <m/>
    <m/>
    <n v="165000000"/>
    <m/>
    <m/>
    <n v="0"/>
    <n v="165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8"/>
    <s v="130-59"/>
    <s v="Aumentar la capacidad institucional a nivel de arquitectura tecnológica y de sistemas de información."/>
    <s v="Servicios Tecnológicos"/>
    <s v="Robustecer el nivel de madurez de la estrategia de infraestructura y soluciones en la nube."/>
    <s v="43233415;71151106"/>
    <s v="C-2199-1900-5-53105B-2199067-02"/>
    <x v="10"/>
    <s v="130-59 Renovar el licenciamiento y soporte de solución de backup"/>
    <s v="Octubre"/>
    <s v="Octubre"/>
    <s v="Noviembre"/>
    <n v="12"/>
    <s v="Meses"/>
    <s v="Contratación directa - Contratos menor cuantía"/>
    <s v="Propios - 21 - Otros recursos de tesorería"/>
    <n v="11860050"/>
    <n v="11860050"/>
    <s v="No"/>
    <s v="N/A"/>
    <s v="Paola del Pilar Puerta Peña"/>
    <s v="Jefe Oficina de Tecnologías de la Información"/>
    <n v="6012220601"/>
    <s v="pilar.puerta@upme.gov.co"/>
    <n v="0"/>
    <n v="0"/>
    <n v="0"/>
    <n v="0"/>
    <n v="0"/>
    <n v="0"/>
    <n v="0"/>
    <n v="0"/>
    <n v="0"/>
    <n v="0"/>
    <n v="0"/>
    <n v="0"/>
    <n v="0"/>
    <n v="0"/>
    <n v="0"/>
    <n v="0"/>
    <n v="0"/>
    <n v="0"/>
    <n v="0"/>
    <n v="0"/>
    <n v="11860050"/>
    <n v="0"/>
    <n v="0"/>
    <n v="11860050"/>
    <n v="11860050"/>
    <n v="11860050"/>
    <n v="0"/>
    <n v="0"/>
    <s v="Renovar el licenciamiento y soporte de solución de backup"/>
    <m/>
    <m/>
    <m/>
    <m/>
    <m/>
    <m/>
    <m/>
    <m/>
    <m/>
    <m/>
    <m/>
    <m/>
    <m/>
    <m/>
    <m/>
    <m/>
    <m/>
    <m/>
    <m/>
    <m/>
    <n v="11860050"/>
    <m/>
    <m/>
    <n v="11860050"/>
    <m/>
    <m/>
    <n v="11860050"/>
    <n v="11860050"/>
    <n v="0"/>
    <n v="0"/>
    <m/>
    <m/>
    <m/>
    <n v="11860050"/>
    <m/>
    <m/>
    <n v="0"/>
    <n v="1186005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60"/>
    <s v="Aumentar la capacidad institucional a nivel de arquitectura tecnológica y de sistemas de información."/>
    <s v="Servicios Tecnológicos"/>
    <s v="Robustecer el nivel de madurez de la estrategia de infraestructura y soluciones en la nube."/>
    <s v="43233415;43211501;81112003;71151106"/>
    <s v="C-2199-1900-5-53105B-2199067-02"/>
    <x v="5"/>
    <s v="130-60 Adquirir el servicio de nube para Backup y DRP"/>
    <s v="Enero "/>
    <s v="Enero "/>
    <s v="Marzo"/>
    <n v="12"/>
    <s v="Meses"/>
    <s v="Seléccion abreviada - acuerdo marco"/>
    <s v="Propios - 21 - Otros recursos de tesorería"/>
    <n v="213000000"/>
    <n v="213000000"/>
    <s v="No"/>
    <s v="N/A"/>
    <s v="Paola del Pilar Puerta Peña"/>
    <s v="Jefe Oficina de Tecnologías de la Información"/>
    <n v="6012220601"/>
    <s v="pilar.puerta@upme.gov.co"/>
    <n v="0"/>
    <n v="0"/>
    <n v="0"/>
    <n v="0"/>
    <n v="213000000"/>
    <n v="0"/>
    <n v="0"/>
    <n v="0"/>
    <n v="0"/>
    <n v="0"/>
    <n v="0"/>
    <n v="0"/>
    <n v="0"/>
    <n v="213000000"/>
    <n v="0"/>
    <n v="0"/>
    <n v="87000000"/>
    <n v="0"/>
    <n v="0"/>
    <n v="0"/>
    <n v="0"/>
    <n v="0"/>
    <n v="0"/>
    <n v="87000000"/>
    <n v="300000000"/>
    <n v="300000000"/>
    <n v="-87000000"/>
    <n v="-87000000"/>
    <s v="Adquirir el servicio de nube para Backup y DRP"/>
    <n v="0"/>
    <n v="0"/>
    <n v="0"/>
    <n v="0"/>
    <n v="300000000"/>
    <n v="0"/>
    <n v="-87000000"/>
    <n v="0"/>
    <n v="0"/>
    <n v="0"/>
    <n v="0"/>
    <n v="0"/>
    <n v="0"/>
    <n v="0"/>
    <n v="0"/>
    <n v="0"/>
    <n v="0"/>
    <n v="0"/>
    <n v="0"/>
    <n v="0"/>
    <n v="0"/>
    <n v="0"/>
    <n v="0"/>
    <n v="213000000"/>
    <m/>
    <m/>
    <n v="213000000"/>
    <n v="213000000"/>
    <n v="0"/>
    <n v="0"/>
    <n v="69026"/>
    <d v="2026-02-26T00:00:00"/>
    <n v="213000000"/>
    <n v="0"/>
    <n v="64726"/>
    <d v="2026-03-19T00:00:00"/>
    <n v="213000000"/>
    <n v="0"/>
    <n v="0"/>
    <s v="TECH AND KNOWLEDGE S.A.S"/>
    <s v="CO1.PCCNTR.8707246"/>
    <m/>
    <m/>
    <m/>
    <m/>
    <m/>
    <m/>
    <n v="213000000"/>
    <m/>
    <m/>
    <m/>
    <m/>
    <m/>
    <m/>
    <m/>
    <m/>
    <m/>
    <m/>
    <m/>
    <m/>
    <m/>
    <m/>
    <m/>
    <m/>
    <m/>
    <m/>
    <m/>
    <m/>
    <m/>
    <m/>
    <m/>
    <m/>
    <m/>
    <m/>
    <m/>
    <m/>
    <m/>
    <n v="213000000"/>
    <n v="0"/>
    <n v="0"/>
    <n v="213000000"/>
    <n v="0"/>
  </r>
  <r>
    <x v="0"/>
    <x v="3"/>
    <s v="Fortalecimiento de los servicios digitales aumentando la capacidad para la transformación digital e interacción con el ciudadano"/>
    <s v="TIC"/>
    <s v="Sí"/>
    <s v="Sí"/>
    <n v="68"/>
    <s v="130-61"/>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9"/>
    <s v="130-61 Actualización y soporte del sistema de gestión documental de la Unidad, basado en ARGO/ORFEOGPL, para la Unidad de Planeación Minero Energética -UPME"/>
    <s v="Mayo"/>
    <s v="Mayo"/>
    <s v="Agosto"/>
    <n v="12"/>
    <s v="Meses"/>
    <s v="Contratación directa - único oferente"/>
    <s v="Propios - 21 - Otros recursos de tesorería"/>
    <n v="76000000"/>
    <n v="76000000"/>
    <s v="No"/>
    <s v="N/A"/>
    <s v="Paola del Pilar Puerta Peña"/>
    <s v="Jefe Oficina de Tecnologías de la Información"/>
    <n v="6012220601"/>
    <s v="pilar.puerta@upme.gov.co"/>
    <n v="0"/>
    <n v="0"/>
    <n v="0"/>
    <n v="0"/>
    <n v="0"/>
    <n v="0"/>
    <n v="0"/>
    <n v="0"/>
    <n v="0"/>
    <n v="0"/>
    <n v="0"/>
    <n v="0"/>
    <n v="0"/>
    <n v="0"/>
    <n v="76000000"/>
    <n v="0"/>
    <n v="0"/>
    <n v="0"/>
    <n v="0"/>
    <n v="0"/>
    <n v="0"/>
    <n v="0"/>
    <n v="0"/>
    <n v="76000000"/>
    <n v="76000000"/>
    <n v="76000000"/>
    <n v="0"/>
    <n v="0"/>
    <s v="Actualización y soporte del sistema de gestión documental de la Unidad, basado en ARGO/ORFEOGPL, para la Unidad de Planeación Minero Energética -UPME"/>
    <m/>
    <m/>
    <m/>
    <m/>
    <m/>
    <m/>
    <m/>
    <m/>
    <m/>
    <m/>
    <m/>
    <m/>
    <m/>
    <m/>
    <n v="76000000"/>
    <m/>
    <m/>
    <m/>
    <m/>
    <m/>
    <m/>
    <m/>
    <m/>
    <n v="76000000"/>
    <m/>
    <m/>
    <n v="76000000"/>
    <n v="76000000"/>
    <n v="0"/>
    <n v="0"/>
    <m/>
    <m/>
    <m/>
    <n v="76000000"/>
    <m/>
    <m/>
    <n v="0"/>
    <n v="76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7"/>
    <s v="130-62"/>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9"/>
    <s v="130-62 Contratar el suministro de una solución tecnológica integral en la modalidad de software como servicio (SaaS), que permita la gestión unificada de los procesos de nómina, recursos humanos, administración de contratistas, y el control de bienes y se"/>
    <s v="Agosto"/>
    <s v="Agosto"/>
    <s v="Noviembre"/>
    <n v="12"/>
    <s v="Meses"/>
    <s v="Seléccion abreviada - acuerdo marco"/>
    <s v="Propios - 21 - Otros recursos de tesorería"/>
    <n v="34264600"/>
    <n v="34264600"/>
    <s v="No"/>
    <s v="N/A"/>
    <s v="Paola del Pilar Puerta Peña"/>
    <s v="Jefe Oficina de Tecnologías de la Información"/>
    <n v="6012220601"/>
    <s v="pilar.puerta@upme.gov.co"/>
    <n v="0"/>
    <n v="0"/>
    <n v="0"/>
    <n v="0"/>
    <n v="0"/>
    <n v="0"/>
    <n v="0"/>
    <n v="0"/>
    <n v="0"/>
    <n v="0"/>
    <n v="0"/>
    <n v="0"/>
    <n v="0"/>
    <n v="0"/>
    <n v="0"/>
    <n v="0"/>
    <n v="0"/>
    <n v="0"/>
    <n v="0"/>
    <n v="0"/>
    <n v="34264600"/>
    <n v="0"/>
    <n v="0"/>
    <n v="34264600"/>
    <n v="34264600"/>
    <n v="34264600"/>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34264600"/>
    <m/>
    <m/>
    <n v="34264600"/>
    <m/>
    <m/>
    <n v="34264600"/>
    <n v="34264600"/>
    <n v="0"/>
    <n v="0"/>
    <m/>
    <m/>
    <m/>
    <n v="34264600"/>
    <m/>
    <m/>
    <n v="0"/>
    <n v="342646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1"/>
    <s v="130-63"/>
    <s v="Aumentar la capacidad institucional a nivel de arquitectura tecnológica y de sistemas de información."/>
    <s v="Servicios Tecnológicos"/>
    <s v="Robustecer el nivel de madurez de la estrategia de infraestructura y soluciones en la nube."/>
    <n v="80111713"/>
    <s v="C-2199-1900-5-53105B-2199067-02"/>
    <x v="10"/>
    <s v="130-63 Adquirir el licenciamiento de correo electrónico, junto con las herramientas colaborativas en nube para la UPME"/>
    <s v="Julio"/>
    <s v="Julio"/>
    <s v="Octubre"/>
    <n v="12"/>
    <s v="Meses"/>
    <s v="Seléccion abreviada - acuerdo marco"/>
    <s v="Propios - 20 - Ingresos corrientes"/>
    <n v="58381864"/>
    <n v="58381864"/>
    <s v="No"/>
    <s v="N/A"/>
    <s v="Paola del Pilar Puerta Peña"/>
    <s v="Jefe Oficina de Tecnologías de la Información"/>
    <n v="6012220601"/>
    <s v="pilar.puerta@upme.gov.co"/>
    <n v="0"/>
    <n v="0"/>
    <n v="0"/>
    <n v="0"/>
    <n v="0"/>
    <n v="0"/>
    <n v="0"/>
    <n v="0"/>
    <n v="0"/>
    <n v="0"/>
    <n v="0"/>
    <n v="0"/>
    <n v="0"/>
    <n v="0"/>
    <n v="0"/>
    <n v="0"/>
    <n v="0"/>
    <n v="0"/>
    <n v="58381864"/>
    <n v="0"/>
    <n v="0"/>
    <n v="0"/>
    <n v="0"/>
    <n v="58381864"/>
    <n v="58381864"/>
    <n v="58381864"/>
    <n v="0"/>
    <n v="0"/>
    <s v="Adquirir el licenciamiento de correo electrónico, junto con las herramientas colaborativas en nube para la UPME"/>
    <m/>
    <m/>
    <m/>
    <m/>
    <m/>
    <m/>
    <m/>
    <m/>
    <m/>
    <m/>
    <m/>
    <m/>
    <m/>
    <m/>
    <m/>
    <m/>
    <m/>
    <m/>
    <n v="58381864"/>
    <m/>
    <m/>
    <m/>
    <m/>
    <n v="58381864"/>
    <m/>
    <m/>
    <n v="58381864"/>
    <n v="58381864"/>
    <n v="0"/>
    <n v="0"/>
    <m/>
    <m/>
    <m/>
    <n v="58381864"/>
    <m/>
    <m/>
    <n v="0"/>
    <n v="58381864"/>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64"/>
    <s v="Aumentar la capacidad institucional a nivel de arquitectura tecnológica y de sistemas de información."/>
    <s v="Servicios Tecnológicos"/>
    <s v="Robustecer el nivel de madurez de la estrategia de infraestructura y soluciones en la nube."/>
    <n v="80111713"/>
    <s v="C-2199-1900-5-53105B-2199067-02"/>
    <x v="10"/>
    <s v="130-64 Adquisición de suscripción anual de un sistema de monitoreo de la infraestructura tecnológica de la entidad."/>
    <s v="Mayo"/>
    <s v="Mayo"/>
    <s v="Agosto"/>
    <n v="12"/>
    <s v="Meses"/>
    <s v="Contratación directa - Contratos menor cuantía"/>
    <s v="Propios - 20 - Ingresos corrientes"/>
    <n v="45000000"/>
    <n v="45000000"/>
    <s v="No"/>
    <s v="N/A"/>
    <s v="Paola del Pilar Puerta Peña"/>
    <s v="Jefe Oficina de Tecnologías de la Información"/>
    <n v="6012220601"/>
    <s v="pilar.puerta@upme.gov.co"/>
    <n v="0"/>
    <n v="0"/>
    <n v="0"/>
    <n v="0"/>
    <n v="0"/>
    <n v="0"/>
    <n v="0"/>
    <n v="0"/>
    <n v="0"/>
    <n v="0"/>
    <n v="0"/>
    <n v="0"/>
    <n v="0"/>
    <n v="0"/>
    <n v="45000000"/>
    <n v="0"/>
    <n v="0"/>
    <n v="0"/>
    <n v="0"/>
    <n v="0"/>
    <n v="0"/>
    <n v="0"/>
    <n v="0"/>
    <n v="45000000"/>
    <n v="45000000"/>
    <n v="45000000"/>
    <n v="0"/>
    <n v="0"/>
    <s v="Adquisición de suscripción anual de un sistema de monitoreo de la infraestructura tecnológica de la entidad."/>
    <m/>
    <m/>
    <m/>
    <m/>
    <m/>
    <m/>
    <m/>
    <m/>
    <m/>
    <m/>
    <m/>
    <m/>
    <m/>
    <m/>
    <n v="45000000"/>
    <m/>
    <m/>
    <m/>
    <m/>
    <m/>
    <m/>
    <m/>
    <m/>
    <n v="45000000"/>
    <m/>
    <m/>
    <n v="45000000"/>
    <n v="45000000"/>
    <n v="0"/>
    <n v="0"/>
    <m/>
    <m/>
    <m/>
    <n v="45000000"/>
    <m/>
    <m/>
    <n v="0"/>
    <n v="45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16"/>
    <s v="130-65"/>
    <s v="Aumentar la capacidad institucional a nivel de arquitectura tecnológica y de sistemas de información."/>
    <s v="Servicios Tecnológicos"/>
    <s v="Robustecer el nivel de madurez de la estrategia de infraestructura y soluciones en la nube."/>
    <s v="43222611;43232805"/>
    <s v="C-2199-1900-5-53105B-2199067-02"/>
    <x v="10"/>
    <s v="130-65 Adquirir el canal de backup de internet para la UPME."/>
    <s v="Enero "/>
    <s v="Enero "/>
    <s v="Abril"/>
    <n v="12"/>
    <s v="Meses"/>
    <s v="Seléccion abreviada - acuerdo marco"/>
    <s v="Propios - 21 - Otros recursos de tesorería"/>
    <n v="48639950"/>
    <n v="48639950"/>
    <s v="No"/>
    <s v="N/A"/>
    <s v="Paola del Pilar Puerta Peña"/>
    <s v="Jefe Oficina de Tecnologías de la Información"/>
    <n v="6012220601"/>
    <s v="pilar.puerta@upme.gov.co"/>
    <n v="0"/>
    <n v="0"/>
    <n v="0"/>
    <n v="0"/>
    <n v="0"/>
    <n v="0"/>
    <n v="35000000"/>
    <n v="0"/>
    <n v="0"/>
    <n v="3800000"/>
    <n v="0"/>
    <n v="3800000"/>
    <n v="0"/>
    <n v="3800000"/>
    <n v="0"/>
    <n v="3800000"/>
    <n v="0"/>
    <n v="3800000"/>
    <n v="0"/>
    <n v="3800000"/>
    <n v="0"/>
    <n v="3800000"/>
    <n v="0"/>
    <n v="8400000"/>
    <n v="35000000"/>
    <n v="35000000"/>
    <n v="13639950"/>
    <n v="13639950"/>
    <s v="Adquirir el canal de backup de internet para la UPME."/>
    <n v="0"/>
    <n v="0"/>
    <n v="0"/>
    <n v="0"/>
    <n v="0"/>
    <n v="0"/>
    <n v="48639950"/>
    <n v="0"/>
    <n v="0"/>
    <n v="0"/>
    <n v="0"/>
    <n v="0"/>
    <n v="0"/>
    <n v="0"/>
    <n v="0"/>
    <n v="0"/>
    <n v="0"/>
    <n v="0"/>
    <n v="0"/>
    <n v="0"/>
    <n v="0"/>
    <n v="0"/>
    <n v="0"/>
    <n v="48639950"/>
    <m/>
    <m/>
    <n v="48639950"/>
    <n v="48639950"/>
    <n v="0"/>
    <n v="0"/>
    <n v="71626"/>
    <d v="2026-03-26T00:00:00"/>
    <n v="48326614"/>
    <n v="313336"/>
    <n v="73426"/>
    <d v="2026-04-29T00:00:00"/>
    <n v="11111625"/>
    <n v="37528325"/>
    <n v="37214989"/>
    <s v="EMPRESA DE TELECOMUNICACIONES DE BOGOTA SA ESP PUDIENDO IDENTIFICARSE PARA TODOS LOS EFECTOS CON LA SIGLA ETB S.A. E.S.P."/>
    <n v="163969"/>
    <m/>
    <m/>
    <m/>
    <m/>
    <m/>
    <m/>
    <m/>
    <m/>
    <m/>
    <n v="11111625"/>
    <m/>
    <m/>
    <m/>
    <m/>
    <m/>
    <m/>
    <m/>
    <m/>
    <m/>
    <m/>
    <m/>
    <m/>
    <m/>
    <m/>
    <m/>
    <m/>
    <m/>
    <m/>
    <m/>
    <m/>
    <m/>
    <m/>
    <m/>
    <m/>
    <m/>
    <m/>
    <n v="11111625"/>
    <n v="0"/>
    <n v="0"/>
    <n v="11111625"/>
    <n v="0"/>
  </r>
  <r>
    <x v="0"/>
    <x v="3"/>
    <s v="Fortalecimiento de los servicios digitales aumentando la capacidad para la transformación digital e interacción con el ciudadano"/>
    <s v="TIC"/>
    <s v="Sí"/>
    <s v="Sí"/>
    <n v="68"/>
    <s v="130-66"/>
    <s v="Aumentar la capacidad institucional a nivel de arquitectura tecnológica y de sistemas de información."/>
    <s v="Servicios Tecnológicos"/>
    <s v="Robustecer el nivel de madurez de la estrategia de infraestructura y soluciones en la nube."/>
    <s v="43222611;43232805"/>
    <s v="C-2199-1900-5-53105B-2199067-02"/>
    <x v="10"/>
    <s v="130-66 Renovación del segmento de prefijo IPV6 ante LACNIC."/>
    <s v="Agosto"/>
    <s v="Agosto"/>
    <s v="Diciembre"/>
    <n v="12"/>
    <s v="Meses"/>
    <s v="Seléccion abreviada - acuerdo marco"/>
    <s v="Propios - 21 - Otros recursos de tesorería"/>
    <n v="5000000"/>
    <n v="5000000"/>
    <s v="No"/>
    <s v="N/A"/>
    <s v="Paola del Pilar Puerta Peña"/>
    <s v="Jefe Oficina de Tecnologías de la Información"/>
    <n v="6012220601"/>
    <s v="pilar.puerta@upme.gov.co"/>
    <n v="0"/>
    <n v="0"/>
    <n v="0"/>
    <n v="0"/>
    <n v="0"/>
    <n v="0"/>
    <n v="0"/>
    <n v="0"/>
    <n v="0"/>
    <n v="0"/>
    <n v="0"/>
    <n v="0"/>
    <n v="0"/>
    <n v="0"/>
    <n v="0"/>
    <n v="0"/>
    <n v="0"/>
    <n v="0"/>
    <n v="0"/>
    <n v="0"/>
    <n v="0"/>
    <n v="0"/>
    <n v="5000000"/>
    <n v="5000000"/>
    <n v="5000000"/>
    <n v="5000000"/>
    <n v="0"/>
    <n v="0"/>
    <s v="Renovación del segmento de prefijo IPV6 ante LACNIC."/>
    <m/>
    <m/>
    <m/>
    <m/>
    <m/>
    <m/>
    <m/>
    <m/>
    <m/>
    <m/>
    <m/>
    <m/>
    <m/>
    <m/>
    <m/>
    <m/>
    <m/>
    <m/>
    <m/>
    <m/>
    <m/>
    <m/>
    <n v="5000000"/>
    <n v="5000000"/>
    <m/>
    <m/>
    <n v="5000000"/>
    <n v="5000000"/>
    <n v="0"/>
    <n v="0"/>
    <m/>
    <m/>
    <m/>
    <n v="5000000"/>
    <m/>
    <m/>
    <n v="0"/>
    <n v="5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67"/>
    <s v="Mejorar la implementación del modelo de Gestión de Información Institucional."/>
    <s v="Servicios de Información Implementados"/>
    <s v="Realizar la adopción del modelo de gestión de Información Institucional."/>
    <n v="80101505"/>
    <s v="C-2199-1900-5-53105B-2199065-02"/>
    <x v="9"/>
    <s v="130-67 Contratar el servicio de plataforma cómo servicios PaaS de la herramienta Bizagi, así como la migración de los flujos de procesos de la UPME."/>
    <s v="Mayo"/>
    <s v="Mayo"/>
    <s v="Agosto"/>
    <n v="12"/>
    <s v="Meses"/>
    <s v="Contratación directa - único oferente"/>
    <s v="Propios - 21 - Otros recursos de tesorería"/>
    <n v="500000000"/>
    <n v="500000000"/>
    <s v="No"/>
    <s v="N/A"/>
    <s v="Paola del Pilar Puerta Peña"/>
    <s v="Jefe Oficina de Tecnologías de la Información"/>
    <n v="6012220601"/>
    <s v="pilar.puerta@upme.gov.co"/>
    <n v="0"/>
    <n v="0"/>
    <n v="0"/>
    <n v="0"/>
    <n v="0"/>
    <n v="0"/>
    <n v="0"/>
    <n v="0"/>
    <n v="0"/>
    <n v="0"/>
    <n v="0"/>
    <n v="0"/>
    <n v="0"/>
    <n v="0"/>
    <n v="500000000"/>
    <n v="0"/>
    <n v="0"/>
    <n v="0"/>
    <n v="0"/>
    <n v="0"/>
    <n v="0"/>
    <n v="0"/>
    <n v="0"/>
    <n v="500000000"/>
    <n v="500000000"/>
    <n v="500000000"/>
    <n v="0"/>
    <n v="0"/>
    <s v="Contratar el servicio de plataforma cómo servicios PaaS de la herramienta Bizagi, así como la migración de los flujos de procesos de la UPME."/>
    <m/>
    <m/>
    <m/>
    <m/>
    <m/>
    <m/>
    <m/>
    <m/>
    <m/>
    <m/>
    <m/>
    <m/>
    <m/>
    <m/>
    <n v="500000000"/>
    <m/>
    <m/>
    <m/>
    <m/>
    <m/>
    <m/>
    <m/>
    <m/>
    <n v="500000000"/>
    <m/>
    <m/>
    <n v="500000000"/>
    <n v="500000000"/>
    <n v="0"/>
    <n v="0"/>
    <m/>
    <m/>
    <m/>
    <n v="500000000"/>
    <m/>
    <m/>
    <n v="0"/>
    <n v="500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16"/>
    <s v="130-68"/>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43231513"/>
    <s v="C-2199-1900-5-53105B-2199067-02"/>
    <x v="10"/>
    <s v="130-68 Adquirir el servicio de licenciamiento de Office 365 usado en la entidad"/>
    <s v="Febrero"/>
    <s v="Febrero"/>
    <s v="Mayo"/>
    <n v="12"/>
    <s v="Meses"/>
    <s v="Seléccion abreviada - acuerdo marco"/>
    <s v="Propios - 21 - Otros recursos de tesorería"/>
    <n v="54150000"/>
    <n v="54150000"/>
    <s v="No"/>
    <s v="N/A"/>
    <s v="Paola del Pilar Puerta Peña"/>
    <s v="Jefe Oficina de Tecnologías de la Información"/>
    <n v="6012220601"/>
    <s v="pilar.puerta@upme.gov.co"/>
    <n v="0"/>
    <n v="0"/>
    <n v="0"/>
    <n v="0"/>
    <n v="0"/>
    <n v="0"/>
    <n v="0"/>
    <n v="0"/>
    <n v="47550000"/>
    <n v="0"/>
    <n v="0"/>
    <n v="0"/>
    <n v="0"/>
    <n v="0"/>
    <n v="0"/>
    <n v="47550000"/>
    <n v="0"/>
    <n v="0"/>
    <n v="0"/>
    <n v="0"/>
    <n v="0"/>
    <n v="0"/>
    <n v="0"/>
    <n v="0"/>
    <n v="47550000"/>
    <n v="47550000"/>
    <n v="6600000"/>
    <n v="6600000"/>
    <s v="Adquirir el servicio de licenciamiento de Office 365 usado en la entidad"/>
    <n v="0"/>
    <n v="0"/>
    <n v="0"/>
    <n v="0"/>
    <n v="0"/>
    <n v="0"/>
    <n v="0"/>
    <n v="0"/>
    <n v="54150000"/>
    <n v="0"/>
    <n v="0"/>
    <n v="0"/>
    <n v="0"/>
    <n v="0"/>
    <n v="0"/>
    <n v="54150000"/>
    <n v="0"/>
    <n v="0"/>
    <n v="0"/>
    <n v="0"/>
    <n v="0"/>
    <n v="0"/>
    <n v="0"/>
    <n v="0"/>
    <m/>
    <m/>
    <n v="54150000"/>
    <n v="54150000"/>
    <n v="0"/>
    <n v="0"/>
    <n v="71426"/>
    <d v="2026-03-26T00:00:00"/>
    <n v="54150000"/>
    <n v="0"/>
    <n v="73326"/>
    <d v="2026-04-29T00:00:00"/>
    <n v="47633172"/>
    <n v="6516828"/>
    <n v="6516828"/>
    <s v="COLSOF S.A.S."/>
    <n v="163875"/>
    <m/>
    <m/>
    <m/>
    <m/>
    <m/>
    <m/>
    <m/>
    <m/>
    <m/>
    <n v="47633172"/>
    <m/>
    <m/>
    <m/>
    <m/>
    <m/>
    <m/>
    <m/>
    <m/>
    <m/>
    <m/>
    <m/>
    <m/>
    <m/>
    <m/>
    <m/>
    <m/>
    <m/>
    <m/>
    <m/>
    <m/>
    <m/>
    <m/>
    <m/>
    <m/>
    <m/>
    <m/>
    <n v="47633172"/>
    <n v="0"/>
    <n v="0"/>
    <n v="47633172"/>
    <n v="0"/>
  </r>
  <r>
    <x v="0"/>
    <x v="3"/>
    <s v="Fortalecimiento de los servicios digitales aumentando la capacidad para la transformación digital e interacción con el ciudadano"/>
    <s v="TIC"/>
    <s v="Sí"/>
    <s v="Sí"/>
    <n v="68"/>
    <s v="130-69"/>
    <s v="Aumentar la capacidad institucional a nivel de arquitectura tecnológica y de sistemas de información."/>
    <s v="Servicios Tecnológicos"/>
    <s v="Robustecer el nivel de madurez de la estrategia de infraestructura y soluciones en la nube."/>
    <s v="43233200;81111800;81111801;81112208, "/>
    <s v="C-2199-1900-5-53105B-2199067-02"/>
    <x v="10"/>
    <s v="130-69 Adquirir el licenciamiento de la solución con la que cuenta la UPME para la protección del correo electrónico, de la red de comunicaciones, y la integración con el Firewall Palo Alto"/>
    <s v="Agosto"/>
    <s v="Agosto"/>
    <s v="Noviembre"/>
    <n v="12"/>
    <s v="Meses"/>
    <s v="Contratación directa - Contratos menor cuantía"/>
    <s v="Propios - 21 - Otros recursos de tesorería"/>
    <n v="182000000"/>
    <n v="182000000"/>
    <s v="No"/>
    <s v="N/A"/>
    <s v="Paola del Pilar Puerta Peña"/>
    <s v="Jefe Oficina de Tecnologías de la Información"/>
    <n v="6012220601"/>
    <s v="pilar.puerta@upme.gov.co"/>
    <n v="0"/>
    <n v="0"/>
    <n v="0"/>
    <n v="0"/>
    <n v="0"/>
    <n v="0"/>
    <n v="0"/>
    <n v="0"/>
    <n v="0"/>
    <n v="0"/>
    <n v="0"/>
    <n v="0"/>
    <n v="0"/>
    <n v="0"/>
    <n v="0"/>
    <n v="0"/>
    <n v="0"/>
    <n v="0"/>
    <n v="0"/>
    <n v="0"/>
    <n v="182000000"/>
    <n v="0"/>
    <n v="0"/>
    <n v="182000000"/>
    <n v="182000000"/>
    <n v="182000000"/>
    <n v="0"/>
    <n v="0"/>
    <s v="Adquirir el licenciamiento de la solución con la que cuenta la UPME para la protección del correo electrónico, de la red de comunicaciones, y la integración con el Firewall Palo Alto"/>
    <m/>
    <m/>
    <m/>
    <m/>
    <m/>
    <m/>
    <m/>
    <m/>
    <m/>
    <m/>
    <m/>
    <m/>
    <m/>
    <m/>
    <m/>
    <m/>
    <m/>
    <m/>
    <m/>
    <m/>
    <n v="182000000"/>
    <m/>
    <m/>
    <n v="182000000"/>
    <m/>
    <m/>
    <n v="182000000"/>
    <n v="182000000"/>
    <n v="0"/>
    <n v="0"/>
    <m/>
    <m/>
    <m/>
    <n v="182000000"/>
    <m/>
    <m/>
    <n v="0"/>
    <n v="182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0"/>
    <s v="Aumentar la capacidad institucional a nivel de arquitectura tecnológica y de sistemas de información."/>
    <s v="Servicios Tecnológicos"/>
    <s v="Robustecer el nivel de madurez de la estrategia de infraestructura y soluciones en la nube."/>
    <s v="43222501;43222503;43222504;43222609;43233205"/>
    <s v="C-2199-1900-5-53105B-2199067-02"/>
    <x v="10"/>
    <s v="130-70 Contratar la solución de Security Gateway Edge para fortalecer la infraestructura de seguridad de la Entidad, con capacidades avanzadas que incluyen balanceo de servicios con DRP, firewall de aplicaciones avanzado, protección antibot, y mecanismos "/>
    <s v="Febrero"/>
    <s v="Febrero"/>
    <s v="Abril"/>
    <n v="12"/>
    <s v="Meses"/>
    <s v="Contratación directa - Contratos menor cuantía"/>
    <s v="Propios - 21 - Otros recursos de tesorería"/>
    <n v="40000000"/>
    <n v="40000000"/>
    <s v="No"/>
    <s v="N/A"/>
    <s v="Paola del Pilar Puerta Peña"/>
    <s v="Jefe Oficina de Tecnologías de la Información"/>
    <n v="6012220601"/>
    <s v="pilar.puerta@upme.gov.co"/>
    <n v="0"/>
    <n v="0"/>
    <n v="0"/>
    <n v="0"/>
    <n v="0"/>
    <n v="0"/>
    <n v="40000000"/>
    <n v="0"/>
    <n v="0"/>
    <n v="0"/>
    <n v="0"/>
    <n v="0"/>
    <n v="0"/>
    <n v="0"/>
    <n v="0"/>
    <n v="0"/>
    <n v="0"/>
    <n v="0"/>
    <n v="0"/>
    <n v="40000000"/>
    <n v="0"/>
    <n v="0"/>
    <n v="0"/>
    <n v="0"/>
    <n v="40000000"/>
    <n v="40000000"/>
    <n v="0"/>
    <n v="0"/>
    <s v="Contratar la solución de Security Gateway Edge para fortalecer la infraestructura de seguridad de la Entidad, con capacidades avanzadas que incluyen balanceo de servicios con DRP, firewall de aplicaciones avanzado, protección antibot, y mecanismos efectiv"/>
    <m/>
    <m/>
    <m/>
    <m/>
    <m/>
    <m/>
    <n v="40000000"/>
    <m/>
    <m/>
    <m/>
    <m/>
    <m/>
    <m/>
    <m/>
    <m/>
    <m/>
    <m/>
    <m/>
    <m/>
    <n v="40000000"/>
    <m/>
    <m/>
    <m/>
    <m/>
    <m/>
    <m/>
    <n v="40000000"/>
    <n v="40000000"/>
    <n v="0"/>
    <n v="0"/>
    <n v="69126"/>
    <d v="2026-02-26T00:00:00"/>
    <n v="39832164"/>
    <n v="167836"/>
    <n v="67826"/>
    <d v="2026-04-07T00:00:00"/>
    <n v="39832164"/>
    <n v="167836"/>
    <n v="0"/>
    <s v="NGEEK SAS"/>
    <s v="CO1.PCCNTR.7714801"/>
    <m/>
    <m/>
    <m/>
    <m/>
    <m/>
    <m/>
    <m/>
    <m/>
    <m/>
    <n v="39832164"/>
    <m/>
    <m/>
    <m/>
    <m/>
    <m/>
    <m/>
    <m/>
    <m/>
    <m/>
    <m/>
    <m/>
    <m/>
    <m/>
    <m/>
    <m/>
    <m/>
    <m/>
    <m/>
    <m/>
    <m/>
    <m/>
    <m/>
    <m/>
    <m/>
    <m/>
    <m/>
    <n v="39832164"/>
    <n v="0"/>
    <n v="0"/>
    <n v="39832164"/>
    <n v="0"/>
  </r>
  <r>
    <x v="0"/>
    <x v="3"/>
    <s v="Fortalecimiento de los servicios digitales aumentando la capacidad para la transformación digital e interacción con el ciudadano"/>
    <s v="TIC"/>
    <s v="Sí"/>
    <s v="Sí"/>
    <n v="68"/>
    <s v="130-71"/>
    <s v="Mejorar la implementación del modelo de Gestión de Información Institucional."/>
    <s v="Servicios de Información Implementados"/>
    <s v="Realizar la adopción del modelo de gestión de Información Institucional."/>
    <s v="43222501;43222503;43222504;43222609;43233205"/>
    <s v="C-2199-1900-5-53105B-2199065-02"/>
    <x v="10"/>
    <s v="130-71 Contratar la solución de Security Gateway Edge para fortalecer la infraestructura de seguridad de la Entidad, con capacidades avanzadas que incluyen balanceo de servicios con DRP, firewall de aplicaciones avanzado, protección antibot, y mecanismos "/>
    <s v="Febrero"/>
    <s v="Febrero"/>
    <s v="Abril"/>
    <n v="12"/>
    <s v="Meses"/>
    <s v="Contratación directa - Contratos menor cuantía"/>
    <s v="Propios - 21 - Otros recursos de tesorería"/>
    <n v="160000000"/>
    <n v="160000000"/>
    <s v="No"/>
    <s v="N/A"/>
    <s v="Paola del Pilar Puerta Peña"/>
    <s v="Jefe Oficina de Tecnologías de la Información"/>
    <n v="6012220601"/>
    <s v="pilar.puerta@upme.gov.co"/>
    <n v="0"/>
    <n v="0"/>
    <n v="0"/>
    <n v="0"/>
    <n v="0"/>
    <n v="0"/>
    <n v="160000000"/>
    <n v="0"/>
    <n v="0"/>
    <n v="0"/>
    <n v="0"/>
    <n v="0"/>
    <n v="0"/>
    <n v="0"/>
    <n v="0"/>
    <n v="0"/>
    <n v="0"/>
    <n v="0"/>
    <n v="0"/>
    <n v="160000000"/>
    <n v="0"/>
    <n v="0"/>
    <n v="0"/>
    <n v="0"/>
    <n v="160000000"/>
    <n v="160000000"/>
    <n v="0"/>
    <n v="0"/>
    <s v="Contratar la solución de Security Gateway Edge para fortalecer la infraestructura de seguridad de la Entidad, con capacidades avanzadas que incluyen balanceo de servicios con DRP, firewall de aplicaciones avanzado, protección antibot, y mecanismos efectiv"/>
    <m/>
    <m/>
    <m/>
    <m/>
    <m/>
    <m/>
    <n v="160000000"/>
    <m/>
    <m/>
    <m/>
    <m/>
    <m/>
    <m/>
    <m/>
    <m/>
    <m/>
    <m/>
    <m/>
    <m/>
    <n v="160000000"/>
    <m/>
    <m/>
    <m/>
    <m/>
    <m/>
    <m/>
    <n v="160000000"/>
    <n v="160000000"/>
    <n v="0"/>
    <n v="0"/>
    <n v="69126"/>
    <d v="2026-02-26T00:00:00"/>
    <n v="160000000"/>
    <n v="0"/>
    <n v="67826"/>
    <d v="2026-04-07T00:00:00"/>
    <n v="160000000"/>
    <n v="0"/>
    <n v="0"/>
    <s v="NGEEK SAS"/>
    <s v="CO1.PCCNTR.7714801"/>
    <m/>
    <m/>
    <m/>
    <m/>
    <m/>
    <m/>
    <m/>
    <m/>
    <m/>
    <n v="160000000"/>
    <m/>
    <m/>
    <m/>
    <m/>
    <m/>
    <m/>
    <m/>
    <m/>
    <m/>
    <m/>
    <m/>
    <m/>
    <m/>
    <m/>
    <m/>
    <m/>
    <m/>
    <m/>
    <m/>
    <m/>
    <m/>
    <m/>
    <m/>
    <m/>
    <m/>
    <m/>
    <n v="160000000"/>
    <n v="0"/>
    <n v="0"/>
    <n v="160000000"/>
    <n v="0"/>
  </r>
  <r>
    <x v="0"/>
    <x v="3"/>
    <s v="Fortalecimiento de los servicios digitales aumentando la capacidad para la transformación digital e interacción con el ciudadano"/>
    <s v="TIC"/>
    <s v="Sí"/>
    <s v="Sí"/>
    <n v="20"/>
    <s v="130-72"/>
    <s v="Aumentar la capacidad institucional a nivel de arquitectura tecnológica y de sistemas de información."/>
    <s v="Servicios Tecnológicos"/>
    <s v="Robustecer el nivel de madurez de la estrategia de infraestructura y soluciones en la nube."/>
    <s v="43232304,81112200,81112100"/>
    <s v="C-2199-1900-5-53105B-2199067-02"/>
    <x v="10"/>
    <s v="130-72 Adquirir la suscripción de Power BI para la visualización de datos de la entidad"/>
    <s v="Febrero"/>
    <s v="Febrero"/>
    <s v="Mayo"/>
    <n v="12"/>
    <s v="Meses"/>
    <s v="Seléccion abreviada - acuerdo marco"/>
    <s v="Propios - 21 - Otros recursos de tesorería"/>
    <n v="6300000"/>
    <n v="6300000"/>
    <s v="No"/>
    <s v="N/A"/>
    <s v="Paola del Pilar Puerta Peña"/>
    <s v="Jefe Oficina de Tecnologías de la Información"/>
    <n v="6012220601"/>
    <s v="pilar.puerta@upme.gov.co"/>
    <n v="0"/>
    <n v="0"/>
    <n v="0"/>
    <n v="0"/>
    <n v="0"/>
    <n v="0"/>
    <n v="0"/>
    <n v="0"/>
    <n v="5000000"/>
    <n v="0"/>
    <n v="0"/>
    <n v="0"/>
    <n v="0"/>
    <n v="0"/>
    <n v="0"/>
    <n v="0"/>
    <n v="0"/>
    <n v="5000000"/>
    <n v="0"/>
    <n v="0"/>
    <n v="0"/>
    <n v="0"/>
    <n v="0"/>
    <n v="0"/>
    <n v="5000000"/>
    <n v="5000000"/>
    <n v="1300000"/>
    <n v="1300000"/>
    <s v="Adquirir la suscripción de Power BI para la visualización de datos de la entidad"/>
    <n v="0"/>
    <n v="0"/>
    <n v="0"/>
    <n v="0"/>
    <n v="0"/>
    <n v="0"/>
    <n v="0"/>
    <n v="0"/>
    <n v="6300000"/>
    <n v="0"/>
    <n v="0"/>
    <n v="0"/>
    <n v="0"/>
    <n v="0"/>
    <n v="0"/>
    <n v="0"/>
    <n v="0"/>
    <n v="0"/>
    <n v="0"/>
    <n v="0"/>
    <n v="0"/>
    <n v="0"/>
    <n v="0"/>
    <n v="6300000"/>
    <m/>
    <m/>
    <n v="6300000"/>
    <n v="6300000"/>
    <n v="0"/>
    <n v="0"/>
    <n v="71526"/>
    <d v="2026-03-26T00:00:00"/>
    <n v="5000000"/>
    <n v="1300000"/>
    <m/>
    <m/>
    <n v="0"/>
    <n v="6300000"/>
    <n v="500000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3"/>
    <s v="Aumentar la capacidad institucional a nivel de arquitectura tecnológica y de sistemas de información."/>
    <s v="Servicios Tecnológicos"/>
    <s v="Robustecer el nivel de madurez de la estrategia de infraestructura y soluciones en la nube."/>
    <n v="81111801"/>
    <s v="C-2199-1900-5-53105B-2199067-02"/>
    <x v="10"/>
    <s v="130-73 Adquirir 150 licencias de Vicarius, una solución avanzada de gestión de vulnerabilidades y parches diseñada para mejorar la seguridad y la gestión de riesgos en la infraestructura de TI de la entidad."/>
    <s v="Agosto"/>
    <s v="Agosto"/>
    <s v="Noviembre"/>
    <n v="12"/>
    <s v="Meses"/>
    <s v="Contratación directa - Contratos menor cuantía"/>
    <s v="Propios - 21 - Otros recursos de tesorería"/>
    <n v="35000000"/>
    <n v="35000000"/>
    <s v="No"/>
    <s v="N/A"/>
    <s v="Paola del Pilar Puerta Peña"/>
    <s v="Jefe Oficina de Tecnologías de la Información"/>
    <n v="6012220601"/>
    <s v="pilar.puerta@upme.gov.co"/>
    <n v="0"/>
    <n v="0"/>
    <n v="0"/>
    <n v="0"/>
    <n v="0"/>
    <n v="0"/>
    <n v="0"/>
    <n v="0"/>
    <n v="0"/>
    <n v="0"/>
    <n v="0"/>
    <n v="0"/>
    <n v="0"/>
    <n v="0"/>
    <n v="0"/>
    <n v="0"/>
    <n v="0"/>
    <n v="0"/>
    <n v="0"/>
    <n v="0"/>
    <n v="35000000"/>
    <n v="0"/>
    <n v="0"/>
    <n v="35000000"/>
    <n v="35000000"/>
    <n v="35000000"/>
    <n v="0"/>
    <n v="0"/>
    <s v="Adquirir 150 licencias de Vicarius, una solución avanzada de gestión de vulnerabilidades y parches diseñada para mejorar la seguridad y la gestión de riesgos en la infraestructura de TI de la entidad."/>
    <m/>
    <m/>
    <m/>
    <m/>
    <m/>
    <m/>
    <m/>
    <m/>
    <m/>
    <m/>
    <m/>
    <m/>
    <m/>
    <m/>
    <m/>
    <m/>
    <m/>
    <m/>
    <m/>
    <m/>
    <n v="35000000"/>
    <m/>
    <m/>
    <n v="35000000"/>
    <m/>
    <m/>
    <n v="35000000"/>
    <n v="35000000"/>
    <n v="0"/>
    <n v="0"/>
    <m/>
    <m/>
    <m/>
    <n v="35000000"/>
    <m/>
    <m/>
    <n v="0"/>
    <n v="35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4"/>
    <s v="Mejorar la implementación del modelo de Gestión de Información Institucional."/>
    <s v="Servicios de Información Implementados"/>
    <s v="Realizar la adopción del modelo de gestión de Información Institucional."/>
    <s v="43231500;43232305;43232311"/>
    <s v="C-2199-1900-5-53105B-2199065-02"/>
    <x v="10"/>
    <s v="130-74 Adquirir el licenciamiento de gestión de bases de datos Microsoft SQL Server Standard Edition, para optimizar el rendimiento y la seguridad de la infraestructura de datos de la Unidad de Planeación Minero Energética (UPME)."/>
    <s v="Mayo"/>
    <s v="Mayo"/>
    <s v="Agosto"/>
    <n v="12"/>
    <s v="Meses"/>
    <s v="Contratación directa - Contratos menor cuantía"/>
    <s v="Propios - 20 - Ingresos corrientes"/>
    <n v="150000000"/>
    <n v="150000000"/>
    <s v="No"/>
    <s v="N/A"/>
    <s v="Paola del Pilar Puerta Peña"/>
    <s v="Jefe Oficina de Tecnologías de la Información"/>
    <n v="6012220601"/>
    <s v="pilar.puerta@upme.gov.co"/>
    <n v="0"/>
    <n v="0"/>
    <n v="0"/>
    <n v="0"/>
    <n v="0"/>
    <n v="0"/>
    <n v="0"/>
    <n v="0"/>
    <n v="0"/>
    <n v="0"/>
    <n v="0"/>
    <n v="0"/>
    <n v="0"/>
    <n v="0"/>
    <n v="150000000"/>
    <n v="0"/>
    <n v="0"/>
    <n v="0"/>
    <n v="0"/>
    <n v="0"/>
    <n v="0"/>
    <n v="0"/>
    <n v="0"/>
    <n v="150000000"/>
    <n v="150000000"/>
    <n v="150000000"/>
    <n v="0"/>
    <n v="0"/>
    <s v="Adquirir el licenciamiento de gestión de bases de datos Microsoft SQL Server Standard Edition, para optimizar el rendimiento y la seguridad de la infraestructura de datos de la Unidad de Planeación Minero Energética (UPME)."/>
    <m/>
    <m/>
    <m/>
    <m/>
    <m/>
    <m/>
    <m/>
    <m/>
    <m/>
    <m/>
    <m/>
    <m/>
    <m/>
    <m/>
    <n v="150000000"/>
    <m/>
    <m/>
    <m/>
    <m/>
    <m/>
    <m/>
    <m/>
    <m/>
    <n v="150000000"/>
    <m/>
    <m/>
    <n v="150000000"/>
    <n v="150000000"/>
    <n v="0"/>
    <n v="0"/>
    <m/>
    <m/>
    <m/>
    <n v="150000000"/>
    <m/>
    <m/>
    <n v="0"/>
    <n v="150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5"/>
    <s v="Aumentar la capacidad institucional a nivel de arquitectura tecnológica y de sistemas de información."/>
    <s v="Servicios Tecnológicos"/>
    <s v="Robustecer el nivel de madurez de la estrategia de infraestructura y soluciones en la nube."/>
    <s v="43230000;43232805"/>
    <s v="C-2199-1900-5-53105B-2199067-02"/>
    <x v="9"/>
    <s v="130-75 Contratar el servicio para la actualización de ultima versión estable de la plataforma Issabel de telefonía IP, puesta en funcionamiento de servidor redundante y servicio de soporte para toda la plataforma Issabel de la UPME en su arquitectura Acti"/>
    <s v="Mayo"/>
    <s v="Mayo"/>
    <s v="Agosto"/>
    <n v="12"/>
    <s v="Meses"/>
    <s v="Contratación directa - Contratos menor cuantía"/>
    <s v="Propios - 21 - Otros recursos de tesorería"/>
    <n v="10000000"/>
    <n v="10000000"/>
    <s v="No"/>
    <s v="N/A"/>
    <s v="Paola del Pilar Puerta Peña"/>
    <s v="Jefe Oficina de Tecnologías de la Información"/>
    <n v="6012220601"/>
    <s v="pilar.puerta@upme.gov.co"/>
    <n v="0"/>
    <n v="0"/>
    <n v="0"/>
    <n v="0"/>
    <n v="0"/>
    <n v="0"/>
    <n v="0"/>
    <n v="0"/>
    <n v="0"/>
    <n v="0"/>
    <n v="0"/>
    <n v="0"/>
    <n v="0"/>
    <n v="0"/>
    <n v="10000000"/>
    <n v="0"/>
    <n v="0"/>
    <n v="0"/>
    <n v="0"/>
    <n v="0"/>
    <n v="0"/>
    <n v="0"/>
    <n v="0"/>
    <n v="10000000"/>
    <n v="10000000"/>
    <n v="10000000"/>
    <n v="0"/>
    <n v="0"/>
    <s v="Contratar el servicio para la actualización de ultima versión estable de la plataforma Issabel de telefonía IP, puesta en funcionamiento de servidor redundante y servicio de soporte para toda la plataforma Issabel de la UPME en su arquitectura Activo-Pasi"/>
    <m/>
    <m/>
    <m/>
    <m/>
    <m/>
    <m/>
    <m/>
    <m/>
    <m/>
    <m/>
    <m/>
    <m/>
    <m/>
    <m/>
    <n v="10000000"/>
    <m/>
    <m/>
    <m/>
    <m/>
    <m/>
    <m/>
    <m/>
    <m/>
    <n v="10000000"/>
    <m/>
    <m/>
    <n v="10000000"/>
    <n v="10000000"/>
    <n v="0"/>
    <n v="0"/>
    <m/>
    <m/>
    <m/>
    <n v="10000000"/>
    <m/>
    <m/>
    <n v="0"/>
    <n v="10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6"/>
    <s v="Mejorar la implementación del modelo de Gestión de Información Institucional."/>
    <s v="Servicios de Información Implementados"/>
    <s v="Realizar la adopción del modelo de gestión de Información Institucional."/>
    <n v="43231501"/>
    <s v="C-2199-1900-5-53105B-2199065-02"/>
    <x v="9"/>
    <s v="130-76 Adquirir el licenciamiento, implementación, y soporte técnico de una plataforma de gestión de servicios de tecnología de la información (ITSM) para la mesa de servicios de la Unidad de Planeación Minero Energética (UPME)"/>
    <s v="Mayo"/>
    <s v="Mayo"/>
    <s v="Agosto"/>
    <n v="12"/>
    <s v="Meses"/>
    <s v="Contratación directa - Contratos menor cuantía"/>
    <s v="Propios - 20 - Ingresos corrientes"/>
    <n v="75000000"/>
    <n v="75000000"/>
    <s v="No"/>
    <s v="N/A"/>
    <s v="Paola del Pilar Puerta Peña"/>
    <s v="Jefe Oficina de Tecnologías de la Información"/>
    <n v="6012220601"/>
    <s v="pilar.puerta@upme.gov.co"/>
    <n v="0"/>
    <n v="0"/>
    <n v="0"/>
    <n v="0"/>
    <n v="0"/>
    <n v="0"/>
    <n v="0"/>
    <n v="0"/>
    <n v="0"/>
    <n v="0"/>
    <n v="0"/>
    <n v="0"/>
    <n v="0"/>
    <n v="0"/>
    <n v="75000000"/>
    <n v="0"/>
    <n v="0"/>
    <n v="0"/>
    <n v="0"/>
    <n v="0"/>
    <n v="0"/>
    <n v="0"/>
    <n v="0"/>
    <n v="75000000"/>
    <n v="75000000"/>
    <n v="75000000"/>
    <n v="0"/>
    <n v="0"/>
    <s v="Adquirir el licenciamiento, implementación, y soporte técnico de una plataforma de gestión de servicios de tecnología de la información (ITSM) para la mesa de servicios de la Unidad de Planeación Minero Energética (UPME)"/>
    <m/>
    <m/>
    <m/>
    <m/>
    <m/>
    <m/>
    <m/>
    <m/>
    <m/>
    <m/>
    <m/>
    <m/>
    <m/>
    <m/>
    <n v="75000000"/>
    <m/>
    <m/>
    <m/>
    <m/>
    <m/>
    <m/>
    <m/>
    <m/>
    <n v="75000000"/>
    <m/>
    <m/>
    <n v="75000000"/>
    <n v="75000000"/>
    <n v="0"/>
    <n v="0"/>
    <m/>
    <m/>
    <m/>
    <n v="75000000"/>
    <m/>
    <m/>
    <n v="0"/>
    <n v="75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7"/>
    <s v="Mejorar la implementación del modelo de Gestión de Información Institucional."/>
    <s v="Servicios de Información Implementados"/>
    <s v="Realizar la adopción del modelo de gestión de Información Institucional."/>
    <s v="43212201;43233405"/>
    <s v="C-2199-1900-5-53105B-2199065-02"/>
    <x v="10"/>
    <s v="130-77 Renovación de licenciamiento y soporte para escritorios virtuales"/>
    <s v="Agosto"/>
    <s v="Agosto"/>
    <s v="Noviembre"/>
    <n v="12"/>
    <s v="Meses"/>
    <s v="Seléccion abreviada - acuerdo marco"/>
    <s v="Propios - 20 - Ingresos corrientes"/>
    <n v="10000000"/>
    <n v="10000000"/>
    <s v="No"/>
    <s v="N/A"/>
    <s v="Paola del Pilar Puerta Peña"/>
    <s v="Jefe Oficina de Tecnologías de la Información"/>
    <n v="6012220601"/>
    <s v="pilar.puerta@upme.gov.co"/>
    <n v="0"/>
    <n v="0"/>
    <n v="0"/>
    <n v="0"/>
    <n v="0"/>
    <n v="0"/>
    <n v="0"/>
    <n v="0"/>
    <n v="0"/>
    <n v="0"/>
    <n v="0"/>
    <n v="0"/>
    <n v="0"/>
    <n v="0"/>
    <n v="0"/>
    <n v="0"/>
    <n v="0"/>
    <n v="0"/>
    <n v="0"/>
    <n v="0"/>
    <n v="10000000"/>
    <n v="0"/>
    <n v="0"/>
    <n v="10000000"/>
    <n v="10000000"/>
    <n v="10000000"/>
    <n v="0"/>
    <n v="0"/>
    <s v="Renovación de licenciamiento y soporte para escritorios virtuales"/>
    <m/>
    <m/>
    <m/>
    <m/>
    <m/>
    <m/>
    <m/>
    <m/>
    <m/>
    <m/>
    <m/>
    <m/>
    <m/>
    <m/>
    <m/>
    <m/>
    <m/>
    <m/>
    <m/>
    <m/>
    <n v="10000000"/>
    <m/>
    <m/>
    <n v="10000000"/>
    <m/>
    <m/>
    <n v="10000000"/>
    <n v="10000000"/>
    <n v="0"/>
    <n v="0"/>
    <m/>
    <m/>
    <m/>
    <n v="10000000"/>
    <m/>
    <m/>
    <n v="0"/>
    <n v="10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8"/>
    <s v="Mejorar la implementación del modelo de Gestión de Información Institucional."/>
    <s v="Servicios de Información Implementados"/>
    <s v="Realizar la adopción del modelo de gestión de Información Institucional."/>
    <n v="43232605"/>
    <s v="C-2199-1900-5-53105B-2199065-02"/>
    <x v="10"/>
    <s v="130-78 Adquisición del sistema operativo Windows 11, versión vigente y soportada por Microsoft para las escritorios virtuales"/>
    <s v="Febrero"/>
    <s v="Febrero"/>
    <s v="Mayo"/>
    <n v="12"/>
    <s v="Meses"/>
    <s v="Seléccion abreviada - acuerdo marco"/>
    <s v="Propios - 20 - Ingresos corrientes"/>
    <n v="80000000"/>
    <n v="80000000"/>
    <s v="No"/>
    <s v="N/A"/>
    <s v="Paola del Pilar Puerta Peña"/>
    <s v="Jefe Oficina de Tecnologías de la Información"/>
    <n v="6012220601"/>
    <s v="pilar.puerta@upme.gov.co"/>
    <n v="0"/>
    <n v="0"/>
    <n v="0"/>
    <n v="0"/>
    <n v="0"/>
    <n v="0"/>
    <n v="0"/>
    <n v="0"/>
    <n v="0"/>
    <n v="0"/>
    <n v="0"/>
    <n v="0"/>
    <n v="0"/>
    <n v="0"/>
    <n v="0"/>
    <n v="0"/>
    <n v="0"/>
    <n v="0"/>
    <n v="80000000"/>
    <n v="0"/>
    <n v="0"/>
    <n v="0"/>
    <n v="0"/>
    <n v="80000000"/>
    <n v="80000000"/>
    <n v="80000000"/>
    <n v="0"/>
    <n v="0"/>
    <s v="Adquisición del sistema operativo Windows 11, versión vigente y soportada por Microsoft para las escritorios virtuales"/>
    <m/>
    <m/>
    <m/>
    <m/>
    <m/>
    <m/>
    <m/>
    <m/>
    <m/>
    <m/>
    <m/>
    <m/>
    <m/>
    <m/>
    <m/>
    <m/>
    <m/>
    <m/>
    <n v="80000000"/>
    <m/>
    <m/>
    <m/>
    <m/>
    <n v="80000000"/>
    <m/>
    <m/>
    <n v="80000000"/>
    <n v="80000000"/>
    <n v="0"/>
    <n v="0"/>
    <m/>
    <m/>
    <m/>
    <n v="80000000"/>
    <m/>
    <m/>
    <n v="0"/>
    <n v="80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68"/>
    <s v="130-79"/>
    <s v="Aumentar la capacidad institucional a nivel de arquitectura tecnológica y de sistemas de información."/>
    <s v="Servicios Tecnológicos"/>
    <s v="Robustecer el nivel de madurez de la estrategia de infraestructura y soluciones en la nube."/>
    <n v="43232605"/>
    <s v="C-2199-1900-5-53105B-2199067-02"/>
    <x v="10"/>
    <s v="130-79 Actualizar y renovar el licenciamiento ESRI."/>
    <s v="Abril"/>
    <s v="Abril"/>
    <s v="Julio"/>
    <n v="12"/>
    <s v="Meses"/>
    <s v="Seléccion abreviada - acuerdo marco"/>
    <s v="Propios - 21 - Otros recursos de tesorería"/>
    <n v="50000000"/>
    <n v="50000000"/>
    <s v="No"/>
    <s v="N/A"/>
    <s v="Paola del Pilar Puerta Peña"/>
    <s v="Jefe Oficina de Tecnologías de la Información"/>
    <n v="6012220601"/>
    <s v="pilar.puerta@upme.gov.co"/>
    <n v="0"/>
    <n v="0"/>
    <n v="0"/>
    <n v="0"/>
    <n v="0"/>
    <n v="0"/>
    <n v="0"/>
    <n v="0"/>
    <n v="0"/>
    <n v="0"/>
    <n v="0"/>
    <n v="0"/>
    <n v="50000000"/>
    <n v="0"/>
    <n v="0"/>
    <n v="0"/>
    <n v="0"/>
    <n v="0"/>
    <n v="0"/>
    <n v="0"/>
    <n v="0"/>
    <n v="0"/>
    <n v="0"/>
    <n v="50000000"/>
    <n v="50000000"/>
    <n v="50000000"/>
    <n v="0"/>
    <n v="0"/>
    <s v="Actualizar y renovar el licenciamiento ESRI."/>
    <m/>
    <m/>
    <m/>
    <m/>
    <m/>
    <m/>
    <m/>
    <m/>
    <m/>
    <m/>
    <m/>
    <m/>
    <n v="50000000"/>
    <m/>
    <m/>
    <m/>
    <m/>
    <m/>
    <m/>
    <m/>
    <m/>
    <m/>
    <m/>
    <n v="50000000"/>
    <m/>
    <m/>
    <n v="50000000"/>
    <n v="50000000"/>
    <n v="0"/>
    <n v="0"/>
    <m/>
    <m/>
    <m/>
    <n v="50000000"/>
    <m/>
    <m/>
    <n v="0"/>
    <n v="50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s v="No. Rad 202601300040373"/>
    <s v="130-80"/>
    <s v="Aumentar la capacidad institucional a nivel de arquitectura tecnológica y de sistemas de información."/>
    <s v="Servicios Tecnológicos"/>
    <s v="Robustecer el nivel de madurez de la estrategia de infraestructura y soluciones en la nube."/>
    <s v="43201800;43233405;43212201"/>
    <s v="C-2199-1900-5-53105B-2199067-02"/>
    <x v="1"/>
    <s v="130-80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350609678"/>
    <n v="350609678"/>
    <s v="No"/>
    <s v="N/A"/>
    <s v="Paola del Pilar Puerta Peña"/>
    <s v="Jefe Oficina de Tecnologías de la Información"/>
    <n v="6012220601"/>
    <s v="pilar.puerta@upme.gov.co"/>
    <n v="0"/>
    <n v="0"/>
    <n v="0"/>
    <n v="0"/>
    <n v="0"/>
    <n v="0"/>
    <n v="350609678"/>
    <n v="0"/>
    <n v="0"/>
    <n v="0"/>
    <n v="0"/>
    <n v="350609678"/>
    <n v="0"/>
    <n v="0"/>
    <n v="0"/>
    <n v="0"/>
    <n v="0"/>
    <n v="0"/>
    <n v="0"/>
    <n v="0"/>
    <n v="0"/>
    <n v="0"/>
    <n v="0"/>
    <n v="0"/>
    <n v="350609678"/>
    <n v="350609678"/>
    <n v="0"/>
    <n v="0"/>
    <s v="Adquirir el licenciamiento por suscripción para Plataforma de virtualización y almacenamiento en nube incluyendo la adquisición del hardware para Computación y Storage que soporta esta solución de Hiperconvergencia."/>
    <m/>
    <m/>
    <m/>
    <m/>
    <m/>
    <m/>
    <n v="350609678"/>
    <m/>
    <m/>
    <m/>
    <m/>
    <n v="350609678"/>
    <m/>
    <m/>
    <m/>
    <m/>
    <m/>
    <m/>
    <m/>
    <m/>
    <m/>
    <m/>
    <m/>
    <m/>
    <m/>
    <m/>
    <n v="350609678"/>
    <n v="350609678"/>
    <n v="0"/>
    <n v="0"/>
    <m/>
    <m/>
    <m/>
    <n v="350609678"/>
    <m/>
    <m/>
    <n v="0"/>
    <n v="350609678"/>
    <n v="0"/>
    <m/>
    <m/>
    <m/>
    <m/>
    <m/>
    <m/>
    <m/>
    <m/>
    <m/>
    <m/>
    <m/>
    <m/>
    <m/>
    <m/>
    <m/>
    <m/>
    <m/>
    <m/>
    <m/>
    <m/>
    <m/>
    <m/>
    <m/>
    <m/>
    <m/>
    <m/>
    <m/>
    <m/>
    <m/>
    <m/>
    <m/>
    <m/>
    <m/>
    <m/>
    <m/>
    <m/>
    <m/>
    <m/>
    <n v="0"/>
    <n v="0"/>
    <n v="0"/>
    <n v="0"/>
    <n v="0"/>
  </r>
  <r>
    <x v="0"/>
    <x v="3"/>
    <s v="Fortalecimiento de los servicios digitales aumentando la capacidad para la transformación digital e interacción con el ciudadano"/>
    <s v="TIC"/>
    <s v="Sí"/>
    <s v="Sí"/>
    <s v="No. Rad 202601300040373"/>
    <s v="130-81"/>
    <s v="Aumentar la capacidad institucional a nivel de arquitectura tecnológica y de sistemas de información."/>
    <s v="Servicios Tecnológicos"/>
    <s v="Robustecer el nivel de madurez de la estrategia de infraestructura y soluciones en la nube."/>
    <s v="43201800;43233405;43212201"/>
    <s v="C-2199-1900-5-53105B-2199067-02"/>
    <x v="1"/>
    <s v="130-8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55000000"/>
    <n v="155000000"/>
    <s v="No"/>
    <s v="N/A"/>
    <s v="Paola del Pilar Puerta Peña"/>
    <s v="Jefe Oficina de Tecnologías de la Información"/>
    <n v="6012220601"/>
    <s v="pilar.puerta@upme.gov.co"/>
    <n v="0"/>
    <n v="0"/>
    <n v="0"/>
    <n v="0"/>
    <n v="0"/>
    <n v="0"/>
    <n v="155000000"/>
    <n v="0"/>
    <n v="0"/>
    <n v="0"/>
    <n v="0"/>
    <n v="155000000"/>
    <n v="0"/>
    <n v="0"/>
    <n v="0"/>
    <n v="0"/>
    <n v="0"/>
    <n v="0"/>
    <n v="0"/>
    <n v="0"/>
    <n v="0"/>
    <n v="0"/>
    <n v="0"/>
    <n v="0"/>
    <n v="155000000"/>
    <n v="155000000"/>
    <n v="0"/>
    <n v="0"/>
    <s v="Adquirir el licenciamiento por suscripción para Plataforma de virtualización y almacenamiento en nube incluyendo la adquisición del hardware para Computación y Storage que soporta esta solución de Hiperconvergencia."/>
    <m/>
    <m/>
    <m/>
    <m/>
    <m/>
    <m/>
    <n v="155000000"/>
    <m/>
    <m/>
    <m/>
    <m/>
    <n v="155000000"/>
    <m/>
    <m/>
    <m/>
    <m/>
    <m/>
    <m/>
    <m/>
    <m/>
    <m/>
    <m/>
    <m/>
    <m/>
    <m/>
    <m/>
    <n v="155000000"/>
    <n v="155000000"/>
    <n v="0"/>
    <n v="0"/>
    <m/>
    <m/>
    <m/>
    <n v="155000000"/>
    <m/>
    <m/>
    <n v="0"/>
    <n v="1550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s v="No. Rad 202601300040373"/>
    <s v="130-82"/>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01800;43233405;43212201"/>
    <s v="C-2199-1900-5-53105B-2199067-02"/>
    <x v="1"/>
    <s v="130-82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289814384"/>
    <n v="289814384"/>
    <s v="No"/>
    <s v="N/A"/>
    <s v="Paola del Pilar Puerta Peña"/>
    <s v="Jefe Oficina de Tecnologías de la Información"/>
    <n v="6012220601"/>
    <s v="pilar.puerta@upme.gov.co"/>
    <n v="0"/>
    <n v="0"/>
    <n v="0"/>
    <n v="0"/>
    <n v="0"/>
    <n v="0"/>
    <n v="289814384"/>
    <n v="0"/>
    <n v="0"/>
    <n v="0"/>
    <n v="0"/>
    <n v="289814384"/>
    <n v="0"/>
    <n v="0"/>
    <n v="0"/>
    <n v="0"/>
    <n v="0"/>
    <n v="0"/>
    <n v="0"/>
    <n v="0"/>
    <n v="0"/>
    <n v="0"/>
    <n v="0"/>
    <n v="0"/>
    <n v="289814384"/>
    <n v="289814384"/>
    <n v="0"/>
    <n v="0"/>
    <s v="Adquirir el licenciamiento por suscripción para Plataforma de virtualización y almacenamiento en nube incluyendo la adquisición del hardware para Computación y Storage que soporta esta solución de Hiperconvergencia."/>
    <m/>
    <m/>
    <m/>
    <m/>
    <m/>
    <m/>
    <n v="289814384"/>
    <m/>
    <m/>
    <m/>
    <m/>
    <n v="289814384"/>
    <m/>
    <m/>
    <m/>
    <m/>
    <m/>
    <m/>
    <m/>
    <m/>
    <m/>
    <m/>
    <m/>
    <m/>
    <m/>
    <m/>
    <n v="289814384"/>
    <n v="289814384"/>
    <n v="0"/>
    <n v="0"/>
    <m/>
    <m/>
    <m/>
    <n v="289814384"/>
    <m/>
    <m/>
    <n v="0"/>
    <n v="289814384"/>
    <n v="0"/>
    <m/>
    <m/>
    <m/>
    <m/>
    <m/>
    <m/>
    <m/>
    <m/>
    <m/>
    <m/>
    <m/>
    <m/>
    <m/>
    <m/>
    <m/>
    <m/>
    <m/>
    <m/>
    <m/>
    <m/>
    <m/>
    <m/>
    <m/>
    <m/>
    <m/>
    <m/>
    <m/>
    <m/>
    <m/>
    <m/>
    <m/>
    <m/>
    <m/>
    <m/>
    <m/>
    <m/>
    <m/>
    <m/>
    <n v="0"/>
    <n v="0"/>
    <n v="0"/>
    <n v="0"/>
    <n v="0"/>
  </r>
  <r>
    <x v="0"/>
    <x v="3"/>
    <s v="Fortalecimiento de los servicios digitales aumentando la capacidad para la transformación digital e interacción con el ciudadano"/>
    <s v="TIC"/>
    <s v="Sí"/>
    <s v="Sí"/>
    <s v="No. Rad 202601300040373"/>
    <s v="130-83"/>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01800;43233405;43212201"/>
    <s v="C-2199-1900-5-53105B-2199067-02"/>
    <x v="1"/>
    <s v="130-83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5635616"/>
    <n v="5635616"/>
    <s v="No"/>
    <s v="N/A"/>
    <s v="Paola del Pilar Puerta Peña"/>
    <s v="Jefe Oficina de Tecnologías de la Información"/>
    <n v="6012220601"/>
    <s v="pilar.puerta@upme.gov.co"/>
    <n v="0"/>
    <n v="0"/>
    <n v="0"/>
    <n v="0"/>
    <n v="0"/>
    <n v="0"/>
    <n v="5635616"/>
    <n v="0"/>
    <n v="0"/>
    <n v="0"/>
    <n v="0"/>
    <n v="5635616"/>
    <n v="0"/>
    <n v="0"/>
    <n v="0"/>
    <n v="0"/>
    <n v="0"/>
    <n v="0"/>
    <n v="0"/>
    <n v="0"/>
    <n v="0"/>
    <n v="0"/>
    <n v="0"/>
    <n v="0"/>
    <n v="5635616"/>
    <n v="5635616"/>
    <n v="0"/>
    <n v="0"/>
    <s v="Adquirir el licenciamiento por suscripción para Plataforma de virtualización y almacenamiento en nube incluyendo la adquisición del hardware para Computación y Storage que soporta esta solución de Hiperconvergencia."/>
    <m/>
    <m/>
    <m/>
    <m/>
    <m/>
    <m/>
    <n v="5635616"/>
    <m/>
    <m/>
    <m/>
    <m/>
    <n v="5635616"/>
    <m/>
    <m/>
    <m/>
    <m/>
    <m/>
    <m/>
    <m/>
    <m/>
    <m/>
    <m/>
    <m/>
    <m/>
    <m/>
    <m/>
    <n v="5635616"/>
    <n v="5635616"/>
    <n v="0"/>
    <n v="0"/>
    <m/>
    <m/>
    <m/>
    <n v="5635616"/>
    <m/>
    <m/>
    <n v="0"/>
    <n v="5635616"/>
    <n v="0"/>
    <m/>
    <m/>
    <m/>
    <m/>
    <m/>
    <m/>
    <m/>
    <m/>
    <m/>
    <m/>
    <m/>
    <m/>
    <m/>
    <m/>
    <m/>
    <m/>
    <m/>
    <m/>
    <m/>
    <m/>
    <m/>
    <m/>
    <m/>
    <m/>
    <m/>
    <m/>
    <m/>
    <m/>
    <m/>
    <m/>
    <m/>
    <m/>
    <m/>
    <m/>
    <m/>
    <m/>
    <m/>
    <m/>
    <n v="0"/>
    <n v="0"/>
    <n v="0"/>
    <n v="0"/>
    <n v="0"/>
  </r>
  <r>
    <x v="0"/>
    <x v="3"/>
    <s v="Fortalecimiento de los servicios digitales aumentando la capacidad para la transformación digital e interacción con el ciudadano"/>
    <s v="TIC"/>
    <s v="Sí"/>
    <s v="Sí"/>
    <s v="No. Rad 202601300040373"/>
    <s v="130-84"/>
    <s v="Incrementar el desarrollo de los habilitadores transversales de la política de gobierno digital."/>
    <s v="Documento para la Planeación Estratégica en TI"/>
    <s v="Mantener y fortalecer el modelo Operativo de TI."/>
    <s v="43201800;43233405;43212201"/>
    <s v="C-2199-1900-5-53105B-2199066-02"/>
    <x v="1"/>
    <s v="130-84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43840322"/>
    <n v="43840322"/>
    <s v="No"/>
    <s v="N/A"/>
    <s v="Paola del Pilar Puerta Peña"/>
    <s v="Jefe Oficina de Tecnologías de la Información"/>
    <n v="6012220601"/>
    <s v="pilar.puerta@upme.gov.co"/>
    <n v="0"/>
    <n v="0"/>
    <n v="0"/>
    <n v="0"/>
    <n v="0"/>
    <n v="0"/>
    <n v="43840322"/>
    <n v="0"/>
    <n v="0"/>
    <n v="0"/>
    <n v="0"/>
    <n v="43840322"/>
    <n v="0"/>
    <n v="0"/>
    <n v="0"/>
    <n v="0"/>
    <n v="0"/>
    <n v="0"/>
    <n v="0"/>
    <n v="0"/>
    <n v="0"/>
    <n v="0"/>
    <n v="0"/>
    <n v="0"/>
    <n v="43840322"/>
    <n v="43840322"/>
    <n v="0"/>
    <n v="0"/>
    <s v="Adquirir el licenciamiento por suscripción para Plataforma de virtualización y almacenamiento en nube incluyendo la adquisición del hardware para Computación y Storage que soporta esta solución de Hiperconvergencia."/>
    <m/>
    <m/>
    <m/>
    <m/>
    <m/>
    <m/>
    <n v="43840322"/>
    <m/>
    <m/>
    <m/>
    <m/>
    <n v="43840322"/>
    <m/>
    <m/>
    <m/>
    <m/>
    <m/>
    <m/>
    <m/>
    <m/>
    <m/>
    <m/>
    <m/>
    <m/>
    <m/>
    <m/>
    <n v="43840322"/>
    <n v="43840322"/>
    <n v="0"/>
    <n v="0"/>
    <m/>
    <m/>
    <m/>
    <n v="43840322"/>
    <m/>
    <m/>
    <n v="0"/>
    <n v="43840322"/>
    <n v="0"/>
    <m/>
    <m/>
    <m/>
    <m/>
    <m/>
    <m/>
    <m/>
    <m/>
    <m/>
    <m/>
    <m/>
    <m/>
    <m/>
    <m/>
    <m/>
    <m/>
    <m/>
    <m/>
    <m/>
    <m/>
    <m/>
    <m/>
    <m/>
    <m/>
    <m/>
    <m/>
    <m/>
    <m/>
    <m/>
    <m/>
    <m/>
    <m/>
    <m/>
    <m/>
    <m/>
    <m/>
    <m/>
    <m/>
    <n v="0"/>
    <n v="0"/>
    <n v="0"/>
    <n v="0"/>
    <n v="0"/>
  </r>
  <r>
    <x v="0"/>
    <x v="3"/>
    <s v="Fortalecimiento de los servicios digitales aumentando la capacidad para la transformación digital e interacción con el ciudadano"/>
    <s v="TIC"/>
    <s v="Sí"/>
    <s v="Sí"/>
    <s v="No. Rad 202601300040373"/>
    <s v="130-85"/>
    <s v="Mejorar la implementación del modelo de Gestión de Información Institucional."/>
    <s v="Servicios de Información Implementados"/>
    <s v="Identificar y apropiar soluciones de TI."/>
    <s v="43201800;43233405;43212201"/>
    <s v="C-2199-1900-5-53105B-2199065-02"/>
    <x v="1"/>
    <s v="130-85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155100000"/>
    <n v="155100000"/>
    <s v="No"/>
    <s v="N/A"/>
    <s v="Paola del Pilar Puerta Peña"/>
    <s v="Jefe Oficina de Tecnologías de la Información"/>
    <n v="6012220601"/>
    <s v="pilar.puerta@upme.gov.co"/>
    <n v="0"/>
    <n v="0"/>
    <n v="0"/>
    <n v="0"/>
    <n v="0"/>
    <n v="0"/>
    <n v="155100000"/>
    <n v="0"/>
    <n v="0"/>
    <n v="0"/>
    <n v="0"/>
    <n v="155100000"/>
    <n v="0"/>
    <n v="0"/>
    <n v="0"/>
    <n v="0"/>
    <n v="0"/>
    <n v="0"/>
    <n v="0"/>
    <n v="0"/>
    <n v="0"/>
    <n v="0"/>
    <n v="0"/>
    <n v="0"/>
    <n v="155100000"/>
    <n v="155100000"/>
    <n v="0"/>
    <n v="0"/>
    <s v="Adquirir el licenciamiento por suscripción para Plataforma de virtualización y almacenamiento en nube incluyendo la adquisición del hardware para Computación y Storage que soporta esta solución de Hiperconvergencia."/>
    <m/>
    <m/>
    <m/>
    <m/>
    <m/>
    <m/>
    <n v="155100000"/>
    <m/>
    <m/>
    <m/>
    <m/>
    <n v="155100000"/>
    <m/>
    <m/>
    <m/>
    <m/>
    <m/>
    <m/>
    <m/>
    <m/>
    <m/>
    <m/>
    <m/>
    <m/>
    <m/>
    <m/>
    <n v="155100000"/>
    <n v="155100000"/>
    <n v="0"/>
    <n v="0"/>
    <m/>
    <m/>
    <m/>
    <n v="155100000"/>
    <m/>
    <m/>
    <n v="0"/>
    <n v="155100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8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86 Prestar servicios profesionales especializados para el diseño, planificación, ejecución, validación y documentación del proceso de migración de la infraestructura tecnológica on-premise actualmente operada por la UPME hacia el entorno de nube, incl"/>
    <s v="Enero "/>
    <s v="Enero "/>
    <s v="Enero "/>
    <n v="11"/>
    <s v="Meses"/>
    <s v="Contratación directa - Prestación de servicios profesionales "/>
    <s v="Propios - 21 - Otros recursos de tesorería"/>
    <n v="75833333"/>
    <n v="75833333"/>
    <s v="No"/>
    <s v="N/A"/>
    <s v="Paola del Pilar Puerta Peña"/>
    <s v="Jefe Oficina de Tecnologías de la Información"/>
    <n v="6012220601"/>
    <s v="pilar.puerta@upme.gov.co"/>
    <n v="0"/>
    <n v="0"/>
    <n v="77000000"/>
    <n v="0"/>
    <n v="0"/>
    <n v="7000000"/>
    <n v="0"/>
    <n v="7000000"/>
    <n v="0"/>
    <n v="7000000"/>
    <n v="0"/>
    <n v="7000000"/>
    <n v="0"/>
    <n v="7000000"/>
    <n v="0"/>
    <n v="7000000"/>
    <n v="0"/>
    <n v="7000000"/>
    <n v="0"/>
    <n v="7000000"/>
    <n v="0"/>
    <n v="7000000"/>
    <n v="0"/>
    <n v="14000000"/>
    <n v="77000000"/>
    <n v="77000000"/>
    <n v="-1166667"/>
    <n v="-1166667"/>
    <s v="Prestar servicios profesionales especializados para el diseño, planificación, ejecución, validación y documentación del proceso de migración de la infraestructura tecnológica on-premise actualmente operada por la UPME hacia el entorno de nube, incluyendo "/>
    <n v="0"/>
    <n v="0"/>
    <n v="77000000"/>
    <n v="0"/>
    <n v="0"/>
    <n v="5833333"/>
    <n v="-1166667"/>
    <n v="7000000"/>
    <n v="0"/>
    <n v="7000000"/>
    <n v="0"/>
    <n v="7000000"/>
    <n v="0"/>
    <n v="7000000"/>
    <n v="0"/>
    <n v="7000000"/>
    <n v="0"/>
    <n v="7000000"/>
    <n v="0"/>
    <n v="7000000"/>
    <n v="0"/>
    <n v="7000000"/>
    <n v="0"/>
    <n v="14000000"/>
    <m/>
    <m/>
    <n v="75833333"/>
    <n v="75833333"/>
    <n v="0"/>
    <n v="0"/>
    <n v="26026"/>
    <d v="2026-01-13T00:00:00"/>
    <n v="77000000"/>
    <n v="-1166667"/>
    <n v="41726"/>
    <d v="2026-02-04T00:00:00"/>
    <n v="77000000"/>
    <n v="-1166667"/>
    <n v="0"/>
    <s v="LINARES CASTRO FERNANDO"/>
    <s v="CO1.PCCNTR.9264256"/>
    <m/>
    <m/>
    <m/>
    <n v="77000000"/>
    <m/>
    <m/>
    <m/>
    <n v="5833333"/>
    <n v="5833333"/>
    <m/>
    <n v="7000000"/>
    <n v="7000000"/>
    <m/>
    <m/>
    <m/>
    <m/>
    <m/>
    <m/>
    <m/>
    <m/>
    <m/>
    <m/>
    <m/>
    <m/>
    <m/>
    <m/>
    <m/>
    <m/>
    <m/>
    <m/>
    <m/>
    <m/>
    <m/>
    <m/>
    <m/>
    <m/>
    <n v="77000000"/>
    <n v="12833333"/>
    <n v="12833333"/>
    <n v="64166667"/>
    <n v="0"/>
  </r>
  <r>
    <x v="0"/>
    <x v="3"/>
    <s v="Fortalecimiento de los servicios digitales aumentando la capacidad para la transformación digital e interacción con el ciudadano"/>
    <s v="TIC"/>
    <s v="Sí"/>
    <s v="Sí"/>
    <n v="2"/>
    <s v="130-87"/>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87 Prestar servicios profesionales para apoyar a la entidad en los procesos administrativos y en las actividades relacionadas con la atención y orientación al ciudadano."/>
    <s v="Enero "/>
    <s v="Enero "/>
    <s v="Enero "/>
    <n v="11"/>
    <s v="Meses"/>
    <s v="Contratación directa - Prestación de servicios profesionales "/>
    <s v="Propios - 20 - Ingresos corrientes"/>
    <n v="26898272"/>
    <n v="26898272"/>
    <s v="No"/>
    <s v="N/A"/>
    <s v="Paola del Pilar Puerta Peña"/>
    <s v="Jefe Oficina de Tecnologías de la Información"/>
    <n v="6012220601"/>
    <s v="pilar.puerta@upme.gov.co"/>
    <n v="0"/>
    <n v="0"/>
    <n v="26898272"/>
    <n v="0"/>
    <n v="0"/>
    <n v="3285450"/>
    <n v="0"/>
    <n v="3285450"/>
    <n v="0"/>
    <n v="3285450"/>
    <n v="0"/>
    <n v="3285450"/>
    <n v="0"/>
    <n v="3285450"/>
    <n v="0"/>
    <n v="3285450"/>
    <n v="0"/>
    <n v="3285450"/>
    <n v="0"/>
    <n v="3285450"/>
    <n v="0"/>
    <n v="614672"/>
    <n v="0"/>
    <n v="0"/>
    <n v="26898272"/>
    <n v="26898272"/>
    <n v="0"/>
    <n v="0"/>
    <s v="Prestar servicios profesionales para apoyar a la entidad en los procesos administrativos y en las actividades relacionadas con la atención y orientación al ciudadano."/>
    <m/>
    <m/>
    <n v="26898272"/>
    <m/>
    <m/>
    <n v="3285450"/>
    <m/>
    <n v="3285450"/>
    <m/>
    <n v="3285450"/>
    <m/>
    <n v="3285450"/>
    <m/>
    <n v="3285450"/>
    <m/>
    <n v="3285450"/>
    <m/>
    <n v="3285450"/>
    <m/>
    <n v="3285450"/>
    <m/>
    <n v="614672"/>
    <m/>
    <m/>
    <m/>
    <m/>
    <n v="26898272"/>
    <n v="26898272"/>
    <n v="0"/>
    <n v="0"/>
    <n v="36426"/>
    <d v="2026-01-15T00:00:00"/>
    <n v="26898272"/>
    <n v="0"/>
    <n v="37526"/>
    <d v="2026-02-02T00:00:00"/>
    <n v="26898272"/>
    <n v="0"/>
    <n v="0"/>
    <s v="COMAZ MARTINEZ DIEGO ARMANDO"/>
    <s v="CO1.PCCNTR.9183351"/>
    <m/>
    <m/>
    <m/>
    <n v="26898272"/>
    <m/>
    <m/>
    <m/>
    <n v="3066420"/>
    <n v="3066420"/>
    <m/>
    <m/>
    <m/>
    <m/>
    <m/>
    <m/>
    <m/>
    <m/>
    <m/>
    <m/>
    <m/>
    <m/>
    <m/>
    <m/>
    <m/>
    <m/>
    <m/>
    <m/>
    <m/>
    <m/>
    <m/>
    <m/>
    <m/>
    <m/>
    <m/>
    <m/>
    <m/>
    <n v="26898272"/>
    <n v="3066420"/>
    <n v="3066420"/>
    <n v="23831852"/>
    <n v="0"/>
  </r>
  <r>
    <x v="0"/>
    <x v="3"/>
    <s v="Fortalecimiento de los servicios digitales aumentando la capacidad para la transformación digital e interacción con el ciudadano"/>
    <s v="TIC"/>
    <s v="Sí"/>
    <s v="Sí"/>
    <n v="2"/>
    <s v="130-88"/>
    <s v="Incrementar el desarrollo de los habilitadores transversales de la política de gobierno digital."/>
    <s v="Documento para la Planeación Estratégica en TI"/>
    <s v="Mantener y fortalecer el modelo Operativo de TI."/>
    <n v="80111620"/>
    <s v="C-2199-1900-5-53105B-2199066-02"/>
    <x v="0"/>
    <s v="130-88 Prestar servicios profesionales para apoyar a la entidad en los procesos administrativos y en las actividades relacionadas con la atención y orientación al ciudadano."/>
    <s v="Enero "/>
    <s v="Enero "/>
    <s v="Enero "/>
    <n v="11"/>
    <s v="Meses"/>
    <s v="Contratación directa - Prestación de servicios profesionales "/>
    <s v="Propios - 20 - Ingresos corrientes"/>
    <n v="9241678"/>
    <n v="9241678"/>
    <s v="No"/>
    <s v="N/A"/>
    <s v="Paola del Pilar Puerta Peña"/>
    <s v="Jefe Oficina de Tecnologías de la Información"/>
    <n v="6012220601"/>
    <s v="pilar.puerta@upme.gov.co"/>
    <n v="0"/>
    <n v="0"/>
    <n v="9241678"/>
    <n v="0"/>
    <n v="0"/>
    <n v="0"/>
    <n v="0"/>
    <n v="0"/>
    <n v="0"/>
    <n v="0"/>
    <n v="0"/>
    <n v="0"/>
    <n v="0"/>
    <n v="0"/>
    <n v="0"/>
    <n v="0"/>
    <n v="0"/>
    <n v="0"/>
    <n v="0"/>
    <n v="0"/>
    <n v="0"/>
    <n v="2670778"/>
    <n v="0"/>
    <n v="6570900"/>
    <n v="9241678"/>
    <n v="9241678"/>
    <n v="0"/>
    <n v="0"/>
    <s v="Prestar servicios profesionales para apoyar a la entidad en los procesos administrativos y en las actividades relacionadas con la atención y orientación al ciudadano."/>
    <m/>
    <m/>
    <n v="9241678"/>
    <m/>
    <m/>
    <m/>
    <m/>
    <m/>
    <m/>
    <m/>
    <m/>
    <m/>
    <m/>
    <m/>
    <m/>
    <m/>
    <m/>
    <m/>
    <m/>
    <m/>
    <m/>
    <n v="2670778"/>
    <m/>
    <n v="6570900"/>
    <m/>
    <m/>
    <n v="9241678"/>
    <n v="9241678"/>
    <n v="0"/>
    <n v="0"/>
    <n v="36426"/>
    <d v="2026-01-15T00:00:00"/>
    <n v="9241678"/>
    <n v="0"/>
    <n v="37526"/>
    <d v="2026-02-02T00:00:00"/>
    <n v="9241678"/>
    <n v="0"/>
    <n v="0"/>
    <s v="COMAZ MARTINEZ DIEGO ARMANDO"/>
    <s v="CO1.PCCNTR.9183351"/>
    <m/>
    <m/>
    <m/>
    <n v="9241678"/>
    <m/>
    <m/>
    <m/>
    <m/>
    <m/>
    <m/>
    <m/>
    <m/>
    <m/>
    <m/>
    <m/>
    <m/>
    <m/>
    <m/>
    <m/>
    <m/>
    <m/>
    <m/>
    <m/>
    <m/>
    <m/>
    <m/>
    <m/>
    <m/>
    <m/>
    <m/>
    <m/>
    <m/>
    <m/>
    <m/>
    <m/>
    <m/>
    <n v="9241678"/>
    <n v="0"/>
    <n v="0"/>
    <n v="9241678"/>
    <n v="0"/>
  </r>
  <r>
    <x v="0"/>
    <x v="3"/>
    <s v="Fortalecimiento de los servicios digitales aumentando la capacidad para la transformación digital e interacción con el ciudadano"/>
    <s v="TIC"/>
    <s v="Sí"/>
    <s v="Sí"/>
    <n v="2"/>
    <s v="130-89"/>
    <s v="Incrementar el desarrollo de los habilitadores transversales de la política de gobierno digital."/>
    <s v="Documento para la Planeación Estratégica en TI"/>
    <s v="Mantener y fortalecer el modelo Operativo de TI."/>
    <n v="80111620"/>
    <s v="C-2199-1900-5-53105B-2199066-02"/>
    <x v="0"/>
    <s v="130-89 Prestar servicios profesionales para apoyar los procesos de provisión y selección de personal de la planta global y temporal de la Unidad de Planeación Minero Energética – UPME, de conformidad con la normatividad vigente y las necesidades instituci"/>
    <s v="Enero "/>
    <s v="Enero "/>
    <s v="Enero "/>
    <n v="11"/>
    <s v="Meses"/>
    <s v="Contratación directa - Prestación de servicios profesionales "/>
    <s v="Propios - 20 - Ingresos corrientes"/>
    <n v="3704550"/>
    <n v="3704550"/>
    <s v="No"/>
    <s v="N/A"/>
    <s v="Paola del Pilar Puerta Peña"/>
    <s v="Jefe Oficina de Tecnologías de la Información"/>
    <n v="6012220601"/>
    <s v="pilar.puerta@upme.gov.co"/>
    <n v="0"/>
    <n v="0"/>
    <n v="3704550"/>
    <n v="0"/>
    <n v="0"/>
    <n v="0"/>
    <n v="0"/>
    <n v="0"/>
    <n v="0"/>
    <n v="0"/>
    <n v="0"/>
    <n v="0"/>
    <n v="0"/>
    <n v="0"/>
    <n v="0"/>
    <n v="0"/>
    <n v="0"/>
    <n v="0"/>
    <n v="0"/>
    <n v="0"/>
    <n v="0"/>
    <n v="0"/>
    <n v="0"/>
    <n v="3704550"/>
    <n v="3704550"/>
    <n v="3704550"/>
    <n v="0"/>
    <n v="0"/>
    <s v="Prestar servicios profesionales para apoyar los procesos de provisión y selección de personal de la planta global y temporal de la Unidad de Planeación Minero Energética – UPME, de conformidad con la normatividad vigente y las necesidades institucionales"/>
    <m/>
    <m/>
    <n v="3704550"/>
    <m/>
    <m/>
    <m/>
    <m/>
    <m/>
    <m/>
    <m/>
    <m/>
    <m/>
    <m/>
    <m/>
    <m/>
    <m/>
    <m/>
    <m/>
    <m/>
    <m/>
    <m/>
    <m/>
    <m/>
    <n v="3704550"/>
    <m/>
    <m/>
    <n v="3704550"/>
    <n v="3704550"/>
    <n v="0"/>
    <n v="0"/>
    <n v="35026"/>
    <d v="2026-01-15T00:00:00"/>
    <n v="3704550"/>
    <n v="0"/>
    <n v="59426"/>
    <d v="2026-02-12T00:00:00"/>
    <n v="3704550"/>
    <n v="0"/>
    <n v="0"/>
    <s v="SALAZAR PEREZ EDNA CAROLINA"/>
    <s v="CO1.PCCNTR.9227146"/>
    <m/>
    <m/>
    <m/>
    <n v="3704550"/>
    <m/>
    <m/>
    <m/>
    <n v="2026666"/>
    <n v="2026666"/>
    <m/>
    <m/>
    <m/>
    <m/>
    <m/>
    <m/>
    <m/>
    <m/>
    <m/>
    <m/>
    <m/>
    <m/>
    <m/>
    <m/>
    <m/>
    <m/>
    <m/>
    <m/>
    <m/>
    <m/>
    <m/>
    <m/>
    <m/>
    <m/>
    <m/>
    <m/>
    <m/>
    <n v="3704550"/>
    <n v="2026666"/>
    <n v="2026666"/>
    <n v="1677884"/>
    <n v="0"/>
  </r>
  <r>
    <x v="0"/>
    <x v="3"/>
    <s v="Fortalecimiento de los servicios digitales aumentando la capacidad para la transformación digital e interacción con el ciudadano"/>
    <s v="TIC"/>
    <s v="Sí"/>
    <s v="Sí"/>
    <n v="16"/>
    <s v="130-90"/>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x v="0"/>
    <s v="130-90 Prestar servicios profesionales para apoyar los procesos de provisión y selección de personal de la planta global y temporal de la Unidad de Planeación Minero Energética – UPME, de conformidad con la normatividad vigente y las necesidades instituci"/>
    <s v="Enero "/>
    <s v="Enero "/>
    <s v="Enero "/>
    <n v="11"/>
    <s v="Meses"/>
    <s v="Contratación directa - Prestación de servicios profesionales "/>
    <s v="Propios - 21 - Otros recursos de tesorería"/>
    <n v="31495450"/>
    <n v="31495450"/>
    <s v="No"/>
    <s v="N/A"/>
    <s v="Paola del Pilar Puerta Peña"/>
    <s v="Jefe Oficina de Tecnologías de la Información"/>
    <n v="6012220601"/>
    <s v="pilar.puerta@upme.gov.co"/>
    <n v="0"/>
    <n v="0"/>
    <n v="38095450"/>
    <n v="0"/>
    <n v="0"/>
    <n v="3800000"/>
    <n v="0"/>
    <n v="3800000"/>
    <n v="0"/>
    <n v="3800000"/>
    <n v="0"/>
    <n v="3800000"/>
    <n v="0"/>
    <n v="3800000"/>
    <n v="0"/>
    <n v="3800000"/>
    <n v="0"/>
    <n v="3800000"/>
    <n v="0"/>
    <n v="3800000"/>
    <n v="0"/>
    <n v="3800000"/>
    <n v="0"/>
    <n v="3895450"/>
    <n v="38095450"/>
    <n v="38095450"/>
    <n v="-6600000"/>
    <n v="-6600000"/>
    <s v="Prestar servicios profesionales para apoyar los procesos de provisión y selección de personal de la planta global y temporal de la Unidad de Planeación Minero Energética – UPME, de conformidad con la normatividad vigente y las necesidades institucionales"/>
    <n v="31495450"/>
    <n v="0"/>
    <n v="0"/>
    <n v="0"/>
    <n v="0"/>
    <n v="3800000"/>
    <n v="0"/>
    <n v="3800000"/>
    <n v="0"/>
    <n v="3800000"/>
    <n v="0"/>
    <n v="3800000"/>
    <n v="0"/>
    <n v="3800000"/>
    <n v="0"/>
    <n v="3800000"/>
    <n v="0"/>
    <n v="3800000"/>
    <n v="0"/>
    <n v="3800000"/>
    <n v="0"/>
    <n v="1095450"/>
    <n v="0"/>
    <n v="0"/>
    <m/>
    <m/>
    <n v="31495450"/>
    <n v="31495450"/>
    <n v="0"/>
    <n v="0"/>
    <n v="35026"/>
    <d v="2026-01-15T00:00:00"/>
    <n v="31495450"/>
    <n v="0"/>
    <n v="59426"/>
    <d v="2026-02-12T00:00:00"/>
    <n v="31495450"/>
    <n v="0"/>
    <n v="0"/>
    <s v="SALAZAR PEREZ EDNA CAROLINA"/>
    <s v="CO1.PCCNTR.9227146"/>
    <m/>
    <m/>
    <m/>
    <n v="31495450"/>
    <m/>
    <m/>
    <m/>
    <m/>
    <m/>
    <m/>
    <n v="3200000"/>
    <n v="3200000"/>
    <m/>
    <m/>
    <m/>
    <m/>
    <m/>
    <m/>
    <m/>
    <m/>
    <m/>
    <m/>
    <m/>
    <m/>
    <m/>
    <m/>
    <m/>
    <m/>
    <m/>
    <m/>
    <m/>
    <m/>
    <m/>
    <m/>
    <m/>
    <m/>
    <n v="31495450"/>
    <n v="3200000"/>
    <n v="3200000"/>
    <n v="28295450"/>
    <n v="0"/>
  </r>
  <r>
    <x v="0"/>
    <x v="3"/>
    <s v="Fortalecimiento de los servicios digitales aumentando la capacidad para la transformación digital e interacción con el ciudadano"/>
    <s v="TIC"/>
    <s v="Sí"/>
    <s v="Sí"/>
    <n v="20"/>
    <s v="130-91"/>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x v="0"/>
    <s v="130-91 Prestar servicios profesionales para apoyar a la Oficina de Tecnologías de la Información, en el desarrollo y seguimiento de actividades administrativas, de planeación y coordinación con las diferentes áreas de la entidad, de acuerdo con las necesi"/>
    <s v="Enero "/>
    <s v="Enero "/>
    <s v="Enero "/>
    <n v="11"/>
    <s v="Meses"/>
    <s v="Contratación directa - Prestación de servicios profesionales "/>
    <s v="Propios - 21 - Otros recursos de tesorería"/>
    <n v="35592375"/>
    <n v="35592375"/>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547575"/>
    <n v="-547575"/>
    <s v="Prestar servicios profesionales para apoyar a la Oficina de Tecnologías de la Información, en el desarrollo y seguimiento de actividades administrativas, de planeación y coordinación con las diferentes áreas de la entidad, de acuerdo con las necesidades d"/>
    <n v="0"/>
    <n v="0"/>
    <n v="36139950"/>
    <n v="0"/>
    <n v="0"/>
    <n v="2737875"/>
    <n v="-547575"/>
    <n v="3285450"/>
    <n v="0"/>
    <n v="3285450"/>
    <n v="0"/>
    <n v="3285450"/>
    <n v="0"/>
    <n v="3285450"/>
    <n v="0"/>
    <n v="3285450"/>
    <n v="0"/>
    <n v="3285450"/>
    <n v="0"/>
    <n v="3285450"/>
    <n v="0"/>
    <n v="3285450"/>
    <n v="0"/>
    <n v="6570900"/>
    <m/>
    <m/>
    <n v="35592375"/>
    <n v="35592375"/>
    <n v="0"/>
    <n v="0"/>
    <n v="64326"/>
    <d v="2026-01-24T00:00:00"/>
    <n v="36139950"/>
    <n v="-547575"/>
    <n v="41426"/>
    <d v="2026-02-04T00:00:00"/>
    <n v="36139950"/>
    <n v="-547575"/>
    <n v="0"/>
    <s v="DOMINGUEZ POLANCO RIBER ANTONIO"/>
    <s v="CO1.PCCNTR. 9286722"/>
    <m/>
    <m/>
    <m/>
    <n v="36139950"/>
    <m/>
    <m/>
    <m/>
    <n v="2737875"/>
    <n v="2737875"/>
    <m/>
    <n v="3285450"/>
    <n v="3285450"/>
    <m/>
    <m/>
    <m/>
    <m/>
    <m/>
    <m/>
    <m/>
    <m/>
    <m/>
    <m/>
    <m/>
    <m/>
    <m/>
    <m/>
    <m/>
    <m/>
    <m/>
    <m/>
    <m/>
    <m/>
    <m/>
    <m/>
    <m/>
    <m/>
    <n v="36139950"/>
    <n v="6023325"/>
    <n v="6023325"/>
    <n v="30116625"/>
    <n v="0"/>
  </r>
  <r>
    <x v="0"/>
    <x v="3"/>
    <s v="Fortalecimiento de los servicios digitales aumentando la capacidad para la transformación digital e interacción con el ciudadano"/>
    <s v="TIC"/>
    <s v="Sí"/>
    <s v="Sí"/>
    <n v="16"/>
    <s v="130-92"/>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92 Prestar servicios de apoyo a la gestión para el apoyo contable, financiero y presupuestal de los proyectos de inversión de la entidad, en especial el de la Oficina de Tecnologías de la Información para apoyar el seguimiento a la ejecución presupues"/>
    <s v="Enero "/>
    <s v="Enero "/>
    <s v="Enero "/>
    <n v="11"/>
    <s v="Meses"/>
    <s v="Contratación directa - Prestación de servicios profesionales "/>
    <s v="Propios - 21 - Otros recursos de tesorería"/>
    <n v="22500000"/>
    <n v="22500000"/>
    <s v="No"/>
    <s v="N/A"/>
    <s v="Paola del Pilar Puerta Peña"/>
    <s v="Jefe Oficina de Tecnologías de la Información"/>
    <n v="6012220601"/>
    <s v="pilar.puerta@upme.gov.co"/>
    <n v="0"/>
    <n v="0"/>
    <n v="0"/>
    <n v="0"/>
    <n v="0"/>
    <n v="0"/>
    <n v="0"/>
    <n v="0"/>
    <n v="0"/>
    <n v="0"/>
    <n v="0"/>
    <n v="0"/>
    <n v="0"/>
    <n v="0"/>
    <n v="0"/>
    <n v="0"/>
    <n v="0"/>
    <n v="0"/>
    <n v="0"/>
    <n v="0"/>
    <n v="0"/>
    <n v="0"/>
    <n v="36139950"/>
    <n v="36139950"/>
    <n v="36139950"/>
    <n v="36139950"/>
    <n v="-13639950"/>
    <n v="-13639950"/>
    <s v="Prestar servicios de apoyo a la gestión para el apoyo contable, financiero y presupuestal de los proyectos de inversión de la entidad, en especial el de la Oficina de Tecnologías de la Información para apoyar el seguimiento a la ejecución presupuestal y e"/>
    <n v="0"/>
    <n v="0"/>
    <n v="0"/>
    <n v="0"/>
    <n v="0"/>
    <n v="0"/>
    <n v="0"/>
    <n v="0"/>
    <n v="0"/>
    <n v="0"/>
    <n v="0"/>
    <n v="0"/>
    <n v="0"/>
    <n v="0"/>
    <n v="22500000"/>
    <n v="0"/>
    <n v="0"/>
    <n v="4500000"/>
    <n v="0"/>
    <n v="4500000"/>
    <n v="0"/>
    <n v="4500000"/>
    <n v="0"/>
    <n v="9000000"/>
    <m/>
    <m/>
    <n v="22500000"/>
    <n v="22500000"/>
    <n v="0"/>
    <n v="0"/>
    <n v="66126"/>
    <d v="2026-01-28T00:00:00"/>
    <n v="22500000"/>
    <n v="0"/>
    <m/>
    <m/>
    <n v="0"/>
    <n v="22500000"/>
    <n v="22500000"/>
    <m/>
    <m/>
    <m/>
    <m/>
    <m/>
    <m/>
    <m/>
    <m/>
    <m/>
    <m/>
    <m/>
    <m/>
    <m/>
    <m/>
    <m/>
    <m/>
    <m/>
    <m/>
    <m/>
    <m/>
    <m/>
    <m/>
    <m/>
    <m/>
    <m/>
    <m/>
    <m/>
    <m/>
    <m/>
    <m/>
    <m/>
    <m/>
    <m/>
    <m/>
    <m/>
    <m/>
    <m/>
    <m/>
    <n v="0"/>
    <n v="0"/>
    <n v="0"/>
    <n v="0"/>
    <n v="0"/>
  </r>
  <r>
    <x v="0"/>
    <x v="3"/>
    <s v="Fortalecimiento de los servicios digitales aumentando la capacidad para la transformación digital e interacción con el ciudadano"/>
    <s v="TIC"/>
    <s v="Sí"/>
    <s v="Sí"/>
    <n v="16"/>
    <s v="130-93"/>
    <s v="Incrementar el desarrollo de los habilitadores transversales de la política de gobierno digital."/>
    <s v="Documento para la Planeación Estratégica en TI"/>
    <s v="Definir y estructurar las acciones tendientes a la apropiación e implementación de la política de Gobierno Digital."/>
    <n v="43231513"/>
    <s v="C-2199-1900-5-53105B-2199066-02"/>
    <x v="10"/>
    <s v="130-93 Adquirir el servicio de licenciamiento de Office 365 usado en la entidad"/>
    <s v="Marzo"/>
    <s v="Marzo"/>
    <s v="Mayo"/>
    <n v="12"/>
    <s v="Meses"/>
    <s v="Seléccion abreviada - acuerdo marco"/>
    <s v="Propios - 20 - Ingresos corrientes"/>
    <n v="6460050"/>
    <n v="6460050"/>
    <s v="No"/>
    <s v="N/A"/>
    <s v="Paola del Pilar Puerta Peña"/>
    <s v="Jefe Oficina de Tecnologías de la Información"/>
    <n v="6012220601"/>
    <s v="pilar.puerta@upme.gov.co"/>
    <m/>
    <m/>
    <m/>
    <m/>
    <m/>
    <m/>
    <m/>
    <m/>
    <m/>
    <m/>
    <m/>
    <m/>
    <m/>
    <m/>
    <m/>
    <m/>
    <m/>
    <m/>
    <m/>
    <m/>
    <m/>
    <m/>
    <m/>
    <m/>
    <n v="0"/>
    <n v="0"/>
    <n v="6460050"/>
    <n v="6460050"/>
    <s v="Adquirir el servicio de licenciamiento de Office 365 usado en la entidad"/>
    <n v="0"/>
    <n v="0"/>
    <n v="0"/>
    <n v="0"/>
    <n v="0"/>
    <n v="0"/>
    <n v="0"/>
    <n v="0"/>
    <n v="6460050"/>
    <n v="0"/>
    <n v="0"/>
    <n v="0"/>
    <n v="0"/>
    <n v="0"/>
    <n v="0"/>
    <n v="6460050"/>
    <n v="0"/>
    <n v="0"/>
    <n v="0"/>
    <n v="0"/>
    <n v="0"/>
    <n v="0"/>
    <n v="0"/>
    <n v="0"/>
    <m/>
    <m/>
    <n v="6460050"/>
    <n v="6460050"/>
    <n v="0"/>
    <n v="0"/>
    <n v="71426"/>
    <d v="2026-03-26T00:00:00"/>
    <n v="6460050"/>
    <n v="0"/>
    <m/>
    <m/>
    <n v="0"/>
    <n v="6460050"/>
    <n v="6460050"/>
    <m/>
    <m/>
    <m/>
    <m/>
    <m/>
    <m/>
    <m/>
    <m/>
    <m/>
    <m/>
    <m/>
    <m/>
    <m/>
    <m/>
    <m/>
    <m/>
    <m/>
    <m/>
    <m/>
    <m/>
    <m/>
    <m/>
    <m/>
    <m/>
    <m/>
    <m/>
    <m/>
    <m/>
    <m/>
    <m/>
    <m/>
    <m/>
    <m/>
    <m/>
    <m/>
    <m/>
    <m/>
    <m/>
    <n v="0"/>
    <n v="0"/>
    <n v="0"/>
    <n v="0"/>
    <n v="0"/>
  </r>
  <r>
    <x v="0"/>
    <x v="3"/>
    <s v="Fortalecimiento de los servicios digitales aumentando la capacidad para la transformación digital e interacción con el ciudadano"/>
    <s v="TIC"/>
    <s v="Sí"/>
    <s v="Sí"/>
    <n v="16"/>
    <s v="130-94"/>
    <s v="Aumentar la capacidad institucional a nivel de arquitectura tecnológica y de sistemas de información."/>
    <s v="Servicios Tecnológicos"/>
    <s v="Robustecer el nivel de madurez de la estrategia de infraestructura y soluciones en la nube."/>
    <n v="43231513"/>
    <s v="C-2199-1900-5-53105B-2199067-02"/>
    <x v="10"/>
    <s v="130-94 Adquirir el servicio de licenciamiento de Office 365 usado en la entidad"/>
    <s v="Marzo"/>
    <s v="Marzo"/>
    <s v="Mayo"/>
    <n v="12"/>
    <s v="Meses"/>
    <s v="Seléccion abreviada - acuerdo marco"/>
    <s v="Propios - 20 - Ingresos corrientes"/>
    <n v="7253400"/>
    <n v="7253400"/>
    <s v="No"/>
    <s v="N/A"/>
    <s v="Paola del Pilar Puerta Peña"/>
    <s v="Jefe Oficina de Tecnologías de la Información"/>
    <n v="6012220601"/>
    <s v="pilar.puerta@upme.gov.co"/>
    <m/>
    <m/>
    <m/>
    <m/>
    <m/>
    <m/>
    <m/>
    <m/>
    <m/>
    <m/>
    <m/>
    <m/>
    <m/>
    <m/>
    <m/>
    <m/>
    <m/>
    <m/>
    <m/>
    <m/>
    <m/>
    <m/>
    <m/>
    <m/>
    <n v="0"/>
    <n v="0"/>
    <n v="7253400"/>
    <n v="7253400"/>
    <s v="Adquirir el servicio de licenciamiento de Office 365 usado en la entidad"/>
    <n v="0"/>
    <n v="0"/>
    <n v="0"/>
    <n v="0"/>
    <n v="0"/>
    <n v="0"/>
    <n v="0"/>
    <n v="0"/>
    <n v="7253400"/>
    <n v="0"/>
    <n v="0"/>
    <n v="0"/>
    <n v="0"/>
    <n v="0"/>
    <n v="0"/>
    <n v="7253400"/>
    <n v="0"/>
    <n v="0"/>
    <n v="0"/>
    <n v="0"/>
    <n v="0"/>
    <n v="0"/>
    <n v="0"/>
    <n v="0"/>
    <m/>
    <m/>
    <n v="7253400"/>
    <n v="7253400"/>
    <n v="0"/>
    <n v="0"/>
    <n v="71426"/>
    <d v="2026-03-26T00:00:00"/>
    <n v="7253400"/>
    <n v="0"/>
    <m/>
    <m/>
    <n v="0"/>
    <n v="7253400"/>
    <n v="725340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95"/>
    <s v="Incrementar el desarrollo de los habilitadores transversales de la política de gobierno digital."/>
    <s v="Documento para la Planeación Estratégica en TI"/>
    <s v="Definir y estructurar las acciones tendientes a la apropiación e implementación de la política de Gobierno Digital."/>
    <s v="43233415;43211501;81112003;71151106"/>
    <s v="C-2199-1900-5-53105B-2199066-02"/>
    <x v="5"/>
    <s v="130-95 Adquirir el servicio de nube para Backup y DRP"/>
    <s v="Julio"/>
    <s v="Julio"/>
    <s v="Julio"/>
    <n v="12"/>
    <s v="Meses"/>
    <s v="Seléccion abreviada - acuerdo marco"/>
    <s v="Propios - 20 - Ingresos corrientes"/>
    <n v="5966667"/>
    <n v="5966667"/>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5966667"/>
    <n v="0"/>
    <n v="0"/>
    <n v="0"/>
    <n v="0"/>
    <n v="0"/>
    <n v="0"/>
    <n v="0"/>
    <n v="0"/>
    <n v="0"/>
    <n v="0"/>
    <n v="5966667"/>
    <m/>
    <m/>
    <n v="5966667"/>
    <n v="5966667"/>
    <n v="0"/>
    <n v="0"/>
    <m/>
    <m/>
    <m/>
    <n v="5966667"/>
    <m/>
    <m/>
    <n v="0"/>
    <n v="5966667"/>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96"/>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33415;43211501;81112003;71151106"/>
    <s v="C-2199-1900-5-53105B-2199067-02"/>
    <x v="5"/>
    <s v="130-96 Adquirir el servicio de nube para Backup y DRP"/>
    <s v="Julio"/>
    <s v="Julio"/>
    <s v="Julio"/>
    <n v="12"/>
    <s v="Meses"/>
    <s v="Seléccion abreviada - acuerdo marco"/>
    <s v="Propios - 21 - Otros recursos de tesorería"/>
    <n v="2280908"/>
    <n v="2280908"/>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2280908"/>
    <n v="0"/>
    <n v="0"/>
    <n v="0"/>
    <n v="0"/>
    <n v="0"/>
    <n v="0"/>
    <n v="0"/>
    <n v="0"/>
    <n v="0"/>
    <n v="0"/>
    <n v="2280908"/>
    <m/>
    <m/>
    <n v="2280908"/>
    <n v="2280908"/>
    <n v="0"/>
    <n v="0"/>
    <m/>
    <m/>
    <m/>
    <n v="2280908"/>
    <m/>
    <m/>
    <n v="0"/>
    <n v="2280908"/>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97"/>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97 Prestar servicios profesionales especializados en la administración y gestión integral de bases de datos, con el fin de asegurar la correcta implementación, mantenimiento, y optimización de las bases de datos que soportan las aplicaciones y portale"/>
    <s v="Mayo"/>
    <s v="Mayo"/>
    <s v="Mayo"/>
    <n v="1"/>
    <s v="Meses"/>
    <s v="Contratación directa - Prestación de servicios profesionales "/>
    <s v="Propios - 20 - Ingresos corrientes"/>
    <n v="566667"/>
    <n v="566667"/>
    <s v="No"/>
    <s v="N/A"/>
    <s v="Paola del Pilar Puerta Peña"/>
    <s v="Jefe Oficina de Tecnologías de la Información"/>
    <n v="6012220601"/>
    <s v="pilar.puerta@upme.gov.co"/>
    <m/>
    <m/>
    <m/>
    <m/>
    <m/>
    <m/>
    <m/>
    <m/>
    <m/>
    <m/>
    <m/>
    <m/>
    <m/>
    <m/>
    <m/>
    <m/>
    <m/>
    <m/>
    <m/>
    <m/>
    <m/>
    <m/>
    <m/>
    <m/>
    <m/>
    <m/>
    <m/>
    <m/>
    <s v="Prestar servicios profesionales especializados en la administración y gestión integral de bases de datos, con el fin de asegurar la correcta implementación, mantenimiento, y optimización de las bases de datos que soportan las aplicaciones y portales web d"/>
    <n v="0"/>
    <n v="0"/>
    <n v="0"/>
    <n v="0"/>
    <n v="0"/>
    <n v="0"/>
    <n v="0"/>
    <n v="0"/>
    <n v="566667"/>
    <n v="0"/>
    <n v="0"/>
    <n v="0"/>
    <n v="0"/>
    <n v="0"/>
    <n v="0"/>
    <n v="0"/>
    <n v="0"/>
    <n v="0"/>
    <n v="0"/>
    <n v="0"/>
    <n v="0"/>
    <n v="0"/>
    <n v="0"/>
    <n v="566667"/>
    <m/>
    <m/>
    <n v="566667"/>
    <n v="566667"/>
    <n v="0"/>
    <n v="0"/>
    <m/>
    <m/>
    <m/>
    <n v="566667"/>
    <m/>
    <m/>
    <n v="0"/>
    <n v="566667"/>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98"/>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98 Prestar servicios profesionales especializados para el fortalecimiento de la gestión de la seguridad perimetral de la Unidad de Planeación Minero Energética (UPME), blindando la infraestructura tecnológica a través de procesos óptimos sobre las her"/>
    <s v="Mayo"/>
    <s v="Mayo"/>
    <s v="Mayo"/>
    <n v="1"/>
    <s v="Meses"/>
    <s v="Contratación directa - Prestación de servicios profesionales "/>
    <s v="Propios - 20 - Ingresos corrientes"/>
    <n v="2458000"/>
    <n v="2458000"/>
    <s v="No"/>
    <s v="N/A"/>
    <s v="Paola del Pilar Puerta Peña"/>
    <s v="Jefe Oficina de Tecnologías de la Información"/>
    <n v="6012220601"/>
    <s v="pilar.puerta@upme.gov.co"/>
    <m/>
    <m/>
    <m/>
    <m/>
    <m/>
    <m/>
    <m/>
    <m/>
    <m/>
    <m/>
    <m/>
    <m/>
    <m/>
    <m/>
    <m/>
    <m/>
    <m/>
    <m/>
    <m/>
    <m/>
    <m/>
    <m/>
    <m/>
    <m/>
    <m/>
    <m/>
    <m/>
    <m/>
    <s v="Prestar servicios profesionales especializados para el fortalecimiento de la gestión de la seguridad perimetral de la Unidad de Planeación Minero Energética (UPME), blindando la infraestructura tecnológica a través de procesos óptimos sobre las herramient"/>
    <n v="0"/>
    <n v="0"/>
    <n v="0"/>
    <n v="0"/>
    <n v="0"/>
    <n v="0"/>
    <n v="0"/>
    <n v="0"/>
    <n v="2458000"/>
    <n v="0"/>
    <n v="0"/>
    <n v="0"/>
    <n v="0"/>
    <n v="0"/>
    <n v="0"/>
    <n v="0"/>
    <n v="0"/>
    <n v="0"/>
    <n v="0"/>
    <n v="0"/>
    <n v="0"/>
    <n v="0"/>
    <n v="0"/>
    <n v="2458000"/>
    <m/>
    <m/>
    <n v="2458000"/>
    <n v="2458000"/>
    <n v="0"/>
    <n v="0"/>
    <m/>
    <m/>
    <m/>
    <n v="2458000"/>
    <m/>
    <m/>
    <n v="0"/>
    <n v="2458000"/>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99"/>
    <s v="Aumentar la capacidad institucional a nivel de arquitectura tecnológica y de sistemas de información."/>
    <s v="Servicios Tecnológicos"/>
    <s v="Robustecer el nivel de madurez de la estrategia de infraestructura y soluciones en la nube."/>
    <s v="43233415;43211501;81112003;71151106"/>
    <s v="C-2199-1900-5-53105B-2199067-02"/>
    <x v="5"/>
    <s v="130-99 Adquirir el servicio de nube para Backup y DRP"/>
    <s v="Julio"/>
    <s v="Julio"/>
    <s v="Julio"/>
    <n v="12"/>
    <s v="Meses"/>
    <s v="Seléccion abreviada - acuerdo marco"/>
    <s v="Propios - 20 - Ingresos corrientes"/>
    <n v="86488673"/>
    <n v="86488673"/>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86488673"/>
    <n v="0"/>
    <n v="0"/>
    <n v="0"/>
    <n v="0"/>
    <n v="0"/>
    <n v="0"/>
    <n v="0"/>
    <n v="0"/>
    <n v="0"/>
    <n v="0"/>
    <n v="86488673"/>
    <m/>
    <m/>
    <n v="86488673"/>
    <n v="86488673"/>
    <n v="0"/>
    <n v="0"/>
    <m/>
    <m/>
    <m/>
    <n v="86488673"/>
    <m/>
    <m/>
    <n v="0"/>
    <n v="86488673"/>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100"/>
    <s v="Aumentar la capacidad institucional a nivel de arquitectura tecnológica y de sistemas de información."/>
    <s v="Servicios Tecnológicos"/>
    <s v="Robustecer el nivel de madurez de la estrategia de infraestructura y soluciones en la nube."/>
    <s v="43233415;43211501;81112003;71151107"/>
    <s v="C-2199-1900-5-53105B-2199067-02"/>
    <x v="5"/>
    <s v="130-100 Adquirir el servicio de nube para Backup y DRP"/>
    <s v="Julio"/>
    <s v="Julio"/>
    <s v="Julio"/>
    <n v="12"/>
    <s v="Meses"/>
    <s v="Seléccion abreviada - acuerdo marco"/>
    <s v="Propios - 21 - Otros recursos de tesorería"/>
    <n v="66866667"/>
    <n v="66866667"/>
    <s v="No"/>
    <s v="N/A"/>
    <s v="Paola del Pilar Puerta Peña"/>
    <s v="Jefe Oficina de Tecnologías de la Información"/>
    <n v="6012220601"/>
    <s v="pilar.puerta@upme.gov.co"/>
    <m/>
    <m/>
    <m/>
    <m/>
    <m/>
    <m/>
    <m/>
    <m/>
    <m/>
    <m/>
    <m/>
    <m/>
    <m/>
    <m/>
    <m/>
    <m/>
    <m/>
    <m/>
    <m/>
    <m/>
    <m/>
    <m/>
    <m/>
    <m/>
    <m/>
    <m/>
    <m/>
    <m/>
    <s v="Adquirir el servicio de nube para Backup y DRP"/>
    <n v="0"/>
    <n v="0"/>
    <n v="0"/>
    <n v="0"/>
    <n v="0"/>
    <n v="0"/>
    <n v="0"/>
    <n v="0"/>
    <n v="0"/>
    <n v="0"/>
    <n v="0"/>
    <n v="0"/>
    <n v="66866667"/>
    <n v="0"/>
    <n v="0"/>
    <n v="0"/>
    <n v="0"/>
    <n v="0"/>
    <n v="0"/>
    <n v="0"/>
    <n v="0"/>
    <n v="0"/>
    <n v="0"/>
    <n v="66866667"/>
    <m/>
    <m/>
    <n v="66866667"/>
    <n v="66866667"/>
    <n v="0"/>
    <n v="0"/>
    <m/>
    <m/>
    <m/>
    <n v="66866667"/>
    <m/>
    <m/>
    <n v="0"/>
    <n v="66866667"/>
    <n v="0"/>
    <m/>
    <m/>
    <m/>
    <m/>
    <m/>
    <m/>
    <m/>
    <m/>
    <m/>
    <m/>
    <m/>
    <m/>
    <m/>
    <m/>
    <m/>
    <m/>
    <m/>
    <m/>
    <m/>
    <m/>
    <m/>
    <m/>
    <m/>
    <m/>
    <m/>
    <m/>
    <m/>
    <m/>
    <m/>
    <m/>
    <m/>
    <m/>
    <m/>
    <m/>
    <m/>
    <m/>
    <m/>
    <m/>
    <n v="0"/>
    <n v="0"/>
    <n v="0"/>
    <n v="0"/>
    <n v="0"/>
  </r>
  <r>
    <x v="0"/>
    <x v="3"/>
    <s v="Fortalecimiento de los servicios digitales aumentando la capacidad para la transformación digital e interacción con el ciudadano"/>
    <s v="TIC"/>
    <s v="Sí"/>
    <s v="Sí"/>
    <n v="20"/>
    <s v="130-101"/>
    <s v="Aumentar la capacidad institucional a nivel de arquitectura tecnológica y de sistemas de información."/>
    <s v="Servicios Tecnológicos"/>
    <s v="Robustecer el nivel de madurez de la estrategia de infraestructura y soluciones en la nube."/>
    <s v="45121518;43211612"/>
    <s v="C-2199-1900-5-53105B-2199067-02"/>
    <x v="1"/>
    <s v="130-101 Adquirir suministros tecnológicos de discos duros, baterías para cámara, cargadores para baterías y tarjetas de memoria SD-SDXC, para suplir las necesidades de las áreas de la Upme."/>
    <s v="Mayo"/>
    <s v="Mayo"/>
    <s v="Mayo"/>
    <n v="12"/>
    <s v="Meses"/>
    <s v="Seléccion abreviada - acuerdo marco"/>
    <s v="Propios - 21 - Otros recursos de tesorería"/>
    <n v="20000000"/>
    <n v="20000000"/>
    <s v="No"/>
    <s v="N/A"/>
    <s v="Paola del Pilar Puerta Peña"/>
    <s v="Jefe Oficina de Tecnologías de la Información"/>
    <n v="6012220601"/>
    <s v="pilar.puerta@upme.gov.co"/>
    <m/>
    <m/>
    <m/>
    <m/>
    <m/>
    <m/>
    <m/>
    <m/>
    <m/>
    <m/>
    <m/>
    <m/>
    <m/>
    <m/>
    <m/>
    <m/>
    <m/>
    <m/>
    <m/>
    <m/>
    <m/>
    <m/>
    <m/>
    <m/>
    <m/>
    <m/>
    <m/>
    <m/>
    <s v="Adquirir suministros tecnológicos de discos duros, baterías para cámara, cargadores para baterías y tarjetas de memoria SD-SDXC, para suplir las necesidades de las áreas de la Upme."/>
    <n v="0"/>
    <n v="0"/>
    <n v="0"/>
    <n v="0"/>
    <n v="0"/>
    <n v="0"/>
    <n v="0"/>
    <n v="0"/>
    <n v="20000000"/>
    <n v="0"/>
    <n v="0"/>
    <n v="0"/>
    <n v="0"/>
    <n v="0"/>
    <n v="0"/>
    <n v="0"/>
    <n v="0"/>
    <n v="0"/>
    <n v="0"/>
    <n v="0"/>
    <n v="0"/>
    <n v="0"/>
    <n v="0"/>
    <n v="20000000"/>
    <m/>
    <m/>
    <n v="20000000"/>
    <n v="20000000"/>
    <n v="0"/>
    <n v="0"/>
    <n v="71926"/>
    <d v="2026-04-28T00:00:00"/>
    <n v="20000000"/>
    <n v="0"/>
    <m/>
    <m/>
    <n v="0"/>
    <n v="20000000"/>
    <n v="20000000"/>
    <m/>
    <m/>
    <m/>
    <m/>
    <m/>
    <m/>
    <m/>
    <m/>
    <m/>
    <m/>
    <m/>
    <m/>
    <m/>
    <m/>
    <m/>
    <m/>
    <m/>
    <m/>
    <m/>
    <m/>
    <m/>
    <m/>
    <m/>
    <m/>
    <m/>
    <m/>
    <m/>
    <m/>
    <m/>
    <m/>
    <m/>
    <m/>
    <m/>
    <m/>
    <m/>
    <m/>
    <m/>
    <m/>
    <n v="0"/>
    <n v="0"/>
    <n v="0"/>
    <n v="0"/>
    <n v="0"/>
  </r>
  <r>
    <x v="0"/>
    <x v="4"/>
    <s v="Fortalecimiento de la percepción de la ciudadanía frente a los productos y servicios prestados por la UPME nacional"/>
    <s v="Transversal"/>
    <s v="No"/>
    <s v="Sí"/>
    <n v="10"/>
    <s v="110-1"/>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s v="N/A"/>
    <s v="C-2199-1900-4-53105B-2199057-02"/>
    <x v="7"/>
    <s v="110-1 Gastos de personal de los empleos de la planta temporal"/>
    <s v="N/A"/>
    <s v="N/A"/>
    <s v="Julio"/>
    <s v="N/A"/>
    <s v="N/A"/>
    <s v="N/A"/>
    <s v="Propios - 20 - Ingresos corrientes"/>
    <n v="74900400"/>
    <n v="74900400"/>
    <s v="No"/>
    <s v="N/A"/>
    <s v="Katherin Perez"/>
    <s v="Coordinador GIT Talento Humano"/>
    <n v="6012220601"/>
    <s v="katherin.perez@upme.gov.co"/>
    <n v="0"/>
    <n v="0"/>
    <n v="0"/>
    <n v="0"/>
    <n v="0"/>
    <n v="0"/>
    <n v="0"/>
    <n v="0"/>
    <n v="0"/>
    <n v="0"/>
    <n v="0"/>
    <n v="0"/>
    <n v="0"/>
    <n v="0"/>
    <n v="13000000"/>
    <n v="13000000"/>
    <n v="13000000"/>
    <n v="13000000"/>
    <n v="13000000"/>
    <n v="13000000"/>
    <n v="13000000"/>
    <n v="13000000"/>
    <n v="22900400"/>
    <n v="22900400"/>
    <n v="74900400"/>
    <n v="74900400"/>
    <n v="0"/>
    <n v="0"/>
    <s v="Gastos de personal de los empleos de la planta temporal"/>
    <m/>
    <m/>
    <m/>
    <m/>
    <m/>
    <m/>
    <m/>
    <m/>
    <m/>
    <m/>
    <m/>
    <m/>
    <m/>
    <m/>
    <n v="13000000"/>
    <n v="13000000"/>
    <n v="13000000"/>
    <n v="13000000"/>
    <n v="13000000"/>
    <n v="13000000"/>
    <n v="13000000"/>
    <n v="13000000"/>
    <n v="22900400"/>
    <n v="22900400"/>
    <m/>
    <m/>
    <n v="74900400"/>
    <n v="74900400"/>
    <n v="0"/>
    <n v="0"/>
    <m/>
    <m/>
    <m/>
    <n v="74900400"/>
    <m/>
    <m/>
    <n v="0"/>
    <n v="74900400"/>
    <n v="0"/>
    <m/>
    <m/>
    <m/>
    <m/>
    <m/>
    <m/>
    <m/>
    <m/>
    <m/>
    <m/>
    <m/>
    <m/>
    <m/>
    <m/>
    <m/>
    <m/>
    <m/>
    <m/>
    <m/>
    <m/>
    <m/>
    <m/>
    <m/>
    <m/>
    <m/>
    <m/>
    <m/>
    <m/>
    <m/>
    <m/>
    <m/>
    <m/>
    <m/>
    <m/>
    <m/>
    <m/>
    <m/>
    <m/>
    <n v="0"/>
    <n v="0"/>
    <n v="0"/>
    <n v="0"/>
    <n v="0"/>
  </r>
  <r>
    <x v="0"/>
    <x v="4"/>
    <s v="Fortalecimiento de la percepción de la ciudadanía frente a los productos y servicios prestados por la UPME nacional"/>
    <s v="Transversal"/>
    <s v="Sí"/>
    <s v="Sí"/>
    <n v="68"/>
    <s v="110-2"/>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2 Prestar los servicios profesionales para el desarrollo de las actividades de apoyo jurídico de la Secretaría General"/>
    <s v="Enero "/>
    <s v="Enero "/>
    <s v="Enero "/>
    <n v="11.5"/>
    <s v="Meses"/>
    <s v="Contratación directa - Prestación de servicios profesionales "/>
    <s v="Propios - 20 - Ingresos corrientes"/>
    <n v="103500000"/>
    <n v="103500000"/>
    <s v="No"/>
    <s v="N/A"/>
    <s v="Edith Chávez"/>
    <s v="Coordinador GIT Contratación"/>
    <n v="6012220601"/>
    <s v="edith.chavez@upme.gov.co"/>
    <n v="103500000"/>
    <n v="0"/>
    <n v="0"/>
    <n v="4500000"/>
    <n v="0"/>
    <n v="9000000"/>
    <n v="0"/>
    <n v="9000000"/>
    <n v="0"/>
    <n v="9000000"/>
    <n v="0"/>
    <n v="9000000"/>
    <n v="0"/>
    <n v="9000000"/>
    <n v="0"/>
    <n v="9000000"/>
    <n v="0"/>
    <n v="9000000"/>
    <n v="0"/>
    <n v="9000000"/>
    <n v="0"/>
    <n v="9000000"/>
    <n v="0"/>
    <n v="18000000"/>
    <n v="103500000"/>
    <n v="103500000"/>
    <n v="0"/>
    <n v="0"/>
    <s v="Prestar los servicios profesionales para el desarrollo de las actividades de apoyo jurídico de la Secretaría General"/>
    <n v="103500000"/>
    <m/>
    <m/>
    <n v="4500000"/>
    <m/>
    <n v="9000000"/>
    <m/>
    <n v="9000000"/>
    <m/>
    <n v="9000000"/>
    <m/>
    <n v="9000000"/>
    <m/>
    <n v="9000000"/>
    <m/>
    <n v="9000000"/>
    <m/>
    <n v="9000000"/>
    <m/>
    <n v="9000000"/>
    <m/>
    <n v="9000000"/>
    <m/>
    <n v="18000000"/>
    <m/>
    <m/>
    <n v="103500000"/>
    <n v="103500000"/>
    <n v="0"/>
    <n v="0"/>
    <n v="7326"/>
    <d v="2026-01-06T00:00:00"/>
    <n v="103500000"/>
    <n v="0"/>
    <n v="2526"/>
    <d v="2026-01-08T00:00:00"/>
    <n v="103500000"/>
    <n v="0"/>
    <n v="0"/>
    <s v="CHAMORRO MEJIA XIMENA LUCIA"/>
    <s v="CO1.PCCNTR.8781414"/>
    <n v="103500000"/>
    <m/>
    <m/>
    <m/>
    <n v="6600000"/>
    <n v="6600000"/>
    <m/>
    <n v="9000000"/>
    <n v="9000000"/>
    <m/>
    <n v="9000000"/>
    <n v="9000000"/>
    <m/>
    <m/>
    <m/>
    <m/>
    <m/>
    <m/>
    <m/>
    <m/>
    <m/>
    <m/>
    <m/>
    <m/>
    <m/>
    <m/>
    <m/>
    <m/>
    <m/>
    <m/>
    <m/>
    <m/>
    <m/>
    <m/>
    <m/>
    <m/>
    <n v="103500000"/>
    <n v="24600000"/>
    <n v="24600000"/>
    <n v="78900000"/>
    <n v="0"/>
  </r>
  <r>
    <x v="0"/>
    <x v="4"/>
    <s v="Fortalecimiento de la percepción de la ciudadanía frente a los productos y servicios prestados por la UPME nacional"/>
    <s v="Transversal"/>
    <s v="Sí"/>
    <s v="Sí"/>
    <n v="68"/>
    <s v="110-3"/>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 Prestar los servicios profesionales para apoyar el seguimiento y control de la ejecución presupuestal y financiera de los recursos de funcionamiento e inversión asignados a la Secretaría General, así como brindar apoyo en la gestión de nómina de la "/>
    <s v="Enero "/>
    <s v="Enero "/>
    <s v="Enero "/>
    <n v="11.5"/>
    <s v="Meses"/>
    <s v="Contratación directa - Prestación de servicios profesionales "/>
    <s v="Propios - 20 - Ingresos corrientes"/>
    <n v="86250000"/>
    <n v="86250000"/>
    <s v="No"/>
    <s v="N/A"/>
    <s v="Hollman Corredor"/>
    <s v="Coordinador GIT Financiera"/>
    <n v="6012220601"/>
    <s v="hollman.corredor@upme.gov.co"/>
    <n v="86250000"/>
    <n v="0"/>
    <n v="0"/>
    <n v="3750000"/>
    <n v="0"/>
    <n v="7500000"/>
    <n v="0"/>
    <n v="7500000"/>
    <n v="0"/>
    <n v="7500000"/>
    <n v="0"/>
    <n v="7500000"/>
    <n v="0"/>
    <n v="7500000"/>
    <n v="0"/>
    <n v="7500000"/>
    <n v="0"/>
    <n v="7500000"/>
    <n v="0"/>
    <n v="7500000"/>
    <n v="0"/>
    <n v="7500000"/>
    <n v="0"/>
    <n v="15000000"/>
    <n v="86250000"/>
    <n v="86250000"/>
    <n v="0"/>
    <n v="0"/>
    <s v="Prestar los servicios profesionales para apoyar el seguimiento y control de la ejecución presupuestal y financiera de los recursos de funcionamiento e inversión asignados a la Secretaría General, así como brindar apoyo en la gestión de nómina de la UPME"/>
    <n v="86250000"/>
    <m/>
    <m/>
    <n v="3750000"/>
    <m/>
    <n v="7500000"/>
    <m/>
    <n v="7500000"/>
    <m/>
    <n v="7500000"/>
    <m/>
    <n v="7500000"/>
    <m/>
    <n v="7500000"/>
    <m/>
    <n v="7500000"/>
    <m/>
    <n v="7500000"/>
    <m/>
    <n v="7500000"/>
    <m/>
    <n v="7500000"/>
    <m/>
    <n v="15000000"/>
    <m/>
    <m/>
    <n v="86250000"/>
    <n v="86250000"/>
    <n v="0"/>
    <n v="0"/>
    <n v="7126"/>
    <d v="2026-01-06T00:00:00"/>
    <n v="86250000"/>
    <n v="0"/>
    <n v="3426"/>
    <d v="2026-01-09T00:00:00"/>
    <n v="86250000"/>
    <n v="0"/>
    <n v="0"/>
    <s v="BURGOS CUEVAS GLADYS MARIANELA"/>
    <s v="CO1.PCCNTR.8782340"/>
    <n v="86250000"/>
    <m/>
    <m/>
    <m/>
    <n v="4500000"/>
    <n v="4500000"/>
    <m/>
    <n v="7500000"/>
    <n v="7500000"/>
    <m/>
    <n v="7500000"/>
    <n v="7500000"/>
    <m/>
    <m/>
    <m/>
    <m/>
    <m/>
    <m/>
    <m/>
    <m/>
    <m/>
    <m/>
    <m/>
    <m/>
    <m/>
    <m/>
    <m/>
    <m/>
    <m/>
    <m/>
    <m/>
    <m/>
    <m/>
    <m/>
    <m/>
    <m/>
    <n v="86250000"/>
    <n v="19500000"/>
    <n v="19500000"/>
    <n v="66750000"/>
    <n v="0"/>
  </r>
  <r>
    <x v="0"/>
    <x v="4"/>
    <s v="Fortalecimiento de la percepción de la ciudadanía frente a los productos y servicios prestados por la UPME nacional"/>
    <s v="Transversal"/>
    <s v="Sí"/>
    <s v="Sí"/>
    <n v="68"/>
    <s v="110-4"/>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4 Prestar servicios profesionales especializados para apoyar la implementación, seguimiento y mejora del Sistema de Gestión de Seguridad y Salud en el Trabajo (SG-SST) de la Unidad de Planeación Minero Energética UPME, en cumplimiento de la normativid"/>
    <s v="Enero "/>
    <s v="Enero "/>
    <s v="Enero "/>
    <n v="11.5"/>
    <s v="Meses"/>
    <s v="Contratación directa - Prestación de servicios profesionales "/>
    <s v="Propios - 20 - Ingresos corrientes"/>
    <n v="63250000"/>
    <n v="63250000"/>
    <s v="No"/>
    <s v="N/A"/>
    <s v="Katherin Perez"/>
    <s v="Coordinador GIT Talento Humano"/>
    <n v="6012220601"/>
    <s v="katherin.perez@upme.gov.co"/>
    <n v="0"/>
    <n v="0"/>
    <n v="63250000"/>
    <n v="0"/>
    <n v="0"/>
    <n v="2750000"/>
    <n v="0"/>
    <n v="5500000"/>
    <n v="0"/>
    <n v="5500000"/>
    <n v="0"/>
    <n v="5500000"/>
    <n v="0"/>
    <n v="5500000"/>
    <n v="0"/>
    <n v="5500000"/>
    <n v="0"/>
    <n v="5500000"/>
    <n v="0"/>
    <n v="5500000"/>
    <n v="0"/>
    <n v="5500000"/>
    <n v="0"/>
    <n v="16500000"/>
    <n v="63250000"/>
    <n v="63250000"/>
    <n v="0"/>
    <n v="0"/>
    <s v="Prestar servicios profesionales especializados para apoyar la implementación, seguimiento y mejora del Sistema de Gestión de Seguridad y Salud en el Trabajo (SG-SST) de la Unidad de Planeación Minero Energética UPME, en cumplimiento de la normatividad vig"/>
    <m/>
    <m/>
    <n v="63250000"/>
    <m/>
    <m/>
    <n v="2750000"/>
    <m/>
    <n v="5500000"/>
    <m/>
    <n v="5500000"/>
    <m/>
    <n v="5500000"/>
    <m/>
    <n v="5500000"/>
    <m/>
    <n v="5500000"/>
    <m/>
    <n v="5500000"/>
    <m/>
    <n v="5500000"/>
    <m/>
    <n v="5500000"/>
    <m/>
    <n v="16500000"/>
    <m/>
    <m/>
    <n v="63250000"/>
    <n v="63250000"/>
    <n v="0"/>
    <n v="0"/>
    <n v="34026"/>
    <d v="2026-01-15T00:00:00"/>
    <n v="60500000"/>
    <n v="2750000"/>
    <n v="41626"/>
    <d v="2026-02-04T00:00:00"/>
    <n v="60500000"/>
    <n v="2750000"/>
    <n v="0"/>
    <s v="MENDEZ MENDOZA ESNEIDER SABAS"/>
    <s v="CO1.PCCNTR.9237017"/>
    <m/>
    <m/>
    <m/>
    <n v="60500000"/>
    <m/>
    <m/>
    <m/>
    <n v="4583333"/>
    <n v="4583333"/>
    <m/>
    <n v="5500000"/>
    <n v="5500000"/>
    <m/>
    <m/>
    <m/>
    <m/>
    <m/>
    <m/>
    <m/>
    <m/>
    <m/>
    <m/>
    <m/>
    <m/>
    <m/>
    <m/>
    <m/>
    <m/>
    <m/>
    <m/>
    <m/>
    <m/>
    <m/>
    <m/>
    <m/>
    <m/>
    <n v="60500000"/>
    <n v="10083333"/>
    <n v="10083333"/>
    <n v="50416667"/>
    <n v="0"/>
  </r>
  <r>
    <x v="0"/>
    <x v="4"/>
    <s v="Fortalecimiento de la percepción de la ciudadanía frente a los productos y servicios prestados por la UPME nacional"/>
    <s v="Transversal"/>
    <s v="Sí"/>
    <s v="Sí"/>
    <n v="68"/>
    <s v="110-5"/>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5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2758184"/>
    <n v="0"/>
    <n v="0"/>
    <n v="0"/>
    <n v="0"/>
    <n v="0"/>
    <n v="0"/>
    <n v="2758184"/>
    <n v="0"/>
    <n v="0"/>
    <n v="0"/>
    <n v="0"/>
    <n v="0"/>
    <n v="0"/>
    <n v="0"/>
    <n v="0"/>
    <n v="0"/>
    <n v="0"/>
    <n v="0"/>
    <n v="0"/>
    <n v="0"/>
    <n v="0"/>
    <n v="2758184"/>
    <n v="2758184"/>
    <n v="0"/>
    <n v="0"/>
    <s v="Prestar servicios profesionales orientados al fortalecimiento de la Dimensión de Control Interno mediante la ejecución del Plan Anual de Auditorías Internas Independientes, con énfasis en la evaluación de la gestión administrativa de la UPME."/>
    <m/>
    <m/>
    <n v="2758184"/>
    <m/>
    <m/>
    <m/>
    <m/>
    <m/>
    <m/>
    <n v="2758184"/>
    <m/>
    <m/>
    <m/>
    <m/>
    <m/>
    <m/>
    <m/>
    <m/>
    <m/>
    <m/>
    <m/>
    <m/>
    <m/>
    <m/>
    <m/>
    <m/>
    <n v="2758184"/>
    <n v="2758184"/>
    <n v="0"/>
    <n v="0"/>
    <n v="64026"/>
    <d v="2026-01-23T00:00:00"/>
    <n v="2758184"/>
    <n v="0"/>
    <n v="59726"/>
    <d v="2026-02-12T00:00:00"/>
    <n v="2758184"/>
    <n v="0"/>
    <n v="0"/>
    <s v="NUÑEZ GANTIVA NATALIA ELIANA"/>
    <s v="CO1.PCCNTR.9306722"/>
    <m/>
    <m/>
    <m/>
    <n v="2758184"/>
    <m/>
    <m/>
    <m/>
    <m/>
    <m/>
    <m/>
    <m/>
    <m/>
    <m/>
    <m/>
    <m/>
    <m/>
    <m/>
    <m/>
    <m/>
    <m/>
    <m/>
    <m/>
    <m/>
    <m/>
    <m/>
    <m/>
    <m/>
    <m/>
    <m/>
    <m/>
    <m/>
    <m/>
    <m/>
    <m/>
    <m/>
    <m/>
    <n v="2758184"/>
    <n v="0"/>
    <n v="0"/>
    <n v="2758184"/>
    <n v="0"/>
  </r>
  <r>
    <x v="0"/>
    <x v="4"/>
    <s v="Fortalecimiento de la percepción de la ciudadanía frente a los productos y servicios prestados por la UPME nacional"/>
    <s v="Transversal"/>
    <s v="Sí"/>
    <s v="Sí"/>
    <n v="68"/>
    <s v="110-6"/>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6 Prestar servicios profesionales orientados al fortalecimiento de la Política Institucional de Control Interno a través de la ejecución del Plan Anual de Auditorías Internas Independientes, con énfasis en la evaluación de la gestión financiera de la "/>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0"/>
    <n v="0"/>
    <n v="0"/>
    <n v="0"/>
    <n v="0"/>
    <n v="0"/>
    <n v="0"/>
    <n v="0"/>
    <n v="0"/>
    <n v="0"/>
    <n v="2758184"/>
    <n v="0"/>
    <n v="0"/>
    <n v="0"/>
    <n v="0"/>
    <n v="0"/>
    <n v="0"/>
    <n v="900000"/>
    <n v="0"/>
    <n v="900000"/>
    <n v="0"/>
    <n v="958184"/>
    <n v="2758184"/>
    <n v="2758184"/>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2758184"/>
    <m/>
    <m/>
    <m/>
    <m/>
    <m/>
    <m/>
    <n v="900000"/>
    <m/>
    <n v="900000"/>
    <m/>
    <n v="958184"/>
    <m/>
    <m/>
    <n v="2758184"/>
    <n v="2758184"/>
    <n v="0"/>
    <n v="0"/>
    <m/>
    <m/>
    <m/>
    <n v="2758184"/>
    <m/>
    <m/>
    <n v="0"/>
    <n v="2758184"/>
    <n v="0"/>
    <m/>
    <m/>
    <m/>
    <m/>
    <m/>
    <m/>
    <m/>
    <m/>
    <m/>
    <m/>
    <m/>
    <m/>
    <m/>
    <m/>
    <m/>
    <m/>
    <m/>
    <m/>
    <m/>
    <m/>
    <m/>
    <m/>
    <m/>
    <m/>
    <m/>
    <m/>
    <m/>
    <m/>
    <m/>
    <m/>
    <m/>
    <m/>
    <m/>
    <m/>
    <m/>
    <m/>
    <m/>
    <m/>
    <n v="0"/>
    <n v="0"/>
    <n v="0"/>
    <n v="0"/>
    <n v="0"/>
  </r>
  <r>
    <x v="0"/>
    <x v="4"/>
    <s v="Fortalecimiento de la percepción de la ciudadanía frente a los productos y servicios prestados por la UPME nacional"/>
    <s v="Transversal"/>
    <s v="Sí"/>
    <s v="Sí"/>
    <n v="68"/>
    <s v="110-7"/>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7 Prestar servicios profesionales orientados al fortalecimiento del componente de Información y Comunicación del Modelo Estándar de Control Interno (MECI), a través de la ejecución del Plan Anual de Auditorías Internas Independientes, con énfasis en l"/>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0"/>
    <n v="0"/>
    <n v="0"/>
    <n v="0"/>
    <n v="0"/>
    <n v="0"/>
    <n v="0"/>
    <n v="0"/>
    <n v="0"/>
    <n v="0"/>
    <n v="2758184"/>
    <n v="0"/>
    <n v="0"/>
    <n v="0"/>
    <n v="0"/>
    <n v="0"/>
    <n v="0"/>
    <n v="900000"/>
    <n v="0"/>
    <n v="900000"/>
    <n v="0"/>
    <n v="958184"/>
    <n v="2758184"/>
    <n v="2758184"/>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2758184"/>
    <m/>
    <m/>
    <m/>
    <m/>
    <m/>
    <m/>
    <n v="900000"/>
    <m/>
    <n v="900000"/>
    <m/>
    <n v="958184"/>
    <m/>
    <m/>
    <n v="2758184"/>
    <n v="2758184"/>
    <n v="0"/>
    <n v="0"/>
    <m/>
    <m/>
    <m/>
    <n v="2758184"/>
    <m/>
    <m/>
    <n v="0"/>
    <n v="2758184"/>
    <n v="0"/>
    <m/>
    <m/>
    <m/>
    <m/>
    <m/>
    <m/>
    <m/>
    <m/>
    <m/>
    <m/>
    <m/>
    <m/>
    <m/>
    <m/>
    <m/>
    <m/>
    <m/>
    <m/>
    <m/>
    <m/>
    <m/>
    <m/>
    <m/>
    <m/>
    <m/>
    <m/>
    <m/>
    <m/>
    <m/>
    <m/>
    <m/>
    <m/>
    <m/>
    <m/>
    <m/>
    <m/>
    <m/>
    <m/>
    <n v="0"/>
    <n v="0"/>
    <n v="0"/>
    <n v="0"/>
    <n v="0"/>
  </r>
  <r>
    <x v="0"/>
    <x v="4"/>
    <s v="Fortalecimiento de la percepción de la ciudadanía frente a los productos y servicios prestados por la UPME nacional"/>
    <s v="Transversal"/>
    <s v="Sí"/>
    <s v="Sí"/>
    <n v="68"/>
    <s v="110-8"/>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8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11.5"/>
    <s v="Meses"/>
    <s v="Contratación directa - Prestación de servicios profesionales "/>
    <s v="Propios - 20 - Ingresos corrientes"/>
    <n v="82800000"/>
    <n v="82800000"/>
    <s v="No"/>
    <s v="N/A"/>
    <s v="Mateo Severino"/>
    <s v="Jefe Oficina Jurídica"/>
    <n v="6012220601"/>
    <s v="mateo.severino@upme.gov.co"/>
    <n v="0"/>
    <n v="0"/>
    <n v="82800000"/>
    <n v="0"/>
    <n v="0"/>
    <n v="3600000"/>
    <n v="0"/>
    <n v="7200000"/>
    <n v="0"/>
    <n v="7200000"/>
    <n v="0"/>
    <n v="7200000"/>
    <n v="0"/>
    <n v="7200000"/>
    <n v="0"/>
    <n v="7200000"/>
    <n v="0"/>
    <n v="7200000"/>
    <n v="0"/>
    <n v="7200000"/>
    <n v="0"/>
    <n v="7200000"/>
    <n v="0"/>
    <n v="21600000"/>
    <n v="82800000"/>
    <n v="82800000"/>
    <n v="0"/>
    <n v="0"/>
    <s v="Prestar servicios profesionales para la proyección de documentos de contenido legal y apoyo de los asuntos de tipo jurídico y judicial de competencia la Oficina Asesora Jurídica de la UPME, en el marco de la gestión institucional de la Entidad."/>
    <m/>
    <m/>
    <n v="82800000"/>
    <m/>
    <m/>
    <n v="3600000"/>
    <m/>
    <n v="7200000"/>
    <m/>
    <n v="7200000"/>
    <m/>
    <n v="7200000"/>
    <m/>
    <n v="7200000"/>
    <m/>
    <n v="7200000"/>
    <m/>
    <n v="7200000"/>
    <m/>
    <n v="7200000"/>
    <m/>
    <n v="7200000"/>
    <m/>
    <n v="21600000"/>
    <m/>
    <m/>
    <n v="82800000"/>
    <n v="82800000"/>
    <n v="0"/>
    <n v="0"/>
    <n v="33526"/>
    <d v="2026-01-15T00:00:00"/>
    <n v="79200000"/>
    <n v="3600000"/>
    <n v="55226"/>
    <d v="2026-02-10T00:00:00"/>
    <n v="79200000"/>
    <n v="3600000"/>
    <n v="0"/>
    <s v="AVILA ARIZA MARIA ALEJANDRA"/>
    <s v="CO1.PCCNTR.9286625"/>
    <m/>
    <m/>
    <m/>
    <n v="79200000"/>
    <m/>
    <m/>
    <m/>
    <n v="4800000"/>
    <n v="4800000"/>
    <m/>
    <n v="7200000"/>
    <n v="7200000"/>
    <m/>
    <m/>
    <m/>
    <m/>
    <m/>
    <m/>
    <m/>
    <m/>
    <m/>
    <m/>
    <m/>
    <m/>
    <m/>
    <m/>
    <m/>
    <m/>
    <m/>
    <m/>
    <m/>
    <m/>
    <m/>
    <m/>
    <m/>
    <m/>
    <n v="79200000"/>
    <n v="12000000"/>
    <n v="12000000"/>
    <n v="67200000"/>
    <n v="0"/>
  </r>
  <r>
    <x v="0"/>
    <x v="4"/>
    <s v="Fortalecimiento de la percepción de la ciudadanía frente a los productos y servicios prestados por la UPME nacional"/>
    <s v="Transversal"/>
    <s v="Sí"/>
    <s v="Sí"/>
    <n v="3"/>
    <s v="110-9"/>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9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11.5"/>
    <s v="Meses"/>
    <s v="Contratación directa - Prestación de servicios profesionales "/>
    <s v="Propios - 20 - Ingresos corrientes"/>
    <n v="68200000"/>
    <n v="68200000"/>
    <s v="No"/>
    <s v="N/A"/>
    <s v="Mateo Severino"/>
    <s v="Jefe Oficina Jurídica"/>
    <n v="6012220601"/>
    <s v="mateo.severino@upme.gov.co"/>
    <n v="0"/>
    <n v="0"/>
    <n v="68200000"/>
    <n v="0"/>
    <n v="0"/>
    <n v="6200000"/>
    <n v="0"/>
    <n v="6200000"/>
    <n v="0"/>
    <n v="6200000"/>
    <n v="0"/>
    <n v="6200000"/>
    <n v="0"/>
    <n v="6200000"/>
    <n v="0"/>
    <n v="6200000"/>
    <n v="0"/>
    <n v="6200000"/>
    <n v="0"/>
    <n v="6200000"/>
    <n v="0"/>
    <n v="6200000"/>
    <n v="0"/>
    <n v="12400000"/>
    <n v="68200000"/>
    <n v="68200000"/>
    <n v="0"/>
    <n v="0"/>
    <s v="Prestar servicios profesionales para la proyección de documentos de contenido legal y apoyo de los asuntos de tipo jurídico y judicial de competencia la Oficina Asesora Jurídica de la UPME, en el marco de la gestión institucional de la Entidad."/>
    <m/>
    <m/>
    <n v="68200000"/>
    <m/>
    <m/>
    <n v="6200000"/>
    <m/>
    <n v="6200000"/>
    <m/>
    <n v="6200000"/>
    <m/>
    <n v="6200000"/>
    <m/>
    <n v="6200000"/>
    <m/>
    <n v="6200000"/>
    <m/>
    <n v="6200000"/>
    <m/>
    <n v="6200000"/>
    <m/>
    <n v="6200000"/>
    <m/>
    <n v="12400000"/>
    <m/>
    <m/>
    <n v="68200000"/>
    <n v="68200000"/>
    <n v="0"/>
    <n v="0"/>
    <n v="41026"/>
    <d v="2026-01-16T00:00:00"/>
    <n v="68200000"/>
    <n v="0"/>
    <n v="44026"/>
    <d v="2026-02-05T00:00:00"/>
    <n v="68200000"/>
    <n v="0"/>
    <n v="0"/>
    <s v="BAÑOS CASADO SANDRA CAROLINA"/>
    <s v="CO1.PCCNTR.9225858"/>
    <m/>
    <m/>
    <m/>
    <n v="68200000"/>
    <m/>
    <m/>
    <m/>
    <n v="4546666"/>
    <n v="4546666"/>
    <m/>
    <n v="6200000"/>
    <n v="6200000"/>
    <m/>
    <m/>
    <m/>
    <m/>
    <m/>
    <m/>
    <m/>
    <m/>
    <m/>
    <m/>
    <m/>
    <m/>
    <m/>
    <m/>
    <m/>
    <m/>
    <m/>
    <m/>
    <m/>
    <m/>
    <m/>
    <m/>
    <m/>
    <m/>
    <n v="68200000"/>
    <n v="10746666"/>
    <n v="10746666"/>
    <n v="57453334"/>
    <n v="0"/>
  </r>
  <r>
    <x v="0"/>
    <x v="4"/>
    <s v="Fortalecimiento de la percepción de la ciudadanía frente a los productos y servicios prestados por la UPME nacional"/>
    <s v="Transversal"/>
    <s v="Sí"/>
    <s v="Sí"/>
    <n v="5"/>
    <s v="110-10"/>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0 Prestar servicios ​profesionales en asuntos jurídicos relacionados con los procesos ​y procedimientos administrativos y de planeación de competencia de la Oficina Asesora Jurídica de la UPME, en el marco de la gestión institucional de la Entidad."/>
    <s v="Enero "/>
    <s v="Enero "/>
    <s v="Enero "/>
    <n v="11.5"/>
    <s v="Meses"/>
    <s v="Contratación directa - Prestación de servicios profesionales "/>
    <s v="Propios - 20 - Ingresos corrientes"/>
    <n v="37200000"/>
    <n v="37200000"/>
    <s v="No"/>
    <s v="N/A"/>
    <s v="Mateo Severino"/>
    <s v="Jefe Oficina Jurídica"/>
    <n v="6012220601"/>
    <s v="mateo.severino@upme.gov.co"/>
    <n v="37200000"/>
    <n v="0"/>
    <n v="0"/>
    <n v="0"/>
    <n v="0"/>
    <n v="6200000"/>
    <n v="0"/>
    <n v="6200000"/>
    <n v="0"/>
    <n v="6200000"/>
    <n v="0"/>
    <n v="6200000"/>
    <n v="0"/>
    <n v="6200000"/>
    <n v="0"/>
    <n v="6200000"/>
    <n v="0"/>
    <n v="0"/>
    <n v="0"/>
    <n v="0"/>
    <n v="0"/>
    <n v="0"/>
    <n v="0"/>
    <n v="0"/>
    <n v="37200000"/>
    <n v="37200000"/>
    <n v="0"/>
    <n v="0"/>
    <s v="Prestar servicios ​profesionales en asuntos jurídicos relacionados con los procesos ​y procedimientos administrativos y de planeación de competencia de la Oficina Asesora Jurídica de la UPME, en el marco de la gestión institucional de la Entidad."/>
    <n v="37200000"/>
    <m/>
    <m/>
    <m/>
    <m/>
    <n v="6200000"/>
    <m/>
    <n v="6200000"/>
    <m/>
    <n v="6200000"/>
    <m/>
    <n v="6200000"/>
    <m/>
    <n v="6200000"/>
    <m/>
    <n v="6200000"/>
    <m/>
    <m/>
    <m/>
    <m/>
    <m/>
    <m/>
    <m/>
    <m/>
    <m/>
    <m/>
    <n v="37200000"/>
    <n v="37200000"/>
    <n v="0"/>
    <n v="0"/>
    <n v="34326"/>
    <d v="2026-01-15T00:00:00"/>
    <n v="37200000"/>
    <n v="0"/>
    <n v="27626"/>
    <d v="2026-01-28T00:00:00"/>
    <n v="37200000"/>
    <n v="0"/>
    <n v="0"/>
    <s v="RUEDA GONZALEZ LUZ ADRIANA"/>
    <s v="CO1.PCCNTR.9142583"/>
    <n v="37200000"/>
    <m/>
    <m/>
    <m/>
    <m/>
    <m/>
    <m/>
    <n v="6406666"/>
    <n v="6406666"/>
    <m/>
    <n v="6200000"/>
    <n v="6200000"/>
    <m/>
    <m/>
    <m/>
    <m/>
    <m/>
    <m/>
    <m/>
    <m/>
    <m/>
    <m/>
    <m/>
    <m/>
    <m/>
    <m/>
    <m/>
    <m/>
    <m/>
    <m/>
    <m/>
    <m/>
    <m/>
    <m/>
    <m/>
    <m/>
    <n v="37200000"/>
    <n v="12606666"/>
    <n v="12606666"/>
    <n v="24593334"/>
    <n v="0"/>
  </r>
  <r>
    <x v="0"/>
    <x v="4"/>
    <s v="Fortalecimiento de la percepción de la ciudadanía frente a los productos y servicios prestados por la UPME nacional"/>
    <s v="Transversal"/>
    <s v="Sí"/>
    <s v="Sí"/>
    <n v="68"/>
    <s v="110-11"/>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1 Prestar servicios profesionales de asesoría estratégica a la Dirección General de la Unidad de Planeación Minero Energética UPME, orientados al fortalecimiento de la gestión pública y la gestión de atención al ciudadano, mediante la formulación de "/>
    <s v="Enero "/>
    <s v="Enero "/>
    <s v="Enero "/>
    <n v="11.5"/>
    <s v="Meses"/>
    <s v="Contratación directa - Prestación de servicios profesionales "/>
    <s v="Propios - 20 - Ingresos corrientes"/>
    <n v="156400000"/>
    <n v="156400000"/>
    <s v="No"/>
    <s v="N/A"/>
    <s v="Jenny Peña"/>
    <s v="Coordinador GIT Administrativa"/>
    <n v="6012220601"/>
    <s v="jenny.pena@upme.gov.co"/>
    <n v="156400000"/>
    <n v="0"/>
    <n v="0"/>
    <n v="6800000"/>
    <n v="0"/>
    <n v="13600000"/>
    <n v="0"/>
    <n v="13600000"/>
    <n v="0"/>
    <n v="13600000"/>
    <n v="0"/>
    <n v="13600000"/>
    <n v="0"/>
    <n v="13600000"/>
    <n v="0"/>
    <n v="13600000"/>
    <n v="0"/>
    <n v="13600000"/>
    <n v="0"/>
    <n v="13600000"/>
    <n v="0"/>
    <n v="13600000"/>
    <n v="0"/>
    <n v="27200000"/>
    <n v="156400000"/>
    <n v="156400000"/>
    <n v="0"/>
    <n v="0"/>
    <s v="Prestar servicios profesionales de asesoría estratégica a la Dirección General de la Unidad de Planeación Minero Energética UPME, orientados al fortalecimiento de la gestión pública y la gestión de atención al ciudadano, mediante la formulación de lineami"/>
    <n v="156400000"/>
    <m/>
    <m/>
    <n v="6800000"/>
    <m/>
    <n v="13600000"/>
    <m/>
    <n v="13600000"/>
    <m/>
    <n v="13600000"/>
    <m/>
    <n v="13600000"/>
    <m/>
    <n v="13600000"/>
    <m/>
    <n v="13600000"/>
    <m/>
    <n v="13600000"/>
    <m/>
    <n v="13600000"/>
    <m/>
    <n v="13600000"/>
    <m/>
    <n v="27200000"/>
    <m/>
    <m/>
    <n v="156400000"/>
    <n v="156400000"/>
    <n v="0"/>
    <n v="0"/>
    <n v="11626"/>
    <d v="2026-01-08T00:00:00"/>
    <n v="156400000"/>
    <n v="0"/>
    <n v="8326"/>
    <d v="2026-01-13T00:00:00"/>
    <n v="156400000"/>
    <n v="0"/>
    <n v="0"/>
    <s v="RESTREPO IDARRAGA LEIDY TATIANA"/>
    <s v="CO1.PCCNTR.8836907"/>
    <n v="156400000"/>
    <m/>
    <m/>
    <m/>
    <m/>
    <m/>
    <m/>
    <m/>
    <m/>
    <m/>
    <n v="21306666.66"/>
    <n v="21306666.66"/>
    <m/>
    <m/>
    <m/>
    <m/>
    <m/>
    <m/>
    <m/>
    <m/>
    <m/>
    <m/>
    <m/>
    <m/>
    <m/>
    <m/>
    <m/>
    <m/>
    <m/>
    <m/>
    <m/>
    <m/>
    <m/>
    <m/>
    <m/>
    <m/>
    <n v="156400000"/>
    <n v="21306666.66"/>
    <n v="21306666.66"/>
    <n v="135093333.34"/>
    <n v="0"/>
  </r>
  <r>
    <x v="0"/>
    <x v="4"/>
    <s v="Fortalecimiento de la percepción de la ciudadanía frente a los productos y servicios prestados por la UPME nacional"/>
    <s v="Transversal"/>
    <s v="Sí"/>
    <s v="Sí"/>
    <n v="68"/>
    <s v="110-12"/>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2 Prestar servicios de apoyo a la gestión documental de la Unidad de Planeación Minero Energética"/>
    <s v="Enero "/>
    <s v="Enero "/>
    <s v="Enero "/>
    <n v="7.3"/>
    <s v="Meses"/>
    <s v="Contratación directa - Prestación de servicios profesionales "/>
    <s v="Propios - 20 - Ingresos corrientes"/>
    <n v="16100000"/>
    <n v="16100000"/>
    <s v="No"/>
    <s v="N/A"/>
    <s v="Jenny Peña"/>
    <s v="Coordinador GIT Administrativa"/>
    <n v="6012220601"/>
    <s v="jenny.pena@upme.gov.co"/>
    <n v="0"/>
    <n v="0"/>
    <n v="16100000"/>
    <n v="0"/>
    <n v="0"/>
    <n v="1100000"/>
    <n v="0"/>
    <n v="2200000"/>
    <n v="0"/>
    <n v="2200000"/>
    <n v="0"/>
    <n v="2200000"/>
    <n v="0"/>
    <n v="2200000"/>
    <n v="0"/>
    <n v="2200000"/>
    <n v="0"/>
    <n v="2200000"/>
    <n v="0"/>
    <n v="1800000"/>
    <n v="0"/>
    <n v="0"/>
    <n v="0"/>
    <n v="0"/>
    <n v="16100000"/>
    <n v="16100000"/>
    <n v="0"/>
    <n v="0"/>
    <s v="Prestar servicios de apoyo a la gestión documental de la Unidad de Planeación Minero Energética"/>
    <m/>
    <m/>
    <n v="16100000"/>
    <m/>
    <m/>
    <n v="1100000"/>
    <m/>
    <n v="2200000"/>
    <m/>
    <n v="2200000"/>
    <m/>
    <n v="2200000"/>
    <m/>
    <n v="2200000"/>
    <m/>
    <n v="2200000"/>
    <m/>
    <n v="2200000"/>
    <m/>
    <n v="1800000"/>
    <m/>
    <m/>
    <m/>
    <m/>
    <m/>
    <m/>
    <n v="16100000"/>
    <n v="16100000"/>
    <n v="0"/>
    <n v="0"/>
    <n v="31426"/>
    <d v="2026-01-14T00:00:00"/>
    <n v="16096500"/>
    <n v="3500"/>
    <n v="53926"/>
    <d v="2026-02-10T00:00:00"/>
    <n v="16096500"/>
    <n v="3500"/>
    <n v="0"/>
    <s v="RAMIREZ OLAVE DANIEL ALEJANDRO"/>
    <s v="CO1.PCCNTR.9300752"/>
    <m/>
    <m/>
    <m/>
    <n v="16096500"/>
    <m/>
    <m/>
    <m/>
    <n v="1470000"/>
    <n v="1470000"/>
    <m/>
    <n v="2205000"/>
    <n v="2205000"/>
    <m/>
    <m/>
    <m/>
    <m/>
    <m/>
    <m/>
    <m/>
    <m/>
    <m/>
    <m/>
    <m/>
    <m/>
    <m/>
    <m/>
    <m/>
    <m/>
    <m/>
    <m/>
    <m/>
    <m/>
    <m/>
    <m/>
    <m/>
    <m/>
    <n v="16096500"/>
    <n v="3675000"/>
    <n v="3675000"/>
    <n v="12421500"/>
    <n v="0"/>
  </r>
  <r>
    <x v="0"/>
    <x v="4"/>
    <s v="Fortalecimiento de la percepción de la ciudadanía frente a los productos y servicios prestados por la UPME nacional"/>
    <s v="Transversal"/>
    <s v="Sí"/>
    <s v="Sí"/>
    <n v="68"/>
    <s v="110-13"/>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3 Prestar servicios profesionales para apoyar la gestión del talento humano de la Unidad de Planeación Minero Energética UPME, mediante la elaboración, actualización y organización de documentos metodológicos, lineamientos e instrumentos técnicos aso"/>
    <s v="Enero "/>
    <s v="Enero "/>
    <s v="Enero "/>
    <n v="11.5"/>
    <s v="Meses"/>
    <s v="Contratación directa - Prestación de servicios profesionales "/>
    <s v="Propios - 20 - Ingresos corrientes"/>
    <n v="43700000"/>
    <n v="43700000"/>
    <s v="No"/>
    <s v="N/A"/>
    <s v="Katherin Perez"/>
    <s v="Coordinador GIT Talento Humano"/>
    <n v="6012220601"/>
    <s v="katherin.perez@upme.gov.co"/>
    <n v="0"/>
    <n v="0"/>
    <n v="43700000"/>
    <n v="0"/>
    <n v="0"/>
    <n v="1900000"/>
    <n v="0"/>
    <n v="3800000"/>
    <n v="0"/>
    <n v="3800000"/>
    <n v="0"/>
    <n v="3800000"/>
    <n v="0"/>
    <n v="3800000"/>
    <n v="0"/>
    <n v="3800000"/>
    <n v="0"/>
    <n v="3800000"/>
    <n v="0"/>
    <n v="3800000"/>
    <n v="0"/>
    <n v="3800000"/>
    <n v="0"/>
    <n v="11400000"/>
    <n v="43700000"/>
    <n v="43700000"/>
    <n v="0"/>
    <n v="0"/>
    <s v="Prestar servicios profesionales para apoyar la gestión del talento humano de la Unidad de Planeación Minero Energética UPME, mediante la elaboración, actualización y organización de documentos metodológicos, lineamientos e instrumentos técnicos asociados "/>
    <m/>
    <m/>
    <n v="43700000"/>
    <m/>
    <m/>
    <n v="1900000"/>
    <m/>
    <n v="3800000"/>
    <m/>
    <n v="3800000"/>
    <m/>
    <n v="3800000"/>
    <m/>
    <n v="3800000"/>
    <m/>
    <n v="3800000"/>
    <m/>
    <n v="3800000"/>
    <m/>
    <n v="3800000"/>
    <m/>
    <n v="3800000"/>
    <m/>
    <n v="11400000"/>
    <m/>
    <m/>
    <n v="43700000"/>
    <n v="43700000"/>
    <n v="0"/>
    <n v="0"/>
    <n v="44026"/>
    <d v="2026-01-17T00:00:00"/>
    <n v="41800000"/>
    <n v="1900000"/>
    <n v="57826"/>
    <d v="2026-02-10T00:00:00"/>
    <n v="41800000"/>
    <n v="1900000"/>
    <n v="0"/>
    <s v="OSORIO VALENCIA JENNIFER ANDREA"/>
    <s v="CO1.PCCNTR.9306102"/>
    <m/>
    <m/>
    <m/>
    <n v="41800000"/>
    <m/>
    <m/>
    <m/>
    <m/>
    <m/>
    <m/>
    <n v="2533333"/>
    <n v="2533333"/>
    <m/>
    <m/>
    <m/>
    <m/>
    <m/>
    <m/>
    <m/>
    <m/>
    <m/>
    <m/>
    <m/>
    <m/>
    <m/>
    <m/>
    <m/>
    <m/>
    <m/>
    <m/>
    <m/>
    <m/>
    <m/>
    <m/>
    <m/>
    <m/>
    <n v="41800000"/>
    <n v="2533333"/>
    <n v="2533333"/>
    <n v="39266667"/>
    <n v="0"/>
  </r>
  <r>
    <x v="0"/>
    <x v="4"/>
    <s v="Fortalecimiento de la percepción de la ciudadanía frente a los productos y servicios prestados por la UPME nacional"/>
    <s v="Transversal"/>
    <s v="Sí"/>
    <s v="Sí"/>
    <n v="68"/>
    <s v="110-14"/>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4 Prestar los servicios profesionales para apoyar al Grupo Interno de Trabajo de Gestión del Talento Humano de la UPME en el seguimiento, análisis y consolidación de información relacionada con los planes de mejoramiento, planes de acción, auditorías"/>
    <s v="Enero "/>
    <s v="Enero "/>
    <s v="Enero "/>
    <n v="6.5"/>
    <s v="Meses"/>
    <s v="Contratación directa - Prestación de servicios profesionales "/>
    <s v="Propios - 20 - Ingresos corrientes"/>
    <n v="26721162"/>
    <n v="26721162"/>
    <s v="No"/>
    <s v="N/A"/>
    <s v="Katherin Perez"/>
    <s v="Coordinador GIT Talento Humano"/>
    <n v="6012220601"/>
    <s v="katherin.perez@upme.gov.co"/>
    <n v="26721162"/>
    <n v="0"/>
    <n v="0"/>
    <n v="2750000"/>
    <n v="0"/>
    <n v="5500000"/>
    <n v="0"/>
    <n v="5500000"/>
    <n v="0"/>
    <n v="5500000"/>
    <n v="0"/>
    <n v="5500000"/>
    <n v="0"/>
    <n v="1971162"/>
    <n v="0"/>
    <n v="0"/>
    <n v="0"/>
    <n v="0"/>
    <n v="0"/>
    <n v="0"/>
    <n v="0"/>
    <n v="0"/>
    <n v="0"/>
    <n v="0"/>
    <n v="26721162"/>
    <n v="26721162"/>
    <n v="0"/>
    <n v="0"/>
    <s v="Prestar los servicios profesionales para apoyar al Grupo Interno de Trabajo de Gestión del Talento Humano de la UPME en el seguimiento, análisis y consolidación de información relacionada con los planes de mejoramiento, planes de acción, auditorías intern"/>
    <n v="26721162"/>
    <m/>
    <m/>
    <n v="2750000"/>
    <m/>
    <n v="5500000"/>
    <m/>
    <n v="5500000"/>
    <m/>
    <n v="5500000"/>
    <m/>
    <n v="5500000"/>
    <m/>
    <n v="1971162"/>
    <m/>
    <m/>
    <m/>
    <m/>
    <m/>
    <m/>
    <m/>
    <m/>
    <m/>
    <m/>
    <m/>
    <m/>
    <n v="26721162"/>
    <n v="26721162"/>
    <n v="0"/>
    <n v="0"/>
    <n v="11826"/>
    <d v="2026-01-08T00:00:00"/>
    <n v="26721162"/>
    <n v="0"/>
    <n v="20826"/>
    <d v="2026-01-26T00:00:00"/>
    <n v="26721162"/>
    <n v="0"/>
    <n v="0"/>
    <s v="ACOSTA CONTRERAS MARYURI IVONNE"/>
    <s v="CO1.PCCNTR.9040432"/>
    <n v="26721162"/>
    <m/>
    <m/>
    <m/>
    <n v="733333"/>
    <n v="733333"/>
    <m/>
    <n v="5500000"/>
    <n v="5500000"/>
    <m/>
    <n v="5500000"/>
    <n v="5500000"/>
    <m/>
    <m/>
    <m/>
    <m/>
    <m/>
    <m/>
    <m/>
    <m/>
    <m/>
    <m/>
    <m/>
    <m/>
    <m/>
    <m/>
    <m/>
    <m/>
    <m/>
    <m/>
    <m/>
    <m/>
    <m/>
    <m/>
    <m/>
    <m/>
    <n v="26721162"/>
    <n v="11733333"/>
    <n v="11733333"/>
    <n v="14987829"/>
    <n v="0"/>
  </r>
  <r>
    <x v="0"/>
    <x v="4"/>
    <s v="Fortalecimiento de la percepción de la ciudadanía frente a los productos y servicios prestados por la UPME nacional"/>
    <s v="Transversal"/>
    <s v="Sí"/>
    <s v="Sí"/>
    <n v="68"/>
    <s v="110-15"/>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5 Prestar los servicios profesionales para apoyar al Grupo Interno de Trabajo de Gestión del Talento Humano de la UPME en el seguimiento, análisis y consolidación de información relacionada con los planes de mejoramiento, planes de acción, auditorías"/>
    <s v="Enero "/>
    <s v="Enero "/>
    <s v="Enero "/>
    <n v="6.5"/>
    <s v="Meses"/>
    <s v="Contratación directa - Prestación de servicios profesionales "/>
    <s v="Propios - 21 - Otros recursos de tesorería"/>
    <n v="9028838"/>
    <n v="9028838"/>
    <s v="No"/>
    <s v="N/A"/>
    <s v="Katherin Perez"/>
    <s v="Coordinador GIT Talento Humano"/>
    <n v="6012220601"/>
    <s v="katherin.perez@upme.gov.co"/>
    <n v="9028838"/>
    <n v="0"/>
    <n v="0"/>
    <n v="0"/>
    <n v="0"/>
    <n v="0"/>
    <n v="0"/>
    <n v="0"/>
    <n v="0"/>
    <n v="0"/>
    <n v="0"/>
    <n v="0"/>
    <n v="0"/>
    <n v="3528838"/>
    <n v="0"/>
    <n v="5500000"/>
    <n v="0"/>
    <n v="0"/>
    <n v="0"/>
    <n v="0"/>
    <n v="0"/>
    <n v="0"/>
    <n v="0"/>
    <n v="0"/>
    <n v="9028838"/>
    <n v="9028838"/>
    <n v="0"/>
    <n v="0"/>
    <s v="Prestar los servicios profesionales para apoyar al Grupo Interno de Trabajo de Gestión del Talento Humano de la UPME en el seguimiento, análisis y consolidación de información relacionada con los planes de mejoramiento, planes de acción, auditorías intern"/>
    <n v="9028838"/>
    <m/>
    <m/>
    <m/>
    <m/>
    <m/>
    <m/>
    <m/>
    <m/>
    <m/>
    <m/>
    <m/>
    <m/>
    <n v="3528838"/>
    <m/>
    <n v="5500000"/>
    <m/>
    <m/>
    <m/>
    <m/>
    <m/>
    <m/>
    <m/>
    <m/>
    <m/>
    <m/>
    <n v="9028838"/>
    <n v="9028838"/>
    <n v="0"/>
    <n v="0"/>
    <n v="11826"/>
    <d v="2026-01-08T00:00:00"/>
    <n v="9028838"/>
    <n v="0"/>
    <n v="20826"/>
    <d v="2026-01-26T00:00:00"/>
    <n v="9028838"/>
    <n v="0"/>
    <n v="0"/>
    <s v="ACOSTA CONTRERAS MARYURI IVONNE"/>
    <s v="CO1.PCCNTR.9040432"/>
    <n v="9028838"/>
    <m/>
    <m/>
    <m/>
    <m/>
    <m/>
    <m/>
    <m/>
    <m/>
    <m/>
    <m/>
    <m/>
    <m/>
    <m/>
    <m/>
    <m/>
    <m/>
    <m/>
    <m/>
    <m/>
    <m/>
    <m/>
    <m/>
    <m/>
    <m/>
    <m/>
    <m/>
    <m/>
    <m/>
    <m/>
    <m/>
    <m/>
    <m/>
    <m/>
    <m/>
    <m/>
    <n v="9028838"/>
    <n v="0"/>
    <n v="0"/>
    <n v="9028838"/>
    <n v="0"/>
  </r>
  <r>
    <x v="0"/>
    <x v="4"/>
    <s v="Fortalecimiento de la percepción de la ciudadanía frente a los productos y servicios prestados por la UPME nacional"/>
    <s v="Transversal"/>
    <s v="Sí"/>
    <s v="Sí"/>
    <n v="68"/>
    <s v="110-16"/>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6 Prestación de servicios profesionales especializados para apoyar el fortalecimiento de competencias técnicas para la planeación institucional y la configuración de entornos de aprendizaje e intercambio asociados a las prácticas y a la información s"/>
    <s v="Enero "/>
    <s v="Enero "/>
    <s v="Enero "/>
    <n v="11"/>
    <s v="Meses"/>
    <s v="Contratación directa - Prestación de servicios profesionales "/>
    <s v="Propios - 21 - Otros recursos de tesorería"/>
    <n v="37900000"/>
    <n v="37900000"/>
    <s v="No"/>
    <s v="N/A"/>
    <s v="Katherin Perez"/>
    <s v="Coordinador GIT Talento Humano"/>
    <n v="6012220601"/>
    <s v="katherin.perez@upme.gov.co"/>
    <n v="0"/>
    <n v="0"/>
    <n v="0"/>
    <n v="0"/>
    <n v="0"/>
    <n v="0"/>
    <n v="0"/>
    <n v="0"/>
    <n v="0"/>
    <n v="0"/>
    <n v="0"/>
    <n v="0"/>
    <n v="0"/>
    <n v="0"/>
    <n v="37900000"/>
    <n v="7580000"/>
    <n v="0"/>
    <n v="7580000"/>
    <n v="0"/>
    <n v="7580000"/>
    <n v="0"/>
    <n v="7580000"/>
    <n v="0"/>
    <n v="7580000"/>
    <n v="37900000"/>
    <n v="37900000"/>
    <n v="0"/>
    <n v="0"/>
    <s v="Prestación de servicios profesionales especializados para apoyar el fortalecimiento de competencias técnicas para la planeación institucional y la configuración de entornos de aprendizaje e intercambio asociados a las prácticas y a la información sectoria"/>
    <m/>
    <m/>
    <m/>
    <m/>
    <m/>
    <m/>
    <m/>
    <m/>
    <m/>
    <m/>
    <m/>
    <m/>
    <m/>
    <m/>
    <n v="37900000"/>
    <n v="7580000"/>
    <m/>
    <n v="7580000"/>
    <m/>
    <n v="7580000"/>
    <m/>
    <n v="7580000"/>
    <m/>
    <n v="7580000"/>
    <m/>
    <m/>
    <n v="37900000"/>
    <n v="37900000"/>
    <n v="0"/>
    <n v="0"/>
    <n v="42026"/>
    <d v="2026-01-16T00:00:00"/>
    <m/>
    <n v="37900000"/>
    <m/>
    <m/>
    <n v="0"/>
    <n v="37900000"/>
    <n v="0"/>
    <m/>
    <m/>
    <m/>
    <m/>
    <m/>
    <m/>
    <m/>
    <m/>
    <m/>
    <m/>
    <m/>
    <m/>
    <m/>
    <m/>
    <m/>
    <m/>
    <m/>
    <m/>
    <m/>
    <m/>
    <m/>
    <m/>
    <m/>
    <m/>
    <m/>
    <m/>
    <m/>
    <m/>
    <m/>
    <m/>
    <m/>
    <m/>
    <m/>
    <m/>
    <m/>
    <m/>
    <m/>
    <m/>
    <n v="0"/>
    <n v="0"/>
    <n v="0"/>
    <n v="0"/>
    <n v="0"/>
  </r>
  <r>
    <x v="0"/>
    <x v="4"/>
    <s v="Fortalecimiento de la percepción de la ciudadanía frente a los productos y servicios prestados por la UPME nacional"/>
    <s v="Transversal"/>
    <s v="Sí"/>
    <s v="Sí"/>
    <n v="68"/>
    <s v="110-17"/>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7 Prestación de servicios profesionales en asesoria y apoyo jurídico para los planes transversales del Grupo Interno de Trabajo de Talento Humano de la entidad."/>
    <s v="Enero "/>
    <s v="Enero "/>
    <s v="Enero "/>
    <n v="10.5"/>
    <s v="Meses"/>
    <s v="Contratación directa - Prestación de servicios profesionales "/>
    <s v="Propios - 21 - Otros recursos de tesorería"/>
    <n v="57750000"/>
    <n v="57750000"/>
    <s v="No"/>
    <s v="N/A"/>
    <s v="Katherin Perez"/>
    <s v="Coordinador GIT Talento Humano"/>
    <n v="6012220601"/>
    <s v="katherin.perez@upme.gov.co"/>
    <n v="0"/>
    <n v="0"/>
    <n v="57750000"/>
    <n v="0"/>
    <n v="0"/>
    <n v="2750000"/>
    <n v="0"/>
    <n v="5500000"/>
    <n v="0"/>
    <n v="5500000"/>
    <n v="0"/>
    <n v="5500000"/>
    <n v="0"/>
    <n v="5500000"/>
    <n v="0"/>
    <n v="5500000"/>
    <n v="0"/>
    <n v="5500000"/>
    <n v="0"/>
    <n v="5500000"/>
    <n v="0"/>
    <n v="5500000"/>
    <n v="0"/>
    <n v="11000000"/>
    <n v="57750000"/>
    <n v="57750000"/>
    <n v="0"/>
    <n v="0"/>
    <s v="Prestación de servicios profesionales en asesoria y apoyo jurídico para los planes transversales del Grupo Interno de Trabajo de Talento Humano de la entidad."/>
    <m/>
    <m/>
    <n v="57750000"/>
    <m/>
    <m/>
    <n v="2750000"/>
    <m/>
    <n v="5500000"/>
    <m/>
    <n v="5500000"/>
    <m/>
    <n v="5500000"/>
    <m/>
    <n v="5500000"/>
    <m/>
    <n v="5500000"/>
    <m/>
    <n v="5500000"/>
    <m/>
    <n v="5500000"/>
    <m/>
    <n v="5500000"/>
    <m/>
    <n v="11000000"/>
    <m/>
    <m/>
    <n v="57750000"/>
    <n v="57750000"/>
    <n v="0"/>
    <n v="0"/>
    <n v="32226"/>
    <d v="2026-01-14T00:00:00"/>
    <n v="57750000"/>
    <n v="0"/>
    <n v="43226"/>
    <d v="2026-02-05T00:00:00"/>
    <n v="57750000"/>
    <n v="0"/>
    <n v="0"/>
    <s v="RANGEL VANEGAS PEDRO PABLO"/>
    <s v="CO1.PCCNTR.9236243"/>
    <m/>
    <m/>
    <m/>
    <n v="57750000"/>
    <m/>
    <m/>
    <m/>
    <n v="4583333"/>
    <n v="4583333"/>
    <m/>
    <n v="5500000"/>
    <n v="5500000"/>
    <m/>
    <m/>
    <m/>
    <m/>
    <m/>
    <m/>
    <m/>
    <m/>
    <m/>
    <m/>
    <m/>
    <m/>
    <m/>
    <m/>
    <m/>
    <m/>
    <m/>
    <m/>
    <m/>
    <m/>
    <m/>
    <m/>
    <m/>
    <m/>
    <n v="57750000"/>
    <n v="10083333"/>
    <n v="10083333"/>
    <n v="47666667"/>
    <n v="0"/>
  </r>
  <r>
    <x v="0"/>
    <x v="4"/>
    <s v="Fortalecimiento de la percepción de la ciudadanía frente a los productos y servicios prestados por la UPME nacional"/>
    <s v="Transversal"/>
    <s v="Sí"/>
    <s v="Sí"/>
    <n v="68"/>
    <s v="110-18"/>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8 Prestar los servicios profesionales para asistir las actividades que fortalezcan la Gestión del Conocimiento por medio de la Dimensión del Talento Humano mediante la implementación de las políticas del Modelo Integrado de Planeación y Gestión MIPG,"/>
    <s v="Enero "/>
    <s v="Enero "/>
    <s v="Enero "/>
    <n v="11.5"/>
    <s v="Meses"/>
    <s v="Contratación directa - Prestación de servicios profesionales "/>
    <s v="Propios - 21 - Otros recursos de tesorería"/>
    <n v="82800000"/>
    <n v="82800000"/>
    <s v="No"/>
    <s v="N/A"/>
    <s v="Katherin Perez"/>
    <s v="Coordinador GIT Talento Humano"/>
    <n v="6012220601"/>
    <s v="katherin.perez@upme.gov.co"/>
    <n v="79200000"/>
    <n v="0"/>
    <n v="0"/>
    <n v="3600000"/>
    <n v="0"/>
    <n v="7200000"/>
    <n v="0"/>
    <n v="7200000"/>
    <n v="0"/>
    <n v="7200000"/>
    <n v="0"/>
    <n v="7200000"/>
    <n v="0"/>
    <n v="7200000"/>
    <n v="3600000"/>
    <n v="7200000"/>
    <n v="0"/>
    <n v="7200000"/>
    <n v="0"/>
    <n v="7200000"/>
    <n v="0"/>
    <n v="7200000"/>
    <n v="0"/>
    <n v="14400000"/>
    <n v="82800000"/>
    <n v="82800000"/>
    <n v="0"/>
    <n v="0"/>
    <s v="Prestar los servicios profesionales para asistir las actividades que fortalezcan la Gestión del Conocimiento por medio de la Dimensión del Talento Humano mediante la implementación de las políticas del Modelo Integrado de Planeación y Gestión MIPG, en esp"/>
    <n v="79200000"/>
    <m/>
    <m/>
    <n v="3600000"/>
    <m/>
    <n v="7200000"/>
    <m/>
    <n v="7200000"/>
    <m/>
    <n v="7200000"/>
    <m/>
    <n v="7200000"/>
    <m/>
    <n v="7200000"/>
    <n v="3600000"/>
    <n v="7200000"/>
    <m/>
    <n v="7200000"/>
    <m/>
    <n v="7200000"/>
    <m/>
    <n v="7200000"/>
    <m/>
    <n v="14400000"/>
    <m/>
    <m/>
    <n v="82800000"/>
    <n v="82800000"/>
    <n v="0"/>
    <n v="0"/>
    <n v="27526"/>
    <d v="2026-01-14T00:00:00"/>
    <n v="79200000"/>
    <n v="3600000"/>
    <n v="24626"/>
    <d v="2026-01-27T00:00:00"/>
    <n v="79200000"/>
    <n v="3600000"/>
    <n v="0"/>
    <s v="VARGAS SOTO EDGAR SAUL"/>
    <s v="CO1.PCCNTR.9107991"/>
    <n v="79200000"/>
    <m/>
    <m/>
    <m/>
    <n v="720000"/>
    <n v="720000"/>
    <m/>
    <n v="7200000"/>
    <n v="7200000"/>
    <m/>
    <n v="7200000"/>
    <n v="7200000"/>
    <m/>
    <m/>
    <m/>
    <m/>
    <m/>
    <m/>
    <m/>
    <m/>
    <m/>
    <m/>
    <m/>
    <m/>
    <m/>
    <m/>
    <m/>
    <m/>
    <m/>
    <m/>
    <m/>
    <m/>
    <m/>
    <m/>
    <m/>
    <m/>
    <n v="79200000"/>
    <n v="15120000"/>
    <n v="15120000"/>
    <n v="64080000"/>
    <n v="0"/>
  </r>
  <r>
    <x v="0"/>
    <x v="4"/>
    <s v="Fortalecimiento de la percepción de la ciudadanía frente a los productos y servicios prestados por la UPME nacional"/>
    <s v="Transversal"/>
    <s v="Sí"/>
    <s v="Sí"/>
    <n v="68"/>
    <s v="110-19"/>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9 Prestar los servicios profesionales para asistir y acompañar la gestión de la dimensión del Talento Humano, en su componente de selección, vinculación capacitación, gestión del Conocimiento, así como apoyar lo inherente a Evaluación de Desempeño, E"/>
    <s v="Enero "/>
    <s v="Enero "/>
    <s v="Enero "/>
    <n v="11.5"/>
    <s v="Meses"/>
    <s v="Contratación directa - Prestación de servicios profesionales "/>
    <s v="Propios - 21 - Otros recursos de tesorería"/>
    <n v="82800000"/>
    <n v="82800000"/>
    <s v="No"/>
    <s v="N/A"/>
    <s v="Katherin Perez"/>
    <s v="Coordinador GIT Talento Humano"/>
    <n v="6012220601"/>
    <s v="katherin.perez@upme.gov.co"/>
    <n v="82800000"/>
    <n v="0"/>
    <n v="0"/>
    <n v="3600000"/>
    <n v="0"/>
    <n v="7200000"/>
    <n v="0"/>
    <n v="7200000"/>
    <n v="0"/>
    <n v="7200000"/>
    <n v="0"/>
    <n v="7200000"/>
    <n v="0"/>
    <n v="7200000"/>
    <n v="0"/>
    <n v="7200000"/>
    <n v="0"/>
    <n v="7200000"/>
    <n v="0"/>
    <n v="7200000"/>
    <n v="0"/>
    <n v="7200000"/>
    <n v="0"/>
    <n v="14400000"/>
    <n v="82800000"/>
    <n v="82800000"/>
    <n v="0"/>
    <n v="0"/>
    <s v="Prestar los servicios profesionales para asistir y acompañar la gestión de la dimensión del Talento Humano, en su componente de selección, vinculación capacitación, gestión del Conocimiento, así como apoyar lo inherente a Evaluación de Desempeño, Evaluaci"/>
    <n v="82800000"/>
    <m/>
    <m/>
    <n v="3600000"/>
    <m/>
    <n v="7200000"/>
    <m/>
    <n v="7200000"/>
    <m/>
    <n v="7200000"/>
    <m/>
    <n v="7200000"/>
    <m/>
    <n v="7200000"/>
    <m/>
    <n v="7200000"/>
    <m/>
    <n v="7200000"/>
    <m/>
    <n v="7200000"/>
    <m/>
    <n v="7200000"/>
    <m/>
    <n v="14400000"/>
    <m/>
    <m/>
    <n v="82800000"/>
    <n v="82800000"/>
    <n v="0"/>
    <n v="0"/>
    <n v="9326"/>
    <d v="2026-01-06T00:00:00"/>
    <n v="82800000"/>
    <n v="0"/>
    <n v="8426"/>
    <d v="2026-01-13T00:00:00"/>
    <n v="82800000"/>
    <n v="0"/>
    <n v="0"/>
    <s v="GARCIA RUEDA PAOLA ANDREA"/>
    <s v="CO1.PCCNTR.8814412"/>
    <n v="82800000"/>
    <m/>
    <m/>
    <m/>
    <n v="4080000"/>
    <n v="4080000"/>
    <m/>
    <n v="7200000"/>
    <n v="7200000"/>
    <m/>
    <n v="7200000"/>
    <n v="7200000"/>
    <m/>
    <m/>
    <m/>
    <m/>
    <m/>
    <m/>
    <m/>
    <m/>
    <m/>
    <m/>
    <m/>
    <m/>
    <m/>
    <m/>
    <m/>
    <m/>
    <m/>
    <m/>
    <m/>
    <m/>
    <m/>
    <m/>
    <m/>
    <m/>
    <n v="82800000"/>
    <n v="18480000"/>
    <n v="18480000"/>
    <n v="64320000"/>
    <n v="0"/>
  </r>
  <r>
    <x v="0"/>
    <x v="4"/>
    <s v="Fortalecimiento de la percepción de la ciudadanía frente a los productos y servicios prestados por la UPME nacional"/>
    <s v="Transversal"/>
    <s v="Sí"/>
    <s v="Sí"/>
    <n v="3"/>
    <s v="110-20"/>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0 Prestar servicios profesionales para adelantar los asuntos jurídicos derivados de la gestión de talento humano de la Unidad de Planeación Minero Energética."/>
    <s v="Enero "/>
    <s v="Enero "/>
    <s v="Enero "/>
    <n v="11.5"/>
    <s v="Meses"/>
    <s v="Contratación directa - Prestación de servicios profesionales "/>
    <s v="Propios - 21 - Otros recursos de tesorería"/>
    <n v="37200000"/>
    <n v="37200000"/>
    <s v="No"/>
    <s v="N/A"/>
    <s v="Katherin Perez"/>
    <s v="Coordinador GIT Talento Humano"/>
    <n v="6012220601"/>
    <s v="katherin.perez@upme.gov.co"/>
    <n v="37200000"/>
    <n v="0"/>
    <n v="0"/>
    <n v="3100000"/>
    <n v="0"/>
    <n v="6200000"/>
    <n v="0"/>
    <n v="6200000"/>
    <n v="0"/>
    <n v="6200000"/>
    <n v="0"/>
    <n v="6200000"/>
    <n v="0"/>
    <n v="6200000"/>
    <n v="0"/>
    <n v="3100000"/>
    <n v="0"/>
    <n v="0"/>
    <n v="0"/>
    <n v="0"/>
    <n v="0"/>
    <n v="0"/>
    <n v="0"/>
    <n v="0"/>
    <n v="37200000"/>
    <n v="37200000"/>
    <n v="0"/>
    <n v="0"/>
    <s v="Prestar servicios profesionales para adelantar los asuntos jurídicos derivados de la gestión de talento humano de la Unidad de Planeación Minero Energética."/>
    <n v="37200000"/>
    <m/>
    <n v="0"/>
    <n v="3100000"/>
    <n v="0"/>
    <n v="6200000"/>
    <n v="0"/>
    <n v="6200000"/>
    <n v="0"/>
    <n v="6200000"/>
    <n v="0"/>
    <n v="6200000"/>
    <n v="0"/>
    <n v="6200000"/>
    <m/>
    <n v="3100000"/>
    <m/>
    <m/>
    <m/>
    <m/>
    <m/>
    <m/>
    <m/>
    <m/>
    <m/>
    <m/>
    <n v="37200000"/>
    <n v="37200000"/>
    <n v="0"/>
    <n v="0"/>
    <n v="28526"/>
    <d v="2026-01-14T00:00:00"/>
    <n v="37200000"/>
    <n v="0"/>
    <n v="17726"/>
    <d v="2026-01-22T00:00:00"/>
    <n v="37200000"/>
    <n v="0"/>
    <n v="0"/>
    <s v="SALAZAR ROCHA ANDREA LUCIA"/>
    <s v="CO1.PCCNTR.8993595"/>
    <n v="37200000"/>
    <m/>
    <m/>
    <m/>
    <n v="1653333"/>
    <n v="1653333"/>
    <m/>
    <n v="6200000"/>
    <n v="6200000"/>
    <m/>
    <n v="6200000"/>
    <n v="6200000"/>
    <m/>
    <m/>
    <m/>
    <m/>
    <m/>
    <m/>
    <m/>
    <m/>
    <m/>
    <m/>
    <m/>
    <m/>
    <m/>
    <m/>
    <m/>
    <m/>
    <m/>
    <m/>
    <m/>
    <m/>
    <m/>
    <m/>
    <m/>
    <m/>
    <n v="37200000"/>
    <n v="14053333"/>
    <n v="14053333"/>
    <n v="23146667"/>
    <n v="0"/>
  </r>
  <r>
    <x v="0"/>
    <x v="4"/>
    <s v="Fortalecimiento de la percepción de la ciudadanía frente a los productos y servicios prestados por la UPME nacional"/>
    <s v="Transversal"/>
    <s v="Sí"/>
    <s v="Sí"/>
    <n v="68"/>
    <s v="110-21"/>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1 Prestar servicios de apoyo técnico y administrativo a la Secretaría General y al Grupo Interno de Trabajo de Talento Humano de la UPME, en el desarrollo y ejecución de los procesos transversales del área, tales como gestión documental, actualizació"/>
    <s v="Enero "/>
    <s v="Enero "/>
    <s v="Enero "/>
    <n v="11.5"/>
    <s v="Meses"/>
    <s v="Contratación directa - Prestación de servicios profesionales "/>
    <s v="Propios - 21 - Otros recursos de tesorería"/>
    <n v="41825500"/>
    <n v="41825500"/>
    <s v="No"/>
    <s v="N/A"/>
    <s v="Katherin Perez"/>
    <s v="Coordinador GIT Talento Humano"/>
    <n v="6012220601"/>
    <s v="katherin.perez@upme.gov.co"/>
    <n v="40007000"/>
    <n v="0"/>
    <n v="0"/>
    <n v="1818500"/>
    <n v="0"/>
    <n v="3637000"/>
    <n v="0"/>
    <n v="3637000"/>
    <n v="0"/>
    <n v="3637000"/>
    <n v="0"/>
    <n v="3637000"/>
    <n v="0"/>
    <n v="3637000"/>
    <n v="1818500"/>
    <n v="3637000"/>
    <n v="0"/>
    <n v="3637000"/>
    <n v="0"/>
    <n v="3637000"/>
    <n v="0"/>
    <n v="3637000"/>
    <n v="0"/>
    <n v="7274000"/>
    <n v="41825500"/>
    <n v="41825500"/>
    <n v="0"/>
    <n v="0"/>
    <s v="Prestar servicios de apoyo técnico y administrativo a la Secretaría General y al Grupo Interno de Trabajo de Talento Humano de la UPME, en el desarrollo y ejecución de los procesos transversales del área, tales como gestión documental, actualización de ba"/>
    <n v="40007000"/>
    <m/>
    <m/>
    <n v="1818500"/>
    <m/>
    <n v="3637000"/>
    <m/>
    <n v="3637000"/>
    <m/>
    <n v="3637000"/>
    <m/>
    <n v="3637000"/>
    <m/>
    <n v="3637000"/>
    <n v="1818500"/>
    <n v="3637000"/>
    <m/>
    <n v="3637000"/>
    <m/>
    <n v="3637000"/>
    <m/>
    <n v="3637000"/>
    <m/>
    <n v="7274000"/>
    <m/>
    <m/>
    <n v="41825500"/>
    <n v="41825500"/>
    <n v="0"/>
    <n v="0"/>
    <n v="32026"/>
    <d v="2026-01-14T00:00:00"/>
    <n v="40007000"/>
    <n v="1818500"/>
    <n v="34826"/>
    <d v="2026-01-29T00:00:00"/>
    <n v="40007000"/>
    <n v="1818500"/>
    <n v="0"/>
    <s v="MEDINA GONZALEZ MAGNOLIA"/>
    <s v="CO1.PCCNTR.9182237"/>
    <n v="40007000"/>
    <m/>
    <m/>
    <m/>
    <m/>
    <m/>
    <m/>
    <m/>
    <m/>
    <m/>
    <m/>
    <m/>
    <m/>
    <m/>
    <m/>
    <m/>
    <m/>
    <m/>
    <m/>
    <m/>
    <m/>
    <m/>
    <m/>
    <m/>
    <m/>
    <m/>
    <m/>
    <m/>
    <m/>
    <m/>
    <m/>
    <m/>
    <m/>
    <m/>
    <m/>
    <m/>
    <n v="40007000"/>
    <n v="0"/>
    <n v="0"/>
    <n v="40007000"/>
    <n v="0"/>
  </r>
  <r>
    <x v="0"/>
    <x v="4"/>
    <s v="Fortalecimiento de la percepción de la ciudadanía frente a los productos y servicios prestados por la UPME nacional"/>
    <s v="Transversal"/>
    <s v="Sí"/>
    <s v="Sí"/>
    <n v="68"/>
    <s v="110-22"/>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2 Prestar servicios profesionales para apoyar la proyección, revisión y trámite de actos administrativos y demás actividades relacionadas con los procesos del área de talento humano de la UPME, conforme a los lineamientos de la entidad."/>
    <s v="Enero "/>
    <s v="Enero "/>
    <s v="Enero "/>
    <n v="7.5"/>
    <s v="Meses"/>
    <s v="Contratación directa - Prestación de servicios profesionales "/>
    <s v="Propios - 21 - Otros recursos de tesorería"/>
    <n v="26250000"/>
    <n v="26250000"/>
    <s v="No"/>
    <s v="N/A"/>
    <s v="Katherin Perez"/>
    <s v="Coordinador GIT Talento Humano"/>
    <n v="6012220601"/>
    <s v="katherin.perez@upme.gov.co"/>
    <n v="25955055"/>
    <n v="0"/>
    <n v="0"/>
    <n v="1750000"/>
    <n v="0"/>
    <n v="3500000"/>
    <n v="0"/>
    <n v="3500000"/>
    <n v="0"/>
    <n v="3500000"/>
    <n v="0"/>
    <n v="3500000"/>
    <n v="0"/>
    <n v="3500000"/>
    <n v="294945"/>
    <n v="3500000"/>
    <n v="0"/>
    <n v="3500000"/>
    <n v="0"/>
    <n v="0"/>
    <n v="0"/>
    <n v="0"/>
    <n v="0"/>
    <n v="0"/>
    <n v="26250000"/>
    <n v="26250000"/>
    <n v="0"/>
    <n v="0"/>
    <s v="Prestar servicios profesionales para apoyar la proyección, revisión y trámite de actos administrativos y demás actividades relacionadas con los procesos del área de talento humano de la UPME, conforme a los lineamientos de la entidad."/>
    <n v="25955055"/>
    <m/>
    <m/>
    <n v="1750000"/>
    <m/>
    <n v="3500000"/>
    <m/>
    <n v="3500000"/>
    <m/>
    <n v="3500000"/>
    <m/>
    <n v="3500000"/>
    <m/>
    <n v="3500000"/>
    <n v="294945"/>
    <n v="3500000"/>
    <m/>
    <n v="3500000"/>
    <m/>
    <m/>
    <m/>
    <m/>
    <m/>
    <m/>
    <m/>
    <m/>
    <n v="26250000"/>
    <n v="26250000"/>
    <n v="0"/>
    <n v="0"/>
    <n v="9226"/>
    <d v="2026-01-06T00:00:00"/>
    <n v="25955055"/>
    <n v="294945"/>
    <n v="11626"/>
    <d v="2026-01-19T00:00:00"/>
    <n v="25955055"/>
    <n v="294945"/>
    <n v="0"/>
    <s v="RODRIGUEZ REYES ZURY"/>
    <s v="CO1.PCCNTR.8879812"/>
    <n v="25955055"/>
    <m/>
    <m/>
    <m/>
    <n v="1204665"/>
    <n v="1204665"/>
    <m/>
    <n v="3285450"/>
    <n v="3285450"/>
    <m/>
    <n v="3285450"/>
    <n v="3285450"/>
    <m/>
    <m/>
    <m/>
    <m/>
    <m/>
    <m/>
    <m/>
    <m/>
    <m/>
    <m/>
    <m/>
    <m/>
    <m/>
    <m/>
    <m/>
    <m/>
    <m/>
    <m/>
    <m/>
    <m/>
    <m/>
    <m/>
    <m/>
    <m/>
    <n v="25955055"/>
    <n v="7775565"/>
    <n v="7775565"/>
    <n v="18179490"/>
    <n v="0"/>
  </r>
  <r>
    <x v="0"/>
    <x v="4"/>
    <s v="Fortalecimiento de la percepción de la ciudadanía frente a los productos y servicios prestados por la UPME nacional"/>
    <s v="Transversal"/>
    <s v="Sí"/>
    <s v="Sí"/>
    <n v="68"/>
    <s v="110-23"/>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3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11.5"/>
    <s v="Meses"/>
    <s v="Contratación directa - Prestación de servicios profesionales "/>
    <s v="Propios - 21 - Otros recursos de tesorería"/>
    <n v="30000000"/>
    <n v="30000000"/>
    <s v="No"/>
    <s v="N/A"/>
    <s v="Katherin Perez"/>
    <s v="Coordinador GIT Talento Humano"/>
    <n v="6012220601"/>
    <s v="katherin.perez@upme.gov.co"/>
    <n v="30000000"/>
    <n v="0"/>
    <n v="0"/>
    <n v="0"/>
    <n v="0"/>
    <n v="0"/>
    <n v="0"/>
    <n v="0"/>
    <n v="0"/>
    <n v="0"/>
    <n v="0"/>
    <n v="0"/>
    <n v="0"/>
    <n v="0"/>
    <n v="0"/>
    <n v="0"/>
    <n v="0"/>
    <n v="6000000"/>
    <n v="0"/>
    <n v="6000000"/>
    <n v="0"/>
    <n v="6000000"/>
    <n v="0"/>
    <n v="12000000"/>
    <n v="30000000"/>
    <n v="30000000"/>
    <n v="0"/>
    <n v="0"/>
    <s v="Prestar servicios profesionales para apoyar las actividades de fortalecimiento de la Política de Rendición de Cuentas, la Política de Participación Ciudadana en la Gestión y la Política de Servicio al Ciudadano de la UPME, en el marco del Modelo Integrado"/>
    <n v="30000000"/>
    <m/>
    <m/>
    <m/>
    <m/>
    <m/>
    <m/>
    <m/>
    <m/>
    <m/>
    <m/>
    <m/>
    <m/>
    <m/>
    <m/>
    <m/>
    <m/>
    <n v="6000000"/>
    <m/>
    <n v="6000000"/>
    <m/>
    <n v="6000000"/>
    <m/>
    <n v="12000000"/>
    <m/>
    <m/>
    <n v="30000000"/>
    <n v="30000000"/>
    <n v="0"/>
    <n v="0"/>
    <n v="3426"/>
    <d v="2026-01-05T00:00:00"/>
    <n v="30000000"/>
    <n v="0"/>
    <n v="14726"/>
    <d v="2026-01-21T00:00:00"/>
    <n v="30000000"/>
    <n v="0"/>
    <n v="0"/>
    <s v="ESPINOSA URIBE ADRIANA MILENA"/>
    <s v="CO1.PCCNTR.8898816"/>
    <n v="30000000"/>
    <m/>
    <m/>
    <m/>
    <m/>
    <m/>
    <m/>
    <m/>
    <m/>
    <m/>
    <m/>
    <m/>
    <m/>
    <m/>
    <m/>
    <m/>
    <m/>
    <m/>
    <m/>
    <m/>
    <m/>
    <m/>
    <m/>
    <m/>
    <m/>
    <m/>
    <m/>
    <m/>
    <m/>
    <m/>
    <m/>
    <m/>
    <m/>
    <m/>
    <m/>
    <m/>
    <n v="30000000"/>
    <n v="0"/>
    <n v="0"/>
    <n v="30000000"/>
    <n v="0"/>
  </r>
  <r>
    <x v="0"/>
    <x v="4"/>
    <s v="Fortalecimiento de la percepción de la ciudadanía frente a los productos y servicios prestados por la UPME nacional"/>
    <s v="Transversal"/>
    <s v="Sí"/>
    <s v="Sí"/>
    <n v="68"/>
    <s v="110-24"/>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4 Prestar servicios de apoyo a la gestión de Talento Humano, mediante el soporte operativo y documental requerido para la ejecución, organización, control y archivo de los procesos administrativos del área, contribuyendo al cumplimiento oportuno y ef"/>
    <s v="Enero "/>
    <s v="Enero "/>
    <s v="Enero "/>
    <n v="7"/>
    <s v="Meses"/>
    <s v="Contratación directa - Prestación de servicios profesionales "/>
    <s v="Propios - 21 - Otros recursos de tesorería"/>
    <n v="16346400"/>
    <n v="16346400"/>
    <s v="No"/>
    <s v="N/A"/>
    <s v="Katherin Perez"/>
    <s v="Coordinador GIT Talento Humano"/>
    <n v="6012220601"/>
    <s v="katherin.perez@upme.gov.co"/>
    <n v="16346400"/>
    <n v="0"/>
    <n v="0"/>
    <n v="1167600"/>
    <n v="0"/>
    <n v="2335200"/>
    <n v="0"/>
    <n v="2335200"/>
    <n v="0"/>
    <n v="2335200"/>
    <n v="0"/>
    <n v="2335200"/>
    <n v="0"/>
    <n v="2335200"/>
    <n v="0"/>
    <n v="2335200"/>
    <n v="0"/>
    <n v="1167600"/>
    <n v="0"/>
    <n v="0"/>
    <n v="0"/>
    <n v="0"/>
    <n v="0"/>
    <n v="0"/>
    <n v="16346400"/>
    <n v="16346400"/>
    <n v="0"/>
    <n v="0"/>
    <s v="Prestar servicios de apoyo a la gestión de Talento Humano, mediante el soporte operativo y documental requerido para la ejecución, organización, control y archivo de los procesos administrativos del área, contribuyendo al cumplimiento oportuno y eficiente"/>
    <n v="16346400"/>
    <m/>
    <m/>
    <n v="1167600"/>
    <m/>
    <n v="2335200"/>
    <m/>
    <n v="2335200"/>
    <m/>
    <n v="2335200"/>
    <m/>
    <n v="2335200"/>
    <m/>
    <n v="2335200"/>
    <m/>
    <n v="2335200"/>
    <m/>
    <n v="1167600"/>
    <m/>
    <m/>
    <m/>
    <m/>
    <m/>
    <m/>
    <m/>
    <m/>
    <n v="16346400"/>
    <n v="16346400"/>
    <n v="0"/>
    <n v="0"/>
    <n v="32326"/>
    <d v="2026-01-14T00:00:00"/>
    <n v="16346400"/>
    <n v="0"/>
    <n v="31126"/>
    <d v="2026-01-29T00:00:00"/>
    <n v="16346400"/>
    <n v="0"/>
    <n v="0"/>
    <s v="ARCINIEGAS YANGUMA ANGIE YULIED"/>
    <s v="CO1.PCCNTR.9108320"/>
    <n v="16346400"/>
    <m/>
    <m/>
    <m/>
    <m/>
    <m/>
    <m/>
    <n v="2413040"/>
    <n v="2413040"/>
    <m/>
    <n v="2335200"/>
    <n v="2335200"/>
    <m/>
    <m/>
    <m/>
    <m/>
    <m/>
    <m/>
    <m/>
    <m/>
    <m/>
    <m/>
    <m/>
    <m/>
    <m/>
    <m/>
    <m/>
    <m/>
    <m/>
    <m/>
    <m/>
    <m/>
    <m/>
    <m/>
    <m/>
    <m/>
    <n v="16346400"/>
    <n v="4748240"/>
    <n v="4748240"/>
    <n v="11598160"/>
    <n v="0"/>
  </r>
  <r>
    <x v="0"/>
    <x v="4"/>
    <s v="Fortalecimiento de la percepción de la ciudadanía frente a los productos y servicios prestados por la UPME nacional"/>
    <s v="Transversal"/>
    <s v="Sí"/>
    <s v="Sí"/>
    <n v="68"/>
    <s v="110-25"/>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5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1 - Otros recursos de tesorería"/>
    <n v="8472336"/>
    <n v="8472336"/>
    <s v="No"/>
    <s v="N/A"/>
    <s v="Katherin Perez"/>
    <s v="Coordinador GIT Talento Humano"/>
    <n v="6012220601"/>
    <s v="katherin.perez@upme.gov.co"/>
    <n v="8472336"/>
    <n v="0"/>
    <n v="0"/>
    <n v="3113500"/>
    <n v="0"/>
    <n v="5358836"/>
    <n v="0"/>
    <n v="0"/>
    <n v="0"/>
    <n v="0"/>
    <n v="0"/>
    <n v="0"/>
    <n v="0"/>
    <n v="0"/>
    <n v="0"/>
    <n v="0"/>
    <n v="0"/>
    <n v="0"/>
    <n v="0"/>
    <n v="0"/>
    <n v="0"/>
    <n v="0"/>
    <n v="0"/>
    <n v="0"/>
    <n v="8472336"/>
    <n v="8472336"/>
    <n v="0"/>
    <n v="0"/>
    <s v="Prestar servicios profesionales para apoyar la sustanciación y revisión de actos administrativos, respuestas a derechos de petición, conceptos y circulares adelantadas en la Secretaría General de la UPME."/>
    <n v="8472336"/>
    <m/>
    <m/>
    <n v="3113500"/>
    <m/>
    <n v="5358836"/>
    <m/>
    <m/>
    <m/>
    <m/>
    <m/>
    <m/>
    <m/>
    <m/>
    <m/>
    <m/>
    <m/>
    <m/>
    <m/>
    <m/>
    <m/>
    <m/>
    <m/>
    <m/>
    <m/>
    <m/>
    <n v="8472336"/>
    <n v="8472336"/>
    <n v="0"/>
    <n v="0"/>
    <n v="32426"/>
    <d v="2026-01-14T00:00:00"/>
    <n v="8472336"/>
    <n v="0"/>
    <n v="29026"/>
    <d v="2026-01-28T00:00:00"/>
    <n v="8472336"/>
    <n v="0"/>
    <n v="0"/>
    <s v="ZAMBRANO RIVERO DANIELA FERNANDA"/>
    <s v="CO1.PCCNTR.9010692"/>
    <n v="8472336"/>
    <m/>
    <m/>
    <m/>
    <n v="415133"/>
    <n v="415133"/>
    <m/>
    <n v="6227000"/>
    <n v="6227000"/>
    <m/>
    <n v="1830203"/>
    <n v="1830203"/>
    <m/>
    <m/>
    <m/>
    <m/>
    <m/>
    <m/>
    <m/>
    <m/>
    <m/>
    <m/>
    <m/>
    <m/>
    <m/>
    <m/>
    <m/>
    <m/>
    <m/>
    <m/>
    <m/>
    <m/>
    <m/>
    <m/>
    <m/>
    <m/>
    <n v="8472336"/>
    <n v="8472336"/>
    <n v="8472336"/>
    <n v="0"/>
    <n v="0"/>
  </r>
  <r>
    <x v="0"/>
    <x v="4"/>
    <s v="Fortalecimiento de la percepción de la ciudadanía frente a los productos y servicios prestados por la UPME nacional"/>
    <s v="Transversal"/>
    <s v="Sí"/>
    <s v="Sí"/>
    <n v="68"/>
    <s v="110-26"/>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6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0 - Ingresos corrientes"/>
    <n v="2814063"/>
    <n v="2814063"/>
    <s v="No"/>
    <s v="N/A"/>
    <s v="Katherin Perez"/>
    <s v="Coordinador GIT Talento Humano"/>
    <n v="6012220601"/>
    <s v="katherin.perez@upme.gov.co"/>
    <n v="0"/>
    <n v="0"/>
    <n v="2814063"/>
    <n v="0"/>
    <n v="0"/>
    <n v="868164"/>
    <n v="0"/>
    <n v="1945899"/>
    <n v="0"/>
    <n v="0"/>
    <n v="0"/>
    <n v="0"/>
    <n v="0"/>
    <n v="0"/>
    <n v="0"/>
    <n v="0"/>
    <n v="0"/>
    <n v="0"/>
    <n v="0"/>
    <n v="0"/>
    <n v="0"/>
    <n v="0"/>
    <n v="0"/>
    <n v="0"/>
    <n v="2814063"/>
    <n v="2814063"/>
    <n v="0"/>
    <n v="0"/>
    <s v="Prestar servicios profesionales para apoyar la sustanciación y revisión de actos administrativos, respuestas a derechos de petición, conceptos y circulares adelantadas en la Secretaría General de la UPME."/>
    <m/>
    <m/>
    <n v="2814063"/>
    <m/>
    <m/>
    <n v="868164"/>
    <m/>
    <n v="1945899"/>
    <m/>
    <m/>
    <m/>
    <m/>
    <m/>
    <m/>
    <m/>
    <m/>
    <m/>
    <m/>
    <m/>
    <m/>
    <m/>
    <m/>
    <m/>
    <m/>
    <m/>
    <m/>
    <n v="2814063"/>
    <n v="2814063"/>
    <n v="0"/>
    <n v="0"/>
    <n v="32426"/>
    <d v="2026-01-14T00:00:00"/>
    <m/>
    <n v="2814063"/>
    <m/>
    <m/>
    <n v="0"/>
    <n v="2814063"/>
    <n v="0"/>
    <m/>
    <m/>
    <m/>
    <m/>
    <m/>
    <m/>
    <m/>
    <m/>
    <m/>
    <m/>
    <m/>
    <m/>
    <m/>
    <m/>
    <m/>
    <m/>
    <m/>
    <m/>
    <m/>
    <m/>
    <m/>
    <m/>
    <m/>
    <m/>
    <m/>
    <m/>
    <m/>
    <m/>
    <m/>
    <m/>
    <m/>
    <m/>
    <m/>
    <m/>
    <m/>
    <m/>
    <m/>
    <m/>
    <n v="0"/>
    <n v="0"/>
    <n v="0"/>
    <n v="0"/>
    <n v="0"/>
  </r>
  <r>
    <x v="0"/>
    <x v="4"/>
    <s v="Fortalecimiento de la percepción de la ciudadanía frente a los productos y servicios prestados por la UPME nacional"/>
    <s v="Transversal"/>
    <s v="Sí"/>
    <s v="Sí"/>
    <n v="68"/>
    <s v="110-27"/>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27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0 - Ingresos corrientes"/>
    <n v="60324101"/>
    <n v="60324101"/>
    <s v="No"/>
    <s v="N/A"/>
    <s v="Katherin Perez"/>
    <s v="Coordinador GIT Talento Humano"/>
    <n v="6012220601"/>
    <s v="katherin.perez@upme.gov.co"/>
    <n v="60024664"/>
    <n v="0"/>
    <n v="0"/>
    <n v="0"/>
    <n v="0"/>
    <n v="0"/>
    <n v="0"/>
    <n v="4281101"/>
    <n v="0"/>
    <n v="6227000"/>
    <n v="0"/>
    <n v="6227000"/>
    <n v="0"/>
    <n v="6227000"/>
    <n v="299437"/>
    <n v="6227000"/>
    <n v="0"/>
    <n v="6227000"/>
    <n v="0"/>
    <n v="6227000"/>
    <n v="0"/>
    <n v="6227000"/>
    <n v="0"/>
    <n v="12454000"/>
    <n v="60324101"/>
    <n v="60324101"/>
    <n v="0"/>
    <n v="0"/>
    <s v="Prestar servicios profesionales para apoyar la sustanciación y revisión de actos administrativos, respuestas a derechos de petición, conceptos y circulares adelantadas en la Secretaría General de la UPME."/>
    <n v="60024664"/>
    <m/>
    <m/>
    <m/>
    <m/>
    <m/>
    <m/>
    <n v="4281101"/>
    <m/>
    <n v="6227000"/>
    <m/>
    <n v="6227000"/>
    <m/>
    <n v="6227000"/>
    <n v="299437"/>
    <n v="6227000"/>
    <m/>
    <n v="6227000"/>
    <m/>
    <n v="6227000"/>
    <m/>
    <n v="6227000"/>
    <m/>
    <n v="12454000"/>
    <m/>
    <m/>
    <n v="60324101"/>
    <n v="60324101"/>
    <n v="0"/>
    <n v="0"/>
    <n v="32426"/>
    <d v="2026-01-14T00:00:00"/>
    <n v="60024664"/>
    <n v="299437"/>
    <n v="29026"/>
    <d v="2026-01-28T00:00:00"/>
    <n v="60024664"/>
    <n v="299437"/>
    <n v="0"/>
    <s v="ZAMBRANO RIVERO DANIELA FERNANDA"/>
    <s v="CO1.PCCNTR.9010692"/>
    <n v="60024664"/>
    <m/>
    <m/>
    <m/>
    <m/>
    <m/>
    <m/>
    <m/>
    <m/>
    <m/>
    <n v="4396797"/>
    <n v="4396797"/>
    <m/>
    <m/>
    <m/>
    <m/>
    <m/>
    <m/>
    <m/>
    <m/>
    <m/>
    <m/>
    <m/>
    <m/>
    <m/>
    <m/>
    <m/>
    <m/>
    <m/>
    <m/>
    <m/>
    <m/>
    <m/>
    <m/>
    <m/>
    <m/>
    <n v="60024664"/>
    <n v="4396797"/>
    <n v="4396797"/>
    <n v="55627867"/>
    <n v="0"/>
  </r>
  <r>
    <x v="0"/>
    <x v="4"/>
    <s v="Fortalecimiento de la percepción de la ciudadanía frente a los productos y servicios prestados por la UPME nacional"/>
    <s v="Transversal"/>
    <s v="Sí"/>
    <s v="Sí"/>
    <n v="68"/>
    <s v="110-28"/>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28 Prestar servicios profesionales para apoyar la sustanciación y revisión de actos administrativos, respuestas a derechos de petición, conceptos, circulares; así como los procesos disciplinarios adelantados en la Secretaría General de la UPME"/>
    <s v="Enero "/>
    <s v="Enero "/>
    <s v="Enero "/>
    <n v="11.5"/>
    <s v="Meses"/>
    <s v="Contratación directa - Prestación de servicios profesionales "/>
    <s v="Propios - 20 - Ingresos corrientes"/>
    <n v="71610500"/>
    <n v="71610500"/>
    <s v="No"/>
    <s v="N/A"/>
    <s v="Katherin Perez"/>
    <s v="Coordinador GIT Talento Humano"/>
    <n v="6012220601"/>
    <s v="katherin.perez@upme.gov.co"/>
    <n v="68497000"/>
    <n v="0"/>
    <n v="0"/>
    <n v="3113500"/>
    <n v="0"/>
    <n v="6227000"/>
    <n v="0"/>
    <n v="6227000"/>
    <n v="0"/>
    <n v="6227000"/>
    <n v="0"/>
    <n v="6227000"/>
    <n v="0"/>
    <n v="6227000"/>
    <n v="3113500"/>
    <n v="6227000"/>
    <n v="0"/>
    <n v="6227000"/>
    <n v="0"/>
    <n v="6227000"/>
    <n v="0"/>
    <n v="6227000"/>
    <n v="0"/>
    <n v="12454000"/>
    <n v="71610500"/>
    <n v="71610500"/>
    <n v="0"/>
    <n v="0"/>
    <s v="Prestar servicios profesionales para apoyar la sustanciación y revisión de actos administrativos, respuestas a derechos de petición, conceptos, circulares; así como los procesos disciplinarios adelantados en la Secretaría General de la UPME"/>
    <n v="68497000"/>
    <m/>
    <m/>
    <n v="3113500"/>
    <m/>
    <n v="6227000"/>
    <m/>
    <n v="6227000"/>
    <m/>
    <n v="6227000"/>
    <m/>
    <n v="6227000"/>
    <m/>
    <n v="6227000"/>
    <n v="3113500"/>
    <n v="6227000"/>
    <m/>
    <n v="6227000"/>
    <m/>
    <n v="6227000"/>
    <m/>
    <n v="6227000"/>
    <m/>
    <n v="12454000"/>
    <m/>
    <m/>
    <n v="71610500"/>
    <n v="71610500"/>
    <n v="0"/>
    <n v="0"/>
    <n v="32526"/>
    <d v="2026-01-14T00:00:00"/>
    <n v="68497000"/>
    <n v="3113500"/>
    <n v="18826"/>
    <d v="2026-01-24T00:00:00"/>
    <n v="68497000"/>
    <n v="3113500"/>
    <n v="0"/>
    <s v="AMARIS ARIAS FLOR MARIA"/>
    <s v="CO1.PCCNTR.9005582"/>
    <n v="68497000"/>
    <m/>
    <m/>
    <m/>
    <n v="1037833"/>
    <n v="1037833"/>
    <m/>
    <n v="6227000"/>
    <n v="6227000"/>
    <m/>
    <n v="6227000"/>
    <n v="6227000"/>
    <m/>
    <m/>
    <m/>
    <m/>
    <m/>
    <m/>
    <m/>
    <m/>
    <m/>
    <m/>
    <m/>
    <m/>
    <m/>
    <m/>
    <m/>
    <m/>
    <m/>
    <m/>
    <m/>
    <m/>
    <m/>
    <m/>
    <m/>
    <m/>
    <n v="68497000"/>
    <n v="13491833"/>
    <n v="13491833"/>
    <n v="55005167"/>
    <n v="0"/>
  </r>
  <r>
    <x v="0"/>
    <x v="4"/>
    <s v="Fortalecimiento de la percepción de la ciudadanía frente a los productos y servicios prestados por la UPME nacional"/>
    <s v="Transversal"/>
    <s v="Sí"/>
    <s v="Sí"/>
    <n v="68"/>
    <s v="110-29"/>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29 Prestar servicios de apoyo requeridos en gestión administrativa, documental, correspondencia y demás asuntos administrativos requeridos por la Upme."/>
    <s v="Enero "/>
    <s v="Enero "/>
    <s v="Enero "/>
    <n v="11.5"/>
    <s v="Meses"/>
    <s v="Contratación directa - Prestación de servicios profesionales "/>
    <s v="Propios - 20 - Ingresos corrientes"/>
    <n v="42504000"/>
    <n v="42504000"/>
    <s v="No"/>
    <s v="N/A"/>
    <s v="Jenny Peña"/>
    <s v="Coordinador GIT Administrativa"/>
    <n v="6012220601"/>
    <s v="jenny.pena@upme.gov.co"/>
    <n v="40968742"/>
    <n v="0"/>
    <n v="0"/>
    <n v="1848000"/>
    <n v="0"/>
    <n v="3696000"/>
    <n v="0"/>
    <n v="3696000"/>
    <n v="0"/>
    <n v="3696000"/>
    <n v="0"/>
    <n v="3696000"/>
    <n v="0"/>
    <n v="3696000"/>
    <n v="1535258"/>
    <n v="3696000"/>
    <n v="0"/>
    <n v="3696000"/>
    <n v="0"/>
    <n v="3696000"/>
    <n v="0"/>
    <n v="3696000"/>
    <n v="0"/>
    <n v="7392000"/>
    <n v="42504000"/>
    <n v="42504000"/>
    <n v="0"/>
    <n v="0"/>
    <s v="Prestar servicios de apoyo requeridos en gestión administrativa, documental, correspondencia y demás asuntos administrativos requeridos por la Upme."/>
    <n v="40968742"/>
    <m/>
    <m/>
    <n v="1848000"/>
    <m/>
    <n v="3696000"/>
    <m/>
    <n v="3696000"/>
    <m/>
    <n v="3696000"/>
    <m/>
    <n v="3696000"/>
    <m/>
    <n v="3696000"/>
    <n v="1535258"/>
    <n v="3696000"/>
    <m/>
    <n v="3696000"/>
    <m/>
    <n v="3696000"/>
    <m/>
    <n v="3696000"/>
    <m/>
    <n v="7392000"/>
    <m/>
    <m/>
    <n v="42504000"/>
    <n v="42504000"/>
    <n v="0"/>
    <n v="0"/>
    <n v="31326"/>
    <d v="2026-01-14T00:00:00"/>
    <n v="40968742"/>
    <n v="1535258"/>
    <n v="30426"/>
    <d v="2026-01-28T00:00:00"/>
    <n v="40968742"/>
    <n v="1535258"/>
    <n v="0"/>
    <s v="LEON VASQUEZ MAYELBI MILENA"/>
    <s v="CO1.PCCNTR.9092149"/>
    <n v="40968742"/>
    <m/>
    <m/>
    <m/>
    <n v="120496"/>
    <n v="120496"/>
    <m/>
    <n v="3614889"/>
    <n v="3614889"/>
    <m/>
    <n v="3614889"/>
    <n v="3614889"/>
    <m/>
    <m/>
    <m/>
    <m/>
    <m/>
    <m/>
    <m/>
    <m/>
    <m/>
    <m/>
    <m/>
    <m/>
    <m/>
    <m/>
    <m/>
    <m/>
    <m/>
    <m/>
    <m/>
    <m/>
    <m/>
    <m/>
    <m/>
    <m/>
    <n v="40968742"/>
    <n v="7350274"/>
    <n v="7350274"/>
    <n v="33618468"/>
    <n v="0"/>
  </r>
  <r>
    <x v="0"/>
    <x v="4"/>
    <s v="Fortalecimiento de la percepción de la ciudadanía frente a los productos y servicios prestados por la UPME nacional"/>
    <s v="Transversal"/>
    <s v="Sí"/>
    <s v="Sí"/>
    <n v="68"/>
    <s v="110-30"/>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30 Prestar los servicios profesionales para realizar y apoyar las diferentes actividades que fortalezcan la gestión del conocimiento por medio de la implementación de las políticas del Modelo Integrado de Planeación y Gestión MIPG y la política de Ges"/>
    <s v="Enero "/>
    <s v="Enero "/>
    <s v="Enero "/>
    <n v="11.5"/>
    <s v="Meses"/>
    <s v="Contratación directa - Prestación de servicios profesionales "/>
    <s v="Propios - 20 - Ingresos corrientes"/>
    <n v="62445000"/>
    <n v="62445000"/>
    <s v="No"/>
    <s v="N/A"/>
    <s v="Katherin Perez"/>
    <s v="Coordinador GIT Talento Humano"/>
    <n v="6012220601"/>
    <s v="katherin.perez@upme.gov.co"/>
    <n v="62445000"/>
    <n v="0"/>
    <n v="0"/>
    <n v="2715000"/>
    <n v="0"/>
    <n v="5430000"/>
    <n v="0"/>
    <n v="5430000"/>
    <n v="0"/>
    <n v="5430000"/>
    <n v="0"/>
    <n v="5430000"/>
    <n v="0"/>
    <n v="5430000"/>
    <n v="0"/>
    <n v="5430000"/>
    <n v="0"/>
    <n v="5430000"/>
    <n v="0"/>
    <n v="5430000"/>
    <n v="0"/>
    <n v="5430000"/>
    <n v="0"/>
    <n v="10860000"/>
    <n v="62445000"/>
    <n v="62445000"/>
    <n v="0"/>
    <n v="0"/>
    <s v="Prestar los servicios profesionales para realizar y apoyar las diferentes actividades que fortalezcan la gestión del conocimiento por medio de la implementación de las políticas del Modelo Integrado de Planeación y Gestión MIPG y la política de Gestión de"/>
    <n v="62445000"/>
    <m/>
    <m/>
    <n v="2715000"/>
    <m/>
    <n v="5430000"/>
    <m/>
    <n v="5430000"/>
    <m/>
    <n v="5430000"/>
    <m/>
    <n v="5430000"/>
    <m/>
    <n v="5430000"/>
    <m/>
    <n v="5430000"/>
    <m/>
    <n v="5430000"/>
    <m/>
    <n v="5430000"/>
    <m/>
    <n v="5430000"/>
    <m/>
    <n v="10860000"/>
    <m/>
    <m/>
    <n v="62445000"/>
    <n v="62445000"/>
    <n v="0"/>
    <n v="0"/>
    <n v="9926"/>
    <d v="2026-01-07T00:00:00"/>
    <n v="62445000"/>
    <n v="0"/>
    <n v="8126"/>
    <d v="2026-01-13T00:00:00"/>
    <n v="62445000"/>
    <n v="0"/>
    <n v="0"/>
    <s v="BEDOYA GONZALEZ CRISTIAN ELIECER"/>
    <s v="CO1.PCCNTR.8804413"/>
    <n v="62445000"/>
    <m/>
    <m/>
    <m/>
    <n v="3077000"/>
    <n v="3077000"/>
    <m/>
    <n v="5430000"/>
    <n v="5430000"/>
    <m/>
    <n v="5430000"/>
    <n v="5430000"/>
    <m/>
    <m/>
    <m/>
    <m/>
    <m/>
    <m/>
    <m/>
    <m/>
    <m/>
    <m/>
    <m/>
    <m/>
    <m/>
    <m/>
    <m/>
    <m/>
    <m/>
    <m/>
    <m/>
    <m/>
    <m/>
    <m/>
    <m/>
    <m/>
    <n v="62445000"/>
    <n v="13937000"/>
    <n v="13937000"/>
    <n v="48508000"/>
    <n v="0"/>
  </r>
  <r>
    <x v="0"/>
    <x v="4"/>
    <s v="Fortalecimiento de la percepción de la ciudadanía frente a los productos y servicios prestados por la UPME nacional"/>
    <s v="Transversal"/>
    <s v="Sí"/>
    <s v="Sí"/>
    <n v="6"/>
    <s v="110-31"/>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11"/>
    <s v="110-31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1.5"/>
    <s v="Meses"/>
    <s v="Contratación directa "/>
    <s v="Propios - 20 - Ingresos corrientes"/>
    <n v="150997373"/>
    <n v="150997373"/>
    <s v="No"/>
    <s v="N/A"/>
    <s v="Katherin Perez"/>
    <s v="Coordinador GIT Talento Humano"/>
    <n v="6012220601"/>
    <s v="katherin.perez@upme.gov.co"/>
    <n v="0"/>
    <n v="0"/>
    <n v="150997373"/>
    <n v="0"/>
    <n v="0"/>
    <n v="0"/>
    <n v="0"/>
    <n v="37749343"/>
    <n v="0"/>
    <n v="0"/>
    <n v="0"/>
    <n v="0"/>
    <n v="0"/>
    <n v="37749343"/>
    <n v="0"/>
    <n v="0"/>
    <n v="0"/>
    <n v="0"/>
    <n v="0"/>
    <n v="37749343"/>
    <n v="0"/>
    <n v="0"/>
    <n v="0"/>
    <n v="37749344"/>
    <n v="150997373"/>
    <n v="150997373"/>
    <n v="0"/>
    <n v="0"/>
    <s v="Contratar los servicios profesionales requeridos para gestionar el desarrollo de actividades formativas y de actualización en el marco del Plan Institucional de Capacitación (PIC) de la vigencia 2026, dirigido a las servidoras/es públicos de la Upme."/>
    <m/>
    <m/>
    <n v="150997373"/>
    <m/>
    <m/>
    <m/>
    <m/>
    <n v="37749343"/>
    <m/>
    <m/>
    <m/>
    <m/>
    <m/>
    <n v="37749343"/>
    <m/>
    <m/>
    <m/>
    <m/>
    <m/>
    <n v="37749343"/>
    <m/>
    <m/>
    <m/>
    <n v="37749344"/>
    <m/>
    <m/>
    <n v="150997373"/>
    <n v="150997373"/>
    <n v="0"/>
    <n v="0"/>
    <n v="50426"/>
    <d v="2026-01-20T00:00:00"/>
    <n v="150997373"/>
    <n v="0"/>
    <n v="51926"/>
    <d v="2026-02-09T00:00:00"/>
    <n v="150997373"/>
    <n v="0"/>
    <n v="0"/>
    <s v="UNIVERSIDAD NACIONAL DE COLOMBIA"/>
    <s v="CO1.PCCNTR.9275954"/>
    <m/>
    <m/>
    <m/>
    <n v="150997373"/>
    <m/>
    <m/>
    <m/>
    <m/>
    <m/>
    <m/>
    <m/>
    <m/>
    <m/>
    <m/>
    <m/>
    <m/>
    <m/>
    <m/>
    <m/>
    <m/>
    <m/>
    <m/>
    <m/>
    <m/>
    <m/>
    <m/>
    <m/>
    <m/>
    <m/>
    <m/>
    <m/>
    <m/>
    <m/>
    <m/>
    <m/>
    <m/>
    <n v="150997373"/>
    <n v="0"/>
    <n v="0"/>
    <n v="150997373"/>
    <n v="0"/>
  </r>
  <r>
    <x v="0"/>
    <x v="4"/>
    <s v="Fortalecimiento de la percepción de la ciudadanía frente a los productos y servicios prestados por la UPME nacional"/>
    <s v="Transversal"/>
    <s v="Sí"/>
    <s v="Sí"/>
    <n v="68"/>
    <s v="110-32"/>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32 Contratar la aplicación de la Batería de Instrumentos para la Evaluación de Factores de Riesgo Psicosocial a los servidores de la Unidad de Planeación Minero Energética – UPME, así como el desarrollo de las acciones de intervención derivadas de los"/>
    <s v="Enero "/>
    <s v="Enero "/>
    <s v="Enero "/>
    <n v="3"/>
    <s v="Meses"/>
    <s v="Contratación directa - Prestación de servicios profesionales "/>
    <s v="Propios - 20 - Ingresos corrientes"/>
    <n v="12000000"/>
    <n v="12000000"/>
    <s v="No"/>
    <s v="N/A"/>
    <s v="Katherin Perez"/>
    <s v="Coordinador GIT Talento Humano"/>
    <n v="6012220601"/>
    <s v="katherin.perez@upme.gov.co"/>
    <n v="0"/>
    <n v="0"/>
    <n v="0"/>
    <n v="0"/>
    <n v="0"/>
    <n v="0"/>
    <n v="0"/>
    <n v="0"/>
    <n v="0"/>
    <n v="0"/>
    <n v="0"/>
    <n v="0"/>
    <n v="12000000"/>
    <n v="0"/>
    <n v="0"/>
    <n v="0"/>
    <n v="0"/>
    <n v="12000000"/>
    <n v="0"/>
    <n v="0"/>
    <n v="0"/>
    <n v="0"/>
    <n v="0"/>
    <n v="0"/>
    <n v="12000000"/>
    <n v="12000000"/>
    <n v="0"/>
    <n v="0"/>
    <s v="Contratar la aplicación de la Batería de Instrumentos para la Evaluación de Factores de Riesgo Psicosocial a los servidores de la Unidad de Planeación Minero Energética – UPME, así como el desarrollo de las acciones de intervención derivadas de los result"/>
    <m/>
    <m/>
    <m/>
    <m/>
    <m/>
    <m/>
    <m/>
    <m/>
    <m/>
    <m/>
    <m/>
    <m/>
    <n v="12000000"/>
    <m/>
    <m/>
    <m/>
    <m/>
    <n v="12000000"/>
    <m/>
    <m/>
    <m/>
    <m/>
    <m/>
    <m/>
    <m/>
    <m/>
    <n v="12000000"/>
    <n v="12000000"/>
    <n v="0"/>
    <n v="0"/>
    <m/>
    <m/>
    <m/>
    <n v="12000000"/>
    <m/>
    <m/>
    <n v="0"/>
    <n v="12000000"/>
    <n v="0"/>
    <m/>
    <m/>
    <m/>
    <m/>
    <m/>
    <m/>
    <m/>
    <m/>
    <m/>
    <m/>
    <m/>
    <m/>
    <m/>
    <m/>
    <m/>
    <m/>
    <m/>
    <m/>
    <m/>
    <m/>
    <m/>
    <m/>
    <m/>
    <m/>
    <m/>
    <m/>
    <m/>
    <m/>
    <m/>
    <m/>
    <m/>
    <m/>
    <m/>
    <m/>
    <m/>
    <m/>
    <m/>
    <m/>
    <n v="0"/>
    <n v="0"/>
    <n v="0"/>
    <n v="0"/>
    <n v="0"/>
  </r>
  <r>
    <x v="0"/>
    <x v="4"/>
    <s v="Fortalecimiento de la percepción de la ciudadanía frente a los productos y servicios prestados por la UPME nacional"/>
    <s v="Transversal"/>
    <s v="Sí"/>
    <s v="Sí"/>
    <n v="68"/>
    <s v="110-33"/>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33 Prestación de servicios profesionales especializados para apoyar el fortalecimiento de competencias técnicas para la planeación institucional y la configuración de entornos de aprendizaje e intercambio asociados a las prácticas y a la información s"/>
    <s v="Enero "/>
    <s v="Enero "/>
    <s v="Enero "/>
    <n v="11"/>
    <s v="Meses"/>
    <s v="Contratación directa - Prestación de servicios profesionales "/>
    <s v="Propios - 20 - Ingresos corrientes"/>
    <n v="27864000"/>
    <n v="27864000"/>
    <s v="No"/>
    <s v="N/A"/>
    <s v="Katherin Perez"/>
    <s v="Coordinador GIT Talento Humano"/>
    <n v="6012220601"/>
    <s v="katherin.perez@upme.gov.co"/>
    <n v="0"/>
    <n v="0"/>
    <n v="0"/>
    <n v="0"/>
    <n v="0"/>
    <n v="0"/>
    <n v="0"/>
    <n v="0"/>
    <n v="0"/>
    <n v="0"/>
    <n v="0"/>
    <n v="0"/>
    <n v="0"/>
    <n v="0"/>
    <n v="27864000"/>
    <n v="5572800"/>
    <n v="0"/>
    <n v="5572800"/>
    <n v="0"/>
    <n v="5572800"/>
    <n v="0"/>
    <n v="5572800"/>
    <n v="0"/>
    <n v="5572800"/>
    <n v="27864000"/>
    <n v="27864000"/>
    <n v="0"/>
    <n v="0"/>
    <s v="Prestación de servicios profesionales especializados para apoyar el fortalecimiento de competencias técnicas para la planeación institucional y la configuración de entornos de aprendizaje e intercambio asociados a las prácticas y a la información sectoria"/>
    <m/>
    <m/>
    <m/>
    <m/>
    <m/>
    <m/>
    <m/>
    <m/>
    <m/>
    <m/>
    <m/>
    <m/>
    <m/>
    <m/>
    <n v="27864000"/>
    <n v="5572800"/>
    <m/>
    <n v="5572800"/>
    <m/>
    <n v="5572800"/>
    <m/>
    <n v="5572800"/>
    <m/>
    <n v="5572800"/>
    <m/>
    <m/>
    <n v="27864000"/>
    <n v="27864000"/>
    <n v="0"/>
    <n v="0"/>
    <n v="42026"/>
    <d v="2026-01-16T00:00:00"/>
    <m/>
    <n v="27864000"/>
    <m/>
    <m/>
    <n v="0"/>
    <n v="27864000"/>
    <n v="0"/>
    <m/>
    <m/>
    <m/>
    <m/>
    <m/>
    <m/>
    <m/>
    <m/>
    <m/>
    <m/>
    <m/>
    <m/>
    <m/>
    <m/>
    <m/>
    <m/>
    <m/>
    <m/>
    <m/>
    <m/>
    <m/>
    <m/>
    <m/>
    <m/>
    <m/>
    <m/>
    <m/>
    <m/>
    <m/>
    <m/>
    <m/>
    <m/>
    <m/>
    <m/>
    <m/>
    <m/>
    <m/>
    <m/>
    <n v="0"/>
    <n v="0"/>
    <n v="0"/>
    <n v="0"/>
    <n v="0"/>
  </r>
  <r>
    <x v="0"/>
    <x v="4"/>
    <s v="Fortalecimiento de la percepción de la ciudadanía frente a los productos y servicios prestados por la UPME nacional"/>
    <s v="Transversal"/>
    <s v="Sí"/>
    <s v="Sí"/>
    <n v="3"/>
    <s v="110-34"/>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34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8.5"/>
    <s v="Meses"/>
    <s v="Contratación directa - Prestación de servicios profesionales "/>
    <s v="Propios - 21 - Otros recursos de tesorería"/>
    <n v="34100000"/>
    <n v="34100000"/>
    <s v="No"/>
    <s v="N/A"/>
    <s v="Mateo Severino"/>
    <s v="Jefe Oficina Jurídica"/>
    <n v="6012220601"/>
    <s v="mateo.severino@upme.gov.co"/>
    <n v="34100000"/>
    <n v="0"/>
    <n v="0"/>
    <n v="0"/>
    <n v="0"/>
    <n v="7200000"/>
    <n v="0"/>
    <n v="7200000"/>
    <n v="0"/>
    <n v="7200000"/>
    <n v="0"/>
    <n v="7200000"/>
    <n v="0"/>
    <n v="5300000"/>
    <n v="0"/>
    <n v="0"/>
    <n v="0"/>
    <n v="0"/>
    <n v="0"/>
    <n v="0"/>
    <n v="0"/>
    <n v="0"/>
    <n v="0"/>
    <n v="0"/>
    <n v="34100000"/>
    <n v="34100000"/>
    <n v="0"/>
    <n v="0"/>
    <s v="Prestar servicios profesionales para la proyección de documentos de contenido legal y apoyo de los asuntos de tipo jurídico y judicial de competencia la Oficina Asesora Jurídica de la UPME, en el marco de la gestión institucional de la Entidad."/>
    <n v="34100000"/>
    <m/>
    <m/>
    <m/>
    <m/>
    <n v="7200000"/>
    <m/>
    <n v="7200000"/>
    <m/>
    <n v="7200000"/>
    <m/>
    <n v="7200000"/>
    <m/>
    <n v="5300000"/>
    <m/>
    <m/>
    <m/>
    <m/>
    <m/>
    <m/>
    <m/>
    <m/>
    <m/>
    <m/>
    <m/>
    <m/>
    <n v="34100000"/>
    <n v="34100000"/>
    <n v="0"/>
    <n v="0"/>
    <n v="43326"/>
    <d v="2026-01-17T00:00:00"/>
    <n v="34100000"/>
    <n v="0"/>
    <n v="28026"/>
    <d v="2026-01-28T00:00:00"/>
    <n v="34100000"/>
    <n v="0"/>
    <n v="0"/>
    <s v="FIGUEROA RINCON JOSE RAFAEL"/>
    <s v="CO1.PCCNTR.9143017"/>
    <n v="34100000"/>
    <m/>
    <m/>
    <m/>
    <m/>
    <m/>
    <m/>
    <m/>
    <m/>
    <m/>
    <m/>
    <m/>
    <m/>
    <m/>
    <m/>
    <m/>
    <m/>
    <m/>
    <m/>
    <m/>
    <m/>
    <m/>
    <m/>
    <m/>
    <m/>
    <m/>
    <m/>
    <m/>
    <m/>
    <m/>
    <m/>
    <m/>
    <m/>
    <m/>
    <m/>
    <m/>
    <n v="34100000"/>
    <n v="0"/>
    <n v="0"/>
    <n v="34100000"/>
    <n v="0"/>
  </r>
  <r>
    <x v="0"/>
    <x v="4"/>
    <s v="Fortalecimiento de la percepción de la ciudadanía frente a los productos y servicios prestados por la UPME nacional"/>
    <s v="Transversal"/>
    <s v="Sí"/>
    <s v="Sí"/>
    <n v="3"/>
    <s v="110-35"/>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5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8.5"/>
    <s v="Meses"/>
    <s v="Contratación directa - Prestación de servicios profesionales "/>
    <s v="Propios - 20 - Ingresos corrientes"/>
    <n v="27100000"/>
    <n v="27100000"/>
    <s v="No"/>
    <s v="N/A"/>
    <s v="Mateo Severino"/>
    <s v="Jefe Oficina Jurídica"/>
    <n v="6012220601"/>
    <s v="mateo.severino@upme.gov.co"/>
    <n v="27100000"/>
    <n v="0"/>
    <n v="0"/>
    <n v="0"/>
    <n v="0"/>
    <n v="0"/>
    <n v="0"/>
    <n v="0"/>
    <n v="0"/>
    <n v="0"/>
    <n v="0"/>
    <n v="0"/>
    <n v="0"/>
    <n v="1900000"/>
    <n v="0"/>
    <n v="7200000"/>
    <n v="0"/>
    <n v="7200000"/>
    <n v="0"/>
    <n v="7200000"/>
    <n v="0"/>
    <n v="3600000"/>
    <n v="0"/>
    <n v="0"/>
    <n v="27100000"/>
    <n v="27100000"/>
    <n v="0"/>
    <n v="0"/>
    <s v="Prestar servicios profesionales para la proyección de documentos de contenido legal y apoyo de los asuntos de tipo jurídico y judicial de competencia la Oficina Asesora Jurídica de la UPME, en el marco de la gestión institucional de la Entidad."/>
    <n v="27100000"/>
    <m/>
    <m/>
    <m/>
    <m/>
    <m/>
    <m/>
    <m/>
    <m/>
    <m/>
    <m/>
    <m/>
    <m/>
    <n v="1900000"/>
    <m/>
    <n v="7200000"/>
    <m/>
    <n v="7200000"/>
    <m/>
    <n v="7200000"/>
    <m/>
    <n v="3600000"/>
    <m/>
    <m/>
    <m/>
    <m/>
    <n v="27100000"/>
    <n v="27100000"/>
    <n v="0"/>
    <n v="0"/>
    <n v="43326"/>
    <d v="2026-01-17T00:00:00"/>
    <n v="27100000"/>
    <n v="0"/>
    <n v="28026"/>
    <d v="2026-01-28T00:00:00"/>
    <n v="27100000"/>
    <n v="0"/>
    <n v="0"/>
    <s v="FIGUEROA RINCON JOSE RAFAEL"/>
    <s v="CO1.PCCNTR.9143017"/>
    <n v="27100000"/>
    <m/>
    <m/>
    <m/>
    <m/>
    <m/>
    <m/>
    <n v="7440000"/>
    <n v="7440000"/>
    <m/>
    <n v="7200000"/>
    <n v="7200000"/>
    <m/>
    <m/>
    <m/>
    <m/>
    <m/>
    <m/>
    <m/>
    <m/>
    <m/>
    <m/>
    <m/>
    <m/>
    <m/>
    <m/>
    <m/>
    <m/>
    <m/>
    <m/>
    <m/>
    <m/>
    <m/>
    <m/>
    <m/>
    <m/>
    <n v="27100000"/>
    <n v="14640000"/>
    <n v="14640000"/>
    <n v="12460000"/>
    <n v="0"/>
  </r>
  <r>
    <x v="0"/>
    <x v="4"/>
    <s v="Fortalecimiento de la percepción de la ciudadanía frente a los productos y servicios prestados por la UPME nacional"/>
    <s v="Transversal"/>
    <s v="Sí"/>
    <s v="Sí"/>
    <n v="5"/>
    <s v="110-36"/>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6 Prestar servicios profesionales para apoyar la sustanciación de actos administrativos, respuestas a derechos de petición y circulares adelantadas en la Secretaría General de la UPME."/>
    <s v="Enero "/>
    <s v="Enero "/>
    <s v="Enero "/>
    <n v="6"/>
    <s v="Meses"/>
    <s v="Contratación directa - Prestación de servicios profesionales "/>
    <s v="Propios - 20 - Ingresos corrientes"/>
    <n v="31000000"/>
    <n v="31000000"/>
    <s v="No"/>
    <s v="N/A"/>
    <s v="Katherin Perez"/>
    <s v="Coordinador GIT Talento Humano"/>
    <n v="6012220601"/>
    <s v="katherin.perez@upme.gov.co"/>
    <n v="0"/>
    <n v="0"/>
    <n v="31000000"/>
    <n v="0"/>
    <n v="0"/>
    <n v="5166600"/>
    <n v="0"/>
    <n v="5166600"/>
    <n v="0"/>
    <n v="5166600"/>
    <n v="0"/>
    <n v="5166600"/>
    <n v="0"/>
    <n v="5166600"/>
    <n v="0"/>
    <n v="5167000"/>
    <n v="0"/>
    <n v="0"/>
    <n v="0"/>
    <n v="0"/>
    <n v="0"/>
    <n v="0"/>
    <n v="0"/>
    <n v="0"/>
    <n v="31000000"/>
    <n v="31000000"/>
    <n v="0"/>
    <n v="0"/>
    <s v="Prestar servicios profesionales para apoyar la sustanciación de actos administrativos, respuestas a derechos de petición y circulares adelantadas en la Secretaría General de la UPME."/>
    <m/>
    <m/>
    <n v="31000000"/>
    <m/>
    <m/>
    <n v="5166600"/>
    <m/>
    <n v="5166600"/>
    <m/>
    <n v="5166600"/>
    <m/>
    <n v="5166600"/>
    <m/>
    <n v="5166600"/>
    <m/>
    <n v="5167000"/>
    <m/>
    <m/>
    <m/>
    <m/>
    <m/>
    <m/>
    <m/>
    <m/>
    <m/>
    <m/>
    <n v="31000000"/>
    <n v="31000000"/>
    <n v="0"/>
    <n v="0"/>
    <n v="50226"/>
    <d v="2026-01-20T00:00:00"/>
    <n v="29250000"/>
    <n v="1750000"/>
    <n v="57126"/>
    <d v="2026-02-10T00:00:00"/>
    <n v="29250000"/>
    <n v="1750000"/>
    <n v="0"/>
    <s v="RUGE ARCINIEGAS MARIA CAMILA"/>
    <s v="CO1.PCCNTR.9304468"/>
    <m/>
    <m/>
    <m/>
    <n v="29250000"/>
    <m/>
    <m/>
    <m/>
    <m/>
    <m/>
    <m/>
    <m/>
    <m/>
    <m/>
    <m/>
    <m/>
    <m/>
    <m/>
    <m/>
    <m/>
    <m/>
    <m/>
    <m/>
    <m/>
    <m/>
    <m/>
    <m/>
    <m/>
    <m/>
    <m/>
    <m/>
    <m/>
    <m/>
    <m/>
    <m/>
    <m/>
    <m/>
    <n v="29250000"/>
    <n v="0"/>
    <n v="0"/>
    <n v="29250000"/>
    <n v="0"/>
  </r>
  <r>
    <x v="0"/>
    <x v="4"/>
    <s v="Fortalecimiento de la percepción de la ciudadanía frente a los productos y servicios prestados por la UPME nacional"/>
    <s v="Transversal"/>
    <s v="Sí"/>
    <s v="Sí"/>
    <n v="10"/>
    <s v="110-37"/>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7 Prestar los servicios profesionales para la evaluación, validación y emisión de los conceptos técnicos y financieros de los proyectos energéticos presentados a los mecanismos y/o fondos para el acceso a recursos del sector minas y energía."/>
    <s v="Enero "/>
    <s v="Enero "/>
    <s v="Enero "/>
    <n v="10"/>
    <s v="Meses"/>
    <s v="Contratación directa - Prestación de servicios profesionales "/>
    <s v="Propios - 20 - Ingresos corrientes"/>
    <n v="50000000"/>
    <n v="50000000"/>
    <s v="No"/>
    <s v="N/A"/>
    <s v="Katherin Perez"/>
    <s v="Coordinador GIT Talento Humano"/>
    <n v="6012220601"/>
    <s v="katherin.perez@upme.gov.co"/>
    <n v="0"/>
    <n v="0"/>
    <n v="50000000"/>
    <n v="0"/>
    <n v="0"/>
    <n v="5000000"/>
    <n v="0"/>
    <n v="5000000"/>
    <n v="0"/>
    <n v="5000000"/>
    <n v="0"/>
    <n v="5000000"/>
    <n v="0"/>
    <n v="5000000"/>
    <n v="0"/>
    <n v="5000000"/>
    <n v="0"/>
    <n v="5000000"/>
    <n v="0"/>
    <n v="5000000"/>
    <n v="0"/>
    <n v="5000000"/>
    <n v="0"/>
    <n v="5000000"/>
    <n v="50000000"/>
    <n v="50000000"/>
    <n v="0"/>
    <n v="0"/>
    <s v="Prestar los servicios profesionales para la evaluación, validación y emisión de los conceptos técnicos y financieros de los proyectos energéticos presentados a los mecanismos y/o fondos para el acceso a recursos del sector minas y energía."/>
    <m/>
    <m/>
    <n v="50000000"/>
    <m/>
    <m/>
    <n v="5000000"/>
    <m/>
    <n v="5000000"/>
    <m/>
    <n v="5000000"/>
    <m/>
    <n v="5000000"/>
    <m/>
    <n v="5000000"/>
    <m/>
    <n v="5000000"/>
    <m/>
    <n v="5000000"/>
    <m/>
    <n v="5000000"/>
    <m/>
    <n v="5000000"/>
    <m/>
    <n v="5000000"/>
    <m/>
    <m/>
    <n v="50000000"/>
    <n v="50000000"/>
    <n v="0"/>
    <n v="0"/>
    <n v="67826"/>
    <d v="2026-01-30T00:00:00"/>
    <n v="49500000"/>
    <n v="500000"/>
    <n v="54526"/>
    <d v="2026-02-10T00:00:00"/>
    <n v="49500000"/>
    <n v="500000"/>
    <n v="0"/>
    <s v="PACHECO PEÑA VICTOR HUGO"/>
    <s v="CO1.PCCNTR.9308430"/>
    <m/>
    <m/>
    <m/>
    <n v="49500000"/>
    <m/>
    <m/>
    <m/>
    <n v="3666667"/>
    <n v="3666667"/>
    <m/>
    <n v="5500000"/>
    <n v="5500000"/>
    <m/>
    <m/>
    <m/>
    <m/>
    <m/>
    <m/>
    <m/>
    <m/>
    <m/>
    <m/>
    <m/>
    <m/>
    <m/>
    <m/>
    <m/>
    <m/>
    <m/>
    <m/>
    <m/>
    <m/>
    <m/>
    <m/>
    <m/>
    <m/>
    <n v="49500000"/>
    <n v="9166667"/>
    <n v="9166667"/>
    <n v="40333333"/>
    <n v="0"/>
  </r>
  <r>
    <x v="0"/>
    <x v="4"/>
    <s v="Fortalecimiento de la percepción de la ciudadanía frente a los productos y servicios prestados por la UPME nacional"/>
    <s v="Transversal"/>
    <s v="Sí"/>
    <s v="Sí"/>
    <n v="10"/>
    <s v="110-38"/>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8 Prestar servicios profesionales de apoyo administrativo, incluyendo la organización y sistematización de la información, el control y seguimiento de entregables, así como la elaboración, generación y consolidación de informes y reportes institucion"/>
    <s v="Enero "/>
    <s v="Enero "/>
    <s v="Enero "/>
    <n v="10"/>
    <s v="Meses"/>
    <s v="Contratación directa - Prestación de servicios profesionales "/>
    <s v="Propios - 20 - Ingresos corrientes"/>
    <n v="50000000"/>
    <n v="50000000"/>
    <s v="No"/>
    <s v="N/A"/>
    <s v="Katherin Perez"/>
    <s v="Coordinador GIT Talento Humano"/>
    <n v="6012220601"/>
    <s v="katherin.perez@upme.gov.co"/>
    <n v="0"/>
    <n v="0"/>
    <n v="0"/>
    <n v="0"/>
    <n v="0"/>
    <n v="0"/>
    <n v="0"/>
    <n v="0"/>
    <n v="0"/>
    <n v="0"/>
    <n v="0"/>
    <n v="0"/>
    <n v="50000000"/>
    <n v="0"/>
    <n v="0"/>
    <n v="10000000"/>
    <n v="0"/>
    <n v="10000000"/>
    <n v="0"/>
    <n v="10000000"/>
    <n v="0"/>
    <n v="10000000"/>
    <n v="0"/>
    <n v="10000000"/>
    <n v="50000000"/>
    <n v="50000000"/>
    <n v="0"/>
    <n v="0"/>
    <s v="Prestar servicios profesionales de apoyo administrativo, incluyendo la organización y sistematización de la información, el control y seguimiento de entregables, así como la elaboración, generación y consolidación de informes y reportes institucionales de"/>
    <m/>
    <m/>
    <m/>
    <m/>
    <m/>
    <m/>
    <m/>
    <m/>
    <m/>
    <m/>
    <m/>
    <m/>
    <n v="50000000"/>
    <m/>
    <m/>
    <n v="10000000"/>
    <m/>
    <n v="10000000"/>
    <m/>
    <n v="10000000"/>
    <m/>
    <n v="10000000"/>
    <m/>
    <n v="10000000"/>
    <m/>
    <m/>
    <n v="50000000"/>
    <n v="50000000"/>
    <n v="0"/>
    <n v="0"/>
    <n v="67726"/>
    <d v="2026-01-30T00:00:00"/>
    <m/>
    <n v="50000000"/>
    <m/>
    <m/>
    <n v="0"/>
    <n v="50000000"/>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1"/>
    <s v="Mejorar la representatividad en la información de la participación de los sectores económicos en el consumo de energía."/>
    <s v="Documentos de Planeación"/>
    <s v="Diagnóstico"/>
    <n v="80111620"/>
    <s v="C-2106-1900-13-40302B-2106003-02"/>
    <x v="0"/>
    <s v="160-1 Prestar servicios profesionales para apoyar la construcción del componente de cambio climático, incluyendo la evaluación de emisiones de Gases de Efecto Invernadero, GEI,  el Balance Energético Colombiano, BECO, y los planes y programas que desarrol"/>
    <s v="Enero "/>
    <s v="Enero "/>
    <s v="Enero "/>
    <n v="11.5"/>
    <s v="Meses"/>
    <s v="Contratación directa - Prestación de servicios profesionales "/>
    <s v="Propios - 20 - Ingresos corrientes"/>
    <n v="138000000"/>
    <n v="138000000"/>
    <s v="No"/>
    <s v="N/A"/>
    <s v="Johanna Castellanos"/>
    <s v="Subdirectora de Demanda"/>
    <n v="6012220601"/>
    <s v="johanna.castellanos@upme.gov.co"/>
    <n v="0"/>
    <n v="0"/>
    <n v="126000000"/>
    <n v="0"/>
    <n v="0"/>
    <n v="10000000"/>
    <n v="0"/>
    <n v="12000000"/>
    <n v="0"/>
    <n v="12000000"/>
    <n v="0"/>
    <n v="12000000"/>
    <n v="0"/>
    <n v="12000000"/>
    <n v="0"/>
    <n v="12000000"/>
    <n v="0"/>
    <n v="12000000"/>
    <n v="0"/>
    <n v="12000000"/>
    <n v="0"/>
    <n v="12000000"/>
    <n v="12000000"/>
    <n v="32000000"/>
    <n v="138000000"/>
    <n v="138000000"/>
    <n v="0"/>
    <n v="0"/>
    <s v="Prestar servicios profesionales para apoyar la construcción del componente de cambio climático, incluyendo la evaluación de emisiones de Gases de Efecto Invernadero, GEI,  el Balance Energético Colombiano, BECO, y los planes y programas que desarrolla la "/>
    <m/>
    <m/>
    <n v="126000000"/>
    <m/>
    <m/>
    <n v="10000000"/>
    <m/>
    <n v="12000000"/>
    <m/>
    <n v="12000000"/>
    <m/>
    <n v="12000000"/>
    <m/>
    <n v="12000000"/>
    <m/>
    <n v="12000000"/>
    <m/>
    <n v="12000000"/>
    <m/>
    <n v="12000000"/>
    <m/>
    <n v="12000000"/>
    <n v="12000000"/>
    <n v="32000000"/>
    <m/>
    <m/>
    <n v="138000000"/>
    <n v="138000000"/>
    <n v="0"/>
    <n v="0"/>
    <n v="48826"/>
    <d v="2026-01-19T00:00:00"/>
    <n v="138000000"/>
    <n v="0"/>
    <n v="49726"/>
    <d v="2026-02-09T00:00:00"/>
    <n v="132000000"/>
    <n v="6000000"/>
    <n v="6000000"/>
    <s v="ENRIQUEZ ENRIQUEZ MARYENI KARINA"/>
    <s v=". CO1.PCCNTR.9297347"/>
    <m/>
    <m/>
    <m/>
    <n v="132000000"/>
    <m/>
    <m/>
    <m/>
    <n v="10000000"/>
    <n v="10000000"/>
    <m/>
    <n v="12000000"/>
    <n v="12000000"/>
    <m/>
    <m/>
    <m/>
    <m/>
    <m/>
    <m/>
    <m/>
    <m/>
    <m/>
    <m/>
    <m/>
    <m/>
    <m/>
    <m/>
    <m/>
    <m/>
    <m/>
    <m/>
    <m/>
    <m/>
    <m/>
    <m/>
    <m/>
    <m/>
    <n v="132000000"/>
    <n v="22000000"/>
    <n v="22000000"/>
    <n v="110000000"/>
    <n v="0"/>
  </r>
  <r>
    <x v="0"/>
    <x v="5"/>
    <s v="Fortalecimiento del sector en la planificación de la atención de la demanda energética nacional y la transición energética justa a nivel nacional"/>
    <s v="Demanda"/>
    <s v="Sí"/>
    <s v="Sí"/>
    <n v="68"/>
    <s v="160-2"/>
    <s v="Mejorar la representatividad en la información de la participación de los sectores económicos en el consumo de energía."/>
    <s v="Documentos de Planeación"/>
    <s v="Documento de planeación preliminar."/>
    <n v="80111620"/>
    <s v="C-2106-1900-13-40302B-2106003-02"/>
    <x v="0"/>
    <s v="160-2 Prestar servicios profesionales para apoyar la definición, estructuración e implementación de la arquitectura de datos e información relacionada con los procesos de la Subdirección de Demanda, incluyendo actividades de analítica de datos mediante he"/>
    <s v="Enero "/>
    <s v="Enero "/>
    <s v="Enero "/>
    <n v="11.5"/>
    <s v="Meses"/>
    <s v="Contratación directa - Prestación de servicios profesionales "/>
    <s v="Propios - 21 - Otros recursos de tesorería"/>
    <n v="145750000"/>
    <n v="145750000"/>
    <s v="No"/>
    <s v="N/A"/>
    <s v="Johanna Castellanos"/>
    <s v="Subdirectora de Demanda"/>
    <n v="6012220602"/>
    <s v="johanna.castellanos@upme.gov.co"/>
    <n v="143750000"/>
    <n v="0"/>
    <n v="0"/>
    <n v="6336956"/>
    <n v="0"/>
    <n v="12673913"/>
    <n v="0"/>
    <n v="12673913"/>
    <n v="0"/>
    <n v="12673913"/>
    <n v="0"/>
    <n v="12673913"/>
    <n v="0"/>
    <n v="12673913"/>
    <n v="0"/>
    <n v="12673913"/>
    <n v="0"/>
    <n v="12673913"/>
    <n v="0"/>
    <n v="12673913"/>
    <n v="1000000"/>
    <n v="12673913"/>
    <n v="1000000"/>
    <n v="25347827"/>
    <n v="145750000"/>
    <n v="145750000"/>
    <n v="0"/>
    <n v="0"/>
    <s v="Prestar servicios profesionales para apoyar la definición, estructuración e implementación de la arquitectura de datos e información relacionada con los procesos de la Subdirección de Demanda, incluyendo actividades de analítica de datos mediante herramie"/>
    <n v="143750000"/>
    <m/>
    <m/>
    <n v="6336956"/>
    <m/>
    <n v="12673913"/>
    <m/>
    <n v="12673913"/>
    <m/>
    <n v="12673913"/>
    <m/>
    <n v="12673913"/>
    <m/>
    <n v="12673913"/>
    <m/>
    <n v="12673913"/>
    <m/>
    <n v="12673913"/>
    <m/>
    <n v="12673913"/>
    <n v="1000000"/>
    <n v="12673913"/>
    <n v="1000000"/>
    <n v="25347827"/>
    <m/>
    <m/>
    <n v="145750000"/>
    <n v="145750000"/>
    <n v="0"/>
    <n v="0"/>
    <n v="8826"/>
    <d v="2026-01-06T00:00:00"/>
    <n v="143333333"/>
    <n v="2416667"/>
    <n v="10526"/>
    <d v="2026-01-16T00:00:00"/>
    <n v="143333333"/>
    <n v="2416667"/>
    <n v="0"/>
    <s v="BEDOYA RODRIGUEZ CRISTIAN DAVID"/>
    <s v="CO1.PCCNTR.8883369"/>
    <n v="143750000"/>
    <m/>
    <m/>
    <n v="-416667"/>
    <n v="5833333"/>
    <n v="5833333"/>
    <m/>
    <n v="12500000"/>
    <n v="12500000"/>
    <m/>
    <n v="12500000"/>
    <n v="12500000"/>
    <m/>
    <m/>
    <m/>
    <m/>
    <m/>
    <m/>
    <m/>
    <m/>
    <m/>
    <m/>
    <m/>
    <m/>
    <m/>
    <m/>
    <m/>
    <m/>
    <m/>
    <m/>
    <m/>
    <m/>
    <m/>
    <m/>
    <m/>
    <m/>
    <n v="143333333"/>
    <n v="30833333"/>
    <n v="30833333"/>
    <n v="112500000"/>
    <n v="0"/>
  </r>
  <r>
    <x v="0"/>
    <x v="5"/>
    <s v="Fortalecimiento del sector en la planificación de la atención de la demanda energética nacional y la transición energética justa a nivel nacional"/>
    <s v="Demanda"/>
    <s v="Sí"/>
    <s v="Sí"/>
    <n v="68"/>
    <s v="160-3"/>
    <s v="Mejorar la representatividad en la información de la participación de los sectores económicos en el consumo de energía."/>
    <s v="Documentos de Planeación"/>
    <s v="Documento de planeación preliminar."/>
    <n v="80111620"/>
    <s v="C-2106-1900-13-40302B-2106003-02"/>
    <x v="0"/>
    <s v="160-3 Prestar servicios profesionales para la asesoría y los análisis energéticos, así como prospectivos desarrollados para la Subdirección de Demanda, con énfasis en las cadenas de distribución de hidrocarburos, combustibles líquidos y gas, para fortalec"/>
    <s v="Enero "/>
    <s v="Enero "/>
    <s v="Enero "/>
    <n v="11.5"/>
    <s v="Meses"/>
    <s v="Contratación directa - Prestación de servicios profesionales "/>
    <s v="Propios - 21 - Otros recursos de tesorería"/>
    <n v="115000000"/>
    <n v="115000000"/>
    <s v="No"/>
    <s v="N/A"/>
    <s v="Johanna Castellanos"/>
    <s v="Subdirectora de Demanda"/>
    <n v="6012220603"/>
    <s v="johanna.castellanos@upme.gov.co"/>
    <n v="0"/>
    <n v="0"/>
    <n v="110000000"/>
    <n v="0"/>
    <n v="0"/>
    <n v="8333333"/>
    <n v="0"/>
    <n v="10000000"/>
    <n v="0"/>
    <n v="10000000"/>
    <n v="0"/>
    <n v="10000000"/>
    <n v="0"/>
    <n v="10000000"/>
    <n v="0"/>
    <n v="10000000"/>
    <n v="0"/>
    <n v="10000000"/>
    <n v="0"/>
    <n v="10000000"/>
    <n v="0"/>
    <n v="10000000"/>
    <n v="5000000"/>
    <n v="26666667"/>
    <n v="115000000"/>
    <n v="115000000"/>
    <n v="0"/>
    <n v="0"/>
    <s v="Prestar servicios profesionales para la asesoría y los análisis energéticos, así como prospectivos desarrollados para la Subdirección de Demanda, con énfasis en las cadenas de distribución de hidrocarburos, combustibles líquidos y gas, para fortalecer la "/>
    <m/>
    <m/>
    <n v="110000000"/>
    <m/>
    <m/>
    <n v="8333333"/>
    <m/>
    <n v="10000000"/>
    <m/>
    <n v="10000000"/>
    <m/>
    <n v="10000000"/>
    <m/>
    <n v="10000000"/>
    <m/>
    <n v="10000000"/>
    <m/>
    <n v="10000000"/>
    <m/>
    <n v="10000000"/>
    <m/>
    <n v="10000000"/>
    <n v="5000000"/>
    <n v="26666667"/>
    <m/>
    <m/>
    <n v="115000000"/>
    <n v="115000000"/>
    <n v="0"/>
    <n v="0"/>
    <n v="61126"/>
    <d v="2026-01-23T00:00:00"/>
    <n v="108333333"/>
    <n v="6666667"/>
    <n v="45326"/>
    <d v="2026-02-05T00:00:00"/>
    <n v="108333333"/>
    <n v="6666667"/>
    <n v="0"/>
    <s v="RODRIGUEZ PARRA LUIS ALEJANDRO"/>
    <s v="CO1.PCCNTR.9239415"/>
    <m/>
    <m/>
    <m/>
    <n v="110000000"/>
    <m/>
    <m/>
    <m/>
    <n v="8333333"/>
    <n v="8333333"/>
    <n v="-1666667"/>
    <n v="10000000"/>
    <n v="10000000"/>
    <m/>
    <m/>
    <m/>
    <m/>
    <m/>
    <m/>
    <m/>
    <m/>
    <m/>
    <m/>
    <m/>
    <m/>
    <m/>
    <m/>
    <m/>
    <m/>
    <m/>
    <m/>
    <m/>
    <m/>
    <m/>
    <m/>
    <m/>
    <m/>
    <n v="108333333"/>
    <n v="18333333"/>
    <n v="18333333"/>
    <n v="90000000"/>
    <n v="0"/>
  </r>
  <r>
    <x v="0"/>
    <x v="5"/>
    <s v="Fortalecimiento del sector en la planificación de la atención de la demanda energética nacional y la transición energética justa a nivel nacional"/>
    <s v="Demanda"/>
    <s v="Sí"/>
    <s v="Sí"/>
    <n v="68"/>
    <s v="160-4"/>
    <s v="Mejorar la representatividad en la información de la participación de los sectores económicos en el consumo de energía."/>
    <s v="Documentos de Planeación"/>
    <s v="Documento de planeación preliminar."/>
    <n v="80111620"/>
    <s v="C-2106-1900-13-40302B-2106003-02"/>
    <x v="0"/>
    <s v="160-4 Prestar servicios profesionales para el diseño, evaluación y seguimiento de estrategias e instrumentos de eficiencia energética asociados con climatización y refrigeración y calor directo e indirecto, en los sectores residencial, terciario e industr"/>
    <s v="Enero "/>
    <s v="Enero "/>
    <s v="Enero "/>
    <n v="11.5"/>
    <s v="Meses"/>
    <s v="Contratación directa - Prestación de servicios profesionales "/>
    <s v="Propios - 21 - Otros recursos de tesorería"/>
    <n v="122350000"/>
    <n v="122350000"/>
    <s v="No"/>
    <s v="N/A"/>
    <s v="Johanna Castellanos"/>
    <s v="Subdirectora de Demanda"/>
    <n v="6012220604"/>
    <s v="johanna.castellanos@upme.gov.co"/>
    <n v="0"/>
    <n v="0"/>
    <n v="115500000"/>
    <n v="0"/>
    <n v="0"/>
    <n v="8750000"/>
    <n v="0"/>
    <n v="10500000"/>
    <n v="0"/>
    <n v="10500000"/>
    <n v="0"/>
    <n v="10500000"/>
    <n v="0"/>
    <n v="10500000"/>
    <n v="0"/>
    <n v="10500000"/>
    <n v="0"/>
    <n v="10500000"/>
    <n v="0"/>
    <n v="10500000"/>
    <n v="0"/>
    <n v="10500000"/>
    <n v="6850000"/>
    <n v="29600000"/>
    <n v="122350000"/>
    <n v="122350000"/>
    <n v="0"/>
    <n v="0"/>
    <s v="Prestar servicios profesionales para el diseño, evaluación y seguimiento de estrategias e instrumentos de eficiencia energética asociados con climatización y refrigeración y calor directo e indirecto, en los sectores residencial, terciario e industrial co"/>
    <m/>
    <m/>
    <n v="115500000"/>
    <m/>
    <m/>
    <n v="8750000"/>
    <m/>
    <n v="10500000"/>
    <m/>
    <n v="10500000"/>
    <m/>
    <n v="10500000"/>
    <m/>
    <n v="10500000"/>
    <m/>
    <n v="10500000"/>
    <m/>
    <n v="10500000"/>
    <m/>
    <n v="10500000"/>
    <m/>
    <n v="10500000"/>
    <n v="6850000"/>
    <n v="29600000"/>
    <m/>
    <m/>
    <n v="122350000"/>
    <n v="122350000"/>
    <n v="0"/>
    <n v="0"/>
    <n v="60226"/>
    <d v="2026-01-23T00:00:00"/>
    <n v="114100000"/>
    <n v="8250000"/>
    <n v="45126"/>
    <d v="2026-02-05T00:00:00"/>
    <n v="114100000"/>
    <n v="8250000"/>
    <n v="0"/>
    <s v="MONROY MATALLANA BOLIVAR ANDRES"/>
    <s v="CO1.PCCNTR.9239183"/>
    <m/>
    <m/>
    <m/>
    <n v="115500000"/>
    <m/>
    <m/>
    <n v="-1400000"/>
    <n v="9100000"/>
    <n v="9100000"/>
    <m/>
    <n v="10500000"/>
    <n v="10500000"/>
    <m/>
    <m/>
    <m/>
    <m/>
    <m/>
    <m/>
    <m/>
    <m/>
    <m/>
    <m/>
    <m/>
    <m/>
    <m/>
    <m/>
    <m/>
    <m/>
    <m/>
    <m/>
    <m/>
    <m/>
    <m/>
    <m/>
    <m/>
    <m/>
    <n v="114100000"/>
    <n v="19600000"/>
    <n v="19600000"/>
    <n v="94500000"/>
    <n v="0"/>
  </r>
  <r>
    <x v="0"/>
    <x v="5"/>
    <s v="Fortalecimiento del sector en la planificación de la atención de la demanda energética nacional y la transición energética justa a nivel nacional"/>
    <s v="Demanda"/>
    <s v="Sí"/>
    <s v="Sí"/>
    <n v="68"/>
    <s v="160-5"/>
    <s v="Mejorar la representatividad en la información de la participación de los sectores económicos en el consumo de energía."/>
    <s v="Documentos de Planeación"/>
    <s v="Documento de planeación preliminar."/>
    <n v="80111620"/>
    <s v="C-2106-1900-13-40302B-2106003-02"/>
    <x v="0"/>
    <s v="160-5 Prestar servicios profesionales para apoyar la elaboración de estudios y el desarrollo de modelamiento para el Plan de Bioenergía, así como apoyar la elaboración de documentos de planeación y adelantar las gestiones asociadas al hidrógeno, en el mar"/>
    <s v="Enero "/>
    <s v="Enero "/>
    <s v="Enero "/>
    <n v="11.5"/>
    <s v="Meses"/>
    <s v="Contratación directa - Prestación de servicios profesionales "/>
    <s v="Propios - 21 - Otros recursos de tesorería"/>
    <n v="104500000"/>
    <n v="104500000"/>
    <s v="No"/>
    <s v="N/A"/>
    <s v="Johanna Castellanos"/>
    <s v="Subdirectora de Demanda"/>
    <n v="6012220605"/>
    <s v="johanna.castellanos@upme.gov.co"/>
    <n v="0"/>
    <n v="0"/>
    <n v="99000000"/>
    <n v="0"/>
    <n v="0"/>
    <n v="7500000"/>
    <n v="0"/>
    <n v="9000000"/>
    <n v="0"/>
    <n v="9000000"/>
    <n v="0"/>
    <n v="9000000"/>
    <n v="0"/>
    <n v="9000000"/>
    <n v="0"/>
    <n v="9000000"/>
    <n v="0"/>
    <n v="9000000"/>
    <n v="0"/>
    <n v="9000000"/>
    <n v="0"/>
    <n v="9000000"/>
    <n v="5500000"/>
    <n v="25000000"/>
    <n v="104500000"/>
    <n v="104500000"/>
    <n v="0"/>
    <n v="0"/>
    <s v="Prestar servicios profesionales para apoyar la elaboración de estudios y el desarrollo de modelamiento para el Plan de Bioenergía, así como apoyar la elaboración de documentos de planeación y adelantar las gestiones asociadas al hidrógeno, en el marco de "/>
    <m/>
    <m/>
    <n v="99000000"/>
    <m/>
    <m/>
    <n v="7500000"/>
    <m/>
    <n v="9000000"/>
    <m/>
    <n v="9000000"/>
    <m/>
    <n v="9000000"/>
    <m/>
    <n v="9000000"/>
    <m/>
    <n v="9000000"/>
    <m/>
    <n v="9000000"/>
    <m/>
    <n v="9000000"/>
    <m/>
    <n v="9000000"/>
    <n v="5500000"/>
    <n v="25000000"/>
    <m/>
    <m/>
    <n v="104500000"/>
    <n v="104500000"/>
    <n v="0"/>
    <n v="0"/>
    <n v="47226"/>
    <d v="2026-01-19T00:00:00"/>
    <n v="97800000"/>
    <n v="6700000"/>
    <n v="42026"/>
    <d v="2026-02-05T00:00:00"/>
    <n v="97800000"/>
    <n v="6700000"/>
    <n v="0"/>
    <s v="LACHE MUÑOZ ANDREA"/>
    <s v="CO1.PCCNTR.9201171"/>
    <m/>
    <m/>
    <m/>
    <n v="99000000"/>
    <m/>
    <m/>
    <m/>
    <n v="7800000"/>
    <n v="7800000"/>
    <n v="-1200000"/>
    <n v="9000000"/>
    <n v="9000000"/>
    <m/>
    <m/>
    <m/>
    <m/>
    <m/>
    <m/>
    <m/>
    <m/>
    <m/>
    <m/>
    <m/>
    <m/>
    <m/>
    <m/>
    <m/>
    <m/>
    <m/>
    <m/>
    <m/>
    <m/>
    <m/>
    <m/>
    <m/>
    <m/>
    <n v="97800000"/>
    <n v="16800000"/>
    <n v="16800000"/>
    <n v="81000000"/>
    <n v="0"/>
  </r>
  <r>
    <x v="0"/>
    <x v="5"/>
    <s v="Fortalecimiento del sector en la planificación de la atención de la demanda energética nacional y la transición energética justa a nivel nacional"/>
    <s v="Demanda"/>
    <s v="Sí"/>
    <s v="Sí"/>
    <n v="68"/>
    <s v="160-6"/>
    <s v="Mejorar la representatividad en la información de la participación de los sectores económicos en el consumo de energía."/>
    <s v="Documentos de Planeación"/>
    <s v="Documento de planeación preliminar."/>
    <n v="80111620"/>
    <s v="C-2106-1900-13-40302B-2106003-02"/>
    <x v="0"/>
    <s v="160-6 Prestar servicios profesionales para apoyar la definición de líneas base y meta de eficiencia energética del sector transporte y apoyar la construcción de modelos computacionales enfocados en la predicción del comportamiento del sector transporte, c"/>
    <s v="Enero "/>
    <s v="Enero "/>
    <s v="Enero "/>
    <n v="11.5"/>
    <s v="Meses"/>
    <s v="Contratación directa - Prestación de servicios profesionales "/>
    <s v="Propios - 21 - Otros recursos de tesorería"/>
    <n v="115000000"/>
    <n v="115000000"/>
    <s v="No"/>
    <s v="N/A"/>
    <s v="Johanna Castellanos"/>
    <s v="Subdirectora de Demanda"/>
    <n v="6012220606"/>
    <s v="johanna.castellanos@upme.gov.co"/>
    <n v="0"/>
    <n v="0"/>
    <n v="110000000"/>
    <n v="0"/>
    <n v="0"/>
    <n v="8333333"/>
    <n v="0"/>
    <n v="10000000"/>
    <n v="0"/>
    <n v="10000000"/>
    <n v="0"/>
    <n v="10000000"/>
    <n v="0"/>
    <n v="10000000"/>
    <n v="0"/>
    <n v="10000000"/>
    <n v="0"/>
    <n v="10000000"/>
    <n v="0"/>
    <n v="10000000"/>
    <n v="0"/>
    <n v="10000000"/>
    <n v="5000000"/>
    <n v="26666667"/>
    <n v="115000000"/>
    <n v="115000000"/>
    <n v="0"/>
    <n v="0"/>
    <s v="Prestar servicios profesionales para apoyar la definición de líneas base y meta de eficiencia energética del sector transporte y apoyar la construcción de modelos computacionales enfocados en la predicción del comportamiento del sector transporte, como in"/>
    <m/>
    <m/>
    <n v="110000000"/>
    <m/>
    <m/>
    <n v="8333333"/>
    <m/>
    <n v="10000000"/>
    <m/>
    <n v="10000000"/>
    <m/>
    <n v="10000000"/>
    <m/>
    <n v="10000000"/>
    <m/>
    <n v="10000000"/>
    <m/>
    <n v="10000000"/>
    <m/>
    <n v="10000000"/>
    <m/>
    <n v="10000000"/>
    <n v="5000000"/>
    <n v="26666667"/>
    <m/>
    <m/>
    <n v="115000000"/>
    <n v="115000000"/>
    <n v="0"/>
    <n v="0"/>
    <n v="49726"/>
    <d v="2026-01-19T00:00:00"/>
    <n v="113000000"/>
    <n v="2000000"/>
    <n v="43126"/>
    <d v="2026-02-05T00:00:00"/>
    <n v="108666667"/>
    <n v="6333333"/>
    <n v="4333333"/>
    <s v="SERRATO TOBON DAVID ANDRES"/>
    <s v="CO1.PCCNTR.9237091"/>
    <m/>
    <m/>
    <m/>
    <n v="110000000"/>
    <m/>
    <m/>
    <n v="-1333333"/>
    <n v="8666667"/>
    <n v="8666667"/>
    <m/>
    <n v="10000000"/>
    <n v="10000000"/>
    <m/>
    <m/>
    <m/>
    <m/>
    <m/>
    <m/>
    <m/>
    <m/>
    <m/>
    <m/>
    <m/>
    <m/>
    <m/>
    <m/>
    <m/>
    <m/>
    <m/>
    <m/>
    <m/>
    <m/>
    <m/>
    <m/>
    <m/>
    <m/>
    <n v="108666667"/>
    <n v="18666667"/>
    <n v="18666667"/>
    <n v="90000000"/>
    <n v="0"/>
  </r>
  <r>
    <x v="0"/>
    <x v="5"/>
    <s v="Fortalecimiento del sector en la planificación de la atención de la demanda energética nacional y la transición energética justa a nivel nacional"/>
    <s v="Demanda"/>
    <s v="Sí"/>
    <s v="Sí"/>
    <n v="3"/>
    <s v="160-7"/>
    <s v="Mejorar la representatividad en la información de la participación de los sectores económicos en el consumo de energía."/>
    <s v="Documentos de Planeación"/>
    <s v="Documento de planeación preliminar."/>
    <n v="80111620"/>
    <s v="C-2106-1900-13-40302B-2106003-02"/>
    <x v="0"/>
    <s v="160-7 Prestar servicios profesionales para apoyar la determinación de las líneas base y meta de eficiencia energética de la oferta y transformación de energía a partir de estudios, iniciativas y proyectos de GEE, así como la gestión y acompañamiento tecni"/>
    <s v="Enero "/>
    <s v="Enero "/>
    <s v="Enero "/>
    <n v="11.5"/>
    <s v="Meses"/>
    <s v="Contratación directa - Prestación de servicios profesionales "/>
    <s v="Propios - 21 - Otros recursos de tesorería"/>
    <n v="121750000"/>
    <n v="121750000"/>
    <s v="No"/>
    <s v="N/A"/>
    <s v="Johanna Castellanos"/>
    <s v="Subdirectora de Demanda"/>
    <n v="6012220607"/>
    <s v="johanna.castellanos@upme.gov.co"/>
    <n v="0"/>
    <n v="0"/>
    <n v="115500000"/>
    <n v="0"/>
    <n v="0"/>
    <n v="8750000"/>
    <n v="0"/>
    <n v="10500000"/>
    <n v="0"/>
    <n v="10500000"/>
    <n v="0"/>
    <n v="10500000"/>
    <n v="0"/>
    <n v="10500000"/>
    <n v="0"/>
    <n v="10500000"/>
    <n v="0"/>
    <n v="10500000"/>
    <n v="0"/>
    <n v="10500000"/>
    <n v="0"/>
    <n v="10500000"/>
    <n v="6250000"/>
    <n v="29000000"/>
    <n v="121750000"/>
    <n v="121750000"/>
    <n v="0"/>
    <n v="0"/>
    <s v="Prestar servicios profesionales para apoyar la determinación de las líneas base y meta de eficiencia energética de la oferta y transformación de energía a partir de estudios, iniciativas y proyectos de GEE, así como la gestión y acompañamiento tecnico de "/>
    <m/>
    <m/>
    <n v="115500000"/>
    <m/>
    <m/>
    <n v="8750000"/>
    <m/>
    <n v="10500000"/>
    <m/>
    <n v="10500000"/>
    <m/>
    <n v="10500000"/>
    <m/>
    <n v="10500000"/>
    <m/>
    <n v="10500000"/>
    <m/>
    <n v="10500000"/>
    <m/>
    <n v="10500000"/>
    <m/>
    <n v="10500000"/>
    <n v="6250000"/>
    <n v="29000000"/>
    <m/>
    <m/>
    <n v="121750000"/>
    <n v="121750000"/>
    <n v="0"/>
    <n v="0"/>
    <n v="60626"/>
    <d v="2026-01-23T00:00:00"/>
    <n v="114450000"/>
    <n v="7300000"/>
    <n v="40026"/>
    <d v="2026-02-03T00:00:00"/>
    <n v="114450000"/>
    <n v="7300000"/>
    <n v="0"/>
    <s v="ORTIZ CERON VERONICA"/>
    <s v="CO1.PCCNTR.9196642"/>
    <m/>
    <m/>
    <m/>
    <n v="115500000"/>
    <m/>
    <m/>
    <n v="-1050000"/>
    <n v="9450000"/>
    <n v="9450000"/>
    <m/>
    <n v="10500000"/>
    <n v="10500000"/>
    <m/>
    <m/>
    <m/>
    <m/>
    <m/>
    <m/>
    <m/>
    <m/>
    <m/>
    <m/>
    <m/>
    <m/>
    <m/>
    <m/>
    <m/>
    <m/>
    <m/>
    <m/>
    <m/>
    <m/>
    <m/>
    <m/>
    <m/>
    <m/>
    <n v="114450000"/>
    <n v="19950000"/>
    <n v="19950000"/>
    <n v="94500000"/>
    <n v="0"/>
  </r>
  <r>
    <x v="0"/>
    <x v="5"/>
    <s v="Fortalecimiento del sector en la planificación de la atención de la demanda energética nacional y la transición energética justa a nivel nacional"/>
    <s v="Demanda"/>
    <s v="Sí"/>
    <s v="Sí"/>
    <n v="4"/>
    <s v="160-8"/>
    <s v="Desarrollar la capacidad instalada en la planificación estratégica de la atención de la demanda."/>
    <s v="Documentos Metodológicos"/>
    <s v="Documento metodológico validado."/>
    <n v="80111620"/>
    <s v="C-2106-1900-13-40302B-2106005-02"/>
    <x v="0"/>
    <s v="160-8 Prestar servicios profesionales para desarrollar y actualizar modelos de optimización para la transición de la demanda y la oferta de energía en el marco de los planes de la Subdirección de Demanda, a partir de buenas prácticas de modelamiento emple"/>
    <s v="Enero "/>
    <s v="Enero "/>
    <s v="Enero "/>
    <n v="7"/>
    <s v="Meses"/>
    <s v="Contratación directa - Prestación de servicios profesionales "/>
    <s v="Propios - 20 - Ingresos corrientes"/>
    <n v="45500000"/>
    <n v="45500000"/>
    <s v="No"/>
    <s v="N/A"/>
    <s v="Johanna Castellanos"/>
    <s v="Subdirectora de Demanda"/>
    <n v="6012220608"/>
    <s v="johanna.castellanos@upme.gov.co"/>
    <n v="0"/>
    <n v="0"/>
    <n v="0"/>
    <n v="0"/>
    <n v="0"/>
    <n v="0"/>
    <n v="0"/>
    <n v="0"/>
    <n v="0"/>
    <n v="0"/>
    <n v="0"/>
    <n v="0"/>
    <n v="45500000"/>
    <n v="0"/>
    <n v="0"/>
    <n v="5000000"/>
    <n v="0"/>
    <n v="5000000"/>
    <n v="0"/>
    <n v="5000000"/>
    <n v="0"/>
    <n v="5000000"/>
    <n v="0"/>
    <n v="25500000"/>
    <n v="45500000"/>
    <n v="45500000"/>
    <n v="0"/>
    <n v="0"/>
    <s v="Prestar servicios profesionales para desarrollar y actualizar modelos de optimización para la transición de la demanda y la oferta de energía en el marco de los planes de la Subdirección de Demanda, a partir de buenas prácticas de modelamiento empleadas a"/>
    <m/>
    <m/>
    <m/>
    <m/>
    <m/>
    <m/>
    <m/>
    <m/>
    <m/>
    <m/>
    <m/>
    <m/>
    <n v="45500000"/>
    <m/>
    <m/>
    <n v="5000000"/>
    <m/>
    <n v="5000000"/>
    <m/>
    <n v="5000000"/>
    <m/>
    <n v="5000000"/>
    <m/>
    <n v="25500000"/>
    <m/>
    <m/>
    <n v="45500000"/>
    <n v="45500000"/>
    <n v="0"/>
    <n v="0"/>
    <n v="52626"/>
    <d v="2026-01-20T00:00:00"/>
    <n v="45500000"/>
    <n v="0"/>
    <m/>
    <m/>
    <n v="0"/>
    <n v="45500000"/>
    <n v="455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9"/>
    <s v="Mejorar la representatividad en la información de la participación de los sectores económicos en el consumo de energía."/>
    <s v="Documentos de Planeación"/>
    <s v="Divulgación"/>
    <n v="80111620"/>
    <s v="C-2106-1900-13-40302B-2106003-02"/>
    <x v="0"/>
    <s v="160-9 Prestar servicios profesionales para la construcción de modelos matemáticos y de analítica de datos, así como la elaboración y divulgación de documentos de planeación, en el marco de la Transición Energética Justa, TEJ."/>
    <s v="Enero "/>
    <s v="Enero "/>
    <s v="Enero "/>
    <n v="11.5"/>
    <s v="Meses"/>
    <s v="Contratación directa - Prestación de servicios profesionales "/>
    <s v="Propios - 20 - Ingresos corrientes"/>
    <n v="156250000"/>
    <n v="156250000"/>
    <s v="No"/>
    <s v="N/A"/>
    <s v="Johanna Castellanos"/>
    <s v="Subdirectora de Demanda"/>
    <n v="6012220609"/>
    <s v="johanna.castellanos@upme.gov.co"/>
    <n v="155250000"/>
    <n v="0"/>
    <n v="0"/>
    <n v="5400000"/>
    <n v="0"/>
    <n v="13500000"/>
    <n v="0"/>
    <n v="13500000"/>
    <n v="0"/>
    <n v="13500000"/>
    <n v="0"/>
    <n v="13500000"/>
    <n v="0"/>
    <n v="13500000"/>
    <n v="0"/>
    <n v="13500000"/>
    <n v="0"/>
    <n v="13500000"/>
    <n v="0"/>
    <n v="13500000"/>
    <n v="0"/>
    <n v="13500000"/>
    <n v="1000000"/>
    <n v="29350000"/>
    <n v="156250000"/>
    <n v="156250000"/>
    <n v="0"/>
    <n v="0"/>
    <s v="Prestar servicios profesionales para la construcción de modelos matemáticos y de analítica de datos, así como la elaboración y divulgación de documentos de planeación, en el marco de la Transición Energética Justa, TEJ."/>
    <n v="155250000"/>
    <m/>
    <m/>
    <n v="5400000"/>
    <m/>
    <n v="13500000"/>
    <m/>
    <n v="13500000"/>
    <m/>
    <n v="13500000"/>
    <m/>
    <n v="13500000"/>
    <m/>
    <n v="13500000"/>
    <m/>
    <n v="13500000"/>
    <m/>
    <n v="13500000"/>
    <m/>
    <n v="13500000"/>
    <m/>
    <n v="13500000"/>
    <n v="1000000"/>
    <n v="29350000"/>
    <m/>
    <m/>
    <n v="156250000"/>
    <n v="156250000"/>
    <n v="0"/>
    <n v="0"/>
    <n v="8726"/>
    <d v="2026-01-06T00:00:00"/>
    <n v="153900000"/>
    <n v="2350000"/>
    <n v="10826"/>
    <d v="2026-01-17T00:00:00"/>
    <n v="153900000"/>
    <n v="2350000"/>
    <n v="0"/>
    <s v="SANCHEZ CARDOZO JOHN ALEXANDER"/>
    <s v="CO1.PCCNTR.8878383"/>
    <n v="155250000"/>
    <m/>
    <m/>
    <n v="-1350000"/>
    <n v="5400000"/>
    <n v="5400000"/>
    <m/>
    <n v="13500000"/>
    <n v="13500000"/>
    <m/>
    <n v="13500000"/>
    <n v="13500000"/>
    <m/>
    <m/>
    <m/>
    <m/>
    <m/>
    <m/>
    <m/>
    <m/>
    <m/>
    <m/>
    <m/>
    <m/>
    <m/>
    <m/>
    <m/>
    <m/>
    <m/>
    <m/>
    <m/>
    <m/>
    <m/>
    <m/>
    <m/>
    <m/>
    <n v="153900000"/>
    <n v="32400000"/>
    <n v="32400000"/>
    <n v="121500000"/>
    <n v="0"/>
  </r>
  <r>
    <x v="0"/>
    <x v="5"/>
    <s v="Fortalecimiento del sector en la planificación de la atención de la demanda energética nacional y la transición energética justa a nivel nacional"/>
    <s v="Demanda"/>
    <s v="Sí"/>
    <s v="Sí"/>
    <n v="68"/>
    <s v="160-10"/>
    <s v="Mejorar la representatividad en la información de la participación de los sectores económicos en el consumo de energía."/>
    <s v="Documentos de Planeación"/>
    <s v="Documento de planeación preliminar."/>
    <n v="80111620"/>
    <s v="C-2106-1900-13-40302B-2106003-02"/>
    <x v="0"/>
    <s v="160-10 Prestar servicios profesionales para el desarrollo del Plan de Bioenergía Nacional, apoyando la identificación y análisis de aspectos tecnológicos, económicos, sociales, regulatorios y ambientales para la conceptualización de los documentos estraté"/>
    <s v="Enero "/>
    <s v="Enero "/>
    <s v="Enero "/>
    <n v="11.5"/>
    <s v="Meses"/>
    <s v="Contratación directa - Prestación de servicios profesionales "/>
    <s v="Propios - 20 - Ingresos corrientes"/>
    <n v="58300000"/>
    <n v="58300000"/>
    <s v="No"/>
    <s v="N/A"/>
    <s v="Johanna Castellanos"/>
    <s v="Subdirectora de Demanda"/>
    <n v="6012220612"/>
    <s v="johanna.castellanos@upme.gov.co"/>
    <n v="47850000"/>
    <n v="0"/>
    <n v="0"/>
    <n v="0"/>
    <n v="0"/>
    <n v="4350000"/>
    <n v="0"/>
    <n v="4350000"/>
    <n v="0"/>
    <n v="4350000"/>
    <n v="0"/>
    <n v="4350000"/>
    <n v="0"/>
    <n v="4350000"/>
    <n v="0"/>
    <n v="4350000"/>
    <n v="0"/>
    <n v="4350000"/>
    <n v="0"/>
    <n v="4350000"/>
    <n v="0"/>
    <n v="4350000"/>
    <n v="10450000"/>
    <n v="19150000"/>
    <n v="58300000"/>
    <n v="58300000"/>
    <n v="0"/>
    <n v="0"/>
    <s v="Prestar servicios profesionales para el desarrollo del Plan de Bioenergía Nacional, apoyando la identificación y análisis de aspectos tecnológicos, económicos, sociales, regulatorios y ambientales para la conceptualización de los documentos estratégicos q"/>
    <n v="47850000"/>
    <m/>
    <m/>
    <m/>
    <m/>
    <n v="4350000"/>
    <m/>
    <n v="4350000"/>
    <m/>
    <n v="4350000"/>
    <m/>
    <n v="4350000"/>
    <m/>
    <n v="4350000"/>
    <m/>
    <n v="4350000"/>
    <m/>
    <n v="4350000"/>
    <m/>
    <n v="4350000"/>
    <m/>
    <n v="4350000"/>
    <n v="10450000"/>
    <n v="19150000"/>
    <m/>
    <m/>
    <n v="58300000"/>
    <n v="58300000"/>
    <n v="0"/>
    <n v="0"/>
    <n v="37626"/>
    <d v="2026-01-15T00:00:00"/>
    <n v="47705000"/>
    <n v="10595000"/>
    <n v="36026"/>
    <d v="2026-01-30T00:00:00"/>
    <n v="47705000"/>
    <n v="10595000"/>
    <n v="0"/>
    <s v="RIVEROS MELO PAULA NATALIA"/>
    <s v="CO1.PCCNTR.9143769"/>
    <n v="47850000"/>
    <m/>
    <m/>
    <m/>
    <m/>
    <m/>
    <n v="-145000"/>
    <n v="4205000"/>
    <n v="4205000"/>
    <m/>
    <n v="4350000"/>
    <n v="4350000"/>
    <m/>
    <m/>
    <m/>
    <m/>
    <m/>
    <m/>
    <m/>
    <m/>
    <m/>
    <m/>
    <m/>
    <m/>
    <m/>
    <m/>
    <m/>
    <m/>
    <m/>
    <m/>
    <m/>
    <m/>
    <m/>
    <m/>
    <m/>
    <m/>
    <n v="47705000"/>
    <n v="8555000"/>
    <n v="8555000"/>
    <n v="39150000"/>
    <n v="0"/>
  </r>
  <r>
    <x v="0"/>
    <x v="5"/>
    <s v="Fortalecimiento del sector en la planificación de la atención de la demanda energética nacional y la transición energética justa a nivel nacional"/>
    <s v="Demanda"/>
    <s v="Sí"/>
    <s v="Sí"/>
    <n v="4"/>
    <s v="160-11"/>
    <s v="Desarrollar la capacidad instalada en la planificación estratégica de la atención de la demanda."/>
    <s v="Documentos Metodológicos"/>
    <s v="Diagnóstico"/>
    <n v="80111620"/>
    <s v="C-2106-1900-13-40302B-2106005-02"/>
    <x v="0"/>
    <s v="160-11 Prestar servicios profesionales para apoyar el análisis de los planes y demás iniciativas priorizadas por la Subdirección de Demanda, así como apoyar la elaboración de documentos de planeación, en particular aquellos relacionados con evaluaciones e"/>
    <s v="Enero "/>
    <s v="Enero "/>
    <s v="Enero "/>
    <n v="7"/>
    <s v="Meses"/>
    <s v="Contratación directa - Prestación de servicios profesionales "/>
    <s v="Propios - 20 - Ingresos corrientes"/>
    <n v="99850000"/>
    <n v="99850000"/>
    <s v="No"/>
    <s v="N/A"/>
    <s v="Johanna Castellanos"/>
    <s v="Subdirectora de Demanda"/>
    <n v="6012220613"/>
    <s v="johanna.castellanos@upme.gov.co"/>
    <n v="93100000"/>
    <n v="0"/>
    <n v="0"/>
    <n v="0"/>
    <n v="0"/>
    <n v="13300000"/>
    <n v="0"/>
    <n v="13300000"/>
    <n v="0"/>
    <n v="13300000"/>
    <n v="0"/>
    <n v="13300000"/>
    <n v="0"/>
    <n v="13300000"/>
    <n v="0"/>
    <n v="13300000"/>
    <n v="0"/>
    <n v="13300000"/>
    <n v="0"/>
    <n v="6750000"/>
    <n v="0"/>
    <n v="0"/>
    <n v="6750000"/>
    <n v="0"/>
    <n v="99850000"/>
    <n v="99850000"/>
    <n v="0"/>
    <n v="0"/>
    <s v="Prestar servicios profesionales para apoyar el análisis de los planes y demás iniciativas priorizadas por la Subdirección de Demanda, así como apoyar la elaboración de documentos de planeación, en particular aquellos relacionados con evaluaciones económic"/>
    <n v="93100000"/>
    <m/>
    <m/>
    <m/>
    <m/>
    <n v="13300000"/>
    <m/>
    <n v="13300000"/>
    <m/>
    <n v="13300000"/>
    <m/>
    <n v="13300000"/>
    <m/>
    <n v="13300000"/>
    <m/>
    <n v="13300000"/>
    <m/>
    <n v="13300000"/>
    <m/>
    <n v="6750000"/>
    <m/>
    <m/>
    <n v="6750000"/>
    <m/>
    <m/>
    <m/>
    <n v="99850000"/>
    <n v="99850000"/>
    <n v="0"/>
    <n v="0"/>
    <n v="59226"/>
    <d v="2026-01-23T00:00:00"/>
    <n v="93100000"/>
    <n v="6750000"/>
    <n v="35726"/>
    <d v="2026-01-30T00:00:00"/>
    <n v="93100000"/>
    <n v="6750000"/>
    <n v="0"/>
    <s v="RAMIREZ PRIETO ELKIN EDUARDO"/>
    <s v="CO1.PCCNTR.9178411"/>
    <n v="93100000"/>
    <m/>
    <m/>
    <m/>
    <m/>
    <m/>
    <m/>
    <n v="12856667"/>
    <n v="12856667"/>
    <m/>
    <n v="13300000"/>
    <n v="13300000"/>
    <m/>
    <m/>
    <m/>
    <m/>
    <m/>
    <m/>
    <m/>
    <m/>
    <m/>
    <m/>
    <m/>
    <m/>
    <m/>
    <m/>
    <m/>
    <m/>
    <m/>
    <m/>
    <m/>
    <m/>
    <m/>
    <m/>
    <m/>
    <m/>
    <n v="93100000"/>
    <n v="26156667"/>
    <n v="26156667"/>
    <n v="66943333"/>
    <n v="0"/>
  </r>
  <r>
    <x v="0"/>
    <x v="5"/>
    <s v="Fortalecimiento del sector en la planificación de la atención de la demanda energética nacional y la transición energética justa a nivel nacional"/>
    <s v="Demanda"/>
    <s v="Sí"/>
    <s v="Sí"/>
    <n v="68"/>
    <s v="160-12"/>
    <s v="Mejorar la representatividad en la información de la participación de los sectores económicos en el consumo de energía."/>
    <s v="Documentos de Planeación"/>
    <s v="Diagnóstico"/>
    <n v="80111620"/>
    <s v="C-2106-1900-13-40302B-2106003-02"/>
    <x v="0"/>
    <s v="160-12 Prestar servicios profesionales para apoyar la definición de líneas base y meta de eficiencia energética y los análisis beneficio costo de los planes de la Subdirección priorizados, a partir de estudios, iniciativas y proyectos; en el marco de la T"/>
    <s v="Enero "/>
    <s v="Enero "/>
    <s v="Enero "/>
    <n v="11.5"/>
    <s v="Meses"/>
    <s v="Contratación directa - Prestación de servicios profesionales "/>
    <s v="Propios - 20 - Ingresos corrientes"/>
    <n v="152762172"/>
    <n v="152762172"/>
    <s v="No"/>
    <s v="N/A"/>
    <s v="Johanna Castellanos"/>
    <s v="Subdirectora de Demanda"/>
    <n v="6012220614"/>
    <s v="johanna.castellanos@upme.gov.co"/>
    <n v="146300000"/>
    <n v="0"/>
    <n v="0"/>
    <n v="1330000"/>
    <n v="0"/>
    <n v="13300000"/>
    <n v="0"/>
    <n v="13300000"/>
    <n v="0"/>
    <n v="13300000"/>
    <n v="0"/>
    <n v="13300000"/>
    <n v="0"/>
    <n v="13300000"/>
    <n v="0"/>
    <n v="13300000"/>
    <n v="0"/>
    <n v="13300000"/>
    <n v="0"/>
    <n v="13300000"/>
    <n v="0"/>
    <n v="13300000"/>
    <n v="6462172"/>
    <n v="31732172"/>
    <n v="152762172"/>
    <n v="152762172"/>
    <n v="0"/>
    <n v="0"/>
    <s v="Prestar servicios profesionales para apoyar la definición de líneas base y meta de eficiencia energética y los análisis beneficio costo de los planes de la Subdirección priorizados, a partir de estudios, iniciativas y proyectos; en el marco de la Transici"/>
    <n v="146300000"/>
    <m/>
    <m/>
    <n v="1330000"/>
    <m/>
    <n v="13300000"/>
    <m/>
    <n v="13300000"/>
    <m/>
    <n v="13300000"/>
    <m/>
    <n v="13300000"/>
    <m/>
    <n v="13300000"/>
    <m/>
    <n v="13300000"/>
    <m/>
    <n v="13300000"/>
    <m/>
    <n v="13300000"/>
    <m/>
    <n v="13300000"/>
    <n v="6462172"/>
    <n v="31732172"/>
    <m/>
    <m/>
    <n v="152762172"/>
    <n v="152762172"/>
    <n v="0"/>
    <n v="0"/>
    <n v="18226"/>
    <d v="2026-01-10T00:00:00"/>
    <n v="152762172"/>
    <n v="0"/>
    <n v="23126"/>
    <d v="2026-01-27T00:00:00"/>
    <n v="146300000"/>
    <n v="6462172"/>
    <n v="6462172"/>
    <s v="FLOREZ CHALA ERIKA JOHANNA"/>
    <s v="CO1.PCCNTR.9078650"/>
    <n v="146300000"/>
    <m/>
    <m/>
    <m/>
    <n v="1330000"/>
    <n v="1330000"/>
    <m/>
    <n v="13300000"/>
    <n v="13300000"/>
    <m/>
    <n v="13300000"/>
    <n v="13300000"/>
    <m/>
    <m/>
    <m/>
    <m/>
    <m/>
    <m/>
    <m/>
    <m/>
    <m/>
    <m/>
    <m/>
    <m/>
    <m/>
    <m/>
    <m/>
    <m/>
    <m/>
    <m/>
    <m/>
    <m/>
    <m/>
    <m/>
    <m/>
    <m/>
    <n v="146300000"/>
    <n v="27930000"/>
    <n v="27930000"/>
    <n v="118370000"/>
    <n v="0"/>
  </r>
  <r>
    <x v="0"/>
    <x v="5"/>
    <s v="Fortalecimiento del sector en la planificación de la atención de la demanda energética nacional y la transición energética justa a nivel nacional"/>
    <s v="Demanda"/>
    <s v="Sí"/>
    <s v="Sí"/>
    <n v="68"/>
    <s v="160-13"/>
    <s v="Mejorar la representatividad en la información de la participación de los sectores económicos en el consumo de energía."/>
    <s v="Documentos de Planeación"/>
    <s v="Documento de planeación preliminar."/>
    <n v="80111620"/>
    <s v="C-2106-1900-13-40302B-2106003-02"/>
    <x v="0"/>
    <s v="160-13 Prestar servicios profesionales para apoyar la definición de líneas base y meta de eficiencia energética y los análisis beneficio costo de los planes de la Subdirección priorizados, a partir de estudios, iniciativas y proyectos; en el marco de la T"/>
    <s v="Enero "/>
    <s v="Enero "/>
    <s v="Enero "/>
    <n v="11.5"/>
    <s v="Meses"/>
    <s v="Contratación directa - Prestación de servicios profesionales "/>
    <s v="Propios - 20 - Ingresos corrientes"/>
    <n v="2687828"/>
    <n v="2687828"/>
    <s v="No"/>
    <s v="N/A"/>
    <s v="Johanna Castellanos"/>
    <s v="Subdirectora de Demanda"/>
    <n v="6012220615"/>
    <s v="johanna.castellanos@upme.gov.co"/>
    <n v="0"/>
    <n v="0"/>
    <n v="0"/>
    <n v="0"/>
    <n v="0"/>
    <n v="0"/>
    <n v="0"/>
    <n v="0"/>
    <n v="0"/>
    <n v="0"/>
    <n v="0"/>
    <n v="0"/>
    <n v="0"/>
    <n v="0"/>
    <n v="0"/>
    <n v="0"/>
    <n v="0"/>
    <n v="0"/>
    <n v="0"/>
    <n v="0"/>
    <n v="2687828"/>
    <n v="0"/>
    <n v="0"/>
    <n v="2687828"/>
    <n v="2687828"/>
    <n v="2687828"/>
    <n v="0"/>
    <n v="0"/>
    <s v="Prestar servicios profesionales para apoyar la definición de líneas base y meta de eficiencia energética y los análisis beneficio costo de los planes de la Subdirección priorizados, a partir de estudios, iniciativas y proyectos; en el marco de la Transici"/>
    <m/>
    <m/>
    <m/>
    <m/>
    <m/>
    <m/>
    <m/>
    <m/>
    <m/>
    <m/>
    <m/>
    <m/>
    <m/>
    <m/>
    <m/>
    <m/>
    <m/>
    <m/>
    <m/>
    <m/>
    <n v="2687828"/>
    <m/>
    <m/>
    <n v="2687828"/>
    <m/>
    <m/>
    <n v="2687828"/>
    <n v="2687828"/>
    <n v="0"/>
    <n v="0"/>
    <n v="18226"/>
    <d v="2026-01-10T00:00:00"/>
    <n v="187828"/>
    <n v="2500000"/>
    <m/>
    <m/>
    <n v="0"/>
    <n v="2687828"/>
    <n v="187828"/>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4"/>
    <s v="160-14"/>
    <s v="Fomentar la articulación de la política pública, el marco regulatorio y la visión de gobierno."/>
    <s v="Documentos de Lineamientos Técnicos"/>
    <s v="Documento con los resultados de las validaciones."/>
    <n v="80111620"/>
    <s v="C-2106-1900-13-40302B-2106010-02"/>
    <x v="0"/>
    <s v="160-14 Prestar servicios profesionales en la gestión jurídica integral de la UPME, mediante el análisis, elaboración y proyección de conceptos jurídicos, respuestas a requerimientos, recursos administrativos y demás actuaciones jurídicas, de conformidad c"/>
    <s v="Enero "/>
    <s v="Enero "/>
    <s v="Enero "/>
    <n v="11.27"/>
    <s v="Meses"/>
    <s v="Contratación directa - Prestación de servicios profesionales "/>
    <s v="Propios - 20 - Ingresos corrientes"/>
    <n v="50400000"/>
    <n v="50400000"/>
    <s v="No"/>
    <s v="N/A"/>
    <s v="Johanna Castellanos"/>
    <s v="Subdirectora de Demanda"/>
    <n v="6012220616"/>
    <s v="johanna.castellanos@upme.gov.co"/>
    <n v="0"/>
    <n v="0"/>
    <n v="50400000"/>
    <n v="0"/>
    <n v="0"/>
    <n v="5000000"/>
    <n v="0"/>
    <n v="5000000"/>
    <n v="0"/>
    <n v="5000000"/>
    <n v="0"/>
    <n v="5000000"/>
    <n v="0"/>
    <n v="5000000"/>
    <n v="0"/>
    <n v="5000000"/>
    <n v="0"/>
    <n v="5000000"/>
    <n v="0"/>
    <n v="5000000"/>
    <n v="0"/>
    <n v="1400000"/>
    <n v="0"/>
    <n v="9000000"/>
    <n v="50400000"/>
    <n v="50400000"/>
    <n v="0"/>
    <n v="0"/>
    <s v="Prestar servicios profesionales en la gestión jurídica integral de la UPME, mediante el análisis, elaboración y proyección de conceptos jurídicos, respuestas a requerimientos, recursos administrativos y demás actuaciones jurídicas, de conformidad con el m"/>
    <m/>
    <m/>
    <n v="50400000"/>
    <m/>
    <m/>
    <n v="5000000"/>
    <m/>
    <n v="5000000"/>
    <m/>
    <n v="5000000"/>
    <m/>
    <n v="5000000"/>
    <m/>
    <n v="5000000"/>
    <m/>
    <n v="5000000"/>
    <m/>
    <n v="5000000"/>
    <m/>
    <n v="5000000"/>
    <m/>
    <n v="1400000"/>
    <m/>
    <n v="9000000"/>
    <m/>
    <m/>
    <n v="50400000"/>
    <n v="50400000"/>
    <n v="0"/>
    <n v="0"/>
    <n v="61926"/>
    <d v="2026-01-23T00:00:00"/>
    <n v="50400000"/>
    <n v="0"/>
    <n v="58426.651259999999"/>
    <s v="11/02/2026,20/03/2026"/>
    <n v="50400000"/>
    <n v="0"/>
    <n v="0"/>
    <s v="RUBIO NAVARRO OSCAR MANUEL,GAONA GALEANO YIVI YOHANA_x000a_"/>
    <s v="CO1.PCCNTR.9183199"/>
    <m/>
    <m/>
    <m/>
    <n v="50400000"/>
    <m/>
    <m/>
    <m/>
    <m/>
    <m/>
    <m/>
    <n v="1833333"/>
    <n v="1833333"/>
    <m/>
    <m/>
    <m/>
    <m/>
    <m/>
    <m/>
    <m/>
    <m/>
    <m/>
    <m/>
    <m/>
    <m/>
    <m/>
    <m/>
    <m/>
    <m/>
    <m/>
    <m/>
    <m/>
    <m/>
    <m/>
    <m/>
    <m/>
    <m/>
    <n v="50400000"/>
    <n v="1833333"/>
    <n v="1833333"/>
    <n v="48566667"/>
    <n v="0"/>
  </r>
  <r>
    <x v="0"/>
    <x v="5"/>
    <s v="Fortalecimiento del sector en la planificación de la atención de la demanda energética nacional y la transición energética justa a nivel nacional"/>
    <s v="Demanda"/>
    <s v="Sí"/>
    <s v="Sí"/>
    <n v="3"/>
    <s v="160-15"/>
    <s v="Fomentar la articulación de la política pública, el marco regulatorio y la visión de gobierno."/>
    <s v="Documentos de Lineamientos Técnicos"/>
    <s v="Documento con los resultados de las validaciones."/>
    <n v="80111620"/>
    <s v="C-2106-1900-13-40302B-2106010-02"/>
    <x v="0"/>
    <s v="160-15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43916819"/>
    <n v="43916819"/>
    <s v="No"/>
    <s v="N/A"/>
    <s v="Johanna Castellanos"/>
    <s v="Subdirectora de Demanda"/>
    <n v="6012220616"/>
    <s v="johanna.castellanos@upme.gov.co"/>
    <n v="0"/>
    <n v="0"/>
    <n v="43916819"/>
    <n v="0"/>
    <n v="0"/>
    <n v="6000000"/>
    <n v="0"/>
    <n v="6000000"/>
    <n v="0"/>
    <n v="6000000"/>
    <n v="0"/>
    <n v="6000000"/>
    <n v="0"/>
    <n v="6000000"/>
    <n v="0"/>
    <n v="6000000"/>
    <n v="0"/>
    <n v="6000000"/>
    <n v="0"/>
    <n v="1916819"/>
    <n v="0"/>
    <n v="0"/>
    <n v="0"/>
    <n v="0"/>
    <n v="43916819"/>
    <n v="43916819"/>
    <n v="0"/>
    <n v="0"/>
    <s v="Prestar servicios profesionales para gestionar la comunicación institucional de la UPME, mediante el diseño, desarrollo y ejecución de estrategias creativas de comunicación interna y externa, posicionamiento de marca institucional, gestión de mensajes y n"/>
    <m/>
    <m/>
    <n v="43916819"/>
    <m/>
    <m/>
    <n v="6000000"/>
    <m/>
    <n v="6000000"/>
    <m/>
    <n v="6000000"/>
    <m/>
    <n v="6000000"/>
    <m/>
    <n v="6000000"/>
    <m/>
    <n v="6000000"/>
    <m/>
    <n v="6000000"/>
    <m/>
    <n v="1916819"/>
    <m/>
    <m/>
    <m/>
    <m/>
    <m/>
    <m/>
    <n v="43916819"/>
    <n v="43916819"/>
    <n v="0"/>
    <n v="0"/>
    <n v="46226"/>
    <d v="2026-01-19T00:00:00"/>
    <n v="43916819"/>
    <n v="0"/>
    <n v="58226"/>
    <d v="2026-02-11T00:00:00"/>
    <n v="43916819"/>
    <n v="0"/>
    <n v="0"/>
    <s v="CHAPARRO CARMONA JHON SEBASTIAN"/>
    <s v="CO1.PCCNTR.9179277"/>
    <m/>
    <m/>
    <m/>
    <n v="43916819"/>
    <m/>
    <m/>
    <m/>
    <n v="3800000"/>
    <n v="3800000"/>
    <m/>
    <n v="6000000"/>
    <n v="6000000"/>
    <m/>
    <m/>
    <m/>
    <m/>
    <m/>
    <m/>
    <m/>
    <m/>
    <m/>
    <m/>
    <m/>
    <m/>
    <m/>
    <m/>
    <m/>
    <m/>
    <m/>
    <m/>
    <m/>
    <m/>
    <m/>
    <m/>
    <m/>
    <m/>
    <n v="43916819"/>
    <n v="9800000"/>
    <n v="9800000"/>
    <n v="34116819"/>
    <n v="0"/>
  </r>
  <r>
    <x v="0"/>
    <x v="5"/>
    <s v="Fortalecimiento del sector en la planificación de la atención de la demanda energética nacional y la transición energética justa a nivel nacional"/>
    <s v="Demanda"/>
    <s v="Sí"/>
    <s v="Sí"/>
    <n v="3"/>
    <s v="160-16"/>
    <s v="Mejorar la representatividad en la información de la participación de los sectores económicos en el consumo de energía."/>
    <s v="Documentos de Planeación"/>
    <s v="Documento de planeación preliminar."/>
    <n v="80111620"/>
    <s v="C-2106-1900-13-40302B-2106003-02"/>
    <x v="0"/>
    <s v="160-16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6483181"/>
    <n v="6483181"/>
    <s v="No"/>
    <s v="N/A"/>
    <s v="Johanna Castellanos"/>
    <s v="Subdirectora de Demanda"/>
    <n v="6012220617"/>
    <s v="johanna.castellanos@upme.gov.co"/>
    <n v="0"/>
    <n v="0"/>
    <n v="6483181"/>
    <n v="0"/>
    <n v="0"/>
    <n v="0"/>
    <n v="0"/>
    <n v="0"/>
    <n v="0"/>
    <n v="0"/>
    <n v="0"/>
    <n v="0"/>
    <n v="0"/>
    <n v="0"/>
    <n v="0"/>
    <n v="0"/>
    <n v="0"/>
    <n v="0"/>
    <n v="0"/>
    <n v="4083181"/>
    <n v="0"/>
    <n v="2400000"/>
    <n v="0"/>
    <n v="0"/>
    <n v="6483181"/>
    <n v="6483181"/>
    <n v="0"/>
    <n v="0"/>
    <s v="Prestar servicios profesionales para gestionar la comunicación institucional de la UPME, mediante el diseño, desarrollo y ejecución de estrategias creativas de comunicación interna y externa, posicionamiento de marca institucional, gestión de mensajes y n"/>
    <m/>
    <m/>
    <n v="6483181"/>
    <m/>
    <m/>
    <m/>
    <m/>
    <m/>
    <m/>
    <m/>
    <m/>
    <m/>
    <m/>
    <m/>
    <m/>
    <m/>
    <m/>
    <m/>
    <m/>
    <n v="4083181"/>
    <m/>
    <n v="2400000"/>
    <m/>
    <m/>
    <m/>
    <m/>
    <n v="6483181"/>
    <n v="6483181"/>
    <n v="0"/>
    <n v="0"/>
    <n v="46226"/>
    <d v="2026-01-19T00:00:00"/>
    <n v="6483181"/>
    <n v="0"/>
    <n v="58226"/>
    <d v="2026-02-11T00:00:00"/>
    <n v="6483181"/>
    <n v="0"/>
    <n v="0"/>
    <s v="CHAPARRO CARMONA JHON SEBASTIAN"/>
    <s v="CO1.PCCNTR.9179277"/>
    <m/>
    <m/>
    <m/>
    <n v="6483181"/>
    <m/>
    <m/>
    <m/>
    <m/>
    <m/>
    <m/>
    <m/>
    <m/>
    <m/>
    <m/>
    <m/>
    <m/>
    <m/>
    <m/>
    <m/>
    <m/>
    <m/>
    <m/>
    <m/>
    <m/>
    <m/>
    <m/>
    <m/>
    <m/>
    <m/>
    <m/>
    <m/>
    <m/>
    <m/>
    <m/>
    <m/>
    <m/>
    <n v="6483181"/>
    <n v="0"/>
    <n v="0"/>
    <n v="6483181"/>
    <n v="0"/>
  </r>
  <r>
    <x v="0"/>
    <x v="5"/>
    <s v="Fortalecimiento del sector en la planificación de la atención de la demanda energética nacional y la transición energética justa a nivel nacional"/>
    <s v="Demanda"/>
    <s v="Sí"/>
    <s v="Sí"/>
    <n v="68"/>
    <s v="160-17"/>
    <s v="Mejorar la representatividad en la información de la participación de los sectores económicos en el consumo de energía."/>
    <s v="Documentos de Planeación"/>
    <s v="Divulgación"/>
    <n v="80111620"/>
    <s v="C-2106-1900-13-40302B-2106003-02"/>
    <x v="0"/>
    <s v="160-17 Prestación de servicios profesionales para el diseño, desarrollo y fortalecimiento de la estrategia de comunicación y divulgación de los portales interactivos, sistemas de información, trámites e instrumentos de planeación asociados a las Subdirecc"/>
    <s v="Enero "/>
    <s v="Enero "/>
    <s v="Enero "/>
    <n v="11.5"/>
    <s v="Meses"/>
    <s v="Contratación directa - Prestación de servicios profesionales "/>
    <s v="Propios - 20 - Ingresos corrientes"/>
    <n v="57500000"/>
    <n v="57500000"/>
    <s v="No"/>
    <s v="N/A"/>
    <s v="Johanna Castellanos"/>
    <s v="Subdirectora de Demanda"/>
    <n v="6012220618"/>
    <s v="johanna.castellanos@upme.gov.co"/>
    <n v="57500000"/>
    <n v="0"/>
    <n v="0"/>
    <n v="0"/>
    <n v="0"/>
    <n v="0"/>
    <n v="0"/>
    <n v="0"/>
    <n v="0"/>
    <n v="0"/>
    <n v="0"/>
    <n v="0"/>
    <n v="0"/>
    <n v="0"/>
    <n v="0"/>
    <n v="0"/>
    <n v="0"/>
    <n v="10000000"/>
    <n v="0"/>
    <n v="10000000"/>
    <n v="0"/>
    <n v="10000000"/>
    <n v="0"/>
    <n v="27500000"/>
    <n v="57500000"/>
    <n v="57500000"/>
    <n v="0"/>
    <n v="0"/>
    <s v="Prestación de servicios profesionales para el diseño, desarrollo y fortalecimiento de la estrategia de comunicación y divulgación de los portales interactivos, sistemas de información, trámites e instrumentos de planeación asociados a las Subdirecciones d"/>
    <n v="57500000"/>
    <m/>
    <m/>
    <m/>
    <m/>
    <m/>
    <m/>
    <m/>
    <m/>
    <m/>
    <m/>
    <m/>
    <m/>
    <m/>
    <m/>
    <m/>
    <m/>
    <n v="10000000"/>
    <m/>
    <n v="10000000"/>
    <m/>
    <n v="10000000"/>
    <m/>
    <n v="27500000"/>
    <m/>
    <m/>
    <n v="57500000"/>
    <n v="57500000"/>
    <n v="0"/>
    <n v="0"/>
    <n v="29726"/>
    <d v="2026-01-14T00:00:00"/>
    <n v="57500000"/>
    <n v="0"/>
    <n v="16026"/>
    <d v="2026-01-22T00:00:00"/>
    <n v="57500000"/>
    <n v="0"/>
    <n v="0"/>
    <s v="ROJAS SOLORZANO OLGA LUCIA"/>
    <s v="CO1.PCCNTR.8992620"/>
    <n v="57500000"/>
    <m/>
    <m/>
    <m/>
    <n v="2666667"/>
    <n v="2666667"/>
    <m/>
    <n v="10000000"/>
    <n v="10000000"/>
    <m/>
    <n v="10000000"/>
    <n v="10000000"/>
    <m/>
    <m/>
    <m/>
    <m/>
    <m/>
    <m/>
    <m/>
    <m/>
    <m/>
    <m/>
    <m/>
    <m/>
    <m/>
    <m/>
    <m/>
    <m/>
    <m/>
    <m/>
    <m/>
    <m/>
    <m/>
    <m/>
    <m/>
    <m/>
    <n v="57500000"/>
    <n v="22666667"/>
    <n v="22666667"/>
    <n v="34833333"/>
    <n v="0"/>
  </r>
  <r>
    <x v="0"/>
    <x v="5"/>
    <s v="Fortalecimiento del sector en la planificación de la atención de la demanda energética nacional y la transición energética justa a nivel nacional"/>
    <s v="Demanda"/>
    <s v="Sí"/>
    <s v="Sí"/>
    <n v="68"/>
    <s v="160-18"/>
    <s v="Mejorar la representatividad en la información de la participación de los sectores económicos en el consumo de energía."/>
    <s v="Documentos de Planeación"/>
    <s v="Documento de planeación preliminar."/>
    <n v="80111620"/>
    <s v="C-2106-1900-13-40302B-2106003-02"/>
    <x v="0"/>
    <s v="160-18 Prestar servicios profesionales para la recopilación, sistematización y centralización de información relacionada con la bioenergía en Colombia, con el propósito de fortalecer la gestión, el análisis y la disponibilidad de datos del equipo de Nuevo"/>
    <s v="Enero "/>
    <s v="Enero "/>
    <s v="Enero "/>
    <n v="11.2"/>
    <s v="Meses"/>
    <s v="Contratación directa - Prestación de servicios profesionales "/>
    <s v="Propios - 21 - Otros recursos de tesorería"/>
    <n v="100800000"/>
    <n v="100800000"/>
    <s v="No"/>
    <s v="N/A"/>
    <s v="Johanna Castellanos"/>
    <s v="Subdirectora de Demanda"/>
    <n v="6012220619"/>
    <s v="johanna.castellanos@upme.gov.co"/>
    <n v="0"/>
    <n v="0"/>
    <n v="99000000"/>
    <n v="0"/>
    <n v="0"/>
    <n v="9000000"/>
    <n v="0"/>
    <n v="9000000"/>
    <n v="0"/>
    <n v="9000000"/>
    <n v="0"/>
    <n v="9000000"/>
    <n v="0"/>
    <n v="9000000"/>
    <n v="0"/>
    <n v="9000000"/>
    <n v="0"/>
    <n v="9000000"/>
    <n v="0"/>
    <n v="9000000"/>
    <n v="0"/>
    <n v="9000000"/>
    <n v="1800000"/>
    <n v="19800000"/>
    <n v="100800000"/>
    <n v="100800000"/>
    <n v="0"/>
    <n v="0"/>
    <s v="Prestar servicios profesionales para la recopilación, sistematización y centralización de información relacionada con la bioenergía en Colombia, con el propósito de fortalecer la gestión, el análisis y la disponibilidad de datos del equipo de Nuevos Energ"/>
    <m/>
    <m/>
    <n v="99000000"/>
    <m/>
    <m/>
    <n v="9000000"/>
    <m/>
    <n v="9000000"/>
    <m/>
    <n v="9000000"/>
    <m/>
    <n v="9000000"/>
    <m/>
    <n v="9000000"/>
    <m/>
    <n v="9000000"/>
    <m/>
    <n v="9000000"/>
    <m/>
    <n v="9000000"/>
    <m/>
    <n v="9000000"/>
    <n v="1800000"/>
    <n v="19800000"/>
    <m/>
    <m/>
    <n v="100800000"/>
    <n v="100800000"/>
    <n v="0"/>
    <n v="0"/>
    <n v="62026"/>
    <d v="2026-01-23T00:00:00"/>
    <n v="96000000"/>
    <n v="4800000"/>
    <n v="56626"/>
    <d v="2026-02-10T00:00:00"/>
    <n v="96000000"/>
    <n v="4800000"/>
    <n v="0"/>
    <s v="TAMAYO LONDOÑO ANDREA"/>
    <s v="CO1.PCCNTR.9306496"/>
    <m/>
    <m/>
    <m/>
    <n v="99000000"/>
    <m/>
    <m/>
    <m/>
    <n v="6000000"/>
    <n v="6000000"/>
    <n v="-3000000"/>
    <n v="9000000"/>
    <n v="9000000"/>
    <m/>
    <m/>
    <m/>
    <m/>
    <m/>
    <m/>
    <m/>
    <m/>
    <m/>
    <m/>
    <m/>
    <m/>
    <m/>
    <m/>
    <m/>
    <m/>
    <m/>
    <m/>
    <m/>
    <m/>
    <m/>
    <m/>
    <m/>
    <m/>
    <n v="96000000"/>
    <n v="15000000"/>
    <n v="15000000"/>
    <n v="81000000"/>
    <n v="0"/>
  </r>
  <r>
    <x v="0"/>
    <x v="5"/>
    <s v="Fortalecimiento del sector en la planificación de la atención de la demanda energética nacional y la transición energética justa a nivel nacional"/>
    <s v="Demanda"/>
    <s v="Sí"/>
    <s v="Sí"/>
    <n v="6"/>
    <s v="160-19"/>
    <s v="Mejorar la representatividad en la información de la participación de los sectores económicos en el consumo de energía."/>
    <s v="Documentos de Planeación"/>
    <s v="Documento de planeación preliminar."/>
    <n v="80111620"/>
    <s v="C-2106-1900-13-40302B-2106003-02"/>
    <x v="0"/>
    <s v="160-19 Prestar servicios de apoyo a la gestión  para brindar soporte análisis de modelos de optimización y datos aplicados al sector energético, así como apoyar las actividades relacionadas con el procesamiento de la información, generación de resultados "/>
    <s v="Enero "/>
    <s v="Enero "/>
    <s v="Enero "/>
    <n v="11.5"/>
    <s v="Meses"/>
    <s v="Contratación directa - Prestación de servicios profesionales "/>
    <s v="Propios - 20 - Ingresos corrientes"/>
    <n v="57500000"/>
    <n v="57500000"/>
    <s v="No"/>
    <s v="N/A"/>
    <s v="Johanna Castellanos"/>
    <s v="Subdirectora de Demanda"/>
    <n v="6012220621"/>
    <s v="johanna.castellanos@upme.gov.co"/>
    <n v="55000000"/>
    <n v="0"/>
    <n v="0"/>
    <n v="0"/>
    <n v="0"/>
    <n v="5000000"/>
    <n v="0"/>
    <n v="5000000"/>
    <n v="0"/>
    <n v="5000000"/>
    <n v="0"/>
    <n v="5000000"/>
    <n v="0"/>
    <n v="5000000"/>
    <n v="0"/>
    <n v="5000000"/>
    <n v="0"/>
    <n v="5000000"/>
    <n v="0"/>
    <n v="5000000"/>
    <n v="0"/>
    <n v="5000000"/>
    <n v="2500000"/>
    <n v="12500000"/>
    <n v="57500000"/>
    <n v="57500000"/>
    <n v="0"/>
    <n v="0"/>
    <s v="Prestar servicios de apoyo a la gestión  para brindar soporte análisis de modelos de optimización y datos aplicados al sector energético, así como apoyar las actividades relacionadas con el procesamiento de la información, generación de resultados e indic"/>
    <n v="55000000"/>
    <m/>
    <m/>
    <m/>
    <m/>
    <n v="5000000"/>
    <m/>
    <n v="5000000"/>
    <m/>
    <n v="5000000"/>
    <m/>
    <n v="5000000"/>
    <m/>
    <n v="5000000"/>
    <m/>
    <n v="5000000"/>
    <m/>
    <n v="5000000"/>
    <m/>
    <n v="5000000"/>
    <m/>
    <n v="5000000"/>
    <n v="2500000"/>
    <n v="12500000"/>
    <m/>
    <m/>
    <n v="57500000"/>
    <n v="57500000"/>
    <n v="0"/>
    <n v="0"/>
    <n v="58326"/>
    <d v="2026-01-23T00:00:00"/>
    <n v="55000000"/>
    <n v="2500000"/>
    <n v="26926"/>
    <d v="2026-01-28T00:00:00"/>
    <n v="55000000"/>
    <n v="2500000"/>
    <n v="0"/>
    <s v="ESPITIA ALFONSO CARLOS ANDRES"/>
    <s v="CO1.PCCNTR.9144177"/>
    <n v="55000000"/>
    <m/>
    <m/>
    <m/>
    <n v="333333"/>
    <n v="333333"/>
    <m/>
    <n v="5000000"/>
    <n v="5000000"/>
    <m/>
    <n v="5000000"/>
    <n v="5000000"/>
    <m/>
    <m/>
    <m/>
    <m/>
    <m/>
    <m/>
    <m/>
    <m/>
    <m/>
    <m/>
    <m/>
    <m/>
    <m/>
    <m/>
    <m/>
    <m/>
    <m/>
    <m/>
    <m/>
    <m/>
    <m/>
    <m/>
    <m/>
    <m/>
    <n v="55000000"/>
    <n v="10333333"/>
    <n v="10333333"/>
    <n v="44666667"/>
    <n v="0"/>
  </r>
  <r>
    <x v="0"/>
    <x v="5"/>
    <s v="Fortalecimiento del sector en la planificación de la atención de la demanda energética nacional y la transición energética justa a nivel nacional"/>
    <s v="Demanda"/>
    <s v="Sí"/>
    <s v="Sí"/>
    <n v="68"/>
    <s v="160-20"/>
    <s v="Desarrollar la capacidad instalada en la planificación estratégica de la atención de la demanda."/>
    <s v="Documentos Metodológicos"/>
    <s v="Diagnóstico"/>
    <n v="80111620"/>
    <s v="C-2106-1900-13-40302B-2106005-02"/>
    <x v="0"/>
    <s v="160-20 Prestar servicios profesionales para la elaboración, análisis, actualización del Balance Energético Colombiano (BECO), mediante la recolección, depuración y análisis de información energética y económica, la construcción y  el desarrollo de análisi"/>
    <s v="Enero "/>
    <s v="Enero "/>
    <s v="Enero "/>
    <n v="11.5"/>
    <s v="Meses"/>
    <s v="Contratación directa - Prestación de servicios profesionales "/>
    <s v="Propios - 20 - Ingresos corrientes"/>
    <n v="69000000"/>
    <n v="69000000"/>
    <s v="No"/>
    <s v="N/A"/>
    <s v="Johanna Castellanos"/>
    <s v="Subdirectora de Demanda"/>
    <n v="6012220622"/>
    <s v="johanna.castellanos@upme.gov.co"/>
    <n v="0"/>
    <n v="0"/>
    <n v="0"/>
    <n v="0"/>
    <n v="0"/>
    <n v="0"/>
    <n v="0"/>
    <n v="0"/>
    <n v="0"/>
    <n v="0"/>
    <n v="0"/>
    <n v="0"/>
    <n v="0"/>
    <n v="0"/>
    <n v="69000000"/>
    <n v="0"/>
    <n v="0"/>
    <n v="13800000"/>
    <n v="0"/>
    <n v="13800000"/>
    <n v="0"/>
    <n v="13800000"/>
    <n v="0"/>
    <n v="27600000"/>
    <n v="69000000"/>
    <n v="69000000"/>
    <n v="0"/>
    <n v="0"/>
    <s v="Prestar servicios profesionales para la elaboración, análisis, actualización del Balance Energético Colombiano (BECO), mediante la recolección, depuración y análisis de información energética y económica, la construcción y  el desarrollo de análisis cuant"/>
    <m/>
    <m/>
    <m/>
    <m/>
    <m/>
    <m/>
    <m/>
    <m/>
    <m/>
    <m/>
    <m/>
    <m/>
    <m/>
    <m/>
    <n v="69000000"/>
    <m/>
    <m/>
    <n v="13800000"/>
    <m/>
    <n v="13800000"/>
    <m/>
    <n v="13800000"/>
    <m/>
    <n v="27600000"/>
    <m/>
    <m/>
    <n v="69000000"/>
    <n v="69000000"/>
    <n v="0"/>
    <n v="0"/>
    <n v="55226"/>
    <d v="2026-01-22T00:00:00"/>
    <n v="69000000"/>
    <n v="0"/>
    <m/>
    <m/>
    <n v="0"/>
    <n v="69000000"/>
    <n v="690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9"/>
    <s v="160-21"/>
    <s v="Mejorar la representatividad en la información de la participación de los sectores económicos en el consumo de energía."/>
    <s v="Documentos de Planeación"/>
    <s v="Documento de planeación preliminar."/>
    <n v="80111620"/>
    <s v="C-2106-1900-13-40302B-2106003-02"/>
    <x v="0"/>
    <s v="160-21 Prestar servicios profesionales para el análisis de información energética, contribuyendo a  la elaboración de estudios, reportes e indicadores."/>
    <s v="Enero "/>
    <s v="Enero "/>
    <s v="Enero "/>
    <n v="11"/>
    <s v="Meses"/>
    <s v="Contratación directa - Prestación de servicios profesionales "/>
    <s v="Propios - 20 - Ingresos corrientes"/>
    <n v="36792000"/>
    <n v="36792000"/>
    <s v="No"/>
    <s v="N/A"/>
    <s v="Johanna Castellanos"/>
    <s v="Subdirectora de Demanda"/>
    <n v="6012220623"/>
    <s v="johanna.castellanos@upme.gov.co"/>
    <n v="0"/>
    <n v="0"/>
    <n v="0"/>
    <n v="0"/>
    <n v="0"/>
    <n v="0"/>
    <n v="0"/>
    <n v="0"/>
    <n v="0"/>
    <n v="0"/>
    <n v="0"/>
    <n v="0"/>
    <n v="36792000"/>
    <n v="0"/>
    <n v="0"/>
    <n v="4000000"/>
    <n v="0"/>
    <n v="4000000"/>
    <n v="0"/>
    <n v="4000000"/>
    <n v="0"/>
    <n v="4000000"/>
    <n v="0"/>
    <n v="20792000"/>
    <n v="36792000"/>
    <n v="36792000"/>
    <n v="0"/>
    <n v="0"/>
    <s v="Prestar servicios profesionales para el análisis de información energética, contribuyendo a  la elaboración de estudios, reportes e indicadores."/>
    <m/>
    <m/>
    <m/>
    <m/>
    <m/>
    <m/>
    <m/>
    <m/>
    <m/>
    <m/>
    <m/>
    <m/>
    <n v="36792000"/>
    <m/>
    <m/>
    <n v="4000000"/>
    <m/>
    <n v="4000000"/>
    <m/>
    <n v="4000000"/>
    <m/>
    <n v="4000000"/>
    <m/>
    <n v="20792000"/>
    <m/>
    <m/>
    <n v="36792000"/>
    <n v="36792000"/>
    <n v="0"/>
    <n v="0"/>
    <n v="66526"/>
    <d v="2026-01-29T00:00:00"/>
    <n v="36135000"/>
    <n v="657000"/>
    <m/>
    <m/>
    <n v="0"/>
    <n v="36792000"/>
    <n v="36135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8"/>
    <s v="160-22"/>
    <s v="Mejorar la representatividad en la información de la participación de los sectores económicos en el consumo de energía."/>
    <s v="Documentos de Planeación"/>
    <s v="Documento de planeación preliminar."/>
    <n v="80111620"/>
    <s v="C-2106-1900-13-40302B-2106003-02"/>
    <x v="0"/>
    <s v="160-22 Prestar servicios profesionales para brindar soporte técnico y regulatorio especializado para la elaboración de documentos de recomendaciones, análisis de impacto normativo y soporte estratégico en la formulación del Plan Energético Nacional (PEN) "/>
    <s v="Enero "/>
    <s v="Enero "/>
    <s v="Enero "/>
    <n v="11"/>
    <s v="Meses"/>
    <s v="Contratación directa - Prestación de servicios profesionales "/>
    <s v="Propios - 20 - Ingresos corrientes"/>
    <n v="115000000"/>
    <n v="115000000"/>
    <s v="No"/>
    <s v="N/A"/>
    <s v="Johanna Castellanos"/>
    <s v="Subdirectora de Demanda"/>
    <n v="6012220624"/>
    <s v="johanna.castellanos@upme.gov.co"/>
    <n v="0"/>
    <n v="0"/>
    <n v="110000000"/>
    <n v="0"/>
    <n v="0"/>
    <n v="10000000"/>
    <n v="0"/>
    <n v="10000000"/>
    <n v="0"/>
    <n v="10000000"/>
    <n v="0"/>
    <n v="10000000"/>
    <n v="0"/>
    <n v="10000000"/>
    <n v="0"/>
    <n v="10000000"/>
    <n v="0"/>
    <n v="10000000"/>
    <n v="0"/>
    <n v="10000000"/>
    <n v="0"/>
    <n v="10000000"/>
    <n v="5000000"/>
    <n v="25000000"/>
    <n v="115000000"/>
    <n v="115000000"/>
    <n v="0"/>
    <n v="0"/>
    <s v="Prestar servicios profesionales para brindar soporte técnico y regulatorio especializado para la elaboración de documentos de recomendaciones, análisis de impacto normativo y soporte estratégico en la formulación del Plan Energético Nacional (PEN) y los p"/>
    <m/>
    <m/>
    <n v="110000000"/>
    <m/>
    <m/>
    <n v="10000000"/>
    <m/>
    <n v="10000000"/>
    <m/>
    <n v="10000000"/>
    <m/>
    <n v="10000000"/>
    <m/>
    <n v="10000000"/>
    <m/>
    <n v="10000000"/>
    <m/>
    <n v="10000000"/>
    <m/>
    <n v="10000000"/>
    <m/>
    <n v="10000000"/>
    <n v="5000000"/>
    <n v="25000000"/>
    <m/>
    <m/>
    <n v="115000000"/>
    <n v="115000000"/>
    <n v="0"/>
    <n v="0"/>
    <n v="65026"/>
    <d v="2026-01-26T00:00:00"/>
    <n v="110000000"/>
    <n v="5000000"/>
    <n v="57526"/>
    <d v="2026-02-10T00:00:00"/>
    <n v="110000000"/>
    <n v="5000000"/>
    <n v="0"/>
    <s v="CASTAÑEDA HERNANDEZ RUSSBY LILIANA"/>
    <s v="CO1.PCCNTR.9308899"/>
    <m/>
    <m/>
    <m/>
    <n v="110000000"/>
    <m/>
    <m/>
    <m/>
    <n v="6666667"/>
    <n v="6666667"/>
    <m/>
    <n v="10000000"/>
    <n v="10000000"/>
    <m/>
    <m/>
    <m/>
    <m/>
    <m/>
    <m/>
    <m/>
    <m/>
    <m/>
    <m/>
    <m/>
    <m/>
    <m/>
    <m/>
    <m/>
    <m/>
    <m/>
    <m/>
    <m/>
    <m/>
    <m/>
    <m/>
    <m/>
    <m/>
    <n v="110000000"/>
    <n v="16666667"/>
    <n v="16666667"/>
    <n v="93333333"/>
    <n v="0"/>
  </r>
  <r>
    <x v="0"/>
    <x v="5"/>
    <s v="Fortalecimiento del sector en la planificación de la atención de la demanda energética nacional y la transición energética justa a nivel nacional"/>
    <s v="Demanda"/>
    <s v="Sí"/>
    <s v="Sí"/>
    <n v="68"/>
    <s v="160-23"/>
    <s v="Desarrollar la capacidad instalada en la planificación estratégica de la atención de la demanda."/>
    <s v="Documentos Metodológicos"/>
    <s v="Documento metodológico preliminar."/>
    <n v="80111620"/>
    <s v="C-2106-1900-13-40302B-2106005-02"/>
    <x v="0"/>
    <s v="160-23 Prestar servicios profesionales para apoyar el desarrollo, mantenimiento y actualización de sistemas de información geográfica, mediante la gestión, modelamiento y administración de información espacial. Así mismo, apoyar el diseño e implementación"/>
    <s v="Enero "/>
    <s v="Enero "/>
    <s v="Enero "/>
    <n v="11.5"/>
    <s v="Meses"/>
    <s v="Contratación directa - Prestación de servicios profesionales "/>
    <s v="Propios - 20 - Ingresos corrientes"/>
    <n v="57500000"/>
    <n v="57500000"/>
    <s v="No"/>
    <s v="N/A"/>
    <s v="Johanna Castellanos"/>
    <s v="Subdirectora de Demanda"/>
    <n v="6012220626"/>
    <s v="johanna.castellanos@upme.gov.co"/>
    <n v="0"/>
    <n v="0"/>
    <n v="55000000"/>
    <n v="0"/>
    <n v="0"/>
    <n v="5000000"/>
    <n v="0"/>
    <n v="5000000"/>
    <n v="0"/>
    <n v="5000000"/>
    <n v="0"/>
    <n v="5000000"/>
    <n v="0"/>
    <n v="5000000"/>
    <n v="0"/>
    <n v="5000000"/>
    <n v="0"/>
    <n v="5000000"/>
    <n v="0"/>
    <n v="5000000"/>
    <n v="0"/>
    <n v="5000000"/>
    <n v="2500000"/>
    <n v="12500000"/>
    <n v="57500000"/>
    <n v="57500000"/>
    <n v="0"/>
    <n v="0"/>
    <s v="Prestar servicios profesionales para apoyar el desarrollo, mantenimiento y actualización de sistemas de información geográfica, mediante la gestión, modelamiento y administración de información espacial. Así mismo, apoyar el diseño e implementación de ser"/>
    <m/>
    <m/>
    <n v="55000000"/>
    <m/>
    <m/>
    <n v="5000000"/>
    <m/>
    <n v="5000000"/>
    <m/>
    <n v="5000000"/>
    <m/>
    <n v="5000000"/>
    <m/>
    <n v="5000000"/>
    <m/>
    <n v="5000000"/>
    <m/>
    <n v="5000000"/>
    <m/>
    <n v="5000000"/>
    <m/>
    <n v="5000000"/>
    <n v="2500000"/>
    <n v="12500000"/>
    <m/>
    <m/>
    <n v="57500000"/>
    <n v="57500000"/>
    <n v="0"/>
    <n v="0"/>
    <n v="60126"/>
    <d v="2026-01-23T00:00:00"/>
    <n v="53333333"/>
    <n v="4166667"/>
    <n v="52726"/>
    <d v="2026-02-10T00:00:00"/>
    <n v="53333333"/>
    <n v="4166667"/>
    <n v="0"/>
    <s v="GALINDO PEREZ DANIEL ESTEBAN"/>
    <s v="CO1.PCCNTR.9277470"/>
    <m/>
    <m/>
    <m/>
    <n v="55000000"/>
    <m/>
    <m/>
    <m/>
    <n v="3333333"/>
    <n v="3333333"/>
    <n v="-1666667"/>
    <n v="5000000"/>
    <n v="5000000"/>
    <m/>
    <m/>
    <m/>
    <m/>
    <m/>
    <m/>
    <m/>
    <m/>
    <m/>
    <m/>
    <m/>
    <m/>
    <m/>
    <m/>
    <m/>
    <m/>
    <m/>
    <m/>
    <m/>
    <m/>
    <m/>
    <m/>
    <m/>
    <m/>
    <n v="53333333"/>
    <n v="8333333"/>
    <n v="8333333"/>
    <n v="45000000"/>
    <n v="0"/>
  </r>
  <r>
    <x v="0"/>
    <x v="5"/>
    <s v="Fortalecimiento del sector en la planificación de la atención de la demanda energética nacional y la transición energética justa a nivel nacional"/>
    <s v="Demanda"/>
    <s v="Sí"/>
    <s v="Sí"/>
    <n v="4"/>
    <s v="160-24"/>
    <s v="Mejorar la representatividad en la información de la participación de los sectores económicos en el consumo de energía."/>
    <s v="Documentos de Planeación"/>
    <s v="Documento de planeación preliminar."/>
    <n v="80111620"/>
    <s v="C-2106-1900-13-40302B-2106003-02"/>
    <x v="0"/>
    <s v="160-24 Prestar servicios profesionales para apoyar la identificación, análisis y evaluación de potenciales, metas y medidas de eficiencia energética en los sectores residencial y terciario en Colombia, como insumos técnicos para la actualización y desarro"/>
    <s v="Enero "/>
    <s v="Enero "/>
    <s v="Enero "/>
    <n v="7"/>
    <s v="Meses"/>
    <s v="Contratación directa - Prestación de servicios profesionales "/>
    <s v="Propios - 20 - Ingresos corrientes"/>
    <n v="63000000"/>
    <n v="63000000"/>
    <s v="No"/>
    <s v="N/A"/>
    <s v="Johanna Castellanos"/>
    <s v="Subdirectora de Demanda"/>
    <n v="6012220627"/>
    <s v="johanna.castellanos@upme.gov.co"/>
    <n v="0"/>
    <n v="0"/>
    <n v="0"/>
    <n v="0"/>
    <n v="0"/>
    <n v="0"/>
    <n v="0"/>
    <n v="0"/>
    <n v="0"/>
    <n v="0"/>
    <n v="0"/>
    <n v="0"/>
    <n v="63000000"/>
    <n v="0"/>
    <n v="0"/>
    <n v="9000000"/>
    <n v="0"/>
    <n v="9000000"/>
    <n v="0"/>
    <n v="9000000"/>
    <n v="0"/>
    <n v="9000000"/>
    <n v="0"/>
    <n v="27000000"/>
    <n v="63000000"/>
    <n v="63000000"/>
    <n v="0"/>
    <n v="0"/>
    <s v="Prestar servicios profesionales para apoyar la identificación, análisis y evaluación de potenciales, metas y medidas de eficiencia energética en los sectores residencial y terciario en Colombia, como insumos técnicos para la actualización y desarrollo del"/>
    <m/>
    <m/>
    <m/>
    <m/>
    <m/>
    <m/>
    <m/>
    <m/>
    <m/>
    <m/>
    <m/>
    <m/>
    <n v="63000000"/>
    <m/>
    <m/>
    <n v="9000000"/>
    <m/>
    <n v="9000000"/>
    <m/>
    <n v="9000000"/>
    <m/>
    <n v="9000000"/>
    <m/>
    <n v="27000000"/>
    <m/>
    <m/>
    <n v="63000000"/>
    <n v="63000000"/>
    <n v="0"/>
    <n v="0"/>
    <n v="59126"/>
    <d v="2026-01-23T00:00:00"/>
    <n v="63000000"/>
    <n v="0"/>
    <m/>
    <m/>
    <n v="0"/>
    <n v="63000000"/>
    <n v="630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25"/>
    <s v="Mejorar la representatividad en la información de la participación de los sectores económicos en el consumo de energía."/>
    <s v="Documentos de Planeación"/>
    <s v="Documento de planeación preliminar."/>
    <n v="80111620"/>
    <s v="C-2106-1900-13-40302B-2106003-02"/>
    <x v="0"/>
    <s v="160-25 Prestar servicios de apoyo a la gestión para la conceptualización e incorporación de variables socioambientales en la construcción de escenarios energéticos, mediante el levantamiento, procesamiento y análisis de datos, así como el apoyo a la artic"/>
    <s v="Enero "/>
    <s v="Enero "/>
    <s v="Enero "/>
    <n v="11.5"/>
    <s v="Meses"/>
    <s v="Contratación directa - Prestación de servicios profesionales "/>
    <s v="Propios - 20 - Ingresos corrientes"/>
    <n v="60000000"/>
    <n v="60000000"/>
    <s v="No"/>
    <s v="N/A"/>
    <s v="Johanna Castellanos"/>
    <s v="Subdirectora de Demanda"/>
    <n v="6012220628"/>
    <s v="johanna.castellanos@upme.gov.co"/>
    <n v="0"/>
    <n v="0"/>
    <n v="55000000"/>
    <n v="0"/>
    <n v="0"/>
    <n v="5000000"/>
    <n v="0"/>
    <n v="5000000"/>
    <n v="0"/>
    <n v="5000000"/>
    <n v="0"/>
    <n v="5000000"/>
    <n v="0"/>
    <n v="5000000"/>
    <n v="0"/>
    <n v="5000000"/>
    <n v="0"/>
    <n v="5000000"/>
    <n v="0"/>
    <n v="5000000"/>
    <n v="0"/>
    <n v="5000000"/>
    <n v="5000000"/>
    <n v="15000000"/>
    <n v="60000000"/>
    <n v="60000000"/>
    <n v="0"/>
    <n v="0"/>
    <s v="Prestar servicios de apoyo a la gestión para la conceptualización e incorporación de variables socioambientales en la construcción de escenarios energéticos, mediante el levantamiento, procesamiento y análisis de datos, así como el apoyo a la articulación"/>
    <m/>
    <m/>
    <n v="55000000"/>
    <m/>
    <m/>
    <n v="5000000"/>
    <m/>
    <n v="5000000"/>
    <m/>
    <n v="5000000"/>
    <m/>
    <n v="5000000"/>
    <m/>
    <n v="5000000"/>
    <m/>
    <n v="5000000"/>
    <m/>
    <n v="5000000"/>
    <m/>
    <n v="5000000"/>
    <m/>
    <n v="5000000"/>
    <n v="5000000"/>
    <n v="15000000"/>
    <m/>
    <m/>
    <n v="60000000"/>
    <n v="60000000"/>
    <n v="0"/>
    <n v="0"/>
    <n v="36926"/>
    <d v="2026-01-15T00:00:00"/>
    <n v="53333333"/>
    <n v="6666667"/>
    <n v="56726"/>
    <d v="2026-02-10T00:00:00"/>
    <n v="53333333"/>
    <n v="6666667"/>
    <n v="0"/>
    <s v="MUÑOZ MORA NICOLAS"/>
    <s v="CO1.PCCNTR.9277416"/>
    <m/>
    <m/>
    <m/>
    <n v="55000000"/>
    <m/>
    <m/>
    <n v="-1666667"/>
    <n v="3333333"/>
    <n v="3333333"/>
    <m/>
    <n v="5000000"/>
    <n v="5000000"/>
    <m/>
    <m/>
    <m/>
    <m/>
    <m/>
    <m/>
    <m/>
    <m/>
    <m/>
    <m/>
    <m/>
    <m/>
    <m/>
    <m/>
    <m/>
    <m/>
    <m/>
    <m/>
    <m/>
    <m/>
    <m/>
    <m/>
    <m/>
    <m/>
    <n v="53333333"/>
    <n v="8333333"/>
    <n v="8333333"/>
    <n v="45000000"/>
    <n v="0"/>
  </r>
  <r>
    <x v="0"/>
    <x v="5"/>
    <s v="Fortalecimiento del sector en la planificación de la atención de la demanda energética nacional y la transición energética justa a nivel nacional"/>
    <s v="Demanda"/>
    <s v="Sí"/>
    <s v="Sí"/>
    <n v="68"/>
    <s v="160-26"/>
    <s v="Mejorar la representatividad en la información de la participación de los sectores económicos en el consumo de energía."/>
    <s v="Documentos de Planeación"/>
    <s v="Divulgación"/>
    <n v="80111620"/>
    <s v="C-2106-1900-13-40302B-2106003-02"/>
    <x v="0"/>
    <s v="160-26 Prestar los servicios profesionales para realizar el seguimiento a la demanda de energía de los grandes consumidores, para establecer el impacto en las proyecciones de demanda en los diferentes planes de la entidad, en aras de impulsar las FNCE y l"/>
    <s v="Enero "/>
    <s v="Enero "/>
    <s v="Enero "/>
    <n v="11.5"/>
    <s v="Meses"/>
    <s v="Contratación directa - Prestación de servicios profesionales "/>
    <s v="Propios - 20 - Ingresos corrientes"/>
    <n v="103615412"/>
    <n v="103615412"/>
    <s v="No"/>
    <s v="N/A"/>
    <s v="Johanna Castellanos"/>
    <s v="Subdirectora de Demanda"/>
    <n v="6012220629"/>
    <s v="johanna.castellanos@upme.gov.co"/>
    <n v="0"/>
    <n v="0"/>
    <n v="103615412"/>
    <n v="0"/>
    <n v="0"/>
    <n v="9650000"/>
    <n v="0"/>
    <n v="9650000"/>
    <n v="0"/>
    <n v="9650000"/>
    <n v="0"/>
    <n v="9650000"/>
    <n v="0"/>
    <n v="9650000"/>
    <n v="0"/>
    <n v="9650000"/>
    <n v="0"/>
    <n v="9650000"/>
    <n v="0"/>
    <n v="9650000"/>
    <n v="0"/>
    <n v="8395342"/>
    <n v="0"/>
    <n v="18020070"/>
    <n v="103615412"/>
    <n v="103615412"/>
    <n v="0"/>
    <n v="0"/>
    <s v="Prestar los servicios profesionales para realizar el seguimiento a la demanda de energía de los grandes consumidores, para establecer el impacto en las proyecciones de demanda en los diferentes planes de la entidad, en aras de impulsar las FNCE y la GEE; "/>
    <m/>
    <m/>
    <n v="103615412"/>
    <m/>
    <m/>
    <n v="9650000"/>
    <m/>
    <n v="9650000"/>
    <m/>
    <n v="9650000"/>
    <m/>
    <n v="9650000"/>
    <m/>
    <n v="9650000"/>
    <m/>
    <n v="9650000"/>
    <m/>
    <n v="9650000"/>
    <m/>
    <n v="9650000"/>
    <m/>
    <n v="8395342"/>
    <m/>
    <n v="18020070"/>
    <m/>
    <m/>
    <n v="103615412"/>
    <n v="103615412"/>
    <n v="0"/>
    <n v="0"/>
    <n v="60426"/>
    <d v="2026-01-23T00:00:00"/>
    <n v="102611667"/>
    <n v="1003745"/>
    <n v="59026"/>
    <d v="2026-02-11T00:00:00"/>
    <n v="102611667"/>
    <n v="1003745"/>
    <n v="0"/>
    <s v="BEDOYA VELEZ LUISA FERNANDA"/>
    <s v="CO1.PCCNTR.9277747"/>
    <m/>
    <m/>
    <m/>
    <n v="103615412"/>
    <m/>
    <m/>
    <n v="-1003745"/>
    <n v="6111667"/>
    <n v="6111667"/>
    <m/>
    <n v="9650000"/>
    <n v="9650000"/>
    <m/>
    <m/>
    <m/>
    <m/>
    <m/>
    <m/>
    <m/>
    <m/>
    <m/>
    <m/>
    <m/>
    <m/>
    <m/>
    <m/>
    <m/>
    <m/>
    <m/>
    <m/>
    <m/>
    <m/>
    <m/>
    <m/>
    <m/>
    <m/>
    <n v="102611667"/>
    <n v="15761667"/>
    <n v="15761667"/>
    <n v="86850000"/>
    <n v="0"/>
  </r>
  <r>
    <x v="0"/>
    <x v="5"/>
    <s v="Fortalecimiento del sector en la planificación de la atención de la demanda energética nacional y la transición energética justa a nivel nacional"/>
    <s v="Demanda"/>
    <s v="Sí"/>
    <s v="Sí"/>
    <n v="68"/>
    <s v="160-27"/>
    <s v="Fomentar la articulación de la política pública, el marco regulatorio y la visión de gobierno."/>
    <s v="Documentos de Lineamientos Técnicos"/>
    <s v="Documento con la descripción de procesos, métodos y herramientas."/>
    <n v="80111620"/>
    <s v="C-2106-1900-13-40302B-2106010-02"/>
    <x v="0"/>
    <s v="160-27 Prestar los servicios profesionales para realizar el seguimiento a la demanda de energía de los grandes consumidores, para establecer el impacto en las proyecciones de demanda en los diferentes planes de la entidad, en aras de impulsar las FNCE y l"/>
    <s v="Enero "/>
    <s v="Enero "/>
    <s v="Enero "/>
    <n v="11.5"/>
    <s v="Meses"/>
    <s v="Contratación directa - Prestación de servicios profesionales "/>
    <s v="Propios - 20 - Ingresos corrientes"/>
    <n v="11384588"/>
    <n v="11384588"/>
    <s v="No"/>
    <s v="N/A"/>
    <s v="Johanna Castellanos"/>
    <s v="Subdirectora de Demanda"/>
    <n v="6012220629"/>
    <s v="johanna.castellanos@upme.gov.co"/>
    <n v="0"/>
    <n v="0"/>
    <n v="2534588"/>
    <n v="0"/>
    <n v="0"/>
    <n v="0"/>
    <n v="0"/>
    <n v="0"/>
    <n v="0"/>
    <n v="0"/>
    <n v="0"/>
    <n v="0"/>
    <n v="0"/>
    <n v="0"/>
    <n v="0"/>
    <n v="0"/>
    <n v="0"/>
    <n v="0"/>
    <n v="0"/>
    <n v="0"/>
    <n v="0"/>
    <n v="1254658"/>
    <n v="8850000"/>
    <n v="10129930"/>
    <n v="11384588"/>
    <n v="11384588"/>
    <n v="0"/>
    <n v="0"/>
    <s v="Prestar los servicios profesionales para realizar el seguimiento a la demanda de energía de los grandes consumidores, para establecer el impacto en las proyecciones de demanda en los diferentes planes de la entidad, en aras de impulsar las FNCE y la GEE; "/>
    <m/>
    <m/>
    <n v="2534588"/>
    <m/>
    <m/>
    <m/>
    <m/>
    <m/>
    <m/>
    <m/>
    <m/>
    <m/>
    <m/>
    <m/>
    <m/>
    <m/>
    <m/>
    <m/>
    <m/>
    <m/>
    <m/>
    <n v="1254658"/>
    <n v="8850000"/>
    <n v="10129930"/>
    <m/>
    <m/>
    <n v="11384588"/>
    <n v="11384588"/>
    <n v="0"/>
    <n v="0"/>
    <n v="60426"/>
    <d v="2026-01-23T00:00:00"/>
    <n v="8850000"/>
    <n v="2534588"/>
    <n v="59026"/>
    <d v="2026-02-11T00:00:00"/>
    <n v="0"/>
    <n v="11384588"/>
    <n v="8850000"/>
    <s v="BEDOYA VELEZ LUISA FERNANDA"/>
    <s v="CO1.PCCNTR.9277747"/>
    <m/>
    <m/>
    <m/>
    <n v="2534588"/>
    <m/>
    <m/>
    <n v="-2534588"/>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28"/>
    <s v="Mejorar la representatividad en la información de la participación de los sectores económicos en el consumo de energía."/>
    <s v="Documentos de Planeación"/>
    <s v="Documento de planeación preliminar."/>
    <n v="80111620"/>
    <s v="C-2106-1900-13-40302B-2106003-02"/>
    <x v="0"/>
    <s v="160-28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1"/>
    <s v="johanna.castellanos@upme.gov.co"/>
    <n v="0"/>
    <n v="0"/>
    <n v="0"/>
    <n v="0"/>
    <n v="0"/>
    <n v="0"/>
    <n v="0"/>
    <n v="0"/>
    <n v="0"/>
    <n v="0"/>
    <n v="0"/>
    <n v="0"/>
    <n v="0"/>
    <n v="0"/>
    <n v="17100000"/>
    <n v="0"/>
    <n v="0"/>
    <n v="3420000"/>
    <n v="0"/>
    <n v="3420000"/>
    <n v="0"/>
    <n v="3420000"/>
    <n v="0"/>
    <n v="684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m/>
    <m/>
    <n v="17100000"/>
    <m/>
    <m/>
    <n v="3420000"/>
    <m/>
    <n v="3420000"/>
    <m/>
    <n v="3420000"/>
    <m/>
    <n v="6840000"/>
    <m/>
    <m/>
    <n v="17100000"/>
    <n v="17100000"/>
    <n v="0"/>
    <n v="0"/>
    <n v="58226"/>
    <d v="2026-01-23T00:00:00"/>
    <n v="17100000"/>
    <n v="0"/>
    <m/>
    <m/>
    <n v="0"/>
    <n v="17100000"/>
    <n v="171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29"/>
    <s v="Mejorar la representatividad en la información de la participación de los sectores económicos en el consumo de energía."/>
    <s v="Documentos de Planeación"/>
    <s v="Documento de planeación preliminar."/>
    <n v="80111620"/>
    <s v="C-2106-1900-13-40302B-2106003-02"/>
    <x v="0"/>
    <s v="160-29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2"/>
    <s v="johanna.castellanos@upme.gov.co"/>
    <n v="0"/>
    <n v="0"/>
    <n v="16344000"/>
    <n v="0"/>
    <n v="0"/>
    <n v="2270000"/>
    <n v="0"/>
    <n v="2270000"/>
    <n v="0"/>
    <n v="2270000"/>
    <n v="0"/>
    <n v="2270000"/>
    <n v="0"/>
    <n v="2270000"/>
    <n v="0"/>
    <n v="2270000"/>
    <n v="0"/>
    <n v="2270000"/>
    <n v="0"/>
    <n v="1210000"/>
    <n v="0"/>
    <n v="0"/>
    <n v="756000"/>
    <n v="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n v="16344000"/>
    <m/>
    <m/>
    <n v="2270000"/>
    <m/>
    <n v="2270000"/>
    <m/>
    <n v="2270000"/>
    <m/>
    <n v="2270000"/>
    <m/>
    <n v="2270000"/>
    <m/>
    <n v="2270000"/>
    <m/>
    <n v="2270000"/>
    <m/>
    <n v="1210000"/>
    <m/>
    <m/>
    <n v="756000"/>
    <m/>
    <m/>
    <m/>
    <n v="17100000"/>
    <n v="17100000"/>
    <n v="0"/>
    <n v="0"/>
    <n v="58126"/>
    <d v="2026-01-23T00:00:00"/>
    <n v="17100000"/>
    <n v="0"/>
    <n v="57226"/>
    <d v="2026-02-10T00:00:00"/>
    <n v="16344000"/>
    <n v="756000"/>
    <n v="756000"/>
    <s v="MORA TURIZO GERMAN"/>
    <s v="CO1.PCCNTR.9306727"/>
    <m/>
    <m/>
    <m/>
    <n v="16344000"/>
    <m/>
    <m/>
    <m/>
    <n v="1589000"/>
    <n v="1589000"/>
    <m/>
    <n v="2270000"/>
    <n v="2270000"/>
    <m/>
    <m/>
    <m/>
    <m/>
    <m/>
    <m/>
    <m/>
    <m/>
    <m/>
    <m/>
    <m/>
    <m/>
    <m/>
    <m/>
    <m/>
    <m/>
    <m/>
    <m/>
    <m/>
    <m/>
    <m/>
    <m/>
    <m/>
    <m/>
    <n v="16344000"/>
    <n v="3859000"/>
    <n v="3859000"/>
    <n v="12485000"/>
    <n v="0"/>
  </r>
  <r>
    <x v="0"/>
    <x v="5"/>
    <s v="Fortalecimiento del sector en la planificación de la atención de la demanda energética nacional y la transición energética justa a nivel nacional"/>
    <s v="Demanda"/>
    <s v="Sí"/>
    <s v="Sí"/>
    <n v="68"/>
    <s v="160-30"/>
    <s v="Mejorar la representatividad en la información de la participación de los sectores económicos en el consumo de energía."/>
    <s v="Documentos de Planeación"/>
    <s v="Documento de planeación preliminar."/>
    <n v="80111620"/>
    <s v="C-2106-1900-13-40302B-2106003-02"/>
    <x v="0"/>
    <s v="160-30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2"/>
    <s v="Meses"/>
    <s v="Contratación directa - Prestación de servicios profesionales "/>
    <s v="Propios - 20 - Ingresos corrientes"/>
    <n v="16800000"/>
    <n v="16800000"/>
    <s v="No"/>
    <s v="N/A"/>
    <s v="Johanna Castellanos"/>
    <s v="Subdirectora de Demanda"/>
    <n v="6012220632"/>
    <s v="johanna.castellanos@upme.gov.co"/>
    <n v="0"/>
    <n v="0"/>
    <n v="0"/>
    <n v="0"/>
    <n v="0"/>
    <n v="0"/>
    <n v="0"/>
    <n v="0"/>
    <n v="0"/>
    <n v="0"/>
    <n v="0"/>
    <n v="0"/>
    <n v="0"/>
    <n v="0"/>
    <n v="16800000"/>
    <n v="0"/>
    <n v="0"/>
    <n v="3360000"/>
    <n v="0"/>
    <n v="3360000"/>
    <n v="0"/>
    <n v="3360000"/>
    <n v="0"/>
    <n v="6720000"/>
    <n v="16800000"/>
    <n v="168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m/>
    <m/>
    <n v="16800000"/>
    <m/>
    <m/>
    <n v="3360000"/>
    <m/>
    <n v="3360000"/>
    <m/>
    <n v="3360000"/>
    <m/>
    <n v="6720000"/>
    <m/>
    <m/>
    <n v="16800000"/>
    <n v="16800000"/>
    <n v="0"/>
    <n v="0"/>
    <n v="57926"/>
    <d v="2026-01-23T00:00:00"/>
    <n v="16800000"/>
    <n v="0"/>
    <m/>
    <m/>
    <n v="0"/>
    <n v="16800000"/>
    <n v="168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31"/>
    <s v="Mejorar la representatividad en la información de la participación de los sectores económicos en el consumo de energía."/>
    <s v="Documentos de Planeación"/>
    <s v="Documento de planeación preliminar."/>
    <n v="80111620"/>
    <s v="C-2106-1900-13-40302B-2106003-02"/>
    <x v="0"/>
    <s v="160-31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3"/>
    <s v="johanna.castellanos@upme.gov.co"/>
    <n v="0"/>
    <n v="0"/>
    <n v="0"/>
    <n v="0"/>
    <n v="0"/>
    <n v="0"/>
    <n v="0"/>
    <n v="0"/>
    <n v="0"/>
    <n v="0"/>
    <n v="0"/>
    <n v="0"/>
    <n v="17100000"/>
    <n v="0"/>
    <n v="0"/>
    <n v="4000000"/>
    <n v="0"/>
    <n v="4000000"/>
    <n v="0"/>
    <n v="4000000"/>
    <n v="0"/>
    <n v="4000000"/>
    <n v="0"/>
    <n v="110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n v="17100000"/>
    <m/>
    <m/>
    <n v="4000000"/>
    <m/>
    <n v="4000000"/>
    <m/>
    <n v="4000000"/>
    <m/>
    <n v="4000000"/>
    <m/>
    <n v="1100000"/>
    <m/>
    <m/>
    <n v="17100000"/>
    <n v="17100000"/>
    <n v="0"/>
    <n v="0"/>
    <n v="57826"/>
    <d v="2026-01-23T00:00:00"/>
    <n v="17100000"/>
    <n v="0"/>
    <n v="50426"/>
    <d v="2026-02-09T00:00:00"/>
    <n v="16344000"/>
    <n v="756000"/>
    <n v="756000"/>
    <s v="SUAREZ PEREZ ANDRES LEONARDO"/>
    <s v="CO1.PCCNTR.9294848"/>
    <m/>
    <m/>
    <m/>
    <n v="16344000"/>
    <m/>
    <m/>
    <m/>
    <n v="1589000"/>
    <n v="1589000"/>
    <m/>
    <n v="2270000"/>
    <n v="2270000"/>
    <m/>
    <m/>
    <m/>
    <m/>
    <m/>
    <m/>
    <m/>
    <m/>
    <m/>
    <m/>
    <m/>
    <m/>
    <m/>
    <m/>
    <m/>
    <m/>
    <m/>
    <m/>
    <m/>
    <m/>
    <m/>
    <m/>
    <m/>
    <m/>
    <n v="16344000"/>
    <n v="3859000"/>
    <n v="3859000"/>
    <n v="12485000"/>
    <n v="0"/>
  </r>
  <r>
    <x v="0"/>
    <x v="5"/>
    <s v="Fortalecimiento del sector en la planificación de la atención de la demanda energética nacional y la transición energética justa a nivel nacional"/>
    <s v="Demanda"/>
    <s v="Sí"/>
    <s v="Sí"/>
    <n v="68"/>
    <s v="160-32"/>
    <s v="Desarrollar la capacidad instalada en la planificación estratégica de la atención de la demanda."/>
    <s v="Documentos Metodológicos"/>
    <s v="Documento metodológico preliminar."/>
    <n v="80111620"/>
    <s v="C-2106-1900-13-40302B-2106005-02"/>
    <x v="0"/>
    <s v="160-32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3"/>
    <s v="johanna.castellanos@upme.gov.co"/>
    <n v="0"/>
    <n v="0"/>
    <n v="0"/>
    <n v="0"/>
    <n v="0"/>
    <n v="0"/>
    <n v="0"/>
    <n v="0"/>
    <n v="0"/>
    <n v="0"/>
    <n v="0"/>
    <n v="0"/>
    <n v="17100000"/>
    <n v="0"/>
    <n v="0"/>
    <n v="4000000"/>
    <n v="0"/>
    <n v="4000000"/>
    <n v="0"/>
    <n v="4000000"/>
    <n v="0"/>
    <n v="4000000"/>
    <n v="0"/>
    <n v="110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n v="17100000"/>
    <m/>
    <m/>
    <n v="4000000"/>
    <m/>
    <n v="4000000"/>
    <m/>
    <n v="4000000"/>
    <m/>
    <n v="4000000"/>
    <m/>
    <n v="1100000"/>
    <m/>
    <m/>
    <n v="17100000"/>
    <n v="17100000"/>
    <n v="0"/>
    <n v="0"/>
    <n v="62626"/>
    <d v="2026-01-23T00:00:00"/>
    <n v="16500000"/>
    <n v="600000"/>
    <n v="53826"/>
    <d v="2026-02-10T00:00:00"/>
    <n v="16344000"/>
    <n v="756000"/>
    <n v="156000"/>
    <s v="GARCIA CESPEDES DANIELA"/>
    <s v="CO1.PCCNTR.9299681"/>
    <m/>
    <m/>
    <m/>
    <n v="16344000"/>
    <m/>
    <m/>
    <m/>
    <n v="1513333"/>
    <n v="1513333"/>
    <m/>
    <n v="2270000"/>
    <n v="2270000"/>
    <m/>
    <m/>
    <m/>
    <m/>
    <m/>
    <m/>
    <m/>
    <m/>
    <m/>
    <m/>
    <m/>
    <m/>
    <m/>
    <m/>
    <m/>
    <m/>
    <m/>
    <m/>
    <m/>
    <m/>
    <m/>
    <m/>
    <m/>
    <m/>
    <n v="16344000"/>
    <n v="3783333"/>
    <n v="3783333"/>
    <n v="12560667"/>
    <n v="0"/>
  </r>
  <r>
    <x v="0"/>
    <x v="5"/>
    <s v="Fortalecimiento del sector en la planificación de la atención de la demanda energética nacional y la transición energética justa a nivel nacional"/>
    <s v="Demanda"/>
    <s v="Sí"/>
    <s v="Sí"/>
    <n v="68"/>
    <s v="160-33"/>
    <s v="Desarrollar la capacidad instalada en la planificación estratégica de la atención de la demanda."/>
    <s v="Documentos Metodológicos"/>
    <s v="Documento metodológico validado."/>
    <n v="80111620"/>
    <s v="C-2106-1900-13-40302B-2106005-02"/>
    <x v="0"/>
    <s v="160-33 Prestar servicios profesionales para la construcción de modelos matemáticos y de analítica de datos, así como la elaboración y divulgación de documentos de planeación, en el marco de la Transición Energética Justa, TEJ."/>
    <s v="Enero "/>
    <s v="Enero "/>
    <s v="Enero "/>
    <n v="11.5"/>
    <s v="Meses"/>
    <s v="Contratación directa - Prestación de servicios profesionales "/>
    <s v="Propios - 20 - Ingresos corrientes"/>
    <n v="72300000"/>
    <n v="72300000"/>
    <s v="No"/>
    <s v="N/A"/>
    <s v="Johanna Castellanos"/>
    <s v="Subdirectora de Demanda"/>
    <n v="6012220634"/>
    <s v="johanna.castellanos@upme.gov.co"/>
    <n v="0"/>
    <n v="0"/>
    <n v="36080000"/>
    <n v="0"/>
    <n v="0"/>
    <n v="3280000"/>
    <n v="0"/>
    <n v="3280000"/>
    <n v="0"/>
    <n v="3280000"/>
    <n v="0"/>
    <n v="3280000"/>
    <n v="0"/>
    <n v="3280000"/>
    <n v="0"/>
    <n v="3280000"/>
    <n v="0"/>
    <n v="3280000"/>
    <n v="0"/>
    <n v="3280000"/>
    <n v="18110000"/>
    <n v="3280000"/>
    <n v="18110000"/>
    <n v="42780000"/>
    <n v="72300000"/>
    <n v="72300000"/>
    <n v="0"/>
    <n v="0"/>
    <s v="Prestar servicios profesionales para la construcción de modelos matemáticos y de analítica de datos, así como la elaboración y divulgación de documentos de planeación, en el marco de la Transición Energética Justa, TEJ."/>
    <m/>
    <m/>
    <n v="36080000"/>
    <m/>
    <m/>
    <n v="3280000"/>
    <m/>
    <n v="3280000"/>
    <m/>
    <n v="3280000"/>
    <m/>
    <n v="3280000"/>
    <m/>
    <n v="3280000"/>
    <m/>
    <n v="3280000"/>
    <m/>
    <n v="3280000"/>
    <m/>
    <n v="3280000"/>
    <n v="18110000"/>
    <n v="3280000"/>
    <n v="18110000"/>
    <n v="42780000"/>
    <m/>
    <m/>
    <n v="72300000"/>
    <n v="72300000"/>
    <n v="0"/>
    <n v="0"/>
    <n v="48626"/>
    <d v="2026-01-19T00:00:00"/>
    <n v="71300000"/>
    <n v="1000000"/>
    <n v="56226"/>
    <d v="2026-02-10T00:00:00"/>
    <n v="34986667"/>
    <n v="37313333"/>
    <n v="36313333"/>
    <s v="CAMARGO BERTEL ANDRES ANDRE"/>
    <s v="CO1.PCCNTR.9288240"/>
    <m/>
    <m/>
    <m/>
    <n v="36080000"/>
    <m/>
    <m/>
    <n v="-1093333"/>
    <m/>
    <m/>
    <m/>
    <m/>
    <m/>
    <m/>
    <m/>
    <m/>
    <m/>
    <m/>
    <m/>
    <m/>
    <m/>
    <m/>
    <m/>
    <m/>
    <m/>
    <m/>
    <m/>
    <m/>
    <m/>
    <m/>
    <m/>
    <m/>
    <m/>
    <m/>
    <m/>
    <m/>
    <m/>
    <n v="34986667"/>
    <n v="0"/>
    <n v="0"/>
    <n v="34986667"/>
    <n v="0"/>
  </r>
  <r>
    <x v="0"/>
    <x v="5"/>
    <s v="Fortalecimiento del sector en la planificación de la atención de la demanda energética nacional y la transición energética justa a nivel nacional"/>
    <s v="Demanda"/>
    <s v="Sí"/>
    <s v="Sí"/>
    <n v="68"/>
    <s v="160-34"/>
    <s v="Desarrollar la capacidad instalada en la planificación estratégica de la atención de la demanda."/>
    <s v="Documentos Metodológicos"/>
    <s v="Diagnóstico"/>
    <n v="80111620"/>
    <s v="C-2106-1900-13-40302B-2106005-02"/>
    <x v="0"/>
    <s v="160-34 Prestar servicios profesionales para el diseño, desarrollo, mantenimiento y despliegue de aplicaciones web que soporten los planes, estudios, documentos técnicos y productos desarrollados por la Subdirección de Demanda. Así mismo, apoyar la impleme"/>
    <s v="Enero "/>
    <s v="Enero "/>
    <s v="Enero "/>
    <n v="11.5"/>
    <s v="Meses"/>
    <s v="Contratación directa - Prestación de servicios profesionales "/>
    <s v="Propios - 20 - Ingresos corrientes"/>
    <n v="80500000"/>
    <n v="80500000"/>
    <s v="No"/>
    <s v="N/A"/>
    <s v="Johanna Castellanos"/>
    <s v="Subdirectora de Demanda"/>
    <n v="6012220636"/>
    <s v="johanna.castellanos@upme.gov.co"/>
    <n v="0"/>
    <n v="0"/>
    <n v="77000000"/>
    <n v="0"/>
    <n v="0"/>
    <n v="7000000"/>
    <n v="0"/>
    <n v="7000000"/>
    <n v="0"/>
    <n v="7000000"/>
    <n v="0"/>
    <n v="7000000"/>
    <n v="0"/>
    <n v="7000000"/>
    <n v="0"/>
    <n v="7000000"/>
    <n v="0"/>
    <n v="7000000"/>
    <n v="0"/>
    <n v="7000000"/>
    <n v="0"/>
    <n v="7000000"/>
    <n v="3500000"/>
    <n v="17500000"/>
    <n v="80500000"/>
    <n v="80500000"/>
    <n v="0"/>
    <n v="0"/>
    <s v="Prestar servicios profesionales para el diseño, desarrollo, mantenimiento y despliegue de aplicaciones web que soporten los planes, estudios, documentos técnicos y productos desarrollados por la Subdirección de Demanda. Así mismo, apoyar la implementación"/>
    <m/>
    <m/>
    <n v="77000000"/>
    <m/>
    <m/>
    <n v="7000000"/>
    <m/>
    <n v="7000000"/>
    <m/>
    <n v="7000000"/>
    <m/>
    <n v="7000000"/>
    <m/>
    <n v="7000000"/>
    <m/>
    <n v="7000000"/>
    <m/>
    <n v="7000000"/>
    <m/>
    <n v="7000000"/>
    <m/>
    <n v="7000000"/>
    <n v="3500000"/>
    <n v="17500000"/>
    <m/>
    <m/>
    <n v="80500000"/>
    <n v="80500000"/>
    <n v="0"/>
    <n v="0"/>
    <n v="58826"/>
    <d v="2026-01-23T00:00:00"/>
    <n v="77000000"/>
    <n v="3500000"/>
    <n v="57026"/>
    <d v="2026-02-10T00:00:00"/>
    <n v="77000000"/>
    <n v="3500000"/>
    <n v="0"/>
    <s v="AGREDA DELGADO JUAN ALEXANDER"/>
    <s v="CO1.PCCNTR.9304360"/>
    <m/>
    <m/>
    <m/>
    <n v="77000000"/>
    <m/>
    <m/>
    <m/>
    <n v="4666667"/>
    <n v="4666667"/>
    <m/>
    <n v="7000000"/>
    <n v="7000000"/>
    <m/>
    <m/>
    <m/>
    <m/>
    <m/>
    <m/>
    <m/>
    <m/>
    <m/>
    <m/>
    <m/>
    <m/>
    <m/>
    <m/>
    <m/>
    <m/>
    <m/>
    <m/>
    <m/>
    <m/>
    <m/>
    <m/>
    <m/>
    <m/>
    <n v="77000000"/>
    <n v="11666667"/>
    <n v="11666667"/>
    <n v="65333333"/>
    <n v="0"/>
  </r>
  <r>
    <x v="0"/>
    <x v="5"/>
    <s v="Fortalecimiento del sector en la planificación de la atención de la demanda energética nacional y la transición energética justa a nivel nacional"/>
    <s v="Demanda"/>
    <s v="Sí"/>
    <s v="Sí"/>
    <n v="68"/>
    <s v="160-35"/>
    <s v="Desarrollar la capacidad instalada en la planificación estratégica de la atención de la demanda."/>
    <s v="Documentos Metodológicos"/>
    <s v="Documento metodológico preliminar."/>
    <n v="80111620"/>
    <s v="C-2106-1900-13-40302B-2106005-02"/>
    <x v="0"/>
    <s v="160-35 Prestar servicios profesionales en análisis de datos energéticos para el BECO, incluyendo la revisión y aseguramiento de la calidad de la información, la creación de documentos técnicos, el apoyo en procesos de certificación y la elaboración de est"/>
    <s v="Enero "/>
    <s v="Enero "/>
    <s v="Enero "/>
    <n v="11.2"/>
    <s v="Meses"/>
    <s v="Contratación directa - Prestación de servicios profesionales "/>
    <s v="Propios - 20 - Ingresos corrientes"/>
    <n v="67200000"/>
    <n v="67200000"/>
    <s v="No"/>
    <s v="N/A"/>
    <s v="Johanna Castellanos"/>
    <s v="Subdirectora de Demanda"/>
    <n v="6012220637"/>
    <s v="johanna.castellanos@upme.gov.co"/>
    <n v="0"/>
    <n v="0"/>
    <n v="66000000"/>
    <n v="0"/>
    <n v="0"/>
    <n v="6000000"/>
    <n v="0"/>
    <n v="6000000"/>
    <n v="0"/>
    <n v="6000000"/>
    <n v="0"/>
    <n v="6000000"/>
    <n v="0"/>
    <n v="6000000"/>
    <n v="0"/>
    <n v="6000000"/>
    <n v="0"/>
    <n v="6000000"/>
    <n v="0"/>
    <n v="6000000"/>
    <n v="0"/>
    <n v="6000000"/>
    <n v="1200000"/>
    <n v="13200000"/>
    <n v="67200000"/>
    <n v="67200000"/>
    <n v="0"/>
    <n v="0"/>
    <s v="Prestar servicios profesionales en análisis de datos energéticos para el BECO, incluyendo la revisión y aseguramiento de la calidad de la información, la creación de documentos técnicos, el apoyo en procesos de certificación y la elaboración de estadístic"/>
    <m/>
    <m/>
    <n v="66000000"/>
    <m/>
    <m/>
    <n v="6000000"/>
    <m/>
    <n v="6000000"/>
    <m/>
    <n v="6000000"/>
    <m/>
    <n v="6000000"/>
    <m/>
    <n v="6000000"/>
    <m/>
    <n v="6000000"/>
    <m/>
    <n v="6000000"/>
    <m/>
    <n v="6000000"/>
    <m/>
    <n v="6000000"/>
    <n v="1200000"/>
    <n v="13200000"/>
    <m/>
    <m/>
    <n v="67200000"/>
    <n v="67200000"/>
    <n v="0"/>
    <n v="0"/>
    <n v="52126"/>
    <d v="2026-01-20T00:00:00"/>
    <n v="67200000"/>
    <n v="0"/>
    <n v="56826"/>
    <d v="2026-02-10T00:00:00"/>
    <n v="66000000"/>
    <n v="1200000"/>
    <n v="1200000"/>
    <s v="CASALLAS GARCIA SANDRA MILENA"/>
    <s v="CO1.PCCNTR.9305782"/>
    <m/>
    <m/>
    <m/>
    <n v="66000000"/>
    <m/>
    <m/>
    <m/>
    <n v="4000000"/>
    <n v="4000000"/>
    <m/>
    <n v="6000000"/>
    <n v="6000000"/>
    <m/>
    <m/>
    <m/>
    <m/>
    <m/>
    <m/>
    <m/>
    <m/>
    <m/>
    <m/>
    <m/>
    <m/>
    <m/>
    <m/>
    <m/>
    <m/>
    <m/>
    <m/>
    <m/>
    <m/>
    <m/>
    <m/>
    <m/>
    <m/>
    <n v="66000000"/>
    <n v="10000000"/>
    <n v="10000000"/>
    <n v="56000000"/>
    <n v="0"/>
  </r>
  <r>
    <x v="0"/>
    <x v="5"/>
    <s v="Fortalecimiento del sector en la planificación de la atención de la demanda energética nacional y la transición energética justa a nivel nacional"/>
    <s v="Demanda"/>
    <s v="Sí"/>
    <s v="Sí"/>
    <n v="9"/>
    <s v="160-36"/>
    <s v="Mejorar la representatividad en la información de la participación de los sectores económicos en el consumo de energía."/>
    <s v="Documentos de Planeación"/>
    <s v="Documento de planeación preliminar."/>
    <n v="80111620"/>
    <s v="C-2106-1900-13-40302B-2106003-02"/>
    <x v="0"/>
    <s v="160-36 Prestar servicios profesionales para el análisis de información energética, contribuyendo a  la elaboración de estudios, reportes e indicadores."/>
    <s v="Enero "/>
    <s v="Enero "/>
    <s v="Enero "/>
    <n v="11"/>
    <s v="Meses"/>
    <s v="Contratación directa - Prestación de servicios profesionales "/>
    <s v="Propios - 21 - Otros recursos de tesorería"/>
    <n v="37449000"/>
    <n v="37449000"/>
    <s v="No"/>
    <s v="N/A"/>
    <s v="Johanna Castellanos"/>
    <s v="Subdirectora de Demanda"/>
    <n v="6012220640"/>
    <s v="johanna.castellanos@upme.gov.co"/>
    <n v="0"/>
    <n v="0"/>
    <n v="36135000"/>
    <n v="0"/>
    <n v="0"/>
    <n v="3285000"/>
    <n v="0"/>
    <n v="3285000"/>
    <n v="0"/>
    <n v="3285000"/>
    <n v="0"/>
    <n v="3285000"/>
    <n v="0"/>
    <n v="3285000"/>
    <n v="0"/>
    <n v="3285000"/>
    <n v="0"/>
    <n v="3285000"/>
    <n v="0"/>
    <n v="3285000"/>
    <n v="0"/>
    <n v="3285000"/>
    <n v="1314000"/>
    <n v="7884000"/>
    <n v="37449000"/>
    <n v="37449000"/>
    <n v="0"/>
    <n v="0"/>
    <s v="Prestar servicios profesionales para el análisis de información energética, contribuyendo a  la elaboración de estudios, reportes e indicadores."/>
    <m/>
    <m/>
    <n v="36135000"/>
    <m/>
    <m/>
    <n v="3285000"/>
    <m/>
    <n v="3285000"/>
    <m/>
    <n v="3285000"/>
    <m/>
    <n v="3285000"/>
    <m/>
    <n v="3285000"/>
    <m/>
    <n v="3285000"/>
    <m/>
    <n v="3285000"/>
    <m/>
    <n v="3285000"/>
    <m/>
    <n v="3285000"/>
    <n v="1314000"/>
    <n v="7884000"/>
    <m/>
    <m/>
    <n v="37449000"/>
    <n v="37449000"/>
    <n v="0"/>
    <n v="0"/>
    <n v="67326"/>
    <d v="2026-01-29T00:00:00"/>
    <n v="35040000"/>
    <n v="2409000"/>
    <n v="55326"/>
    <d v="2026-02-10T00:00:00"/>
    <n v="35040000"/>
    <n v="2409000"/>
    <n v="0"/>
    <s v="PLATA CUCHIMAQUE NATALIA"/>
    <s v="CO1.PCCNTR.9308969"/>
    <m/>
    <m/>
    <m/>
    <n v="36135000"/>
    <m/>
    <m/>
    <m/>
    <n v="2190000"/>
    <n v="2190000"/>
    <n v="-1095000"/>
    <n v="3285000"/>
    <n v="3285000"/>
    <m/>
    <m/>
    <m/>
    <m/>
    <m/>
    <m/>
    <m/>
    <m/>
    <m/>
    <m/>
    <m/>
    <m/>
    <m/>
    <m/>
    <m/>
    <m/>
    <m/>
    <m/>
    <m/>
    <m/>
    <m/>
    <m/>
    <m/>
    <m/>
    <n v="35040000"/>
    <n v="5475000"/>
    <n v="5475000"/>
    <n v="29565000"/>
    <n v="0"/>
  </r>
  <r>
    <x v="0"/>
    <x v="5"/>
    <s v="Fortalecimiento del sector en la planificación de la atención de la demanda energética nacional y la transición energética justa a nivel nacional"/>
    <s v="Demanda"/>
    <s v="Sí"/>
    <s v="Sí"/>
    <n v="68"/>
    <s v="160-37"/>
    <s v="Desarrollar la capacidad instalada en la planificación estratégica de la atención de la demanda."/>
    <s v="Documentos Metodológicos"/>
    <s v="Diagnóstico"/>
    <n v="80111620"/>
    <s v="C-2106-1900-13-40302B-2106005-02"/>
    <x v="0"/>
    <s v="160-37 Prestar servicios profesionales para brindar soporte técnico, jurídico y regulatorio en la Subdirección de Demanda, mediante el análisis de información y evaluación de impactos normativos que apoyen la formulación de planes y la toma de decisiones "/>
    <s v="Enero "/>
    <s v="Enero "/>
    <s v="Enero "/>
    <n v="11.5"/>
    <s v="Meses"/>
    <s v="Contratación directa - Prestación de servicios profesionales "/>
    <s v="Propios - 20 - Ingresos corrientes"/>
    <n v="106950000"/>
    <n v="106950000"/>
    <s v="No"/>
    <s v="N/A"/>
    <s v="Johanna Castellanos"/>
    <s v="Subdirectora de Demanda"/>
    <n v="6012220641"/>
    <s v="johanna.castellanos@upme.gov.co"/>
    <n v="102300000"/>
    <n v="0"/>
    <n v="0"/>
    <n v="0"/>
    <n v="0"/>
    <n v="9300000"/>
    <n v="0"/>
    <n v="9300000"/>
    <n v="0"/>
    <n v="9300000"/>
    <n v="0"/>
    <n v="9300000"/>
    <n v="0"/>
    <n v="9300000"/>
    <n v="0"/>
    <n v="9300000"/>
    <n v="0"/>
    <n v="9300000"/>
    <n v="0"/>
    <n v="9300000"/>
    <n v="0"/>
    <n v="9300000"/>
    <n v="4650000"/>
    <n v="23250000"/>
    <n v="106950000"/>
    <n v="106950000"/>
    <n v="0"/>
    <n v="0"/>
    <s v="Prestar servicios profesionales para brindar soporte técnico, jurídico y regulatorio en la Subdirección de Demanda, mediante el análisis de información y evaluación de impactos normativos que apoyen la formulación de planes y la toma de decisiones estraté"/>
    <n v="102300000"/>
    <m/>
    <m/>
    <m/>
    <m/>
    <n v="9300000"/>
    <m/>
    <n v="9300000"/>
    <m/>
    <n v="9300000"/>
    <m/>
    <n v="9300000"/>
    <m/>
    <n v="9300000"/>
    <m/>
    <n v="9300000"/>
    <m/>
    <n v="9300000"/>
    <m/>
    <n v="9300000"/>
    <m/>
    <n v="9300000"/>
    <n v="4650000"/>
    <n v="23250000"/>
    <m/>
    <m/>
    <n v="106950000"/>
    <n v="106950000"/>
    <n v="0"/>
    <n v="0"/>
    <n v="38126"/>
    <d v="2026-01-15T00:00:00"/>
    <n v="106950000"/>
    <n v="0"/>
    <n v="24126"/>
    <d v="2026-01-27T00:00:00"/>
    <n v="102300000"/>
    <n v="4650000"/>
    <n v="4650000"/>
    <s v="CORRALES MENDOZA MARIA PAULA"/>
    <s v="CO1.PCCNTR.9112514"/>
    <n v="102300000"/>
    <m/>
    <m/>
    <m/>
    <m/>
    <m/>
    <m/>
    <n v="8990000"/>
    <n v="8990000"/>
    <m/>
    <n v="9300000"/>
    <n v="9300000"/>
    <m/>
    <m/>
    <m/>
    <m/>
    <m/>
    <m/>
    <m/>
    <m/>
    <m/>
    <m/>
    <m/>
    <m/>
    <m/>
    <m/>
    <m/>
    <m/>
    <m/>
    <m/>
    <m/>
    <m/>
    <m/>
    <m/>
    <m/>
    <m/>
    <n v="102300000"/>
    <n v="18290000"/>
    <n v="18290000"/>
    <n v="84010000"/>
    <n v="0"/>
  </r>
  <r>
    <x v="0"/>
    <x v="5"/>
    <s v="Fortalecimiento del sector en la planificación de la atención de la demanda energética nacional y la transición energética justa a nivel nacional"/>
    <s v="Demanda"/>
    <s v="Sí"/>
    <s v="Sí"/>
    <n v="6"/>
    <s v="160-38"/>
    <s v="Mejorar la representatividad en la información de la participación de los sectores económicos en el consumo de energía."/>
    <s v="Documentos de Planeación"/>
    <s v="Documento de planeación preliminar."/>
    <n v="80111620"/>
    <s v="C-2106-1900-13-40302B-2106003-02"/>
    <x v="0"/>
    <s v="160-38 Prestar servicios profesionales para apoyar la definición de líneas base y meta de eficiencia como insumos para el PEN y la actualización del PAI PROURE 2026, mediante el análisis de información del sector transporte con énfasis en los modos fluvia"/>
    <s v="Enero "/>
    <s v="Enero "/>
    <s v="Enero "/>
    <n v="7"/>
    <s v="Meses"/>
    <s v="Contratación directa - Prestación de servicios profesionales "/>
    <s v="Propios - 20 - Ingresos corrientes"/>
    <n v="63000000"/>
    <n v="63000000"/>
    <s v="No"/>
    <s v="N/A"/>
    <s v="Johanna Castellanos"/>
    <s v="Subdirectora de Demanda"/>
    <n v="6012220643"/>
    <s v="johanna.castellanos@upme.gov.co"/>
    <n v="0"/>
    <n v="0"/>
    <n v="63000000"/>
    <n v="0"/>
    <n v="0"/>
    <n v="9000000"/>
    <n v="0"/>
    <n v="9000000"/>
    <n v="0"/>
    <n v="9000000"/>
    <n v="0"/>
    <n v="9000000"/>
    <n v="0"/>
    <n v="9000000"/>
    <n v="0"/>
    <n v="9000000"/>
    <n v="0"/>
    <n v="9000000"/>
    <n v="0"/>
    <n v="0"/>
    <n v="0"/>
    <n v="0"/>
    <n v="0"/>
    <n v="0"/>
    <n v="63000000"/>
    <n v="63000000"/>
    <n v="0"/>
    <n v="0"/>
    <s v="Prestar servicios profesionales para apoyar la definición de líneas base y meta de eficiencia como insumos para el PEN y la actualización del PAI PROURE 2026, mediante el análisis de información del sector transporte con énfasis en los modos fluvial, férr"/>
    <m/>
    <m/>
    <n v="63000000"/>
    <m/>
    <m/>
    <n v="9000000"/>
    <m/>
    <n v="9000000"/>
    <m/>
    <n v="9000000"/>
    <m/>
    <n v="9000000"/>
    <m/>
    <n v="9000000"/>
    <m/>
    <n v="9000000"/>
    <m/>
    <n v="9000000"/>
    <m/>
    <m/>
    <m/>
    <m/>
    <m/>
    <m/>
    <m/>
    <m/>
    <n v="63000000"/>
    <n v="63000000"/>
    <n v="0"/>
    <n v="0"/>
    <n v="58526"/>
    <d v="2026-01-23T00:00:00"/>
    <n v="63000000"/>
    <n v="0"/>
    <n v="52426"/>
    <d v="2026-02-09T00:00:00"/>
    <n v="63000000"/>
    <n v="0"/>
    <n v="0"/>
    <s v="VALENCIA CRUZ ALEXANDER"/>
    <s v="CO1.PCCNTR.9277768"/>
    <m/>
    <m/>
    <m/>
    <n v="63000000"/>
    <m/>
    <m/>
    <m/>
    <n v="6000000"/>
    <n v="6000000"/>
    <m/>
    <n v="9000000"/>
    <n v="9000000"/>
    <m/>
    <m/>
    <m/>
    <m/>
    <m/>
    <m/>
    <m/>
    <m/>
    <m/>
    <m/>
    <m/>
    <m/>
    <m/>
    <m/>
    <m/>
    <m/>
    <m/>
    <m/>
    <m/>
    <m/>
    <m/>
    <m/>
    <m/>
    <m/>
    <n v="63000000"/>
    <n v="15000000"/>
    <n v="15000000"/>
    <n v="48000000"/>
    <n v="0"/>
  </r>
  <r>
    <x v="0"/>
    <x v="5"/>
    <s v="Fortalecimiento del sector en la planificación de la atención de la demanda energética nacional y la transición energética justa a nivel nacional"/>
    <s v="Demanda"/>
    <s v="Sí"/>
    <s v="Sí"/>
    <n v="4"/>
    <s v="160-39"/>
    <s v="Mejorar la representatividad en la información de la participación de los sectores económicos en el consumo de energía."/>
    <s v="Documentos de Planeación"/>
    <s v="Documento de planeación preliminar."/>
    <n v="80111620"/>
    <s v="C-2106-1900-13-40302B-2106003-02"/>
    <x v="0"/>
    <s v="160-39 Prestar servicios profesionales para apoyar la identificación, análisis y evaluación de potenciales, metas y medidas de eficiencia energética en la producción y transporte de hidrocarburos y minerales y termoeléctricas en Colombia, como insumos téc"/>
    <s v="Enero "/>
    <s v="Enero "/>
    <s v="Enero "/>
    <n v="7"/>
    <s v="Meses"/>
    <s v="Contratación directa - Prestación de servicios profesionales "/>
    <s v="Propios - 20 - Ingresos corrientes"/>
    <n v="63000000"/>
    <n v="63000000"/>
    <s v="No"/>
    <s v="N/A"/>
    <s v="Johanna Castellanos"/>
    <s v="Subdirectora de Demanda"/>
    <n v="6012220644"/>
    <s v="johanna.castellanos@upme.gov.co"/>
    <n v="0"/>
    <n v="0"/>
    <n v="63000000"/>
    <n v="0"/>
    <n v="0"/>
    <n v="9000000"/>
    <n v="0"/>
    <n v="9000000"/>
    <n v="0"/>
    <n v="9000000"/>
    <n v="0"/>
    <n v="9000000"/>
    <n v="0"/>
    <n v="9000000"/>
    <n v="0"/>
    <n v="9000000"/>
    <n v="0"/>
    <n v="9000000"/>
    <n v="0"/>
    <n v="0"/>
    <n v="0"/>
    <n v="0"/>
    <n v="0"/>
    <n v="0"/>
    <n v="63000000"/>
    <n v="63000000"/>
    <n v="0"/>
    <n v="0"/>
    <s v="Prestar servicios profesionales para apoyar la identificación, análisis y evaluación de potenciales, metas y medidas de eficiencia energética en la producción y transporte de hidrocarburos y minerales y termoeléctricas en Colombia, como insumos técnicos p"/>
    <m/>
    <m/>
    <n v="63000000"/>
    <m/>
    <m/>
    <n v="9000000"/>
    <m/>
    <n v="9000000"/>
    <m/>
    <n v="9000000"/>
    <m/>
    <n v="9000000"/>
    <m/>
    <n v="9000000"/>
    <m/>
    <n v="9000000"/>
    <m/>
    <n v="9000000"/>
    <m/>
    <m/>
    <m/>
    <m/>
    <m/>
    <m/>
    <m/>
    <m/>
    <n v="63000000"/>
    <n v="63000000"/>
    <n v="0"/>
    <n v="0"/>
    <n v="57526"/>
    <d v="2026-01-23T00:00:00"/>
    <n v="63000000"/>
    <n v="0"/>
    <n v="53126"/>
    <d v="2026-02-10T00:00:00"/>
    <n v="63000000"/>
    <n v="0"/>
    <n v="0"/>
    <s v="CONTRERAS CHACON ANGELICA MARIA"/>
    <s v="CO1.PCCNTR.9297902"/>
    <m/>
    <m/>
    <m/>
    <n v="63000000"/>
    <m/>
    <m/>
    <m/>
    <n v="6000000"/>
    <n v="6000000"/>
    <m/>
    <n v="9000000"/>
    <n v="9000000"/>
    <m/>
    <m/>
    <m/>
    <m/>
    <m/>
    <m/>
    <m/>
    <m/>
    <m/>
    <m/>
    <m/>
    <m/>
    <m/>
    <m/>
    <m/>
    <m/>
    <m/>
    <m/>
    <m/>
    <m/>
    <m/>
    <m/>
    <m/>
    <m/>
    <n v="63000000"/>
    <n v="15000000"/>
    <n v="15000000"/>
    <n v="48000000"/>
    <n v="0"/>
  </r>
  <r>
    <x v="0"/>
    <x v="5"/>
    <s v="Fortalecimiento del sector en la planificación de la atención de la demanda energética nacional y la transición energética justa a nivel nacional"/>
    <s v="Demanda"/>
    <s v="Sí"/>
    <s v="Sí"/>
    <n v="4"/>
    <s v="160-40"/>
    <s v="Desarrollar la capacidad instalada en la planificación estratégica de la atención de la demanda."/>
    <s v="Documentos Metodológicos"/>
    <s v="Documento metodológico preliminar."/>
    <n v="80111620"/>
    <s v="C-2106-1900-13-40302B-2106005-02"/>
    <x v="0"/>
    <s v="160-40 Prestar servicios profesionales para proponer modelos basados en optimización  y proyección de escenarios para la transición de la demanda y la oferta de energía en el marco de los planes de la subdirección de demanda, a partir de buenas prácticas "/>
    <s v="Enero "/>
    <s v="Enero "/>
    <s v="Enero "/>
    <n v="7"/>
    <s v="Meses"/>
    <s v="Contratación directa - Prestación de servicios profesionales "/>
    <s v="Propios - 20 - Ingresos corrientes"/>
    <n v="70000000"/>
    <n v="70000000"/>
    <s v="No"/>
    <s v="N/A"/>
    <s v="Johanna Castellanos"/>
    <s v="Subdirectora de Demanda"/>
    <n v="6012220644"/>
    <s v="johanna.castellanos@upme.gov.co"/>
    <n v="70000000"/>
    <n v="0"/>
    <n v="0"/>
    <n v="0"/>
    <n v="0"/>
    <n v="10000000"/>
    <n v="0"/>
    <n v="10000000"/>
    <n v="0"/>
    <n v="10000000"/>
    <n v="0"/>
    <n v="10000000"/>
    <n v="0"/>
    <n v="10000000"/>
    <n v="0"/>
    <n v="10000000"/>
    <n v="0"/>
    <n v="10000000"/>
    <n v="0"/>
    <n v="0"/>
    <n v="0"/>
    <n v="0"/>
    <n v="0"/>
    <n v="0"/>
    <n v="70000000"/>
    <n v="70000000"/>
    <n v="0"/>
    <n v="0"/>
    <s v="Prestar servicios profesionales para proponer modelos basados en optimización  y proyección de escenarios para la transición de la demanda y la oferta de energía en el marco de los planes de la subdirección de demanda, a partir de buenas prácticas de mode"/>
    <n v="70000000"/>
    <m/>
    <m/>
    <m/>
    <m/>
    <n v="10000000"/>
    <m/>
    <n v="10000000"/>
    <m/>
    <n v="10000000"/>
    <m/>
    <n v="10000000"/>
    <m/>
    <n v="10000000"/>
    <m/>
    <n v="10000000"/>
    <m/>
    <n v="10000000"/>
    <m/>
    <m/>
    <m/>
    <m/>
    <m/>
    <m/>
    <m/>
    <m/>
    <n v="70000000"/>
    <n v="70000000"/>
    <n v="0"/>
    <n v="0"/>
    <n v="46926"/>
    <d v="2026-01-19T00:00:00"/>
    <n v="70000000"/>
    <n v="0"/>
    <n v="24426"/>
    <d v="2026-01-27T00:00:00"/>
    <n v="70000000"/>
    <n v="0"/>
    <n v="0"/>
    <s v="SUAREZ MONSALVE DANIEL ALEJANDRO"/>
    <s v="CO1.PCCNTR.9112523"/>
    <n v="70000000"/>
    <m/>
    <m/>
    <m/>
    <n v="1000000"/>
    <n v="1000000"/>
    <m/>
    <n v="10000000"/>
    <n v="10000000"/>
    <m/>
    <n v="10000000"/>
    <n v="10000000"/>
    <m/>
    <m/>
    <m/>
    <m/>
    <m/>
    <m/>
    <m/>
    <m/>
    <m/>
    <m/>
    <m/>
    <m/>
    <m/>
    <m/>
    <m/>
    <m/>
    <m/>
    <m/>
    <m/>
    <m/>
    <m/>
    <m/>
    <m/>
    <m/>
    <n v="70000000"/>
    <n v="21000000"/>
    <n v="21000000"/>
    <n v="49000000"/>
    <n v="0"/>
  </r>
  <r>
    <x v="0"/>
    <x v="5"/>
    <s v="Fortalecimiento del sector en la planificación de la atención de la demanda energética nacional y la transición energética justa a nivel nacional"/>
    <s v="Demanda"/>
    <s v="Sí"/>
    <s v="Sí"/>
    <n v="68"/>
    <s v="160-41"/>
    <s v="Fomentar la articulación de la política pública, el marco regulatorio y la visión de gobierno."/>
    <s v="Documentos de Lineamientos Técnicos"/>
    <s v="Documento con la descripción de procesos, métodos y herramientas."/>
    <n v="80111620"/>
    <s v="C-2106-1900-13-40302B-2106010-02"/>
    <x v="0"/>
    <s v="160-41 Prestar servicios profesionales para apoyar la gestión, administración y optimización de la información de la Subdirección de Demanda, mediante el diseño, implementación y mantenimiento de bases de datos y flujos de datos que garanticen la disponib"/>
    <s v="Enero "/>
    <s v="Enero "/>
    <s v="Enero "/>
    <n v="11.4"/>
    <s v="Meses"/>
    <s v="Contratación directa - Prestación de servicios profesionales "/>
    <s v="Propios - 20 - Ingresos corrientes"/>
    <n v="68400000"/>
    <n v="68400000"/>
    <s v="No"/>
    <s v="N/A"/>
    <s v="Johanna Castellanos"/>
    <s v="Subdirectora de Demanda"/>
    <n v="6012220644"/>
    <s v="johanna.castellanos@upme.gov.co"/>
    <n v="0"/>
    <n v="0"/>
    <n v="66000000"/>
    <n v="0"/>
    <n v="0"/>
    <n v="6000000"/>
    <n v="0"/>
    <n v="6000000"/>
    <n v="0"/>
    <n v="6000000"/>
    <n v="0"/>
    <n v="6000000"/>
    <n v="0"/>
    <n v="6000000"/>
    <n v="0"/>
    <n v="6000000"/>
    <n v="0"/>
    <n v="6000000"/>
    <n v="0"/>
    <n v="6000000"/>
    <n v="0"/>
    <n v="6000000"/>
    <n v="2400000"/>
    <n v="14400000"/>
    <n v="68400000"/>
    <n v="68400000"/>
    <n v="0"/>
    <n v="0"/>
    <s v="Prestar servicios profesionales para apoyar la gestión, administración y optimización de la información de la Subdirección de Demanda, mediante el diseño, implementación y mantenimiento de bases de datos y flujos de datos que garanticen la disponibilidad,"/>
    <m/>
    <m/>
    <n v="66000000"/>
    <m/>
    <m/>
    <n v="6000000"/>
    <m/>
    <n v="6000000"/>
    <m/>
    <n v="6000000"/>
    <m/>
    <n v="6000000"/>
    <m/>
    <n v="6000000"/>
    <m/>
    <n v="6000000"/>
    <m/>
    <n v="6000000"/>
    <m/>
    <n v="6000000"/>
    <m/>
    <n v="6000000"/>
    <n v="2400000"/>
    <n v="14400000"/>
    <m/>
    <m/>
    <n v="68400000"/>
    <n v="68400000"/>
    <n v="0"/>
    <n v="0"/>
    <n v="49026"/>
    <d v="2026-01-19T00:00:00"/>
    <n v="65000000"/>
    <n v="3400000"/>
    <n v="45426"/>
    <d v="2026-02-05T00:00:00"/>
    <n v="65000000"/>
    <n v="3400000"/>
    <n v="0"/>
    <s v="CARDONA HOYOS LORENZO"/>
    <s v="CO1.PCCNTR.9239407"/>
    <m/>
    <m/>
    <m/>
    <n v="66000000"/>
    <m/>
    <m/>
    <m/>
    <n v="5000000"/>
    <n v="5000000"/>
    <n v="-1000000"/>
    <n v="6000000"/>
    <n v="6000000"/>
    <m/>
    <m/>
    <m/>
    <m/>
    <m/>
    <m/>
    <m/>
    <m/>
    <m/>
    <m/>
    <m/>
    <m/>
    <m/>
    <m/>
    <m/>
    <m/>
    <m/>
    <m/>
    <m/>
    <m/>
    <m/>
    <m/>
    <m/>
    <m/>
    <n v="65000000"/>
    <n v="11000000"/>
    <n v="11000000"/>
    <n v="54000000"/>
    <n v="0"/>
  </r>
  <r>
    <x v="0"/>
    <x v="5"/>
    <s v="Fortalecimiento del sector en la planificación de la atención de la demanda energética nacional y la transición energética justa a nivel nacional"/>
    <s v="Demanda"/>
    <s v="Sí"/>
    <s v="Sí"/>
    <n v="68"/>
    <s v="160-42"/>
    <s v="Fomentar la articulación de la política pública, el marco regulatorio y la visión de gobierno."/>
    <s v="Documentos de Lineamientos Técnicos"/>
    <s v="Documento con la descripción de procesos, métodos y herramientas."/>
    <n v="80111620"/>
    <s v="C-2106-1900-13-40302B-2106010-02"/>
    <x v="0"/>
    <s v="160-42 Prestar servicios profesionales como Diseñador de Interfaz Gráfica (UI) para la presentación de datos, mediante la creación y desarrollo de elementos visuales e interactivos que garanticen funcionalidad, claridad y coherencia gráfica, conforme a lo"/>
    <s v="Enero "/>
    <s v="Enero "/>
    <s v="Enero "/>
    <n v="11.4"/>
    <s v="Meses"/>
    <s v="Contratación directa - Prestación de servicios profesionales "/>
    <s v="Propios - 20 - Ingresos corrientes"/>
    <n v="74100000"/>
    <n v="74100000"/>
    <s v="No"/>
    <s v="N/A"/>
    <s v="Johanna Castellanos"/>
    <s v="Subdirectora de Demanda"/>
    <n v="6012220644"/>
    <s v="johanna.castellanos@upme.gov.co"/>
    <n v="0"/>
    <n v="0"/>
    <n v="71500000"/>
    <n v="0"/>
    <n v="0"/>
    <n v="6500000"/>
    <n v="0"/>
    <n v="6500000"/>
    <n v="0"/>
    <n v="6500000"/>
    <n v="0"/>
    <n v="6500000"/>
    <n v="0"/>
    <n v="6500000"/>
    <n v="0"/>
    <n v="6500000"/>
    <n v="0"/>
    <n v="6500000"/>
    <n v="0"/>
    <n v="6500000"/>
    <n v="0"/>
    <n v="6500000"/>
    <n v="2600000"/>
    <n v="15600000"/>
    <n v="74100000"/>
    <n v="74100000"/>
    <n v="0"/>
    <n v="0"/>
    <s v="Prestar servicios profesionales como Diseñador de Interfaz Gráfica (UI) para la presentación de datos, mediante la creación y desarrollo de elementos visuales e interactivos que garanticen funcionalidad, claridad y coherencia gráfica, conforme a los linea"/>
    <m/>
    <m/>
    <n v="71500000"/>
    <m/>
    <m/>
    <n v="6500000"/>
    <m/>
    <n v="6500000"/>
    <m/>
    <n v="6500000"/>
    <m/>
    <n v="6500000"/>
    <m/>
    <n v="6500000"/>
    <m/>
    <n v="6500000"/>
    <m/>
    <n v="6500000"/>
    <m/>
    <n v="6500000"/>
    <m/>
    <n v="6500000"/>
    <n v="2600000"/>
    <n v="15600000"/>
    <m/>
    <m/>
    <n v="74100000"/>
    <n v="74100000"/>
    <n v="0"/>
    <n v="0"/>
    <n v="63226"/>
    <d v="2026-01-23T00:00:00"/>
    <n v="71500000"/>
    <n v="2600000"/>
    <m/>
    <m/>
    <n v="0"/>
    <n v="74100000"/>
    <n v="715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43"/>
    <s v="Fomentar la articulación de la política pública, el marco regulatorio y la visión de gobierno."/>
    <s v="Documentos de Lineamientos Técnicos"/>
    <s v="Documento con la descripción de procesos, métodos y herramientas."/>
    <n v="80111620"/>
    <s v="C-2106-1900-13-40302B-2106010-02"/>
    <x v="0"/>
    <s v="160-43 Prestar servicios profesionales para apoyar la realización de la caracterización geográfica nacional de la distribución de hidrocarburos a nivel municipal y regional."/>
    <s v="Enero "/>
    <s v="Enero "/>
    <s v="Enero "/>
    <n v="11.5"/>
    <s v="Meses"/>
    <s v="Contratación directa - Prestación de servicios profesionales "/>
    <s v="Propios - 20 - Ingresos corrientes"/>
    <n v="47150000"/>
    <n v="47150000"/>
    <s v="No"/>
    <s v="N/A"/>
    <s v="Johanna Castellanos"/>
    <s v="Subdirectora de Demanda"/>
    <n v="6012220644"/>
    <s v="johanna.castellanos@upme.gov.co"/>
    <n v="0"/>
    <n v="0"/>
    <n v="45100000"/>
    <n v="0"/>
    <n v="0"/>
    <n v="4100000"/>
    <n v="0"/>
    <n v="4100000"/>
    <n v="0"/>
    <n v="4100000"/>
    <n v="0"/>
    <n v="4100000"/>
    <n v="0"/>
    <n v="4100000"/>
    <n v="0"/>
    <n v="4100000"/>
    <n v="0"/>
    <n v="4100000"/>
    <n v="0"/>
    <n v="4100000"/>
    <n v="0"/>
    <n v="4100000"/>
    <n v="2050000"/>
    <n v="10250000"/>
    <n v="47150000"/>
    <n v="47150000"/>
    <n v="0"/>
    <n v="0"/>
    <s v="Prestar servicios profesionales para apoyar la realización de la caracterización geográfica nacional de la distribución de hidrocarburos a nivel municipal y regional."/>
    <m/>
    <m/>
    <n v="45100000"/>
    <m/>
    <m/>
    <n v="4100000"/>
    <m/>
    <n v="4100000"/>
    <m/>
    <n v="4100000"/>
    <m/>
    <n v="4100000"/>
    <m/>
    <n v="4100000"/>
    <m/>
    <n v="4100000"/>
    <m/>
    <n v="4100000"/>
    <m/>
    <n v="4100000"/>
    <m/>
    <n v="4100000"/>
    <n v="2050000"/>
    <n v="10250000"/>
    <m/>
    <m/>
    <n v="47150000"/>
    <n v="47150000"/>
    <n v="0"/>
    <n v="0"/>
    <n v="48726"/>
    <d v="2026-01-19T00:00:00"/>
    <n v="47150000"/>
    <n v="0"/>
    <n v="49426"/>
    <d v="2026-02-09T00:00:00"/>
    <n v="45100000"/>
    <n v="2050000"/>
    <n v="2050000"/>
    <s v="GARCIA LANCHEROS MANUEL ALBERTO"/>
    <s v="CO1.PCCNTR.9291810"/>
    <m/>
    <m/>
    <m/>
    <n v="45100000"/>
    <m/>
    <m/>
    <m/>
    <n v="2870000"/>
    <n v="2870000"/>
    <m/>
    <n v="4100000"/>
    <n v="4100000"/>
    <m/>
    <m/>
    <m/>
    <m/>
    <m/>
    <m/>
    <m/>
    <m/>
    <m/>
    <m/>
    <m/>
    <m/>
    <m/>
    <m/>
    <m/>
    <m/>
    <m/>
    <m/>
    <m/>
    <m/>
    <m/>
    <m/>
    <m/>
    <m/>
    <n v="45100000"/>
    <n v="6970000"/>
    <n v="6970000"/>
    <n v="38130000"/>
    <n v="0"/>
  </r>
  <r>
    <x v="0"/>
    <x v="5"/>
    <s v="Fortalecimiento del sector en la planificación de la atención de la demanda energética nacional y la transición energética justa a nivel nacional"/>
    <s v="Demanda"/>
    <s v="Sí"/>
    <s v="Sí"/>
    <n v="4"/>
    <s v="160-44"/>
    <s v="Desarrollar la capacidad instalada en la planificación estratégica de la atención de la demanda."/>
    <s v="Documentos Metodológicos"/>
    <s v="Documento metodológico preliminar."/>
    <n v="80111620"/>
    <s v="C-2106-1900-13-40302B-2106005-02"/>
    <x v="0"/>
    <s v="160-44 Prestar servicios profesionales para realizar el seguimiento en las actividades asociadas a la Evaluación de Incentivos Tributarios y apoyo a la supervisión de los contratos relacionados con el trámite de Incentivos."/>
    <s v="Enero "/>
    <s v="Enero "/>
    <s v="Enero "/>
    <n v="11.4"/>
    <s v="Meses"/>
    <s v="Contratación directa - Prestación de servicios profesionales "/>
    <s v="Propios - 20 - Ingresos corrientes"/>
    <n v="74100000"/>
    <n v="74100000"/>
    <s v="No"/>
    <s v="N/A"/>
    <s v="Johanna Castellanos"/>
    <s v="Subdirectora de Demanda"/>
    <n v="6012220644"/>
    <s v="johanna.castellanos@upme.gov.co"/>
    <n v="0"/>
    <n v="0"/>
    <n v="71500000"/>
    <n v="0"/>
    <n v="0"/>
    <n v="6500000"/>
    <n v="0"/>
    <n v="6500000"/>
    <n v="0"/>
    <n v="6500000"/>
    <n v="0"/>
    <n v="6500000"/>
    <n v="0"/>
    <n v="6500000"/>
    <n v="0"/>
    <n v="6500000"/>
    <n v="0"/>
    <n v="6500000"/>
    <n v="0"/>
    <n v="6500000"/>
    <n v="0"/>
    <n v="6500000"/>
    <n v="2600000"/>
    <n v="15600000"/>
    <n v="74100000"/>
    <n v="74100000"/>
    <n v="0"/>
    <n v="0"/>
    <s v="Prestar servicios profesionales para realizar el seguimiento en las actividades asociadas a la Evaluación de Incentivos Tributarios y apoyo a la supervisión de los contratos relacionados con el trámite de Incentivos."/>
    <m/>
    <m/>
    <n v="71500000"/>
    <m/>
    <m/>
    <n v="6500000"/>
    <m/>
    <n v="6500000"/>
    <m/>
    <n v="6500000"/>
    <m/>
    <n v="6500000"/>
    <m/>
    <n v="6500000"/>
    <m/>
    <n v="6500000"/>
    <m/>
    <n v="6500000"/>
    <m/>
    <n v="6500000"/>
    <m/>
    <n v="6500000"/>
    <n v="2600000"/>
    <n v="15600000"/>
    <m/>
    <m/>
    <n v="74100000"/>
    <n v="74100000"/>
    <n v="0"/>
    <n v="0"/>
    <n v="55126"/>
    <d v="2026-01-22T00:00:00"/>
    <n v="71500000"/>
    <n v="2600000"/>
    <n v="54026"/>
    <d v="2026-02-10T00:00:00"/>
    <n v="71500000"/>
    <n v="2600000"/>
    <n v="0"/>
    <s v="RUEDA VILLARRAGA RAUL FERNANDO"/>
    <s v="CO1.PCCNTR.9182277"/>
    <m/>
    <m/>
    <m/>
    <n v="71500000"/>
    <m/>
    <m/>
    <m/>
    <m/>
    <m/>
    <m/>
    <n v="10833333"/>
    <n v="10833333"/>
    <m/>
    <m/>
    <m/>
    <m/>
    <m/>
    <m/>
    <m/>
    <m/>
    <m/>
    <m/>
    <m/>
    <m/>
    <m/>
    <m/>
    <m/>
    <m/>
    <m/>
    <m/>
    <m/>
    <m/>
    <m/>
    <m/>
    <m/>
    <m/>
    <n v="71500000"/>
    <n v="10833333"/>
    <n v="10833333"/>
    <n v="60666667"/>
    <n v="0"/>
  </r>
  <r>
    <x v="0"/>
    <x v="5"/>
    <s v="Fortalecimiento del sector en la planificación de la atención de la demanda energética nacional y la transición energética justa a nivel nacional"/>
    <s v="Demanda"/>
    <s v="Sí"/>
    <s v="Sí"/>
    <n v="3"/>
    <s v="160-45"/>
    <s v="Mejorar la representatividad en la información de la participación de los sectores económicos en el consumo de energía."/>
    <s v="Documentos de Planeación"/>
    <s v="Documento de planeación preliminar."/>
    <n v="80111620"/>
    <s v="C-2106-1900-13-40302B-2106003-02"/>
    <x v="0"/>
    <s v="160-45 Prestar servicios profesionales para la evaluación de inversiones en proyectos de Gestión Eficiente de la Energía, aplicando criterios técnicos y metodologías usadas en servicios de interventoría, a las solicitudes de incentivos tributarios de la U"/>
    <s v="Enero "/>
    <s v="Enero "/>
    <s v="Enero "/>
    <n v="11.2"/>
    <s v="Meses"/>
    <s v="Contratación directa - Prestación de servicios profesionales "/>
    <s v="Propios - 20 - Ingresos corrientes"/>
    <n v="50400000"/>
    <n v="50400000"/>
    <s v="No"/>
    <s v="N/A"/>
    <s v="Johanna Castellanos"/>
    <s v="Subdirectora de Demanda"/>
    <n v="6012220644"/>
    <s v="johanna.castellanos@upme.gov.co"/>
    <n v="0"/>
    <n v="0"/>
    <n v="0"/>
    <n v="0"/>
    <n v="0"/>
    <n v="0"/>
    <n v="0"/>
    <n v="0"/>
    <n v="0"/>
    <n v="0"/>
    <n v="0"/>
    <n v="0"/>
    <n v="0"/>
    <n v="0"/>
    <n v="50400000"/>
    <n v="0"/>
    <n v="0"/>
    <n v="10080000"/>
    <n v="0"/>
    <n v="10080000"/>
    <n v="0"/>
    <n v="10080000"/>
    <n v="0"/>
    <n v="20160000"/>
    <n v="50400000"/>
    <n v="50400000"/>
    <n v="0"/>
    <n v="0"/>
    <s v="Prestar servicios profesionales para la evaluación de inversiones en proyectos de Gestión Eficiente de la Energía, aplicando criterios técnicos y metodologías usadas en servicios de interventoría, a las solicitudes de incentivos tributarios de la UPME, as"/>
    <n v="50050000"/>
    <m/>
    <m/>
    <m/>
    <m/>
    <m/>
    <m/>
    <m/>
    <m/>
    <m/>
    <m/>
    <m/>
    <m/>
    <m/>
    <m/>
    <m/>
    <m/>
    <n v="10080000"/>
    <n v="350000"/>
    <n v="10080000"/>
    <m/>
    <n v="10080000"/>
    <m/>
    <n v="20160000"/>
    <m/>
    <m/>
    <n v="50400000"/>
    <n v="50400000"/>
    <n v="0"/>
    <n v="0"/>
    <n v="46026"/>
    <d v="2026-01-19T00:00:00"/>
    <n v="50400000"/>
    <n v="0"/>
    <n v="26526"/>
    <d v="2026-01-28T00:00:00"/>
    <n v="50050000"/>
    <n v="350000"/>
    <n v="350000"/>
    <s v="PEREIRA CALDERON OMAR SAMUEL"/>
    <s v="CO1.PCCNTR.9093182_x000a_"/>
    <n v="50050000"/>
    <m/>
    <m/>
    <m/>
    <m/>
    <m/>
    <m/>
    <m/>
    <m/>
    <m/>
    <m/>
    <m/>
    <m/>
    <m/>
    <m/>
    <m/>
    <m/>
    <m/>
    <m/>
    <m/>
    <m/>
    <m/>
    <m/>
    <m/>
    <m/>
    <m/>
    <m/>
    <m/>
    <m/>
    <m/>
    <m/>
    <m/>
    <m/>
    <m/>
    <m/>
    <m/>
    <n v="50050000"/>
    <n v="0"/>
    <n v="0"/>
    <n v="50050000"/>
    <n v="0"/>
  </r>
  <r>
    <x v="0"/>
    <x v="5"/>
    <s v="Fortalecimiento del sector en la planificación de la atención de la demanda energética nacional y la transición energética justa a nivel nacional"/>
    <s v="Demanda"/>
    <s v="Sí"/>
    <s v="Sí"/>
    <n v="9"/>
    <s v="160-46"/>
    <s v="Mejorar la representatividad en la información de la participación de los sectores económicos en el consumo de energía."/>
    <s v="Documentos de Planeación"/>
    <s v="Documento de planeación preliminar."/>
    <n v="80111620"/>
    <s v="C-2106-1900-13-40302B-2106003-02"/>
    <x v="0"/>
    <s v="160-46 Prestar servicios profesionales para el desarrollo de las actividades  de gestión de la información en la Subdirección de Demanda, incluyendo, diseño, actualizacion y mantenimiento  de bases de datos._x0009__x0009__x0009__x0009__x0009__x0009_"/>
    <s v="Enero "/>
    <s v="Enero "/>
    <s v="Enero "/>
    <n v="11"/>
    <s v="Meses"/>
    <s v="Contratación directa - Prestación de servicios profesionales "/>
    <s v="Propios - 20 - Ingresos corrientes"/>
    <n v="62700000"/>
    <n v="62700000"/>
    <s v="No"/>
    <s v="N/A"/>
    <s v="Johanna Castellanos"/>
    <s v="Subdirectora de Demanda"/>
    <n v="6012220644"/>
    <s v="johanna.castellanos@upme.gov.co"/>
    <n v="0"/>
    <n v="0"/>
    <n v="36080000"/>
    <n v="0"/>
    <n v="0"/>
    <n v="3280000"/>
    <n v="0"/>
    <n v="3280000"/>
    <n v="0"/>
    <n v="3280000"/>
    <n v="0"/>
    <n v="3280000"/>
    <n v="0"/>
    <n v="3280000"/>
    <n v="0"/>
    <n v="3280000"/>
    <n v="0"/>
    <n v="3280000"/>
    <n v="0"/>
    <n v="3280000"/>
    <n v="13310000"/>
    <n v="3280000"/>
    <n v="13310000"/>
    <n v="33180000"/>
    <n v="62700000"/>
    <n v="62700000"/>
    <n v="0"/>
    <n v="0"/>
    <s v="Prestar servicios profesionales para el desarrollo de las actividades  de gestión de la información en la Subdirección de Demanda, incluyendo, diseño, actualizacion y mantenimiento  de bases de datos._x0009__x0009__x0009__x0009__x0009__x0009_"/>
    <m/>
    <m/>
    <n v="36080000"/>
    <m/>
    <m/>
    <n v="3280000"/>
    <m/>
    <n v="3280000"/>
    <m/>
    <n v="3280000"/>
    <m/>
    <n v="3280000"/>
    <m/>
    <n v="3280000"/>
    <m/>
    <n v="3280000"/>
    <m/>
    <n v="3280000"/>
    <m/>
    <n v="3280000"/>
    <n v="13310000"/>
    <n v="3280000"/>
    <n v="13310000"/>
    <n v="33180000"/>
    <m/>
    <m/>
    <n v="62700000"/>
    <n v="62700000"/>
    <n v="0"/>
    <n v="0"/>
    <n v="66626"/>
    <d v="2026-01-30T00:00:00"/>
    <n v="34986667"/>
    <n v="27713333"/>
    <n v="55526"/>
    <d v="2026-02-10T00:00:00"/>
    <n v="34986667"/>
    <n v="27713333"/>
    <n v="0"/>
    <s v="CHAVEZ MASS JOSE DAVID"/>
    <s v="CO1.PCCNTR.9287799"/>
    <m/>
    <m/>
    <m/>
    <n v="36080000"/>
    <m/>
    <m/>
    <n v="-1093333"/>
    <n v="2186667"/>
    <n v="2186667"/>
    <m/>
    <n v="3280000"/>
    <n v="3280000"/>
    <m/>
    <m/>
    <m/>
    <m/>
    <m/>
    <m/>
    <m/>
    <m/>
    <m/>
    <m/>
    <m/>
    <m/>
    <m/>
    <m/>
    <m/>
    <m/>
    <m/>
    <m/>
    <m/>
    <m/>
    <m/>
    <m/>
    <m/>
    <m/>
    <n v="34986667"/>
    <n v="5466667"/>
    <n v="5466667"/>
    <n v="29520000"/>
    <n v="0"/>
  </r>
  <r>
    <x v="0"/>
    <x v="5"/>
    <s v="Fortalecimiento del sector en la planificación de la atención de la demanda energética nacional y la transición energética justa a nivel nacional"/>
    <s v="Demanda"/>
    <s v="Sí"/>
    <s v="Sí"/>
    <n v="22"/>
    <s v="160-47"/>
    <s v="Mejorar la representatividad en la información de la participación de los sectores económicos en el consumo de energía."/>
    <s v="Documentos de Planeación"/>
    <s v="Documento de planeación preliminar."/>
    <n v="80111620"/>
    <s v="C-2106-1900-13-40302B-2106003-02"/>
    <x v="0"/>
    <s v="160-47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5"/>
    <s v="Meses"/>
    <s v="Contratación directa - Prestación de servicios profesionales "/>
    <s v="Propios - 20 - Ingresos corrientes"/>
    <n v="58000000"/>
    <n v="58000000"/>
    <s v="No"/>
    <s v="N/A"/>
    <s v="Johanna Castellanos"/>
    <s v="Subdirectora de Demanda"/>
    <n v="6012220644"/>
    <s v="johanna.castellanos@upme.gov.co"/>
    <n v="0"/>
    <n v="0"/>
    <n v="0"/>
    <n v="0"/>
    <n v="0"/>
    <n v="0"/>
    <n v="0"/>
    <n v="0"/>
    <n v="0"/>
    <n v="0"/>
    <n v="0"/>
    <n v="0"/>
    <n v="0"/>
    <n v="0"/>
    <n v="0"/>
    <n v="0"/>
    <n v="138000000"/>
    <n v="0"/>
    <n v="0"/>
    <n v="46000000"/>
    <n v="0"/>
    <n v="46000000"/>
    <n v="0"/>
    <n v="46000000"/>
    <n v="138000000"/>
    <n v="138000000"/>
    <n v="-80000000"/>
    <n v="-80000000"/>
    <s v="Prestar servicios profesionales para acompañar y gestionar los procesos de planeación energética de la Subdirección de Demanda, mediante el apoyo técnico y analítico en la formulación, seguimiento y actualización de planes, programas y proyectos, así como"/>
    <n v="0"/>
    <n v="0"/>
    <n v="0"/>
    <n v="0"/>
    <n v="0"/>
    <n v="0"/>
    <n v="0"/>
    <n v="0"/>
    <n v="0"/>
    <n v="0"/>
    <n v="0"/>
    <n v="0"/>
    <n v="0"/>
    <n v="0"/>
    <n v="0"/>
    <n v="0"/>
    <n v="58000000"/>
    <n v="0"/>
    <n v="0"/>
    <n v="19000000"/>
    <n v="0"/>
    <n v="19000000"/>
    <n v="0"/>
    <n v="20000000"/>
    <m/>
    <m/>
    <n v="58000000"/>
    <n v="58000000"/>
    <n v="0"/>
    <n v="0"/>
    <n v="52026"/>
    <d v="2026-01-20T00:00:00"/>
    <n v="135600000"/>
    <n v="-77600000"/>
    <m/>
    <m/>
    <n v="0"/>
    <n v="58000000"/>
    <n v="1356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48"/>
    <s v="Desarrollar la capacidad instalada en la planificación estratégica de la atención de la demanda."/>
    <s v="Documentos Metodológicos"/>
    <s v="Documento metodológico preliminar."/>
    <n v="80111620"/>
    <s v="C-2106-1900-13-40302B-2106005-02"/>
    <x v="0"/>
    <s v="160-48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36800000"/>
    <n v="136800000"/>
    <s v="No"/>
    <s v="N/A"/>
    <s v="Johanna Castellanos"/>
    <s v="Subdirectora de Demanda"/>
    <n v="6012220644"/>
    <s v="johanna.castellanos@upme.gov.co"/>
    <n v="0"/>
    <n v="0"/>
    <n v="0"/>
    <n v="0"/>
    <n v="0"/>
    <n v="0"/>
    <n v="0"/>
    <n v="0"/>
    <n v="0"/>
    <n v="0"/>
    <n v="0"/>
    <n v="0"/>
    <n v="0"/>
    <n v="0"/>
    <n v="0"/>
    <n v="0"/>
    <n v="136800000"/>
    <n v="0"/>
    <n v="0"/>
    <n v="45600000"/>
    <n v="0"/>
    <n v="45600000"/>
    <n v="0"/>
    <n v="45600000"/>
    <n v="136800000"/>
    <n v="136800000"/>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36800000"/>
    <m/>
    <m/>
    <n v="45600000"/>
    <m/>
    <n v="45600000"/>
    <m/>
    <n v="45600000"/>
    <m/>
    <m/>
    <n v="136800000"/>
    <n v="136800000"/>
    <n v="0"/>
    <n v="0"/>
    <m/>
    <m/>
    <m/>
    <n v="136800000"/>
    <m/>
    <m/>
    <n v="0"/>
    <n v="136800000"/>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49"/>
    <s v="Desarrollar la capacidad instalada en la planificación estratégica de la atención de la demanda."/>
    <s v="Documentos Metodológicos"/>
    <s v="Documento metodológico validado."/>
    <n v="80111620"/>
    <s v="C-2106-1900-13-40302B-2106005-02"/>
    <x v="0"/>
    <s v="160-49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00248373"/>
    <n v="100248373"/>
    <s v="No"/>
    <s v="N/A"/>
    <s v="Johanna Castellanos"/>
    <s v="Subdirectora de Demanda"/>
    <n v="6012220644"/>
    <s v="johanna.castellanos@upme.gov.co"/>
    <n v="0"/>
    <n v="0"/>
    <n v="0"/>
    <n v="0"/>
    <n v="0"/>
    <n v="0"/>
    <n v="0"/>
    <n v="0"/>
    <n v="0"/>
    <n v="0"/>
    <n v="0"/>
    <n v="0"/>
    <n v="0"/>
    <n v="0"/>
    <n v="0"/>
    <n v="0"/>
    <n v="100248373"/>
    <n v="0"/>
    <n v="0"/>
    <n v="33500000"/>
    <n v="0"/>
    <n v="33500000"/>
    <n v="0"/>
    <n v="33248373"/>
    <n v="100248373"/>
    <n v="100248373"/>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00248373"/>
    <m/>
    <m/>
    <n v="33500000"/>
    <m/>
    <n v="33500000"/>
    <m/>
    <n v="33248373"/>
    <m/>
    <m/>
    <n v="100248373"/>
    <n v="100248373"/>
    <n v="0"/>
    <n v="0"/>
    <m/>
    <m/>
    <m/>
    <n v="100248373"/>
    <m/>
    <m/>
    <n v="0"/>
    <n v="100248373"/>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3"/>
    <s v="160-50"/>
    <s v="Fomentar la articulación de la política pública, el marco regulatorio y la visión de gobierno."/>
    <s v="Documentos de Lineamientos Técnicos"/>
    <s v="Documento con la descripción de procesos, métodos y herramientas."/>
    <n v="80111620"/>
    <s v="C-2106-1900-13-40302B-2106010-02"/>
    <x v="0"/>
    <s v="160-50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8551627"/>
    <n v="18551627"/>
    <s v="No"/>
    <s v="N/A"/>
    <s v="Johanna Castellanos"/>
    <s v="Subdirectora de Demanda"/>
    <n v="6012220644"/>
    <s v="johanna.castellanos@upme.gov.co"/>
    <n v="0"/>
    <n v="0"/>
    <n v="0"/>
    <n v="0"/>
    <n v="0"/>
    <n v="0"/>
    <n v="0"/>
    <n v="0"/>
    <n v="0"/>
    <n v="0"/>
    <n v="0"/>
    <n v="0"/>
    <n v="0"/>
    <n v="0"/>
    <n v="0"/>
    <n v="0"/>
    <n v="18551627"/>
    <n v="0"/>
    <n v="0"/>
    <n v="9300000"/>
    <n v="0"/>
    <n v="9251627"/>
    <n v="0"/>
    <n v="0"/>
    <n v="18551627"/>
    <n v="18551627"/>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8551627"/>
    <m/>
    <m/>
    <n v="9300000"/>
    <m/>
    <n v="9251627"/>
    <m/>
    <m/>
    <m/>
    <m/>
    <n v="18551627"/>
    <n v="18551627"/>
    <n v="0"/>
    <n v="0"/>
    <m/>
    <m/>
    <m/>
    <n v="18551627"/>
    <m/>
    <m/>
    <n v="0"/>
    <n v="18551627"/>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51"/>
    <s v="Desarrollar la capacidad instalada en la planificación estratégica de la atención de la demanda."/>
    <s v="Documentos Metodológicos"/>
    <s v="Diagnóstico"/>
    <n v="80111620"/>
    <s v="C-2106-1900-13-40302B-2106005-02"/>
    <x v="0"/>
    <s v="160-51 Prestar servicios profesionales en derecho para apoyar la gestión contractual de la UPME, mediante la asesoría jurídica en las etapas precontractual, contractual y poscontractual, la elaboración, revisión y análisis de documentos y actos administra"/>
    <s v="Enero "/>
    <s v="Enero "/>
    <s v="Enero "/>
    <n v="11.4"/>
    <s v="Meses"/>
    <s v="Contratación directa - Prestación de servicios profesionales "/>
    <s v="Propios - 20 - Ingresos corrientes"/>
    <n v="72486080"/>
    <n v="72486080"/>
    <s v="No"/>
    <s v="N/A"/>
    <s v="Johanna Castellanos"/>
    <s v="Subdirectora de Demanda"/>
    <n v="6012220644"/>
    <s v="johanna.castellanos@upme.gov.co"/>
    <n v="72486080"/>
    <n v="0"/>
    <n v="0"/>
    <n v="2400000"/>
    <n v="0"/>
    <n v="9000000"/>
    <n v="0"/>
    <n v="9000000"/>
    <n v="0"/>
    <n v="9000000"/>
    <n v="0"/>
    <n v="9000000"/>
    <n v="0"/>
    <n v="9000000"/>
    <n v="0"/>
    <n v="9000000"/>
    <n v="0"/>
    <n v="9000000"/>
    <n v="0"/>
    <n v="7086080"/>
    <n v="0"/>
    <n v="0"/>
    <n v="0"/>
    <n v="0"/>
    <n v="72486080"/>
    <n v="72486080"/>
    <n v="0"/>
    <n v="0"/>
    <s v="Prestar servicios profesionales en derecho para apoyar la gestión contractual de la UPME, mediante la asesoría jurídica en las etapas precontractual, contractual y poscontractual, la elaboración, revisión y análisis de documentos y actos administrativos c"/>
    <n v="72486080"/>
    <m/>
    <m/>
    <n v="2400000"/>
    <m/>
    <n v="9000000"/>
    <m/>
    <n v="9000000"/>
    <m/>
    <n v="9000000"/>
    <m/>
    <n v="9000000"/>
    <m/>
    <n v="9000000"/>
    <m/>
    <n v="9000000"/>
    <m/>
    <n v="9000000"/>
    <m/>
    <n v="7086080"/>
    <m/>
    <m/>
    <m/>
    <m/>
    <m/>
    <m/>
    <n v="72486080"/>
    <n v="72486080"/>
    <n v="0"/>
    <n v="0"/>
    <n v="12926"/>
    <d v="2026-01-08T00:00:00"/>
    <n v="72486080"/>
    <n v="0"/>
    <n v="16226"/>
    <d v="2026-01-22T00:00:00"/>
    <n v="72486080"/>
    <n v="0"/>
    <n v="0"/>
    <s v="DURAN PAEZ MREYA MILENA"/>
    <s v="CO1.PCCNTR.8992141"/>
    <n v="72486080"/>
    <m/>
    <m/>
    <m/>
    <m/>
    <m/>
    <m/>
    <m/>
    <m/>
    <m/>
    <m/>
    <m/>
    <m/>
    <m/>
    <m/>
    <m/>
    <m/>
    <m/>
    <m/>
    <m/>
    <m/>
    <m/>
    <m/>
    <m/>
    <m/>
    <m/>
    <m/>
    <m/>
    <m/>
    <m/>
    <m/>
    <m/>
    <m/>
    <m/>
    <m/>
    <m/>
    <n v="72486080"/>
    <n v="0"/>
    <n v="0"/>
    <n v="72486080"/>
    <n v="0"/>
  </r>
  <r>
    <x v="0"/>
    <x v="5"/>
    <s v="Fortalecimiento del sector en la planificación de la atención de la demanda energética nacional y la transición energética justa a nivel nacional"/>
    <s v="Demanda"/>
    <s v="Sí"/>
    <s v="Sí"/>
    <n v="68"/>
    <s v="160-52"/>
    <s v="Mejorar la representatividad en la información de la participación de los sectores económicos en el consumo de energía."/>
    <s v="Documentos de Planeación"/>
    <s v="Documento de planeación preliminar."/>
    <n v="80111620"/>
    <s v="C-2106-1900-13-40302B-2106003-02"/>
    <x v="0"/>
    <s v="160-52 Prestar servicios profesionales en derecho para apoyar la gestión contractual de la UPME, mediante la asesoría jurídica en las etapas precontractual, contractual y poscontractual, la elaboración, revisión y análisis de documentos y actos administra"/>
    <s v="Enero "/>
    <s v="Enero "/>
    <s v="Enero "/>
    <n v="11.4"/>
    <s v="Meses"/>
    <s v="Contratación directa - Prestación de servicios profesionales "/>
    <s v="Propios - 20 - Ingresos corrientes"/>
    <n v="30113920"/>
    <n v="30113920"/>
    <s v="No"/>
    <s v="N/A"/>
    <s v="Johanna Castellanos"/>
    <s v="Subdirectora de Demanda"/>
    <n v="6012220644"/>
    <s v="johanna.castellanos@upme.gov.co"/>
    <n v="30113920"/>
    <n v="0"/>
    <n v="0"/>
    <n v="0"/>
    <n v="0"/>
    <n v="0"/>
    <n v="0"/>
    <n v="0"/>
    <n v="0"/>
    <n v="0"/>
    <n v="0"/>
    <n v="0"/>
    <n v="0"/>
    <n v="0"/>
    <n v="0"/>
    <n v="0"/>
    <n v="0"/>
    <n v="0"/>
    <n v="0"/>
    <n v="1913920"/>
    <n v="0"/>
    <n v="9000000"/>
    <n v="0"/>
    <n v="19200000"/>
    <n v="30113920"/>
    <n v="30113920"/>
    <n v="0"/>
    <n v="0"/>
    <s v="Prestar servicios profesionales en derecho para apoyar la gestión contractual de la UPME, mediante la asesoría jurídica en las etapas precontractual, contractual y poscontractual, la elaboración, revisión y análisis de documentos y actos administrativos c"/>
    <n v="30113920"/>
    <m/>
    <m/>
    <m/>
    <m/>
    <m/>
    <m/>
    <m/>
    <m/>
    <m/>
    <m/>
    <m/>
    <m/>
    <m/>
    <m/>
    <m/>
    <m/>
    <m/>
    <m/>
    <n v="1913920"/>
    <m/>
    <n v="9000000"/>
    <m/>
    <n v="19200000"/>
    <m/>
    <m/>
    <n v="30113920"/>
    <n v="30113920"/>
    <n v="0"/>
    <n v="0"/>
    <n v="12926"/>
    <d v="2026-01-08T00:00:00"/>
    <n v="30113920"/>
    <n v="0"/>
    <n v="16226"/>
    <d v="2026-01-22T00:00:00"/>
    <n v="30113920"/>
    <n v="0"/>
    <n v="0"/>
    <s v="DURAN PAEZ MREYA MILENA"/>
    <s v="CO1.PCCNTR.8992141"/>
    <n v="30113920"/>
    <m/>
    <m/>
    <m/>
    <n v="2400000"/>
    <n v="2400000"/>
    <m/>
    <n v="9000000"/>
    <n v="9000000"/>
    <m/>
    <n v="9000000"/>
    <n v="9000000"/>
    <m/>
    <m/>
    <m/>
    <m/>
    <m/>
    <m/>
    <m/>
    <m/>
    <m/>
    <m/>
    <m/>
    <m/>
    <m/>
    <m/>
    <m/>
    <m/>
    <m/>
    <m/>
    <m/>
    <m/>
    <m/>
    <m/>
    <m/>
    <m/>
    <n v="30113920"/>
    <n v="20400000"/>
    <n v="20400000"/>
    <n v="9713920"/>
    <n v="0"/>
  </r>
  <r>
    <x v="0"/>
    <x v="5"/>
    <s v="Fortalecimiento del sector en la planificación de la atención de la demanda energética nacional y la transición energética justa a nivel nacional"/>
    <s v="Demanda"/>
    <s v="Sí"/>
    <s v="Sí"/>
    <n v="6"/>
    <s v="160-53"/>
    <s v="Fomentar la articulación de la política pública, el marco regulatorio y la visión de gobierno."/>
    <s v="Documentos de Lineamientos Técnicos"/>
    <s v="Documento con los resultados de las validaciones."/>
    <n v="80111620"/>
    <s v="C-2106-1900-13-40302B-2106010-02"/>
    <x v="0"/>
    <s v="160-53 Prestar servicios profesionales en el desarrollo de las actuaciones administrativas de la Entidad, mediante el análisis normativo, la proyección de respuestas a PQR´s  contribuyendo al cumplimiento de las funciones misionales y al fortalecimiento d"/>
    <s v="Enero "/>
    <s v="Enero "/>
    <s v="Enero "/>
    <n v="11.4"/>
    <s v="Meses"/>
    <s v="Contratación directa - Prestación de servicios profesionales "/>
    <s v="Propios - 20 - Ingresos corrientes"/>
    <n v="57000000"/>
    <n v="57000000"/>
    <s v="No"/>
    <s v="N/A"/>
    <s v="Johanna Castellanos"/>
    <s v="Subdirectora de Demanda"/>
    <n v="6012220644"/>
    <s v="johanna.castellanos@upme.gov.co"/>
    <n v="55000000"/>
    <n v="0"/>
    <n v="0"/>
    <n v="0"/>
    <n v="0"/>
    <n v="5000000"/>
    <n v="0"/>
    <n v="5000000"/>
    <n v="0"/>
    <n v="5000000"/>
    <n v="0"/>
    <n v="5000000"/>
    <n v="0"/>
    <n v="5000000"/>
    <n v="0"/>
    <n v="5000000"/>
    <n v="0"/>
    <n v="5000000"/>
    <n v="0"/>
    <n v="5000000"/>
    <n v="0"/>
    <n v="5000000"/>
    <n v="2000000"/>
    <n v="12000000"/>
    <n v="57000000"/>
    <n v="57000000"/>
    <n v="0"/>
    <n v="0"/>
    <s v="Prestar servicios profesionales en el desarrollo de las actuaciones administrativas de la Entidad, mediante el análisis normativo, la proyección de respuestas a PQR´s  contribuyendo al cumplimiento de las funciones misionales y al fortalecimiento de la ge"/>
    <n v="55000000"/>
    <m/>
    <m/>
    <m/>
    <m/>
    <n v="5000000"/>
    <m/>
    <n v="5000000"/>
    <m/>
    <n v="5000000"/>
    <m/>
    <n v="5000000"/>
    <m/>
    <n v="5000000"/>
    <m/>
    <n v="5000000"/>
    <m/>
    <n v="5000000"/>
    <m/>
    <n v="5000000"/>
    <m/>
    <n v="5000000"/>
    <n v="2000000"/>
    <n v="12000000"/>
    <m/>
    <m/>
    <n v="57000000"/>
    <n v="57000000"/>
    <n v="0"/>
    <n v="0"/>
    <n v="60026"/>
    <d v="2026-01-23T00:00:00"/>
    <n v="54833333"/>
    <n v="2166667"/>
    <n v="35026"/>
    <d v="2026-01-29T00:00:00"/>
    <n v="54833333"/>
    <n v="2166667"/>
    <n v="0"/>
    <s v="ACUNA JOHAN"/>
    <s v="CO1.PCCNTR.9183221"/>
    <n v="55000000"/>
    <m/>
    <m/>
    <m/>
    <m/>
    <m/>
    <m/>
    <n v="4833333"/>
    <n v="4833333"/>
    <n v="-166667"/>
    <n v="5000000"/>
    <n v="5000000"/>
    <m/>
    <m/>
    <m/>
    <m/>
    <m/>
    <m/>
    <m/>
    <m/>
    <m/>
    <m/>
    <m/>
    <m/>
    <m/>
    <m/>
    <m/>
    <m/>
    <m/>
    <m/>
    <m/>
    <m/>
    <m/>
    <m/>
    <m/>
    <m/>
    <n v="54833333"/>
    <n v="9833333"/>
    <n v="9833333"/>
    <n v="45000000"/>
    <n v="0"/>
  </r>
  <r>
    <x v="0"/>
    <x v="5"/>
    <s v="Fortalecimiento del sector en la planificación de la atención de la demanda energética nacional y la transición energética justa a nivel nacional"/>
    <s v="Demanda"/>
    <s v="Sí"/>
    <s v="Sí"/>
    <n v="68"/>
    <s v="160-54"/>
    <s v="Mejorar la representatividad en la información de la participación de los sectores económicos en el consumo de energía."/>
    <s v="Documentos de Planeación"/>
    <s v="Documento de planeación preliminar."/>
    <n v="80111620"/>
    <s v="C-2106-1900-13-40302B-2106003-02"/>
    <x v="0"/>
    <s v="160-54 Prestar servicios profesionales para las actividades de free press de la Unidad de Planeación Minero Energética- UPME, con énfasis en la estrategia de articulación intra e intersectorial para la planificación del desarrollo minero-energético."/>
    <s v="Enero "/>
    <s v="Enero "/>
    <s v="Enero "/>
    <n v="11.5"/>
    <s v="Meses"/>
    <s v="Contratación directa - Prestación de servicios profesionales "/>
    <s v="Propios - 20 - Ingresos corrientes"/>
    <n v="92000000"/>
    <n v="92000000"/>
    <s v="No"/>
    <s v="N/A"/>
    <s v="Johanna Castellanos"/>
    <s v="Subdirectora de Demanda"/>
    <n v="6012220644"/>
    <s v="johanna.castellanos@upme.gov.co"/>
    <n v="90000000"/>
    <n v="0"/>
    <n v="0"/>
    <n v="2400000"/>
    <n v="0"/>
    <n v="9000000"/>
    <n v="0"/>
    <n v="9000000"/>
    <n v="0"/>
    <n v="9000000"/>
    <n v="0"/>
    <n v="9000000"/>
    <n v="0"/>
    <n v="9000000"/>
    <n v="0"/>
    <n v="9000000"/>
    <n v="0"/>
    <n v="9000000"/>
    <n v="0"/>
    <n v="9000000"/>
    <n v="0"/>
    <n v="9000000"/>
    <n v="2000000"/>
    <n v="8600000"/>
    <n v="92000000"/>
    <n v="92000000"/>
    <n v="0"/>
    <n v="0"/>
    <s v="Prestar servicios profesionales para las actividades de free press de la Unidad de Planeación Minero Energética- UPME, con énfasis en la estrategia de articulación intra e intersectorial para la planificación del desarrollo minero-energético."/>
    <n v="90000000"/>
    <m/>
    <m/>
    <n v="2400000"/>
    <m/>
    <n v="9000000"/>
    <m/>
    <n v="9000000"/>
    <m/>
    <n v="9000000"/>
    <m/>
    <n v="9000000"/>
    <m/>
    <n v="9000000"/>
    <m/>
    <n v="9000000"/>
    <m/>
    <n v="9000000"/>
    <m/>
    <n v="9000000"/>
    <m/>
    <n v="9000000"/>
    <n v="2000000"/>
    <n v="8600000"/>
    <m/>
    <m/>
    <n v="92000000"/>
    <n v="92000000"/>
    <n v="0"/>
    <n v="0"/>
    <n v="12126"/>
    <d v="2026-01-08T00:00:00"/>
    <n v="92000000"/>
    <n v="0"/>
    <n v="16726"/>
    <d v="2026-01-22T00:00:00"/>
    <n v="90000000"/>
    <n v="2000000"/>
    <n v="2000000"/>
    <s v="DUQUE PARRA CHRISTIAN LEONARDO"/>
    <s v="CO1.PCCNTR.8936638"/>
    <n v="90000000"/>
    <m/>
    <m/>
    <m/>
    <n v="2400000"/>
    <n v="2400000"/>
    <m/>
    <n v="9000000"/>
    <n v="9000000"/>
    <m/>
    <n v="9000000"/>
    <n v="9000000"/>
    <m/>
    <m/>
    <m/>
    <m/>
    <m/>
    <m/>
    <m/>
    <m/>
    <m/>
    <m/>
    <m/>
    <m/>
    <m/>
    <m/>
    <m/>
    <m/>
    <m/>
    <m/>
    <m/>
    <m/>
    <m/>
    <m/>
    <m/>
    <m/>
    <n v="90000000"/>
    <n v="20400000"/>
    <n v="20400000"/>
    <n v="69600000"/>
    <n v="0"/>
  </r>
  <r>
    <x v="0"/>
    <x v="5"/>
    <s v="Fortalecimiento del sector en la planificación de la atención de la demanda energética nacional y la transición energética justa a nivel nacional"/>
    <s v="Demanda"/>
    <s v="Sí"/>
    <s v="Sí"/>
    <n v="68"/>
    <s v="160-55"/>
    <s v="Mejorar la representatividad en la información de la participación de los sectores económicos en el consumo de energía."/>
    <s v="Documentos de Planeación"/>
    <s v="Documento de planeación preliminar."/>
    <n v="80111620"/>
    <s v="C-2106-1900-13-40302B-2106003-02"/>
    <x v="0"/>
    <s v="160-55 Prestar servicios profesionales en derecho para apoyar la gestión jurídica de la UPME, mediante la asesoría y acompañamiento en la sustanciación de procesos administrativos y contractuales, la elaboración y revisión de conceptos jurídicos, la revis"/>
    <s v="Enero "/>
    <s v="Enero "/>
    <s v="Enero "/>
    <n v="11.5"/>
    <s v="Meses"/>
    <s v="Contratación directa - Prestación de servicios profesionales "/>
    <s v="Propios - 20 - Ingresos corrientes"/>
    <n v="103500000"/>
    <n v="103500000"/>
    <s v="No"/>
    <s v="N/A"/>
    <s v="Johanna Castellanos"/>
    <s v="Subdirectora de Demanda"/>
    <n v="6012220644"/>
    <s v="johanna.castellanos@upme.gov.co"/>
    <n v="99000000"/>
    <n v="0"/>
    <n v="0"/>
    <n v="0"/>
    <n v="0"/>
    <n v="9000000"/>
    <n v="0"/>
    <n v="9000000"/>
    <n v="0"/>
    <n v="9000000"/>
    <n v="0"/>
    <n v="9000000"/>
    <n v="0"/>
    <n v="9000000"/>
    <n v="0"/>
    <n v="9000000"/>
    <n v="0"/>
    <n v="9000000"/>
    <n v="0"/>
    <n v="9000000"/>
    <n v="0"/>
    <n v="9000000"/>
    <n v="4500000"/>
    <n v="22500000"/>
    <n v="103500000"/>
    <n v="103500000"/>
    <n v="0"/>
    <n v="0"/>
    <s v="Prestar servicios profesionales en derecho para apoyar la gestión jurídica de la UPME, mediante la asesoría y acompañamiento en la sustanciación de procesos administrativos y contractuales, la elaboración y revisión de conceptos jurídicos, la revisión de "/>
    <n v="99000000"/>
    <m/>
    <m/>
    <m/>
    <m/>
    <n v="9000000"/>
    <m/>
    <n v="9000000"/>
    <m/>
    <n v="9000000"/>
    <m/>
    <n v="9000000"/>
    <m/>
    <n v="9000000"/>
    <m/>
    <n v="9000000"/>
    <m/>
    <n v="9000000"/>
    <m/>
    <n v="9000000"/>
    <m/>
    <n v="9000000"/>
    <n v="4500000"/>
    <n v="22500000"/>
    <m/>
    <m/>
    <n v="103500000"/>
    <n v="103500000"/>
    <n v="0"/>
    <n v="0"/>
    <n v="12826"/>
    <d v="2026-01-08T00:00:00"/>
    <n v="103500000"/>
    <n v="0"/>
    <n v="36426"/>
    <d v="2026-01-30T00:00:00"/>
    <n v="99000000"/>
    <n v="4500000"/>
    <n v="4500000"/>
    <s v="SANCHEZ GONZALEZ JUAN CAMILO"/>
    <s v="CO1.PCCNTR.9067637"/>
    <n v="99000000"/>
    <m/>
    <m/>
    <m/>
    <m/>
    <m/>
    <m/>
    <m/>
    <m/>
    <m/>
    <n v="17700000"/>
    <n v="17700000"/>
    <m/>
    <m/>
    <m/>
    <m/>
    <m/>
    <m/>
    <m/>
    <m/>
    <m/>
    <m/>
    <m/>
    <m/>
    <m/>
    <m/>
    <m/>
    <m/>
    <m/>
    <m/>
    <m/>
    <m/>
    <m/>
    <m/>
    <m/>
    <m/>
    <n v="99000000"/>
    <n v="17700000"/>
    <n v="17700000"/>
    <n v="81300000"/>
    <n v="0"/>
  </r>
  <r>
    <x v="0"/>
    <x v="5"/>
    <s v="Fortalecimiento del sector en la planificación de la atención de la demanda energética nacional y la transición energética justa a nivel nacional"/>
    <s v="Demanda"/>
    <s v="Sí"/>
    <s v="Sí"/>
    <n v="9"/>
    <s v="160-56"/>
    <s v="Mejorar la representatividad en la información de la participación de los sectores económicos en el consumo de energía."/>
    <s v="Documentos de Planeación"/>
    <s v="Documento de planeación preliminar."/>
    <n v="80111620"/>
    <s v="C-2106-1900-13-40302B-2106003-02"/>
    <x v="0"/>
    <s v="160-56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30000000"/>
    <n v="30000000"/>
    <s v="No"/>
    <s v="N/A"/>
    <s v="Johanna Castellanos"/>
    <s v="Subdirectora de Demanda"/>
    <n v="6012220644"/>
    <s v="johanna.castellanos@upme.gov.co"/>
    <n v="0"/>
    <n v="0"/>
    <n v="0"/>
    <n v="0"/>
    <n v="0"/>
    <n v="0"/>
    <n v="0"/>
    <n v="0"/>
    <n v="0"/>
    <n v="0"/>
    <n v="0"/>
    <n v="0"/>
    <n v="30000000"/>
    <n v="0"/>
    <n v="0"/>
    <n v="6000000"/>
    <n v="0"/>
    <n v="6000000"/>
    <n v="0"/>
    <n v="6000000"/>
    <n v="0"/>
    <n v="6000000"/>
    <n v="0"/>
    <n v="6000000"/>
    <n v="30000000"/>
    <n v="30000000"/>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30000000"/>
    <m/>
    <m/>
    <n v="6000000"/>
    <m/>
    <n v="6000000"/>
    <m/>
    <n v="6000000"/>
    <m/>
    <n v="6000000"/>
    <m/>
    <n v="6000000"/>
    <m/>
    <m/>
    <n v="30000000"/>
    <n v="30000000"/>
    <n v="0"/>
    <n v="0"/>
    <n v="68426"/>
    <d v="2026-01-30T00:00:00"/>
    <n v="30000000"/>
    <n v="0"/>
    <m/>
    <m/>
    <n v="0"/>
    <n v="30000000"/>
    <n v="300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9"/>
    <s v="160-57"/>
    <s v="Fomentar la articulación de la política pública, el marco regulatorio y la visión de gobierno."/>
    <s v="Documentos de Lineamientos Técnicos"/>
    <s v="Documento con la descripción de procesos, métodos y herramientas."/>
    <n v="80111620"/>
    <s v="C-2106-1900-13-40302B-2106010-02"/>
    <x v="0"/>
    <s v="160-57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10724696"/>
    <n v="10724696"/>
    <s v="No"/>
    <s v="N/A"/>
    <s v="Johanna Castellanos"/>
    <s v="Subdirectora de Demanda"/>
    <n v="6012220644"/>
    <s v="johanna.castellanos@upme.gov.co"/>
    <n v="0"/>
    <n v="0"/>
    <n v="0"/>
    <n v="0"/>
    <n v="0"/>
    <n v="0"/>
    <n v="0"/>
    <n v="0"/>
    <n v="0"/>
    <n v="0"/>
    <n v="0"/>
    <n v="0"/>
    <n v="10724696"/>
    <n v="0"/>
    <n v="0"/>
    <n v="2144000"/>
    <n v="0"/>
    <n v="2144000"/>
    <n v="0"/>
    <n v="2144000"/>
    <n v="0"/>
    <n v="2144000"/>
    <n v="0"/>
    <n v="2148696"/>
    <n v="10724696"/>
    <n v="10724696"/>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10724696"/>
    <m/>
    <m/>
    <n v="2144000"/>
    <m/>
    <n v="2144000"/>
    <m/>
    <n v="2144000"/>
    <m/>
    <n v="2144000"/>
    <m/>
    <n v="2148696"/>
    <m/>
    <m/>
    <n v="10724696"/>
    <n v="10724696"/>
    <n v="0"/>
    <n v="0"/>
    <n v="68426"/>
    <d v="2026-01-30T00:00:00"/>
    <n v="10724696"/>
    <n v="0"/>
    <m/>
    <m/>
    <n v="0"/>
    <n v="10724696"/>
    <n v="10724696"/>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9"/>
    <s v="160-58"/>
    <s v="Fomentar la articulación de la política pública, el marco regulatorio y la visión de gobierno."/>
    <s v="Documentos de Lineamientos Técnicos"/>
    <s v="Documento con los resultados de las validaciones."/>
    <n v="80111620"/>
    <s v="C-2106-1900-13-40302B-2106010-02"/>
    <x v="0"/>
    <s v="160-58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16275304"/>
    <n v="16275304"/>
    <s v="No"/>
    <s v="N/A"/>
    <s v="Johanna Castellanos"/>
    <s v="Subdirectora de Demanda"/>
    <n v="6012220644"/>
    <s v="johanna.castellanos@upme.gov.co"/>
    <n v="0"/>
    <n v="0"/>
    <n v="0"/>
    <n v="0"/>
    <n v="0"/>
    <n v="0"/>
    <n v="0"/>
    <n v="0"/>
    <n v="0"/>
    <n v="0"/>
    <n v="0"/>
    <n v="0"/>
    <n v="16275304"/>
    <n v="0"/>
    <n v="0"/>
    <n v="3255000"/>
    <n v="0"/>
    <n v="3255000"/>
    <n v="0"/>
    <n v="3255000"/>
    <n v="0"/>
    <n v="3255000"/>
    <n v="0"/>
    <n v="3255304"/>
    <n v="16275304"/>
    <n v="16275304"/>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16275304"/>
    <m/>
    <m/>
    <n v="3255000"/>
    <m/>
    <n v="3255000"/>
    <m/>
    <n v="3255000"/>
    <m/>
    <n v="3255000"/>
    <m/>
    <n v="3255304"/>
    <m/>
    <m/>
    <n v="16275304"/>
    <n v="16275304"/>
    <n v="0"/>
    <n v="0"/>
    <n v="68426"/>
    <d v="2026-01-30T00:00:00"/>
    <n v="16275304"/>
    <n v="0"/>
    <m/>
    <m/>
    <n v="0"/>
    <n v="16275304"/>
    <n v="16275304"/>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s v="No. Rad 202601300040373"/>
    <s v="160-59"/>
    <s v="Fomentar la articulación de la política pública, el marco regulatorio y la visión de gobierno."/>
    <s v="Documentos de Lineamientos Técnicos"/>
    <s v="Documento con la descripción de procesos, métodos y herramientas."/>
    <s v="43201800;43233405;43212201"/>
    <s v="C-2106-1900-13-40302B-2106010-02"/>
    <x v="1"/>
    <s v="160-59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500000000"/>
    <n v="500000000"/>
    <s v="No"/>
    <s v="N/A"/>
    <s v="Johanna Castellanos"/>
    <s v="Subdirectora de Demanda"/>
    <n v="6012220644"/>
    <s v="johanna.castellanos@upme.gov.co"/>
    <n v="0"/>
    <n v="0"/>
    <n v="0"/>
    <n v="0"/>
    <n v="0"/>
    <n v="0"/>
    <n v="500000000"/>
    <n v="0"/>
    <n v="0"/>
    <n v="0"/>
    <n v="0"/>
    <n v="500000000"/>
    <n v="0"/>
    <n v="0"/>
    <n v="0"/>
    <n v="0"/>
    <n v="0"/>
    <n v="0"/>
    <n v="0"/>
    <n v="0"/>
    <n v="0"/>
    <n v="0"/>
    <n v="0"/>
    <n v="0"/>
    <n v="500000000"/>
    <n v="500000000"/>
    <n v="0"/>
    <n v="0"/>
    <s v="Adquirir el licenciamiento por suscripción para Plataforma de virtualización y almacenamiento en nube incluyendo la adquisición del hardware para Computación y Storage que soporta esta solución de Hiperconvergencia."/>
    <m/>
    <m/>
    <m/>
    <m/>
    <m/>
    <m/>
    <n v="500000000"/>
    <m/>
    <m/>
    <m/>
    <m/>
    <n v="500000000"/>
    <m/>
    <m/>
    <m/>
    <m/>
    <m/>
    <m/>
    <m/>
    <m/>
    <m/>
    <m/>
    <m/>
    <m/>
    <m/>
    <m/>
    <n v="500000000"/>
    <n v="500000000"/>
    <n v="0"/>
    <n v="0"/>
    <m/>
    <m/>
    <m/>
    <n v="500000000"/>
    <m/>
    <m/>
    <n v="0"/>
    <n v="500000000"/>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60"/>
    <s v="Desarrollar la capacidad instalada en la planificación estratégica de la atención de la demanda."/>
    <s v="Documentos Metodológicos"/>
    <s v="Documento metodológico preliminar."/>
    <n v="80111713"/>
    <s v="C-2106-1900-13-40302B-2106005-02"/>
    <x v="9"/>
    <s v="160-60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27357280"/>
    <n v="27357280"/>
    <s v="No"/>
    <s v="N/A"/>
    <s v="Johanna Castellanos"/>
    <s v="Subdirectora de Demanda"/>
    <n v="6012220644"/>
    <s v="johanna.castellanos@upme.gov.co"/>
    <n v="0"/>
    <n v="0"/>
    <n v="0"/>
    <n v="0"/>
    <n v="0"/>
    <n v="0"/>
    <n v="0"/>
    <n v="0"/>
    <n v="0"/>
    <n v="0"/>
    <n v="0"/>
    <n v="0"/>
    <n v="0"/>
    <n v="0"/>
    <n v="0"/>
    <n v="0"/>
    <n v="0"/>
    <n v="0"/>
    <n v="0"/>
    <n v="0"/>
    <n v="27357280"/>
    <n v="0"/>
    <n v="0"/>
    <n v="27357280"/>
    <n v="27357280"/>
    <n v="27357280"/>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27357280"/>
    <m/>
    <m/>
    <n v="27357280"/>
    <m/>
    <m/>
    <n v="27357280"/>
    <n v="27357280"/>
    <n v="0"/>
    <n v="0"/>
    <m/>
    <m/>
    <m/>
    <n v="27357280"/>
    <m/>
    <m/>
    <n v="0"/>
    <n v="27357280"/>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61"/>
    <s v="Mejorar la representatividad en la información de la participación de los sectores económicos en el consumo de energía."/>
    <s v="Documentos de Planeación"/>
    <s v="Documento de planeación preliminar."/>
    <n v="80111713"/>
    <s v="C-2106-1900-13-40302B-2106003-02"/>
    <x v="9"/>
    <s v="160-61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286252"/>
    <n v="286252"/>
    <s v="No"/>
    <s v="N/A"/>
    <s v="Johanna Castellanos"/>
    <s v="Subdirectora de Demanda"/>
    <n v="6012220644"/>
    <s v="johanna.castellanos@upme.gov.co"/>
    <n v="0"/>
    <n v="0"/>
    <n v="0"/>
    <n v="0"/>
    <n v="0"/>
    <n v="0"/>
    <n v="0"/>
    <n v="0"/>
    <n v="0"/>
    <n v="0"/>
    <n v="0"/>
    <n v="0"/>
    <n v="0"/>
    <n v="0"/>
    <n v="0"/>
    <n v="0"/>
    <n v="0"/>
    <n v="0"/>
    <n v="0"/>
    <n v="0"/>
    <n v="286252"/>
    <n v="0"/>
    <n v="0"/>
    <n v="286252"/>
    <n v="286252"/>
    <n v="286252"/>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286252"/>
    <m/>
    <m/>
    <n v="286252"/>
    <m/>
    <m/>
    <n v="286252"/>
    <n v="286252"/>
    <n v="0"/>
    <n v="0"/>
    <m/>
    <m/>
    <m/>
    <n v="286252"/>
    <m/>
    <m/>
    <n v="0"/>
    <n v="286252"/>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62"/>
    <s v="Fomentar la articulación de la política pública, el marco regulatorio y la visión de gobierno."/>
    <s v="Documentos de Lineamientos Técnicos"/>
    <s v="Documento con la descripción de procesos, métodos y herramientas."/>
    <n v="80111713"/>
    <s v="C-2106-1900-13-40302B-2106010-02"/>
    <x v="9"/>
    <s v="160-62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18591085"/>
    <n v="18591085"/>
    <s v="No"/>
    <s v="N/A"/>
    <s v="Johanna Castellanos"/>
    <s v="Subdirectora de Demanda"/>
    <n v="6012220644"/>
    <s v="johanna.castellanos@upme.gov.co"/>
    <n v="0"/>
    <n v="0"/>
    <n v="0"/>
    <n v="0"/>
    <n v="0"/>
    <n v="0"/>
    <n v="0"/>
    <n v="0"/>
    <n v="0"/>
    <n v="0"/>
    <n v="0"/>
    <n v="0"/>
    <n v="0"/>
    <n v="0"/>
    <n v="0"/>
    <n v="0"/>
    <n v="0"/>
    <n v="0"/>
    <n v="0"/>
    <n v="0"/>
    <n v="18591085"/>
    <n v="0"/>
    <n v="0"/>
    <n v="18591085"/>
    <n v="18591085"/>
    <n v="18591085"/>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18591085"/>
    <m/>
    <m/>
    <n v="18591085"/>
    <m/>
    <m/>
    <n v="18591085"/>
    <n v="18591085"/>
    <n v="0"/>
    <n v="0"/>
    <m/>
    <m/>
    <m/>
    <n v="18591085"/>
    <m/>
    <m/>
    <n v="0"/>
    <n v="18591085"/>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68"/>
    <s v="160-63"/>
    <s v="Mejorar la representatividad en la información de la participación de los sectores económicos en el consumo de energía."/>
    <s v="Documentos de Planeación"/>
    <s v="Documento de planeación preliminar."/>
    <n v="80111713"/>
    <s v="C-2106-1900-13-40302B-2106003-02"/>
    <x v="9"/>
    <s v="160-63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1 - Otros recursos de tesorería"/>
    <n v="3765383"/>
    <n v="3765383"/>
    <s v="No"/>
    <s v="N/A"/>
    <s v="Johanna Castellanos"/>
    <s v="Subdirectora de Demanda"/>
    <n v="6012220644"/>
    <s v="johanna.castellanos@upme.gov.co"/>
    <n v="0"/>
    <n v="0"/>
    <n v="0"/>
    <n v="0"/>
    <n v="0"/>
    <n v="0"/>
    <n v="0"/>
    <n v="0"/>
    <n v="0"/>
    <n v="0"/>
    <n v="0"/>
    <n v="0"/>
    <n v="0"/>
    <n v="0"/>
    <n v="0"/>
    <n v="0"/>
    <n v="0"/>
    <n v="0"/>
    <n v="0"/>
    <n v="0"/>
    <n v="3765383"/>
    <n v="0"/>
    <n v="0"/>
    <n v="3765383"/>
    <n v="3765383"/>
    <n v="3765383"/>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3765383"/>
    <m/>
    <m/>
    <n v="3765383"/>
    <m/>
    <m/>
    <n v="3765383"/>
    <n v="3765383"/>
    <n v="0"/>
    <n v="0"/>
    <m/>
    <m/>
    <m/>
    <n v="3765383"/>
    <m/>
    <m/>
    <n v="0"/>
    <n v="3765383"/>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s v="Radicado 20261110012353"/>
    <s v="160-64"/>
    <s v="Fomentar la articulación de la política pública, el marco regulatorio y la visión de gobierno."/>
    <s v="Documentos de Lineamientos Técnicos"/>
    <s v="Documento con los resultados de las validaciones."/>
    <n v="78111502"/>
    <s v="C-2106-1900-13-40302B-2106010-02"/>
    <x v="3"/>
    <s v="160-6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00000000"/>
    <n v="100000000"/>
    <s v="No"/>
    <s v="N/A"/>
    <s v="Johanna Castellanos"/>
    <s v="Subdirectora de Demanda"/>
    <n v="6012220644"/>
    <s v="johanna.castellanos@upme.gov.co"/>
    <n v="0"/>
    <n v="0"/>
    <n v="0"/>
    <n v="0"/>
    <n v="0"/>
    <n v="0"/>
    <n v="0"/>
    <n v="0"/>
    <n v="0"/>
    <n v="0"/>
    <n v="0"/>
    <n v="0"/>
    <n v="0"/>
    <n v="0"/>
    <n v="0"/>
    <n v="0"/>
    <n v="100000000"/>
    <n v="0"/>
    <n v="0"/>
    <n v="5000000"/>
    <n v="0"/>
    <n v="5000000"/>
    <n v="0"/>
    <n v="90000000"/>
    <n v="100000000"/>
    <n v="100000000"/>
    <n v="0"/>
    <n v="0"/>
    <s v="Adquirir los servicios necesarios para garantizar el desplazamiento de servidores públicos y contratistas de la UPME a los eventos y espacios institucionales de planeación minero energética."/>
    <m/>
    <m/>
    <m/>
    <m/>
    <m/>
    <m/>
    <m/>
    <m/>
    <m/>
    <m/>
    <m/>
    <m/>
    <m/>
    <m/>
    <m/>
    <m/>
    <n v="100000000"/>
    <m/>
    <m/>
    <n v="5000000"/>
    <m/>
    <n v="5000000"/>
    <m/>
    <n v="90000000"/>
    <m/>
    <m/>
    <n v="100000000"/>
    <n v="100000000"/>
    <n v="0"/>
    <n v="0"/>
    <m/>
    <m/>
    <m/>
    <n v="100000000"/>
    <m/>
    <m/>
    <n v="0"/>
    <n v="100000000"/>
    <n v="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No"/>
    <s v="Sí"/>
    <n v="68"/>
    <s v="160-65"/>
    <s v="Fomentar la articulación de la política pública, el marco regulatorio y la visión de gobierno."/>
    <s v="Documentos de Lineamientos Técnicos"/>
    <s v="Documento con los resultados de las validaciones."/>
    <s v="N/A"/>
    <s v="C-2106-1900-13-40302B-2106010-02"/>
    <x v="4"/>
    <s v="160-65 Viáticos o gastos de desplazamiento"/>
    <s v="N/A"/>
    <s v="N/A"/>
    <s v="N/A"/>
    <s v="N/A"/>
    <s v="N/A"/>
    <s v="N/A"/>
    <s v="Propios - 20 - Ingresos corrientes"/>
    <n v="16297892"/>
    <n v="16297892"/>
    <s v="No"/>
    <s v="N/A"/>
    <s v="Johanna Castellanos"/>
    <s v="Subdirectora de Demanda"/>
    <n v="6012220644"/>
    <s v="johanna.castellanos@upme.gov.co"/>
    <n v="0"/>
    <n v="0"/>
    <n v="0"/>
    <n v="0"/>
    <n v="0"/>
    <n v="0"/>
    <n v="1629789"/>
    <n v="1629789"/>
    <n v="1629789"/>
    <n v="1629789"/>
    <n v="1629789"/>
    <n v="1629789"/>
    <n v="1629789"/>
    <n v="1629789"/>
    <n v="1629789"/>
    <n v="1629789"/>
    <n v="1629789"/>
    <n v="1629789"/>
    <n v="1629789"/>
    <n v="1629789"/>
    <n v="1629789"/>
    <n v="1629789"/>
    <n v="3259580"/>
    <n v="3259580"/>
    <n v="16297892"/>
    <n v="16297892"/>
    <n v="0"/>
    <n v="0"/>
    <s v="Viáticos o gastos de desplazamiento"/>
    <m/>
    <m/>
    <m/>
    <m/>
    <m/>
    <m/>
    <n v="1629789"/>
    <n v="1629789"/>
    <n v="1629789"/>
    <n v="1629789"/>
    <n v="1629789"/>
    <n v="1629789"/>
    <n v="1629789"/>
    <n v="1629789"/>
    <n v="1629789"/>
    <n v="1629789"/>
    <n v="1629789"/>
    <n v="1629789"/>
    <n v="1629789"/>
    <n v="1629789"/>
    <n v="1629789"/>
    <n v="1629789"/>
    <n v="3259580"/>
    <n v="3259580"/>
    <m/>
    <m/>
    <n v="16297892"/>
    <n v="16297892"/>
    <n v="0"/>
    <n v="0"/>
    <n v="72126"/>
    <d v="2026-04-29T00:00:00"/>
    <n v="16297892"/>
    <n v="0"/>
    <m/>
    <m/>
    <n v="0"/>
    <n v="16297892"/>
    <n v="16297892"/>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No"/>
    <s v="Sí"/>
    <n v="68"/>
    <s v="160-66"/>
    <s v="Fomentar la articulación de la política pública, el marco regulatorio y la visión de gobierno."/>
    <s v="Documentos de Lineamientos Técnicos"/>
    <s v="Documento con la descripción de procesos, métodos y herramientas."/>
    <s v="N/A"/>
    <s v="C-2106-1900-13-40302B-2106010-02"/>
    <x v="4"/>
    <s v="160-66 Viáticos o gastos de desplazamiento"/>
    <s v="N/A"/>
    <s v="N/A"/>
    <s v="N/A"/>
    <s v="N/A"/>
    <s v="N/A"/>
    <s v="N/A"/>
    <s v="Propios - 20 - Ingresos corrientes"/>
    <n v="37526804"/>
    <n v="37526804"/>
    <s v="No"/>
    <s v="N/A"/>
    <s v="Johanna Castellanos"/>
    <s v="Subdirectora de Demanda"/>
    <n v="6012220644"/>
    <s v="johanna.castellanos@upme.gov.co"/>
    <n v="0"/>
    <n v="0"/>
    <n v="0"/>
    <n v="0"/>
    <n v="0"/>
    <n v="0"/>
    <n v="3127233"/>
    <n v="3127233"/>
    <n v="3127233"/>
    <n v="3127233"/>
    <n v="3127233"/>
    <n v="3127233"/>
    <n v="3127233"/>
    <n v="3127233"/>
    <n v="3127233"/>
    <n v="3127233"/>
    <n v="3127233"/>
    <n v="3127233"/>
    <n v="3127233"/>
    <n v="3127233"/>
    <n v="3127233"/>
    <n v="3127233"/>
    <n v="12508940"/>
    <n v="12508940"/>
    <n v="37526804"/>
    <n v="37526804"/>
    <n v="0"/>
    <n v="0"/>
    <s v="Viáticos o gastos de desplazamiento"/>
    <m/>
    <m/>
    <m/>
    <m/>
    <m/>
    <m/>
    <n v="3127233"/>
    <n v="3127233"/>
    <n v="3127233"/>
    <n v="3127233"/>
    <n v="3127233"/>
    <n v="3127233"/>
    <n v="3127233"/>
    <n v="3127233"/>
    <n v="3127233"/>
    <n v="3127233"/>
    <n v="3127233"/>
    <n v="3127233"/>
    <n v="3127233"/>
    <n v="3127233"/>
    <n v="3127233"/>
    <n v="3127233"/>
    <n v="12508940"/>
    <n v="12508940"/>
    <m/>
    <m/>
    <n v="37526804"/>
    <n v="37526804"/>
    <n v="0"/>
    <n v="0"/>
    <n v="70526"/>
    <d v="2026-03-16T00:00:00"/>
    <n v="23702108"/>
    <n v="13824696"/>
    <s v="64826,64926,68226,68326,70026,70226,72026,72326"/>
    <s v="20/03/2026,10/04/2026"/>
    <n v="10328585"/>
    <n v="27198219"/>
    <n v="13373523"/>
    <s v="GOMEZ AVILA LINA MARCELA,ZABALETA MONTENEGRO OSCAR ANDRES,ZABALETA MONTENEGRO OSCAR ANDRES_x000a_,GOMEZ AVILA LINA MARCELA_x000a_"/>
    <m/>
    <m/>
    <m/>
    <m/>
    <m/>
    <m/>
    <m/>
    <n v="2808926"/>
    <n v="2808926"/>
    <n v="2808926"/>
    <n v="7519659"/>
    <n v="6409276"/>
    <n v="6409276"/>
    <m/>
    <m/>
    <m/>
    <m/>
    <m/>
    <m/>
    <m/>
    <m/>
    <m/>
    <m/>
    <m/>
    <m/>
    <m/>
    <m/>
    <m/>
    <m/>
    <m/>
    <m/>
    <m/>
    <m/>
    <m/>
    <m/>
    <m/>
    <m/>
    <n v="10328585"/>
    <n v="9218202"/>
    <n v="9218202"/>
    <n v="1110383"/>
    <n v="0"/>
  </r>
  <r>
    <x v="0"/>
    <x v="5"/>
    <s v="Fortalecimiento del sector en la planificación de la atención de la demanda energética nacional y la transición energética justa a nivel nacional"/>
    <s v="Demanda"/>
    <s v="Si"/>
    <s v="Sí"/>
    <n v="3"/>
    <s v="160-67"/>
    <s v="Fomentar la articulación de la política pública, el marco regulatorio y la visión de gobierno."/>
    <s v="Documentos de Lineamientos Técnicos"/>
    <s v="Documento con la descripción de procesos, métodos y herramientas."/>
    <n v="80111620"/>
    <s v="C-2106-1900-13-40302B-2106010-02"/>
    <x v="0"/>
    <s v="160-67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18000000"/>
    <n v="18000000"/>
    <s v="No"/>
    <s v="N/A"/>
    <s v="Johanna Castellanos"/>
    <s v="Subdirectora de Demanda"/>
    <n v="6012220644"/>
    <s v="johanna.castellanos@upme.gov.co"/>
    <n v="0"/>
    <n v="0"/>
    <n v="15600000"/>
    <n v="0"/>
    <n v="0"/>
    <n v="0"/>
    <n v="0"/>
    <n v="0"/>
    <n v="0"/>
    <n v="0"/>
    <n v="0"/>
    <n v="0"/>
    <n v="0"/>
    <n v="0"/>
    <n v="0"/>
    <n v="0"/>
    <n v="0"/>
    <n v="0"/>
    <n v="0"/>
    <n v="0"/>
    <n v="0"/>
    <n v="3600000"/>
    <n v="2400000"/>
    <n v="14400000"/>
    <n v="18000000"/>
    <n v="18000000"/>
    <n v="0"/>
    <n v="0"/>
    <s v="Prestar servicios profesionales para gestionar la comunicación institucional de la UPME, mediante el diseño, desarrollo y ejecución de estrategias creativas de comunicación interna y externa, posicionamiento de marca institucional, gestión de mensajes y n"/>
    <m/>
    <m/>
    <n v="15600000"/>
    <m/>
    <m/>
    <m/>
    <m/>
    <m/>
    <m/>
    <m/>
    <m/>
    <m/>
    <m/>
    <m/>
    <m/>
    <m/>
    <m/>
    <m/>
    <m/>
    <m/>
    <m/>
    <n v="3600000"/>
    <n v="2400000"/>
    <n v="14400000"/>
    <m/>
    <m/>
    <n v="18000000"/>
    <n v="18000000"/>
    <n v="0"/>
    <n v="0"/>
    <n v="46226"/>
    <d v="2026-01-19T00:00:00"/>
    <n v="18000000"/>
    <n v="0"/>
    <n v="58226"/>
    <d v="2026-02-11T00:00:00"/>
    <n v="15600000"/>
    <n v="2400000"/>
    <n v="2400000"/>
    <s v="CHAPARRO CARMONA JHON SEBASTIAN"/>
    <s v="CO1.PCCNTR.9179277"/>
    <m/>
    <m/>
    <m/>
    <n v="15600000"/>
    <m/>
    <m/>
    <m/>
    <m/>
    <m/>
    <m/>
    <m/>
    <m/>
    <m/>
    <m/>
    <m/>
    <m/>
    <m/>
    <m/>
    <m/>
    <m/>
    <m/>
    <m/>
    <m/>
    <m/>
    <m/>
    <m/>
    <m/>
    <m/>
    <m/>
    <m/>
    <m/>
    <m/>
    <m/>
    <m/>
    <m/>
    <m/>
    <n v="15600000"/>
    <n v="0"/>
    <n v="0"/>
    <n v="15600000"/>
    <n v="0"/>
  </r>
  <r>
    <x v="0"/>
    <x v="5"/>
    <s v="Fortalecimiento del sector en la planificación de la atención de la demanda energética nacional y la transición energética justa a nivel nacional"/>
    <s v="Demanda"/>
    <s v="Si"/>
    <s v="Sí"/>
    <n v="4"/>
    <s v="160-68"/>
    <s v="Desarrollar la capacidad instalada en la planificación estratégica de la atención de la demanda."/>
    <s v="Documentos Metodológicos"/>
    <s v="Diagnóstico"/>
    <n v="80111620"/>
    <s v="C-2106-1900-13-40302B-2106005-02"/>
    <x v="0"/>
    <s v="160-68 Prestar servicios profesionales en la gestión jurídica integral de la UPME, mediante el análisis, elaboración y proyección de conceptos jurídicos, respuestas a requerimientos, recursos administrativos y demás actuaciones jurídicas, de conformidad c"/>
    <s v="Enero "/>
    <s v="Enero "/>
    <s v="Enero "/>
    <n v="11.3"/>
    <s v="Meses"/>
    <s v="Contratación directa - Prestación de servicios profesionales "/>
    <s v="Propios - 20 - Ingresos corrientes"/>
    <n v="6100000"/>
    <n v="6100000"/>
    <s v="No"/>
    <s v="N/A"/>
    <s v="Johanna Castellanos"/>
    <s v="Subdirectora de Demanda"/>
    <n v="6012220644"/>
    <s v="johanna.castellanos@upme.gov.co"/>
    <n v="0"/>
    <n v="0"/>
    <n v="4600000"/>
    <n v="0"/>
    <n v="0"/>
    <n v="0"/>
    <n v="0"/>
    <n v="0"/>
    <n v="0"/>
    <n v="0"/>
    <n v="0"/>
    <n v="0"/>
    <n v="0"/>
    <n v="0"/>
    <n v="0"/>
    <n v="0"/>
    <n v="0"/>
    <n v="0"/>
    <n v="0"/>
    <n v="0"/>
    <n v="0"/>
    <n v="3600000"/>
    <n v="1500000"/>
    <n v="2500000"/>
    <n v="6100000"/>
    <n v="6100000"/>
    <n v="0"/>
    <n v="0"/>
    <s v="Prestar servicios profesionales en la gestión jurídica integral de la UPME, mediante el análisis, elaboración y proyección de conceptos jurídicos, respuestas a requerimientos, recursos administrativos y demás actuaciones jurídicas, de conformidad con el m"/>
    <m/>
    <m/>
    <n v="4600000"/>
    <m/>
    <m/>
    <m/>
    <m/>
    <m/>
    <m/>
    <m/>
    <m/>
    <m/>
    <m/>
    <m/>
    <m/>
    <m/>
    <m/>
    <m/>
    <m/>
    <m/>
    <m/>
    <n v="3600000"/>
    <n v="1500000"/>
    <n v="2500000"/>
    <m/>
    <m/>
    <n v="6100000"/>
    <n v="6100000"/>
    <n v="0"/>
    <n v="0"/>
    <n v="61926"/>
    <d v="2026-01-23T00:00:00"/>
    <n v="6100000"/>
    <n v="0"/>
    <n v="58426.651259999999"/>
    <s v="11/02/2026,20/03/2026"/>
    <n v="4600000"/>
    <n v="1500000"/>
    <n v="1500000"/>
    <s v="RUBIO NAVARRO OSCAR MANUEL,GAONA GALEANO YIVI YOHANA_x000a_"/>
    <s v="CO1.PCCNTR.9183199"/>
    <m/>
    <m/>
    <m/>
    <n v="4600000"/>
    <m/>
    <m/>
    <m/>
    <m/>
    <m/>
    <m/>
    <n v="3166667"/>
    <n v="3166667"/>
    <m/>
    <m/>
    <m/>
    <m/>
    <m/>
    <m/>
    <m/>
    <m/>
    <m/>
    <m/>
    <m/>
    <m/>
    <m/>
    <m/>
    <m/>
    <m/>
    <m/>
    <m/>
    <m/>
    <m/>
    <m/>
    <m/>
    <m/>
    <m/>
    <n v="4600000"/>
    <n v="3166667"/>
    <n v="3166667"/>
    <n v="1433333"/>
    <n v="0"/>
  </r>
  <r>
    <x v="0"/>
    <x v="5"/>
    <s v="Fortalecimiento del sector en la planificación de la atención de la demanda energética nacional y la transición energética justa a nivel nacional"/>
    <s v="Demanda"/>
    <s v="Sí"/>
    <s v="Sí"/>
    <n v="4"/>
    <s v="160-69"/>
    <s v="Mejorar la representatividad en la información de la participación de los sectores económicos en el consumo de energía."/>
    <s v="Documentos de Planeación"/>
    <s v="Documento de planeación preliminar."/>
    <n v="80111620"/>
    <s v="C-2106-1900-13-40302B-2106003-02"/>
    <x v="0"/>
    <s v="160-69 Prestar servicios profesionales para brindar soporte integral a las actividades jurídicas de la UPME, mediante la elaboración, revisión y análisis de conceptos jurídicos, la atención de requerimientos y recursos administrativos, y el acompañamiento"/>
    <s v="Enero "/>
    <s v="Enero "/>
    <s v="Enero "/>
    <n v="11.3"/>
    <s v="Meses"/>
    <s v="Contratación directa - Prestación de servicios profesionales "/>
    <s v="Propios - 20 - Ingresos corrientes"/>
    <n v="56500000"/>
    <n v="56500000"/>
    <s v="No"/>
    <s v="N/A"/>
    <s v="Johanna Castellanos"/>
    <s v="Subdirectora de Demanda"/>
    <n v="6012220644"/>
    <s v="johanna.castellanos@upme.gov.co"/>
    <n v="0"/>
    <n v="0"/>
    <n v="41690000"/>
    <n v="0"/>
    <n v="0"/>
    <n v="3790000"/>
    <n v="0"/>
    <n v="3790000"/>
    <n v="0"/>
    <n v="3790000"/>
    <n v="0"/>
    <n v="3790000"/>
    <n v="0"/>
    <n v="3790000"/>
    <n v="0"/>
    <n v="3790000"/>
    <n v="0"/>
    <n v="3790000"/>
    <n v="0"/>
    <n v="3790000"/>
    <n v="7400000"/>
    <n v="3790000"/>
    <n v="7410000"/>
    <n v="22390000"/>
    <n v="56500000"/>
    <n v="56500000"/>
    <n v="0"/>
    <n v="0"/>
    <s v="Prestar servicios profesionales para brindar soporte integral a las actividades jurídicas de la UPME, mediante la elaboración, revisión y análisis de conceptos jurídicos, la atención de requerimientos y recursos administrativos, y el acompañamiento en act"/>
    <m/>
    <m/>
    <n v="41690000"/>
    <m/>
    <m/>
    <n v="3790000"/>
    <m/>
    <n v="3790000"/>
    <m/>
    <n v="3790000"/>
    <m/>
    <n v="3790000"/>
    <m/>
    <n v="3790000"/>
    <m/>
    <n v="3790000"/>
    <m/>
    <n v="3790000"/>
    <m/>
    <n v="3790000"/>
    <n v="7400000"/>
    <n v="3790000"/>
    <n v="7410000"/>
    <n v="22390000"/>
    <m/>
    <m/>
    <n v="56500000"/>
    <n v="56500000"/>
    <n v="0"/>
    <n v="0"/>
    <n v="60326"/>
    <d v="2026-01-23T00:00:00"/>
    <n v="55000000"/>
    <n v="1500000"/>
    <n v="53526"/>
    <d v="2026-02-10T00:00:00"/>
    <n v="41690000"/>
    <n v="14810000"/>
    <n v="13310000"/>
    <s v="ZULETA LOPEZ ISABEL CRISTINA"/>
    <s v="CO1.PCCNTR.9298711"/>
    <m/>
    <m/>
    <m/>
    <n v="41690000"/>
    <m/>
    <m/>
    <m/>
    <n v="2526667"/>
    <n v="2526667"/>
    <m/>
    <n v="3790000"/>
    <n v="3790000"/>
    <m/>
    <m/>
    <m/>
    <m/>
    <m/>
    <m/>
    <m/>
    <m/>
    <m/>
    <m/>
    <m/>
    <m/>
    <m/>
    <m/>
    <m/>
    <m/>
    <m/>
    <m/>
    <m/>
    <m/>
    <m/>
    <m/>
    <m/>
    <m/>
    <n v="41690000"/>
    <n v="6316667"/>
    <n v="6316667"/>
    <n v="35373333"/>
    <n v="0"/>
  </r>
  <r>
    <x v="0"/>
    <x v="5"/>
    <s v="Fortalecimiento del sector en la planificación de la atención de la demanda energética nacional y la transición energética justa a nivel nacional"/>
    <s v="Demanda"/>
    <s v="Sí"/>
    <s v="Sí"/>
    <n v="4"/>
    <s v="160-70"/>
    <s v="Mejorar la representatividad en la información de la participación de los sectores económicos en el consumo de energía."/>
    <s v="Documentos de Planeación"/>
    <s v="Documento de planeación preliminar."/>
    <n v="80111620"/>
    <s v="C-2106-1900-13-40302B-2106003-02"/>
    <x v="0"/>
    <s v="160-70 Prestar servicios profesionales orientados a la evaluación integral de proyectos de Fuentes No Convencionales de Energía y Gestión Eficiente de la Energía, incluyendo la aplicación de criterios técnicos, normativos y metodológicos definidos para el"/>
    <s v="Enero "/>
    <s v="Enero "/>
    <s v="Enero "/>
    <n v="11.3"/>
    <s v="Meses"/>
    <s v="Contratación directa - Prestación de servicios profesionales "/>
    <s v="Propios - 20 - Ingresos corrientes"/>
    <n v="63200000"/>
    <n v="63200000"/>
    <s v="No"/>
    <s v="N/A"/>
    <s v="Johanna Castellanos"/>
    <s v="Subdirectora de Demanda"/>
    <n v="6012220644"/>
    <s v="johanna.castellanos@upme.gov.co"/>
    <n v="0"/>
    <n v="0"/>
    <n v="63200000"/>
    <n v="0"/>
    <n v="0"/>
    <n v="6000000"/>
    <n v="0"/>
    <n v="6000000"/>
    <n v="0"/>
    <n v="6000000"/>
    <n v="0"/>
    <n v="6000000"/>
    <n v="0"/>
    <n v="6000000"/>
    <n v="0"/>
    <n v="6000000"/>
    <n v="0"/>
    <n v="6000000"/>
    <n v="0"/>
    <n v="6000000"/>
    <n v="0"/>
    <n v="6000000"/>
    <n v="0"/>
    <n v="9200000"/>
    <n v="63200000"/>
    <n v="63200000"/>
    <n v="0"/>
    <n v="0"/>
    <s v="Prestar servicios profesionales orientados a la evaluación integral de proyectos de Fuentes No Convencionales de Energía y Gestión Eficiente de la Energía, incluyendo la aplicación de criterios técnicos, normativos y metodológicos definidos para el otorga"/>
    <m/>
    <m/>
    <n v="63200000"/>
    <m/>
    <m/>
    <n v="6000000"/>
    <m/>
    <n v="6000000"/>
    <m/>
    <n v="6000000"/>
    <m/>
    <n v="6000000"/>
    <m/>
    <n v="6000000"/>
    <m/>
    <n v="6000000"/>
    <m/>
    <n v="6000000"/>
    <m/>
    <n v="6000000"/>
    <m/>
    <n v="6000000"/>
    <m/>
    <n v="9200000"/>
    <m/>
    <m/>
    <n v="63200000"/>
    <n v="63200000"/>
    <n v="0"/>
    <n v="0"/>
    <n v="57426"/>
    <d v="2026-01-22T00:00:00"/>
    <n v="63200000"/>
    <n v="0"/>
    <n v="59526"/>
    <d v="2026-02-12T00:00:00"/>
    <n v="63200000"/>
    <n v="0"/>
    <n v="0"/>
    <s v="VITERI ALVAREZ JORGE MAURICIO"/>
    <s v="CO1.PCCNTR.9139302"/>
    <m/>
    <m/>
    <m/>
    <n v="63200000"/>
    <m/>
    <m/>
    <m/>
    <m/>
    <m/>
    <m/>
    <n v="6800000"/>
    <n v="6800000"/>
    <m/>
    <m/>
    <m/>
    <m/>
    <m/>
    <m/>
    <m/>
    <m/>
    <m/>
    <m/>
    <m/>
    <m/>
    <m/>
    <m/>
    <m/>
    <m/>
    <m/>
    <m/>
    <m/>
    <m/>
    <m/>
    <m/>
    <m/>
    <m/>
    <n v="63200000"/>
    <n v="6800000"/>
    <n v="6800000"/>
    <n v="56400000"/>
    <n v="0"/>
  </r>
  <r>
    <x v="0"/>
    <x v="5"/>
    <s v="Fortalecimiento del sector en la planificación de la atención de la demanda energética nacional y la transición energética justa a nivel nacional"/>
    <s v="Demanda"/>
    <s v="Si"/>
    <s v="Sí"/>
    <n v="4"/>
    <s v="160-71"/>
    <s v="Desarrollar la capacidad instalada en la planificación estratégica de la atención de la demanda."/>
    <s v="Documentos Metodológicos"/>
    <s v="Diagnóstico"/>
    <n v="80111620"/>
    <s v="C-2106-1900-13-40302B-2106005-02"/>
    <x v="0"/>
    <s v="160-71 Prestar servicios profesionales orientados a la evaluación integral de proyectos de Fuentes No Convencionales de Energía y Gestión Eficiente de la Energía, incluyendo la aplicación de criterios técnicos, normativos y metodológicos definidos para el"/>
    <s v="Enero "/>
    <s v="Enero "/>
    <s v="Enero "/>
    <n v="11.3"/>
    <s v="Meses"/>
    <s v="Contratación directa - Prestación de servicios profesionales "/>
    <s v="Propios - 20 - Ingresos corrientes"/>
    <n v="4600000"/>
    <n v="4600000"/>
    <s v="No"/>
    <s v="N/A"/>
    <s v="Johanna Castellanos"/>
    <s v="Subdirectora de Demanda"/>
    <n v="6012220644"/>
    <s v="johanna.castellanos@upme.gov.co"/>
    <n v="0"/>
    <n v="0"/>
    <n v="2800000"/>
    <n v="0"/>
    <n v="0"/>
    <n v="0"/>
    <n v="0"/>
    <n v="0"/>
    <n v="0"/>
    <n v="0"/>
    <n v="0"/>
    <n v="0"/>
    <n v="0"/>
    <n v="0"/>
    <n v="0"/>
    <n v="0"/>
    <n v="0"/>
    <n v="0"/>
    <n v="0"/>
    <n v="0"/>
    <n v="0"/>
    <n v="0"/>
    <n v="1800000"/>
    <n v="4600000"/>
    <n v="4600000"/>
    <n v="4600000"/>
    <n v="0"/>
    <n v="0"/>
    <s v="Prestar servicios profesionales orientados a la evaluación integral de proyectos de Fuentes No Convencionales de Energía y Gestión Eficiente de la Energía, incluyendo la aplicación de criterios técnicos, normativos y metodológicos definidos para el otorga"/>
    <m/>
    <m/>
    <n v="2800000"/>
    <m/>
    <m/>
    <m/>
    <m/>
    <m/>
    <m/>
    <m/>
    <m/>
    <m/>
    <m/>
    <m/>
    <m/>
    <m/>
    <m/>
    <m/>
    <m/>
    <m/>
    <m/>
    <m/>
    <n v="1800000"/>
    <n v="4600000"/>
    <m/>
    <m/>
    <n v="4600000"/>
    <n v="4600000"/>
    <n v="0"/>
    <n v="0"/>
    <n v="57426"/>
    <d v="2026-01-22T00:00:00"/>
    <n v="4600000"/>
    <n v="0"/>
    <n v="59526"/>
    <d v="2026-02-12T00:00:00"/>
    <n v="2800000"/>
    <n v="1800000"/>
    <n v="1800000"/>
    <s v="VITERI ALVAREZ JORGE MAURICIO"/>
    <s v="CO1.PCCNTR.9139302"/>
    <m/>
    <m/>
    <m/>
    <n v="2800000"/>
    <m/>
    <m/>
    <m/>
    <m/>
    <m/>
    <m/>
    <n v="2800000"/>
    <n v="2800000"/>
    <m/>
    <m/>
    <m/>
    <m/>
    <m/>
    <m/>
    <m/>
    <m/>
    <m/>
    <m/>
    <m/>
    <m/>
    <m/>
    <m/>
    <m/>
    <m/>
    <m/>
    <m/>
    <m/>
    <m/>
    <m/>
    <m/>
    <m/>
    <m/>
    <n v="2800000"/>
    <n v="2800000"/>
    <n v="2800000"/>
    <n v="0"/>
    <n v="0"/>
  </r>
  <r>
    <x v="0"/>
    <x v="5"/>
    <s v="Fortalecimiento del sector en la planificación de la atención de la demanda energética nacional y la transición energética justa a nivel nacional"/>
    <s v="Demanda"/>
    <s v="Si"/>
    <s v="Sí"/>
    <n v="4"/>
    <s v="160-72"/>
    <s v="Desarrollar la capacidad instalada en la planificación estratégica de la atención de la demanda."/>
    <s v="Documentos Metodológicos"/>
    <s v="Documento metodológico validado."/>
    <n v="80111620"/>
    <s v="C-2106-1900-13-40302B-2106005-02"/>
    <x v="0"/>
    <s v="160-72 Prestar servicios profesionales para la evaluación integral de proyectos de Fuentes No Convencionales de Energía y Gestión Eficiente de la Energía, incluyendo la revisión de requisitos técnicos, el análisis de la información presentada y  los sopor"/>
    <s v="Enero "/>
    <s v="Enero "/>
    <s v="Enero "/>
    <n v="11.3"/>
    <s v="Meses"/>
    <s v="Contratación directa - Prestación de servicios profesionales "/>
    <s v="Propios - 20 - Ingresos corrientes"/>
    <n v="35000000"/>
    <n v="35000000"/>
    <s v="No"/>
    <s v="N/A"/>
    <s v="Johanna Castellanos"/>
    <s v="Subdirectora de Demanda"/>
    <n v="6012220644"/>
    <s v="johanna.castellanos@upme.gov.co"/>
    <n v="0"/>
    <n v="0"/>
    <n v="0"/>
    <n v="0"/>
    <n v="0"/>
    <n v="0"/>
    <n v="0"/>
    <n v="0"/>
    <n v="0"/>
    <n v="0"/>
    <n v="0"/>
    <n v="0"/>
    <n v="0"/>
    <n v="0"/>
    <n v="35000000"/>
    <n v="0"/>
    <n v="0"/>
    <n v="7000000"/>
    <n v="0"/>
    <n v="7000000"/>
    <n v="0"/>
    <n v="7000000"/>
    <n v="0"/>
    <n v="14000000"/>
    <n v="35000000"/>
    <n v="35000000"/>
    <n v="0"/>
    <n v="0"/>
    <s v="Prestar servicios profesionales para la evaluación integral de proyectos de Fuentes No Convencionales de Energía y Gestión Eficiente de la Energía, incluyendo la revisión de requisitos técnicos, el análisis de la información presentada y  los soportes en "/>
    <m/>
    <m/>
    <m/>
    <m/>
    <m/>
    <m/>
    <m/>
    <m/>
    <m/>
    <m/>
    <m/>
    <m/>
    <m/>
    <m/>
    <n v="35000000"/>
    <m/>
    <m/>
    <n v="7000000"/>
    <m/>
    <n v="7000000"/>
    <m/>
    <n v="7000000"/>
    <m/>
    <n v="14000000"/>
    <m/>
    <m/>
    <n v="35000000"/>
    <n v="35000000"/>
    <n v="0"/>
    <n v="0"/>
    <n v="59926"/>
    <d v="2026-01-23T00:00:00"/>
    <n v="35000000"/>
    <n v="0"/>
    <m/>
    <m/>
    <n v="0"/>
    <n v="35000000"/>
    <n v="350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4"/>
    <s v="160-73"/>
    <s v="Desarrollar la capacidad instalada en la planificación estratégica de la atención de la demanda."/>
    <s v="Documentos Metodológicos"/>
    <s v="Diagnóstico"/>
    <n v="80111620"/>
    <s v="C-2106-1900-13-40302B-2106005-02"/>
    <x v="0"/>
    <s v="160-73 Prestar servicios profesionales para la evaluación integral de proyectos de Fuentes No Convencionales de Energía y Gestión Eficiente de la Energía, incluyendo la revisión de requisitos técnicos, el análisis de la información presentada y  los sopor"/>
    <s v="Enero "/>
    <s v="Enero "/>
    <s v="Enero "/>
    <n v="11.3"/>
    <s v="Meses"/>
    <s v="Contratación directa - Prestación de servicios profesionales "/>
    <s v="Propios - 20 - Ingresos corrientes"/>
    <n v="10200000"/>
    <n v="10200000"/>
    <s v="No"/>
    <s v="N/A"/>
    <s v="Johanna Castellanos"/>
    <s v="Subdirectora de Demanda"/>
    <n v="6012220644"/>
    <s v="johanna.castellanos@upme.gov.co"/>
    <n v="0"/>
    <n v="0"/>
    <n v="0"/>
    <n v="0"/>
    <n v="0"/>
    <n v="0"/>
    <n v="0"/>
    <n v="0"/>
    <n v="0"/>
    <n v="0"/>
    <n v="0"/>
    <n v="0"/>
    <n v="0"/>
    <n v="0"/>
    <n v="10200000"/>
    <n v="0"/>
    <n v="0"/>
    <n v="2040000"/>
    <n v="0"/>
    <n v="2040000"/>
    <n v="0"/>
    <n v="2040000"/>
    <n v="0"/>
    <n v="4080000"/>
    <n v="10200000"/>
    <n v="10200000"/>
    <n v="0"/>
    <n v="0"/>
    <s v="Prestar servicios profesionales para la evaluación integral de proyectos de Fuentes No Convencionales de Energía y Gestión Eficiente de la Energía, incluyendo la revisión de requisitos técnicos, el análisis de la información presentada y  los soportes en "/>
    <m/>
    <m/>
    <m/>
    <m/>
    <m/>
    <m/>
    <m/>
    <m/>
    <m/>
    <m/>
    <m/>
    <m/>
    <m/>
    <m/>
    <n v="10200000"/>
    <m/>
    <m/>
    <n v="2040000"/>
    <m/>
    <n v="2040000"/>
    <m/>
    <n v="2040000"/>
    <m/>
    <n v="4080000"/>
    <m/>
    <m/>
    <n v="10200000"/>
    <n v="10200000"/>
    <n v="0"/>
    <n v="0"/>
    <n v="59926"/>
    <d v="2026-01-23T00:00:00"/>
    <n v="10200000"/>
    <n v="0"/>
    <m/>
    <m/>
    <n v="0"/>
    <n v="10200000"/>
    <n v="102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4"/>
    <s v="160-74"/>
    <s v="Desarrollar la capacidad instalada en la planificación estratégica de la atención de la demanda."/>
    <s v="Documentos Metodológicos"/>
    <s v="Documento metodológico preliminar."/>
    <n v="80111620"/>
    <s v="C-2106-1900-13-40302B-2106005-02"/>
    <x v="0"/>
    <s v="160-74  Prestar servicios profesionales para la evaluación técnica y documental de proyectos de Fuentes No Convencionales de Energía y Gestión Eficiente de la Energía, en el marco del trámite de incentivos tributarios adelantado por la UPME, conforme a la"/>
    <s v="Enero "/>
    <s v="Enero "/>
    <s v="Enero "/>
    <n v="11.3"/>
    <s v="Meses"/>
    <s v="Contratación directa - Prestación de servicios profesionales "/>
    <s v="Propios - 20 - Ingresos corrientes"/>
    <n v="32600000"/>
    <n v="32600000"/>
    <s v="No"/>
    <s v="N/A"/>
    <s v="Johanna Castellanos"/>
    <s v="Subdirectora de Demanda"/>
    <n v="6012220644"/>
    <s v="johanna.castellanos@upme.gov.co"/>
    <n v="0"/>
    <n v="0"/>
    <n v="0"/>
    <n v="0"/>
    <n v="0"/>
    <n v="0"/>
    <n v="0"/>
    <n v="0"/>
    <n v="0"/>
    <n v="0"/>
    <n v="0"/>
    <n v="0"/>
    <n v="0"/>
    <n v="0"/>
    <n v="32600000"/>
    <n v="0"/>
    <n v="0"/>
    <n v="6520000"/>
    <n v="0"/>
    <n v="6520000"/>
    <n v="0"/>
    <n v="6520000"/>
    <n v="0"/>
    <n v="13040000"/>
    <n v="32600000"/>
    <n v="32600000"/>
    <n v="0"/>
    <n v="0"/>
    <s v=" Prestar servicios profesionales para la evaluación técnica y documental de proyectos de Fuentes No Convencionales de Energía y Gestión Eficiente de la Energía, en el marco del trámite de incentivos tributarios adelantado por la UPME, conforme a la normat"/>
    <m/>
    <m/>
    <m/>
    <m/>
    <m/>
    <m/>
    <m/>
    <m/>
    <m/>
    <m/>
    <m/>
    <m/>
    <m/>
    <m/>
    <n v="32600000"/>
    <m/>
    <m/>
    <n v="6520000"/>
    <m/>
    <n v="6520000"/>
    <m/>
    <n v="6520000"/>
    <m/>
    <n v="13040000"/>
    <m/>
    <m/>
    <n v="32600000"/>
    <n v="32600000"/>
    <n v="0"/>
    <n v="0"/>
    <n v="59426"/>
    <d v="2026-01-23T00:00:00"/>
    <n v="32600000"/>
    <n v="0"/>
    <m/>
    <m/>
    <n v="0"/>
    <n v="32600000"/>
    <n v="326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4"/>
    <s v="160-75"/>
    <s v="Desarrollar la capacidad instalada en la planificación estratégica de la atención de la demanda."/>
    <s v="Documentos Metodológicos"/>
    <s v="Diagnóstico"/>
    <n v="80111620"/>
    <s v="C-2106-1900-13-40302B-2106005-02"/>
    <x v="0"/>
    <s v="160-75 Prestar servicios profesionales para la evaluación técnica y documental de proyectos de Fuentes No Convencionales de Energía y Gestión Eficiente de la Energía, en el marco del trámite de incentivos tributarios adelantado por la UPME, conforme a la "/>
    <s v="Enero "/>
    <s v="Enero "/>
    <s v="Enero "/>
    <n v="11.3"/>
    <s v="Meses"/>
    <s v="Contratación directa - Prestación de servicios profesionales "/>
    <s v="Propios - 20 - Ingresos corrientes"/>
    <n v="35200000"/>
    <n v="35200000"/>
    <s v="No"/>
    <s v="N/A"/>
    <s v="Johanna Castellanos"/>
    <s v="Subdirectora de Demanda"/>
    <n v="6012220644"/>
    <s v="johanna.castellanos@upme.gov.co"/>
    <n v="0"/>
    <n v="0"/>
    <n v="0"/>
    <n v="0"/>
    <n v="0"/>
    <n v="0"/>
    <n v="0"/>
    <n v="0"/>
    <n v="0"/>
    <n v="0"/>
    <n v="0"/>
    <n v="0"/>
    <n v="0"/>
    <n v="0"/>
    <n v="35200000"/>
    <n v="0"/>
    <n v="0"/>
    <n v="7040000"/>
    <n v="0"/>
    <n v="7040000"/>
    <n v="0"/>
    <n v="7040000"/>
    <n v="0"/>
    <n v="14080000"/>
    <n v="35200000"/>
    <n v="35200000"/>
    <n v="0"/>
    <n v="0"/>
    <s v="Prestar servicios profesionales para la evaluación técnica y documental de proyectos de Fuentes No Convencionales de Energía y Gestión Eficiente de la Energía, en el marco del trámite de incentivos tributarios adelantado por la UPME, conforme a la normati"/>
    <m/>
    <m/>
    <m/>
    <m/>
    <m/>
    <m/>
    <m/>
    <m/>
    <m/>
    <m/>
    <m/>
    <m/>
    <m/>
    <m/>
    <n v="35200000"/>
    <m/>
    <m/>
    <n v="7040000"/>
    <m/>
    <n v="7040000"/>
    <m/>
    <n v="7040000"/>
    <m/>
    <n v="14080000"/>
    <m/>
    <m/>
    <n v="35200000"/>
    <n v="35200000"/>
    <n v="0"/>
    <n v="0"/>
    <n v="59426"/>
    <d v="2026-01-23T00:00:00"/>
    <n v="33400000"/>
    <n v="1800000"/>
    <m/>
    <m/>
    <n v="0"/>
    <n v="35200000"/>
    <n v="33400000"/>
    <m/>
    <m/>
    <m/>
    <m/>
    <m/>
    <m/>
    <m/>
    <m/>
    <m/>
    <m/>
    <m/>
    <m/>
    <m/>
    <m/>
    <m/>
    <m/>
    <m/>
    <m/>
    <m/>
    <m/>
    <m/>
    <m/>
    <m/>
    <m/>
    <m/>
    <m/>
    <m/>
    <m/>
    <m/>
    <m/>
    <m/>
    <m/>
    <m/>
    <m/>
    <m/>
    <m/>
    <m/>
    <m/>
    <n v="0"/>
    <n v="0"/>
    <n v="0"/>
    <n v="0"/>
    <n v="0"/>
  </r>
  <r>
    <x v="0"/>
    <x v="5"/>
    <s v="Fortalecimiento del sector en la planificación de la atención de la demanda energética nacional y la transición energética justa a nivel nacional"/>
    <s v="Demanda"/>
    <s v="Sí"/>
    <s v="Sí"/>
    <n v="22"/>
    <s v="160-76"/>
    <s v="Mejorar la representatividad en la información de la participación de los sectores económicos en el consumo de energía."/>
    <s v="Documentos de Planeación"/>
    <s v="Documento de planeación preliminar."/>
    <n v="80141607"/>
    <s v="C-2106-1900-13-40302B-2106003-02"/>
    <x v="2"/>
    <s v="160-76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80000000"/>
    <n v="80000000"/>
    <s v="No"/>
    <s v="N/A"/>
    <s v="Johanna Castellanos"/>
    <s v="Subdirectora de Demanda"/>
    <n v="6012220644"/>
    <s v="johanna.castellanos@upme.gov.co"/>
    <m/>
    <m/>
    <m/>
    <m/>
    <m/>
    <m/>
    <m/>
    <m/>
    <m/>
    <m/>
    <m/>
    <m/>
    <m/>
    <m/>
    <m/>
    <m/>
    <m/>
    <m/>
    <m/>
    <m/>
    <m/>
    <m/>
    <m/>
    <m/>
    <m/>
    <m/>
    <m/>
    <m/>
    <s v="Prestación de los servicios de apoyo logístico para el desarrollo de la estrategia de comunicación y participación con actores nacionales y territoriales, así como para otros espacios interinstitucionales en el marco de la misionalidad de la entidad y el "/>
    <n v="80000000"/>
    <n v="0"/>
    <n v="0"/>
    <n v="0"/>
    <n v="0"/>
    <n v="0"/>
    <n v="0"/>
    <n v="0"/>
    <n v="0"/>
    <n v="0"/>
    <n v="0"/>
    <n v="0"/>
    <n v="0"/>
    <n v="0"/>
    <n v="0"/>
    <n v="0"/>
    <n v="0"/>
    <n v="0"/>
    <n v="0"/>
    <n v="0"/>
    <n v="0"/>
    <n v="30000000"/>
    <n v="0"/>
    <n v="50000000"/>
    <m/>
    <m/>
    <n v="80000000"/>
    <n v="80000000"/>
    <n v="0"/>
    <n v="0"/>
    <m/>
    <m/>
    <m/>
    <n v="80000000"/>
    <m/>
    <m/>
    <m/>
    <n v="80000000"/>
    <n v="0"/>
    <m/>
    <m/>
    <m/>
    <m/>
    <m/>
    <m/>
    <m/>
    <m/>
    <m/>
    <m/>
    <m/>
    <m/>
    <m/>
    <m/>
    <m/>
    <m/>
    <m/>
    <m/>
    <m/>
    <m/>
    <m/>
    <m/>
    <m/>
    <m/>
    <m/>
    <m/>
    <m/>
    <m/>
    <m/>
    <m/>
    <m/>
    <m/>
    <m/>
    <m/>
    <m/>
    <m/>
    <m/>
    <m/>
    <m/>
    <m/>
    <m/>
    <m/>
    <m/>
  </r>
  <r>
    <x v="0"/>
    <x v="6"/>
    <s v="Fortalecimiento de la planeación para reducir las limitaciones en la prestación del servicio de energía eléctrica y la atención plena de la demanda nacional."/>
    <s v="Energía"/>
    <s v="Sí"/>
    <s v="Sí"/>
    <n v="68"/>
    <s v="150-1"/>
    <s v="Aumentar señales de expansión y cobertura del servicio de energía eléctrica."/>
    <s v="Documentos de Planeación"/>
    <s v="Documento de planeación validado."/>
    <n v="80111620"/>
    <s v="C-2102-1900-6-40301C-2102009-02"/>
    <x v="0"/>
    <s v="150-1 Prestar servicios profesionales para adelantar la gestión contractual de la Subdirección de Energía Eléctrica y de la entidad, en asocio con el GIT de Gestión Contractual."/>
    <s v="Enero "/>
    <s v="Enero "/>
    <s v="Enero "/>
    <n v="12"/>
    <s v="Meses"/>
    <s v="Contratación directa - Prestación de servicios profesionales "/>
    <s v="Propios - 20 - Ingresos corrientes"/>
    <n v="63335100"/>
    <n v="63335100"/>
    <s v="Si"/>
    <s v="Solicitadas"/>
    <s v="Guillermo Holguin Garcia"/>
    <s v="Subdirector de Energía Eléctrica"/>
    <n v="6012220601"/>
    <s v="guillermo.holguin@upme.gov.co"/>
    <n v="38551800"/>
    <n v="0"/>
    <n v="0"/>
    <n v="5507400"/>
    <n v="0"/>
    <n v="5507400"/>
    <n v="0"/>
    <n v="5507400"/>
    <n v="0"/>
    <n v="5507400"/>
    <n v="0"/>
    <n v="5507400"/>
    <n v="0"/>
    <n v="5507400"/>
    <n v="24783300"/>
    <n v="5507400"/>
    <n v="0"/>
    <n v="2753700"/>
    <n v="0"/>
    <n v="5507400"/>
    <n v="0"/>
    <n v="5507400"/>
    <n v="0"/>
    <n v="11014800"/>
    <n v="63335100"/>
    <n v="63335100"/>
    <n v="0"/>
    <n v="0"/>
    <s v="Prestar servicios profesionales para adelantar la gestión contractual de la Subdirección de Energía Eléctrica y de la entidad, en asocio con el GIT de Gestión Contractual."/>
    <n v="38551800"/>
    <m/>
    <m/>
    <n v="5507400"/>
    <m/>
    <n v="5507400"/>
    <m/>
    <n v="5507400"/>
    <m/>
    <n v="5507400"/>
    <m/>
    <n v="5507400"/>
    <m/>
    <n v="5507400"/>
    <n v="24783300"/>
    <n v="5507400"/>
    <m/>
    <n v="2753700"/>
    <m/>
    <n v="5507400"/>
    <m/>
    <n v="5507400"/>
    <m/>
    <n v="11014800"/>
    <m/>
    <m/>
    <n v="63335100"/>
    <n v="63335100"/>
    <n v="0"/>
    <n v="0"/>
    <n v="15826"/>
    <d v="2026-01-09T00:00:00"/>
    <n v="38551800"/>
    <n v="24783300"/>
    <n v="3926"/>
    <d v="2026-01-09T00:00:00"/>
    <n v="38551800"/>
    <n v="24783300"/>
    <n v="0"/>
    <s v="SANIN MORALES LAURA VALENTINA"/>
    <s v="CO1.PCCNTR.7205218"/>
    <n v="38551800"/>
    <m/>
    <m/>
    <m/>
    <m/>
    <m/>
    <m/>
    <n v="5507400"/>
    <n v="5507400"/>
    <m/>
    <n v="11014800"/>
    <n v="11014800"/>
    <m/>
    <m/>
    <m/>
    <m/>
    <m/>
    <m/>
    <m/>
    <m/>
    <m/>
    <m/>
    <m/>
    <m/>
    <m/>
    <m/>
    <m/>
    <m/>
    <m/>
    <m/>
    <m/>
    <m/>
    <m/>
    <m/>
    <m/>
    <m/>
    <n v="38551800"/>
    <n v="16522200"/>
    <n v="16522200"/>
    <n v="22029600"/>
    <n v="0"/>
  </r>
  <r>
    <x v="0"/>
    <x v="6"/>
    <s v="Fortalecimiento de la planeación para reducir las limitaciones en la prestación del servicio de energía eléctrica y la atención plena de la demanda nacional."/>
    <s v="Energía"/>
    <s v="Sí"/>
    <s v="Sí"/>
    <n v="68"/>
    <s v="150-10"/>
    <s v="Aumentar señales de expansión y cobertura del servicio de energía eléctrica."/>
    <s v="Documentos de Planeación"/>
    <s v="Documento de planeación validado."/>
    <n v="80111620"/>
    <s v="C-2102-1900-6-40301C-2102009-02"/>
    <x v="0"/>
    <s v="150-10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4526"/>
    <d v="2026-01-05T00:00:00"/>
    <n v="70000000"/>
    <n v="0"/>
    <n v="4026"/>
    <d v="2026-01-09T00:00:00"/>
    <n v="70000000"/>
    <n v="0"/>
    <n v="0"/>
    <s v="GOMEZ CORREA DIVANN DANNETH"/>
    <s v="CO1.PCCNTR.8795755"/>
    <n v="70000000"/>
    <m/>
    <m/>
    <m/>
    <n v="4200000"/>
    <n v="4200000"/>
    <m/>
    <n v="7000000"/>
    <n v="7000000"/>
    <m/>
    <m/>
    <m/>
    <m/>
    <m/>
    <m/>
    <m/>
    <m/>
    <m/>
    <m/>
    <m/>
    <m/>
    <m/>
    <m/>
    <m/>
    <m/>
    <m/>
    <m/>
    <m/>
    <m/>
    <m/>
    <m/>
    <m/>
    <m/>
    <m/>
    <m/>
    <m/>
    <n v="70000000"/>
    <n v="11200000"/>
    <n v="11200000"/>
    <n v="58800000"/>
    <n v="0"/>
  </r>
  <r>
    <x v="0"/>
    <x v="6"/>
    <s v="Fortalecimiento de la planeación para reducir las limitaciones en la prestación del servicio de energía eléctrica y la atención plena de la demanda nacional."/>
    <s v="Energía"/>
    <s v="Sí"/>
    <s v="Sí"/>
    <n v="68"/>
    <s v="150-10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00 Brindar servicios profesionales de asesoría en asuntos jurídicos y regulatorios a la Subdirección de Energía Eléctrica, en el marco de los procedimientos y actuaciones que adelante"/>
    <s v="Enero "/>
    <s v="Enero "/>
    <s v="Enero "/>
    <n v="10"/>
    <s v="Meses"/>
    <s v="Contratación directa - Prestación de servicios profesionales "/>
    <s v="Propios - 20 - Ingresos corrientes"/>
    <n v="1355610"/>
    <n v="1355610"/>
    <s v="No"/>
    <s v="N/A"/>
    <s v="Guillermo Holguin Garcia"/>
    <s v="Subdirector de Energía Eléctrica"/>
    <n v="6012220601"/>
    <s v="guillermo.holguin@upme.gov.co"/>
    <n v="1355610"/>
    <n v="0"/>
    <n v="0"/>
    <n v="0"/>
    <n v="0"/>
    <n v="135561"/>
    <n v="0"/>
    <n v="135561"/>
    <n v="0"/>
    <n v="135561"/>
    <n v="0"/>
    <n v="135561"/>
    <n v="0"/>
    <n v="135561"/>
    <n v="0"/>
    <n v="135561"/>
    <n v="0"/>
    <n v="135561"/>
    <n v="0"/>
    <n v="135561"/>
    <n v="0"/>
    <n v="135561"/>
    <n v="0"/>
    <n v="135561"/>
    <n v="1355610"/>
    <n v="1355610"/>
    <n v="0"/>
    <n v="0"/>
    <s v="Brindar servicios profesionales de asesoría en asuntos jurídicos y regulatorios a la Subdirección de Energía Eléctrica, en el marco de los procedimientos y actuaciones que adelante"/>
    <n v="1355610"/>
    <m/>
    <m/>
    <m/>
    <m/>
    <n v="135561"/>
    <m/>
    <n v="135561"/>
    <m/>
    <n v="135561"/>
    <m/>
    <n v="135561"/>
    <m/>
    <n v="135561"/>
    <m/>
    <n v="135561"/>
    <m/>
    <n v="135561"/>
    <m/>
    <n v="135561"/>
    <m/>
    <n v="135561"/>
    <m/>
    <n v="135561"/>
    <m/>
    <m/>
    <n v="1355610"/>
    <n v="1355610"/>
    <n v="0"/>
    <n v="0"/>
    <n v="7726"/>
    <d v="2026-01-06T00:00:00"/>
    <n v="1355610"/>
    <n v="0"/>
    <n v="29726"/>
    <d v="2026-01-28T00:00:00"/>
    <n v="1355610"/>
    <n v="0"/>
    <n v="0"/>
    <s v="AMAYA SAENZ INGRID JOHANNA"/>
    <s v="CO1.PCCNTR.9139537"/>
    <n v="1355610"/>
    <m/>
    <m/>
    <m/>
    <m/>
    <m/>
    <m/>
    <n v="1355610"/>
    <n v="1355610"/>
    <m/>
    <m/>
    <m/>
    <m/>
    <m/>
    <m/>
    <m/>
    <m/>
    <m/>
    <m/>
    <m/>
    <m/>
    <m/>
    <m/>
    <m/>
    <m/>
    <m/>
    <m/>
    <m/>
    <m/>
    <m/>
    <m/>
    <m/>
    <m/>
    <m/>
    <m/>
    <m/>
    <n v="1355610"/>
    <n v="1355610"/>
    <n v="1355610"/>
    <n v="0"/>
    <n v="0"/>
  </r>
  <r>
    <x v="0"/>
    <x v="6"/>
    <s v="Fortalecimiento de la planeación para reducir las limitaciones en la prestación del servicio de energía eléctrica y la atención plena de la demanda nacional."/>
    <s v="Energía"/>
    <s v="Sí"/>
    <s v="Sí"/>
    <n v="3"/>
    <s v="150-101"/>
    <s v="Aumentar señales de expansión y cobertura del servicio de energía eléctrica."/>
    <s v="Documentos de Planeación"/>
    <s v="Documento de planeación validado."/>
    <n v="80111620"/>
    <s v="C-2102-1900-6-40301C-2102009-02"/>
    <x v="0"/>
    <s v="150-101 Prestar servicios profesionales de diagramación de documentos, diseño y diagramación de datos, creación de piezas para canales digitales de la UPME y necesidades generales de diseño en el área de comunicaciones"/>
    <s v="Enero "/>
    <s v="Enero "/>
    <s v="Enero "/>
    <n v="10"/>
    <s v="Meses"/>
    <s v="Contratación directa - Prestación de servicios profesionales "/>
    <s v="Propios - 20 - Ingresos corrientes"/>
    <n v="8000000"/>
    <n v="8000000"/>
    <s v="No"/>
    <s v="N/A"/>
    <s v="Guillermo Holguin Garcia"/>
    <s v="Subdirector de Energía Eléctrica"/>
    <n v="6012220601"/>
    <s v="guillermo.holguin@upme.gov.co"/>
    <n v="3000000"/>
    <n v="0"/>
    <n v="0"/>
    <n v="0"/>
    <n v="0"/>
    <n v="800000"/>
    <n v="0"/>
    <n v="800000"/>
    <n v="0"/>
    <n v="800000"/>
    <n v="0"/>
    <n v="800000"/>
    <n v="0"/>
    <n v="800000"/>
    <n v="0"/>
    <n v="800000"/>
    <n v="0"/>
    <n v="800000"/>
    <n v="0"/>
    <n v="800000"/>
    <n v="5000000"/>
    <n v="800000"/>
    <n v="0"/>
    <n v="800000"/>
    <n v="8000000"/>
    <n v="8000000"/>
    <n v="0"/>
    <n v="0"/>
    <s v="Prestar servicios profesionales de diagramación de documentos, diseño y diagramación de datos, creación de piezas para canales digitales de la UPME y necesidades generales de diseño en el área de comunicaciones"/>
    <n v="3000000"/>
    <m/>
    <m/>
    <m/>
    <m/>
    <n v="800000"/>
    <m/>
    <n v="800000"/>
    <m/>
    <n v="800000"/>
    <m/>
    <n v="800000"/>
    <m/>
    <n v="800000"/>
    <m/>
    <n v="800000"/>
    <m/>
    <n v="800000"/>
    <m/>
    <n v="800000"/>
    <n v="5000000"/>
    <n v="800000"/>
    <m/>
    <n v="800000"/>
    <m/>
    <m/>
    <n v="8000000"/>
    <n v="8000000"/>
    <n v="0"/>
    <n v="0"/>
    <n v="15926"/>
    <d v="2026-01-09T00:00:00"/>
    <n v="3000000"/>
    <n v="5000000"/>
    <n v="18226"/>
    <d v="2026-01-23T00:00:00"/>
    <n v="3000000"/>
    <n v="5000000"/>
    <n v="0"/>
    <s v="PEÑARANDA JUYO DIEGO JOSE"/>
    <s v="CO1.PCCNTR.8995481"/>
    <n v="3000000"/>
    <m/>
    <m/>
    <m/>
    <m/>
    <m/>
    <m/>
    <n v="1866667"/>
    <n v="1866667"/>
    <m/>
    <m/>
    <m/>
    <m/>
    <m/>
    <m/>
    <m/>
    <m/>
    <m/>
    <m/>
    <m/>
    <m/>
    <m/>
    <m/>
    <m/>
    <m/>
    <m/>
    <m/>
    <m/>
    <m/>
    <m/>
    <m/>
    <m/>
    <m/>
    <m/>
    <m/>
    <m/>
    <n v="3000000"/>
    <n v="1866667"/>
    <n v="1866667"/>
    <n v="1133333"/>
    <n v="0"/>
  </r>
  <r>
    <x v="0"/>
    <x v="6"/>
    <s v="Fortalecimiento de la planeación para reducir las limitaciones en la prestación del servicio de energía eléctrica y la atención plena de la demanda nacional."/>
    <s v="Energía"/>
    <s v="Sí"/>
    <s v="Sí"/>
    <n v="20"/>
    <s v="150-102"/>
    <s v="Aumentar señales de expansión y cobertura del servicio de energía eléctrica."/>
    <s v="Documentos de Planeación"/>
    <s v="Documento de planeación validado."/>
    <n v="80111620"/>
    <s v="C-2102-1900-6-40301C-2102009-02"/>
    <x v="0"/>
    <s v="150-102 Prestar servicios profesionales para la creación, producción y gestión de contenidos digitales, audiovisuales y editoriales, en alineación con el Plan Estratégico de Comunicaciones de la UPME"/>
    <s v="Enero "/>
    <s v="Enero "/>
    <s v="Enero "/>
    <n v="10"/>
    <s v="Meses"/>
    <s v="Contratación directa - Prestación de servicios profesionales "/>
    <s v="Propios - 20 - Ingresos corrientes"/>
    <n v="0"/>
    <n v="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32000000"/>
    <n v="-32000000"/>
    <s v="Prestar servicios profesionales para la creación, producción y gestión de contenidos digitales, audiovisuales y editoriales, en alineación con el Plan Estratégico de Comunicaciones de la UPME"/>
    <m/>
    <m/>
    <m/>
    <m/>
    <m/>
    <m/>
    <m/>
    <m/>
    <m/>
    <m/>
    <m/>
    <m/>
    <m/>
    <m/>
    <m/>
    <m/>
    <m/>
    <m/>
    <m/>
    <m/>
    <m/>
    <m/>
    <m/>
    <m/>
    <m/>
    <m/>
    <n v="0"/>
    <n v="0"/>
    <n v="0"/>
    <n v="0"/>
    <n v="65726"/>
    <d v="2026-01-26T00:00:00"/>
    <m/>
    <n v="0"/>
    <m/>
    <m/>
    <n v="0"/>
    <n v="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2"/>
    <s v="150-103"/>
    <s v="Aumentar señales de expansión y cobertura del servicio de energía eléctrica."/>
    <s v="Documentos de Planeación"/>
    <s v="Documento de planeación validado."/>
    <n v="80111620"/>
    <s v="C-2102-1900-6-40301C-2102009-02"/>
    <x v="0"/>
    <s v="150-103 Prestar servicios profesionales para apoyar el seguimiento de proyectos de inversión, mediante la consolidación de la información y la elaboración de los reportes correspondientes en la herramienta de seguimiento, el reporte de avance de los plane"/>
    <s v="Enero "/>
    <s v="Enero "/>
    <s v="Enero "/>
    <n v="10"/>
    <s v="Meses"/>
    <s v="Contratación directa - Prestación de servicios profesionales "/>
    <s v="Propios - 20 - Ingresos corrientes"/>
    <n v="60000000"/>
    <n v="60000000"/>
    <s v="No"/>
    <s v="N/A"/>
    <s v="Guillermo Holguin Garcia"/>
    <s v="Subdirector de Energía Eléctrica"/>
    <n v="6012220601"/>
    <s v="guillermo.holguin@upme.gov.co"/>
    <n v="0"/>
    <n v="0"/>
    <n v="60000000"/>
    <n v="0"/>
    <n v="0"/>
    <n v="6000000"/>
    <n v="0"/>
    <n v="6000000"/>
    <n v="0"/>
    <n v="6000000"/>
    <n v="0"/>
    <n v="6000000"/>
    <n v="0"/>
    <n v="6000000"/>
    <n v="0"/>
    <n v="6000000"/>
    <n v="0"/>
    <n v="6000000"/>
    <n v="0"/>
    <n v="6000000"/>
    <n v="0"/>
    <n v="6000000"/>
    <n v="0"/>
    <n v="6000000"/>
    <n v="60000000"/>
    <n v="60000000"/>
    <n v="0"/>
    <n v="0"/>
    <s v="Prestar servicios profesionales para apoyar el seguimiento de proyectos de inversión, mediante la consolidación de la información y la elaboración de los reportes correspondientes en la herramienta de seguimiento, el reporte de avance de los planes instit"/>
    <m/>
    <m/>
    <n v="60000000"/>
    <m/>
    <m/>
    <n v="6000000"/>
    <m/>
    <n v="6000000"/>
    <m/>
    <n v="6000000"/>
    <m/>
    <n v="6000000"/>
    <m/>
    <n v="6000000"/>
    <m/>
    <n v="6000000"/>
    <m/>
    <n v="6000000"/>
    <m/>
    <n v="6000000"/>
    <m/>
    <n v="6000000"/>
    <m/>
    <n v="6000000"/>
    <m/>
    <m/>
    <n v="60000000"/>
    <n v="60000000"/>
    <n v="0"/>
    <n v="0"/>
    <n v="52726"/>
    <d v="2026-01-20T00:00:00"/>
    <n v="60000000"/>
    <n v="0"/>
    <n v="50126"/>
    <d v="2026-02-09T00:00:00"/>
    <n v="60000000"/>
    <n v="0"/>
    <n v="0"/>
    <s v="ARDILA BEDOYA JENNY FERNANDA"/>
    <s v=". CO1.PCCNTR.9295976"/>
    <m/>
    <m/>
    <m/>
    <n v="60000000"/>
    <m/>
    <m/>
    <m/>
    <m/>
    <m/>
    <m/>
    <n v="10200000"/>
    <n v="10200000"/>
    <m/>
    <m/>
    <m/>
    <m/>
    <m/>
    <m/>
    <m/>
    <m/>
    <m/>
    <m/>
    <m/>
    <m/>
    <m/>
    <m/>
    <m/>
    <m/>
    <m/>
    <m/>
    <m/>
    <m/>
    <m/>
    <m/>
    <m/>
    <m/>
    <n v="60000000"/>
    <n v="10200000"/>
    <n v="10200000"/>
    <n v="49800000"/>
    <n v="0"/>
  </r>
  <r>
    <x v="0"/>
    <x v="6"/>
    <s v="Fortalecimiento de la planeación para reducir las limitaciones en la prestación del servicio de energía eléctrica y la atención plena de la demanda nacional."/>
    <s v="Energía"/>
    <s v="Sí"/>
    <s v="Sí"/>
    <s v="Radicado 20261500021643"/>
    <s v="150-104"/>
    <s v="Aumentar señales de expansión y cobertura del servicio de energía eléctrica."/>
    <s v="Servicio de Asistencia Técnica"/>
    <s v="Monitorear los resultados e impactos de los proyectos en ejecución de los procesos de convocatorias y subastas."/>
    <n v="80111620"/>
    <s v="C-2102-1900-6-40301C-2102071-02"/>
    <x v="0"/>
    <s v="150-104 Prestar servicios profesionales para la proyección de documentos de contenido legal y apoyo de los asuntos de tipo jurídico que resulten de las actuaciones administrativas de competencia de la Subdirección de energía Eléctrica."/>
    <s v="Enero "/>
    <s v="Enero "/>
    <s v="Enero "/>
    <n v="10"/>
    <s v="Meses"/>
    <s v="Contratación directa - Prestación de servicios profesionales "/>
    <s v="Propios - 21 - Otros recursos de tesorería"/>
    <n v="35000000"/>
    <n v="35000000"/>
    <s v="No"/>
    <s v="N/A"/>
    <s v="Guillermo Holguin Garcia"/>
    <s v="Subdirector de Energía Eléctrica"/>
    <n v="6012220601"/>
    <s v="guillermo.holguin@upme.gov.co"/>
    <n v="0"/>
    <n v="0"/>
    <n v="35000000"/>
    <n v="0"/>
    <n v="0"/>
    <n v="3500000"/>
    <n v="0"/>
    <n v="3500000"/>
    <n v="0"/>
    <n v="3500000"/>
    <n v="0"/>
    <n v="3500000"/>
    <n v="0"/>
    <n v="3500000"/>
    <n v="0"/>
    <n v="3500000"/>
    <n v="0"/>
    <n v="3500000"/>
    <n v="0"/>
    <n v="3500000"/>
    <n v="0"/>
    <n v="3500000"/>
    <n v="0"/>
    <n v="3500000"/>
    <n v="35000000"/>
    <n v="35000000"/>
    <n v="0"/>
    <n v="0"/>
    <s v="Prestar servicios profesionales para la proyección de documentos de contenido legal y apoyo de los asuntos de tipo jurídico que resulten de las actuaciones administrativas de competencia de la Subdirección de energía Eléctrica."/>
    <m/>
    <m/>
    <n v="35000000"/>
    <m/>
    <m/>
    <n v="3500000"/>
    <m/>
    <n v="3500000"/>
    <m/>
    <n v="3500000"/>
    <m/>
    <n v="3500000"/>
    <m/>
    <n v="3500000"/>
    <m/>
    <n v="3500000"/>
    <m/>
    <n v="3500000"/>
    <m/>
    <n v="3500000"/>
    <m/>
    <n v="3500000"/>
    <m/>
    <n v="3500000"/>
    <m/>
    <m/>
    <n v="35000000"/>
    <n v="35000000"/>
    <n v="0"/>
    <n v="0"/>
    <n v="56926"/>
    <d v="2026-01-22T00:00:00"/>
    <n v="35000000"/>
    <n v="0"/>
    <n v="49326"/>
    <s v="09/02/2026,20/03/2026"/>
    <n v="35000000"/>
    <n v="0"/>
    <n v="0"/>
    <s v="CARMONA LOZANO MABEL ANDREA,ORTEGA THERAN ANYELITZA_x000a_"/>
    <s v="CO1.PCCNTR.9285665"/>
    <m/>
    <m/>
    <m/>
    <n v="35000000"/>
    <m/>
    <m/>
    <m/>
    <m/>
    <m/>
    <m/>
    <m/>
    <m/>
    <m/>
    <m/>
    <m/>
    <m/>
    <m/>
    <m/>
    <m/>
    <m/>
    <m/>
    <m/>
    <m/>
    <m/>
    <m/>
    <m/>
    <m/>
    <m/>
    <m/>
    <m/>
    <m/>
    <m/>
    <m/>
    <m/>
    <m/>
    <m/>
    <n v="35000000"/>
    <n v="0"/>
    <n v="0"/>
    <n v="35000000"/>
    <n v="0"/>
  </r>
  <r>
    <x v="0"/>
    <x v="6"/>
    <s v="Fortalecimiento de la planeación para reducir las limitaciones en la prestación del servicio de energía eléctrica y la atención plena de la demanda nacional."/>
    <s v="Energía"/>
    <s v="Sí"/>
    <s v="Sí"/>
    <n v="20"/>
    <s v="150-105"/>
    <s v="Aumentar señales de expansión y cobertura del servicio de energía eléctrica."/>
    <s v="Documentos de Planeación"/>
    <s v="Documento de planeación validado."/>
    <n v="80111620"/>
    <s v="C-2102-1900-6-40301C-2102009-02"/>
    <x v="0"/>
    <s v="150-105 Prestar servicios profesionales para hacer seguimiento técnico a la ejecución de los proyectos del Sistema de Transmisión Nacional y Regional, desarrollados mediante el mecanismo de convocatoria pública y sus ampliaciones."/>
    <s v="Enero "/>
    <s v="Enero "/>
    <s v="Enero "/>
    <n v="9"/>
    <s v="Meses"/>
    <s v="Contratación directa - Prestación de servicios profesionales "/>
    <s v="Propios - 20 - Ingresos corrientes"/>
    <n v="0"/>
    <n v="0"/>
    <s v="No"/>
    <s v="N/A"/>
    <s v="Guillermo Holguin Garcia"/>
    <s v="Subdirector de Energía Eléctrica"/>
    <n v="6012220601"/>
    <s v="guillermo.holguin@upme.gov.co"/>
    <n v="0"/>
    <n v="0"/>
    <n v="0"/>
    <n v="0"/>
    <n v="0"/>
    <n v="0"/>
    <n v="0"/>
    <n v="0"/>
    <n v="0"/>
    <n v="0"/>
    <n v="0"/>
    <n v="0"/>
    <n v="0"/>
    <n v="0"/>
    <n v="0"/>
    <n v="0"/>
    <n v="0"/>
    <n v="0"/>
    <n v="0"/>
    <n v="0"/>
    <n v="45000000"/>
    <n v="0"/>
    <n v="0"/>
    <n v="45000000"/>
    <n v="45000000"/>
    <n v="45000000"/>
    <n v="-45000000"/>
    <n v="-45000000"/>
    <s v="Prestar servicios profesionales para hacer seguimiento técnico a la ejecución de los proyectos del Sistema de Transmisión Nacional y Regional, desarrollados mediante el mecanismo de convocatoria pública y sus ampliaciones."/>
    <m/>
    <m/>
    <m/>
    <m/>
    <m/>
    <m/>
    <m/>
    <m/>
    <m/>
    <m/>
    <m/>
    <m/>
    <m/>
    <m/>
    <m/>
    <m/>
    <m/>
    <m/>
    <m/>
    <m/>
    <m/>
    <m/>
    <m/>
    <m/>
    <m/>
    <m/>
    <n v="0"/>
    <n v="0"/>
    <n v="0"/>
    <n v="0"/>
    <m/>
    <m/>
    <m/>
    <n v="0"/>
    <m/>
    <m/>
    <n v="0"/>
    <n v="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21"/>
    <s v="150-106"/>
    <s v="Aumentar señales de expansión y cobertura del servicio de energía eléctrica."/>
    <s v="Documentos de Planeación"/>
    <s v="Documento de planeación validado."/>
    <n v="80111620"/>
    <s v="C-2102-1900-6-40301C-2102009-02"/>
    <x v="0"/>
    <s v="150-106 Prestar servicios profesionales para la elaboración de documentos legales y el apoyo a los asuntos jurídicos derivados de las actuaciones administrativas de la UPME."/>
    <s v="Enero "/>
    <s v="Enero "/>
    <s v="Enero "/>
    <n v="6"/>
    <s v="Meses"/>
    <s v="Contratación directa - Prestación de servicios profesionales "/>
    <s v="Propios - 20 - Ingresos corrientes"/>
    <n v="0"/>
    <n v="0"/>
    <s v="No"/>
    <s v="N/A"/>
    <s v="Guillermo Holguin Garcia"/>
    <s v="Subdirector de Energía Eléctrica"/>
    <n v="6012220601"/>
    <s v="guillermo.holguin@upme.gov.co"/>
    <n v="0"/>
    <n v="0"/>
    <n v="0"/>
    <n v="0"/>
    <n v="0"/>
    <n v="0"/>
    <n v="0"/>
    <n v="0"/>
    <n v="0"/>
    <n v="0"/>
    <n v="0"/>
    <n v="0"/>
    <n v="0"/>
    <n v="0"/>
    <n v="0"/>
    <n v="0"/>
    <n v="0"/>
    <n v="0"/>
    <n v="0"/>
    <n v="0"/>
    <n v="36000000"/>
    <n v="0"/>
    <n v="0"/>
    <n v="36000000"/>
    <n v="36000000"/>
    <n v="36000000"/>
    <n v="-36000000"/>
    <n v="-36000000"/>
    <s v="Prestar servicios profesionales para la elaboración de documentos legales y el apoyo a los asuntos jurídicos derivados de las actuaciones administrativas de la UPME."/>
    <m/>
    <m/>
    <m/>
    <m/>
    <m/>
    <m/>
    <m/>
    <m/>
    <m/>
    <m/>
    <m/>
    <m/>
    <m/>
    <m/>
    <m/>
    <m/>
    <m/>
    <m/>
    <m/>
    <m/>
    <m/>
    <m/>
    <m/>
    <m/>
    <m/>
    <m/>
    <n v="0"/>
    <n v="0"/>
    <n v="0"/>
    <n v="0"/>
    <n v="59726"/>
    <d v="2026-01-23T00:00:00"/>
    <m/>
    <n v="0"/>
    <m/>
    <m/>
    <n v="0"/>
    <n v="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21"/>
    <s v="150-107"/>
    <s v="Aumentar señales de expansión y cobertura del servicio de energía eléctrica."/>
    <s v="Documentos de Planeación"/>
    <s v="Documento de planeación validado."/>
    <n v="80111620"/>
    <s v="C-2102-1900-6-40301C-2102009-02"/>
    <x v="0"/>
    <s v="150-107 Prestar servicios profesionales para la elaboración de documentos jurídicos de la UPME."/>
    <s v="Enero "/>
    <s v="Enero "/>
    <s v="Enero "/>
    <n v="6"/>
    <s v="Meses"/>
    <s v="Contratación directa - Prestación de servicios profesionales "/>
    <s v="Propios - 20 - Ingresos corrientes"/>
    <n v="0"/>
    <n v="0"/>
    <s v="No"/>
    <s v="N/A"/>
    <s v="Guillermo Holguin Garcia"/>
    <s v="Subdirector de Energía Eléctrica"/>
    <n v="6012220601"/>
    <s v="guillermo.holguin@upme.gov.co"/>
    <n v="0"/>
    <n v="0"/>
    <n v="24000000"/>
    <n v="0"/>
    <n v="0"/>
    <n v="4000000"/>
    <n v="0"/>
    <n v="4000000"/>
    <n v="0"/>
    <n v="4000000"/>
    <n v="0"/>
    <n v="4000000"/>
    <n v="0"/>
    <n v="4000000"/>
    <n v="0"/>
    <n v="4000000"/>
    <n v="0"/>
    <n v="0"/>
    <n v="0"/>
    <n v="0"/>
    <n v="0"/>
    <n v="0"/>
    <n v="0"/>
    <n v="0"/>
    <n v="24000000"/>
    <n v="24000000"/>
    <n v="-24000000"/>
    <n v="-24000000"/>
    <s v="Prestar servicios profesionales para la elaboración de documentos jurídicos de la UPME."/>
    <m/>
    <m/>
    <m/>
    <m/>
    <m/>
    <m/>
    <m/>
    <m/>
    <m/>
    <m/>
    <m/>
    <m/>
    <m/>
    <m/>
    <m/>
    <m/>
    <m/>
    <m/>
    <m/>
    <m/>
    <m/>
    <m/>
    <m/>
    <m/>
    <m/>
    <m/>
    <n v="0"/>
    <n v="0"/>
    <n v="0"/>
    <n v="0"/>
    <n v="65626"/>
    <d v="2026-01-26T00:00:00"/>
    <m/>
    <n v="0"/>
    <m/>
    <m/>
    <n v="0"/>
    <n v="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s v="Radicado 202601500059273"/>
    <s v="150-108"/>
    <s v="Aumentar señales de expansión y cobertura del servicio de energía eléctrica."/>
    <s v="Documentos de Planeación"/>
    <s v="Documento de planeación validado."/>
    <n v="43211507"/>
    <s v="C-2102-1900-6-40301C-2102009-02"/>
    <x v="1"/>
    <s v="150-108  Adquirir equipos de cómputo para la Subdirección de Energía Eléctrica"/>
    <s v="Junio "/>
    <s v="Julio"/>
    <s v="Agosto"/>
    <n v="4"/>
    <s v="Meses"/>
    <s v="Contratación directa"/>
    <s v="Propios - 20 - Ingresos corrientes"/>
    <n v="108313733"/>
    <n v="108313733"/>
    <s v="No"/>
    <s v="N/A"/>
    <s v="Guillermo Holguin Garcia"/>
    <s v="Subdirector de Energía Eléctrica"/>
    <n v="6012220601"/>
    <s v="guillermo.holguin@upme.gov.co"/>
    <n v="0"/>
    <n v="0"/>
    <n v="0"/>
    <n v="0"/>
    <n v="0"/>
    <n v="0"/>
    <n v="108313733"/>
    <n v="0"/>
    <n v="0"/>
    <n v="27078433"/>
    <n v="0"/>
    <n v="27078433"/>
    <n v="0"/>
    <n v="54156867"/>
    <n v="0"/>
    <n v="0"/>
    <n v="0"/>
    <n v="0"/>
    <n v="0"/>
    <n v="0"/>
    <n v="0"/>
    <n v="0"/>
    <n v="0"/>
    <n v="0"/>
    <n v="108313733"/>
    <n v="108313733"/>
    <n v="0"/>
    <n v="0"/>
    <s v=" Adquirir equipos de cómputo para la Subdirección de Energía Eléctrica"/>
    <m/>
    <m/>
    <m/>
    <m/>
    <m/>
    <m/>
    <n v="108313733"/>
    <m/>
    <m/>
    <n v="27078433"/>
    <m/>
    <n v="27078433"/>
    <m/>
    <n v="54156867"/>
    <m/>
    <m/>
    <m/>
    <m/>
    <m/>
    <m/>
    <m/>
    <m/>
    <m/>
    <m/>
    <m/>
    <m/>
    <n v="108313733"/>
    <n v="108313733"/>
    <n v="0"/>
    <n v="0"/>
    <m/>
    <m/>
    <m/>
    <n v="108313733"/>
    <m/>
    <m/>
    <n v="0"/>
    <n v="108313733"/>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09"/>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09 Prestar servicios profesionales para adelantar el análisis y procesamiento de la información técnica relacionada con el desarrollo y la ejecución de los proyectos de transmisión objeto de convocatoria pública en la etapa de ejecución."/>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Prestar servicios profesionales para adelantar el análisis y procesamiento de la información técnica relacionada con el desarrollo y la ejecución de los proyectos de transmisión objeto de convocatoria pública en la etapa de ejecución."/>
    <m/>
    <m/>
    <n v="0"/>
    <n v="0"/>
    <n v="0"/>
    <n v="0"/>
    <n v="0"/>
    <n v="0"/>
    <n v="0"/>
    <n v="0"/>
    <n v="0"/>
    <n v="0"/>
    <n v="0"/>
    <n v="0"/>
    <n v="36483000"/>
    <n v="0"/>
    <n v="0"/>
    <n v="7296600"/>
    <n v="0"/>
    <n v="7296600"/>
    <n v="0"/>
    <n v="7296600"/>
    <n v="0"/>
    <n v="14593200"/>
    <m/>
    <m/>
    <n v="36483000"/>
    <n v="36483000"/>
    <n v="0"/>
    <n v="0"/>
    <m/>
    <m/>
    <m/>
    <n v="36483000"/>
    <m/>
    <m/>
    <n v="0"/>
    <n v="36483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68"/>
    <s v="150-11"/>
    <s v="Aumentar señales de expansión y cobertura del servicio de energía eléctrica."/>
    <s v="Documentos de Planeación"/>
    <s v="Documento de planeación validado."/>
    <n v="80111620"/>
    <s v="C-2102-1900-6-40301C-2102009-02"/>
    <x v="0"/>
    <s v="150-11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226"/>
    <d v="2026-01-05T00:00:00"/>
    <n v="70000000"/>
    <n v="0"/>
    <n v="9126"/>
    <d v="2026-01-15T00:00:00"/>
    <n v="70000000"/>
    <n v="0"/>
    <n v="0"/>
    <s v="NARIÑO HERNANDEZ IRENE ELIZABETH"/>
    <s v="CO1.PCCNTR.8846911"/>
    <n v="70000000"/>
    <m/>
    <m/>
    <m/>
    <n v="3500000"/>
    <n v="3500000"/>
    <m/>
    <n v="7000000"/>
    <n v="7000000"/>
    <m/>
    <n v="7000000"/>
    <n v="7000000"/>
    <m/>
    <m/>
    <m/>
    <m/>
    <m/>
    <m/>
    <m/>
    <m/>
    <m/>
    <m/>
    <m/>
    <m/>
    <m/>
    <m/>
    <m/>
    <m/>
    <m/>
    <m/>
    <m/>
    <m/>
    <m/>
    <m/>
    <m/>
    <m/>
    <n v="70000000"/>
    <n v="17500000"/>
    <n v="17500000"/>
    <n v="52500000"/>
    <n v="0"/>
  </r>
  <r>
    <x v="0"/>
    <x v="6"/>
    <s v="Fortalecimiento de la planeación para reducir las limitaciones en la prestación del servicio de energía eléctrica y la atención plena de la demanda nacional."/>
    <s v="Energía"/>
    <s v="Sí"/>
    <s v="Sí"/>
    <n v="8"/>
    <s v="150-11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0 Prestar servicios profesionales para procesar información relacionada con la estructuración de las convocatorias públicas de las obras de transmisión nacional y regional y proyectos de nuevas tecnologías en cuanto a condiciones técnicas, físicas, "/>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Prestar servicios profesionales para procesar información relacionada con la estructuración de las convocatorias públicas de las obras de transmisión nacional y regional y proyectos de nuevas tecnologías en cuanto a condiciones técnicas, físicas, regulato"/>
    <m/>
    <m/>
    <n v="0"/>
    <n v="0"/>
    <n v="0"/>
    <n v="0"/>
    <n v="0"/>
    <n v="0"/>
    <n v="0"/>
    <n v="0"/>
    <n v="0"/>
    <n v="0"/>
    <n v="0"/>
    <n v="0"/>
    <n v="36483000"/>
    <n v="0"/>
    <n v="0"/>
    <n v="7296600"/>
    <n v="0"/>
    <n v="7296600"/>
    <n v="0"/>
    <n v="7296600"/>
    <n v="0"/>
    <n v="14593200"/>
    <m/>
    <m/>
    <n v="36483000"/>
    <n v="36483000"/>
    <n v="0"/>
    <n v="0"/>
    <m/>
    <m/>
    <m/>
    <n v="36483000"/>
    <m/>
    <m/>
    <n v="0"/>
    <n v="36483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1"/>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1 Apoyar en el seguimiento a la ejecución de los proyectos de transmisión nacional y regional ejecutados mediante convocatoria pública y ampliaciones, apoyar el seguimiento a las condiciones de los documentos de selección y procesar la información d"/>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Apoyar en el seguimiento a la ejecución de los proyectos de transmisión nacional y regional ejecutados mediante convocatoria pública y ampliaciones, apoyar el seguimiento a las condiciones de los documentos de selección y procesar la información de seguim"/>
    <m/>
    <m/>
    <n v="0"/>
    <n v="0"/>
    <n v="0"/>
    <n v="0"/>
    <n v="0"/>
    <n v="0"/>
    <n v="0"/>
    <n v="0"/>
    <n v="0"/>
    <n v="0"/>
    <n v="0"/>
    <n v="0"/>
    <n v="36483000"/>
    <n v="0"/>
    <n v="0"/>
    <n v="7296600"/>
    <n v="0"/>
    <n v="7296600"/>
    <n v="0"/>
    <n v="7296600"/>
    <n v="0"/>
    <n v="14593200"/>
    <m/>
    <m/>
    <n v="36483000"/>
    <n v="36483000"/>
    <n v="0"/>
    <n v="0"/>
    <m/>
    <m/>
    <m/>
    <n v="36483000"/>
    <m/>
    <m/>
    <n v="0"/>
    <n v="36483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2"/>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2 Prestar servicios profesionales para apoyar el seguimiento a la ejecución de los proyectos llevados a cabo mediante convocatoria pública y ampliaciones que le sean asignados, apoyar la estructuración y elaboración de los documentos de selección de"/>
    <s v="Agosto"/>
    <s v="Agosto"/>
    <s v="Agosto"/>
    <n v="5"/>
    <s v="Meses"/>
    <s v="Contratación directa - Prestación de servicios profesionales "/>
    <s v="Propios - 21 - Otros recursos de tesorería"/>
    <n v="31730000"/>
    <n v="31730000"/>
    <s v="No"/>
    <s v="N/A"/>
    <s v="Guillermo Holguin Garcia"/>
    <s v="Subdirector de Energía Eléctrica"/>
    <n v="6012220601"/>
    <s v="guillermo.holguin@upme.gov.co"/>
    <n v="0"/>
    <n v="0"/>
    <n v="0"/>
    <n v="0"/>
    <n v="0"/>
    <n v="0"/>
    <n v="0"/>
    <n v="0"/>
    <n v="0"/>
    <n v="0"/>
    <n v="0"/>
    <n v="0"/>
    <n v="0"/>
    <n v="0"/>
    <n v="31730000"/>
    <n v="0"/>
    <n v="0"/>
    <n v="6346000"/>
    <n v="0"/>
    <n v="6346000"/>
    <n v="0"/>
    <n v="6346000"/>
    <n v="0"/>
    <n v="12692000"/>
    <n v="31730000"/>
    <n v="31730000"/>
    <n v="0"/>
    <n v="0"/>
    <s v="Prestar servicios profesionales para apoyar el seguimiento a la ejecución de los proyectos llevados a cabo mediante convocatoria pública y ampliaciones que le sean asignados, apoyar la estructuración y elaboración de los documentos de selección del invers"/>
    <m/>
    <m/>
    <n v="0"/>
    <n v="0"/>
    <n v="0"/>
    <n v="0"/>
    <n v="0"/>
    <n v="0"/>
    <n v="0"/>
    <n v="0"/>
    <n v="0"/>
    <n v="0"/>
    <n v="0"/>
    <n v="0"/>
    <n v="31730000"/>
    <n v="0"/>
    <n v="0"/>
    <n v="6346000"/>
    <n v="0"/>
    <n v="6346000"/>
    <n v="0"/>
    <n v="6346000"/>
    <n v="0"/>
    <n v="12692000"/>
    <m/>
    <m/>
    <n v="31730000"/>
    <n v="31730000"/>
    <n v="0"/>
    <n v="0"/>
    <m/>
    <m/>
    <m/>
    <n v="31730000"/>
    <m/>
    <m/>
    <n v="0"/>
    <n v="31730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3"/>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3 Prestar servicios profesionales para el apoyo en la elaboración de documentos y en el procesamiento de la información, de las convocatorias públicas y de ampliación de los proyectos de transmisión nacional y regional, y demás proyectos en ejecució"/>
    <s v="Agosto"/>
    <s v="Agosto"/>
    <s v="Agosto"/>
    <n v="5"/>
    <s v="Meses"/>
    <s v="Contratación directa - Prestación de servicios profesionales "/>
    <s v="Propios - 21 - Otros recursos de tesorería"/>
    <n v="31730000"/>
    <n v="31730000"/>
    <s v="No"/>
    <s v="N/A"/>
    <s v="Guillermo Holguin Garcia"/>
    <s v="Subdirector de Energía Eléctrica"/>
    <n v="6012220601"/>
    <s v="guillermo.holguin@upme.gov.co"/>
    <n v="0"/>
    <n v="0"/>
    <n v="0"/>
    <n v="0"/>
    <n v="0"/>
    <n v="0"/>
    <n v="0"/>
    <n v="0"/>
    <n v="0"/>
    <n v="0"/>
    <n v="0"/>
    <n v="0"/>
    <n v="0"/>
    <n v="0"/>
    <n v="31730000"/>
    <n v="0"/>
    <n v="0"/>
    <n v="6346000"/>
    <n v="0"/>
    <n v="6346000"/>
    <n v="0"/>
    <n v="6346000"/>
    <n v="0"/>
    <n v="12692000"/>
    <n v="31730000"/>
    <n v="31730000"/>
    <n v="0"/>
    <n v="0"/>
    <s v="Prestar servicios profesionales para el apoyo en la elaboración de documentos y en el procesamiento de la información, de las convocatorias públicas y de ampliación de los proyectos de transmisión nacional y regional, y demás proyectos en ejecución asigna"/>
    <m/>
    <m/>
    <n v="0"/>
    <n v="0"/>
    <n v="0"/>
    <n v="0"/>
    <n v="0"/>
    <n v="0"/>
    <n v="0"/>
    <n v="0"/>
    <m/>
    <m/>
    <m/>
    <m/>
    <n v="31730000"/>
    <m/>
    <m/>
    <n v="6346000"/>
    <n v="0"/>
    <n v="6346000"/>
    <n v="0"/>
    <n v="6346000"/>
    <n v="0"/>
    <n v="12692000"/>
    <m/>
    <m/>
    <n v="31730000"/>
    <n v="31730000"/>
    <n v="0"/>
    <n v="0"/>
    <m/>
    <m/>
    <m/>
    <n v="31730000"/>
    <m/>
    <m/>
    <n v="0"/>
    <n v="31730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4 Prestar servicios profesionales para efectuar el seguimiento socioambiental de los proyectos definidos en el plan de expansión que son objeto de convocatoria pública, e identificar problemáticas y opciones de solución que alimenten las etapas prev"/>
    <s v="Agosto"/>
    <s v="Agosto"/>
    <s v="Agosto"/>
    <n v="5"/>
    <s v="Meses"/>
    <s v="Contratación directa - Prestación de servicios profesionales "/>
    <s v="Propios - 21 - Otros recursos de tesorería"/>
    <n v="39333000"/>
    <n v="39333000"/>
    <s v="No"/>
    <s v="N/A"/>
    <s v="Guillermo Holguin Garcia"/>
    <s v="Subdirector de Energía Eléctrica"/>
    <n v="6012220601"/>
    <s v="guillermo.holguin@upme.gov.co"/>
    <n v="0"/>
    <n v="0"/>
    <n v="0"/>
    <n v="0"/>
    <n v="0"/>
    <n v="0"/>
    <n v="0"/>
    <n v="0"/>
    <n v="0"/>
    <n v="0"/>
    <n v="0"/>
    <n v="0"/>
    <n v="0"/>
    <n v="0"/>
    <n v="39333000"/>
    <n v="0"/>
    <n v="0"/>
    <n v="7866500"/>
    <n v="0"/>
    <n v="7866500"/>
    <n v="0"/>
    <n v="7866500"/>
    <n v="0"/>
    <n v="15733500"/>
    <n v="39333000"/>
    <n v="39333000"/>
    <n v="0"/>
    <n v="0"/>
    <s v="Prestar servicios profesionales para efectuar el seguimiento socioambiental de los proyectos definidos en el plan de expansión que son objeto de convocatoria pública, e identificar problemáticas y opciones de solución que alimenten las etapas previas de p"/>
    <m/>
    <m/>
    <n v="0"/>
    <n v="0"/>
    <n v="0"/>
    <n v="0"/>
    <n v="0"/>
    <n v="0"/>
    <n v="0"/>
    <n v="0"/>
    <m/>
    <m/>
    <m/>
    <m/>
    <n v="39333000"/>
    <m/>
    <m/>
    <n v="7866500"/>
    <m/>
    <n v="7866500"/>
    <m/>
    <n v="7866500"/>
    <m/>
    <n v="15733500"/>
    <m/>
    <m/>
    <n v="39333000"/>
    <n v="39333000"/>
    <n v="0"/>
    <n v="0"/>
    <m/>
    <m/>
    <m/>
    <n v="39333000"/>
    <m/>
    <m/>
    <n v="0"/>
    <n v="39333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5 Prestar servicios profesionales para adelantar el relacionamiento y articulación interinstitucional en fase de planeación y ejecución de los proyectos que se desarrollan mediante procesos de libre concurrencia, así como identificar las restriccion"/>
    <s v="Agosto"/>
    <s v="Agosto"/>
    <s v="Agosto"/>
    <n v="5"/>
    <s v="Meses"/>
    <s v="Contratación directa - Prestación de servicios profesionales "/>
    <s v="Propios - 21 - Otros recursos de tesorería"/>
    <n v="39332500"/>
    <n v="39332500"/>
    <s v="No"/>
    <s v="N/A"/>
    <s v="Guillermo Holguin Garcia"/>
    <s v="Subdirector de Energía Eléctrica"/>
    <n v="6012220601"/>
    <s v="guillermo.holguin@upme.gov.co"/>
    <n v="0"/>
    <n v="0"/>
    <n v="0"/>
    <n v="0"/>
    <n v="0"/>
    <n v="0"/>
    <n v="0"/>
    <n v="0"/>
    <n v="0"/>
    <n v="0"/>
    <n v="0"/>
    <n v="0"/>
    <n v="0"/>
    <n v="0"/>
    <n v="39332500"/>
    <n v="0"/>
    <n v="0"/>
    <n v="7866500"/>
    <n v="0"/>
    <n v="7866500"/>
    <n v="0"/>
    <n v="7866500"/>
    <n v="0"/>
    <n v="15733000"/>
    <n v="39332500"/>
    <n v="39332500"/>
    <n v="0"/>
    <n v="0"/>
    <s v="Prestar servicios profesionales para adelantar el relacionamiento y articulación interinstitucional en fase de planeación y ejecución de los proyectos que se desarrollan mediante procesos de libre concurrencia, así como identificar las restricciones que s"/>
    <m/>
    <m/>
    <n v="0"/>
    <n v="0"/>
    <n v="0"/>
    <n v="0"/>
    <n v="0"/>
    <n v="0"/>
    <n v="0"/>
    <n v="0"/>
    <m/>
    <m/>
    <m/>
    <m/>
    <n v="39332500"/>
    <m/>
    <m/>
    <n v="7866500"/>
    <m/>
    <n v="7866500"/>
    <m/>
    <n v="7866500"/>
    <m/>
    <n v="15733000"/>
    <m/>
    <m/>
    <n v="39332500"/>
    <n v="39332500"/>
    <n v="0"/>
    <n v="0"/>
    <m/>
    <m/>
    <m/>
    <n v="39332500"/>
    <m/>
    <m/>
    <n v="0"/>
    <n v="393325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6 Prestar servicios profesionales para apoyar el análisis y revisión de información socioambiental de los proyectos de transmisión nacional y regional en ejecución, así como los análisis de posibilidades y condicionantes en etapas de planeación, est"/>
    <s v="Agosto"/>
    <s v="Agosto"/>
    <s v="Agosto"/>
    <n v="5"/>
    <s v="Meses"/>
    <s v="Contratación directa - Prestación de servicios profesionales "/>
    <s v="Propios - 21 - Otros recursos de tesorería"/>
    <n v="39332500"/>
    <n v="39332500"/>
    <s v="No"/>
    <s v="N/A"/>
    <s v="Guillermo Holguin Garcia"/>
    <s v="Subdirector de Energía Eléctrica"/>
    <n v="6012220601"/>
    <s v="guillermo.holguin@upme.gov.co"/>
    <n v="0"/>
    <n v="0"/>
    <n v="0"/>
    <n v="0"/>
    <n v="0"/>
    <n v="0"/>
    <n v="0"/>
    <n v="0"/>
    <n v="0"/>
    <n v="0"/>
    <n v="0"/>
    <n v="0"/>
    <n v="0"/>
    <n v="0"/>
    <n v="39332500"/>
    <n v="0"/>
    <n v="0"/>
    <n v="7866500"/>
    <n v="0"/>
    <n v="7866500"/>
    <n v="0"/>
    <n v="7866500"/>
    <n v="0"/>
    <n v="15733000"/>
    <n v="39332500"/>
    <n v="39332500"/>
    <n v="0"/>
    <n v="0"/>
    <s v="Prestar servicios profesionales para apoyar el análisis y revisión de información socioambiental de los proyectos de transmisión nacional y regional en ejecución, así como los análisis de posibilidades y condicionantes en etapas de planeación, estructurac"/>
    <m/>
    <m/>
    <n v="0"/>
    <n v="0"/>
    <n v="0"/>
    <n v="0"/>
    <n v="0"/>
    <n v="0"/>
    <n v="0"/>
    <n v="0"/>
    <m/>
    <m/>
    <m/>
    <m/>
    <n v="39332500"/>
    <m/>
    <m/>
    <n v="7866500"/>
    <m/>
    <n v="7866500"/>
    <m/>
    <n v="7866500"/>
    <m/>
    <n v="15733000"/>
    <m/>
    <m/>
    <n v="39332500"/>
    <n v="39332500"/>
    <n v="0"/>
    <n v="0"/>
    <m/>
    <m/>
    <m/>
    <n v="39332500"/>
    <m/>
    <m/>
    <n v="0"/>
    <n v="393325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7 Prestar servicios profesionales para procesar y gestionar el sistema de información geográfico de la infraestructura de transmisión nacional y regional y los proyectos en ejecución y apoyar la gestión cartográfica de los análisis de posibilidades "/>
    <s v="Agosto"/>
    <s v="Agosto"/>
    <s v="Agosto"/>
    <n v="5"/>
    <s v="Meses"/>
    <s v="Contratación directa - Prestación de servicios profesionales "/>
    <s v="Propios - 21 - Otros recursos de tesorería"/>
    <n v="37652333"/>
    <n v="37652333"/>
    <s v="No"/>
    <s v="N/A"/>
    <s v="Guillermo Holguin Garcia"/>
    <s v="Subdirector de Energía Eléctrica"/>
    <n v="6012220601"/>
    <s v="guillermo.holguin@upme.gov.co"/>
    <n v="0"/>
    <n v="0"/>
    <n v="0"/>
    <n v="0"/>
    <n v="0"/>
    <n v="0"/>
    <n v="0"/>
    <n v="0"/>
    <n v="0"/>
    <n v="0"/>
    <n v="0"/>
    <n v="0"/>
    <n v="0"/>
    <n v="0"/>
    <n v="37652333"/>
    <n v="0"/>
    <n v="0"/>
    <n v="7296600"/>
    <n v="0"/>
    <n v="7296600"/>
    <n v="0"/>
    <n v="7296600"/>
    <n v="0"/>
    <n v="15762533"/>
    <n v="37652333"/>
    <n v="37652333"/>
    <n v="0"/>
    <n v="0"/>
    <s v="Prestar servicios profesionales para procesar y gestionar el sistema de información geográfico de la infraestructura de transmisión nacional y regional y los proyectos en ejecución y apoyar la gestión cartográfica de los análisis de posibilidades y condic"/>
    <m/>
    <m/>
    <n v="0"/>
    <n v="0"/>
    <n v="0"/>
    <n v="0"/>
    <n v="0"/>
    <n v="0"/>
    <n v="0"/>
    <n v="0"/>
    <m/>
    <m/>
    <m/>
    <m/>
    <n v="37652333"/>
    <m/>
    <m/>
    <n v="7296600"/>
    <m/>
    <n v="7296600"/>
    <m/>
    <n v="7296600"/>
    <m/>
    <n v="15762533"/>
    <m/>
    <m/>
    <n v="37652333"/>
    <n v="37652333"/>
    <n v="0"/>
    <n v="0"/>
    <m/>
    <m/>
    <m/>
    <n v="37652333"/>
    <m/>
    <m/>
    <n v="0"/>
    <n v="37652333"/>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8"/>
    <s v="150-11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8 Prestación de servicios profesionales para apoyar la elaboración de documentos y el procesamiento de información asociados a las convocatorias públicas."/>
    <s v="Enero "/>
    <s v="Enero "/>
    <s v="Enero "/>
    <n v="11"/>
    <s v="Meses"/>
    <s v="Contratación directa - Prestación de servicios profesionales "/>
    <s v="Propios - 21 - Otros recursos de tesorería"/>
    <n v="46101709"/>
    <n v="46101709"/>
    <s v="No"/>
    <s v="N/A"/>
    <s v="Guillermo Holguin Garcia"/>
    <s v="Subdirector de Energía Eléctrica"/>
    <n v="6012220601"/>
    <s v="guillermo.holguin@upme.gov.co"/>
    <n v="0"/>
    <n v="0"/>
    <n v="46101709"/>
    <n v="0"/>
    <n v="0"/>
    <n v="4610171"/>
    <n v="0"/>
    <n v="4610171"/>
    <n v="0"/>
    <n v="4610171"/>
    <n v="0"/>
    <n v="4610171"/>
    <n v="0"/>
    <n v="4610171"/>
    <n v="0"/>
    <n v="4610171"/>
    <n v="0"/>
    <n v="4610171"/>
    <n v="0"/>
    <n v="4610171"/>
    <n v="0"/>
    <n v="4610171"/>
    <n v="0"/>
    <n v="4610170"/>
    <n v="46101709"/>
    <n v="46101709"/>
    <n v="0"/>
    <n v="0"/>
    <s v="Prestación de servicios profesionales para apoyar la elaboración de documentos y el procesamiento de información asociados a las convocatorias públicas."/>
    <m/>
    <m/>
    <n v="46101709"/>
    <n v="0"/>
    <n v="0"/>
    <n v="4610171"/>
    <n v="0"/>
    <n v="4610171"/>
    <n v="0"/>
    <n v="4610171"/>
    <m/>
    <n v="4610171"/>
    <m/>
    <n v="4610171"/>
    <m/>
    <n v="4610171"/>
    <m/>
    <n v="4610171"/>
    <m/>
    <n v="4610171"/>
    <m/>
    <n v="4610171"/>
    <m/>
    <n v="4610170"/>
    <m/>
    <m/>
    <n v="46101709"/>
    <n v="46101709"/>
    <n v="0"/>
    <n v="0"/>
    <n v="65426"/>
    <d v="2026-01-26T00:00:00"/>
    <n v="46101709"/>
    <n v="0"/>
    <n v="59626"/>
    <d v="2026-02-12T00:00:00"/>
    <n v="44296709"/>
    <n v="1805000"/>
    <n v="1805000"/>
    <s v="ARIZA NUÑEZ DAYANA ASTRID"/>
    <s v="CO1.PCCNTR.9280734"/>
    <m/>
    <m/>
    <m/>
    <n v="44296709"/>
    <m/>
    <m/>
    <m/>
    <m/>
    <m/>
    <m/>
    <n v="4819500"/>
    <n v="4819500"/>
    <m/>
    <m/>
    <m/>
    <m/>
    <m/>
    <m/>
    <m/>
    <m/>
    <m/>
    <m/>
    <m/>
    <m/>
    <m/>
    <m/>
    <m/>
    <m/>
    <m/>
    <m/>
    <m/>
    <m/>
    <m/>
    <m/>
    <m/>
    <m/>
    <n v="44296709"/>
    <n v="4819500"/>
    <n v="4819500"/>
    <n v="39477209"/>
    <n v="0"/>
  </r>
  <r>
    <x v="0"/>
    <x v="6"/>
    <s v="Fortalecimiento de la planeación para reducir las limitaciones en la prestación del servicio de energía eléctrica y la atención plena de la demanda nacional."/>
    <s v="Energía"/>
    <s v="Sí"/>
    <s v="Sí"/>
    <n v="22"/>
    <s v="150-119"/>
    <s v="Aumentar señales de expansión y cobertura del servicio de energía eléctrica."/>
    <s v="Documentos de Planeación"/>
    <s v="Documento de planeación validado."/>
    <n v="81112003"/>
    <s v="C-2102-1900-6-40301C-2102009-02"/>
    <x v="10"/>
    <s v="150-119 Adquirir servicios en la nube para la implementación de un lago de datos institucional que permita la consolidación, integración, centralización, acceso y exposición de la información de la UPME, incluyendo la asociada a electromovilidad."/>
    <s v="Abril"/>
    <s v="Abril"/>
    <s v="Mayo"/>
    <n v="12"/>
    <s v="Meses"/>
    <s v=" Seléccion abreviada - acuerdo marco"/>
    <s v="Propios - 20 - Ingresos corrientes"/>
    <n v="70000000"/>
    <n v="70000000"/>
    <s v="No"/>
    <s v="N/A"/>
    <s v="Guillermo Holguin Garcia"/>
    <s v="Subdirector de Energía Eléctrica"/>
    <n v="6012220601"/>
    <s v="guillermo.holguin@upme.gov.co"/>
    <m/>
    <m/>
    <m/>
    <m/>
    <m/>
    <m/>
    <m/>
    <m/>
    <m/>
    <m/>
    <m/>
    <m/>
    <m/>
    <m/>
    <m/>
    <m/>
    <m/>
    <m/>
    <m/>
    <m/>
    <m/>
    <m/>
    <m/>
    <m/>
    <m/>
    <m/>
    <m/>
    <m/>
    <s v="Adquirir servicios en la nube para la implementación de un lago de datos institucional que permita la consolidación, integración, centralización, acceso y exposición de la información de la UPME, incluyendo la asociada a electromovilidad."/>
    <m/>
    <m/>
    <m/>
    <m/>
    <m/>
    <m/>
    <m/>
    <m/>
    <n v="70000000"/>
    <m/>
    <m/>
    <n v="70000000"/>
    <m/>
    <m/>
    <m/>
    <m/>
    <m/>
    <m/>
    <m/>
    <m/>
    <m/>
    <m/>
    <m/>
    <m/>
    <m/>
    <m/>
    <m/>
    <m/>
    <m/>
    <m/>
    <m/>
    <m/>
    <m/>
    <n v="70000000"/>
    <m/>
    <m/>
    <n v="0"/>
    <n v="70000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68"/>
    <s v="150-12"/>
    <s v="Aumentar señales de expansión y cobertura del servicio de energía eléctrica."/>
    <s v="Documentos de Planeación"/>
    <s v="Documento de planeación validado."/>
    <n v="80111620"/>
    <s v="C-2102-1900-6-40301C-2102009-02"/>
    <x v="0"/>
    <s v="150-1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726"/>
    <d v="2026-01-05T00:00:00"/>
    <n v="70000000"/>
    <n v="0"/>
    <n v="9726"/>
    <d v="2026-01-16T00:00:00"/>
    <n v="70000000"/>
    <n v="0"/>
    <n v="0"/>
    <s v="GUTIERREZ SANCHEZ EDGAR DANIEL"/>
    <s v="CO1.PCCNTR.8838065"/>
    <n v="70000000"/>
    <m/>
    <m/>
    <m/>
    <n v="3266667"/>
    <n v="3266667"/>
    <m/>
    <n v="7000000"/>
    <n v="7000000"/>
    <m/>
    <n v="7000000"/>
    <n v="7000000"/>
    <m/>
    <m/>
    <m/>
    <m/>
    <m/>
    <m/>
    <m/>
    <m/>
    <m/>
    <m/>
    <m/>
    <m/>
    <m/>
    <m/>
    <m/>
    <m/>
    <m/>
    <m/>
    <m/>
    <m/>
    <m/>
    <m/>
    <m/>
    <m/>
    <n v="70000000"/>
    <n v="17266667"/>
    <n v="17266667"/>
    <n v="52733333"/>
    <n v="0"/>
  </r>
  <r>
    <x v="0"/>
    <x v="6"/>
    <s v="Fortalecimiento de la planeación para reducir las limitaciones en la prestación del servicio de energía eléctrica y la atención plena de la demanda nacional."/>
    <s v="Energía"/>
    <s v="Sí"/>
    <s v="Sí"/>
    <s v="Radicado 20261500021643"/>
    <s v="150-2"/>
    <s v="Aumentar señales de expansión y cobertura del servicio de energía eléctrica."/>
    <s v="Documentos de Planeación"/>
    <s v="Documento de planeación validado."/>
    <n v="80111620"/>
    <s v="C-2102-1900-6-40301C-2102009-02"/>
    <x v="0"/>
    <s v="150-2 Prestar servicios profesionales a la Subdirección de Energía Eléctrica en el proceso, verificación y cumplimiento de requisitos legales y asuntos jurídicos misionales."/>
    <s v="Enero "/>
    <s v="Enero "/>
    <s v="Enero "/>
    <n v="12"/>
    <s v="Meses"/>
    <s v="Contratación directa - Prestación de servicios profesionales "/>
    <s v="Propios - 20 - Ingresos corrientes"/>
    <n v="45536400"/>
    <n v="45536400"/>
    <s v="Si"/>
    <s v="Solicitadas"/>
    <s v="Guillermo Holguin Garcia"/>
    <s v="Subdirector de Energía Eléctrica"/>
    <n v="6012220601"/>
    <s v="guillermo.holguin@upme.gov.co"/>
    <n v="26562900"/>
    <n v="0"/>
    <n v="0"/>
    <n v="3794700"/>
    <n v="0"/>
    <n v="3794700"/>
    <n v="0"/>
    <n v="3794700"/>
    <n v="0"/>
    <n v="3794700"/>
    <n v="0"/>
    <n v="3794700"/>
    <n v="0"/>
    <n v="3794700"/>
    <n v="18973500"/>
    <n v="3794700"/>
    <n v="0"/>
    <n v="3794700"/>
    <n v="0"/>
    <n v="3794700"/>
    <n v="0"/>
    <n v="3794700"/>
    <n v="0"/>
    <n v="7589400"/>
    <n v="45536400"/>
    <n v="45536400"/>
    <n v="0"/>
    <n v="0"/>
    <s v="Prestar servicios profesionales a la Subdirección de Energía Eléctrica en el proceso, verificación y cumplimiento de requisitos legales y asuntos jurídicos misionales."/>
    <n v="26562900"/>
    <m/>
    <m/>
    <n v="3794700"/>
    <m/>
    <n v="3794700"/>
    <m/>
    <n v="3794700"/>
    <m/>
    <n v="3794700"/>
    <m/>
    <n v="3794700"/>
    <m/>
    <n v="3794700"/>
    <n v="18973500"/>
    <n v="3794700"/>
    <m/>
    <n v="3794700"/>
    <m/>
    <n v="3794700"/>
    <m/>
    <n v="3794700"/>
    <m/>
    <n v="7589400"/>
    <m/>
    <m/>
    <n v="45536400"/>
    <n v="45536400"/>
    <n v="0"/>
    <n v="0"/>
    <n v="2126"/>
    <d v="2026-01-05T00:00:00"/>
    <n v="26562900"/>
    <n v="18973500"/>
    <n v="2126"/>
    <d v="2026-01-05T00:00:00"/>
    <n v="26562900"/>
    <n v="18973500"/>
    <n v="0"/>
    <s v="ARIAS PARADA NICOLE NATALIA"/>
    <s v="CO1.PCCNT.7425052"/>
    <n v="26562900"/>
    <m/>
    <m/>
    <m/>
    <n v="3794700"/>
    <n v="3794700"/>
    <m/>
    <n v="3794700"/>
    <n v="3794700"/>
    <m/>
    <n v="3794700"/>
    <n v="3794700"/>
    <m/>
    <m/>
    <m/>
    <m/>
    <m/>
    <m/>
    <m/>
    <m/>
    <m/>
    <m/>
    <m/>
    <m/>
    <m/>
    <m/>
    <m/>
    <m/>
    <m/>
    <m/>
    <m/>
    <m/>
    <m/>
    <m/>
    <m/>
    <m/>
    <n v="26562900"/>
    <n v="11384100"/>
    <n v="11384100"/>
    <n v="15178800"/>
    <n v="0"/>
  </r>
  <r>
    <x v="0"/>
    <x v="6"/>
    <s v="Fortalecimiento de la planeación para reducir las limitaciones en la prestación del servicio de energía eléctrica y la atención plena de la demanda nacional."/>
    <s v="Energía"/>
    <s v="Sí"/>
    <s v="Sí"/>
    <n v="68"/>
    <s v="150-13"/>
    <s v="Aumentar señales de expansión y cobertura del servicio de energía eléctrica."/>
    <s v="Documentos de Planeación"/>
    <s v="Documento de planeación validado."/>
    <n v="80111620"/>
    <s v="C-2102-1900-6-40301C-2102009-02"/>
    <x v="0"/>
    <s v="150-1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6126"/>
    <d v="2026-01-05T00:00:00"/>
    <n v="70000000"/>
    <n v="0"/>
    <n v="11826"/>
    <d v="2026-01-19T00:00:00"/>
    <n v="70000000"/>
    <n v="0"/>
    <n v="0"/>
    <s v="LOPEZ QUINTERO RICARDO JAVIER,RODRIGUEZ EDWIN_x000a_"/>
    <s v="CO1.PCCNTR.8944239"/>
    <n v="70000000"/>
    <m/>
    <m/>
    <m/>
    <m/>
    <m/>
    <m/>
    <n v="9566667"/>
    <n v="9566667"/>
    <n v="0"/>
    <m/>
    <m/>
    <m/>
    <m/>
    <m/>
    <m/>
    <m/>
    <m/>
    <m/>
    <m/>
    <m/>
    <m/>
    <m/>
    <m/>
    <m/>
    <m/>
    <m/>
    <m/>
    <m/>
    <m/>
    <m/>
    <m/>
    <m/>
    <m/>
    <m/>
    <m/>
    <n v="70000000"/>
    <n v="9566667"/>
    <n v="9566667"/>
    <n v="60433333"/>
    <n v="0"/>
  </r>
  <r>
    <x v="0"/>
    <x v="6"/>
    <s v="Fortalecimiento de la planeación para reducir las limitaciones en la prestación del servicio de energía eléctrica y la atención plena de la demanda nacional."/>
    <s v="Energía"/>
    <s v="Sí"/>
    <s v="Sí"/>
    <n v="68"/>
    <s v="150-14"/>
    <s v="Aumentar señales de expansión y cobertura del servicio de energía eléctrica."/>
    <s v="Documentos de Planeación"/>
    <s v="Documento de planeación validado."/>
    <n v="80111620"/>
    <s v="C-2102-1900-6-40301C-2102009-02"/>
    <x v="0"/>
    <s v="150-14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926"/>
    <d v="2026-01-05T00:00:00"/>
    <n v="70000000"/>
    <n v="0"/>
    <n v="7726"/>
    <d v="2026-01-13T00:00:00"/>
    <n v="70000000"/>
    <n v="0"/>
    <n v="0"/>
    <s v="GONZALEZ GONZALEZ GERMAN ALFONSO"/>
    <s v="CO1.PCCNTR.8813812"/>
    <n v="70000000"/>
    <m/>
    <m/>
    <m/>
    <n v="3966667"/>
    <n v="3966667"/>
    <m/>
    <n v="7000000"/>
    <n v="7000000"/>
    <m/>
    <n v="7000000"/>
    <n v="7000000"/>
    <m/>
    <m/>
    <m/>
    <m/>
    <m/>
    <m/>
    <m/>
    <m/>
    <m/>
    <m/>
    <m/>
    <m/>
    <m/>
    <m/>
    <m/>
    <m/>
    <m/>
    <m/>
    <m/>
    <m/>
    <m/>
    <m/>
    <m/>
    <m/>
    <n v="70000000"/>
    <n v="17966667"/>
    <n v="17966667"/>
    <n v="52033333"/>
    <n v="0"/>
  </r>
  <r>
    <x v="0"/>
    <x v="6"/>
    <s v="Fortalecimiento de la planeación para reducir las limitaciones en la prestación del servicio de energía eléctrica y la atención plena de la demanda nacional."/>
    <s v="Energía"/>
    <s v="Sí"/>
    <s v="Sí"/>
    <n v="68"/>
    <s v="150-15"/>
    <s v="Aumentar señales de expansión y cobertura del servicio de energía eléctrica."/>
    <s v="Documentos de Planeación"/>
    <s v="Documento de planeación validado."/>
    <n v="80111620"/>
    <s v="C-2102-1900-6-40301C-2102009-02"/>
    <x v="0"/>
    <s v="150-15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5326"/>
    <d v="2026-01-05T00:00:00"/>
    <n v="70000000"/>
    <n v="0"/>
    <n v="15226"/>
    <d v="2026-01-21T00:00:00"/>
    <n v="70000000"/>
    <n v="0"/>
    <n v="0"/>
    <s v="DANIELS RAPALINO PAOLA ANDREA"/>
    <s v="CO1.PCCNTR.8882762"/>
    <n v="70000000"/>
    <m/>
    <m/>
    <m/>
    <n v="2100000"/>
    <n v="2100000"/>
    <m/>
    <n v="7000000"/>
    <n v="7000000"/>
    <m/>
    <n v="7000000"/>
    <n v="7000000"/>
    <m/>
    <m/>
    <m/>
    <m/>
    <m/>
    <m/>
    <m/>
    <m/>
    <m/>
    <m/>
    <m/>
    <m/>
    <m/>
    <m/>
    <m/>
    <m/>
    <m/>
    <m/>
    <m/>
    <m/>
    <m/>
    <m/>
    <m/>
    <m/>
    <n v="70000000"/>
    <n v="16100000"/>
    <n v="16100000"/>
    <n v="53900000"/>
    <n v="0"/>
  </r>
  <r>
    <x v="0"/>
    <x v="6"/>
    <s v="Fortalecimiento de la planeación para reducir las limitaciones en la prestación del servicio de energía eléctrica y la atención plena de la demanda nacional."/>
    <s v="Energía"/>
    <s v="Sí"/>
    <s v="Sí"/>
    <n v="68"/>
    <s v="150-16"/>
    <s v="Aumentar señales de expansión y cobertura del servicio de energía eléctrica."/>
    <s v="Documentos de Planeación"/>
    <s v="Documento de planeación validado."/>
    <n v="80111620"/>
    <s v="C-2102-1900-6-40301C-2102009-02"/>
    <x v="0"/>
    <s v="150-16 Prestar servicios ​de apoyo a la gestión en las labores administrativas relacionadas con los procesos ​y procedimientos a cargo de la Oficina Asesora Jurídica, para el logro de los objetivos institucionales de la UPME​."/>
    <s v="Enero "/>
    <s v="Enero "/>
    <s v="Enero "/>
    <n v="10"/>
    <s v="Meses"/>
    <s v="Contratación directa - Prestación de servicios profesionales "/>
    <s v="Propios - 20 - Ingresos corrientes"/>
    <n v="35000000"/>
    <n v="35000000"/>
    <s v="No"/>
    <s v="N/A"/>
    <s v="Guillermo Holguin Garcia"/>
    <s v="Subdirector de Energía Eléctrica"/>
    <n v="6012220601"/>
    <s v="guillermo.holguin@upme.gov.co"/>
    <n v="35000000"/>
    <n v="0"/>
    <n v="0"/>
    <n v="0"/>
    <n v="0"/>
    <n v="3500000"/>
    <n v="0"/>
    <n v="3500000"/>
    <n v="0"/>
    <n v="3500000"/>
    <n v="0"/>
    <n v="3500000"/>
    <n v="0"/>
    <n v="3500000"/>
    <n v="0"/>
    <n v="3500000"/>
    <n v="0"/>
    <n v="3500000"/>
    <n v="0"/>
    <n v="3500000"/>
    <n v="0"/>
    <n v="3500000"/>
    <n v="0"/>
    <n v="3500000"/>
    <n v="35000000"/>
    <n v="35000000"/>
    <n v="0"/>
    <n v="0"/>
    <s v="Prestar servicios ​de apoyo a la gestión en las labores administrativas relacionadas con los procesos ​y procedimientos a cargo de la Oficina Asesora Jurídica, para el logro de los objetivos institucionales de la UPME​."/>
    <n v="35000000"/>
    <m/>
    <m/>
    <m/>
    <m/>
    <n v="3500000"/>
    <m/>
    <n v="3500000"/>
    <m/>
    <n v="3500000"/>
    <m/>
    <n v="3500000"/>
    <m/>
    <n v="3500000"/>
    <m/>
    <n v="3500000"/>
    <m/>
    <n v="3500000"/>
    <m/>
    <n v="3500000"/>
    <m/>
    <n v="3500000"/>
    <m/>
    <n v="3500000"/>
    <m/>
    <m/>
    <n v="35000000"/>
    <n v="35000000"/>
    <n v="0"/>
    <n v="0"/>
    <n v="6926"/>
    <d v="2026-01-06T00:00:00"/>
    <n v="35000000"/>
    <n v="0"/>
    <n v="8526"/>
    <d v="2026-01-13T00:00:00"/>
    <n v="35000000"/>
    <n v="0"/>
    <n v="0"/>
    <s v="PEÑA TORRES ANGELY PAOLA"/>
    <s v="CO1.PCCNTR.8837113"/>
    <n v="35000000"/>
    <m/>
    <m/>
    <m/>
    <m/>
    <m/>
    <m/>
    <n v="5483333"/>
    <n v="5483333"/>
    <m/>
    <n v="3500000"/>
    <n v="3500000"/>
    <m/>
    <m/>
    <m/>
    <m/>
    <m/>
    <m/>
    <m/>
    <m/>
    <m/>
    <m/>
    <m/>
    <m/>
    <m/>
    <m/>
    <m/>
    <m/>
    <m/>
    <m/>
    <m/>
    <m/>
    <m/>
    <m/>
    <m/>
    <m/>
    <n v="35000000"/>
    <n v="8983333"/>
    <n v="8983333"/>
    <n v="26016667"/>
    <n v="0"/>
  </r>
  <r>
    <x v="0"/>
    <x v="6"/>
    <s v="Fortalecimiento de la planeación para reducir las limitaciones en la prestación del servicio de energía eléctrica y la atención plena de la demanda nacional."/>
    <s v="Energía"/>
    <s v="Sí"/>
    <s v="Sí"/>
    <n v="68"/>
    <s v="150-17"/>
    <s v="Aumentar señales de expansión y cobertura del servicio de energía eléctrica."/>
    <s v="Documentos de Planeación"/>
    <s v="Documento de planeación validado."/>
    <n v="80111620"/>
    <s v="C-2102-1900-6-40301C-2102009-02"/>
    <x v="0"/>
    <s v="150-17 Prestar servicios de apoyo a la gestión para garantizar el cumplimiento de requisitos legales y la oportuna resolución de las peticiones, quejas y reclamos interpuestos ante la Subdirección de Energía Eléctrica en el marco de sus competencias"/>
    <s v="Enero "/>
    <s v="Enero "/>
    <s v="Enero "/>
    <n v="10"/>
    <s v="Meses"/>
    <s v="Contratación directa - Prestación de servicios profesionales "/>
    <s v="Propios - 20 - Ingresos corrientes"/>
    <n v="35000000"/>
    <n v="35000000"/>
    <s v="No"/>
    <s v="N/A"/>
    <s v="Guillermo Holguin Garcia"/>
    <s v="Subdirector de Energía Eléctrica"/>
    <n v="6012220601"/>
    <s v="guillermo.holguin@upme.gov.co"/>
    <n v="35000000"/>
    <n v="0"/>
    <n v="0"/>
    <n v="0"/>
    <n v="0"/>
    <n v="3500000"/>
    <n v="0"/>
    <n v="3500000"/>
    <n v="0"/>
    <n v="3500000"/>
    <n v="0"/>
    <n v="3500000"/>
    <n v="0"/>
    <n v="3500000"/>
    <n v="0"/>
    <n v="3500000"/>
    <n v="0"/>
    <n v="3500000"/>
    <n v="0"/>
    <n v="3500000"/>
    <n v="0"/>
    <n v="3500000"/>
    <n v="0"/>
    <n v="3500000"/>
    <n v="35000000"/>
    <n v="35000000"/>
    <n v="0"/>
    <n v="0"/>
    <s v="Prestar servicios de apoyo a la gestión para garantizar el cumplimiento de requisitos legales y la oportuna resolución de las peticiones, quejas y reclamos interpuestos ante la Subdirección de Energía Eléctrica en el marco de sus competencias"/>
    <n v="35000000"/>
    <m/>
    <m/>
    <m/>
    <m/>
    <n v="3500000"/>
    <m/>
    <n v="3500000"/>
    <m/>
    <n v="3500000"/>
    <m/>
    <n v="3500000"/>
    <m/>
    <n v="3500000"/>
    <m/>
    <n v="3500000"/>
    <m/>
    <n v="3500000"/>
    <m/>
    <n v="3500000"/>
    <m/>
    <n v="3500000"/>
    <m/>
    <n v="3500000"/>
    <m/>
    <m/>
    <n v="35000000"/>
    <n v="35000000"/>
    <n v="0"/>
    <n v="0"/>
    <n v="5526"/>
    <d v="2026-01-05T00:00:00"/>
    <n v="35000000"/>
    <n v="0"/>
    <n v="7926"/>
    <d v="2026-01-13T00:00:00"/>
    <n v="35000000"/>
    <n v="0"/>
    <n v="0"/>
    <s v="JIMENEZ DIAZ ANDREA CAROLINA"/>
    <s v="CO1.PCCNTR.8826983"/>
    <n v="35000000"/>
    <m/>
    <m/>
    <m/>
    <n v="1983333"/>
    <n v="1983333"/>
    <m/>
    <n v="3500000"/>
    <n v="3500000"/>
    <m/>
    <n v="3500000"/>
    <n v="3500000"/>
    <m/>
    <m/>
    <m/>
    <m/>
    <m/>
    <m/>
    <m/>
    <m/>
    <m/>
    <m/>
    <m/>
    <m/>
    <m/>
    <m/>
    <m/>
    <m/>
    <m/>
    <m/>
    <m/>
    <m/>
    <m/>
    <m/>
    <m/>
    <m/>
    <n v="35000000"/>
    <n v="8983333"/>
    <n v="8983333"/>
    <n v="26016667"/>
    <n v="0"/>
  </r>
  <r>
    <x v="0"/>
    <x v="6"/>
    <s v="Fortalecimiento de la planeación para reducir las limitaciones en la prestación del servicio de energía eléctrica y la atención plena de la demanda nacional."/>
    <s v="Energía"/>
    <s v="Sí"/>
    <s v="Sí"/>
    <s v="Radicado 20261500021643"/>
    <s v="150-18"/>
    <s v="Aumentar señales de expansión y cobertura del servicio de energía eléctrica."/>
    <s v="Documentos de Planeación"/>
    <s v="Documento de planeación validado."/>
    <n v="80111620"/>
    <s v="C-2102-1900-6-40301C-2102009-02"/>
    <x v="0"/>
    <s v="150-18 Asesorar jurídicamente a la Subdirección de Energía Eléctrica en el proceso, verificación y cumplimiento de requisitos legales de las solicitudes de asignación de capacidad de transporte, respuestas asociadas y atención de acciones de carácter jurí"/>
    <s v="Enero "/>
    <s v="Enero "/>
    <s v="Enero "/>
    <n v="12"/>
    <s v="Meses"/>
    <s v="Contratación directa - Prestación de servicios profesionales "/>
    <s v="Propios - 20 - Ingresos corrientes"/>
    <n v="116134200"/>
    <n v="116134200"/>
    <s v="Si"/>
    <s v="Solicitadas"/>
    <s v="Guillermo Holguin Garcia"/>
    <s v="Subdirector de Energía Eléctrica"/>
    <n v="6012220601"/>
    <s v="guillermo.holguin@upme.gov.co"/>
    <n v="67744950"/>
    <n v="0"/>
    <n v="0"/>
    <n v="9677850"/>
    <n v="0"/>
    <n v="9677850"/>
    <n v="0"/>
    <n v="9677850"/>
    <n v="0"/>
    <n v="9677850"/>
    <n v="0"/>
    <n v="9677850"/>
    <n v="0"/>
    <n v="9677850"/>
    <n v="48389250"/>
    <n v="9677850"/>
    <n v="0"/>
    <n v="9677850"/>
    <n v="0"/>
    <n v="9677850"/>
    <n v="0"/>
    <n v="9677850"/>
    <n v="0"/>
    <n v="19355700"/>
    <n v="116134200"/>
    <n v="116134200"/>
    <n v="0"/>
    <n v="0"/>
    <s v="Asesorar jurídicamente a la Subdirección de Energía Eléctrica en el proceso, verificación y cumplimiento de requisitos legales de las solicitudes de asignación de capacidad de transporte, respuestas asociadas y atención de acciones de carácter jurídico, e"/>
    <n v="67744950"/>
    <m/>
    <m/>
    <n v="9677850"/>
    <m/>
    <n v="9677850"/>
    <m/>
    <n v="9677850"/>
    <m/>
    <n v="9677850"/>
    <m/>
    <n v="9677850"/>
    <m/>
    <n v="9677850"/>
    <n v="48389250"/>
    <n v="9677850"/>
    <m/>
    <n v="9677850"/>
    <m/>
    <n v="9677850"/>
    <m/>
    <n v="9677850"/>
    <m/>
    <n v="19355700"/>
    <m/>
    <m/>
    <n v="116134200"/>
    <n v="116134200"/>
    <n v="0"/>
    <n v="0"/>
    <n v="24226"/>
    <d v="2026-01-13T00:00:00"/>
    <n v="67744950"/>
    <n v="48389250"/>
    <n v="7326"/>
    <d v="2026-01-13T00:00:00"/>
    <n v="67744950"/>
    <n v="48389250"/>
    <n v="0"/>
    <s v="GUEVARA GONZALEZ JORGE MARIO"/>
    <s v="CO1.PCCNTR.7238976"/>
    <n v="67744950"/>
    <m/>
    <m/>
    <m/>
    <m/>
    <m/>
    <m/>
    <n v="19355700"/>
    <n v="19355700"/>
    <m/>
    <m/>
    <m/>
    <m/>
    <m/>
    <m/>
    <m/>
    <m/>
    <m/>
    <m/>
    <m/>
    <m/>
    <m/>
    <m/>
    <m/>
    <m/>
    <m/>
    <m/>
    <m/>
    <m/>
    <m/>
    <m/>
    <m/>
    <m/>
    <m/>
    <m/>
    <m/>
    <n v="67744950"/>
    <n v="19355700"/>
    <n v="19355700"/>
    <n v="48389250"/>
    <n v="0"/>
  </r>
  <r>
    <x v="0"/>
    <x v="6"/>
    <s v="Fortalecimiento de la planeación para reducir las limitaciones en la prestación del servicio de energía eléctrica y la atención plena de la demanda nacional."/>
    <s v="Energía"/>
    <s v="Sí"/>
    <s v="Sí"/>
    <n v="68"/>
    <s v="150-19"/>
    <s v="Aumentar señales de expansión y cobertura del servicio de energía eléctrica."/>
    <s v="Documentos de Planeación"/>
    <s v="Documento de planeación validado."/>
    <n v="80111620"/>
    <s v="C-2102-1900-6-40301C-2102009-02"/>
    <x v="0"/>
    <s v="150-19 Brindar asesoría jurídica a la Subdirección de Energía Eléctrica en el proceso de verificación y cumplimiento de los requisitos legales relacionados con la subdirección, así como en la elaboración de respuestas y la atención de actuaciones de carác"/>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Brindar asesoría jurídica a la Subdirección de Energía Eléctrica en el proceso de verificación y cumplimiento de los requisitos legales relacionados con la subdirección, así como en la elaboración de respuestas y la atención de actuaciones de carácter jur"/>
    <n v="87000000"/>
    <m/>
    <m/>
    <m/>
    <m/>
    <n v="8700000"/>
    <m/>
    <n v="8700000"/>
    <m/>
    <n v="8700000"/>
    <m/>
    <n v="8700000"/>
    <m/>
    <n v="8700000"/>
    <m/>
    <n v="8700000"/>
    <m/>
    <n v="8700000"/>
    <m/>
    <n v="8700000"/>
    <m/>
    <n v="8700000"/>
    <m/>
    <n v="8700000"/>
    <m/>
    <m/>
    <n v="87000000"/>
    <n v="87000000"/>
    <n v="0"/>
    <n v="0"/>
    <n v="31026"/>
    <d v="2026-01-14T00:00:00"/>
    <n v="87000000"/>
    <n v="0"/>
    <n v="25426"/>
    <d v="2026-01-28T00:00:00"/>
    <n v="87000000"/>
    <n v="0"/>
    <n v="0"/>
    <s v="FRANCO LLANOS ELIANA ALEJANDRA"/>
    <s v="CO1.PCCNTR.9110370"/>
    <n v="87000000"/>
    <m/>
    <m/>
    <m/>
    <m/>
    <m/>
    <m/>
    <n v="9280000"/>
    <n v="9280000"/>
    <m/>
    <n v="8700000"/>
    <n v="8700000"/>
    <m/>
    <m/>
    <m/>
    <m/>
    <m/>
    <m/>
    <m/>
    <m/>
    <m/>
    <m/>
    <m/>
    <m/>
    <m/>
    <m/>
    <m/>
    <m/>
    <m/>
    <m/>
    <m/>
    <m/>
    <m/>
    <m/>
    <m/>
    <m/>
    <n v="87000000"/>
    <n v="17980000"/>
    <n v="17980000"/>
    <n v="69020000"/>
    <n v="0"/>
  </r>
  <r>
    <x v="0"/>
    <x v="6"/>
    <s v="Fortalecimiento de la planeación para reducir las limitaciones en la prestación del servicio de energía eléctrica y la atención plena de la demanda nacional."/>
    <s v="Energía"/>
    <s v="Sí"/>
    <s v="Sí"/>
    <s v="Radicado 20261500021643"/>
    <s v="150-20"/>
    <s v="Aumentar señales de expansión y cobertura del servicio de energía eléctrica."/>
    <s v="Documentos de Planeación"/>
    <s v="Documento de planeación validado."/>
    <n v="80111620"/>
    <s v="C-2102-1900-6-40301C-2102009-02"/>
    <x v="0"/>
    <s v="150-20 Prestar los servicios profesionales para realizar el seguimiento y control de la planeación estratégica de la Subdirección de Energía Eléctrica, gestión de resultados, procesos contractuales, ejecución presupuestal, sistema de gestión de la calidad"/>
    <s v="Enero "/>
    <s v="Enero "/>
    <s v="Enero "/>
    <n v="12"/>
    <s v="Meses"/>
    <s v="Contratación directa - Prestación de servicios profesionales "/>
    <s v="Propios - 20 - Ingresos corrientes"/>
    <n v="106938000"/>
    <n v="106938000"/>
    <s v="Si"/>
    <s v="Solicitadas"/>
    <s v="Guillermo Holguin Garcia"/>
    <s v="Subdirector de Energía Eléctrica"/>
    <n v="6012220601"/>
    <s v="guillermo.holguin@upme.gov.co"/>
    <n v="62380500"/>
    <n v="0"/>
    <n v="0"/>
    <n v="8911500"/>
    <n v="0"/>
    <n v="8911500"/>
    <n v="0"/>
    <n v="8911500"/>
    <n v="0"/>
    <n v="8911500"/>
    <n v="0"/>
    <n v="8911500"/>
    <n v="0"/>
    <n v="8911500"/>
    <n v="44557500"/>
    <n v="8911500"/>
    <n v="0"/>
    <n v="8911500"/>
    <n v="0"/>
    <n v="8911500"/>
    <n v="0"/>
    <n v="8911500"/>
    <n v="0"/>
    <n v="17823000"/>
    <n v="106938000"/>
    <n v="106938000"/>
    <n v="0"/>
    <n v="0"/>
    <s v="Prestar los servicios profesionales para realizar el seguimiento y control de la planeación estratégica de la Subdirección de Energía Eléctrica, gestión de resultados, procesos contractuales, ejecución presupuestal, sistema de gestión de la calidad y segu"/>
    <n v="62380500"/>
    <m/>
    <m/>
    <n v="8911500"/>
    <m/>
    <n v="8911500"/>
    <m/>
    <n v="8911500"/>
    <m/>
    <n v="8911500"/>
    <m/>
    <n v="8911500"/>
    <m/>
    <n v="8911500"/>
    <n v="44557500"/>
    <n v="8911500"/>
    <m/>
    <n v="8911500"/>
    <m/>
    <n v="8911500"/>
    <m/>
    <n v="8911500"/>
    <m/>
    <n v="17823000"/>
    <m/>
    <m/>
    <n v="106938000"/>
    <n v="106938000"/>
    <n v="0"/>
    <n v="0"/>
    <n v="22326"/>
    <d v="2026-01-12T00:00:00"/>
    <n v="62380500"/>
    <n v="44557500"/>
    <n v="4926"/>
    <d v="2026-01-12T00:00:00"/>
    <n v="62380500"/>
    <n v="44557500"/>
    <n v="0"/>
    <s v="RODRIGUEZ BARRERO KAREN JULIETH"/>
    <s v="CO1.PCCNT.7212661_x000a_"/>
    <n v="62380500"/>
    <m/>
    <m/>
    <m/>
    <n v="8911500"/>
    <n v="8911500"/>
    <m/>
    <n v="8911500"/>
    <n v="8911500"/>
    <m/>
    <n v="8911500"/>
    <n v="8911500"/>
    <m/>
    <m/>
    <m/>
    <m/>
    <m/>
    <m/>
    <m/>
    <m/>
    <m/>
    <m/>
    <m/>
    <m/>
    <m/>
    <m/>
    <m/>
    <m/>
    <m/>
    <m/>
    <m/>
    <m/>
    <m/>
    <m/>
    <m/>
    <m/>
    <n v="62380500"/>
    <n v="26734500"/>
    <n v="26734500"/>
    <n v="35646000"/>
    <n v="0"/>
  </r>
  <r>
    <x v="0"/>
    <x v="6"/>
    <s v="Fortalecimiento de la planeación para reducir las limitaciones en la prestación del servicio de energía eléctrica y la atención plena de la demanda nacional."/>
    <s v="Energía"/>
    <s v="Sí"/>
    <s v="Sí"/>
    <s v="Radicado 20261500021643"/>
    <s v="150-21"/>
    <s v="Aumentar señales de expansión y cobertura del servicio de energía eléctrica."/>
    <s v="Documentos de Planeación"/>
    <s v="Documento de planeación validado."/>
    <n v="80111620"/>
    <s v="C-2102-1900-6-40301C-2102009-02"/>
    <x v="0"/>
    <s v="150-21 Prestar los servicios profesionales para realizar el seguimiento y control de los procesos contractuales, la ejecución presupuestal y demás actividades que se requieran para el cumplimiento de las metas y objetivos de la Subdirección de Energía Elé"/>
    <s v="Enero "/>
    <s v="Enero "/>
    <s v="Enero "/>
    <n v="12"/>
    <s v="Meses"/>
    <s v="Contratación directa - Prestación de servicios profesionales "/>
    <s v="Propios - 20 - Ingresos corrientes"/>
    <n v="106938000"/>
    <n v="106938000"/>
    <s v="Si"/>
    <s v="Solicitadas"/>
    <s v="Guillermo Holguin Garcia"/>
    <s v="Subdirector de Energía Eléctrica"/>
    <n v="6012220601"/>
    <s v="guillermo.holguin@upme.gov.co"/>
    <n v="62380500"/>
    <n v="0"/>
    <n v="0"/>
    <n v="8911500"/>
    <n v="0"/>
    <n v="8911500"/>
    <n v="0"/>
    <n v="8911500"/>
    <n v="0"/>
    <n v="8911500"/>
    <n v="0"/>
    <n v="8911500"/>
    <n v="0"/>
    <n v="8911500"/>
    <n v="44557500"/>
    <n v="8911500"/>
    <n v="0"/>
    <n v="8911500"/>
    <n v="0"/>
    <n v="8911500"/>
    <n v="0"/>
    <n v="8911500"/>
    <n v="0"/>
    <n v="17823000"/>
    <n v="106938000"/>
    <n v="106938000"/>
    <n v="0"/>
    <n v="0"/>
    <s v="Prestar los servicios profesionales para realizar el seguimiento y control de los procesos contractuales, la ejecución presupuestal y demás actividades que se requieran para el cumplimiento de las metas y objetivos de la Subdirección de Energía Eléctrica,"/>
    <n v="62380500"/>
    <m/>
    <m/>
    <n v="8911500"/>
    <m/>
    <n v="8911500"/>
    <m/>
    <n v="8911500"/>
    <m/>
    <n v="8911500"/>
    <m/>
    <n v="8911500"/>
    <m/>
    <n v="8911500"/>
    <n v="44557500"/>
    <n v="8911500"/>
    <m/>
    <n v="8911500"/>
    <m/>
    <n v="8911500"/>
    <m/>
    <n v="8911500"/>
    <m/>
    <n v="17823000"/>
    <m/>
    <m/>
    <n v="106938000"/>
    <n v="106938000"/>
    <n v="0"/>
    <n v="0"/>
    <n v="21926"/>
    <d v="2026-01-12T00:00:00"/>
    <n v="62380500"/>
    <n v="44557500"/>
    <n v="4526"/>
    <d v="2026-01-12T00:00:00"/>
    <n v="62380500"/>
    <n v="44557500"/>
    <n v="0"/>
    <s v="PARAMO MONTOYA DIANA MARCELA "/>
    <s v="CO1.PCCNTR.7212893"/>
    <n v="62380500"/>
    <m/>
    <m/>
    <m/>
    <n v="8911500"/>
    <n v="8911500"/>
    <m/>
    <n v="8911500"/>
    <n v="8911500"/>
    <m/>
    <n v="8911500"/>
    <n v="8911500"/>
    <m/>
    <m/>
    <m/>
    <m/>
    <m/>
    <m/>
    <m/>
    <m/>
    <m/>
    <m/>
    <m/>
    <m/>
    <m/>
    <m/>
    <m/>
    <m/>
    <m/>
    <m/>
    <m/>
    <m/>
    <m/>
    <m/>
    <m/>
    <m/>
    <n v="62380500"/>
    <n v="26734500"/>
    <n v="26734500"/>
    <n v="35646000"/>
    <n v="0"/>
  </r>
  <r>
    <x v="0"/>
    <x v="6"/>
    <s v="Fortalecimiento de la planeación para reducir las limitaciones en la prestación del servicio de energía eléctrica y la atención plena de la demanda nacional."/>
    <s v="Energía"/>
    <s v="Sí"/>
    <s v="Sí"/>
    <n v="68"/>
    <s v="150-22"/>
    <s v="Aumentar señales de expansión y cobertura del servicio de energía eléctrica."/>
    <s v="Documentos de Planeación"/>
    <s v="Documento de planeación validado."/>
    <n v="80111620"/>
    <s v="C-2102-1900-6-40301C-2102009-02"/>
    <x v="0"/>
    <s v="150-22 Prestación de servicios de apoyo a la mesa de ayuda de los procesos que se llevan a cabo en la plataforma Bizagi, así como el procesamiento y resolución de peticiones, quejas y reclamos que se alleguen en el marco de las actividades desarrolladas p"/>
    <s v="Enero "/>
    <s v="Enero "/>
    <s v="Enero "/>
    <n v="12"/>
    <s v="Meses"/>
    <s v="Contratación directa - Prestación de servicios profesionales "/>
    <s v="Propios - 20 - Ingresos corrientes"/>
    <n v="44778700"/>
    <n v="44778700"/>
    <s v="No"/>
    <s v="N/A"/>
    <s v="Guillermo Holguin Garcia"/>
    <s v="Subdirector de Energía Eléctrica"/>
    <n v="6012220601"/>
    <s v="guillermo.holguin@upme.gov.co"/>
    <n v="44778700"/>
    <n v="0"/>
    <n v="0"/>
    <n v="1946900"/>
    <n v="0"/>
    <n v="3893800"/>
    <n v="0"/>
    <n v="3893800"/>
    <n v="0"/>
    <n v="3893800"/>
    <n v="0"/>
    <n v="3893800"/>
    <n v="0"/>
    <n v="3893800"/>
    <n v="0"/>
    <n v="3893800"/>
    <n v="0"/>
    <n v="3893800"/>
    <n v="0"/>
    <n v="3893800"/>
    <n v="0"/>
    <n v="3893800"/>
    <n v="0"/>
    <n v="7787600"/>
    <n v="44778700"/>
    <n v="44778700"/>
    <n v="0"/>
    <n v="0"/>
    <s v="Prestación de servicios de apoyo a la mesa de ayuda de los procesos que se llevan a cabo en la plataforma Bizagi, así como el procesamiento y resolución de peticiones, quejas y reclamos que se alleguen en el marco de las actividades desarrolladas por la S"/>
    <n v="44778700"/>
    <m/>
    <m/>
    <n v="1946900"/>
    <m/>
    <n v="3893800"/>
    <m/>
    <n v="3893800"/>
    <m/>
    <n v="3893800"/>
    <m/>
    <n v="3893800"/>
    <m/>
    <n v="3893800"/>
    <m/>
    <n v="3893800"/>
    <m/>
    <n v="3893800"/>
    <m/>
    <n v="3893800"/>
    <m/>
    <n v="3893800"/>
    <m/>
    <n v="7787600"/>
    <m/>
    <m/>
    <n v="44778700"/>
    <n v="44778700"/>
    <n v="0"/>
    <n v="0"/>
    <n v="27726"/>
    <d v="2026-01-14T00:00:00"/>
    <n v="43350973"/>
    <n v="1427727"/>
    <n v="19826"/>
    <d v="2026-01-26T00:00:00"/>
    <n v="43350973"/>
    <n v="1427727"/>
    <n v="0"/>
    <s v="SANCHEZ ALVAREZ GERSSON IVAN"/>
    <s v="CO1.PCCNTR.9036037"/>
    <n v="44778700"/>
    <m/>
    <m/>
    <n v="-1427727"/>
    <n v="519173"/>
    <n v="519173"/>
    <m/>
    <n v="3893800"/>
    <n v="3893800"/>
    <m/>
    <n v="3893800"/>
    <n v="3893800"/>
    <m/>
    <m/>
    <m/>
    <m/>
    <m/>
    <m/>
    <m/>
    <m/>
    <m/>
    <m/>
    <m/>
    <m/>
    <m/>
    <m/>
    <m/>
    <m/>
    <m/>
    <m/>
    <m/>
    <m/>
    <m/>
    <m/>
    <m/>
    <m/>
    <n v="43350973"/>
    <n v="8306773"/>
    <n v="8306773"/>
    <n v="35044200"/>
    <n v="0"/>
  </r>
  <r>
    <x v="0"/>
    <x v="6"/>
    <s v="Fortalecimiento de la planeación para reducir las limitaciones en la prestación del servicio de energía eléctrica y la atención plena de la demanda nacional."/>
    <s v="Energía"/>
    <s v="Sí"/>
    <s v="Sí"/>
    <n v="68"/>
    <s v="150-23"/>
    <s v="Aumentar señales de expansión y cobertura del servicio de energía eléctrica."/>
    <s v="Documentos de Planeación"/>
    <s v="Documento de planeación validado."/>
    <n v="80111620"/>
    <s v="C-2102-1900-6-40301C-2102009-02"/>
    <x v="0"/>
    <s v="150-23 Prestación de servicios profesionales en la atención de requerimientos externos e internos asociados a la gestión de información sobre la ejecución de los procesos de expansión del Sistema Interconectado Nacional, la aprobación de conexión de proye"/>
    <s v="Enero "/>
    <s v="Enero "/>
    <s v="Enero "/>
    <n v="12"/>
    <s v="Meses"/>
    <s v="Contratación directa - Prestación de servicios profesionales "/>
    <s v="Propios - 20 - Ingresos corrientes"/>
    <n v="37782675"/>
    <n v="37782675"/>
    <s v="No"/>
    <s v="N/A"/>
    <s v="Guillermo Holguin Garcia"/>
    <s v="Subdirector de Energía Eléctrica"/>
    <n v="6012220601"/>
    <s v="guillermo.holguin@upme.gov.co"/>
    <n v="37782675"/>
    <n v="0"/>
    <n v="0"/>
    <n v="1642725"/>
    <n v="0"/>
    <n v="3285450"/>
    <n v="0"/>
    <n v="3285450"/>
    <n v="0"/>
    <n v="3285450"/>
    <n v="0"/>
    <n v="3285450"/>
    <n v="0"/>
    <n v="3285450"/>
    <n v="0"/>
    <n v="3285450"/>
    <n v="0"/>
    <n v="3285450"/>
    <n v="0"/>
    <n v="3285450"/>
    <n v="0"/>
    <n v="3285450"/>
    <n v="0"/>
    <n v="6570900"/>
    <n v="37782675"/>
    <n v="37782675"/>
    <n v="0"/>
    <n v="0"/>
    <s v="Prestación de servicios profesionales en la atención de requerimientos externos e internos asociados a la gestión de información sobre la ejecución de los procesos de expansión del Sistema Interconectado Nacional, la aprobación de conexión de proyectos en"/>
    <n v="37782675"/>
    <m/>
    <m/>
    <n v="1642725"/>
    <m/>
    <n v="3285450"/>
    <m/>
    <n v="3285450"/>
    <m/>
    <n v="3285450"/>
    <m/>
    <n v="3285450"/>
    <m/>
    <n v="3285450"/>
    <m/>
    <n v="3285450"/>
    <m/>
    <n v="3285450"/>
    <m/>
    <n v="3285450"/>
    <m/>
    <n v="3285450"/>
    <m/>
    <n v="6570900"/>
    <m/>
    <m/>
    <n v="37782675"/>
    <n v="37782675"/>
    <n v="0"/>
    <n v="0"/>
    <n v="30926"/>
    <d v="2026-01-14T00:00:00"/>
    <n v="37125585"/>
    <n v="657090"/>
    <n v="15326"/>
    <d v="2026-01-21T00:00:00"/>
    <n v="37125585"/>
    <n v="657090"/>
    <n v="0"/>
    <s v="GUTIERREZ HUERTAS ADRIAN"/>
    <s v="CO1.PCCNTR.8957431"/>
    <n v="37782675"/>
    <m/>
    <m/>
    <m/>
    <n v="985635"/>
    <n v="985635"/>
    <n v="-657090"/>
    <n v="3285450"/>
    <n v="3285450"/>
    <m/>
    <n v="3285450"/>
    <n v="3285450"/>
    <m/>
    <m/>
    <m/>
    <m/>
    <m/>
    <m/>
    <m/>
    <m/>
    <m/>
    <m/>
    <m/>
    <m/>
    <m/>
    <m/>
    <m/>
    <m/>
    <m/>
    <m/>
    <m/>
    <m/>
    <m/>
    <m/>
    <m/>
    <m/>
    <n v="37125585"/>
    <n v="7556535"/>
    <n v="7556535"/>
    <n v="29569050"/>
    <n v="0"/>
  </r>
  <r>
    <x v="0"/>
    <x v="6"/>
    <s v="Fortalecimiento de la planeación para reducir las limitaciones en la prestación del servicio de energía eléctrica y la atención plena de la demanda nacional."/>
    <s v="Energía"/>
    <s v="Sí"/>
    <s v="Sí"/>
    <n v="68"/>
    <s v="150-24"/>
    <s v="Aumentar señales de expansión y cobertura del servicio de energía eléctrica."/>
    <s v="Documentos de Planeación"/>
    <s v="Documento de planeación validado."/>
    <n v="80111620"/>
    <s v="C-2102-1900-6-40301C-2102009-02"/>
    <x v="0"/>
    <s v="150-24 Brindar asesoría jurídica a la Subdirección de Energía Eléctrica en el proceso de verificación y cumplimiento de los requisitos legales relacionados con las solicitudes de generación, cobertura, convocatorias y transmisión, así como en la elaboraci"/>
    <s v="Enero "/>
    <s v="Enero "/>
    <s v="Enero "/>
    <n v="10"/>
    <s v="Meses"/>
    <s v="Contratación directa - Prestación de servicios profesionales "/>
    <s v="Propios - 20 - Ingresos corrientes"/>
    <n v="42000000"/>
    <n v="42000000"/>
    <s v="No"/>
    <s v="N/A"/>
    <s v="Guillermo Holguin Garcia"/>
    <s v="Subdirector de Energía Eléctrica"/>
    <n v="6012220601"/>
    <s v="guillermo.holguin@upme.gov.co"/>
    <n v="42000000"/>
    <n v="0"/>
    <n v="0"/>
    <n v="0"/>
    <n v="0"/>
    <n v="7000000"/>
    <n v="0"/>
    <n v="7000000"/>
    <n v="0"/>
    <n v="7000000"/>
    <n v="0"/>
    <n v="7000000"/>
    <n v="0"/>
    <n v="7000000"/>
    <n v="0"/>
    <n v="7000000"/>
    <n v="0"/>
    <n v="0"/>
    <n v="0"/>
    <n v="0"/>
    <n v="0"/>
    <n v="0"/>
    <n v="0"/>
    <n v="0"/>
    <n v="42000000"/>
    <n v="42000000"/>
    <n v="0"/>
    <n v="0"/>
    <s v="Brindar asesoría jurídica a la Subdirección de Energía Eléctrica en el proceso de verificación y cumplimiento de los requisitos legales relacionados con las solicitudes de generación, cobertura, convocatorias y transmisión, así como en la elaboración de r"/>
    <n v="42000000"/>
    <m/>
    <m/>
    <m/>
    <m/>
    <n v="7000000"/>
    <m/>
    <n v="7000000"/>
    <m/>
    <n v="7000000"/>
    <m/>
    <n v="7000000"/>
    <m/>
    <n v="7000000"/>
    <m/>
    <n v="7000000"/>
    <m/>
    <m/>
    <m/>
    <m/>
    <m/>
    <m/>
    <m/>
    <m/>
    <m/>
    <m/>
    <n v="42000000"/>
    <n v="42000000"/>
    <n v="0"/>
    <n v="0"/>
    <n v="48926"/>
    <d v="2026-01-19T00:00:00"/>
    <n v="42000000"/>
    <n v="0"/>
    <n v="19926"/>
    <d v="2026-01-26T00:00:00"/>
    <n v="42000000"/>
    <n v="0"/>
    <n v="0"/>
    <s v="SANABRIA CHARRY JOVITA IDALBA"/>
    <s v="CO1.PCCNTR.9032745"/>
    <n v="42000000"/>
    <m/>
    <m/>
    <m/>
    <n v="933333"/>
    <n v="933333"/>
    <m/>
    <n v="7000000"/>
    <n v="7000000"/>
    <m/>
    <n v="7000000"/>
    <n v="7000000"/>
    <m/>
    <m/>
    <m/>
    <m/>
    <m/>
    <m/>
    <m/>
    <m/>
    <m/>
    <m/>
    <m/>
    <m/>
    <m/>
    <m/>
    <m/>
    <m/>
    <m/>
    <m/>
    <m/>
    <m/>
    <m/>
    <m/>
    <m/>
    <m/>
    <n v="42000000"/>
    <n v="14933333"/>
    <n v="14933333"/>
    <n v="27066667"/>
    <n v="0"/>
  </r>
  <r>
    <x v="0"/>
    <x v="6"/>
    <s v="Fortalecimiento de la planeación para reducir las limitaciones en la prestación del servicio de energía eléctrica y la atención plena de la demanda nacional."/>
    <s v="Energía"/>
    <s v="Sí"/>
    <s v="Sí"/>
    <s v="Radicado 20261500021643"/>
    <s v="150-25"/>
    <s v="Aumentar señales de expansión y cobertura del servicio de energía eléctrica."/>
    <s v="Documentos de Planeación"/>
    <s v="Documento de planeación validado."/>
    <n v="80111620"/>
    <s v="C-2102-1900-6-40301C-2102009-02"/>
    <x v="0"/>
    <s v="150-25 Prestar servicios profesionales para realizar soporte y adecuación del BIZZAGI, apoyando los procesos de transmisión en la mesa de ayuda."/>
    <s v="Enero "/>
    <s v="Enero "/>
    <s v="Enero "/>
    <n v="12"/>
    <s v="Meses"/>
    <s v="Contratación directa - Prestación de servicios profesionales "/>
    <s v="Propios - 20 - Ingresos corrientes"/>
    <n v="87559200"/>
    <n v="87559200"/>
    <s v="Si"/>
    <s v="Solicitadas"/>
    <s v="Guillermo Holguin Garcia"/>
    <s v="Subdirector de Energía Eléctrica"/>
    <n v="6012220601"/>
    <s v="guillermo.holguin@upme.gov.co"/>
    <n v="51076200"/>
    <n v="0"/>
    <n v="0"/>
    <n v="7296600"/>
    <n v="0"/>
    <n v="7296600"/>
    <n v="0"/>
    <n v="7296600"/>
    <n v="0"/>
    <n v="7296600"/>
    <n v="0"/>
    <n v="7296600"/>
    <n v="0"/>
    <n v="7296600"/>
    <n v="36483000"/>
    <n v="7296600"/>
    <n v="0"/>
    <n v="7296600"/>
    <n v="0"/>
    <n v="7296600"/>
    <n v="0"/>
    <n v="7296600"/>
    <n v="0"/>
    <n v="14593200"/>
    <n v="87559200"/>
    <n v="87559200"/>
    <n v="0"/>
    <n v="0"/>
    <s v="Prestar servicios profesionales para realizar soporte y adecuación del BIZZAGI, apoyando los procesos de transmisión en la mesa de ayuda."/>
    <n v="51076200"/>
    <m/>
    <m/>
    <n v="7296600"/>
    <m/>
    <n v="7296600"/>
    <m/>
    <n v="7296600"/>
    <m/>
    <n v="7296600"/>
    <m/>
    <n v="7296600"/>
    <m/>
    <n v="7296600"/>
    <n v="36483000"/>
    <n v="7296600"/>
    <m/>
    <n v="7296600"/>
    <m/>
    <n v="7296600"/>
    <m/>
    <n v="7296600"/>
    <m/>
    <n v="14593200"/>
    <m/>
    <m/>
    <n v="87559200"/>
    <n v="87559200"/>
    <n v="0"/>
    <n v="0"/>
    <n v="24026"/>
    <d v="2026-01-13T00:00:00"/>
    <n v="51076200"/>
    <n v="36483000"/>
    <n v="7126"/>
    <d v="2026-01-13T00:00:00"/>
    <n v="51076200"/>
    <n v="36483000"/>
    <n v="0"/>
    <s v="GUZMAN ESTUPIÑAN WILMER"/>
    <s v="CO1.PCCNTR.7411636"/>
    <n v="51076200"/>
    <m/>
    <m/>
    <m/>
    <n v="7296600"/>
    <n v="7296600"/>
    <m/>
    <n v="7296600"/>
    <n v="7296600"/>
    <m/>
    <n v="7296600"/>
    <n v="7296600"/>
    <m/>
    <m/>
    <m/>
    <m/>
    <m/>
    <m/>
    <m/>
    <m/>
    <m/>
    <m/>
    <m/>
    <m/>
    <m/>
    <m/>
    <m/>
    <m/>
    <m/>
    <m/>
    <m/>
    <m/>
    <m/>
    <m/>
    <m/>
    <m/>
    <n v="51076200"/>
    <n v="21889800"/>
    <n v="21889800"/>
    <n v="29186400"/>
    <n v="0"/>
  </r>
  <r>
    <x v="0"/>
    <x v="6"/>
    <s v="Fortalecimiento de la planeación para reducir las limitaciones en la prestación del servicio de energía eléctrica y la atención plena de la demanda nacional."/>
    <s v="Energía"/>
    <s v="Sí"/>
    <s v="Sí"/>
    <s v="Radicado 20261500021643"/>
    <s v="150-26"/>
    <s v="Aumentar señales de expansión y cobertura del servicio de energía eléctrica."/>
    <s v="Documentos de Planeación"/>
    <s v="Documento de planeación validado."/>
    <n v="80111620"/>
    <s v="C-2102-1900-6-40301C-2102009-02"/>
    <x v="0"/>
    <s v="150-26 Realizar el soporte, adecuación, mantenimiento y desarrollo de las automatizaciones de procesos en BIZAGI y de los sistemas que soportan la operación de la Subdirección de Energía Eléctrica."/>
    <s v="Enero "/>
    <s v="Enero "/>
    <s v="Enero "/>
    <n v="12"/>
    <s v="Meses"/>
    <s v="Contratación directa - Prestación de servicios profesionales "/>
    <s v="Propios - 20 - Ingresos corrientes"/>
    <n v="54561600"/>
    <n v="54561600"/>
    <s v="Si"/>
    <s v="Solicitadas"/>
    <s v="Guillermo Holguin Garcia"/>
    <s v="Subdirector de Energía Eléctrica"/>
    <n v="6012220601"/>
    <s v="guillermo.holguin@upme.gov.co"/>
    <n v="31827600"/>
    <n v="0"/>
    <n v="0"/>
    <n v="4546800"/>
    <n v="0"/>
    <n v="4546800"/>
    <n v="0"/>
    <n v="4546800"/>
    <n v="0"/>
    <n v="4546800"/>
    <n v="0"/>
    <n v="4546800"/>
    <n v="0"/>
    <n v="4546800"/>
    <n v="22734000"/>
    <n v="4546800"/>
    <n v="0"/>
    <n v="4546800"/>
    <n v="0"/>
    <n v="4546800"/>
    <n v="0"/>
    <n v="4546800"/>
    <n v="0"/>
    <n v="9093600"/>
    <n v="54561600"/>
    <n v="54561600"/>
    <n v="0"/>
    <n v="0"/>
    <s v="Realizar el soporte, adecuación, mantenimiento y desarrollo de las automatizaciones de procesos en BIZAGI y de los sistemas que soportan la operación de la Subdirección de Energía Eléctrica."/>
    <n v="31827600"/>
    <m/>
    <m/>
    <n v="4546800"/>
    <m/>
    <n v="4546800"/>
    <m/>
    <n v="4546800"/>
    <m/>
    <n v="4546800"/>
    <m/>
    <n v="4546800"/>
    <m/>
    <n v="4546800"/>
    <n v="22734000"/>
    <n v="4546800"/>
    <m/>
    <n v="4546800"/>
    <m/>
    <n v="4546800"/>
    <m/>
    <n v="4546800"/>
    <m/>
    <n v="9093600"/>
    <m/>
    <m/>
    <n v="54561600"/>
    <n v="54561600"/>
    <n v="0"/>
    <n v="0"/>
    <n v="23926"/>
    <d v="2026-01-13T00:00:00"/>
    <n v="31827600"/>
    <n v="22734000"/>
    <n v="7026"/>
    <d v="2026-01-13T00:00:00"/>
    <n v="31827600"/>
    <n v="22734000"/>
    <n v="0"/>
    <s v="CASTAÑEDA SANCHEZ ANGIE TATIANA"/>
    <s v="CO1.PCCNTR.7412208"/>
    <n v="31827600"/>
    <m/>
    <m/>
    <m/>
    <n v="4546800"/>
    <n v="4546800"/>
    <m/>
    <n v="4546800"/>
    <n v="4546800"/>
    <m/>
    <n v="4546800"/>
    <n v="4546800"/>
    <m/>
    <m/>
    <m/>
    <m/>
    <m/>
    <m/>
    <m/>
    <m/>
    <m/>
    <m/>
    <m/>
    <m/>
    <m/>
    <m/>
    <m/>
    <m/>
    <m/>
    <m/>
    <m/>
    <m/>
    <m/>
    <m/>
    <m/>
    <m/>
    <n v="31827600"/>
    <n v="13640400"/>
    <n v="13640400"/>
    <n v="18187200"/>
    <n v="0"/>
  </r>
  <r>
    <x v="0"/>
    <x v="6"/>
    <s v="Fortalecimiento de la planeación para reducir las limitaciones en la prestación del servicio de energía eléctrica y la atención plena de la demanda nacional."/>
    <s v="Energía"/>
    <s v="Sí"/>
    <s v="Sí"/>
    <s v="Radicado 20261500021643"/>
    <s v="150-27"/>
    <s v="Aumentar señales de expansión y cobertura del servicio de energía eléctrica."/>
    <s v="Documentos de Planeación"/>
    <s v="Documento de planeación validado."/>
    <n v="80111620"/>
    <s v="C-2102-1900-6-40301C-2102009-02"/>
    <x v="0"/>
    <s v="150-27 Prestar servicios profesionales para la realización de acopio, organización y análisis de la información presentada a la Unidad por las distintas entidades y agentes para la obtención de estadísticas e indicadores que contribuyan a la universalizac"/>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la realización de acopio, organización y análisis de la información presentada a la Unidad por las distintas entidades y agentes para la obtención de estadísticas e indicadores que contribuyan a la universalización del"/>
    <n v="55276200"/>
    <m/>
    <m/>
    <n v="7896600"/>
    <m/>
    <n v="7896600"/>
    <m/>
    <n v="7896600"/>
    <m/>
    <n v="7896600"/>
    <m/>
    <n v="7896600"/>
    <m/>
    <n v="7896600"/>
    <n v="39483000"/>
    <n v="7896600"/>
    <m/>
    <n v="7896600"/>
    <m/>
    <n v="7896600"/>
    <m/>
    <n v="7896600"/>
    <m/>
    <n v="15793200"/>
    <m/>
    <m/>
    <n v="94759200"/>
    <n v="94759200"/>
    <n v="0"/>
    <n v="0"/>
    <n v="22026"/>
    <d v="2026-01-12T00:00:00"/>
    <n v="55276200"/>
    <n v="39483000"/>
    <n v="4626"/>
    <d v="2026-01-12T00:00:00"/>
    <n v="55276200"/>
    <n v="39483000"/>
    <n v="0"/>
    <s v="CASTRO GUALDRON JORGE ESTEBAN"/>
    <s v="CO1.PCCNTR.7351217"/>
    <n v="55276200"/>
    <m/>
    <m/>
    <m/>
    <n v="7896600"/>
    <n v="7896600"/>
    <m/>
    <n v="7896600"/>
    <n v="7896600"/>
    <m/>
    <n v="7896600"/>
    <n v="7896600"/>
    <m/>
    <m/>
    <m/>
    <m/>
    <m/>
    <m/>
    <m/>
    <m/>
    <m/>
    <m/>
    <m/>
    <m/>
    <m/>
    <m/>
    <m/>
    <m/>
    <m/>
    <m/>
    <m/>
    <m/>
    <m/>
    <m/>
    <m/>
    <m/>
    <n v="55276200"/>
    <n v="23689800"/>
    <n v="23689800"/>
    <n v="31586400"/>
    <n v="0"/>
  </r>
  <r>
    <x v="0"/>
    <x v="6"/>
    <s v="Fortalecimiento de la planeación para reducir las limitaciones en la prestación del servicio de energía eléctrica y la atención plena de la demanda nacional."/>
    <s v="Energía"/>
    <s v="Sí"/>
    <s v="Sí"/>
    <s v="Radicado 20261500021643"/>
    <s v="150-28"/>
    <s v="Aumentar señales de expansión y cobertura del servicio de energía eléctrica."/>
    <s v="Documentos de Planeación"/>
    <s v="Documento de planeación validado."/>
    <n v="80111620"/>
    <s v="C-2102-1900-6-40301C-2102009-02"/>
    <x v="0"/>
    <s v="150-28 Prestar servicios profesionales para realizar la compilación, verificación, análisis y gestión de la información relacionada con los procesos de cobertura del servicio de energía eléctrica, y apoyar la estimación del índice de cobertura ICEE y los "/>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realizar la compilación, verificación, análisis y gestión de la información relacionada con los procesos de cobertura del servicio de energía eléctrica, y apoyar la estimación del índice de cobertura ICEE y los análisi"/>
    <n v="55276200"/>
    <m/>
    <m/>
    <n v="7896600"/>
    <m/>
    <n v="7896600"/>
    <m/>
    <n v="7896600"/>
    <m/>
    <n v="7896600"/>
    <m/>
    <n v="7896600"/>
    <m/>
    <n v="7896600"/>
    <n v="39483000"/>
    <n v="7896600"/>
    <m/>
    <n v="7896600"/>
    <m/>
    <n v="7896600"/>
    <m/>
    <n v="7896600"/>
    <m/>
    <n v="15793200"/>
    <m/>
    <m/>
    <n v="94759200"/>
    <n v="94759200"/>
    <n v="0"/>
    <n v="0"/>
    <n v="22526"/>
    <d v="2026-01-12T00:00:00"/>
    <n v="55276200"/>
    <n v="39483000"/>
    <n v="5126"/>
    <d v="2026-01-12T00:00:00"/>
    <n v="55276200"/>
    <n v="39483000"/>
    <n v="0"/>
    <s v="Gomez Torres Laura Isabel"/>
    <s v="CO1.PCCNTR.7351711"/>
    <n v="55276200"/>
    <m/>
    <m/>
    <m/>
    <n v="7896600"/>
    <n v="7896600"/>
    <m/>
    <n v="7896600"/>
    <n v="7896600"/>
    <m/>
    <n v="7896600"/>
    <n v="7896600"/>
    <m/>
    <m/>
    <m/>
    <m/>
    <m/>
    <m/>
    <m/>
    <m/>
    <m/>
    <m/>
    <m/>
    <m/>
    <m/>
    <m/>
    <m/>
    <m/>
    <m/>
    <m/>
    <m/>
    <m/>
    <m/>
    <m/>
    <m/>
    <m/>
    <n v="55276200"/>
    <n v="23689800"/>
    <n v="23689800"/>
    <n v="31586400"/>
    <n v="0"/>
  </r>
  <r>
    <x v="0"/>
    <x v="6"/>
    <s v="Fortalecimiento de la planeación para reducir las limitaciones en la prestación del servicio de energía eléctrica y la atención plena de la demanda nacional."/>
    <s v="Energía"/>
    <s v="Sí"/>
    <s v="Sí"/>
    <s v="Radicado 20261500021643"/>
    <s v="150-29"/>
    <s v="Aumentar señales de expansión y cobertura del servicio de energía eléctrica."/>
    <s v="Documentos de Planeación"/>
    <s v="Documento de planeación validado."/>
    <n v="80111620"/>
    <s v="C-2102-1900-6-40301C-2102009-02"/>
    <x v="0"/>
    <s v="150-29 Prestar servicios profesionales para la realización de acopio, organización, validación y análisis de la información geográfica presentada a la Unidad para la elaboración del Plan Indicativo de Expansión de Cobertura de Energía Eléctrica – PIEC y p"/>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la realización de acopio, organización, validación y análisis de la información geográfica presentada a la Unidad para la elaboración del Plan Indicativo de Expansión de Cobertura de Energía Eléctrica – PIEC y para la "/>
    <n v="55276200"/>
    <m/>
    <m/>
    <n v="7896600"/>
    <m/>
    <n v="7896600"/>
    <m/>
    <n v="7896600"/>
    <m/>
    <n v="7896600"/>
    <m/>
    <n v="7896600"/>
    <m/>
    <n v="7896600"/>
    <n v="39483000"/>
    <n v="7896600"/>
    <m/>
    <n v="7896600"/>
    <m/>
    <n v="7896600"/>
    <m/>
    <n v="7896600"/>
    <m/>
    <n v="15793200"/>
    <m/>
    <m/>
    <n v="94759200"/>
    <n v="94759200"/>
    <n v="0"/>
    <n v="0"/>
    <n v="21826"/>
    <d v="2026-01-12T00:00:00"/>
    <n v="55276200"/>
    <n v="39483000"/>
    <n v="4426"/>
    <d v="2026-01-12T00:00:00"/>
    <n v="55276200"/>
    <n v="39483000"/>
    <n v="0"/>
    <s v="MONTOYA GONZALEZ ANGIE ANDREA"/>
    <s v="CO1.PCCNTR.7393821"/>
    <n v="55276200"/>
    <m/>
    <m/>
    <m/>
    <n v="7896600"/>
    <n v="7896600"/>
    <m/>
    <n v="7896600"/>
    <n v="7896600"/>
    <m/>
    <n v="7896600"/>
    <n v="7896600"/>
    <m/>
    <m/>
    <m/>
    <m/>
    <m/>
    <m/>
    <m/>
    <m/>
    <m/>
    <m/>
    <m/>
    <m/>
    <m/>
    <m/>
    <m/>
    <m/>
    <m/>
    <m/>
    <m/>
    <m/>
    <m/>
    <m/>
    <m/>
    <m/>
    <n v="55276200"/>
    <n v="23689800"/>
    <n v="23689800"/>
    <n v="31586400"/>
    <n v="0"/>
  </r>
  <r>
    <x v="0"/>
    <x v="6"/>
    <s v="Fortalecimiento de la planeación para reducir las limitaciones en la prestación del servicio de energía eléctrica y la atención plena de la demanda nacional."/>
    <s v="Energía"/>
    <s v="Sí"/>
    <s v="Sí"/>
    <n v="1"/>
    <s v="150-3"/>
    <s v="Aumentar la oportunidad en la definición de obras y ejecución de los procesos de convocatorias."/>
    <s v="Servicio de Asistencia Técnica"/>
    <s v="Estructurar los documentos técnicos y jurídicos para los procesos de convocatorias y subastas."/>
    <n v="80111620"/>
    <s v="C-2102-1900-6-40301C-2102071-02"/>
    <x v="0"/>
    <s v="150-3 Prestar servicios profesionales de diagramación de documentos, diseño y diagramación de datos, creación de piezas para canales digitales de la UPME y necesidades generales de diseño en el área de comunicaciones."/>
    <s v="Enero "/>
    <s v="Enero "/>
    <s v="Enero "/>
    <n v="10"/>
    <s v="Meses"/>
    <s v="Contratación directa - Prestación de servicios profesionales "/>
    <s v="Propios - 20 - Ingresos corrientes"/>
    <n v="77000000"/>
    <n v="77000000"/>
    <s v="No"/>
    <s v="N/A"/>
    <s v="Guillermo Holguin Garcia"/>
    <s v="Subdirector de Energía Eléctrica"/>
    <n v="6012220601"/>
    <s v="guillermo.holguin@upme.gov.co"/>
    <n v="77000000"/>
    <n v="0"/>
    <n v="0"/>
    <n v="0"/>
    <n v="0"/>
    <n v="7700000"/>
    <n v="0"/>
    <n v="7700000"/>
    <n v="0"/>
    <n v="7700000"/>
    <n v="0"/>
    <n v="7700000"/>
    <n v="0"/>
    <n v="7700000"/>
    <n v="0"/>
    <n v="7700000"/>
    <n v="0"/>
    <n v="7700000"/>
    <n v="0"/>
    <n v="7700000"/>
    <n v="0"/>
    <n v="7700000"/>
    <n v="0"/>
    <n v="7700000"/>
    <n v="77000000"/>
    <n v="77000000"/>
    <n v="0"/>
    <n v="0"/>
    <s v="Prestar servicios profesionales de diagramación de documentos, diseño y diagramación de datos, creación de piezas para canales digitales de la UPME y necesidades generales de diseño en el área de comunicaciones."/>
    <n v="77000000"/>
    <m/>
    <m/>
    <m/>
    <m/>
    <n v="7700000"/>
    <m/>
    <n v="7700000"/>
    <m/>
    <n v="7700000"/>
    <m/>
    <n v="7700000"/>
    <m/>
    <n v="7700000"/>
    <m/>
    <n v="7700000"/>
    <m/>
    <n v="7700000"/>
    <m/>
    <n v="7700000"/>
    <m/>
    <n v="7700000"/>
    <m/>
    <n v="7700000"/>
    <m/>
    <m/>
    <n v="77000000"/>
    <n v="77000000"/>
    <n v="0"/>
    <n v="0"/>
    <n v="15926"/>
    <d v="2026-01-09T00:00:00"/>
    <n v="77000000"/>
    <n v="0"/>
    <n v="18226"/>
    <d v="2026-01-23T00:00:00"/>
    <n v="77000000"/>
    <n v="0"/>
    <n v="0"/>
    <s v="PEÑARANDA JUYO DIEGO JOSE"/>
    <s v="CO1.PCCNTR.8995481"/>
    <n v="77000000"/>
    <m/>
    <m/>
    <m/>
    <m/>
    <m/>
    <m/>
    <n v="8000000"/>
    <n v="8000000"/>
    <m/>
    <n v="8000000"/>
    <n v="8000000"/>
    <m/>
    <m/>
    <m/>
    <m/>
    <m/>
    <m/>
    <m/>
    <m/>
    <m/>
    <m/>
    <m/>
    <m/>
    <m/>
    <m/>
    <m/>
    <m/>
    <m/>
    <m/>
    <m/>
    <m/>
    <m/>
    <m/>
    <m/>
    <m/>
    <n v="77000000"/>
    <n v="16000000"/>
    <n v="16000000"/>
    <n v="61000000"/>
    <n v="0"/>
  </r>
  <r>
    <x v="0"/>
    <x v="6"/>
    <s v="Fortalecimiento de la planeación para reducir las limitaciones en la prestación del servicio de energía eléctrica y la atención plena de la demanda nacional."/>
    <s v="Energía"/>
    <s v="Sí"/>
    <s v="Sí"/>
    <s v="Radicado 20261500021643"/>
    <s v="150-30"/>
    <s v="Aumentar señales de expansión y cobertura del servicio de energía eléctrica."/>
    <s v="Documentos de Planeación"/>
    <s v="Documento de planeación validado."/>
    <n v="80111620"/>
    <s v="C-2102-1900-6-40301C-2102009-02"/>
    <x v="0"/>
    <s v="150-30 Prestar servicios profesionales para apoyar la estructuración de bases de datos de los procesos de cobertura, el control de calidad de la información, los análisis de ampliación de la cobertura, el mejoramiento de los geoprocesos y las solicitudes "/>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apoyar la estructuración de bases de datos de los procesos de cobertura, el control de calidad de la información, los análisis de ampliación de la cobertura, el mejoramiento de los geoprocesos y las solicitudes de los "/>
    <n v="55276200"/>
    <m/>
    <m/>
    <n v="7896600"/>
    <m/>
    <n v="7896600"/>
    <m/>
    <n v="7896600"/>
    <m/>
    <n v="7896600"/>
    <m/>
    <n v="7896600"/>
    <m/>
    <n v="7896600"/>
    <n v="39483000"/>
    <n v="7896600"/>
    <m/>
    <n v="7896600"/>
    <m/>
    <n v="7896600"/>
    <m/>
    <n v="7896600"/>
    <m/>
    <n v="15793200"/>
    <m/>
    <m/>
    <n v="94759200"/>
    <n v="94759200"/>
    <n v="0"/>
    <n v="0"/>
    <n v="22426"/>
    <d v="2026-01-12T00:00:00"/>
    <n v="55276200"/>
    <n v="39483000"/>
    <n v="5026"/>
    <d v="2026-01-12T00:00:00"/>
    <n v="55276200"/>
    <n v="39483000"/>
    <n v="0"/>
    <s v="BARAJAS VILLARREAL JOSE ANTONIO"/>
    <s v="CO1.PCCNTR.7403833"/>
    <n v="55276200"/>
    <m/>
    <m/>
    <m/>
    <n v="7896600"/>
    <n v="7896600"/>
    <m/>
    <n v="7896600"/>
    <n v="7896600"/>
    <m/>
    <n v="7896600"/>
    <n v="7896600"/>
    <m/>
    <m/>
    <m/>
    <m/>
    <m/>
    <m/>
    <m/>
    <m/>
    <m/>
    <m/>
    <m/>
    <m/>
    <m/>
    <m/>
    <m/>
    <m/>
    <m/>
    <m/>
    <m/>
    <m/>
    <m/>
    <m/>
    <m/>
    <m/>
    <n v="55276200"/>
    <n v="23689800"/>
    <n v="23689800"/>
    <n v="31586400"/>
    <n v="0"/>
  </r>
  <r>
    <x v="0"/>
    <x v="6"/>
    <s v="Fortalecimiento de la planeación para reducir las limitaciones en la prestación del servicio de energía eléctrica y la atención plena de la demanda nacional."/>
    <s v="Energía"/>
    <s v="Sí"/>
    <s v="Sí"/>
    <n v="21"/>
    <s v="150-31"/>
    <s v="Aumentar señales de expansión y cobertura del servicio de energía eléctrica."/>
    <s v="Documentos de Planeación"/>
    <s v="Documento de planeación validado."/>
    <n v="80111620"/>
    <s v="C-2102-1900-6-40301C-2102009-02"/>
    <x v="0"/>
    <s v="150-31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7578318"/>
    <n v="7578318"/>
    <s v="No"/>
    <s v="N/A"/>
    <s v="Guillermo Holguin Garcia"/>
    <s v="Subdirector de Energía Eléctrica"/>
    <n v="6012220601"/>
    <s v="guillermo.holguin@upme.gov.co"/>
    <n v="0"/>
    <n v="0"/>
    <n v="11828318"/>
    <n v="0"/>
    <n v="0"/>
    <n v="0"/>
    <n v="0"/>
    <n v="0"/>
    <n v="0"/>
    <n v="0"/>
    <n v="0"/>
    <n v="0"/>
    <n v="0"/>
    <n v="0"/>
    <n v="0"/>
    <n v="8048502"/>
    <n v="0"/>
    <n v="3779816"/>
    <n v="0"/>
    <n v="0"/>
    <n v="0"/>
    <n v="0"/>
    <n v="0"/>
    <n v="0"/>
    <n v="11828318"/>
    <n v="11828318"/>
    <n v="-4250000"/>
    <n v="-4250000"/>
    <s v="Prestar servicios profesionales orientados al fortalecimiento de la Dimensión de Control Interno mediante la ejecución del Plan Anual de Auditorías Internas Independientes, con énfasis en la evaluación de la gestión administrativa de la UPME."/>
    <m/>
    <m/>
    <n v="7578318"/>
    <m/>
    <m/>
    <n v="0"/>
    <m/>
    <n v="0"/>
    <m/>
    <n v="0"/>
    <m/>
    <n v="1082616"/>
    <m/>
    <n v="1082616"/>
    <m/>
    <n v="1082616"/>
    <m/>
    <n v="1082616"/>
    <m/>
    <n v="1082616"/>
    <m/>
    <n v="1082616"/>
    <m/>
    <n v="1082622"/>
    <m/>
    <m/>
    <n v="7578318"/>
    <n v="7578318"/>
    <n v="0"/>
    <n v="0"/>
    <n v="64026"/>
    <d v="2026-01-23T00:00:00"/>
    <n v="7578318"/>
    <n v="0"/>
    <n v="59726"/>
    <d v="2026-02-12T00:00:00"/>
    <n v="7578318"/>
    <n v="0"/>
    <n v="0"/>
    <s v="NUÑEZ GANTIVA NATALIA ELIANA"/>
    <s v="CO1.PCCNTR.9306722"/>
    <m/>
    <m/>
    <m/>
    <n v="7578318"/>
    <m/>
    <m/>
    <m/>
    <m/>
    <m/>
    <m/>
    <m/>
    <m/>
    <m/>
    <m/>
    <m/>
    <m/>
    <m/>
    <m/>
    <m/>
    <m/>
    <m/>
    <m/>
    <m/>
    <m/>
    <m/>
    <m/>
    <m/>
    <m/>
    <m/>
    <m/>
    <m/>
    <m/>
    <m/>
    <m/>
    <m/>
    <m/>
    <n v="7578318"/>
    <n v="0"/>
    <n v="0"/>
    <n v="7578318"/>
    <n v="0"/>
  </r>
  <r>
    <x v="0"/>
    <x v="6"/>
    <s v="Fortalecimiento de la planeación para reducir las limitaciones en la prestación del servicio de energía eléctrica y la atención plena de la demanda nacional."/>
    <s v="Energía"/>
    <s v="Sí"/>
    <s v="Sí"/>
    <n v="68"/>
    <s v="150-32"/>
    <s v="Aumentar señales de expansión y cobertura del servicio de energía eléctrica."/>
    <s v="Documentos de Planeación"/>
    <s v="Documento de planeación validado."/>
    <n v="80111620"/>
    <s v="C-2102-1900-6-40301C-2102009-02"/>
    <x v="0"/>
    <s v="150-32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11828317"/>
    <n v="11828317"/>
    <s v="No"/>
    <s v="N/A"/>
    <s v="Guillermo Holguin Garcia"/>
    <s v="Subdirector de Energía Eléctrica"/>
    <n v="6012220601"/>
    <s v="guillermo.holguin@upme.gov.co"/>
    <n v="0"/>
    <n v="0"/>
    <n v="11828317"/>
    <n v="0"/>
    <n v="0"/>
    <n v="0"/>
    <n v="0"/>
    <n v="0"/>
    <n v="0"/>
    <n v="0"/>
    <n v="0"/>
    <n v="0"/>
    <n v="0"/>
    <n v="0"/>
    <n v="0"/>
    <n v="0"/>
    <n v="0"/>
    <n v="4720184"/>
    <n v="0"/>
    <n v="7108133"/>
    <n v="0"/>
    <n v="0"/>
    <n v="0"/>
    <n v="0"/>
    <n v="11828317"/>
    <n v="11828317"/>
    <n v="0"/>
    <n v="0"/>
    <s v="Prestar servicios profesionales orientados al fortalecimiento de la Dimensión de Control Interno mediante la ejecución del Plan Anual de Auditorías Internas Independientes, con énfasis en la evaluación de la gestión administrativa de la UPME."/>
    <m/>
    <m/>
    <n v="11828317"/>
    <m/>
    <m/>
    <m/>
    <m/>
    <m/>
    <m/>
    <m/>
    <m/>
    <m/>
    <m/>
    <m/>
    <m/>
    <m/>
    <m/>
    <n v="4720184"/>
    <m/>
    <n v="7108133"/>
    <m/>
    <m/>
    <m/>
    <m/>
    <m/>
    <m/>
    <n v="11828317"/>
    <n v="11828317"/>
    <n v="0"/>
    <n v="0"/>
    <n v="64026"/>
    <d v="2026-01-23T00:00:00"/>
    <n v="11828317"/>
    <n v="0"/>
    <n v="59726"/>
    <d v="2026-02-12T00:00:00"/>
    <n v="11828317"/>
    <n v="0"/>
    <n v="0"/>
    <s v="NUÑEZ GANTIVA NATALIA ELIANA"/>
    <s v="CO1.PCCNTR.9306722"/>
    <m/>
    <m/>
    <m/>
    <n v="11828317"/>
    <m/>
    <m/>
    <m/>
    <m/>
    <m/>
    <m/>
    <n v="8500000"/>
    <n v="8500000"/>
    <m/>
    <m/>
    <m/>
    <m/>
    <m/>
    <m/>
    <m/>
    <m/>
    <m/>
    <m/>
    <m/>
    <m/>
    <m/>
    <m/>
    <m/>
    <m/>
    <m/>
    <m/>
    <m/>
    <m/>
    <m/>
    <m/>
    <m/>
    <m/>
    <n v="11828317"/>
    <n v="8500000"/>
    <n v="8500000"/>
    <n v="3328317"/>
    <n v="0"/>
  </r>
  <r>
    <x v="0"/>
    <x v="6"/>
    <s v="Fortalecimiento de la planeación para reducir las limitaciones en la prestación del servicio de energía eléctrica y la atención plena de la demanda nacional."/>
    <s v="Energía"/>
    <s v="Sí"/>
    <s v="Sí"/>
    <n v="68"/>
    <s v="150-33"/>
    <s v="Aumentar señales de expansión y cobertura del servicio de energía eléctrica."/>
    <s v="Documentos de Planeación"/>
    <s v="Documento de planeación validado."/>
    <n v="80111620"/>
    <s v="C-2102-1900-6-40301C-2102009-02"/>
    <x v="0"/>
    <s v="150-33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11828317"/>
    <n v="11828317"/>
    <s v="No"/>
    <s v="N/A"/>
    <s v="Guillermo Holguin Garcia"/>
    <s v="Subdirector de Energía Eléctrica"/>
    <n v="6012220601"/>
    <s v="guillermo.holguin@upme.gov.co"/>
    <n v="0"/>
    <n v="0"/>
    <n v="11828317"/>
    <n v="0"/>
    <n v="0"/>
    <n v="0"/>
    <n v="0"/>
    <n v="0"/>
    <n v="0"/>
    <n v="0"/>
    <n v="0"/>
    <n v="0"/>
    <n v="0"/>
    <n v="0"/>
    <n v="0"/>
    <n v="0"/>
    <n v="0"/>
    <n v="0"/>
    <n v="0"/>
    <n v="1391867"/>
    <n v="0"/>
    <n v="8500000"/>
    <n v="0"/>
    <n v="1936450"/>
    <n v="11828317"/>
    <n v="11828317"/>
    <n v="0"/>
    <n v="0"/>
    <s v="Prestar servicios profesionales orientados al fortalecimiento de la Dimensión de Control Interno mediante la ejecución del Plan Anual de Auditorías Internas Independientes, con énfasis en la evaluación de la gestión administrativa de la UPME."/>
    <m/>
    <m/>
    <n v="11828317"/>
    <m/>
    <m/>
    <m/>
    <m/>
    <m/>
    <m/>
    <m/>
    <m/>
    <m/>
    <m/>
    <m/>
    <m/>
    <m/>
    <m/>
    <m/>
    <m/>
    <n v="1391867"/>
    <m/>
    <n v="8500000"/>
    <m/>
    <n v="1936450"/>
    <m/>
    <m/>
    <n v="11828317"/>
    <n v="11828317"/>
    <n v="0"/>
    <n v="0"/>
    <n v="64026"/>
    <d v="2026-01-23T00:00:00"/>
    <n v="11828317"/>
    <n v="0"/>
    <n v="59726"/>
    <d v="2026-02-12T00:00:00"/>
    <n v="11828317"/>
    <n v="0"/>
    <n v="0"/>
    <s v="NUÑEZ GANTIVA NATALIA ELIANA"/>
    <s v="CO1.PCCNTR.9306722"/>
    <m/>
    <m/>
    <m/>
    <n v="11828317"/>
    <m/>
    <m/>
    <m/>
    <m/>
    <m/>
    <m/>
    <m/>
    <m/>
    <m/>
    <m/>
    <m/>
    <m/>
    <m/>
    <m/>
    <m/>
    <m/>
    <m/>
    <m/>
    <m/>
    <m/>
    <m/>
    <m/>
    <m/>
    <m/>
    <m/>
    <m/>
    <m/>
    <m/>
    <m/>
    <m/>
    <m/>
    <m/>
    <n v="11828317"/>
    <n v="0"/>
    <n v="0"/>
    <n v="11828317"/>
    <n v="0"/>
  </r>
  <r>
    <x v="0"/>
    <x v="6"/>
    <s v="Fortalecimiento de la planeación para reducir las limitaciones en la prestación del servicio de energía eléctrica y la atención plena de la demanda nacional."/>
    <s v="Energía"/>
    <s v="Sí"/>
    <s v="Sí"/>
    <n v="8"/>
    <s v="150-3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4 Prestar los servicios profesionales  para efectuar el seguimiento socioambiental de los proyectos definidos en el plan de expansión que son objeto de convocatoria pública, e identificar problemáticas y opciones de solución que alimenten las etapas "/>
    <s v="Enero "/>
    <s v="Enero "/>
    <s v="Enero "/>
    <n v="12"/>
    <s v="Meses"/>
    <s v="Contratación directa - Prestación de servicios profesionales "/>
    <s v="Propios - 21 - Otros recursos de tesorería"/>
    <n v="79514667"/>
    <n v="79514667"/>
    <s v="No"/>
    <s v="N/A"/>
    <s v="Guillermo Holguin Garcia"/>
    <s v="Subdirector de Energía Eléctrica"/>
    <n v="6012220601"/>
    <s v="guillermo.holguin@upme.gov.co"/>
    <n v="78813067"/>
    <n v="0"/>
    <n v="0"/>
    <n v="2338667"/>
    <n v="0"/>
    <n v="7016000"/>
    <n v="701600"/>
    <n v="7016000"/>
    <n v="0"/>
    <n v="7016000"/>
    <n v="0"/>
    <n v="7016000"/>
    <n v="0"/>
    <n v="7016000"/>
    <n v="0"/>
    <n v="7016000"/>
    <n v="0"/>
    <n v="7016000"/>
    <n v="0"/>
    <n v="7016000"/>
    <n v="0"/>
    <n v="7016000"/>
    <n v="0"/>
    <n v="14032000"/>
    <n v="79514667"/>
    <n v="79514667"/>
    <n v="0"/>
    <n v="0"/>
    <s v="Prestar los servicios profesionales  para efectuar el seguimiento socioambiental de los proyectos definidos en el plan de expansión que son objeto de convocatoria pública, e identificar problemáticas y opciones de solución que alimenten las etapas previas"/>
    <n v="78813067"/>
    <m/>
    <m/>
    <n v="2338667"/>
    <m/>
    <n v="7016000"/>
    <n v="701600"/>
    <n v="7016000"/>
    <m/>
    <n v="7016000"/>
    <m/>
    <n v="7016000"/>
    <m/>
    <n v="7016000"/>
    <m/>
    <n v="7016000"/>
    <m/>
    <n v="7016000"/>
    <m/>
    <n v="7016000"/>
    <m/>
    <n v="7016000"/>
    <m/>
    <n v="14032000"/>
    <m/>
    <m/>
    <n v="79514667"/>
    <n v="79514667"/>
    <n v="0"/>
    <n v="0"/>
    <n v="61826"/>
    <d v="2026-01-23T00:00:00"/>
    <n v="76942133"/>
    <n v="2572534"/>
    <n v="36526"/>
    <d v="2026-01-30T00:00:00"/>
    <n v="76942133"/>
    <n v="2572534"/>
    <n v="0"/>
    <s v="HERNANDEZ QUINCHARA MANUEL ALBERTO"/>
    <s v="CO1.PCCNTR.9143644"/>
    <n v="78813067"/>
    <m/>
    <m/>
    <m/>
    <m/>
    <m/>
    <n v="-1870934"/>
    <n v="6782133"/>
    <n v="6782133"/>
    <m/>
    <n v="7016000"/>
    <n v="7016000"/>
    <m/>
    <m/>
    <m/>
    <m/>
    <m/>
    <m/>
    <m/>
    <m/>
    <m/>
    <m/>
    <m/>
    <m/>
    <m/>
    <m/>
    <m/>
    <m/>
    <m/>
    <m/>
    <m/>
    <m/>
    <m/>
    <m/>
    <m/>
    <m/>
    <n v="76942133"/>
    <n v="13798133"/>
    <n v="13798133"/>
    <n v="63144000"/>
    <n v="0"/>
  </r>
  <r>
    <x v="0"/>
    <x v="6"/>
    <s v="Fortalecimiento de la planeación para reducir las limitaciones en la prestación del servicio de energía eléctrica y la atención plena de la demanda nacional."/>
    <s v="Energía"/>
    <s v="Sí"/>
    <s v="Sí"/>
    <n v="8"/>
    <s v="150-3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5 Prestar servicios profesionales para adelantar el análisis y procesamiento de la información técnica relacionada con el desarrollo y la ejecución de los proyectos de transmisión objeto de convocatoria pública en la etapa de ejecución."/>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adelantar el análisis y procesamiento de la información técnica relacionada con el desarrollo y la ejecución de los proyectos de transmisión objeto de convocatoria pública en la etapa de ejecución."/>
    <n v="51076200"/>
    <m/>
    <m/>
    <n v="7296600"/>
    <m/>
    <n v="7296600"/>
    <m/>
    <n v="7296600"/>
    <m/>
    <n v="7296600"/>
    <m/>
    <n v="7296600"/>
    <m/>
    <n v="7296600"/>
    <m/>
    <n v="7296600"/>
    <m/>
    <m/>
    <m/>
    <m/>
    <m/>
    <m/>
    <m/>
    <m/>
    <m/>
    <m/>
    <n v="51076200"/>
    <n v="51076200"/>
    <n v="0"/>
    <n v="0"/>
    <n v="22626"/>
    <d v="2026-01-12T00:00:00"/>
    <n v="51076200"/>
    <n v="0"/>
    <n v="5226"/>
    <d v="2026-01-12T00:00:00"/>
    <n v="51076200"/>
    <n v="0"/>
    <n v="0"/>
    <s v="Sánchez Mendoza Sandra Milena"/>
    <s v="CO1.PCCNTR.7205218"/>
    <n v="51076200"/>
    <m/>
    <m/>
    <m/>
    <n v="7296600"/>
    <n v="7296600"/>
    <m/>
    <n v="7296600"/>
    <n v="7296600"/>
    <m/>
    <n v="7296600"/>
    <n v="7296600"/>
    <m/>
    <m/>
    <m/>
    <m/>
    <m/>
    <m/>
    <m/>
    <m/>
    <m/>
    <m/>
    <m/>
    <m/>
    <m/>
    <m/>
    <m/>
    <m/>
    <m/>
    <m/>
    <m/>
    <m/>
    <m/>
    <m/>
    <m/>
    <m/>
    <n v="51076200"/>
    <n v="21889800"/>
    <n v="21889800"/>
    <n v="29186400"/>
    <n v="0"/>
  </r>
  <r>
    <x v="0"/>
    <x v="6"/>
    <s v="Fortalecimiento de la planeación para reducir las limitaciones en la prestación del servicio de energía eléctrica y la atención plena de la demanda nacional."/>
    <s v="Energía"/>
    <s v="Sí"/>
    <s v="Sí"/>
    <n v="8"/>
    <s v="150-3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6 Prestar servicios profesionales para procesar información relacionada con la estructuración de las convocatorias públicas de las obras de transmisión nacional y regional y proyectos de nuevas tecnologías en cuanto a condiciones técnicas, físicas, r"/>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procesar información relacionada con la estructuración de las convocatorias públicas de las obras de transmisión nacional y regional y proyectos de nuevas tecnologías en cuanto a condiciones técnicas, físicas, regulato"/>
    <n v="51076200"/>
    <m/>
    <m/>
    <n v="7296600"/>
    <m/>
    <n v="7296600"/>
    <m/>
    <n v="7296600"/>
    <m/>
    <n v="7296600"/>
    <m/>
    <n v="7296600"/>
    <m/>
    <n v="7296600"/>
    <m/>
    <n v="7296600"/>
    <m/>
    <m/>
    <m/>
    <m/>
    <m/>
    <m/>
    <m/>
    <m/>
    <m/>
    <m/>
    <n v="51076200"/>
    <n v="51076200"/>
    <n v="0"/>
    <n v="0"/>
    <n v="23026"/>
    <d v="2026-01-12T00:00:00"/>
    <n v="51076200"/>
    <n v="0"/>
    <n v="5626"/>
    <d v="2026-01-12T00:00:00"/>
    <n v="51076200"/>
    <n v="0"/>
    <n v="0"/>
    <s v="OSORIO ARROYAVE ESTEFANY"/>
    <s v="CO1.PCCNTR.7405504"/>
    <n v="51076200"/>
    <m/>
    <m/>
    <m/>
    <n v="7296600"/>
    <n v="7296600"/>
    <m/>
    <n v="7296600"/>
    <n v="7296600"/>
    <m/>
    <n v="7296600"/>
    <n v="7296600"/>
    <m/>
    <m/>
    <m/>
    <m/>
    <m/>
    <m/>
    <m/>
    <m/>
    <m/>
    <m/>
    <m/>
    <m/>
    <m/>
    <m/>
    <m/>
    <m/>
    <m/>
    <m/>
    <m/>
    <m/>
    <m/>
    <m/>
    <m/>
    <m/>
    <n v="51076200"/>
    <n v="21889800"/>
    <n v="21889800"/>
    <n v="29186400"/>
    <n v="0"/>
  </r>
  <r>
    <x v="0"/>
    <x v="6"/>
    <s v="Fortalecimiento de la planeación para reducir las limitaciones en la prestación del servicio de energía eléctrica y la atención plena de la demanda nacional."/>
    <s v="Energía"/>
    <s v="Sí"/>
    <s v="Sí"/>
    <n v="8"/>
    <s v="150-3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7 Apoyar en el seguimiento a la ejecución de los proyectos de transmisión nacional y regional ejecutados mediante convocatoria pública y ampliaciones, apoyar el seguimiento a las condiciones de los documentos de selección y procesar la información de"/>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Apoyar en el seguimiento a la ejecución de los proyectos de transmisión nacional y regional ejecutados mediante convocatoria pública y ampliaciones, apoyar el seguimiento a las condiciones de los documentos de selección y procesar la información de seguim"/>
    <n v="51076200"/>
    <m/>
    <m/>
    <n v="7296600"/>
    <m/>
    <n v="7296600"/>
    <m/>
    <n v="7296600"/>
    <m/>
    <n v="7296600"/>
    <m/>
    <n v="7296600"/>
    <m/>
    <n v="7296600"/>
    <m/>
    <n v="7296600"/>
    <m/>
    <m/>
    <m/>
    <m/>
    <m/>
    <m/>
    <m/>
    <m/>
    <m/>
    <m/>
    <n v="51076200"/>
    <n v="51076200"/>
    <n v="0"/>
    <n v="0"/>
    <n v="1426"/>
    <d v="2026-01-05T00:00:00"/>
    <n v="51076200"/>
    <n v="0"/>
    <n v="1426"/>
    <d v="2026-01-05T00:00:00"/>
    <n v="51076200"/>
    <n v="0"/>
    <n v="0"/>
    <s v="SANABRIA TORRES JULIAN"/>
    <s v="CO1.PCCNTR.7411853"/>
    <n v="51076200"/>
    <m/>
    <m/>
    <m/>
    <n v="7296600"/>
    <n v="7296600"/>
    <m/>
    <n v="7296600"/>
    <n v="7296600"/>
    <m/>
    <n v="7296600"/>
    <n v="7296600"/>
    <m/>
    <m/>
    <m/>
    <m/>
    <m/>
    <m/>
    <m/>
    <m/>
    <m/>
    <m/>
    <m/>
    <m/>
    <m/>
    <m/>
    <m/>
    <m/>
    <m/>
    <m/>
    <m/>
    <m/>
    <m/>
    <m/>
    <m/>
    <m/>
    <n v="51076200"/>
    <n v="21889800"/>
    <n v="21889800"/>
    <n v="29186400"/>
    <n v="0"/>
  </r>
  <r>
    <x v="0"/>
    <x v="6"/>
    <s v="Fortalecimiento de la planeación para reducir las limitaciones en la prestación del servicio de energía eléctrica y la atención plena de la demanda nacional."/>
    <s v="Energía"/>
    <s v="Sí"/>
    <s v="Sí"/>
    <n v="8"/>
    <s v="150-3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8 Prestar servicios profesionales para apoyar el seguimiento a la ejecución de los proyectos llevados a cabo mediante convocatoria pública y ampliaciones que le sean asignados, apoyar la estructuración y elaboración de los documentos de selección del"/>
    <s v="Enero "/>
    <s v="Enero "/>
    <s v="Enero "/>
    <n v="12"/>
    <s v="Meses"/>
    <s v="Contratación directa - Prestación de servicios profesionales "/>
    <s v="Propios - 20 - Ingresos corrientes"/>
    <n v="44422000"/>
    <n v="44422000"/>
    <s v="Si"/>
    <s v="Solicitadas"/>
    <s v="Guillermo Holguin Garcia"/>
    <s v="Subdirector de Energía Eléctrica"/>
    <n v="6012220601"/>
    <s v="guillermo.holguin@upme.gov.co"/>
    <n v="44422000"/>
    <n v="0"/>
    <n v="0"/>
    <n v="6346000"/>
    <n v="0"/>
    <n v="6346000"/>
    <n v="0"/>
    <n v="6346000"/>
    <n v="0"/>
    <n v="6346000"/>
    <n v="0"/>
    <n v="6346000"/>
    <n v="0"/>
    <n v="6346000"/>
    <n v="0"/>
    <n v="6346000"/>
    <n v="0"/>
    <n v="0"/>
    <n v="0"/>
    <n v="0"/>
    <n v="0"/>
    <n v="0"/>
    <n v="0"/>
    <n v="0"/>
    <n v="44422000"/>
    <n v="44422000"/>
    <n v="0"/>
    <n v="0"/>
    <s v="Prestar servicios profesionales para apoyar el seguimiento a la ejecución de los proyectos llevados a cabo mediante convocatoria pública y ampliaciones que le sean asignados, apoyar la estructuración y elaboración de los documentos de selección del invers"/>
    <n v="44422000"/>
    <m/>
    <m/>
    <n v="6346000"/>
    <m/>
    <n v="6346000"/>
    <m/>
    <n v="6346000"/>
    <m/>
    <n v="6346000"/>
    <m/>
    <n v="6346000"/>
    <m/>
    <n v="6346000"/>
    <m/>
    <n v="6346000"/>
    <m/>
    <m/>
    <m/>
    <m/>
    <m/>
    <m/>
    <m/>
    <m/>
    <m/>
    <m/>
    <n v="44422000"/>
    <n v="44422000"/>
    <n v="0"/>
    <n v="0"/>
    <n v="24326"/>
    <d v="2026-01-13T00:00:00"/>
    <n v="44422000"/>
    <n v="0"/>
    <n v="7426"/>
    <d v="2026-01-13T00:00:00"/>
    <n v="44422000"/>
    <n v="0"/>
    <n v="0"/>
    <s v="VELASCO MARIÑO MARCELLA MARIA"/>
    <s v="CO1.PCCNTR.7420515"/>
    <n v="44422000"/>
    <m/>
    <m/>
    <m/>
    <n v="6346000"/>
    <n v="6346000"/>
    <m/>
    <n v="6346000"/>
    <n v="6346000"/>
    <m/>
    <n v="6346000"/>
    <n v="6346000"/>
    <m/>
    <m/>
    <m/>
    <m/>
    <m/>
    <m/>
    <m/>
    <m/>
    <m/>
    <m/>
    <m/>
    <m/>
    <m/>
    <m/>
    <m/>
    <m/>
    <m/>
    <m/>
    <m/>
    <m/>
    <m/>
    <m/>
    <m/>
    <m/>
    <n v="44422000"/>
    <n v="19038000"/>
    <n v="19038000"/>
    <n v="25384000"/>
    <n v="0"/>
  </r>
  <r>
    <x v="0"/>
    <x v="6"/>
    <s v="Fortalecimiento de la planeación para reducir las limitaciones en la prestación del servicio de energía eléctrica y la atención plena de la demanda nacional."/>
    <s v="Energía"/>
    <s v="Sí"/>
    <s v="Sí"/>
    <n v="8"/>
    <s v="150-39"/>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9 Prestar servicios profesionales para el apoyo en la elaboración de documentos y en el procesamiento de la información, de las convocatorias públicas y de ampliación de los proyectos de transmisión nacional y regional, y demás proyectos en ejecución"/>
    <s v="Enero "/>
    <s v="Enero "/>
    <s v="Enero "/>
    <n v="12"/>
    <s v="Meses"/>
    <s v="Contratación directa - Prestación de servicios profesionales "/>
    <s v="Propios - 20 - Ingresos corrientes"/>
    <n v="44422000"/>
    <n v="44422000"/>
    <s v="Si"/>
    <s v="Solicitadas"/>
    <s v="Guillermo Holguin Garcia"/>
    <s v="Subdirector de Energía Eléctrica"/>
    <n v="6012220601"/>
    <s v="guillermo.holguin@upme.gov.co"/>
    <n v="44422000"/>
    <n v="0"/>
    <n v="0"/>
    <n v="6346000"/>
    <n v="0"/>
    <n v="6346000"/>
    <n v="0"/>
    <n v="6346000"/>
    <n v="0"/>
    <n v="6346000"/>
    <n v="0"/>
    <n v="6346000"/>
    <n v="0"/>
    <n v="6346000"/>
    <n v="0"/>
    <n v="6346000"/>
    <n v="0"/>
    <n v="0"/>
    <n v="0"/>
    <n v="0"/>
    <n v="0"/>
    <n v="0"/>
    <n v="0"/>
    <n v="0"/>
    <n v="44422000"/>
    <n v="44422000"/>
    <n v="0"/>
    <n v="0"/>
    <s v="Prestar servicios profesionales para el apoyo en la elaboración de documentos y en el procesamiento de la información, de las convocatorias públicas y de ampliación de los proyectos de transmisión nacional y regional, y demás proyectos en ejecución asigna"/>
    <n v="44422000"/>
    <m/>
    <m/>
    <n v="6346000"/>
    <m/>
    <n v="6346000"/>
    <m/>
    <n v="6346000"/>
    <m/>
    <n v="6346000"/>
    <m/>
    <n v="6346000"/>
    <m/>
    <n v="6346000"/>
    <m/>
    <n v="6346000"/>
    <m/>
    <m/>
    <m/>
    <m/>
    <m/>
    <m/>
    <m/>
    <m/>
    <m/>
    <m/>
    <n v="44422000"/>
    <n v="44422000"/>
    <n v="0"/>
    <n v="0"/>
    <n v="1626"/>
    <d v="2026-01-05T00:00:00"/>
    <n v="44422000"/>
    <n v="0"/>
    <n v="1626"/>
    <d v="2026-01-05T00:00:00"/>
    <n v="44422000"/>
    <n v="0"/>
    <n v="0"/>
    <s v="SANCHEZ TORRES DAVID ANDRES"/>
    <s v="CO1.PCCNT.7421801"/>
    <n v="44422000"/>
    <m/>
    <m/>
    <m/>
    <n v="6346000"/>
    <n v="6346000"/>
    <m/>
    <n v="6346000"/>
    <n v="6346000"/>
    <m/>
    <n v="6346000"/>
    <n v="6346000"/>
    <m/>
    <m/>
    <m/>
    <m/>
    <m/>
    <m/>
    <m/>
    <m/>
    <m/>
    <m/>
    <m/>
    <m/>
    <m/>
    <m/>
    <m/>
    <m/>
    <m/>
    <m/>
    <m/>
    <m/>
    <m/>
    <m/>
    <m/>
    <m/>
    <n v="44422000"/>
    <n v="19038000"/>
    <n v="19038000"/>
    <n v="25384000"/>
    <n v="0"/>
  </r>
  <r>
    <x v="0"/>
    <x v="6"/>
    <s v="Fortalecimiento de la planeación para reducir las limitaciones en la prestación del servicio de energía eléctrica y la atención plena de la demanda nacional."/>
    <s v="Energía"/>
    <s v="Sí"/>
    <s v="Sí"/>
    <n v="68"/>
    <s v="150-4"/>
    <s v="Aumentar señales de expansión y cobertura del servicio de energía eléctrica."/>
    <s v="Documentos de Planeación"/>
    <s v="Documento de planeación validado."/>
    <n v="80111620"/>
    <s v="C-2102-1900-6-40301C-2102009-02"/>
    <x v="0"/>
    <s v="150-4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6026"/>
    <d v="2026-01-05T00:00:00"/>
    <n v="87000000"/>
    <n v="0"/>
    <n v="10426"/>
    <d v="2026-01-16T00:00:00"/>
    <n v="87000000"/>
    <n v="0"/>
    <n v="0"/>
    <s v="DIAZ CASTRO DIANA SOFIA"/>
    <s v="CO1.PCCNTR.8876474"/>
    <n v="87000000"/>
    <m/>
    <m/>
    <m/>
    <n v="4060000"/>
    <n v="4060000"/>
    <m/>
    <n v="8700000"/>
    <n v="8700000"/>
    <m/>
    <n v="8700000"/>
    <n v="8700000"/>
    <m/>
    <m/>
    <m/>
    <m/>
    <m/>
    <m/>
    <m/>
    <m/>
    <m/>
    <m/>
    <m/>
    <m/>
    <m/>
    <m/>
    <m/>
    <m/>
    <m/>
    <m/>
    <m/>
    <m/>
    <m/>
    <m/>
    <m/>
    <m/>
    <n v="87000000"/>
    <n v="21460000"/>
    <n v="21460000"/>
    <n v="65540000"/>
    <n v="0"/>
  </r>
  <r>
    <x v="0"/>
    <x v="6"/>
    <s v="Fortalecimiento de la planeación para reducir las limitaciones en la prestación del servicio de energía eléctrica y la atención plena de la demanda nacional."/>
    <s v="Energía"/>
    <s v="Sí"/>
    <s v="Sí"/>
    <s v="Radicado 20261500021643"/>
    <s v="150-4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0 Prestar sus servicios profesionales para adelantar el análisis y procesamiento de la información técnica relacionada con el desarrollo y la ejecución de los proyectos de transmisión objeto de convocatoria pública en la etapa de ejecución."/>
    <s v="Enero "/>
    <s v="Enero "/>
    <s v="Febrero"/>
    <n v="12"/>
    <s v="Meses"/>
    <s v="Contratación directa - Prestación de servicios profesionales "/>
    <s v="Propios - 21 - Otros recursos de tesorería"/>
    <n v="72979000"/>
    <n v="72979000"/>
    <s v="No"/>
    <s v="N/A"/>
    <s v="Guillermo Holguin Garcia"/>
    <s v="Subdirector de Energía Eléctrica"/>
    <n v="6012220601"/>
    <s v="guillermo.holguin@upme.gov.co"/>
    <n v="0"/>
    <n v="0"/>
    <n v="71286733"/>
    <n v="0"/>
    <n v="0"/>
    <n v="3173000"/>
    <n v="1692267"/>
    <n v="6346000"/>
    <n v="0"/>
    <n v="6346000"/>
    <n v="0"/>
    <n v="6346000"/>
    <n v="0"/>
    <n v="6346000"/>
    <n v="0"/>
    <n v="6346000"/>
    <n v="0"/>
    <n v="6346000"/>
    <n v="0"/>
    <n v="6346000"/>
    <n v="0"/>
    <n v="6346000"/>
    <n v="0"/>
    <n v="19038000"/>
    <n v="72979000"/>
    <n v="72979000"/>
    <n v="0"/>
    <n v="0"/>
    <s v="Prestar sus servicios profesionales para adelantar el análisis y procesamiento de la información técnica relacionada con el desarrollo y la ejecución de los proyectos de transmisión objeto de convocatoria pública en la etapa de ejecución."/>
    <m/>
    <m/>
    <n v="71286733"/>
    <m/>
    <m/>
    <n v="3173000"/>
    <n v="1692267"/>
    <n v="6346000"/>
    <m/>
    <n v="6346000"/>
    <m/>
    <n v="6346000"/>
    <m/>
    <n v="6346000"/>
    <m/>
    <n v="6346000"/>
    <m/>
    <n v="6346000"/>
    <m/>
    <n v="6346000"/>
    <m/>
    <n v="6346000"/>
    <m/>
    <n v="19038000"/>
    <m/>
    <m/>
    <n v="72979000"/>
    <n v="72979000"/>
    <n v="0"/>
    <n v="0"/>
    <n v="57026"/>
    <d v="2026-01-22T00:00:00"/>
    <n v="67690667"/>
    <n v="5288333"/>
    <n v="53326"/>
    <d v="2026-02-10T00:00:00"/>
    <n v="67690667"/>
    <n v="5288333"/>
    <n v="0"/>
    <s v="SUAREZ OCAMPO DIEGO FERNANDO"/>
    <s v="CO1.PCCNTR.9278575"/>
    <m/>
    <m/>
    <m/>
    <n v="70440600"/>
    <m/>
    <m/>
    <n v="-2749933"/>
    <n v="4230666.67"/>
    <n v="4230666.67"/>
    <m/>
    <n v="6346000"/>
    <n v="6346000"/>
    <m/>
    <m/>
    <m/>
    <m/>
    <m/>
    <m/>
    <m/>
    <m/>
    <m/>
    <m/>
    <m/>
    <m/>
    <m/>
    <m/>
    <m/>
    <m/>
    <m/>
    <m/>
    <m/>
    <m/>
    <m/>
    <m/>
    <m/>
    <m/>
    <n v="67690667"/>
    <n v="10576666.67"/>
    <n v="10576666.67"/>
    <n v="57114000.329999998"/>
    <n v="0"/>
  </r>
  <r>
    <x v="0"/>
    <x v="6"/>
    <s v="Fortalecimiento de la planeación para reducir las limitaciones en la prestación del servicio de energía eléctrica y la atención plena de la demanda nacional."/>
    <s v="Energía"/>
    <s v="Sí"/>
    <s v="Sí"/>
    <n v="20"/>
    <s v="150-41"/>
    <s v="Aumentar señales de expansión y cobertura del servicio de energía eléctrica."/>
    <s v="Documentos de Planeación"/>
    <s v="Documento de planeación validado."/>
    <n v="80111620"/>
    <s v="C-2102-1900-6-40301C-2102009-02"/>
    <x v="0"/>
    <s v="150-41 Prestar servicios profesionales para apoyar a la subdirección de energía eléctrica, dentro del marco regulatorio de la planeación del SIN, el seguimiento y control de la ejecución de la planeación estratégica, así como de las iniciativas de coopera"/>
    <s v="Enero "/>
    <s v="Enero "/>
    <s v="Enero "/>
    <n v="6"/>
    <s v="Meses"/>
    <s v="Contratación directa - Prestación de servicios profesionales "/>
    <s v="Propios - 20 - Ingresos corrientes"/>
    <n v="4400000"/>
    <n v="4400000"/>
    <s v="No"/>
    <s v="N/A"/>
    <s v="Guillermo Holguin Garcia"/>
    <s v="Subdirector de Energía Eléctrica"/>
    <n v="6012220601"/>
    <s v="guillermo.holguin@upme.gov.co"/>
    <n v="36000000"/>
    <n v="0"/>
    <n v="0"/>
    <n v="6000000"/>
    <n v="0"/>
    <n v="6000000"/>
    <n v="0"/>
    <n v="6000000"/>
    <n v="0"/>
    <n v="6000000"/>
    <n v="0"/>
    <n v="6000000"/>
    <n v="0"/>
    <n v="6000000"/>
    <n v="0"/>
    <n v="0"/>
    <n v="0"/>
    <n v="0"/>
    <n v="0"/>
    <n v="0"/>
    <n v="0"/>
    <n v="0"/>
    <n v="0"/>
    <n v="0"/>
    <n v="36000000"/>
    <n v="36000000"/>
    <n v="-31600000"/>
    <n v="-31600000"/>
    <s v="Prestar servicios profesionales para apoyar a la subdirección de energía eléctrica, dentro del marco regulatorio de la planeación del SIN, el seguimiento y control de la ejecución de la planeación estratégica, así como de las iniciativas de cooperación in"/>
    <n v="36000000"/>
    <m/>
    <m/>
    <m/>
    <m/>
    <m/>
    <n v="-31600000"/>
    <n v="4400000"/>
    <m/>
    <m/>
    <m/>
    <m/>
    <m/>
    <m/>
    <m/>
    <m/>
    <m/>
    <m/>
    <m/>
    <m/>
    <m/>
    <m/>
    <m/>
    <m/>
    <m/>
    <m/>
    <n v="4400000"/>
    <n v="4400000"/>
    <n v="0"/>
    <n v="0"/>
    <n v="42926"/>
    <d v="2026-01-16T00:00:00"/>
    <n v="4400000"/>
    <n v="0"/>
    <n v="25726"/>
    <d v="2026-01-28T00:00:00"/>
    <n v="4400000"/>
    <n v="0"/>
    <n v="0"/>
    <s v="TAPIERO QUINTERO LINA MARIA"/>
    <s v="CO1.PCCNTR.9110705"/>
    <n v="36000000"/>
    <m/>
    <m/>
    <n v="-31600000"/>
    <m/>
    <m/>
    <m/>
    <m/>
    <m/>
    <m/>
    <m/>
    <m/>
    <m/>
    <m/>
    <m/>
    <m/>
    <m/>
    <m/>
    <m/>
    <m/>
    <m/>
    <m/>
    <m/>
    <m/>
    <m/>
    <m/>
    <m/>
    <m/>
    <m/>
    <m/>
    <m/>
    <m/>
    <m/>
    <m/>
    <m/>
    <m/>
    <n v="4400000"/>
    <n v="0"/>
    <n v="0"/>
    <n v="4400000"/>
    <n v="0"/>
  </r>
  <r>
    <x v="0"/>
    <x v="6"/>
    <s v="Fortalecimiento de la planeación para reducir las limitaciones en la prestación del servicio de energía eléctrica y la atención plena de la demanda nacional."/>
    <s v="Energía"/>
    <s v="Sí"/>
    <s v="Sí"/>
    <s v="Radicado 20261500021643"/>
    <s v="150-42"/>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2 Prestar servicios profesionales para apoyar en el seguimiento a la ejecución de los proyectos del sistema de transmisión nacional y regional, ejecutados mediante convocatoria pública y ampliaciones. Apoyar en la estructuración de los DSI de los pro"/>
    <s v="Enero "/>
    <s v="Enero "/>
    <s v="Febrero"/>
    <n v="12"/>
    <s v="Meses"/>
    <s v="Contratación directa - Prestación de servicios profesionales "/>
    <s v="Propios - 21 - Otros recursos de tesorería"/>
    <n v="80500000"/>
    <n v="80500000"/>
    <s v="No"/>
    <s v="N/A"/>
    <s v="Guillermo Holguin Garcia"/>
    <s v="Subdirector de Energía Eléctrica"/>
    <n v="6012220601"/>
    <s v="guillermo.holguin@upme.gov.co"/>
    <n v="0"/>
    <n v="0"/>
    <n v="29569050"/>
    <n v="0"/>
    <n v="0"/>
    <n v="3500000"/>
    <n v="0"/>
    <n v="7000000"/>
    <n v="0"/>
    <n v="7000000"/>
    <n v="0"/>
    <n v="7000000"/>
    <n v="0"/>
    <n v="7000000"/>
    <n v="0"/>
    <n v="7000000"/>
    <n v="0"/>
    <n v="7000000"/>
    <n v="0"/>
    <n v="7000000"/>
    <n v="50930950"/>
    <n v="7000000"/>
    <n v="0"/>
    <n v="21000000"/>
    <n v="80500000"/>
    <n v="80500000"/>
    <n v="0"/>
    <n v="0"/>
    <s v="Prestar servicios profesionales para apoyar en el seguimiento a la ejecución de los proyectos del sistema de transmisión nacional y regional, ejecutados mediante convocatoria pública y ampliaciones. Apoyar en la estructuración de los DSI de los proyectos "/>
    <m/>
    <m/>
    <n v="29569050"/>
    <m/>
    <m/>
    <n v="3500000"/>
    <m/>
    <n v="7000000"/>
    <m/>
    <n v="7000000"/>
    <m/>
    <n v="7000000"/>
    <m/>
    <n v="7000000"/>
    <m/>
    <n v="7000000"/>
    <m/>
    <n v="7000000"/>
    <m/>
    <n v="7000000"/>
    <n v="50930950"/>
    <n v="7000000"/>
    <m/>
    <n v="21000000"/>
    <m/>
    <m/>
    <n v="80500000"/>
    <n v="80500000"/>
    <n v="0"/>
    <n v="0"/>
    <n v="64926"/>
    <d v="2026-01-26T00:00:00"/>
    <n v="29569050"/>
    <n v="50930950"/>
    <n v="52226"/>
    <d v="2026-02-09T00:00:00"/>
    <n v="29569050"/>
    <n v="50930950"/>
    <n v="0"/>
    <s v="MURCIA CHAVARRIA DEIMY XIOMARA"/>
    <s v="CO1.PCCNTR.9276580"/>
    <m/>
    <m/>
    <m/>
    <n v="29569050"/>
    <m/>
    <m/>
    <m/>
    <n v="2299815"/>
    <n v="2299815"/>
    <m/>
    <n v="3285450"/>
    <n v="3285450"/>
    <m/>
    <m/>
    <m/>
    <m/>
    <m/>
    <m/>
    <m/>
    <m/>
    <m/>
    <m/>
    <m/>
    <m/>
    <m/>
    <m/>
    <m/>
    <m/>
    <m/>
    <m/>
    <m/>
    <m/>
    <m/>
    <m/>
    <m/>
    <m/>
    <n v="29569050"/>
    <n v="5585265"/>
    <n v="5585265"/>
    <n v="23983785"/>
    <n v="0"/>
  </r>
  <r>
    <x v="0"/>
    <x v="6"/>
    <s v="Fortalecimiento de la planeación para reducir las limitaciones en la prestación del servicio de energía eléctrica y la atención plena de la demanda nacional."/>
    <s v="Energía"/>
    <s v="Sí"/>
    <s v="Sí"/>
    <n v="68"/>
    <s v="150-43"/>
    <s v="Aumentar señales de expansión y cobertura del servicio de energía eléctrica."/>
    <s v="Documentos de Planeación"/>
    <s v="Documento de planeación validado."/>
    <n v="80111620"/>
    <s v="C-2102-1900-6-40301C-2102009-02"/>
    <x v="0"/>
    <s v="150-43 Prestar servicios profesionales para el apoyo en la estructuración de los DSI de los proyectos ejecutados mediante el mecanismo de convocatoria pública, así como el seguimiento al componente ambiental y social de los proyectos del sistema de transm"/>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50000000"/>
    <n v="0"/>
    <n v="0"/>
    <n v="0"/>
    <n v="0"/>
    <n v="5000000"/>
    <n v="0"/>
    <n v="5000000"/>
    <n v="0"/>
    <n v="5000000"/>
    <n v="0"/>
    <n v="5000000"/>
    <n v="0"/>
    <n v="5000000"/>
    <n v="0"/>
    <n v="5000000"/>
    <n v="0"/>
    <n v="5000000"/>
    <n v="0"/>
    <n v="5000000"/>
    <n v="0"/>
    <n v="5000000"/>
    <n v="0"/>
    <n v="5000000"/>
    <n v="50000000"/>
    <n v="50000000"/>
    <n v="0"/>
    <n v="0"/>
    <s v="Prestar servicios profesionales para el apoyo en la estructuración de los DSI de los proyectos ejecutados mediante el mecanismo de convocatoria pública, así como el seguimiento al componente ambiental y social de los proyectos del sistema de transmisión n"/>
    <n v="50000000"/>
    <m/>
    <m/>
    <m/>
    <m/>
    <n v="5000000"/>
    <m/>
    <n v="5000000"/>
    <m/>
    <n v="5000000"/>
    <m/>
    <n v="5000000"/>
    <m/>
    <n v="5000000"/>
    <m/>
    <n v="5000000"/>
    <m/>
    <n v="5000000"/>
    <m/>
    <n v="5000000"/>
    <m/>
    <n v="5000000"/>
    <m/>
    <n v="5000000"/>
    <m/>
    <m/>
    <n v="50000000"/>
    <n v="50000000"/>
    <n v="0"/>
    <n v="0"/>
    <n v="8126"/>
    <d v="2026-01-06T00:00:00"/>
    <n v="50000000"/>
    <n v="0"/>
    <n v="19726"/>
    <d v="2026-01-26T00:00:00"/>
    <n v="50000000"/>
    <n v="0"/>
    <n v="0"/>
    <s v="DIAZ ARRIETA ANDRY YULIETH"/>
    <s v="CO1.PCCNTR.9023015"/>
    <n v="50000000"/>
    <m/>
    <m/>
    <m/>
    <n v="666667"/>
    <n v="666667"/>
    <m/>
    <n v="5000000"/>
    <n v="5000000"/>
    <m/>
    <n v="5000000"/>
    <n v="5000000"/>
    <m/>
    <m/>
    <m/>
    <m/>
    <m/>
    <m/>
    <m/>
    <m/>
    <m/>
    <m/>
    <m/>
    <m/>
    <m/>
    <m/>
    <m/>
    <m/>
    <m/>
    <m/>
    <m/>
    <m/>
    <m/>
    <m/>
    <m/>
    <m/>
    <n v="50000000"/>
    <n v="10666667"/>
    <n v="10666667"/>
    <n v="39333333"/>
    <n v="0"/>
  </r>
  <r>
    <x v="0"/>
    <x v="6"/>
    <s v="Fortalecimiento de la planeación para reducir las limitaciones en la prestación del servicio de energía eléctrica y la atención plena de la demanda nacional."/>
    <s v="Energía"/>
    <s v="Sí"/>
    <s v="Sí"/>
    <n v="8"/>
    <s v="150-4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4 Prestar servicios profesionales para efectuar el seguimiento socioambiental de los proyectos definidos en el plan de expansión que son objeto de convocatoria pública, e identificar problemáticas y opciones de solución que alimenten las etapas previ"/>
    <s v="Enero "/>
    <s v="Enero "/>
    <s v="Enero "/>
    <n v="12"/>
    <s v="Meses"/>
    <s v="Contratación directa - Prestación de servicios profesionales "/>
    <s v="Propios - 20 - Ingresos corrientes"/>
    <n v="55065000"/>
    <n v="55065000"/>
    <s v="Si"/>
    <s v="Solicitadas"/>
    <s v="Guillermo Holguin Garcia"/>
    <s v="Subdirector de Energía Eléctrica"/>
    <n v="6012220601"/>
    <s v="guillermo.holguin@upme.gov.co"/>
    <n v="55065000"/>
    <n v="0"/>
    <n v="0"/>
    <n v="7866500"/>
    <n v="0"/>
    <n v="7866500"/>
    <n v="0"/>
    <n v="7866500"/>
    <n v="0"/>
    <n v="7866500"/>
    <n v="0"/>
    <n v="7866500"/>
    <n v="0"/>
    <n v="7866500"/>
    <n v="0"/>
    <n v="7866000"/>
    <n v="0"/>
    <n v="0"/>
    <n v="0"/>
    <n v="0"/>
    <n v="0"/>
    <n v="0"/>
    <n v="0"/>
    <n v="0"/>
    <n v="55065000"/>
    <n v="55065000"/>
    <n v="0"/>
    <n v="0"/>
    <s v="Prestar servicios profesionales para efectuar el seguimiento socioambiental de los proyectos definidos en el plan de expansión que son objeto de convocatoria pública, e identificar problemáticas y opciones de solución que alimenten las etapas previas de p"/>
    <n v="55065000"/>
    <m/>
    <m/>
    <n v="7866500"/>
    <m/>
    <n v="7866500"/>
    <m/>
    <n v="7866500"/>
    <m/>
    <n v="7866500"/>
    <n v="0"/>
    <n v="7866500"/>
    <n v="0"/>
    <n v="7866500"/>
    <n v="0"/>
    <n v="7866000"/>
    <n v="0"/>
    <n v="0"/>
    <n v="0"/>
    <n v="0"/>
    <n v="0"/>
    <n v="0"/>
    <n v="0"/>
    <n v="0"/>
    <m/>
    <m/>
    <n v="55065000"/>
    <n v="55065000"/>
    <n v="0"/>
    <n v="0"/>
    <n v="23526"/>
    <d v="2026-01-13T00:00:00"/>
    <n v="55065000"/>
    <n v="0"/>
    <n v="6626"/>
    <d v="2026-01-13T00:00:00"/>
    <n v="55065000"/>
    <n v="0"/>
    <n v="0"/>
    <s v="LEON SOLER AURA MARIA"/>
    <s v="CO1.PCCNTR.7238896"/>
    <n v="55065000"/>
    <m/>
    <m/>
    <m/>
    <n v="7866500"/>
    <n v="7866500"/>
    <m/>
    <n v="7866500"/>
    <n v="7866500"/>
    <m/>
    <n v="7866500"/>
    <n v="7866500"/>
    <m/>
    <m/>
    <m/>
    <m/>
    <m/>
    <m/>
    <m/>
    <m/>
    <m/>
    <m/>
    <m/>
    <m/>
    <m/>
    <m/>
    <m/>
    <m/>
    <m/>
    <m/>
    <m/>
    <m/>
    <m/>
    <m/>
    <m/>
    <m/>
    <n v="55065000"/>
    <n v="23599500"/>
    <n v="23599500"/>
    <n v="31465500"/>
    <n v="0"/>
  </r>
  <r>
    <x v="0"/>
    <x v="6"/>
    <s v="Fortalecimiento de la planeación para reducir las limitaciones en la prestación del servicio de energía eléctrica y la atención plena de la demanda nacional."/>
    <s v="Energía"/>
    <s v="Sí"/>
    <s v="Sí"/>
    <n v="8"/>
    <s v="150-4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5 Prestar servicios profesionales para adelantar el relacionamiento y articulación interinstitucional en fase de planeación y ejecución de los proyectos que se desarrollan mediante procesos de libre concurrencia, así como identificar las restriccione"/>
    <s v="Enero "/>
    <s v="Enero "/>
    <s v="Enero "/>
    <n v="12"/>
    <s v="Meses"/>
    <s v="Contratación directa - Prestación de servicios profesionales "/>
    <s v="Propios - 20 - Ingresos corrientes"/>
    <n v="55065500"/>
    <n v="55065500"/>
    <s v="Si"/>
    <s v="Solicitadas"/>
    <s v="Guillermo Holguin Garcia"/>
    <s v="Subdirector de Energía Eléctrica"/>
    <n v="6012220601"/>
    <s v="guillermo.holguin@upme.gov.co"/>
    <n v="55065500"/>
    <n v="0"/>
    <n v="0"/>
    <n v="7866500"/>
    <n v="0"/>
    <n v="7866500"/>
    <n v="0"/>
    <n v="7866500"/>
    <n v="0"/>
    <n v="7866500"/>
    <n v="0"/>
    <n v="7866500"/>
    <n v="0"/>
    <n v="7866500"/>
    <n v="0"/>
    <n v="7866500"/>
    <n v="0"/>
    <n v="0"/>
    <n v="0"/>
    <n v="0"/>
    <n v="0"/>
    <n v="0"/>
    <n v="0"/>
    <n v="0"/>
    <n v="55065500"/>
    <n v="55065500"/>
    <n v="0"/>
    <n v="0"/>
    <s v="Prestar servicios profesionales para adelantar el relacionamiento y articulación interinstitucional en fase de planeación y ejecución de los proyectos que se desarrollan mediante procesos de libre concurrencia, así como identificar las restricciones que s"/>
    <n v="55065500"/>
    <m/>
    <m/>
    <n v="7866500"/>
    <m/>
    <n v="7866500"/>
    <m/>
    <n v="7866500"/>
    <m/>
    <n v="7866500"/>
    <n v="0"/>
    <n v="7866500"/>
    <n v="0"/>
    <n v="7866500"/>
    <n v="0"/>
    <n v="7866500"/>
    <n v="0"/>
    <n v="0"/>
    <n v="0"/>
    <n v="0"/>
    <n v="0"/>
    <n v="0"/>
    <n v="0"/>
    <n v="0"/>
    <m/>
    <m/>
    <n v="55065500"/>
    <n v="55065500"/>
    <n v="0"/>
    <n v="0"/>
    <n v="23626"/>
    <d v="2026-01-13T00:00:00"/>
    <n v="55065500"/>
    <n v="0"/>
    <n v="6726"/>
    <d v="2026-01-13T00:00:00"/>
    <n v="55065500"/>
    <n v="0"/>
    <n v="0"/>
    <s v="GONZALEZ GUAÑARITA ALEJANDRA"/>
    <s v="CO1.PCCNTR.7377021"/>
    <n v="55065500"/>
    <m/>
    <m/>
    <m/>
    <n v="7866500"/>
    <n v="7866500"/>
    <m/>
    <n v="7866500"/>
    <n v="7866500"/>
    <m/>
    <n v="7866500"/>
    <n v="7866500"/>
    <m/>
    <m/>
    <m/>
    <m/>
    <m/>
    <m/>
    <m/>
    <m/>
    <m/>
    <m/>
    <m/>
    <m/>
    <m/>
    <m/>
    <m/>
    <m/>
    <m/>
    <m/>
    <m/>
    <m/>
    <m/>
    <m/>
    <m/>
    <m/>
    <n v="55065500"/>
    <n v="23599500"/>
    <n v="23599500"/>
    <n v="31466000"/>
    <n v="0"/>
  </r>
  <r>
    <x v="0"/>
    <x v="6"/>
    <s v="Fortalecimiento de la planeación para reducir las limitaciones en la prestación del servicio de energía eléctrica y la atención plena de la demanda nacional."/>
    <s v="Energía"/>
    <s v="Sí"/>
    <s v="Sí"/>
    <n v="8"/>
    <s v="150-4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6 Prestar servicios profesionales para apoyar el análisis y revisión de información socioambiental de los proyectos de transmisión nacional y regional en ejecución, así como los análisis de posibilidades y condicionantes en etapas de planeación, estr"/>
    <s v="Enero "/>
    <s v="Enero "/>
    <s v="Enero "/>
    <n v="12"/>
    <s v="Meses"/>
    <s v="Contratación directa - Prestación de servicios profesionales "/>
    <s v="Propios - 20 - Ingresos corrientes"/>
    <n v="55065500"/>
    <n v="55065500"/>
    <s v="Si"/>
    <s v="Solicitadas"/>
    <s v="Guillermo Holguin Garcia"/>
    <s v="Subdirector de Energía Eléctrica"/>
    <n v="6012220601"/>
    <s v="guillermo.holguin@upme.gov.co"/>
    <n v="55065500"/>
    <n v="0"/>
    <n v="0"/>
    <n v="7866500"/>
    <n v="0"/>
    <n v="7866500"/>
    <n v="0"/>
    <n v="7866500"/>
    <n v="0"/>
    <n v="7866500"/>
    <n v="0"/>
    <n v="7866500"/>
    <n v="0"/>
    <n v="7866500"/>
    <n v="0"/>
    <n v="7866500"/>
    <n v="0"/>
    <n v="0"/>
    <n v="0"/>
    <n v="0"/>
    <n v="0"/>
    <n v="0"/>
    <n v="0"/>
    <n v="0"/>
    <n v="55065500"/>
    <n v="55065500"/>
    <n v="0"/>
    <n v="0"/>
    <s v="Prestar servicios profesionales para apoyar el análisis y revisión de información socioambiental de los proyectos de transmisión nacional y regional en ejecución, así como los análisis de posibilidades y condicionantes en etapas de planeación, estructurac"/>
    <n v="55065500"/>
    <m/>
    <m/>
    <n v="7866500"/>
    <m/>
    <n v="7866500"/>
    <m/>
    <n v="7866500"/>
    <m/>
    <n v="7866500"/>
    <n v="0"/>
    <n v="7866500"/>
    <n v="0"/>
    <n v="7866500"/>
    <n v="0"/>
    <n v="7866500"/>
    <n v="0"/>
    <n v="0"/>
    <n v="0"/>
    <n v="0"/>
    <n v="0"/>
    <n v="0"/>
    <n v="0"/>
    <n v="0"/>
    <m/>
    <m/>
    <n v="55065500"/>
    <n v="55065500"/>
    <n v="0"/>
    <n v="0"/>
    <n v="1526"/>
    <d v="2026-01-05T00:00:00"/>
    <n v="55065500"/>
    <n v="0"/>
    <n v="1526"/>
    <d v="2026-01-05T00:00:00"/>
    <n v="55065500"/>
    <n v="0"/>
    <n v="0"/>
    <s v="ANGEL LOPEZ YENIFER KARINA"/>
    <s v="CO1.PCCNTR.7419968"/>
    <n v="55065500"/>
    <m/>
    <m/>
    <m/>
    <n v="7866500"/>
    <n v="7866500"/>
    <m/>
    <n v="7866500"/>
    <n v="7866500"/>
    <m/>
    <n v="7866500"/>
    <n v="7866500"/>
    <m/>
    <m/>
    <m/>
    <m/>
    <m/>
    <m/>
    <m/>
    <m/>
    <m/>
    <m/>
    <m/>
    <m/>
    <m/>
    <m/>
    <m/>
    <m/>
    <m/>
    <m/>
    <m/>
    <m/>
    <m/>
    <m/>
    <m/>
    <m/>
    <n v="55065500"/>
    <n v="23599500"/>
    <n v="23599500"/>
    <n v="31466000"/>
    <n v="0"/>
  </r>
  <r>
    <x v="0"/>
    <x v="6"/>
    <s v="Fortalecimiento de la planeación para reducir las limitaciones en la prestación del servicio de energía eléctrica y la atención plena de la demanda nacional."/>
    <s v="Energía"/>
    <s v="Sí"/>
    <s v="Sí"/>
    <n v="68"/>
    <s v="150-4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7 Prestación de servicios profesionales para apoyar la elaboración de documentos y el procesamiento de información relacionados con las convocatorias públicas y de ampliación de proyectos de transmisión a nivel nacional y regional"/>
    <s v="Enero "/>
    <s v="Enero "/>
    <s v="Enero "/>
    <n v="12"/>
    <s v="Meses"/>
    <s v="Contratación directa - Prestación de servicios profesionales "/>
    <s v="Propios - 20 - Ingresos corrientes"/>
    <n v="66470000"/>
    <n v="66470000"/>
    <s v="No"/>
    <s v="N/A"/>
    <s v="Guillermo Holguin Garcia"/>
    <s v="Subdirector de Energía Eléctrica"/>
    <n v="6012220601"/>
    <s v="guillermo.holguin@upme.gov.co"/>
    <n v="64928667"/>
    <n v="0"/>
    <n v="0"/>
    <n v="2890000"/>
    <n v="0"/>
    <n v="5780000"/>
    <n v="1541333"/>
    <n v="5780000"/>
    <n v="0"/>
    <n v="5780000"/>
    <n v="0"/>
    <n v="5780000"/>
    <n v="0"/>
    <n v="5780000"/>
    <n v="0"/>
    <n v="5780000"/>
    <n v="0"/>
    <n v="5780000"/>
    <n v="0"/>
    <n v="5780000"/>
    <n v="0"/>
    <n v="5780000"/>
    <n v="0"/>
    <n v="11560000"/>
    <n v="66470000"/>
    <n v="66470000"/>
    <n v="0"/>
    <n v="0"/>
    <s v="Prestación de servicios profesionales para apoyar la elaboración de documentos y el procesamiento de información relacionados con las convocatorias públicas y de ampliación de proyectos de transmisión a nivel nacional y regional"/>
    <n v="64928667"/>
    <m/>
    <m/>
    <n v="2890000"/>
    <m/>
    <n v="5780000"/>
    <n v="1541333"/>
    <n v="5780000"/>
    <m/>
    <n v="5780000"/>
    <m/>
    <n v="5780000"/>
    <m/>
    <n v="5780000"/>
    <m/>
    <n v="5780000"/>
    <m/>
    <n v="5780000"/>
    <m/>
    <n v="5780000"/>
    <m/>
    <n v="5780000"/>
    <m/>
    <n v="11560000"/>
    <m/>
    <m/>
    <n v="66470000"/>
    <n v="66470000"/>
    <n v="0"/>
    <n v="0"/>
    <n v="28026"/>
    <d v="2026-01-14T00:00:00"/>
    <n v="63965333"/>
    <n v="2504667"/>
    <n v="24826"/>
    <d v="2026-01-27T00:00:00"/>
    <n v="63965333"/>
    <n v="2504667"/>
    <n v="0"/>
    <s v="CIFUENTES GRUESO LAURA VICTORIA"/>
    <s v="CO1.PCCNTR.9130004"/>
    <n v="64928667"/>
    <m/>
    <m/>
    <n v="-963334"/>
    <m/>
    <m/>
    <m/>
    <n v="6165333"/>
    <n v="6165333"/>
    <m/>
    <n v="5780000"/>
    <n v="5780000"/>
    <m/>
    <m/>
    <m/>
    <m/>
    <m/>
    <m/>
    <m/>
    <m/>
    <m/>
    <m/>
    <m/>
    <m/>
    <m/>
    <m/>
    <m/>
    <m/>
    <m/>
    <m/>
    <m/>
    <m/>
    <m/>
    <m/>
    <m/>
    <m/>
    <n v="63965333"/>
    <n v="11945333"/>
    <n v="11945333"/>
    <n v="52020000"/>
    <n v="0"/>
  </r>
  <r>
    <x v="0"/>
    <x v="6"/>
    <s v="Fortalecimiento de la planeación para reducir las limitaciones en la prestación del servicio de energía eléctrica y la atención plena de la demanda nacional."/>
    <s v="Energía"/>
    <s v="Sí"/>
    <s v="Sí"/>
    <n v="8"/>
    <s v="150-4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8 Prestar servicios profesionales para procesar y gestionar el sistema de información geográfico de la infraestructura de transmisión nacional y regional y los proyectos en ejecución y apoyar la gestión cartográfica de los análisis de posibilidades y"/>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procesar y gestionar el sistema de información geográfico de la infraestructura de transmisión nacional y regional y los proyectos en ejecución y apoyar la gestión cartográfica de los análisis de posibilidades y condic"/>
    <n v="51076200"/>
    <m/>
    <n v="0"/>
    <n v="7296600"/>
    <n v="0"/>
    <n v="7296600"/>
    <n v="0"/>
    <n v="7296600"/>
    <n v="0"/>
    <n v="7296600"/>
    <n v="0"/>
    <n v="7296600"/>
    <n v="0"/>
    <n v="7296600"/>
    <n v="0"/>
    <n v="7296600"/>
    <n v="0"/>
    <n v="0"/>
    <n v="0"/>
    <n v="0"/>
    <n v="0"/>
    <n v="0"/>
    <n v="0"/>
    <n v="0"/>
    <m/>
    <m/>
    <n v="51076200"/>
    <n v="51076200"/>
    <n v="0"/>
    <n v="0"/>
    <n v="24426"/>
    <d v="2026-01-13T00:00:00"/>
    <n v="51076200"/>
    <n v="0"/>
    <n v="7526"/>
    <d v="2026-01-13T00:00:00"/>
    <n v="51076200"/>
    <n v="0"/>
    <n v="0"/>
    <s v="FONSECA BAQUERO CRISTIAN CAMILO"/>
    <s v="CO1.PCCNTR.7411325"/>
    <n v="51076200"/>
    <m/>
    <m/>
    <m/>
    <n v="7296600"/>
    <n v="7296600"/>
    <m/>
    <n v="7296600"/>
    <n v="7296600"/>
    <m/>
    <n v="7296600"/>
    <n v="7296600"/>
    <m/>
    <m/>
    <m/>
    <m/>
    <m/>
    <m/>
    <m/>
    <m/>
    <m/>
    <m/>
    <m/>
    <m/>
    <m/>
    <m/>
    <m/>
    <m/>
    <m/>
    <m/>
    <m/>
    <m/>
    <m/>
    <m/>
    <m/>
    <m/>
    <n v="51076200"/>
    <n v="21889800"/>
    <n v="21889800"/>
    <n v="29186400"/>
    <n v="0"/>
  </r>
  <r>
    <x v="0"/>
    <x v="6"/>
    <s v="Fortalecimiento de la planeación para reducir las limitaciones en la prestación del servicio de energía eléctrica y la atención plena de la demanda nacional."/>
    <s v="Energía"/>
    <s v="Sí"/>
    <s v="Sí"/>
    <n v="21"/>
    <s v="150-49"/>
    <s v="Aumentar señales de expansión y cobertura del servicio de energía eléctrica."/>
    <s v="Documentos de Planeación"/>
    <s v="Documento de planeación validado."/>
    <n v="80111620"/>
    <s v="C-2102-1900-6-40301C-2102009-02"/>
    <x v="0"/>
    <s v="150-49 Prestación de servicios profesionales para el procesamiento de los datos derivados de los procesos internos en la subdirección de energía eléctrica, así como el mantenimiento y gestión de las herramientas para las estadísticas e indicadores de segu"/>
    <s v="Enero "/>
    <s v="Enero "/>
    <s v="Febrero"/>
    <n v="12"/>
    <s v="Meses"/>
    <s v="Contratación directa - Prestación de servicios profesionales "/>
    <s v="Propios - 20 - Ingresos corrientes"/>
    <n v="67839200"/>
    <n v="67839200"/>
    <s v="No"/>
    <s v="N/A"/>
    <s v="Guillermo Holguin Garcia"/>
    <s v="Subdirector de Energía Eléctrica"/>
    <n v="6012220601"/>
    <s v="guillermo.holguin@upme.gov.co"/>
    <n v="0"/>
    <n v="0"/>
    <n v="69278213"/>
    <n v="0"/>
    <n v="0"/>
    <n v="3083600"/>
    <n v="1644587"/>
    <n v="6167200"/>
    <n v="0"/>
    <n v="6167200"/>
    <n v="0"/>
    <n v="6167200"/>
    <n v="0"/>
    <n v="6167200"/>
    <n v="0"/>
    <n v="6167200"/>
    <n v="0"/>
    <n v="6167200"/>
    <n v="0"/>
    <n v="6167200"/>
    <n v="0"/>
    <n v="6167200"/>
    <n v="0"/>
    <n v="18501600"/>
    <n v="70922800"/>
    <n v="70922800"/>
    <n v="-3083600"/>
    <n v="-3083600"/>
    <s v="Prestación de servicios profesionales para el procesamiento de los datos derivados de los procesos internos en la subdirección de energía eléctrica, así como el mantenimiento y gestión de las herramientas para las estadísticas e indicadores de seguimiento"/>
    <m/>
    <m/>
    <n v="67839200"/>
    <m/>
    <m/>
    <n v="4111467"/>
    <m/>
    <n v="6167200"/>
    <m/>
    <n v="6167200"/>
    <m/>
    <n v="6167200"/>
    <m/>
    <n v="6167200"/>
    <m/>
    <n v="6167200"/>
    <m/>
    <n v="6167200"/>
    <m/>
    <n v="6167200"/>
    <m/>
    <n v="6167200"/>
    <m/>
    <n v="14390133"/>
    <m/>
    <m/>
    <n v="67839200"/>
    <n v="67839200"/>
    <n v="0"/>
    <n v="0"/>
    <n v="62526"/>
    <d v="2026-01-23T00:00:00"/>
    <n v="69278213"/>
    <n v="-1439013"/>
    <n v="54426"/>
    <d v="2026-02-10T00:00:00"/>
    <n v="67839200"/>
    <n v="0"/>
    <n v="1439013"/>
    <s v="LOPEZ LOPEZ HUGO ALEJANDRO"/>
    <s v="CO1.PCCNTR.9279401"/>
    <m/>
    <m/>
    <m/>
    <n v="67839200"/>
    <m/>
    <m/>
    <m/>
    <n v="4111467"/>
    <n v="4111467"/>
    <m/>
    <n v="6167200"/>
    <n v="6167200"/>
    <m/>
    <m/>
    <m/>
    <m/>
    <m/>
    <m/>
    <m/>
    <m/>
    <m/>
    <m/>
    <m/>
    <m/>
    <m/>
    <m/>
    <m/>
    <m/>
    <m/>
    <m/>
    <m/>
    <m/>
    <m/>
    <m/>
    <m/>
    <m/>
    <n v="67839200"/>
    <n v="10278667"/>
    <n v="10278667"/>
    <n v="57560533"/>
    <n v="0"/>
  </r>
  <r>
    <x v="0"/>
    <x v="6"/>
    <s v="Fortalecimiento de la planeación para reducir las limitaciones en la prestación del servicio de energía eléctrica y la atención plena de la demanda nacional."/>
    <s v="Energía"/>
    <s v="Sí"/>
    <s v="Sí"/>
    <n v="68"/>
    <s v="150-5"/>
    <s v="Aumentar señales de expansión y cobertura del servicio de energía eléctrica."/>
    <s v="Documentos de Planeación"/>
    <s v="Documento de planeación validado."/>
    <n v="80111620"/>
    <s v="C-2102-1900-6-40301C-2102009-02"/>
    <x v="0"/>
    <s v="150-5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5826"/>
    <d v="2026-01-05T00:00:00"/>
    <n v="87000000"/>
    <n v="0"/>
    <n v="10926"/>
    <d v="2026-01-17T00:00:00"/>
    <n v="87000000"/>
    <n v="0"/>
    <n v="0"/>
    <s v="ROSADA SANCHEZ KAREN TATIANA"/>
    <s v="CO1.PCCNTR.8876474"/>
    <n v="87000000"/>
    <m/>
    <m/>
    <m/>
    <n v="3480000"/>
    <n v="3480000"/>
    <m/>
    <n v="8700000"/>
    <n v="8700000"/>
    <m/>
    <n v="8700000"/>
    <n v="8700000"/>
    <m/>
    <m/>
    <m/>
    <m/>
    <m/>
    <m/>
    <m/>
    <m/>
    <m/>
    <m/>
    <m/>
    <m/>
    <m/>
    <m/>
    <m/>
    <m/>
    <m/>
    <m/>
    <m/>
    <m/>
    <m/>
    <m/>
    <m/>
    <m/>
    <n v="87000000"/>
    <n v="20880000"/>
    <n v="20880000"/>
    <n v="66120000"/>
    <n v="0"/>
  </r>
  <r>
    <x v="0"/>
    <x v="6"/>
    <s v="Fortalecimiento de la planeación para reducir las limitaciones en la prestación del servicio de energía eléctrica y la atención plena de la demanda nacional."/>
    <s v="Energía"/>
    <s v="Sí"/>
    <s v="Sí"/>
    <s v="Radicado 20261500021643"/>
    <s v="150-50"/>
    <s v="Aumentar señales de expansión y cobertura del servicio de energía eléctrica."/>
    <s v="Documentos de Planeación"/>
    <s v="Documento de planeación validado."/>
    <n v="80111620"/>
    <s v="C-2102-1900-6-40301C-2102009-02"/>
    <x v="0"/>
    <s v="150-50 Prestar servicios profesionales para apoyar el modelamiento y la simulación de escenarios requeridos, para la elaboración del Plan Indicativo de Expansión de la Generación, así como apoyar el seguimiento de proyectos y la elaboración de documentos "/>
    <s v="Enero "/>
    <s v="Enero "/>
    <s v="Enero "/>
    <n v="12"/>
    <s v="Meses"/>
    <s v="Contratación directa - Prestación de servicios profesionales "/>
    <s v="Propios - 20 - Ingresos corrientes"/>
    <n v="102000000"/>
    <n v="102000000"/>
    <s v="Si"/>
    <s v="Solicitadas"/>
    <s v="Guillermo Holguin Garcia"/>
    <s v="Subdirector de Energía Eléctrica"/>
    <n v="6012220601"/>
    <s v="guillermo.holguin@upme.gov.co"/>
    <n v="59500000"/>
    <n v="0"/>
    <n v="0"/>
    <n v="8500000"/>
    <n v="0"/>
    <n v="8500000"/>
    <n v="0"/>
    <n v="8500000"/>
    <n v="0"/>
    <n v="8500000"/>
    <n v="0"/>
    <n v="8500000"/>
    <n v="0"/>
    <n v="8500000"/>
    <n v="42500000"/>
    <n v="8500000"/>
    <n v="0"/>
    <n v="8500000"/>
    <n v="0"/>
    <n v="8500000"/>
    <n v="0"/>
    <n v="8500000"/>
    <n v="0"/>
    <n v="17000000"/>
    <n v="102000000"/>
    <n v="102000000"/>
    <n v="0"/>
    <n v="0"/>
    <s v="Prestar servicios profesionales para apoyar el modelamiento y la simulación de escenarios requeridos, para la elaboración del Plan Indicativo de Expansión de la Generación, así como apoyar el seguimiento de proyectos y la elaboración de documentos en el m"/>
    <n v="59500000"/>
    <m/>
    <m/>
    <n v="8500000"/>
    <m/>
    <n v="8500000"/>
    <m/>
    <n v="8500000"/>
    <m/>
    <n v="8500000"/>
    <m/>
    <n v="8500000"/>
    <m/>
    <n v="8500000"/>
    <n v="42500000"/>
    <n v="8500000"/>
    <m/>
    <n v="8500000"/>
    <m/>
    <n v="8500000"/>
    <m/>
    <n v="8500000"/>
    <m/>
    <n v="17000000"/>
    <m/>
    <m/>
    <n v="102000000"/>
    <n v="102000000"/>
    <n v="0"/>
    <n v="0"/>
    <n v="1326"/>
    <d v="2026-01-05T00:00:00"/>
    <n v="59500000"/>
    <n v="42500000"/>
    <n v="1326"/>
    <d v="2026-01-05T00:00:00"/>
    <n v="59500000"/>
    <n v="42500000"/>
    <n v="0"/>
    <s v="CHAVARRO BARRERA LUIS MIGUEL"/>
    <s v="CO1.PCCNT.7539470"/>
    <n v="59500000"/>
    <m/>
    <m/>
    <m/>
    <n v="8500000"/>
    <n v="8500000"/>
    <m/>
    <n v="8500000"/>
    <n v="8500000"/>
    <m/>
    <n v="8500000"/>
    <n v="8500000"/>
    <m/>
    <m/>
    <m/>
    <m/>
    <m/>
    <m/>
    <m/>
    <m/>
    <m/>
    <m/>
    <m/>
    <m/>
    <m/>
    <m/>
    <m/>
    <m/>
    <m/>
    <m/>
    <m/>
    <m/>
    <m/>
    <m/>
    <m/>
    <m/>
    <n v="59500000"/>
    <n v="25500000"/>
    <n v="25500000"/>
    <n v="34000000"/>
    <n v="0"/>
  </r>
  <r>
    <x v="0"/>
    <x v="6"/>
    <s v="Fortalecimiento de la planeación para reducir las limitaciones en la prestación del servicio de energía eléctrica y la atención plena de la demanda nacional."/>
    <s v="Energía"/>
    <s v="Sí"/>
    <s v="Sí"/>
    <n v="20"/>
    <s v="150-51"/>
    <s v="Aumentar señales de expansión y cobertura del servicio de energía eléctrica."/>
    <s v="Documentos de Planeación"/>
    <s v="Documento de planeación validado."/>
    <n v="80111620"/>
    <s v="C-2102-1900-6-40301C-2102009-02"/>
    <x v="0"/>
    <s v="150-51 Prestar los servicios profesionales para apoyar el Plan Indicativo de Expansión de Generación, así como apoyar el seguimiento y proyectos que se lleven en el marco de las actividades del grupo de generación de la Subdirección de Energía Eléctrica."/>
    <s v="Enero "/>
    <s v="Enero "/>
    <s v="Febrero"/>
    <n v="12"/>
    <s v="Meses"/>
    <s v="Contratación directa - Prestación de servicios profesionales "/>
    <s v="Propios - 20 - Ingresos corrientes"/>
    <n v="95972800"/>
    <n v="95972800"/>
    <s v="No"/>
    <s v="N/A"/>
    <s v="Guillermo Holguin Garcia"/>
    <s v="Subdirector de Energía Eléctrica"/>
    <n v="6012220601"/>
    <s v="guillermo.holguin@upme.gov.co"/>
    <n v="0"/>
    <n v="0"/>
    <n v="114103000"/>
    <n v="0"/>
    <n v="0"/>
    <n v="4961000"/>
    <n v="0"/>
    <n v="9922000"/>
    <n v="0"/>
    <n v="9922000"/>
    <n v="0"/>
    <n v="9922000"/>
    <n v="0"/>
    <n v="9922000"/>
    <n v="0"/>
    <n v="9922000"/>
    <n v="0"/>
    <n v="9922000"/>
    <n v="0"/>
    <n v="9922000"/>
    <n v="0"/>
    <n v="9922000"/>
    <n v="0"/>
    <n v="29766000"/>
    <n v="114103000"/>
    <n v="114103000"/>
    <n v="-18130200"/>
    <n v="-18130200"/>
    <s v="Prestar los servicios profesionales para apoyar el Plan Indicativo de Expansión de Generación, así como apoyar el seguimiento y proyectos que se lleven en el marco de las actividades del grupo de generación de la Subdirección de Energía Eléctrica."/>
    <n v="95972800"/>
    <m/>
    <m/>
    <m/>
    <m/>
    <n v="5998300"/>
    <m/>
    <n v="8997450"/>
    <m/>
    <n v="8997450"/>
    <m/>
    <n v="8997450"/>
    <m/>
    <n v="8997450"/>
    <m/>
    <n v="8997450"/>
    <m/>
    <n v="8997450"/>
    <m/>
    <n v="8997450"/>
    <m/>
    <n v="8997450"/>
    <m/>
    <n v="17994900"/>
    <m/>
    <m/>
    <n v="95972800"/>
    <n v="95972800"/>
    <n v="0"/>
    <n v="0"/>
    <n v="34426"/>
    <d v="2026-01-15T00:00:00"/>
    <n v="95972800"/>
    <n v="0"/>
    <n v="46726"/>
    <d v="2026-02-06T00:00:00"/>
    <n v="95972800"/>
    <n v="0"/>
    <n v="0"/>
    <s v="CAICEDO NAVARRO JOAQUIN EDUARDO"/>
    <s v="CO1.PCCNTR.9239157"/>
    <m/>
    <m/>
    <m/>
    <n v="100471525"/>
    <m/>
    <m/>
    <m/>
    <n v="5998300"/>
    <n v="5998300"/>
    <n v="-4498725"/>
    <n v="8997450"/>
    <n v="8997450"/>
    <m/>
    <m/>
    <m/>
    <m/>
    <m/>
    <m/>
    <m/>
    <m/>
    <m/>
    <m/>
    <m/>
    <m/>
    <m/>
    <m/>
    <m/>
    <m/>
    <m/>
    <m/>
    <m/>
    <m/>
    <m/>
    <m/>
    <m/>
    <m/>
    <n v="95972800"/>
    <n v="14995750"/>
    <n v="14995750"/>
    <n v="80977050"/>
    <n v="0"/>
  </r>
  <r>
    <x v="0"/>
    <x v="6"/>
    <s v="Fortalecimiento de la planeación para reducir las limitaciones en la prestación del servicio de energía eléctrica y la atención plena de la demanda nacional."/>
    <s v="Energía"/>
    <s v="Sí"/>
    <s v="Sí"/>
    <n v="68"/>
    <s v="150-52"/>
    <s v="Aumentar señales de expansión y cobertura del servicio de energía eléctrica."/>
    <s v="Documentos de Planeación"/>
    <s v="Documento de planeación validado."/>
    <n v="80111620"/>
    <s v="C-2102-1900-6-40301C-2102009-02"/>
    <x v="0"/>
    <s v="150-52 Prestar los servicios profesionales  para analizar, procesar y presentar resultados estableciendo estándares, políticas y procesos que determinen el uso, desarrollo y gestión de los datos que se generen en el marco de los análisis que realice la Su"/>
    <s v="Enero "/>
    <s v="Enero "/>
    <s v="Febrero"/>
    <n v="12"/>
    <s v="Meses"/>
    <s v="Contratación directa - Prestación de servicios profesionales "/>
    <s v="Propios - 20 - Ingresos corrientes"/>
    <n v="42550000"/>
    <n v="42550000"/>
    <s v="No"/>
    <s v="N/A"/>
    <s v="Guillermo Holguin Garcia"/>
    <s v="Subdirector de Energía Eléctrica"/>
    <n v="6012220601"/>
    <s v="guillermo.holguin@upme.gov.co"/>
    <n v="0"/>
    <n v="0"/>
    <n v="41563333"/>
    <n v="0"/>
    <n v="0"/>
    <n v="1850000"/>
    <n v="0"/>
    <n v="3700000"/>
    <n v="0"/>
    <n v="3700000"/>
    <n v="0"/>
    <n v="3700000"/>
    <n v="0"/>
    <n v="3700000"/>
    <n v="0"/>
    <n v="3700000"/>
    <n v="0"/>
    <n v="3700000"/>
    <n v="0"/>
    <n v="3700000"/>
    <n v="986667"/>
    <n v="3700000"/>
    <n v="0"/>
    <n v="11100000"/>
    <n v="42550000"/>
    <n v="42550000"/>
    <n v="0"/>
    <n v="0"/>
    <s v="Prestar los servicios profesionales  para analizar, procesar y presentar resultados estableciendo estándares, políticas y procesos que determinen el uso, desarrollo y gestión de los datos que se generen en el marco de los análisis que realice la Subdirecc"/>
    <m/>
    <m/>
    <n v="41563333"/>
    <m/>
    <m/>
    <n v="1850000"/>
    <m/>
    <n v="3700000"/>
    <m/>
    <n v="3700000"/>
    <m/>
    <n v="3700000"/>
    <m/>
    <n v="3700000"/>
    <m/>
    <n v="3700000"/>
    <m/>
    <n v="3700000"/>
    <m/>
    <n v="3700000"/>
    <n v="986667"/>
    <n v="3700000"/>
    <m/>
    <n v="11100000"/>
    <m/>
    <m/>
    <n v="42550000"/>
    <n v="42550000"/>
    <n v="0"/>
    <n v="0"/>
    <n v="33426"/>
    <d v="2026-01-15T00:00:00"/>
    <n v="40330000"/>
    <n v="2220000"/>
    <n v="39126"/>
    <d v="2026-02-03T00:00:00"/>
    <n v="40330000"/>
    <n v="2220000"/>
    <n v="0"/>
    <s v="PINILLA GRANADOS MARIA CAMILA"/>
    <s v="CO1.PCCNTR.9187877"/>
    <m/>
    <m/>
    <m/>
    <n v="41563333"/>
    <m/>
    <m/>
    <m/>
    <n v="3330000"/>
    <n v="3330000"/>
    <n v="-1233333"/>
    <n v="3700000"/>
    <n v="3700000"/>
    <m/>
    <m/>
    <m/>
    <m/>
    <m/>
    <m/>
    <m/>
    <m/>
    <m/>
    <m/>
    <m/>
    <m/>
    <m/>
    <m/>
    <m/>
    <m/>
    <m/>
    <m/>
    <m/>
    <m/>
    <m/>
    <m/>
    <m/>
    <m/>
    <n v="40330000"/>
    <n v="7030000"/>
    <n v="7030000"/>
    <n v="33300000"/>
    <n v="0"/>
  </r>
  <r>
    <x v="0"/>
    <x v="6"/>
    <s v="Fortalecimiento de la planeación para reducir las limitaciones en la prestación del servicio de energía eléctrica y la atención plena de la demanda nacional."/>
    <s v="Energía"/>
    <s v="Sí"/>
    <s v="Sí"/>
    <n v="68"/>
    <s v="150-53"/>
    <s v="Aumentar señales de expansión y cobertura del servicio de energía eléctrica."/>
    <s v="Documentos de Planeación"/>
    <s v="Documento de planeación validado."/>
    <n v="80111620"/>
    <s v="C-2102-1900-6-40301C-2102009-02"/>
    <x v="0"/>
    <s v="150-53 Prestar los servicios profesionales para apoyar la actualización de las herramientas ofimáticas del grupo de generación y cobertura, así como participar de los análisis para el plan de generación y las evaluaciones de los registros de proyectos de "/>
    <s v="Enero "/>
    <s v="Enero "/>
    <s v="Enero "/>
    <n v="12"/>
    <s v="Meses"/>
    <s v="Contratación directa - Prestación de servicios profesionales "/>
    <s v="Propios - 20 - Ingresos corrientes"/>
    <n v="71300000"/>
    <n v="71300000"/>
    <s v="No"/>
    <s v="N/A"/>
    <s v="Guillermo Holguin Garcia"/>
    <s v="Subdirector de Energía Eléctrica"/>
    <n v="6012220601"/>
    <s v="guillermo.holguin@upme.gov.co"/>
    <n v="69646667"/>
    <n v="0"/>
    <n v="0"/>
    <n v="3100000"/>
    <n v="0"/>
    <n v="6200000"/>
    <n v="1653333"/>
    <n v="6200000"/>
    <n v="0"/>
    <n v="6200000"/>
    <n v="0"/>
    <n v="6200000"/>
    <n v="0"/>
    <n v="6200000"/>
    <n v="0"/>
    <n v="6200000"/>
    <n v="0"/>
    <n v="6200000"/>
    <n v="0"/>
    <n v="6200000"/>
    <n v="0"/>
    <n v="6200000"/>
    <n v="0"/>
    <n v="12400000"/>
    <n v="71300000"/>
    <n v="71300000"/>
    <n v="0"/>
    <n v="0"/>
    <s v="Prestar los servicios profesionales para apoyar la actualización de las herramientas ofimáticas del grupo de generación y cobertura, así como participar de los análisis para el plan de generación y las evaluaciones de los registros de proyectos de generac"/>
    <n v="69646667"/>
    <m/>
    <m/>
    <n v="3100000"/>
    <m/>
    <n v="6200000"/>
    <n v="1653333"/>
    <n v="6200000"/>
    <m/>
    <n v="6200000"/>
    <m/>
    <n v="6200000"/>
    <m/>
    <n v="6200000"/>
    <m/>
    <n v="6200000"/>
    <m/>
    <n v="6200000"/>
    <m/>
    <n v="6200000"/>
    <m/>
    <n v="6200000"/>
    <m/>
    <n v="12400000"/>
    <m/>
    <m/>
    <n v="71300000"/>
    <n v="71300000"/>
    <n v="0"/>
    <n v="0"/>
    <n v="27326"/>
    <d v="2026-01-14T00:00:00"/>
    <n v="68406667"/>
    <n v="2893333"/>
    <n v="27726"/>
    <d v="2026-01-28T00:00:00"/>
    <n v="68406667"/>
    <n v="2893333"/>
    <n v="0"/>
    <s v="CANTOR MOLINA ANDRES FELIPE"/>
    <s v="CO1.PCCNTR.9142253"/>
    <n v="69646667"/>
    <m/>
    <m/>
    <n v="-1240000"/>
    <m/>
    <m/>
    <m/>
    <n v="6406667"/>
    <n v="6406667"/>
    <m/>
    <n v="6200000"/>
    <n v="6200000"/>
    <m/>
    <m/>
    <m/>
    <m/>
    <m/>
    <m/>
    <m/>
    <m/>
    <m/>
    <m/>
    <m/>
    <m/>
    <m/>
    <m/>
    <m/>
    <m/>
    <m/>
    <m/>
    <m/>
    <m/>
    <m/>
    <m/>
    <m/>
    <m/>
    <n v="68406667"/>
    <n v="12606667"/>
    <n v="12606667"/>
    <n v="55800000"/>
    <n v="0"/>
  </r>
  <r>
    <x v="0"/>
    <x v="6"/>
    <s v="Fortalecimiento de la planeación para reducir las limitaciones en la prestación del servicio de energía eléctrica y la atención plena de la demanda nacional."/>
    <s v="Energía"/>
    <s v="Sí"/>
    <s v="Sí"/>
    <n v="68"/>
    <s v="150-54"/>
    <s v="Aumentar señales de expansión y cobertura del servicio de energía eléctrica."/>
    <s v="Documentos de Planeación"/>
    <s v="Documento de planeación validado."/>
    <n v="80111620"/>
    <s v="C-2102-1900-6-40301C-2102009-02"/>
    <x v="0"/>
    <s v="150-54 Prestar servicios profesionales para el apoyo técnico en la evaluación, análisis y procesamiento de las solicitudes de conexión a las redes de transmisión nacional, regional y de distribución, mediante la aplicación de metodologías y criterios técn"/>
    <s v="Enero "/>
    <s v="Enero "/>
    <s v="Enero "/>
    <n v="10"/>
    <s v="Meses"/>
    <s v="Contratación directa - Prestación de servicios profesionales "/>
    <s v="Propios - 20 - Ingresos corrientes"/>
    <n v="60000000"/>
    <n v="60000000"/>
    <s v="No"/>
    <s v="N/A"/>
    <s v="Guillermo Holguin Garcia"/>
    <s v="Subdirector de Energía Eléctrica"/>
    <n v="6012220601"/>
    <s v="guillermo.holguin@upme.gov.co"/>
    <n v="60000000"/>
    <n v="0"/>
    <n v="0"/>
    <n v="0"/>
    <n v="0"/>
    <n v="6000000"/>
    <n v="0"/>
    <n v="6000000"/>
    <n v="0"/>
    <n v="6000000"/>
    <n v="0"/>
    <n v="6000000"/>
    <n v="0"/>
    <n v="6000000"/>
    <n v="0"/>
    <n v="6000000"/>
    <n v="0"/>
    <n v="6000000"/>
    <n v="0"/>
    <n v="6000000"/>
    <n v="0"/>
    <n v="6000000"/>
    <n v="0"/>
    <n v="6000000"/>
    <n v="60000000"/>
    <n v="60000000"/>
    <n v="0"/>
    <n v="0"/>
    <s v="Prestar servicios profesionales para el apoyo técnico en la evaluación, análisis y procesamiento de las solicitudes de conexión a las redes de transmisión nacional, regional y de distribución, mediante la aplicación de metodologías y criterios técnicos de"/>
    <n v="60000000"/>
    <m/>
    <m/>
    <m/>
    <m/>
    <n v="6000000"/>
    <m/>
    <n v="6000000"/>
    <m/>
    <n v="6000000"/>
    <m/>
    <n v="6000000"/>
    <m/>
    <n v="6000000"/>
    <m/>
    <n v="6000000"/>
    <m/>
    <n v="6000000"/>
    <m/>
    <n v="6000000"/>
    <m/>
    <n v="6000000"/>
    <m/>
    <n v="6000000"/>
    <m/>
    <m/>
    <n v="60000000"/>
    <n v="60000000"/>
    <n v="0"/>
    <n v="0"/>
    <n v="8426"/>
    <d v="2026-01-06T00:00:00"/>
    <n v="60000000"/>
    <n v="0"/>
    <n v="8926"/>
    <d v="2026-01-14T00:00:00"/>
    <n v="60000000"/>
    <n v="0"/>
    <n v="0"/>
    <s v="MENA PALACIOS FRANCISCO LUIS"/>
    <s v="CO1.PCCNTR.8804084"/>
    <n v="60000000"/>
    <m/>
    <m/>
    <m/>
    <m/>
    <m/>
    <m/>
    <n v="9200000"/>
    <n v="9200000"/>
    <m/>
    <n v="6000000"/>
    <n v="6000000"/>
    <m/>
    <m/>
    <m/>
    <m/>
    <m/>
    <m/>
    <m/>
    <m/>
    <m/>
    <m/>
    <m/>
    <m/>
    <m/>
    <m/>
    <m/>
    <m/>
    <m/>
    <m/>
    <m/>
    <m/>
    <m/>
    <m/>
    <m/>
    <m/>
    <n v="60000000"/>
    <n v="15200000"/>
    <n v="15200000"/>
    <n v="44800000"/>
    <n v="0"/>
  </r>
  <r>
    <x v="0"/>
    <x v="6"/>
    <s v="Fortalecimiento de la planeación para reducir las limitaciones en la prestación del servicio de energía eléctrica y la atención plena de la demanda nacional."/>
    <s v="Energía"/>
    <s v="Sí"/>
    <s v="Sí"/>
    <n v="8"/>
    <s v="150-5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55 Prestación de servicios profesionales para apoyar la elaboración de documentos y el procesamiento de información asociados a las convocatorias públicas."/>
    <s v="Enero "/>
    <s v="Enero "/>
    <s v="Febrero"/>
    <n v="10"/>
    <s v="Meses"/>
    <s v="Contratación directa - Prestación de servicios profesionales "/>
    <s v="Propios - 20 - Ingresos corrientes"/>
    <n v="3898291"/>
    <n v="3898291"/>
    <s v="No"/>
    <s v="N/A"/>
    <s v="Guillermo Holguin Garcia"/>
    <s v="Subdirector de Energía Eléctrica"/>
    <n v="6012220601"/>
    <s v="guillermo.holguin@upme.gov.co"/>
    <n v="0"/>
    <n v="0"/>
    <n v="3898291"/>
    <n v="0"/>
    <n v="0"/>
    <n v="0"/>
    <n v="0"/>
    <n v="389829"/>
    <n v="0"/>
    <n v="389829"/>
    <n v="0"/>
    <n v="389829"/>
    <n v="0"/>
    <n v="389829"/>
    <n v="0"/>
    <n v="389829"/>
    <n v="0"/>
    <n v="389829"/>
    <n v="0"/>
    <n v="389829"/>
    <n v="0"/>
    <n v="389829"/>
    <n v="0"/>
    <n v="779659"/>
    <n v="3898291"/>
    <n v="3898291"/>
    <n v="0"/>
    <n v="0"/>
    <s v="Prestación de servicios profesionales para apoyar la elaboración de documentos y el procesamiento de información asociados a las convocatorias públicas."/>
    <m/>
    <m/>
    <n v="3898291"/>
    <m/>
    <m/>
    <m/>
    <m/>
    <n v="389829"/>
    <m/>
    <n v="389829"/>
    <m/>
    <n v="389829"/>
    <m/>
    <n v="389829"/>
    <m/>
    <n v="389829"/>
    <m/>
    <n v="389829"/>
    <m/>
    <n v="389829"/>
    <m/>
    <n v="389829"/>
    <m/>
    <n v="779659"/>
    <m/>
    <m/>
    <n v="3898291"/>
    <n v="3898291"/>
    <n v="0"/>
    <n v="0"/>
    <n v="65426"/>
    <d v="2026-01-26T00:00:00"/>
    <n v="3898291"/>
    <n v="0"/>
    <n v="59626"/>
    <d v="2026-02-12T00:00:00"/>
    <n v="3898291"/>
    <n v="0"/>
    <n v="0"/>
    <s v="ARIZA NUÑEZ DAYANA ASTRID"/>
    <s v="CO1.PCCNTR.9280734"/>
    <m/>
    <m/>
    <m/>
    <n v="3898291"/>
    <m/>
    <m/>
    <m/>
    <n v="2891700"/>
    <n v="2891700"/>
    <m/>
    <m/>
    <m/>
    <m/>
    <m/>
    <m/>
    <m/>
    <m/>
    <m/>
    <m/>
    <m/>
    <m/>
    <m/>
    <m/>
    <m/>
    <m/>
    <m/>
    <m/>
    <m/>
    <m/>
    <m/>
    <m/>
    <m/>
    <m/>
    <m/>
    <m/>
    <m/>
    <n v="3898291"/>
    <n v="2891700"/>
    <n v="2891700"/>
    <n v="1006591"/>
    <n v="0"/>
  </r>
  <r>
    <x v="0"/>
    <x v="6"/>
    <s v="Fortalecimiento de la planeación para reducir las limitaciones en la prestación del servicio de energía eléctrica y la atención plena de la demanda nacional."/>
    <s v="Energía"/>
    <s v="Sí"/>
    <s v="Sí"/>
    <n v="21"/>
    <s v="150-56"/>
    <s v="Aumentar señales de expansión y cobertura del servicio de energía eléctrica."/>
    <s v="Documentos de Planeación"/>
    <s v="Documento de planeación validado."/>
    <n v="80111620"/>
    <s v="C-2102-1900-6-40301C-2102009-02"/>
    <x v="0"/>
    <s v="150-56 Prestación de servicios profesionales para apoyar el análisis energético de largo plazo en el marco de la formulación del Plan de Expansión de Generación."/>
    <s v="Enero "/>
    <s v="Enero "/>
    <s v="Febrero"/>
    <n v="11.5"/>
    <s v="Meses"/>
    <s v="Contratación directa - Prestación de servicios profesionales "/>
    <s v="Propios - 20 - Ingresos corrientes"/>
    <n v="35811405"/>
    <n v="35811405"/>
    <s v="No"/>
    <s v="N/A"/>
    <s v="Guillermo Holguin Garcia"/>
    <s v="Subdirector de Energía Eléctrica"/>
    <n v="6012220601"/>
    <s v="guillermo.holguin@upme.gov.co"/>
    <n v="0"/>
    <n v="0"/>
    <n v="36687525"/>
    <n v="0"/>
    <n v="0"/>
    <n v="1166667"/>
    <n v="2979142"/>
    <n v="3500000"/>
    <n v="0"/>
    <n v="3500000"/>
    <n v="0"/>
    <n v="3500000"/>
    <n v="0"/>
    <n v="3500000"/>
    <n v="0"/>
    <n v="3500000"/>
    <n v="0"/>
    <n v="3500000"/>
    <n v="0"/>
    <n v="3500000"/>
    <n v="0"/>
    <n v="3500000"/>
    <n v="0"/>
    <n v="10500000"/>
    <n v="39666667"/>
    <n v="39666667"/>
    <n v="-3855262"/>
    <n v="-3855262"/>
    <s v="Prestación de servicios profesionales para apoyar el análisis energético de largo plazo en el marco de la formulación del Plan de Expansión de Generación."/>
    <m/>
    <m/>
    <n v="35811405"/>
    <m/>
    <m/>
    <n v="2956905"/>
    <m/>
    <n v="3285450"/>
    <m/>
    <n v="3285450"/>
    <m/>
    <n v="3285450"/>
    <m/>
    <n v="3285450"/>
    <m/>
    <n v="3285450"/>
    <m/>
    <n v="3285450"/>
    <m/>
    <n v="3285450"/>
    <m/>
    <n v="3285450"/>
    <m/>
    <n v="6570900"/>
    <m/>
    <m/>
    <n v="35811405"/>
    <n v="35811405"/>
    <n v="0"/>
    <n v="0"/>
    <n v="56826"/>
    <d v="2026-01-22T00:00:00"/>
    <n v="35811405"/>
    <n v="0"/>
    <n v="38726"/>
    <d v="2026-02-03T00:00:00"/>
    <n v="35811405"/>
    <n v="0"/>
    <n v="0"/>
    <s v="MATTA AMADOR SANTIAGO"/>
    <s v="CO1.PCCNTR.9164165"/>
    <m/>
    <m/>
    <m/>
    <n v="36687525"/>
    <m/>
    <m/>
    <m/>
    <n v="2956905"/>
    <n v="2956905"/>
    <n v="-876120"/>
    <n v="3285450"/>
    <n v="3285450"/>
    <m/>
    <m/>
    <m/>
    <m/>
    <m/>
    <m/>
    <m/>
    <m/>
    <m/>
    <m/>
    <m/>
    <m/>
    <m/>
    <m/>
    <m/>
    <m/>
    <m/>
    <m/>
    <m/>
    <m/>
    <m/>
    <m/>
    <m/>
    <m/>
    <n v="35811405"/>
    <n v="6242355"/>
    <n v="6242355"/>
    <n v="29569050"/>
    <n v="0"/>
  </r>
  <r>
    <x v="0"/>
    <x v="6"/>
    <s v="Fortalecimiento de la planeación para reducir las limitaciones en la prestación del servicio de energía eléctrica y la atención plena de la demanda nacional."/>
    <s v="Energía"/>
    <s v="Sí"/>
    <s v="Sí"/>
    <n v="21"/>
    <s v="150-57"/>
    <s v="Aumentar señales de expansión y cobertura del servicio de energía eléctrica."/>
    <s v="Documentos de Planeación"/>
    <s v="Documento de planeación validado."/>
    <n v="80111620"/>
    <s v="C-2102-1900-6-40301C-2102009-02"/>
    <x v="0"/>
    <s v="150-57 Prestar servicios profesionales para realizar el seguimiento a la ejecución de los proyectos de nivel de tensión IV que corresponde a la UPME y a los procedimientos asociados, y apoyar los análisis, evaluaciones y conceptos sobre las solicitudes de"/>
    <s v="Enero "/>
    <s v="Enero "/>
    <s v="Febrero"/>
    <n v="11.5"/>
    <s v="Meses"/>
    <s v="Contratación directa - Prestación de servicios profesionales "/>
    <s v="Propios - 20 - Ingresos corrientes"/>
    <n v="79289720"/>
    <n v="79289720"/>
    <s v="No"/>
    <s v="N/A"/>
    <s v="Guillermo Holguin Garcia"/>
    <s v="Subdirector de Energía Eléctrica"/>
    <n v="6012220601"/>
    <s v="guillermo.holguin@upme.gov.co"/>
    <n v="0"/>
    <n v="0"/>
    <n v="83910900"/>
    <n v="0"/>
    <n v="0"/>
    <n v="3648300"/>
    <n v="0"/>
    <n v="7296600"/>
    <n v="0"/>
    <n v="7296600"/>
    <n v="0"/>
    <n v="7296600"/>
    <n v="0"/>
    <n v="7296600"/>
    <n v="0"/>
    <n v="7296600"/>
    <n v="0"/>
    <n v="7296600"/>
    <n v="0"/>
    <n v="7296600"/>
    <n v="0"/>
    <n v="7296600"/>
    <n v="0"/>
    <n v="21889800"/>
    <n v="83910900"/>
    <n v="83910900"/>
    <n v="-4621180"/>
    <n v="-4621180"/>
    <s v="Prestar servicios profesionales para realizar el seguimiento a la ejecución de los proyectos de nivel de tensión IV que corresponde a la UPME y a los procedimientos asociados, y apoyar los análisis, evaluaciones y conceptos sobre las solicitudes de asigna"/>
    <m/>
    <m/>
    <n v="79289720"/>
    <m/>
    <m/>
    <n v="6323720"/>
    <m/>
    <n v="7296600"/>
    <m/>
    <n v="7296600"/>
    <m/>
    <n v="7296600"/>
    <m/>
    <n v="7296600"/>
    <m/>
    <n v="7296600"/>
    <m/>
    <n v="7296600"/>
    <m/>
    <n v="7296600"/>
    <m/>
    <n v="7296600"/>
    <m/>
    <n v="14593200"/>
    <m/>
    <m/>
    <n v="79289720"/>
    <n v="79289720"/>
    <n v="0"/>
    <n v="0"/>
    <n v="27126"/>
    <d v="2026-01-14T00:00:00"/>
    <n v="79289720"/>
    <n v="0"/>
    <n v="43026"/>
    <d v="2026-02-05T00:00:00"/>
    <n v="79289720"/>
    <n v="0"/>
    <n v="0"/>
    <s v="ECHEVERRIA ROJAS SONIA ESPERANZA"/>
    <s v="CO1.PCCNTR.9237150"/>
    <m/>
    <m/>
    <m/>
    <n v="81965140"/>
    <m/>
    <m/>
    <m/>
    <n v="6323720"/>
    <n v="6323720"/>
    <n v="-2675420"/>
    <n v="7296600"/>
    <n v="7296600"/>
    <m/>
    <m/>
    <m/>
    <m/>
    <m/>
    <m/>
    <m/>
    <m/>
    <m/>
    <m/>
    <m/>
    <m/>
    <m/>
    <m/>
    <m/>
    <m/>
    <m/>
    <m/>
    <m/>
    <m/>
    <m/>
    <m/>
    <m/>
    <m/>
    <n v="79289720"/>
    <n v="13620320"/>
    <n v="13620320"/>
    <n v="65669400"/>
    <n v="0"/>
  </r>
  <r>
    <x v="0"/>
    <x v="6"/>
    <s v="Fortalecimiento de la planeación para reducir las limitaciones en la prestación del servicio de energía eléctrica y la atención plena de la demanda nacional."/>
    <s v="Energía"/>
    <s v="Sí"/>
    <s v="Sí"/>
    <n v="21"/>
    <s v="150-58"/>
    <s v="Aumentar señales de expansión y cobertura del servicio de energía eléctrica."/>
    <s v="Documentos de Planeación"/>
    <s v="Documento de planeación validado."/>
    <n v="80111620"/>
    <s v="C-2102-1900-6-40301C-2102009-02"/>
    <x v="0"/>
    <s v="150-58 Prestar servicios profesionales para apoyar el análisis de las solicitudes de asignación de capacidad de proyectos de generación y usuarios finales, procesar la información requerida por los modelos y participar del proceso de verificación de requi"/>
    <s v="Enero "/>
    <s v="Enero "/>
    <s v="Febrero"/>
    <n v="11.5"/>
    <s v="Meses"/>
    <s v="Contratación directa - Prestación de servicios profesionales "/>
    <s v="Propios - 20 - Ingresos corrientes"/>
    <n v="79046500"/>
    <n v="79046500"/>
    <s v="No"/>
    <s v="N/A"/>
    <s v="Guillermo Holguin Garcia"/>
    <s v="Subdirector de Energía Eléctrica"/>
    <n v="6012220601"/>
    <s v="guillermo.holguin@upme.gov.co"/>
    <n v="0"/>
    <n v="0"/>
    <n v="83910900"/>
    <n v="0"/>
    <n v="0"/>
    <n v="3648300"/>
    <n v="0"/>
    <n v="7296600"/>
    <n v="0"/>
    <n v="7296600"/>
    <n v="0"/>
    <n v="7296600"/>
    <n v="0"/>
    <n v="7296600"/>
    <n v="0"/>
    <n v="7296600"/>
    <n v="0"/>
    <n v="7296600"/>
    <n v="0"/>
    <n v="7296600"/>
    <n v="0"/>
    <n v="7296600"/>
    <n v="0"/>
    <n v="21889800"/>
    <n v="83910900"/>
    <n v="83910900"/>
    <n v="-4864400"/>
    <n v="-4864400"/>
    <s v="Prestar servicios profesionales para apoyar el análisis de las solicitudes de asignación de capacidad de proyectos de generación y usuarios finales, procesar la información requerida por los modelos y participar del proceso de verificación de requisitos y"/>
    <m/>
    <m/>
    <n v="79046500"/>
    <m/>
    <m/>
    <n v="6080500"/>
    <m/>
    <n v="7296600"/>
    <m/>
    <n v="7296600"/>
    <m/>
    <n v="7296600"/>
    <m/>
    <n v="7296600"/>
    <m/>
    <n v="7296600"/>
    <m/>
    <n v="7296600"/>
    <m/>
    <n v="7296600"/>
    <m/>
    <n v="7296600"/>
    <m/>
    <n v="14593200"/>
    <m/>
    <m/>
    <n v="79046500"/>
    <n v="79046500"/>
    <n v="0"/>
    <n v="0"/>
    <n v="32826"/>
    <d v="2026-01-14T00:00:00"/>
    <n v="79046500"/>
    <n v="0"/>
    <n v="43626"/>
    <d v="2026-02-05T00:00:00"/>
    <n v="79046500"/>
    <n v="0"/>
    <n v="0"/>
    <s v="VILLAMIL CASTAÑEDA WILLIAM FERNANDO"/>
    <s v="CO1.PCCNTR.9236292"/>
    <m/>
    <m/>
    <m/>
    <n v="81965140"/>
    <m/>
    <m/>
    <m/>
    <n v="6080500"/>
    <n v="6080500"/>
    <n v="-2918640"/>
    <n v="7296600"/>
    <n v="7296600"/>
    <m/>
    <m/>
    <m/>
    <m/>
    <m/>
    <m/>
    <m/>
    <m/>
    <m/>
    <m/>
    <m/>
    <m/>
    <m/>
    <m/>
    <m/>
    <m/>
    <m/>
    <m/>
    <m/>
    <m/>
    <m/>
    <m/>
    <m/>
    <m/>
    <n v="79046500"/>
    <n v="13377100"/>
    <n v="13377100"/>
    <n v="65669400"/>
    <n v="0"/>
  </r>
  <r>
    <x v="0"/>
    <x v="6"/>
    <s v="Fortalecimiento de la planeación para reducir las limitaciones en la prestación del servicio de energía eléctrica y la atención plena de la demanda nacional."/>
    <s v="Energía"/>
    <s v="Sí"/>
    <s v="Sí"/>
    <n v="21"/>
    <s v="150-59"/>
    <s v="Aumentar señales de expansión y cobertura del servicio de energía eléctrica."/>
    <s v="Documentos de Planeación"/>
    <s v="Documento de planeación validado."/>
    <n v="80111620"/>
    <s v="C-2102-1900-6-40301C-2102009-02"/>
    <x v="0"/>
    <s v="150-59 Prestar servicios profesionales para proporcionar servicios profesionales para realizar el análisis y procesamiento de solicitudes de los agentes interesados en conectarse a la red nacional, regional y de distribución, incluyendo la evaluación de s"/>
    <s v="Enero "/>
    <s v="Enero "/>
    <s v="Enero "/>
    <n v="11.5"/>
    <s v="Meses"/>
    <s v="Contratación directa - Prestación de servicios profesionales "/>
    <s v="Propios - 20 - Ingresos corrientes"/>
    <n v="81315542"/>
    <n v="81315542"/>
    <s v="No"/>
    <s v="N/A"/>
    <s v="Guillermo Holguin Garcia"/>
    <s v="Subdirector de Energía Eléctrica"/>
    <n v="6012220601"/>
    <s v="guillermo.holguin@upme.gov.co"/>
    <n v="81965140"/>
    <n v="0"/>
    <n v="0"/>
    <n v="3648300"/>
    <n v="0"/>
    <n v="7296600"/>
    <n v="1945760"/>
    <n v="7296600"/>
    <n v="0"/>
    <n v="7296600"/>
    <n v="0"/>
    <n v="7296600"/>
    <n v="0"/>
    <n v="7296600"/>
    <n v="0"/>
    <n v="7296600"/>
    <n v="0"/>
    <n v="7296600"/>
    <n v="0"/>
    <n v="7296600"/>
    <n v="0"/>
    <n v="7296600"/>
    <n v="0"/>
    <n v="14593200"/>
    <n v="83910900"/>
    <n v="83910900"/>
    <n v="-2595358"/>
    <n v="-2595358"/>
    <s v="Prestar servicios profesionales para proporcionar servicios profesionales para realizar el análisis y procesamiento de solicitudes de los agentes interesados en conectarse a la red nacional, regional y de distribución, incluyendo la evaluación de solicitu"/>
    <n v="81315542"/>
    <m/>
    <m/>
    <n v="243220"/>
    <m/>
    <n v="7296600"/>
    <m/>
    <n v="7296600"/>
    <m/>
    <n v="7296600"/>
    <m/>
    <n v="7296600"/>
    <m/>
    <n v="7296600"/>
    <m/>
    <n v="7296600"/>
    <m/>
    <n v="7296600"/>
    <m/>
    <n v="7296600"/>
    <m/>
    <n v="7296600"/>
    <m/>
    <n v="15402922"/>
    <m/>
    <m/>
    <n v="81315542"/>
    <n v="81315542"/>
    <n v="0"/>
    <n v="0"/>
    <n v="37926"/>
    <d v="2026-01-15T00:00:00"/>
    <n v="80505820"/>
    <n v="809722"/>
    <n v="27126"/>
    <d v="2026-01-28T00:00:00"/>
    <n v="80505820"/>
    <n v="809722"/>
    <n v="0"/>
    <s v="CHITIVA LOZADA BRAJHAM DAVID"/>
    <s v="CO1.PCCNTR.9142674"/>
    <n v="81965140"/>
    <m/>
    <m/>
    <n v="-1459320"/>
    <n v="243220"/>
    <n v="243220"/>
    <m/>
    <n v="7296600"/>
    <n v="7296600"/>
    <m/>
    <n v="7296600"/>
    <n v="7296600"/>
    <m/>
    <m/>
    <m/>
    <m/>
    <m/>
    <m/>
    <m/>
    <m/>
    <m/>
    <m/>
    <m/>
    <m/>
    <m/>
    <m/>
    <m/>
    <m/>
    <m/>
    <m/>
    <m/>
    <m/>
    <m/>
    <m/>
    <m/>
    <m/>
    <n v="80505820"/>
    <n v="14836420"/>
    <n v="14836420"/>
    <n v="65669400"/>
    <n v="0"/>
  </r>
  <r>
    <x v="0"/>
    <x v="6"/>
    <s v="Fortalecimiento de la planeación para reducir las limitaciones en la prestación del servicio de energía eléctrica y la atención plena de la demanda nacional."/>
    <s v="Energía"/>
    <s v="Sí"/>
    <s v="Sí"/>
    <n v="68"/>
    <s v="150-6"/>
    <s v="Aumentar señales de expansión y cobertura del servicio de energía eléctrica."/>
    <s v="Documentos de Planeación"/>
    <s v="Documento de planeación validado."/>
    <n v="80111620"/>
    <s v="C-2102-1900-6-40301C-2102009-02"/>
    <x v="0"/>
    <s v="150-6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14526"/>
    <d v="2026-01-09T00:00:00"/>
    <n v="87000000"/>
    <n v="0"/>
    <n v="16926"/>
    <d v="2026-01-22T00:00:00"/>
    <n v="87000000"/>
    <n v="0"/>
    <n v="0"/>
    <s v="RUBIO NOCUA LUCY ADRIANA"/>
    <s v="CO1.PCCNTR.8938990"/>
    <n v="87000000"/>
    <m/>
    <m/>
    <m/>
    <n v="2320000"/>
    <n v="2320000"/>
    <m/>
    <n v="8700000"/>
    <n v="8700000"/>
    <m/>
    <n v="8700000"/>
    <n v="8700000"/>
    <m/>
    <m/>
    <m/>
    <m/>
    <m/>
    <m/>
    <m/>
    <m/>
    <m/>
    <m/>
    <m/>
    <m/>
    <m/>
    <m/>
    <m/>
    <m/>
    <m/>
    <m/>
    <m/>
    <m/>
    <m/>
    <m/>
    <m/>
    <m/>
    <n v="87000000"/>
    <n v="19720000"/>
    <n v="19720000"/>
    <n v="67280000"/>
    <n v="0"/>
  </r>
  <r>
    <x v="0"/>
    <x v="6"/>
    <s v="Fortalecimiento de la planeación para reducir las limitaciones en la prestación del servicio de energía eléctrica y la atención plena de la demanda nacional."/>
    <s v="Energía"/>
    <s v="Sí"/>
    <s v="Sí"/>
    <n v="68"/>
    <s v="150-60"/>
    <s v="Aumentar señales de expansión y cobertura del servicio de energía eléctrica."/>
    <s v="Documentos de Planeación"/>
    <s v="Documento de planeación validado."/>
    <n v="80111620"/>
    <s v="C-2102-1900-6-40301C-2102009-02"/>
    <x v="0"/>
    <s v="150-60 Prestar los servicios profesionales para participar en el análisis y procesamiento de solicitudes de los agentes interesados en conectarse a la red nacional, regional y de distribución a través de la metodología de evaluación y análisis eléctricos "/>
    <s v="Enero "/>
    <s v="Enero "/>
    <s v="Enero "/>
    <n v="11.5"/>
    <s v="Meses"/>
    <s v="Contratación directa - Prestación de servicios profesionales "/>
    <s v="Propios - 20 - Ingresos corrientes"/>
    <n v="83910900"/>
    <n v="83910900"/>
    <s v="No"/>
    <s v="N/A"/>
    <s v="Guillermo Holguin Garcia"/>
    <s v="Subdirector de Energía Eléctrica"/>
    <n v="6012220601"/>
    <s v="guillermo.holguin@upme.gov.co"/>
    <n v="83910900"/>
    <n v="0"/>
    <n v="0"/>
    <n v="3648300"/>
    <n v="0"/>
    <n v="7296600"/>
    <n v="0"/>
    <n v="7296600"/>
    <n v="0"/>
    <n v="7296600"/>
    <n v="0"/>
    <n v="7296600"/>
    <n v="0"/>
    <n v="7296600"/>
    <n v="0"/>
    <n v="7296600"/>
    <n v="0"/>
    <n v="7296600"/>
    <n v="0"/>
    <n v="7296600"/>
    <n v="0"/>
    <n v="7296600"/>
    <n v="0"/>
    <n v="14593200"/>
    <n v="83910900"/>
    <n v="83910900"/>
    <n v="0"/>
    <n v="0"/>
    <s v="Prestar los servicios profesionales para participar en el análisis y procesamiento de solicitudes de los agentes interesados en conectarse a la red nacional, regional y de distribución a través de la metodología de evaluación y análisis eléctricos de fluj"/>
    <n v="83910900"/>
    <m/>
    <m/>
    <n v="3648300"/>
    <m/>
    <n v="7296600"/>
    <m/>
    <n v="7296600"/>
    <m/>
    <n v="7296600"/>
    <m/>
    <n v="7296600"/>
    <m/>
    <n v="7296600"/>
    <m/>
    <n v="7296600"/>
    <m/>
    <n v="7296600"/>
    <m/>
    <n v="7296600"/>
    <m/>
    <n v="7296600"/>
    <m/>
    <n v="14593200"/>
    <m/>
    <m/>
    <n v="83910900"/>
    <n v="83910900"/>
    <n v="0"/>
    <n v="0"/>
    <n v="32726"/>
    <d v="2026-01-14T00:00:00"/>
    <n v="82694800"/>
    <n v="1216100"/>
    <n v="12026"/>
    <d v="2026-01-20T00:00:00"/>
    <n v="82694800"/>
    <n v="1216100"/>
    <n v="0"/>
    <s v="GOMEZ MARTINEZ FREDY AUGUSTO"/>
    <s v="CO1.PCCNTR.8957360"/>
    <n v="83910900"/>
    <m/>
    <m/>
    <n v="-1216100"/>
    <n v="2432200"/>
    <n v="2432200"/>
    <m/>
    <n v="7296600"/>
    <n v="7296600"/>
    <m/>
    <n v="7296600"/>
    <n v="7296600"/>
    <m/>
    <m/>
    <m/>
    <m/>
    <m/>
    <m/>
    <m/>
    <m/>
    <m/>
    <m/>
    <m/>
    <m/>
    <m/>
    <m/>
    <m/>
    <m/>
    <m/>
    <m/>
    <m/>
    <m/>
    <m/>
    <m/>
    <m/>
    <m/>
    <n v="82694800"/>
    <n v="17025400"/>
    <n v="17025400"/>
    <n v="65669400"/>
    <n v="0"/>
  </r>
  <r>
    <x v="0"/>
    <x v="6"/>
    <s v="Fortalecimiento de la planeación para reducir las limitaciones en la prestación del servicio de energía eléctrica y la atención plena de la demanda nacional."/>
    <s v="Energía"/>
    <s v="Sí"/>
    <s v="Sí"/>
    <n v="22"/>
    <s v="150-61"/>
    <s v="Aumentar señales de expansión y cobertura del servicio de energía eléctrica."/>
    <s v="Documentos de Planeación"/>
    <s v="Documento de planeación validado."/>
    <n v="80111620"/>
    <s v="C-2102-1900-6-40301C-2102009-02"/>
    <x v="0"/>
    <s v="150-61 Prestar los servicios profesionales para participar en el análisis y procesamiento de solicitudes de los agentes interesados en conectarse a la red nacional, regional y de distribución a través de la metodología de evaluación y análisis eléctricos "/>
    <s v="Enero "/>
    <s v="Enero "/>
    <s v="Enero "/>
    <n v="11.5"/>
    <s v="Meses"/>
    <s v="Contratación directa - Prestación de servicios profesionales "/>
    <s v="Propios - 20 - Ingresos corrientes"/>
    <n v="49771250"/>
    <n v="49771250"/>
    <s v="No"/>
    <s v="N/A"/>
    <s v="Guillermo Holguin Garcia"/>
    <s v="Subdirector de Energía Eléctrica"/>
    <n v="6012220601"/>
    <s v="guillermo.holguin@upme.gov.co"/>
    <n v="59771250"/>
    <n v="0"/>
    <n v="0"/>
    <n v="2598750"/>
    <n v="0"/>
    <n v="5197500"/>
    <n v="0"/>
    <n v="5197500"/>
    <n v="0"/>
    <n v="5197500"/>
    <n v="0"/>
    <n v="5197500"/>
    <n v="0"/>
    <n v="5197500"/>
    <n v="0"/>
    <n v="5197500"/>
    <n v="0"/>
    <n v="5197500"/>
    <n v="0"/>
    <n v="5197500"/>
    <n v="0"/>
    <n v="5197500"/>
    <n v="0"/>
    <n v="10395000"/>
    <n v="59771250"/>
    <n v="59771250"/>
    <n v="-10000000"/>
    <n v="-10000000"/>
    <s v="Prestar los servicios profesionales para participar en el análisis y procesamiento de solicitudes de los agentes interesados en conectarse a la red nacional, regional y de distribución a través de la metodología de evaluación y análisis eléctricos de fluj"/>
    <n v="59771250"/>
    <m/>
    <m/>
    <n v="2598750"/>
    <m/>
    <n v="5197500"/>
    <n v="-10000000"/>
    <n v="5197500"/>
    <m/>
    <n v="5197500"/>
    <m/>
    <n v="5197500"/>
    <m/>
    <n v="5197500"/>
    <m/>
    <n v="5197500"/>
    <m/>
    <n v="5197500"/>
    <m/>
    <n v="5197500"/>
    <m/>
    <n v="5197500"/>
    <m/>
    <n v="395000"/>
    <m/>
    <m/>
    <n v="49771250"/>
    <n v="49771250"/>
    <n v="0"/>
    <n v="0"/>
    <n v="26826"/>
    <d v="2026-01-14T00:00:00"/>
    <n v="12647250"/>
    <n v="37124000"/>
    <n v="21926"/>
    <d v="2026-01-26T00:00:00"/>
    <n v="12647250"/>
    <n v="37124000"/>
    <n v="0"/>
    <s v="HUACA CUELLAR BRANDON STID"/>
    <s v="CO1.PCCNTR.9066223"/>
    <n v="59771250"/>
    <m/>
    <m/>
    <m/>
    <n v="693000"/>
    <n v="693000"/>
    <n v="-1905750"/>
    <n v="5197500"/>
    <n v="5197500"/>
    <n v="-45218250"/>
    <n v="5197500"/>
    <n v="5197500"/>
    <m/>
    <m/>
    <m/>
    <m/>
    <m/>
    <m/>
    <m/>
    <m/>
    <m/>
    <m/>
    <m/>
    <m/>
    <m/>
    <m/>
    <m/>
    <m/>
    <m/>
    <m/>
    <m/>
    <m/>
    <m/>
    <m/>
    <m/>
    <m/>
    <n v="12647250"/>
    <n v="11088000"/>
    <n v="11088000"/>
    <n v="1559250"/>
    <n v="0"/>
  </r>
  <r>
    <x v="0"/>
    <x v="6"/>
    <s v="Fortalecimiento de la planeación para reducir las limitaciones en la prestación del servicio de energía eléctrica y la atención plena de la demanda nacional."/>
    <s v="Energía"/>
    <s v="Sí"/>
    <s v="Sí"/>
    <s v="Radicado 20261500021643"/>
    <s v="150-62"/>
    <s v="Aumentar señales de expansión y cobertura del servicio de energía eléctrica."/>
    <s v="Documentos de Planeación"/>
    <s v="Documento de planeación validado."/>
    <n v="80111620"/>
    <s v="C-2102-1900-6-40301C-2102009-02"/>
    <x v="0"/>
    <s v="150-62 Prestar los servicios profesionales para apoyar el seguimiento el seguimiento a la ejecución de los proyectos de nivel de tensión iv que corresponde a la UPME y las solicitudes de conexión según la resolución CREG 075 de 2021 , así como los procedi"/>
    <s v="Enero "/>
    <s v="Enero "/>
    <s v="Enero "/>
    <n v="12"/>
    <s v="Meses"/>
    <s v="Contratación directa - Prestación de servicios profesionales "/>
    <s v="Propios - 20 - Ingresos corrientes"/>
    <n v="48613950"/>
    <n v="48613950"/>
    <s v="Si"/>
    <s v="Solicitadas"/>
    <s v="Guillermo Holguin Garcia"/>
    <s v="Subdirector de Energía Eléctrica"/>
    <n v="6012220601"/>
    <s v="guillermo.holguin@upme.gov.co"/>
    <n v="29591100"/>
    <n v="0"/>
    <n v="0"/>
    <n v="2113650"/>
    <n v="0"/>
    <n v="4227300"/>
    <n v="0"/>
    <n v="4227300"/>
    <n v="0"/>
    <n v="4227300"/>
    <n v="0"/>
    <n v="4227300"/>
    <n v="0"/>
    <n v="4227300"/>
    <n v="19022850"/>
    <n v="4227300"/>
    <n v="0"/>
    <n v="4227300"/>
    <n v="0"/>
    <n v="4227300"/>
    <n v="0"/>
    <n v="4227300"/>
    <n v="0"/>
    <n v="8454600"/>
    <n v="48613950"/>
    <n v="48613950"/>
    <n v="0"/>
    <n v="0"/>
    <s v="Prestar los servicios profesionales para apoyar el seguimiento el seguimiento a la ejecución de los proyectos de nivel de tensión iv que corresponde a la UPME y las solicitudes de conexión según la resolución CREG 075 de 2021 , así como los procedimientos"/>
    <n v="29591100"/>
    <m/>
    <m/>
    <n v="2113650"/>
    <m/>
    <n v="4227300"/>
    <m/>
    <n v="4227300"/>
    <m/>
    <n v="4227300"/>
    <m/>
    <n v="4227300"/>
    <m/>
    <n v="4227300"/>
    <n v="19022850"/>
    <n v="4227300"/>
    <m/>
    <n v="4227300"/>
    <m/>
    <n v="4227300"/>
    <m/>
    <n v="4227300"/>
    <m/>
    <n v="8454600"/>
    <m/>
    <m/>
    <n v="48613950"/>
    <n v="48613950"/>
    <n v="0"/>
    <n v="0"/>
    <n v="23826"/>
    <d v="2026-01-13T00:00:00"/>
    <n v="29591100"/>
    <n v="19022850"/>
    <n v="6926"/>
    <d v="2026-01-13T00:00:00"/>
    <n v="29591100"/>
    <n v="19022850"/>
    <n v="0"/>
    <s v="RODRIGUEZ TUTA FELIPE"/>
    <s v="CO1.PCCNTR.7367128"/>
    <n v="29591100"/>
    <m/>
    <m/>
    <m/>
    <n v="4227300"/>
    <n v="4227300"/>
    <m/>
    <n v="4227300"/>
    <n v="4227300"/>
    <m/>
    <n v="4227300"/>
    <n v="4227300"/>
    <m/>
    <m/>
    <m/>
    <m/>
    <m/>
    <m/>
    <m/>
    <m/>
    <m/>
    <m/>
    <m/>
    <m/>
    <m/>
    <m/>
    <m/>
    <m/>
    <m/>
    <m/>
    <m/>
    <m/>
    <m/>
    <m/>
    <m/>
    <m/>
    <n v="29591100"/>
    <n v="12681900"/>
    <n v="12681900"/>
    <n v="16909200"/>
    <n v="0"/>
  </r>
  <r>
    <x v="0"/>
    <x v="6"/>
    <s v="Fortalecimiento de la planeación para reducir las limitaciones en la prestación del servicio de energía eléctrica y la atención plena de la demanda nacional."/>
    <s v="Energía"/>
    <s v="Sí"/>
    <s v="Sí"/>
    <n v="68"/>
    <s v="150-63"/>
    <s v="Aumentar señales de expansión y cobertura del servicio de energía eléctrica."/>
    <s v="Documentos de Planeación"/>
    <s v="Documento de planeación validado."/>
    <n v="80111620"/>
    <s v="C-2102-1900-6-40301C-2102009-02"/>
    <x v="0"/>
    <s v="150-63 Prestar los servicios profesionales para apoyar el análisis y procesamiento de solicitudes de los agentes interesados en conectarse a la red nacional, regional y de distribución, conforme a las disposiciones de la Resolución CREG 075 y a los proced"/>
    <s v="Enero "/>
    <s v="Enero "/>
    <s v="Enero "/>
    <n v="12"/>
    <s v="Meses"/>
    <s v="Contratación directa - Prestación de servicios profesionales "/>
    <s v="Propios - 20 - Ingresos corrientes"/>
    <n v="41755350"/>
    <n v="41755350"/>
    <s v="Si"/>
    <s v="Solicitadas"/>
    <s v="Guillermo Holguin Garcia"/>
    <s v="Subdirector de Energía Eléctrica"/>
    <n v="6012220601"/>
    <s v="guillermo.holguin@upme.gov.co"/>
    <n v="25416300"/>
    <n v="0"/>
    <n v="0"/>
    <n v="1815450"/>
    <n v="0"/>
    <n v="3630900"/>
    <n v="0"/>
    <n v="3630900"/>
    <n v="0"/>
    <n v="3630900"/>
    <n v="0"/>
    <n v="3630900"/>
    <n v="0"/>
    <n v="3630900"/>
    <n v="16339050"/>
    <n v="3630900"/>
    <n v="0"/>
    <n v="3630900"/>
    <n v="0"/>
    <n v="3630900"/>
    <n v="0"/>
    <n v="3630900"/>
    <n v="0"/>
    <n v="7261800"/>
    <n v="41755350"/>
    <n v="41755350"/>
    <n v="0"/>
    <n v="0"/>
    <s v="Prestar los servicios profesionales para apoyar el análisis y procesamiento de solicitudes de los agentes interesados en conectarse a la red nacional, regional y de distribución, conforme a las disposiciones de la Resolución CREG 075 y a los procedimiento"/>
    <n v="25416300"/>
    <m/>
    <m/>
    <n v="1815450"/>
    <m/>
    <n v="3630900"/>
    <m/>
    <n v="3630900"/>
    <m/>
    <n v="3630900"/>
    <m/>
    <n v="3630900"/>
    <m/>
    <n v="3630900"/>
    <n v="16339050"/>
    <n v="3630900"/>
    <m/>
    <n v="3630900"/>
    <m/>
    <n v="3630900"/>
    <m/>
    <n v="3630900"/>
    <m/>
    <n v="7261800"/>
    <m/>
    <m/>
    <n v="41755350"/>
    <n v="41755350"/>
    <n v="0"/>
    <n v="0"/>
    <n v="23726"/>
    <d v="2026-01-13T00:00:00"/>
    <n v="25416300"/>
    <n v="16339050"/>
    <n v="6826"/>
    <d v="2026-01-13T00:00:00"/>
    <n v="25416300"/>
    <n v="16339050"/>
    <n v="0"/>
    <s v="ALVARADO RODRIGUEZ JUAN FELIPE"/>
    <s v="CO1.PCCNTR.7421118"/>
    <n v="25416300"/>
    <m/>
    <m/>
    <m/>
    <n v="3630900"/>
    <n v="3630900"/>
    <m/>
    <n v="3630900"/>
    <n v="3630900"/>
    <m/>
    <n v="3630900"/>
    <n v="3630900"/>
    <m/>
    <m/>
    <m/>
    <m/>
    <m/>
    <m/>
    <m/>
    <m/>
    <m/>
    <m/>
    <m/>
    <m/>
    <m/>
    <m/>
    <m/>
    <m/>
    <m/>
    <m/>
    <m/>
    <m/>
    <m/>
    <m/>
    <m/>
    <m/>
    <n v="25416300"/>
    <n v="10892700"/>
    <n v="10892700"/>
    <n v="14523600"/>
    <n v="0"/>
  </r>
  <r>
    <x v="0"/>
    <x v="6"/>
    <s v="Fortalecimiento de la planeación para reducir las limitaciones en la prestación del servicio de energía eléctrica y la atención plena de la demanda nacional."/>
    <s v="Energía"/>
    <s v="Sí"/>
    <s v="Sí"/>
    <n v="68"/>
    <s v="150-64"/>
    <s v="Aumentar señales de expansión y cobertura del servicio de energía eléctrica."/>
    <s v="Documentos de Planeación"/>
    <s v="Documento de planeación validado."/>
    <n v="80111620"/>
    <s v="C-2102-1900-6-40301C-2102009-02"/>
    <x v="0"/>
    <s v="150-64 Prestar los servicios profesionales para participar en el análisis, procesamiento , evaluación técnico - económica  y respuesta a solicitudes asociadas a proyectos de agentes interesados en conectarse a la red  del Sistema Interconectado Nacional -"/>
    <s v="Enero "/>
    <s v="Enero "/>
    <s v="Enero "/>
    <n v="12"/>
    <s v="Meses"/>
    <s v="Contratación directa - Prestación de servicios profesionales "/>
    <s v="Propios - 20 - Ingresos corrientes"/>
    <n v="80684000"/>
    <n v="80684000"/>
    <s v="No"/>
    <s v="N/A"/>
    <s v="Guillermo Holguin Garcia"/>
    <s v="Subdirector de Energía Eléctrica"/>
    <n v="6012220601"/>
    <s v="guillermo.holguin@upme.gov.co"/>
    <n v="79514667"/>
    <n v="0"/>
    <n v="0"/>
    <n v="3508000"/>
    <n v="0"/>
    <n v="7016000"/>
    <n v="1169333"/>
    <n v="7016000"/>
    <n v="0"/>
    <n v="7016000"/>
    <n v="0"/>
    <n v="7016000"/>
    <n v="0"/>
    <n v="7016000"/>
    <n v="0"/>
    <n v="7016000"/>
    <n v="0"/>
    <n v="7016000"/>
    <n v="0"/>
    <n v="7016000"/>
    <n v="0"/>
    <n v="7016000"/>
    <n v="0"/>
    <n v="14032000"/>
    <n v="80684000"/>
    <n v="80684000"/>
    <n v="0"/>
    <n v="0"/>
    <s v="Prestar los servicios profesionales para participar en el análisis, procesamiento , evaluación técnico - económica  y respuesta a solicitudes asociadas a proyectos de agentes interesados en conectarse a la red  del Sistema Interconectado Nacional - SIN, a"/>
    <n v="79514667"/>
    <m/>
    <m/>
    <n v="3508000"/>
    <m/>
    <n v="7016000"/>
    <n v="1169333"/>
    <n v="7016000"/>
    <m/>
    <n v="7016000"/>
    <m/>
    <n v="7016000"/>
    <m/>
    <n v="7016000"/>
    <m/>
    <n v="7016000"/>
    <m/>
    <n v="7016000"/>
    <m/>
    <n v="7016000"/>
    <m/>
    <n v="7016000"/>
    <m/>
    <n v="14032000"/>
    <m/>
    <m/>
    <n v="80684000"/>
    <n v="80684000"/>
    <n v="0"/>
    <n v="0"/>
    <n v="34826"/>
    <d v="2026-01-15T00:00:00"/>
    <n v="78111467"/>
    <n v="2572533"/>
    <n v="22126"/>
    <d v="2026-01-26T00:00:00"/>
    <n v="78111467"/>
    <n v="2572533"/>
    <n v="0"/>
    <s v="AVENDAÑO PEÑA ALVARO ANDRES"/>
    <s v="CO1.PCCNTR.9068107"/>
    <n v="79514667"/>
    <m/>
    <m/>
    <m/>
    <n v="935466"/>
    <n v="935466"/>
    <n v="-1403200"/>
    <n v="7016000"/>
    <n v="7016000"/>
    <m/>
    <n v="7016000"/>
    <n v="7016000"/>
    <m/>
    <m/>
    <m/>
    <m/>
    <m/>
    <m/>
    <m/>
    <m/>
    <m/>
    <m/>
    <m/>
    <m/>
    <m/>
    <m/>
    <m/>
    <m/>
    <m/>
    <m/>
    <m/>
    <m/>
    <m/>
    <m/>
    <m/>
    <m/>
    <n v="78111467"/>
    <n v="14967466"/>
    <n v="14967466"/>
    <n v="63144001"/>
    <n v="0"/>
  </r>
  <r>
    <x v="0"/>
    <x v="6"/>
    <s v="Fortalecimiento de la planeación para reducir las limitaciones en la prestación del servicio de energía eléctrica y la atención plena de la demanda nacional."/>
    <s v="Energía"/>
    <s v="Sí"/>
    <s v="Sí"/>
    <n v="68"/>
    <s v="150-65"/>
    <s v="Aumentar señales de expansión y cobertura del servicio de energía eléctrica."/>
    <s v="Documentos de Planeación"/>
    <s v="Documento de planeación validado."/>
    <n v="80111620"/>
    <s v="C-2102-1900-6-40301C-2102009-02"/>
    <x v="0"/>
    <s v="150-65 Prestar sus servicios profesionales para participar en el análisis de la expansión y las solicitudes de asignación de capacidad de proyectos de generación y usuarios finales, procesar la información requerida por los modelos y participar en la gest"/>
    <s v="Enero "/>
    <s v="Enero "/>
    <s v="Febrero"/>
    <n v="12"/>
    <s v="Meses"/>
    <s v="Contratación directa - Prestación de servicios profesionales "/>
    <s v="Propios - 20 - Ingresos corrientes"/>
    <n v="80684000"/>
    <n v="80684000"/>
    <s v="No"/>
    <s v="N/A"/>
    <s v="Guillermo Holguin Garcia"/>
    <s v="Subdirector de Energía Eléctrica"/>
    <n v="6012220601"/>
    <s v="guillermo.holguin@upme.gov.co"/>
    <n v="0"/>
    <n v="0"/>
    <n v="78345333"/>
    <n v="0"/>
    <n v="0"/>
    <n v="3508000"/>
    <n v="2338667"/>
    <n v="7016000"/>
    <n v="0"/>
    <n v="7016000"/>
    <n v="0"/>
    <n v="7016000"/>
    <n v="0"/>
    <n v="7016000"/>
    <n v="0"/>
    <n v="7016000"/>
    <n v="0"/>
    <n v="7016000"/>
    <n v="0"/>
    <n v="7016000"/>
    <n v="0"/>
    <n v="7016000"/>
    <n v="0"/>
    <n v="21048000"/>
    <n v="80684000"/>
    <n v="80684000"/>
    <n v="0"/>
    <n v="0"/>
    <s v="Prestar sus servicios profesionales para participar en el análisis de la expansión y las solicitudes de asignación de capacidad de proyectos de generación y usuarios finales, procesar la información requerida por los modelos y participar en la gestión de "/>
    <m/>
    <m/>
    <n v="78345333"/>
    <m/>
    <m/>
    <n v="3508000"/>
    <n v="2338667"/>
    <n v="7016000"/>
    <m/>
    <n v="7016000"/>
    <m/>
    <n v="7016000"/>
    <m/>
    <n v="7016000"/>
    <m/>
    <n v="7016000"/>
    <m/>
    <n v="7016000"/>
    <m/>
    <n v="7016000"/>
    <m/>
    <n v="7016000"/>
    <m/>
    <n v="21048000"/>
    <m/>
    <m/>
    <n v="80684000"/>
    <n v="80684000"/>
    <n v="0"/>
    <n v="0"/>
    <n v="44126"/>
    <d v="2026-01-17T00:00:00"/>
    <n v="76708267"/>
    <n v="3975733"/>
    <n v="37826"/>
    <d v="2026-02-02T00:00:00"/>
    <n v="76708267"/>
    <n v="3975733"/>
    <n v="0"/>
    <s v="OSORIO MOLINA PAULA ANDREA"/>
    <s v="CO1.PCCNTR.9156916"/>
    <m/>
    <m/>
    <m/>
    <n v="78345333"/>
    <m/>
    <m/>
    <m/>
    <n v="6548267"/>
    <n v="6548267"/>
    <n v="-1637066"/>
    <n v="7016000"/>
    <n v="7016000"/>
    <m/>
    <m/>
    <m/>
    <m/>
    <m/>
    <m/>
    <m/>
    <m/>
    <m/>
    <m/>
    <m/>
    <m/>
    <m/>
    <m/>
    <m/>
    <m/>
    <m/>
    <m/>
    <m/>
    <m/>
    <m/>
    <m/>
    <m/>
    <m/>
    <n v="76708267"/>
    <n v="13564267"/>
    <n v="13564267"/>
    <n v="63144000"/>
    <n v="0"/>
  </r>
  <r>
    <x v="0"/>
    <x v="6"/>
    <s v="Fortalecimiento de la planeación para reducir las limitaciones en la prestación del servicio de energía eléctrica y la atención plena de la demanda nacional."/>
    <s v="Energía"/>
    <s v="Sí"/>
    <s v="Sí"/>
    <n v="68"/>
    <s v="150-66"/>
    <s v="Aumentar señales de expansión y cobertura del servicio de energía eléctrica."/>
    <s v="Documentos de Planeación"/>
    <s v="Documento de planeación validado."/>
    <n v="80111620"/>
    <s v="C-2102-1900-6-40301C-2102009-02"/>
    <x v="0"/>
    <s v="150-66 Prestar los servicios profesionales para apoyar el análisis y la evaluación técnico–económica de las solicitudes presentadas por los agentes interesados en la conexión de proyectos al Sistema Interconectado Nacional – SIN, así como en el seguimient"/>
    <s v="Enero "/>
    <s v="Enero "/>
    <s v="Enero "/>
    <n v="12"/>
    <s v="Meses"/>
    <s v="Contratación directa - Prestación de servicios profesionales "/>
    <s v="Propios - 20 - Ingresos corrientes"/>
    <n v="80684000"/>
    <n v="80684000"/>
    <s v="No"/>
    <s v="N/A"/>
    <s v="Guillermo Holguin Garcia"/>
    <s v="Subdirector de Energía Eléctrica"/>
    <n v="6012220601"/>
    <s v="guillermo.holguin@upme.gov.co"/>
    <n v="74406850"/>
    <n v="0"/>
    <n v="0"/>
    <n v="3508000"/>
    <n v="0"/>
    <n v="7016000"/>
    <n v="0"/>
    <n v="7016000"/>
    <n v="0"/>
    <n v="7016000"/>
    <n v="0"/>
    <n v="7016000"/>
    <n v="0"/>
    <n v="7016000"/>
    <n v="0"/>
    <n v="7016000"/>
    <n v="0"/>
    <n v="7016000"/>
    <n v="0"/>
    <n v="7016000"/>
    <n v="6277150"/>
    <n v="7016000"/>
    <n v="0"/>
    <n v="14032000"/>
    <n v="80684000"/>
    <n v="80684000"/>
    <n v="0"/>
    <n v="0"/>
    <s v="Prestar los servicios profesionales para apoyar el análisis y la evaluación técnico–económica de las solicitudes presentadas por los agentes interesados en la conexión de proyectos al Sistema Interconectado Nacional – SIN, así como en el seguimiento, conc"/>
    <n v="74406850"/>
    <m/>
    <m/>
    <n v="3508000"/>
    <m/>
    <n v="7016000"/>
    <m/>
    <n v="7016000"/>
    <m/>
    <n v="7016000"/>
    <m/>
    <n v="7016000"/>
    <m/>
    <n v="7016000"/>
    <m/>
    <n v="7016000"/>
    <m/>
    <n v="7016000"/>
    <m/>
    <n v="7016000"/>
    <n v="6277150"/>
    <n v="7016000"/>
    <m/>
    <n v="14032000"/>
    <m/>
    <m/>
    <n v="80684000"/>
    <n v="80684000"/>
    <n v="0"/>
    <n v="0"/>
    <n v="61726"/>
    <d v="2026-01-23T00:00:00"/>
    <n v="73074190"/>
    <n v="7609810"/>
    <n v="36826"/>
    <d v="2026-01-30T00:00:00"/>
    <n v="73074190"/>
    <n v="7609810"/>
    <n v="0"/>
    <s v="GOMEZ RODRIGUEZ MELVIN DAVID"/>
    <s v="CO1.PCCNTR.9149320"/>
    <n v="74406850"/>
    <m/>
    <m/>
    <m/>
    <m/>
    <m/>
    <m/>
    <n v="6441190"/>
    <n v="6441190"/>
    <n v="-1332660"/>
    <n v="6663300"/>
    <n v="6663300"/>
    <m/>
    <m/>
    <m/>
    <m/>
    <m/>
    <m/>
    <m/>
    <m/>
    <m/>
    <m/>
    <m/>
    <m/>
    <m/>
    <m/>
    <m/>
    <m/>
    <m/>
    <m/>
    <m/>
    <m/>
    <m/>
    <m/>
    <m/>
    <m/>
    <n v="73074190"/>
    <n v="13104490"/>
    <n v="13104490"/>
    <n v="59969700"/>
    <n v="0"/>
  </r>
  <r>
    <x v="0"/>
    <x v="6"/>
    <s v="Fortalecimiento de la planeación para reducir las limitaciones en la prestación del servicio de energía eléctrica y la atención plena de la demanda nacional."/>
    <s v="Energía"/>
    <s v="No"/>
    <s v="Sí"/>
    <n v="14"/>
    <s v="150-67"/>
    <s v="Aumentar señales de expansión y cobertura del servicio de energía eléctrica."/>
    <s v="Documentos de Planeación"/>
    <s v="Documento de planeación validado."/>
    <s v="N/A"/>
    <s v="C-2102-1900-6-40301C-2102009-02"/>
    <x v="4"/>
    <s v="150-67 Viáticos o gastos de desplazamiento"/>
    <s v="N/A"/>
    <s v="N/A"/>
    <s v="N/A"/>
    <s v="N/A"/>
    <s v="N/A"/>
    <s v="N/A"/>
    <s v="Propios - 20 - Ingresos corrientes"/>
    <n v="45000000"/>
    <n v="45000000"/>
    <s v="No"/>
    <s v="N/A"/>
    <s v="Guillermo Holguin Garcia"/>
    <s v="Subdirector de Energía Eléctrica"/>
    <n v="6012220601"/>
    <s v="guillermo.holguin@upme.gov.co"/>
    <n v="0"/>
    <n v="0"/>
    <n v="0"/>
    <n v="0"/>
    <n v="2916667"/>
    <n v="0"/>
    <n v="2916667"/>
    <n v="2916667"/>
    <n v="2916667"/>
    <n v="2916667"/>
    <n v="2916667"/>
    <n v="2916667"/>
    <n v="2916667"/>
    <n v="2916667"/>
    <n v="2916667"/>
    <n v="2916667"/>
    <n v="2916666"/>
    <n v="2916666"/>
    <n v="2916666"/>
    <n v="2916666"/>
    <n v="2916666"/>
    <n v="5833333"/>
    <n v="8750000"/>
    <n v="8750000"/>
    <n v="35000000"/>
    <n v="35000000"/>
    <n v="10000000"/>
    <n v="10000000"/>
    <s v="Viáticos o gastos de desplazamiento"/>
    <m/>
    <m/>
    <m/>
    <m/>
    <n v="4500000"/>
    <m/>
    <n v="4500000"/>
    <n v="4500000"/>
    <n v="4500000"/>
    <n v="4500000"/>
    <n v="4500000"/>
    <n v="4500000"/>
    <n v="4500000"/>
    <n v="4500000"/>
    <n v="4500000"/>
    <n v="4500000"/>
    <n v="4500000"/>
    <n v="4500000"/>
    <n v="4500000"/>
    <n v="4500000"/>
    <n v="4500000"/>
    <n v="4500000"/>
    <n v="4500000"/>
    <n v="9000000"/>
    <m/>
    <m/>
    <n v="45000000"/>
    <n v="45000000"/>
    <n v="0"/>
    <n v="0"/>
    <n v="66426.695259999993"/>
    <d v="2026-01-29T00:00:00"/>
    <n v="45000000"/>
    <n v="0"/>
    <s v="45726,56126,58026,60826,62326,62526,65326,68026,68926,70126,70726,71526,71826,72826"/>
    <s v="05/02/2026,10/02/2026,10/03/2026,10/04/2026"/>
    <n v="13621732"/>
    <n v="31378268"/>
    <n v="31378268"/>
    <s v="HOLGUIN GARCIA GUILLERMO,ACEVEDO ILES MANUEL OCTAVIO,CIFUENTES THORRENS KAROL ENRIQUE,SARRIA TORO MARTHA PATRICIA,SARRIA TORO MARTHA PATRICIA_x000a__x000a_"/>
    <n v="1126"/>
    <m/>
    <m/>
    <m/>
    <n v="3895911"/>
    <n v="3895911"/>
    <n v="3895911"/>
    <n v="1976673"/>
    <n v="1628392"/>
    <n v="1628392"/>
    <n v="7749148"/>
    <n v="5071930"/>
    <n v="5071930"/>
    <m/>
    <m/>
    <m/>
    <m/>
    <m/>
    <m/>
    <m/>
    <m/>
    <m/>
    <m/>
    <m/>
    <m/>
    <m/>
    <m/>
    <m/>
    <m/>
    <m/>
    <m/>
    <m/>
    <m/>
    <m/>
    <m/>
    <m/>
    <m/>
    <n v="13621732"/>
    <n v="10596233"/>
    <n v="10596233"/>
    <n v="3025499"/>
    <n v="0"/>
  </r>
  <r>
    <x v="0"/>
    <x v="6"/>
    <s v="Fortalecimiento de la planeación para reducir las limitaciones en la prestación del servicio de energía eléctrica y la atención plena de la demanda nacional."/>
    <s v="Energía"/>
    <s v="Sí"/>
    <s v="Sí"/>
    <s v="Radicado 20261500003343"/>
    <s v="150-68"/>
    <s v="Aumentar señales de expansión y cobertura del servicio de energía eléctrica."/>
    <s v="Documentos de Planeación"/>
    <s v="Documento de planeación validado."/>
    <n v="78111502"/>
    <s v="C-2102-1900-6-40301C-2102009-02"/>
    <x v="3"/>
    <s v="150-68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0000000"/>
    <n v="50000000"/>
    <s v="No"/>
    <s v="N/A"/>
    <s v="Guillermo Holguin Garcia"/>
    <s v="Subdirector de Energía Eléctrica"/>
    <n v="6012220601"/>
    <s v="guillermo.holguin@upme.gov.co"/>
    <n v="0"/>
    <n v="0"/>
    <n v="0"/>
    <n v="0"/>
    <n v="0"/>
    <n v="0"/>
    <n v="0"/>
    <n v="0"/>
    <n v="0"/>
    <n v="0"/>
    <n v="0"/>
    <n v="0"/>
    <n v="0"/>
    <n v="0"/>
    <n v="0"/>
    <n v="0"/>
    <n v="50000000"/>
    <n v="0"/>
    <n v="0"/>
    <n v="12500000"/>
    <n v="0"/>
    <n v="12500000"/>
    <n v="0"/>
    <n v="25000000"/>
    <n v="50000000"/>
    <n v="50000000"/>
    <n v="0"/>
    <n v="0"/>
    <s v="Adquirir los servicios necesarios para garantizar el desplazamiento de servidores públicos y contratistas de la UPME a los eventos y espacios institucionales de planeación minero energética."/>
    <m/>
    <m/>
    <m/>
    <m/>
    <m/>
    <m/>
    <m/>
    <m/>
    <m/>
    <m/>
    <m/>
    <m/>
    <m/>
    <m/>
    <m/>
    <m/>
    <n v="50000000"/>
    <m/>
    <m/>
    <n v="12500000"/>
    <m/>
    <n v="12500000"/>
    <m/>
    <n v="25000000"/>
    <m/>
    <m/>
    <n v="50000000"/>
    <n v="50000000"/>
    <n v="0"/>
    <n v="0"/>
    <m/>
    <m/>
    <m/>
    <n v="50000000"/>
    <m/>
    <m/>
    <n v="0"/>
    <n v="500000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68"/>
    <s v="150-69"/>
    <s v="Aumentar señales de expansión y cobertura del servicio de energía eléctrica."/>
    <s v="Documentos de Planeación"/>
    <s v="Documento de planeación validado."/>
    <n v="81112501"/>
    <s v="C-2102-1900-6-40301C-2102009-02"/>
    <x v="10"/>
    <s v="150-69 Adquirir servicio de renovación del licenciamiento de los modelos SDDP y OPTGEN, el cual incluye soporte y mantenimiento para las licencias durante la vigencia del servicio, así como la adquisición del servicio de ejecución remota PSR Cloud."/>
    <s v="Septiembre"/>
    <s v="Octubre"/>
    <s v="Noviembre"/>
    <n v="12"/>
    <s v="Meses"/>
    <s v="Contratación directa  - único oferente"/>
    <s v="Propios - 20 - Ingresos corrientes"/>
    <n v="368750411"/>
    <n v="368750411"/>
    <s v="No"/>
    <s v="N/A"/>
    <s v="Guillermo Holguin Garcia"/>
    <s v="Subdirector de Energía Eléctrica"/>
    <n v="6012220601"/>
    <s v="guillermo.holguin@upme.gov.co"/>
    <n v="0"/>
    <n v="0"/>
    <n v="0"/>
    <n v="0"/>
    <n v="0"/>
    <n v="0"/>
    <n v="0"/>
    <n v="0"/>
    <n v="0"/>
    <n v="0"/>
    <n v="0"/>
    <n v="0"/>
    <n v="0"/>
    <n v="0"/>
    <n v="0"/>
    <n v="0"/>
    <n v="0"/>
    <n v="0"/>
    <n v="368750411"/>
    <n v="0"/>
    <n v="0"/>
    <n v="368750411"/>
    <n v="0"/>
    <n v="0"/>
    <n v="368750411"/>
    <n v="368750411"/>
    <n v="0"/>
    <n v="0"/>
    <s v="Adquirir servicio de renovación del licenciamiento de los modelos SDDP y OPTGEN, el cual incluye soporte y mantenimiento para las licencias durante la vigencia del servicio, así como la adquisición del servicio de ejecución remota PSR Cloud."/>
    <m/>
    <m/>
    <m/>
    <m/>
    <m/>
    <m/>
    <m/>
    <m/>
    <m/>
    <m/>
    <m/>
    <m/>
    <m/>
    <m/>
    <m/>
    <m/>
    <m/>
    <m/>
    <n v="368750411"/>
    <m/>
    <m/>
    <n v="368750411"/>
    <m/>
    <m/>
    <m/>
    <m/>
    <n v="368750411"/>
    <n v="368750411"/>
    <n v="0"/>
    <n v="0"/>
    <m/>
    <m/>
    <m/>
    <n v="368750411"/>
    <m/>
    <m/>
    <n v="0"/>
    <n v="368750411"/>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68"/>
    <s v="150-7"/>
    <s v="Aumentar señales de expansión y cobertura del servicio de energía eléctrica."/>
    <s v="Documentos de Planeación"/>
    <s v="Documento de planeación validado."/>
    <n v="80111620"/>
    <s v="C-2102-1900-6-40301C-2102009-02"/>
    <x v="0"/>
    <s v="150-7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n v="11326"/>
    <d v="2026-01-08T00:00:00"/>
    <n v="87000000"/>
    <n v="0"/>
    <n v="35326"/>
    <d v="2026-01-29T00:00:00"/>
    <n v="87000000"/>
    <n v="0"/>
    <n v="0"/>
    <s v="LOPEZ GIRALDO OSCAR ANDRES"/>
    <s v="CO1.PCCNTR.9198055"/>
    <n v="87000000"/>
    <m/>
    <m/>
    <m/>
    <m/>
    <m/>
    <m/>
    <n v="8410000"/>
    <n v="8410000"/>
    <m/>
    <n v="8700000"/>
    <n v="8700000"/>
    <m/>
    <m/>
    <m/>
    <m/>
    <m/>
    <m/>
    <m/>
    <m/>
    <m/>
    <m/>
    <m/>
    <m/>
    <m/>
    <m/>
    <m/>
    <m/>
    <m/>
    <m/>
    <m/>
    <m/>
    <m/>
    <m/>
    <m/>
    <m/>
    <n v="87000000"/>
    <n v="17110000"/>
    <n v="17110000"/>
    <n v="69890000"/>
    <n v="0"/>
  </r>
  <r>
    <x v="0"/>
    <x v="6"/>
    <s v="Fortalecimiento de la planeación para reducir las limitaciones en la prestación del servicio de energía eléctrica y la atención plena de la demanda nacional."/>
    <s v="Energía"/>
    <s v="Sí"/>
    <s v="Sí"/>
    <n v="6"/>
    <s v="150-70"/>
    <s v="Aumentar señales de expansión y cobertura del servicio de energía eléctrica."/>
    <s v="Documentos de Planeación"/>
    <s v="Documento de planeación validado."/>
    <n v="80111620"/>
    <s v="C-2102-1900-6-40301C-2102009-02"/>
    <x v="0"/>
    <s v="150-70 Prestar servicios profesionales para evaluar de manera integral proyectos de gestión eficiente de la energía, mediante la revisión y análisis de la información y documentación presentada, así como la validación de los soportes, de conformidad con l"/>
    <s v="Enero "/>
    <s v="Enero "/>
    <s v="Febrero"/>
    <n v="6"/>
    <s v="Meses"/>
    <s v="Contratación directa - Prestación de servicios profesionales "/>
    <s v="Propios - 20 - Ingresos corrientes"/>
    <n v="12000000"/>
    <n v="12000000"/>
    <s v="No"/>
    <s v="N/A"/>
    <s v="Guillermo Holguin Garcia"/>
    <s v="Subdirector de Energía Eléctrica"/>
    <n v="6012220601"/>
    <s v="guillermo.holguin@upme.gov.co"/>
    <n v="0"/>
    <n v="0"/>
    <n v="12000000"/>
    <n v="0"/>
    <n v="0"/>
    <n v="0"/>
    <n v="0"/>
    <n v="2000000"/>
    <n v="0"/>
    <n v="2000000"/>
    <n v="0"/>
    <n v="2000000"/>
    <n v="0"/>
    <n v="2000000"/>
    <n v="0"/>
    <n v="2000000"/>
    <n v="0"/>
    <n v="2000000"/>
    <n v="0"/>
    <n v="0"/>
    <n v="0"/>
    <n v="0"/>
    <n v="0"/>
    <n v="0"/>
    <n v="12000000"/>
    <n v="12000000"/>
    <n v="0"/>
    <n v="0"/>
    <s v="Prestar servicios profesionales para evaluar de manera integral proyectos de gestión eficiente de la energía, mediante la revisión y análisis de la información y documentación presentada, así como la validación de los soportes, de conformidad con la norma"/>
    <m/>
    <m/>
    <n v="12000000"/>
    <m/>
    <m/>
    <m/>
    <m/>
    <n v="2000000"/>
    <m/>
    <n v="2000000"/>
    <m/>
    <n v="2000000"/>
    <m/>
    <n v="2000000"/>
    <m/>
    <n v="2000000"/>
    <m/>
    <n v="2000000"/>
    <m/>
    <m/>
    <m/>
    <m/>
    <m/>
    <m/>
    <m/>
    <m/>
    <n v="12000000"/>
    <n v="12000000"/>
    <n v="0"/>
    <n v="0"/>
    <n v="59526"/>
    <d v="2026-01-23T00:00:00"/>
    <n v="12000000"/>
    <n v="0"/>
    <n v="48626"/>
    <d v="2026-02-06T00:00:00"/>
    <n v="12000000"/>
    <n v="0"/>
    <n v="0"/>
    <s v="GOMEZ GALVAN BETSY"/>
    <s v="CO1.PCCNTR.9269152"/>
    <m/>
    <m/>
    <m/>
    <n v="12000000"/>
    <m/>
    <m/>
    <m/>
    <m/>
    <m/>
    <m/>
    <m/>
    <m/>
    <m/>
    <m/>
    <m/>
    <m/>
    <m/>
    <m/>
    <m/>
    <m/>
    <m/>
    <m/>
    <m/>
    <m/>
    <m/>
    <m/>
    <m/>
    <m/>
    <m/>
    <m/>
    <m/>
    <m/>
    <m/>
    <m/>
    <m/>
    <m/>
    <n v="12000000"/>
    <n v="0"/>
    <n v="0"/>
    <n v="12000000"/>
    <n v="0"/>
  </r>
  <r>
    <x v="0"/>
    <x v="6"/>
    <s v="Fortalecimiento de la planeación para reducir las limitaciones en la prestación del servicio de energía eléctrica y la atención plena de la demanda nacional."/>
    <s v="Energía"/>
    <s v="Sí"/>
    <s v="Sí"/>
    <s v="Radicado 20261500021643"/>
    <s v="150-71"/>
    <s v="Aumentar señales de expansión y cobertura del servicio de energía eléctrica."/>
    <s v="Documentos de Planeación"/>
    <s v="Documento de planeación validado."/>
    <n v="81112501"/>
    <s v="C-2102-1900-6-40301C-2102009-02"/>
    <x v="10"/>
    <s v="150-71 Adquirir el servicio de adición de usuarios a los módulos de la licencia del software DIGSILENT POWER FACTORY y la actualización con el mantenimiento de las licencias existentes, así como el soporte técnico general y específico en el manejo del sof"/>
    <s v="Octubre"/>
    <s v="Noviembre"/>
    <s v="Diciembre"/>
    <n v="12"/>
    <s v="Meses"/>
    <s v="Contratación directa  - único oferente"/>
    <s v="Propios - 21 - Otros recursos de tesorería"/>
    <n v="468830288"/>
    <n v="468830288"/>
    <s v="No"/>
    <s v="N/A"/>
    <s v="Guillermo Holguin Garcia"/>
    <s v="Subdirector de Energía Eléctrica"/>
    <n v="6012220601"/>
    <s v="guillermo.holguin@upme.gov.co"/>
    <n v="0"/>
    <n v="0"/>
    <n v="0"/>
    <n v="0"/>
    <n v="0"/>
    <n v="0"/>
    <n v="0"/>
    <n v="0"/>
    <n v="0"/>
    <n v="0"/>
    <n v="0"/>
    <n v="0"/>
    <n v="0"/>
    <n v="0"/>
    <n v="0"/>
    <n v="0"/>
    <n v="0"/>
    <n v="0"/>
    <n v="0"/>
    <n v="0"/>
    <n v="468830288"/>
    <n v="0"/>
    <n v="0"/>
    <n v="468830288"/>
    <n v="468830288"/>
    <n v="468830288"/>
    <n v="0"/>
    <n v="0"/>
    <s v="Adquirir el servicio de adición de usuarios a los módulos de la licencia del software DIGSILENT POWER FACTORY y la actualización con el mantenimiento de las licencias existentes, así como el soporte técnico general y específico en el manejo del software, "/>
    <m/>
    <m/>
    <m/>
    <m/>
    <m/>
    <m/>
    <m/>
    <m/>
    <m/>
    <m/>
    <m/>
    <m/>
    <m/>
    <m/>
    <m/>
    <m/>
    <m/>
    <m/>
    <m/>
    <m/>
    <n v="468830288"/>
    <m/>
    <m/>
    <n v="468830288"/>
    <m/>
    <m/>
    <n v="468830288"/>
    <n v="468830288"/>
    <n v="0"/>
    <n v="0"/>
    <m/>
    <m/>
    <m/>
    <n v="468830288"/>
    <m/>
    <m/>
    <n v="0"/>
    <n v="468830288"/>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No"/>
    <s v="Sí"/>
    <s v="Radicado 20261500021643"/>
    <s v="150-72"/>
    <s v="Aumentar señales de expansión y cobertura del servicio de energía eléctrica."/>
    <s v="Documentos de Planeación"/>
    <s v="Documento de planeación validado."/>
    <s v="N/A"/>
    <s v="C-2102-1900-6-40301C-2102009-02"/>
    <x v="7"/>
    <s v="150-72 Gastos de personal de los empleos de la planta temporal"/>
    <s v="N/A"/>
    <s v="N/A"/>
    <s v="N/A"/>
    <s v="N/A"/>
    <s v="N/A"/>
    <s v="N/A"/>
    <s v="Propios - 21 - Otros recursos de tesorería"/>
    <n v="467193197"/>
    <n v="467193197"/>
    <s v="No"/>
    <s v="N/A"/>
    <s v="Guillermo Holguin Garcia"/>
    <s v="Subdirector de Energía Eléctrica"/>
    <n v="6012220601"/>
    <s v="guillermo.holguin@upme.gov.co"/>
    <n v="0"/>
    <n v="0"/>
    <n v="0"/>
    <n v="0"/>
    <n v="0"/>
    <n v="0"/>
    <n v="0"/>
    <n v="0"/>
    <n v="0"/>
    <n v="0"/>
    <n v="0"/>
    <n v="0"/>
    <n v="77865533"/>
    <n v="77865533"/>
    <n v="77865533"/>
    <n v="77865533"/>
    <n v="77865533"/>
    <n v="77865533"/>
    <n v="77865533"/>
    <n v="77865533"/>
    <n v="77865533"/>
    <n v="77865533"/>
    <n v="77865532"/>
    <n v="77865532"/>
    <n v="467193197"/>
    <n v="467193197"/>
    <n v="0"/>
    <n v="0"/>
    <s v="Gastos de personal de los empleos de la planta temporal"/>
    <m/>
    <m/>
    <m/>
    <m/>
    <m/>
    <m/>
    <m/>
    <m/>
    <m/>
    <m/>
    <m/>
    <m/>
    <n v="77865533"/>
    <n v="77865533"/>
    <n v="77865533"/>
    <n v="77865533"/>
    <n v="77865533"/>
    <n v="77865533"/>
    <n v="77865533"/>
    <n v="77865533"/>
    <n v="77865533"/>
    <n v="77865533"/>
    <n v="77865532"/>
    <n v="77865532"/>
    <m/>
    <m/>
    <n v="467193197"/>
    <n v="467193197"/>
    <n v="0"/>
    <n v="0"/>
    <m/>
    <m/>
    <m/>
    <n v="467193197"/>
    <m/>
    <m/>
    <n v="0"/>
    <n v="467193197"/>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s v="No. Rad 202601300040373"/>
    <s v="150-73"/>
    <s v="Aumentar señales de expansión y cobertura del servicio de energía eléctrica."/>
    <s v="Documentos de Planeación"/>
    <s v="Documento de planeación validado."/>
    <s v="43201800;43233405;43212201"/>
    <s v="C-2102-1900-6-40301C-2102009-02"/>
    <x v="1"/>
    <s v="150-73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11294665"/>
    <n v="111294665"/>
    <s v="No"/>
    <s v="N/A"/>
    <s v="Guillermo Holguin Garcia"/>
    <s v="Subdirector de Energía Eléctrica"/>
    <n v="6012220601"/>
    <s v="guillermo.holguin@upme.gov.co"/>
    <n v="0"/>
    <n v="0"/>
    <n v="0"/>
    <n v="0"/>
    <n v="0"/>
    <n v="0"/>
    <n v="111294665"/>
    <n v="0"/>
    <n v="0"/>
    <n v="0"/>
    <n v="0"/>
    <n v="111294665"/>
    <n v="0"/>
    <n v="0"/>
    <n v="0"/>
    <n v="0"/>
    <n v="0"/>
    <n v="0"/>
    <n v="0"/>
    <n v="0"/>
    <n v="0"/>
    <n v="0"/>
    <n v="0"/>
    <n v="0"/>
    <n v="111294665"/>
    <n v="111294665"/>
    <n v="0"/>
    <n v="0"/>
    <s v="Adquirir el licenciamiento por suscripción para Plataforma de virtualización y almacenamiento en nube incluyendo la adquisición del hardware para Computación y Storage que soporta esta solución de Hiperconvergencia."/>
    <m/>
    <m/>
    <m/>
    <m/>
    <m/>
    <m/>
    <n v="111294665"/>
    <m/>
    <m/>
    <m/>
    <m/>
    <n v="111294665"/>
    <m/>
    <m/>
    <m/>
    <m/>
    <m/>
    <m/>
    <m/>
    <m/>
    <m/>
    <m/>
    <m/>
    <m/>
    <m/>
    <m/>
    <n v="111294665"/>
    <n v="111294665"/>
    <n v="0"/>
    <n v="0"/>
    <m/>
    <m/>
    <m/>
    <n v="111294665"/>
    <m/>
    <m/>
    <n v="0"/>
    <n v="111294665"/>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20"/>
    <s v="150-74"/>
    <s v="Aumentar señales de expansión y cobertura del servicio de energía eléctrica."/>
    <s v="Documentos de Planeación"/>
    <s v="Documento de planeación validado."/>
    <s v="43201800;43233405;43212201"/>
    <s v="C-2102-1900-6-40301C-2102009-02"/>
    <x v="1"/>
    <s v="150-74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220049292"/>
    <n v="220049292"/>
    <s v="No"/>
    <s v="N/A"/>
    <s v="Guillermo Holguin Garcia"/>
    <s v="Subdirector de Energía Eléctrica"/>
    <n v="6012220601"/>
    <s v="guillermo.holguin@upme.gov.co"/>
    <n v="0"/>
    <n v="0"/>
    <n v="0"/>
    <n v="0"/>
    <n v="0"/>
    <n v="0"/>
    <n v="20049292"/>
    <n v="0"/>
    <n v="0"/>
    <n v="0"/>
    <n v="0"/>
    <n v="20049292"/>
    <n v="0"/>
    <n v="0"/>
    <n v="0"/>
    <n v="0"/>
    <n v="0"/>
    <n v="0"/>
    <n v="0"/>
    <n v="0"/>
    <n v="0"/>
    <n v="0"/>
    <n v="0"/>
    <n v="0"/>
    <n v="20049292"/>
    <n v="20049292"/>
    <n v="200000000"/>
    <n v="200000000"/>
    <s v="Adquirir el licenciamiento por suscripción para Plataforma de virtualización y almacenamiento en nube incluyendo la adquisición del hardware para Computación y Storage que soporta esta solución de Hiperconvergencia."/>
    <m/>
    <m/>
    <m/>
    <m/>
    <m/>
    <m/>
    <n v="220049292"/>
    <m/>
    <m/>
    <n v="220049292"/>
    <m/>
    <m/>
    <m/>
    <m/>
    <m/>
    <m/>
    <m/>
    <m/>
    <m/>
    <m/>
    <m/>
    <m/>
    <m/>
    <m/>
    <m/>
    <m/>
    <n v="220049292"/>
    <n v="220049292"/>
    <n v="0"/>
    <n v="0"/>
    <m/>
    <m/>
    <m/>
    <n v="220049292"/>
    <m/>
    <m/>
    <n v="0"/>
    <n v="220049292"/>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No"/>
    <s v="Sí"/>
    <s v="Radicado 20261500021643"/>
    <s v="150-75"/>
    <s v="Aumentar la oportunidad en la definición de obras y ejecución de los procesos de convocatorias."/>
    <s v="Servicio de Asistencia Técnica"/>
    <s v="Monitorear los resultados e impactos de los proyectos en ejecución de los procesos de convocatorias y subastas."/>
    <s v="N/A"/>
    <s v="C-2102-1900-6-40301C-2102071-02"/>
    <x v="7"/>
    <s v="150-75 Gastos de personal de los empleos de la planta temporal"/>
    <s v="N/A"/>
    <s v="N/A"/>
    <s v="N/A"/>
    <s v="N/A"/>
    <s v="N/A"/>
    <s v="N/A"/>
    <s v="Propios - 21 - Otros recursos de tesorería"/>
    <n v="50424391"/>
    <n v="50424391"/>
    <s v="No"/>
    <s v="N/A"/>
    <s v="Guillermo Holguin Garcia"/>
    <s v="Subdirector de Energía Eléctrica"/>
    <n v="6012220601"/>
    <s v="guillermo.holguin@upme.gov.co"/>
    <n v="0"/>
    <n v="0"/>
    <n v="0"/>
    <n v="0"/>
    <n v="0"/>
    <n v="0"/>
    <n v="0"/>
    <n v="0"/>
    <n v="0"/>
    <n v="0"/>
    <n v="0"/>
    <n v="0"/>
    <n v="8404065"/>
    <n v="8404065"/>
    <n v="8404065"/>
    <n v="8404065"/>
    <n v="8404065"/>
    <n v="8404065"/>
    <n v="8404065"/>
    <n v="8404065"/>
    <n v="8404065"/>
    <n v="8404065"/>
    <n v="8404066"/>
    <n v="8404066"/>
    <n v="50424391"/>
    <n v="50424391"/>
    <n v="0"/>
    <n v="0"/>
    <s v="Gastos de personal de los empleos de la planta temporal"/>
    <m/>
    <m/>
    <m/>
    <m/>
    <m/>
    <m/>
    <m/>
    <m/>
    <m/>
    <m/>
    <m/>
    <m/>
    <n v="8404065"/>
    <n v="8404065"/>
    <n v="8404065"/>
    <n v="8404065"/>
    <n v="8404065"/>
    <n v="8404065"/>
    <n v="8404065"/>
    <n v="8404065"/>
    <n v="8404065"/>
    <n v="8404065"/>
    <n v="8404066"/>
    <n v="8404066"/>
    <m/>
    <m/>
    <n v="50424391"/>
    <n v="50424391"/>
    <n v="0"/>
    <n v="0"/>
    <m/>
    <m/>
    <m/>
    <n v="50424391"/>
    <m/>
    <m/>
    <n v="0"/>
    <n v="50424391"/>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22"/>
    <s v="150-76"/>
    <s v="Aumentar señales de expansión y cobertura del servicio de energía eléctrica."/>
    <s v="Documentos de Planeación"/>
    <s v="Documento de planeación validado."/>
    <n v="80141607"/>
    <s v="C-2102-1900-6-40301C-2102009-02"/>
    <x v="2"/>
    <s v="150-76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
    <s v="Propios - 20 - Ingresos corrientes"/>
    <n v="20000000"/>
    <n v="20000000"/>
    <s v="No"/>
    <s v="N/A"/>
    <s v="Guillermo Holguin Garcia"/>
    <s v="Subdirector de Energía Eléctrica"/>
    <n v="6012220601"/>
    <s v="guillermo.holguin@upme.gov.co"/>
    <n v="10000000"/>
    <n v="0"/>
    <n v="0"/>
    <n v="0"/>
    <n v="0"/>
    <n v="0"/>
    <n v="0"/>
    <n v="0"/>
    <n v="0"/>
    <n v="1250000"/>
    <n v="0"/>
    <n v="1250000"/>
    <n v="0"/>
    <n v="1250000"/>
    <n v="0"/>
    <n v="1250000"/>
    <n v="0"/>
    <n v="1250000"/>
    <n v="0"/>
    <n v="1250000"/>
    <n v="0"/>
    <n v="1250000"/>
    <n v="0"/>
    <n v="1250000"/>
    <n v="10000000"/>
    <n v="10000000"/>
    <n v="10000000"/>
    <n v="10000000"/>
    <s v="Prestación de los servicios de apoyo logístico para el desarrollo de la estrategia de comunicación y participación con actores nacionales y territoriales, así como para otros espacios interinstitucionales en el marco de la misionalidad de la entidad y el "/>
    <n v="10000000"/>
    <m/>
    <m/>
    <m/>
    <m/>
    <m/>
    <m/>
    <m/>
    <n v="10000000"/>
    <n v="2500000"/>
    <m/>
    <n v="2500000"/>
    <m/>
    <n v="2500000"/>
    <m/>
    <n v="2500000"/>
    <m/>
    <n v="2500000"/>
    <m/>
    <n v="2500000"/>
    <m/>
    <n v="2500000"/>
    <m/>
    <n v="2500000"/>
    <m/>
    <m/>
    <n v="20000000"/>
    <n v="20000000"/>
    <n v="0"/>
    <n v="0"/>
    <n v="15126"/>
    <d v="2026-01-09T00:00:00"/>
    <n v="10000000"/>
    <n v="10000000"/>
    <n v="26226"/>
    <d v="2026-01-28T00:00:00"/>
    <n v="10000000"/>
    <n v="10000000"/>
    <n v="0"/>
    <s v="M2C ESTRATEGIAS SAS"/>
    <s v="CO1.PCCNTR.9130164"/>
    <n v="10000000"/>
    <m/>
    <m/>
    <m/>
    <m/>
    <m/>
    <m/>
    <m/>
    <m/>
    <m/>
    <m/>
    <m/>
    <m/>
    <m/>
    <m/>
    <m/>
    <m/>
    <m/>
    <m/>
    <m/>
    <m/>
    <m/>
    <m/>
    <m/>
    <m/>
    <m/>
    <m/>
    <m/>
    <m/>
    <m/>
    <m/>
    <m/>
    <m/>
    <m/>
    <m/>
    <m/>
    <n v="10000000"/>
    <n v="0"/>
    <n v="0"/>
    <n v="10000000"/>
    <n v="0"/>
  </r>
  <r>
    <x v="0"/>
    <x v="6"/>
    <s v="Fortalecimiento de la planeación para reducir las limitaciones en la prestación del servicio de energía eléctrica y la atención plena de la demanda nacional."/>
    <s v="Energía"/>
    <s v="Sí"/>
    <s v="Sí"/>
    <n v="68"/>
    <s v="150-77"/>
    <s v="Aumentar señales de expansión y cobertura del servicio de energía eléctrica."/>
    <s v="Documentos de Planeación"/>
    <s v="Documento de planeación validado."/>
    <n v="80111620"/>
    <s v="C-2102-1900-6-40301C-2102009-02"/>
    <x v="0"/>
    <s v="150-77 Prestar servicios profesionales para apoyar y fortalecer la gestión del talento humano de la Unidad de Planeación Minero Energética – UPME, mediante el desarrollo de actividades orientadas a la provisión de vacantes, los procesos de vinculación e i"/>
    <s v="Enero "/>
    <s v="Enero "/>
    <s v="Febrero"/>
    <n v="12"/>
    <s v="Meses"/>
    <s v="Contratación directa - Prestación de servicios profesionales "/>
    <s v="Propios - 20 - Ingresos corrientes"/>
    <n v="83636361"/>
    <n v="83636361"/>
    <s v="No"/>
    <s v="N/A"/>
    <s v="Guillermo Holguin Garcia"/>
    <s v="Subdirector de Energía Eléctrica"/>
    <n v="6012220601"/>
    <s v="guillermo.holguin@upme.gov.co"/>
    <n v="0"/>
    <n v="0"/>
    <n v="83636361"/>
    <n v="0"/>
    <n v="0"/>
    <n v="3636364"/>
    <n v="0"/>
    <n v="7272727"/>
    <n v="0"/>
    <n v="7272727"/>
    <n v="0"/>
    <n v="7272727"/>
    <n v="0"/>
    <n v="7272727"/>
    <n v="0"/>
    <n v="7272727"/>
    <n v="0"/>
    <n v="7272727"/>
    <n v="0"/>
    <n v="7272727"/>
    <n v="0"/>
    <n v="7272727"/>
    <n v="0"/>
    <n v="21818181"/>
    <n v="83636361"/>
    <n v="83636361"/>
    <n v="0"/>
    <n v="0"/>
    <s v="Prestar servicios profesionales para apoyar y fortalecer la gestión del talento humano de la Unidad de Planeación Minero Energética – UPME, mediante el desarrollo de actividades orientadas a la provisión de vacantes, los procesos de vinculación e inducció"/>
    <m/>
    <m/>
    <n v="83636361"/>
    <m/>
    <m/>
    <n v="3636364"/>
    <m/>
    <n v="7272727"/>
    <m/>
    <n v="7272727"/>
    <m/>
    <n v="7272727"/>
    <m/>
    <n v="7272727"/>
    <m/>
    <n v="7272727"/>
    <m/>
    <n v="7272727"/>
    <m/>
    <n v="7272727"/>
    <m/>
    <n v="7272727"/>
    <m/>
    <n v="21818181"/>
    <m/>
    <m/>
    <n v="83636361"/>
    <n v="83636361"/>
    <n v="0"/>
    <n v="0"/>
    <n v="31926"/>
    <d v="2026-01-14T00:00:00"/>
    <n v="83636361"/>
    <n v="0"/>
    <n v="40426"/>
    <d v="2026-02-04T00:00:00"/>
    <n v="79999997"/>
    <n v="3636364"/>
    <n v="3636364"/>
    <s v="OSORIO ALVAREZ CARLOS ANDRES"/>
    <s v="CO1.PCCNTR.9238286"/>
    <m/>
    <m/>
    <m/>
    <n v="79999997"/>
    <m/>
    <m/>
    <m/>
    <n v="6303030"/>
    <n v="6303030"/>
    <m/>
    <n v="7272727"/>
    <n v="7272727"/>
    <m/>
    <m/>
    <m/>
    <m/>
    <m/>
    <m/>
    <m/>
    <m/>
    <m/>
    <m/>
    <m/>
    <m/>
    <m/>
    <m/>
    <m/>
    <m/>
    <m/>
    <m/>
    <m/>
    <m/>
    <m/>
    <m/>
    <m/>
    <m/>
    <n v="79999997"/>
    <n v="13575757"/>
    <n v="13575757"/>
    <n v="66424240"/>
    <n v="0"/>
  </r>
  <r>
    <x v="0"/>
    <x v="6"/>
    <s v="Fortalecimiento de la planeación para reducir las limitaciones en la prestación del servicio de energía eléctrica y la atención plena de la demanda nacional."/>
    <s v="Energía"/>
    <s v="Sí"/>
    <s v="Sí"/>
    <n v="68"/>
    <s v="150-78"/>
    <s v="Aumentar señales de expansión y cobertura del servicio de energía eléctrica."/>
    <s v="Documentos de Planeación"/>
    <s v="Documento de planeación validado."/>
    <n v="80111620"/>
    <s v="C-2102-1900-6-40301C-2102009-02"/>
    <x v="0"/>
    <s v="150-78 Prestar los servicios profesionales para apoyar y gestionar las actividades orientadas al fortalecimiento del proceso de atención al ciudadano, así como garantizando la adecuada implementación, seguimiento y evaluación de la política de participaci"/>
    <s v="Enero "/>
    <s v="Enero "/>
    <s v="Enero "/>
    <n v="12"/>
    <s v="Meses"/>
    <s v="Contratación directa - Prestación de servicios profesionales "/>
    <s v="Propios - 20 - Ingresos corrientes"/>
    <n v="63250000"/>
    <n v="63250000"/>
    <s v="No"/>
    <s v="N/A"/>
    <s v="Guillermo Holguin Garcia"/>
    <s v="Subdirector de Energía Eléctrica"/>
    <n v="6012220601"/>
    <s v="guillermo.holguin@upme.gov.co"/>
    <n v="60500000"/>
    <n v="0"/>
    <n v="0"/>
    <n v="5500000"/>
    <n v="0"/>
    <n v="5500000"/>
    <n v="0"/>
    <n v="5500000"/>
    <n v="0"/>
    <n v="5500000"/>
    <n v="0"/>
    <n v="5500000"/>
    <n v="0"/>
    <n v="5500000"/>
    <n v="0"/>
    <n v="5500000"/>
    <n v="0"/>
    <n v="5500000"/>
    <n v="0"/>
    <n v="5500000"/>
    <n v="2750000"/>
    <n v="5500000"/>
    <n v="0"/>
    <n v="8250000"/>
    <n v="63250000"/>
    <n v="63250000"/>
    <n v="0"/>
    <n v="0"/>
    <s v="Prestar los servicios profesionales para apoyar y gestionar las actividades orientadas al fortalecimiento del proceso de atención al ciudadano, así como garantizando la adecuada implementación, seguimiento y evaluación de la política de participación ciud"/>
    <n v="60500000"/>
    <m/>
    <m/>
    <n v="5500000"/>
    <m/>
    <n v="5500000"/>
    <m/>
    <n v="5500000"/>
    <m/>
    <n v="5500000"/>
    <m/>
    <n v="5500000"/>
    <m/>
    <n v="5500000"/>
    <m/>
    <n v="5500000"/>
    <m/>
    <n v="5500000"/>
    <m/>
    <n v="5500000"/>
    <n v="2750000"/>
    <n v="5500000"/>
    <m/>
    <n v="8250000"/>
    <m/>
    <m/>
    <n v="63250000"/>
    <n v="63250000"/>
    <n v="0"/>
    <n v="0"/>
    <n v="38526"/>
    <d v="2026-01-15T00:00:00"/>
    <n v="63250000"/>
    <n v="0"/>
    <n v="26826"/>
    <d v="2026-01-28T00:00:00"/>
    <n v="60500000"/>
    <n v="2750000"/>
    <n v="2750000"/>
    <s v="CASTRO BECERRA EDINSON FABIAN"/>
    <s v="CO1.PCCNTR.9144685"/>
    <n v="60500000"/>
    <m/>
    <m/>
    <m/>
    <n v="366667"/>
    <n v="366667"/>
    <m/>
    <n v="5500000"/>
    <n v="5500000"/>
    <m/>
    <n v="5500000"/>
    <n v="5500000"/>
    <m/>
    <m/>
    <m/>
    <m/>
    <m/>
    <m/>
    <m/>
    <m/>
    <m/>
    <m/>
    <m/>
    <m/>
    <m/>
    <m/>
    <m/>
    <m/>
    <m/>
    <m/>
    <m/>
    <m/>
    <m/>
    <m/>
    <m/>
    <m/>
    <n v="60500000"/>
    <n v="11366667"/>
    <n v="11366667"/>
    <n v="49133333"/>
    <n v="0"/>
  </r>
  <r>
    <x v="0"/>
    <x v="6"/>
    <s v="Fortalecimiento de la planeación para reducir las limitaciones en la prestación del servicio de energía eléctrica y la atención plena de la demanda nacional."/>
    <s v="Energía"/>
    <s v="Sí"/>
    <s v="Sí"/>
    <n v="1"/>
    <s v="150-79"/>
    <s v="Aumentar señales de expansión y cobertura del servicio de energía eléctrica."/>
    <s v="Documentos de Planeación"/>
    <s v="Documento de planeación validado."/>
    <n v="80111620"/>
    <s v="C-2102-1900-6-40301C-2102009-02"/>
    <x v="0"/>
    <s v="150-79 Prestar servicios de apoyo en la etapa precontractual y contractual, en el marco de la gestión administrativa y los procesos internos de la UPME."/>
    <s v="Enero "/>
    <s v="Enero "/>
    <s v="Enero "/>
    <n v="11.5"/>
    <s v="Meses"/>
    <s v="Contratación directa - Prestación de servicios profesionales "/>
    <s v="Propios - 20 - Ingresos corrientes"/>
    <n v="34879454"/>
    <n v="34879454"/>
    <s v="No"/>
    <s v="N/A"/>
    <s v="Guillermo Holguin Garcia"/>
    <s v="Subdirector de Energía Eléctrica"/>
    <n v="6012220601"/>
    <s v="guillermo.holguin@upme.gov.co"/>
    <n v="34879454"/>
    <n v="0"/>
    <n v="0"/>
    <n v="3032996"/>
    <n v="0"/>
    <n v="3032996"/>
    <n v="0"/>
    <n v="3032996"/>
    <n v="0"/>
    <n v="3032996"/>
    <n v="0"/>
    <n v="3032996"/>
    <n v="0"/>
    <n v="3032996"/>
    <n v="0"/>
    <n v="3032996"/>
    <n v="0"/>
    <n v="3032996"/>
    <n v="0"/>
    <n v="3032996"/>
    <n v="0"/>
    <n v="3032996"/>
    <n v="0"/>
    <n v="4549494"/>
    <n v="34879454"/>
    <n v="34879454"/>
    <n v="0"/>
    <n v="0"/>
    <s v="Prestar servicios de apoyo en la etapa precontractual y contractual, en el marco de la gestión administrativa y los procesos internos de la UPME."/>
    <n v="34879454"/>
    <m/>
    <m/>
    <n v="3032996"/>
    <m/>
    <n v="3032996"/>
    <m/>
    <n v="3032996"/>
    <m/>
    <n v="3032996"/>
    <m/>
    <n v="3032996"/>
    <m/>
    <n v="3032996"/>
    <m/>
    <n v="3032996"/>
    <m/>
    <n v="3032996"/>
    <m/>
    <n v="3032996"/>
    <m/>
    <n v="3032996"/>
    <m/>
    <n v="4549494"/>
    <m/>
    <m/>
    <n v="34879454"/>
    <n v="34879454"/>
    <n v="0"/>
    <n v="0"/>
    <n v="24826"/>
    <d v="2026-01-13T00:00:00"/>
    <n v="34272854"/>
    <n v="606600"/>
    <n v="14526"/>
    <d v="2026-01-21T00:00:00"/>
    <n v="34272854"/>
    <n v="606600"/>
    <n v="0"/>
    <s v="PICO CUADROS KERLY"/>
    <n v="1096254670"/>
    <n v="34879454"/>
    <m/>
    <m/>
    <m/>
    <m/>
    <m/>
    <n v="-606600"/>
    <n v="3942894"/>
    <n v="3942894"/>
    <m/>
    <n v="3032996"/>
    <n v="3032996"/>
    <m/>
    <m/>
    <m/>
    <m/>
    <m/>
    <m/>
    <m/>
    <m/>
    <m/>
    <m/>
    <m/>
    <m/>
    <m/>
    <m/>
    <m/>
    <m/>
    <m/>
    <m/>
    <m/>
    <m/>
    <m/>
    <m/>
    <m/>
    <m/>
    <n v="34272854"/>
    <n v="6975890"/>
    <n v="6975890"/>
    <n v="27296964"/>
    <n v="0"/>
  </r>
  <r>
    <x v="0"/>
    <x v="6"/>
    <s v="Fortalecimiento de la planeación para reducir las limitaciones en la prestación del servicio de energía eléctrica y la atención plena de la demanda nacional."/>
    <s v="Energía"/>
    <s v="Sí"/>
    <s v="Sí"/>
    <n v="68"/>
    <s v="150-8"/>
    <s v="Aumentar señales de expansión y cobertura del servicio de energía eléctrica."/>
    <s v="Documentos de Planeación"/>
    <s v="Documento de planeación validado."/>
    <n v="80111620"/>
    <s v="C-2102-1900-6-40301C-2102009-02"/>
    <x v="0"/>
    <s v="150-8 Prestar servicios ​profesionales en asuntos jurídicos relacionados con los procesos ​y procedimientos de competencia de la Oficina Asesora Jurídica de la UPME, en el marco de la gestión institucional de la Entidad."/>
    <s v="Enero "/>
    <s v="Enero "/>
    <s v="Enero "/>
    <n v="10"/>
    <s v="Meses"/>
    <s v="Contratación directa - Prestación de servicios profesionales "/>
    <s v="Propios - 20 - Ingresos corrientes"/>
    <n v="45000000"/>
    <n v="45000000"/>
    <s v="No"/>
    <s v="N/A"/>
    <s v="Guillermo Holguin Garcia"/>
    <s v="Subdirector de Energía Eléctrica"/>
    <n v="6012220601"/>
    <s v="guillermo.holguin@upme.gov.co"/>
    <n v="45000000"/>
    <n v="0"/>
    <n v="0"/>
    <n v="0"/>
    <n v="0"/>
    <n v="4500000"/>
    <n v="0"/>
    <n v="4500000"/>
    <n v="0"/>
    <n v="4500000"/>
    <n v="0"/>
    <n v="4500000"/>
    <n v="0"/>
    <n v="4500000"/>
    <n v="0"/>
    <n v="4500000"/>
    <n v="0"/>
    <n v="4500000"/>
    <n v="0"/>
    <n v="4500000"/>
    <n v="0"/>
    <n v="4500000"/>
    <n v="0"/>
    <n v="4500000"/>
    <n v="45000000"/>
    <n v="45000000"/>
    <n v="0"/>
    <n v="0"/>
    <s v="Prestar servicios ​profesionales en asuntos jurídicos relacionados con los procesos ​y procedimientos de competencia de la Oficina Asesora Jurídica de la UPME, en el marco de la gestión institucional de la Entidad."/>
    <n v="45000000"/>
    <m/>
    <m/>
    <m/>
    <m/>
    <n v="4500000"/>
    <m/>
    <n v="4500000"/>
    <m/>
    <n v="4500000"/>
    <m/>
    <n v="4500000"/>
    <m/>
    <n v="4500000"/>
    <m/>
    <n v="4500000"/>
    <m/>
    <n v="4500000"/>
    <m/>
    <n v="4500000"/>
    <m/>
    <n v="4500000"/>
    <m/>
    <n v="4500000"/>
    <m/>
    <m/>
    <n v="45000000"/>
    <n v="45000000"/>
    <n v="0"/>
    <n v="0"/>
    <n v="11126"/>
    <d v="2026-01-08T00:00:00"/>
    <n v="45000000"/>
    <n v="0"/>
    <n v="12626"/>
    <d v="2026-01-20T00:00:00"/>
    <n v="45000000"/>
    <n v="0"/>
    <n v="0"/>
    <s v="SANABRIA VELAZQUEZ GIOVANNY ALEXANDER"/>
    <s v="CO1.PCCNTR.8919539"/>
    <n v="45000000"/>
    <m/>
    <m/>
    <m/>
    <n v="1500000"/>
    <n v="1500000"/>
    <m/>
    <n v="4500000"/>
    <n v="4500000"/>
    <m/>
    <n v="4500000"/>
    <n v="4500000"/>
    <m/>
    <m/>
    <m/>
    <m/>
    <m/>
    <m/>
    <m/>
    <m/>
    <m/>
    <m/>
    <m/>
    <m/>
    <m/>
    <m/>
    <m/>
    <m/>
    <m/>
    <m/>
    <m/>
    <m/>
    <m/>
    <m/>
    <m/>
    <m/>
    <n v="45000000"/>
    <n v="10500000"/>
    <n v="10500000"/>
    <n v="34500000"/>
    <n v="0"/>
  </r>
  <r>
    <x v="0"/>
    <x v="6"/>
    <s v="Fortalecimiento de la planeación para reducir las limitaciones en la prestación del servicio de energía eléctrica y la atención plena de la demanda nacional."/>
    <s v="Energía"/>
    <s v="Sí"/>
    <s v="Sí"/>
    <n v="3"/>
    <s v="150-80"/>
    <s v="Aumentar señales de expansión y cobertura del servicio de energía eléctrica."/>
    <s v="Documentos de Planeación"/>
    <s v="Documento de planeación validado."/>
    <n v="80111620"/>
    <s v="C-2102-1900-6-40301C-2102009-02"/>
    <x v="0"/>
    <s v="150-80 Prestar los servicios profesionales de apoyo al Grupo Interno de Trabajo de Gestión del Talento Humano de la UPME, en el fortalecimiento de los procesos de bienestar, desarrollo del talento humano y acompañamiento a la gestión de previsión de vacan"/>
    <s v="Enero "/>
    <s v="Enero "/>
    <s v="Enero "/>
    <n v="7"/>
    <s v="Meses"/>
    <s v="Contratación directa - Prestación de servicios profesionales "/>
    <s v="Propios - 20 - Ingresos corrientes"/>
    <n v="37782675"/>
    <n v="37782675"/>
    <s v="No"/>
    <s v="N/A"/>
    <s v="Guillermo Holguin Garcia"/>
    <s v="Subdirector de Energía Eléctrica"/>
    <n v="6012220601"/>
    <s v="guillermo.holguin@upme.gov.co"/>
    <n v="37620000"/>
    <n v="0"/>
    <n v="0"/>
    <n v="3285450"/>
    <n v="0"/>
    <n v="3285450"/>
    <n v="0"/>
    <n v="3285450"/>
    <n v="0"/>
    <n v="3285450"/>
    <n v="0"/>
    <n v="3285450"/>
    <n v="0"/>
    <n v="3285450"/>
    <n v="0"/>
    <n v="3285450"/>
    <n v="0"/>
    <n v="3285450"/>
    <n v="0"/>
    <n v="3285450"/>
    <n v="162675"/>
    <n v="3285450"/>
    <n v="0"/>
    <n v="4928175"/>
    <n v="37782675"/>
    <n v="37782675"/>
    <n v="0"/>
    <n v="0"/>
    <s v="Prestar los servicios profesionales de apoyo al Grupo Interno de Trabajo de Gestión del Talento Humano de la UPME, en el fortalecimiento de los procesos de bienestar, desarrollo del talento humano y acompañamiento a la gestión de previsión de vacantes, en"/>
    <n v="37620000"/>
    <m/>
    <m/>
    <n v="3285450"/>
    <m/>
    <n v="3285450"/>
    <m/>
    <n v="3285450"/>
    <m/>
    <n v="3285450"/>
    <m/>
    <n v="3285450"/>
    <m/>
    <n v="3285450"/>
    <m/>
    <n v="3285450"/>
    <m/>
    <n v="3285450"/>
    <m/>
    <n v="3285450"/>
    <n v="162675"/>
    <n v="3285450"/>
    <m/>
    <n v="4928175"/>
    <m/>
    <m/>
    <n v="37782675"/>
    <n v="37782675"/>
    <n v="0"/>
    <n v="0"/>
    <n v="43426"/>
    <d v="2026-01-17T00:00:00"/>
    <n v="37782675"/>
    <n v="0"/>
    <n v="25626"/>
    <d v="2026-01-28T00:00:00"/>
    <n v="37620000"/>
    <n v="162675"/>
    <n v="162675"/>
    <s v="TAMARA VILLAMIZAR NESTOR ALFONSO"/>
    <s v="CO1.PCCNTR.9096123"/>
    <n v="37620000"/>
    <m/>
    <m/>
    <m/>
    <m/>
    <m/>
    <m/>
    <n v="5760000"/>
    <n v="5760000"/>
    <m/>
    <n v="5400000"/>
    <n v="5400000"/>
    <m/>
    <m/>
    <m/>
    <m/>
    <m/>
    <m/>
    <m/>
    <m/>
    <m/>
    <m/>
    <m/>
    <m/>
    <m/>
    <m/>
    <m/>
    <m/>
    <m/>
    <m/>
    <m/>
    <m/>
    <m/>
    <m/>
    <m/>
    <m/>
    <n v="37620000"/>
    <n v="11160000"/>
    <n v="11160000"/>
    <n v="26460000"/>
    <n v="0"/>
  </r>
  <r>
    <x v="0"/>
    <x v="6"/>
    <s v="Fortalecimiento de la planeación para reducir las limitaciones en la prestación del servicio de energía eléctrica y la atención plena de la demanda nacional."/>
    <s v="Energía"/>
    <s v="Sí"/>
    <s v="Sí"/>
    <n v="68"/>
    <s v="150-81"/>
    <s v="Aumentar señales de expansión y cobertura del servicio de energía eléctrica."/>
    <s v="Documentos de Planeación"/>
    <s v="Documento de planeación validado."/>
    <n v="80111620"/>
    <s v="C-2102-1900-6-40301C-2102009-02"/>
    <x v="0"/>
    <s v="150-81 Prestar los servicios profesionales de apoyo al Grupo Interno de Trabajo de Gestión del Talento Humano, en el fortalecimiento de los planes y programas de bienestar social, clima laboral y convivencia organizacional de la UPME, así como en la ejecu"/>
    <s v="Enero "/>
    <s v="Enero "/>
    <s v="Enero "/>
    <n v="12"/>
    <s v="Meses"/>
    <s v="Contratación directa - Prestación de servicios profesionales "/>
    <s v="Propios - 21 - Otros recursos de tesorería"/>
    <n v="31197784"/>
    <n v="31197784"/>
    <s v="No"/>
    <s v="N/A"/>
    <s v="Guillermo Holguin Garcia"/>
    <s v="Subdirector de Energía Eléctrica"/>
    <n v="6012220601"/>
    <s v="guillermo.holguin@upme.gov.co"/>
    <n v="29397784"/>
    <n v="0"/>
    <n v="0"/>
    <n v="2712851"/>
    <n v="0"/>
    <n v="2712851"/>
    <n v="0"/>
    <n v="2712851"/>
    <n v="0"/>
    <n v="2712851"/>
    <n v="0"/>
    <n v="2712851"/>
    <n v="0"/>
    <n v="2712851"/>
    <n v="0"/>
    <n v="2712851"/>
    <n v="0"/>
    <n v="2712851"/>
    <n v="0"/>
    <n v="2712851"/>
    <n v="1800000"/>
    <n v="2712851"/>
    <n v="0"/>
    <n v="4069274"/>
    <n v="31197784"/>
    <n v="31197784"/>
    <n v="0"/>
    <n v="0"/>
    <s v="Prestar los servicios profesionales de apoyo al Grupo Interno de Trabajo de Gestión del Talento Humano, en el fortalecimiento de los planes y programas de bienestar social, clima laboral y convivencia organizacional de la UPME, así como en la ejecución de"/>
    <n v="29397784"/>
    <m/>
    <m/>
    <n v="2712851"/>
    <m/>
    <n v="2712851"/>
    <m/>
    <n v="2712851"/>
    <m/>
    <n v="2712851"/>
    <m/>
    <n v="2712851"/>
    <m/>
    <n v="2712851"/>
    <m/>
    <n v="2712851"/>
    <m/>
    <n v="2712851"/>
    <m/>
    <n v="2712851"/>
    <n v="1800000"/>
    <n v="2712851"/>
    <m/>
    <n v="4069274"/>
    <m/>
    <m/>
    <n v="31197784"/>
    <n v="31197784"/>
    <n v="0"/>
    <n v="0"/>
    <n v="43026"/>
    <d v="2026-01-16T00:00:00"/>
    <n v="31197784"/>
    <n v="0"/>
    <n v="28926"/>
    <d v="2026-01-28T00:00:00"/>
    <n v="29397784"/>
    <n v="1800000"/>
    <n v="1800000"/>
    <s v="MANTILLA DIAZ GRANADOS PAULA ANDREA"/>
    <s v="CO1.PCCNTR.9108132"/>
    <n v="29397784"/>
    <m/>
    <m/>
    <m/>
    <m/>
    <m/>
    <m/>
    <m/>
    <m/>
    <m/>
    <m/>
    <m/>
    <m/>
    <m/>
    <m/>
    <m/>
    <m/>
    <m/>
    <m/>
    <m/>
    <m/>
    <m/>
    <m/>
    <m/>
    <m/>
    <m/>
    <m/>
    <m/>
    <m/>
    <m/>
    <m/>
    <m/>
    <m/>
    <m/>
    <m/>
    <m/>
    <n v="29397784"/>
    <n v="0"/>
    <n v="0"/>
    <n v="29397784"/>
    <n v="0"/>
  </r>
  <r>
    <x v="0"/>
    <x v="6"/>
    <s v="Fortalecimiento de la planeación para reducir las limitaciones en la prestación del servicio de energía eléctrica y la atención plena de la demanda nacional."/>
    <s v="Energía"/>
    <s v="Sí"/>
    <s v="Sí"/>
    <n v="68"/>
    <s v="150-82"/>
    <s v="Aumentar señales de expansión y cobertura del servicio de energía eléctrica."/>
    <s v="Documentos de Planeación"/>
    <s v="Documento de planeación validado."/>
    <n v="80111620"/>
    <s v="C-2102-1900-6-40301C-2102009-02"/>
    <x v="0"/>
    <s v="150-82 Prestar los servicios profesionales de apoyo al Grupo Interno de Trabajo de Gestión del Talento Humano, en el fortalecimiento de los planes y programas de bienestar social, clima laboral y convivencia organizacional de la UPME, así como en la ejecu"/>
    <s v="Enero "/>
    <s v="Enero "/>
    <s v="Enero "/>
    <n v="12"/>
    <s v="Meses"/>
    <s v="Contratación directa - Prestación de servicios profesionales "/>
    <s v="Propios - 20 - Ingresos corrientes"/>
    <n v="10202216"/>
    <n v="10202216"/>
    <s v="No"/>
    <s v="N/A"/>
    <s v="Guillermo Holguin Garcia"/>
    <s v="Subdirector de Energía Eléctrica"/>
    <n v="6012220601"/>
    <s v="guillermo.holguin@upme.gov.co"/>
    <n v="10202216"/>
    <n v="0"/>
    <n v="0"/>
    <n v="887149"/>
    <n v="0"/>
    <n v="887149"/>
    <n v="0"/>
    <n v="887149"/>
    <n v="0"/>
    <n v="887149"/>
    <n v="0"/>
    <n v="887149"/>
    <n v="0"/>
    <n v="887149"/>
    <n v="0"/>
    <n v="887149"/>
    <n v="0"/>
    <n v="887149"/>
    <n v="0"/>
    <n v="887149"/>
    <n v="0"/>
    <n v="887149"/>
    <n v="0"/>
    <n v="1330726"/>
    <n v="10202216"/>
    <n v="10202216"/>
    <n v="0"/>
    <n v="0"/>
    <s v="Prestar los servicios profesionales de apoyo al Grupo Interno de Trabajo de Gestión del Talento Humano, en el fortalecimiento de los planes y programas de bienestar social, clima laboral y convivencia organizacional de la UPME, así como en la ejecución de"/>
    <n v="10202216"/>
    <m/>
    <m/>
    <n v="887149"/>
    <m/>
    <n v="887149"/>
    <m/>
    <n v="887149"/>
    <m/>
    <n v="887149"/>
    <m/>
    <n v="887149"/>
    <m/>
    <n v="887149"/>
    <m/>
    <n v="887149"/>
    <m/>
    <n v="887149"/>
    <m/>
    <n v="887149"/>
    <m/>
    <n v="887149"/>
    <m/>
    <n v="1330726"/>
    <m/>
    <m/>
    <n v="10202216"/>
    <n v="10202216"/>
    <n v="0"/>
    <n v="0"/>
    <n v="43026"/>
    <d v="2026-01-16T00:00:00"/>
    <n v="10202216"/>
    <n v="0"/>
    <n v="28926"/>
    <d v="2026-01-28T00:00:00"/>
    <n v="10202216"/>
    <n v="0"/>
    <n v="0"/>
    <s v="MANTILLA DIAZ GRANADOS PAULA ANDREA"/>
    <s v="CO1.PCCNTR.9108132"/>
    <n v="10202216"/>
    <m/>
    <m/>
    <m/>
    <m/>
    <m/>
    <m/>
    <n v="240000"/>
    <n v="240000"/>
    <m/>
    <n v="7200000"/>
    <n v="7200000"/>
    <m/>
    <m/>
    <m/>
    <m/>
    <m/>
    <m/>
    <m/>
    <m/>
    <m/>
    <m/>
    <m/>
    <m/>
    <m/>
    <m/>
    <m/>
    <m/>
    <m/>
    <m/>
    <m/>
    <m/>
    <m/>
    <m/>
    <m/>
    <m/>
    <n v="10202216"/>
    <n v="7440000"/>
    <n v="7440000"/>
    <n v="2762216"/>
    <n v="0"/>
  </r>
  <r>
    <x v="0"/>
    <x v="6"/>
    <s v="Fortalecimiento de la planeación para reducir las limitaciones en la prestación del servicio de energía eléctrica y la atención plena de la demanda nacional."/>
    <s v="Energía"/>
    <s v="Sí"/>
    <s v="Sí"/>
    <n v="2"/>
    <s v="150-83"/>
    <s v="Aumentar señales de expansión y cobertura del servicio de energía eléctrica."/>
    <s v="Documentos de Planeación"/>
    <s v="Documento de planeación validado."/>
    <n v="80111620"/>
    <s v="C-2102-1900-6-40301C-2102009-02"/>
    <x v="0"/>
    <s v="150-83 Prestar servicios profesionales para la proyección de documentos de contenido legal y apoyo de los asuntos de tipo jurídico que resulten de las actuaciones administrativas de competencia de la Subdirección de Energía Eléctrica. "/>
    <s v="Enero "/>
    <s v="Enero "/>
    <s v="Febrero"/>
    <n v="10"/>
    <s v="Meses"/>
    <s v="Contratación directa - Prestación de servicios profesionales "/>
    <s v="Propios - 20 - Ingresos corrientes"/>
    <n v="38909378"/>
    <n v="38909378"/>
    <s v="No"/>
    <s v="N/A"/>
    <s v="Guillermo Holguin Garcia"/>
    <s v="Subdirector de Energía Eléctrica"/>
    <n v="6012220601"/>
    <s v="guillermo.holguin@upme.gov.co"/>
    <n v="0"/>
    <n v="0"/>
    <n v="35000000"/>
    <n v="0"/>
    <n v="0"/>
    <n v="3890938"/>
    <n v="0"/>
    <n v="3890938"/>
    <n v="0"/>
    <n v="3890938"/>
    <n v="0"/>
    <n v="3890938"/>
    <n v="0"/>
    <n v="3890938"/>
    <n v="0"/>
    <n v="3890938"/>
    <n v="0"/>
    <n v="3890938"/>
    <n v="0"/>
    <n v="3890938"/>
    <n v="3909378"/>
    <n v="3890938"/>
    <n v="0"/>
    <n v="3890936"/>
    <n v="38909378"/>
    <n v="38909378"/>
    <n v="0"/>
    <n v="0"/>
    <s v="Prestar servicios profesionales para la proyección de documentos de contenido legal y apoyo de los asuntos de tipo jurídico que resulten de las actuaciones administrativas de competencia de la Subdirección de Energía Eléctrica. "/>
    <m/>
    <m/>
    <n v="35000000"/>
    <m/>
    <m/>
    <n v="3890938"/>
    <m/>
    <n v="3890938"/>
    <m/>
    <n v="3890938"/>
    <m/>
    <n v="3890938"/>
    <m/>
    <n v="3890938"/>
    <m/>
    <n v="3890938"/>
    <m/>
    <n v="3890938"/>
    <m/>
    <n v="3890938"/>
    <n v="3909378"/>
    <n v="3890938"/>
    <m/>
    <n v="3890936"/>
    <m/>
    <m/>
    <n v="38909378"/>
    <n v="38909378"/>
    <n v="0"/>
    <n v="0"/>
    <n v="56926"/>
    <d v="2026-01-22T00:00:00"/>
    <n v="35000000"/>
    <n v="3909378"/>
    <n v="49326"/>
    <s v="09/02/2026,20/03/2026"/>
    <n v="35000000"/>
    <n v="3909378"/>
    <n v="0"/>
    <s v="CARMONA LOZANO MABEL ANDREA,ORTEGA THERAN ANYELITZA_x000a_"/>
    <s v="CO1.PCCNTR.9285665"/>
    <m/>
    <m/>
    <m/>
    <n v="35000000"/>
    <m/>
    <m/>
    <m/>
    <m/>
    <m/>
    <m/>
    <m/>
    <m/>
    <m/>
    <m/>
    <m/>
    <m/>
    <m/>
    <m/>
    <m/>
    <m/>
    <m/>
    <m/>
    <m/>
    <m/>
    <m/>
    <m/>
    <m/>
    <m/>
    <m/>
    <m/>
    <m/>
    <m/>
    <m/>
    <m/>
    <m/>
    <m/>
    <n v="35000000"/>
    <n v="0"/>
    <n v="0"/>
    <n v="35000000"/>
    <n v="0"/>
  </r>
  <r>
    <x v="0"/>
    <x v="6"/>
    <s v="Fortalecimiento de la planeación para reducir las limitaciones en la prestación del servicio de energía eléctrica y la atención plena de la demanda nacional."/>
    <s v="Energía"/>
    <s v="Sí"/>
    <s v="Sí"/>
    <n v="8"/>
    <s v="150-84"/>
    <s v="Aumentar señales de expansión y cobertura del servicio de energía eléctrica."/>
    <s v="Documentos de Planeación"/>
    <s v="Documento de planeación validado."/>
    <n v="80111620"/>
    <s v="C-2102-1900-6-40301C-2102009-02"/>
    <x v="0"/>
    <s v="150-84 Prestar servicios profesionales para efectuar el seguimiento del componente social de los proyectos definidos en el plan de expansión que son objeto de convocatoria pública. "/>
    <s v="Enero "/>
    <s v="Enero "/>
    <s v="Enero "/>
    <n v="10"/>
    <s v="Meses"/>
    <s v="Contratación directa - Prestación de servicios profesionales "/>
    <s v="Propios - 20 - Ingresos corrientes"/>
    <n v="37947000"/>
    <n v="37947000"/>
    <s v="No"/>
    <s v="N/A"/>
    <s v="Guillermo Holguin Garcia"/>
    <s v="Subdirector de Energía Eléctrica"/>
    <n v="6012220601"/>
    <s v="guillermo.holguin@upme.gov.co"/>
    <n v="0"/>
    <n v="0"/>
    <n v="32854500"/>
    <n v="0"/>
    <n v="0"/>
    <n v="3794700"/>
    <n v="0"/>
    <n v="3794700"/>
    <n v="0"/>
    <n v="3794700"/>
    <n v="0"/>
    <n v="3794700"/>
    <n v="0"/>
    <n v="3794700"/>
    <n v="0"/>
    <n v="3794700"/>
    <n v="0"/>
    <n v="3794700"/>
    <n v="0"/>
    <n v="3794700"/>
    <n v="5092500"/>
    <n v="3794700"/>
    <n v="0"/>
    <n v="3794700"/>
    <n v="37947000"/>
    <n v="37947000"/>
    <n v="0"/>
    <n v="0"/>
    <s v="Prestar servicios profesionales para efectuar el seguimiento del componente social de los proyectos definidos en el plan de expansión que son objeto de convocatoria pública. "/>
    <m/>
    <m/>
    <n v="32854500"/>
    <m/>
    <m/>
    <n v="3794700"/>
    <m/>
    <n v="3794700"/>
    <m/>
    <n v="3794700"/>
    <m/>
    <n v="3794700"/>
    <m/>
    <n v="3794700"/>
    <m/>
    <n v="3794700"/>
    <m/>
    <n v="3794700"/>
    <m/>
    <n v="3794700"/>
    <n v="5092500"/>
    <n v="3794700"/>
    <m/>
    <n v="3794700"/>
    <m/>
    <m/>
    <n v="37947000"/>
    <n v="37947000"/>
    <n v="0"/>
    <n v="0"/>
    <n v="65526"/>
    <d v="2026-01-26T00:00:00"/>
    <n v="32854500"/>
    <n v="5092500"/>
    <n v="55926"/>
    <d v="2026-02-10T00:00:00"/>
    <n v="32854500"/>
    <n v="5092500"/>
    <n v="0"/>
    <s v="MARQUEZ ORTIZ HERNAN DARIO"/>
    <s v="CO1.PCCNTR.9299247"/>
    <m/>
    <m/>
    <m/>
    <n v="32854500"/>
    <m/>
    <m/>
    <m/>
    <m/>
    <m/>
    <m/>
    <m/>
    <m/>
    <m/>
    <m/>
    <m/>
    <m/>
    <m/>
    <m/>
    <m/>
    <m/>
    <m/>
    <m/>
    <m/>
    <m/>
    <m/>
    <m/>
    <m/>
    <m/>
    <m/>
    <m/>
    <m/>
    <m/>
    <m/>
    <m/>
    <m/>
    <m/>
    <n v="32854500"/>
    <n v="0"/>
    <n v="0"/>
    <n v="32854500"/>
    <n v="0"/>
  </r>
  <r>
    <x v="0"/>
    <x v="6"/>
    <s v="Fortalecimiento de la planeación para reducir las limitaciones en la prestación del servicio de energía eléctrica y la atención plena de la demanda nacional."/>
    <s v="Energía"/>
    <s v="Sí"/>
    <s v="Sí"/>
    <n v="2"/>
    <s v="150-85"/>
    <s v="Aumentar señales de expansión y cobertura del servicio de energía eléctrica."/>
    <s v="Documentos de Planeación"/>
    <s v="Documento de planeación validado."/>
    <n v="80111620"/>
    <s v="C-2102-1900-6-40301C-2102009-02"/>
    <x v="0"/>
    <s v="150-85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59160122"/>
    <n v="59160122"/>
    <s v="No"/>
    <s v="N/A"/>
    <s v="Guillermo Holguin Garcia"/>
    <s v="Subdirector de Energía Eléctrica"/>
    <n v="6012220601"/>
    <s v="guillermo.holguin@upme.gov.co"/>
    <n v="59160122"/>
    <n v="0"/>
    <n v="0"/>
    <n v="0"/>
    <n v="0"/>
    <n v="5916012"/>
    <n v="0"/>
    <n v="5916012"/>
    <n v="0"/>
    <n v="5916012"/>
    <n v="0"/>
    <n v="5916012"/>
    <n v="0"/>
    <n v="5916012"/>
    <n v="0"/>
    <n v="5916012"/>
    <n v="0"/>
    <n v="5916012"/>
    <n v="0"/>
    <n v="5916012"/>
    <n v="0"/>
    <n v="5916012"/>
    <n v="0"/>
    <n v="5916014"/>
    <n v="59160122"/>
    <n v="59160122"/>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59160122"/>
    <m/>
    <m/>
    <m/>
    <m/>
    <n v="5916012"/>
    <m/>
    <n v="5916012"/>
    <m/>
    <n v="5916012"/>
    <m/>
    <n v="5916012"/>
    <m/>
    <n v="5916012"/>
    <m/>
    <n v="5916012"/>
    <m/>
    <n v="5916012"/>
    <m/>
    <n v="5916012"/>
    <m/>
    <n v="5916012"/>
    <m/>
    <n v="5916014"/>
    <m/>
    <m/>
    <n v="59160122"/>
    <n v="59160122"/>
    <n v="0"/>
    <n v="0"/>
    <n v="20926"/>
    <d v="2026-01-11T00:00:00"/>
    <n v="59160122"/>
    <n v="0"/>
    <n v="12826"/>
    <d v="2026-01-20T00:00:00"/>
    <n v="59160122"/>
    <n v="0"/>
    <n v="0"/>
    <s v="ULLOA AVILA JHOLMAN ALEXIS"/>
    <s v="CO1.PCCNTR.8908413"/>
    <n v="59160122"/>
    <m/>
    <m/>
    <m/>
    <n v="2333333"/>
    <n v="2333333"/>
    <m/>
    <n v="7000000"/>
    <n v="7000000"/>
    <m/>
    <n v="7000000"/>
    <n v="7000000"/>
    <m/>
    <m/>
    <m/>
    <m/>
    <m/>
    <m/>
    <m/>
    <m/>
    <m/>
    <m/>
    <m/>
    <m/>
    <m/>
    <m/>
    <m/>
    <m/>
    <m/>
    <m/>
    <m/>
    <m/>
    <m/>
    <m/>
    <m/>
    <m/>
    <n v="59160122"/>
    <n v="16333333"/>
    <n v="16333333"/>
    <n v="42826789"/>
    <n v="0"/>
  </r>
  <r>
    <x v="0"/>
    <x v="6"/>
    <s v="Fortalecimiento de la planeación para reducir las limitaciones en la prestación del servicio de energía eléctrica y la atención plena de la demanda nacional."/>
    <s v="Energía"/>
    <s v="Sí"/>
    <s v="Sí"/>
    <n v="68"/>
    <s v="150-86"/>
    <s v="Aumentar señales de expansión y cobertura del servicio de energía eléctrica."/>
    <s v="Documentos de Planeación"/>
    <s v="Documento de planeación validado."/>
    <n v="80111620"/>
    <s v="C-2102-1900-6-40301C-2102009-02"/>
    <x v="0"/>
    <s v="150-86 Prestar los servicios profesionales para la implementación y mantenimiento del Programa de Transparencia y Ética Pública (PTEP) y fortalecer la Política de Rendición de Cuentas, la Política de Participación Ciudadana en la Gestión y la Política de "/>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50000000"/>
    <n v="0"/>
    <n v="0"/>
    <n v="0"/>
    <n v="0"/>
    <n v="5000000"/>
    <n v="0"/>
    <n v="5000000"/>
    <n v="0"/>
    <n v="5000000"/>
    <n v="0"/>
    <n v="5000000"/>
    <n v="0"/>
    <n v="5000000"/>
    <n v="0"/>
    <n v="5000000"/>
    <n v="0"/>
    <n v="5000000"/>
    <n v="0"/>
    <n v="5000000"/>
    <n v="0"/>
    <n v="5000000"/>
    <n v="0"/>
    <n v="5000000"/>
    <n v="50000000"/>
    <n v="50000000"/>
    <n v="0"/>
    <n v="0"/>
    <s v="Prestar los servicios profesionales para la implementación y mantenimiento del Programa de Transparencia y Ética Pública (PTEP) y fortalecer la Política de Rendición de Cuentas, la Política de Participación Ciudadana en la Gestión y la Política de Servici"/>
    <n v="50000000"/>
    <m/>
    <m/>
    <m/>
    <m/>
    <n v="5000000"/>
    <m/>
    <n v="5000000"/>
    <m/>
    <n v="5000000"/>
    <m/>
    <n v="5000000"/>
    <m/>
    <n v="5000000"/>
    <m/>
    <n v="5000000"/>
    <m/>
    <n v="5000000"/>
    <m/>
    <n v="5000000"/>
    <m/>
    <n v="5000000"/>
    <m/>
    <n v="5000000"/>
    <m/>
    <m/>
    <n v="50000000"/>
    <n v="50000000"/>
    <n v="0"/>
    <n v="0"/>
    <n v="30826"/>
    <d v="2026-01-14T00:00:00"/>
    <n v="50000000"/>
    <n v="0"/>
    <n v="20026"/>
    <d v="2026-01-26T00:00:00"/>
    <n v="50000000"/>
    <n v="0"/>
    <n v="0"/>
    <s v="RIOCAMPOS MORENO MARIA FERNANDA"/>
    <s v="CO1.PCCNTR.8997834"/>
    <n v="50000000"/>
    <m/>
    <m/>
    <m/>
    <m/>
    <m/>
    <m/>
    <n v="5666667"/>
    <n v="5666667"/>
    <m/>
    <n v="5000000"/>
    <n v="5000000"/>
    <m/>
    <m/>
    <m/>
    <m/>
    <m/>
    <m/>
    <m/>
    <m/>
    <m/>
    <m/>
    <m/>
    <m/>
    <m/>
    <m/>
    <m/>
    <m/>
    <m/>
    <m/>
    <m/>
    <m/>
    <m/>
    <m/>
    <m/>
    <m/>
    <n v="50000000"/>
    <n v="10666667"/>
    <n v="10666667"/>
    <n v="39333333"/>
    <n v="0"/>
  </r>
  <r>
    <x v="0"/>
    <x v="6"/>
    <s v="Fortalecimiento de la planeación para reducir las limitaciones en la prestación del servicio de energía eléctrica y la atención plena de la demanda nacional."/>
    <s v="Energía"/>
    <s v="Sí"/>
    <s v="Sí"/>
    <n v="68"/>
    <s v="150-87"/>
    <s v="Aumentar señales de expansión y cobertura del servicio de energía eléctrica."/>
    <s v="Documentos de Planeación"/>
    <s v="Documento de planeación validado."/>
    <n v="80111620"/>
    <s v="C-2102-1900-6-40301C-2102009-02"/>
    <x v="0"/>
    <s v="150-87 Prestar servicios de apoyo profesional en la recopilación, organización y creación de contenido como insumos informativos, bases de datos, formatos y contenidos preliminares requeridos para el desarrollo de las estrategias de comunicación externa e"/>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0"/>
    <n v="0"/>
    <s v="Prestar servicios de apoyo profesional en la recopilación, organización y creación de contenido como insumos informativos, bases de datos, formatos y contenidos preliminares requeridos para el desarrollo de las estrategias de comunicación externa e intern"/>
    <m/>
    <m/>
    <n v="32000000"/>
    <m/>
    <m/>
    <n v="3200000"/>
    <m/>
    <n v="3200000"/>
    <m/>
    <n v="3200000"/>
    <m/>
    <n v="3200000"/>
    <m/>
    <n v="3200000"/>
    <m/>
    <n v="3200000"/>
    <m/>
    <n v="3200000"/>
    <m/>
    <n v="3200000"/>
    <m/>
    <n v="3200000"/>
    <m/>
    <n v="3200000"/>
    <m/>
    <m/>
    <n v="32000000"/>
    <n v="32000000"/>
    <n v="0"/>
    <n v="0"/>
    <n v="20526"/>
    <d v="2026-01-11T00:00:00"/>
    <n v="32000000"/>
    <n v="0"/>
    <n v="46226"/>
    <d v="2026-02-06T00:00:00"/>
    <n v="32000000"/>
    <n v="0"/>
    <n v="0"/>
    <s v="BAYONA SUAREZ MONICA YELITZA"/>
    <s v=". CO1.PCCNTR.9277195"/>
    <m/>
    <m/>
    <m/>
    <n v="32000000"/>
    <m/>
    <m/>
    <m/>
    <n v="2666667"/>
    <n v="2666667"/>
    <m/>
    <n v="3200000"/>
    <n v="3200000"/>
    <m/>
    <m/>
    <m/>
    <m/>
    <m/>
    <m/>
    <m/>
    <m/>
    <m/>
    <m/>
    <m/>
    <m/>
    <m/>
    <m/>
    <m/>
    <m/>
    <m/>
    <m/>
    <m/>
    <m/>
    <m/>
    <m/>
    <m/>
    <m/>
    <n v="32000000"/>
    <n v="5866667"/>
    <n v="5866667"/>
    <n v="26133333"/>
    <n v="0"/>
  </r>
  <r>
    <x v="0"/>
    <x v="6"/>
    <s v="Fortalecimiento de la planeación para reducir las limitaciones en la prestación del servicio de energía eléctrica y la atención plena de la demanda nacional."/>
    <s v="Energía"/>
    <s v="Sí"/>
    <s v="Sí"/>
    <n v="68"/>
    <s v="150-88"/>
    <s v="Aumentar señales de expansión y cobertura del servicio de energía eléctrica."/>
    <s v="Documentos de Planeación"/>
    <s v="Documento de planeación validado."/>
    <n v="80111620"/>
    <s v="C-2102-1900-6-40301C-2102009-02"/>
    <x v="0"/>
    <s v="150-88 Prestar servicios profesionales para apoyar el análisis y procesamiento de solicitudes de conexión de los agentes a las redes nacional, regional y de distribución, de conformidad con la Resolución CREG 075."/>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32000000"/>
    <n v="0"/>
    <n v="0"/>
    <n v="0"/>
    <n v="0"/>
    <n v="3200000"/>
    <n v="0"/>
    <n v="3200000"/>
    <n v="0"/>
    <n v="3200000"/>
    <n v="0"/>
    <n v="3200000"/>
    <n v="0"/>
    <n v="3200000"/>
    <n v="0"/>
    <n v="3200000"/>
    <n v="0"/>
    <n v="3200000"/>
    <n v="0"/>
    <n v="3200000"/>
    <n v="0"/>
    <n v="3200000"/>
    <n v="0"/>
    <n v="3200000"/>
    <n v="32000000"/>
    <n v="32000000"/>
    <n v="0"/>
    <n v="0"/>
    <s v="Prestar servicios profesionales para apoyar el análisis y procesamiento de solicitudes de conexión de los agentes a las redes nacional, regional y de distribución, de conformidad con la Resolución CREG 075."/>
    <n v="32000000"/>
    <m/>
    <m/>
    <m/>
    <m/>
    <n v="3200000"/>
    <m/>
    <n v="3200000"/>
    <m/>
    <n v="3200000"/>
    <m/>
    <n v="3200000"/>
    <m/>
    <n v="3200000"/>
    <m/>
    <n v="3200000"/>
    <m/>
    <n v="3200000"/>
    <m/>
    <n v="3200000"/>
    <m/>
    <n v="3200000"/>
    <m/>
    <n v="3200000"/>
    <m/>
    <m/>
    <n v="32000000"/>
    <n v="32000000"/>
    <n v="0"/>
    <n v="0"/>
    <n v="6726"/>
    <d v="2026-01-06T00:00:00"/>
    <n v="32000000"/>
    <n v="0"/>
    <n v="31826"/>
    <d v="2026-01-29T00:00:00"/>
    <n v="32000000"/>
    <n v="0"/>
    <n v="0"/>
    <s v="MOJICA OROZCO CAMILO ANDRÉS"/>
    <s v="CO1.PCCNTR.9020654"/>
    <n v="32000000"/>
    <m/>
    <m/>
    <m/>
    <m/>
    <m/>
    <m/>
    <n v="3306667"/>
    <n v="3306667"/>
    <m/>
    <n v="3200000"/>
    <n v="3200000"/>
    <m/>
    <m/>
    <m/>
    <m/>
    <m/>
    <m/>
    <m/>
    <m/>
    <m/>
    <m/>
    <m/>
    <m/>
    <m/>
    <m/>
    <m/>
    <m/>
    <m/>
    <m/>
    <m/>
    <m/>
    <m/>
    <m/>
    <m/>
    <m/>
    <n v="32000000"/>
    <n v="6506667"/>
    <n v="6506667"/>
    <n v="25493333"/>
    <n v="0"/>
  </r>
  <r>
    <x v="0"/>
    <x v="6"/>
    <s v="Fortalecimiento de la planeación para reducir las limitaciones en la prestación del servicio de energía eléctrica y la atención plena de la demanda nacional."/>
    <s v="Energía"/>
    <s v="Sí"/>
    <s v="Sí"/>
    <n v="2"/>
    <s v="150-89"/>
    <s v="Aumentar señales de expansión y cobertura del servicio de energía eléctrica."/>
    <s v="Documentos de Planeación"/>
    <s v="Documento de planeación validado."/>
    <n v="80111620"/>
    <s v="C-2102-1900-6-40301C-2102009-02"/>
    <x v="0"/>
    <s v="150-89 Prestación de servicios profesionales para la elaboración de documentos y el procesamiento de la información de las convocatorias públicas de los proyectos de transmisión nacional y regional."/>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0"/>
    <n v="0"/>
    <n v="50000000"/>
    <n v="0"/>
    <n v="0"/>
    <n v="5000000"/>
    <n v="0"/>
    <n v="5000000"/>
    <n v="0"/>
    <n v="5000000"/>
    <n v="0"/>
    <n v="5000000"/>
    <n v="0"/>
    <n v="5000000"/>
    <n v="0"/>
    <n v="5000000"/>
    <n v="0"/>
    <n v="5000000"/>
    <n v="0"/>
    <n v="5000000"/>
    <n v="0"/>
    <n v="5000000"/>
    <n v="0"/>
    <n v="5000000"/>
    <n v="50000000"/>
    <n v="50000000"/>
    <n v="0"/>
    <n v="0"/>
    <s v="Prestación de servicios profesionales para la elaboración de documentos y el procesamiento de la información de las convocatorias públicas de los proyectos de transmisión nacional y regional."/>
    <m/>
    <m/>
    <n v="50000000"/>
    <m/>
    <m/>
    <n v="5000000"/>
    <m/>
    <n v="5000000"/>
    <m/>
    <n v="5000000"/>
    <m/>
    <n v="5000000"/>
    <m/>
    <n v="5000000"/>
    <m/>
    <n v="5000000"/>
    <m/>
    <n v="5000000"/>
    <m/>
    <n v="5000000"/>
    <m/>
    <n v="5000000"/>
    <m/>
    <n v="5000000"/>
    <m/>
    <m/>
    <n v="50000000"/>
    <n v="50000000"/>
    <n v="0"/>
    <n v="0"/>
    <n v="8026"/>
    <d v="2026-01-06T00:00:00"/>
    <n v="50000000"/>
    <n v="0"/>
    <n v="41826"/>
    <d v="2026-02-04T00:00:00"/>
    <n v="48195000"/>
    <n v="1805000"/>
    <n v="1805000"/>
    <s v="GENERICO GENERICO"/>
    <s v="CO1.PCCNTR.9202479"/>
    <m/>
    <m/>
    <m/>
    <n v="48195000"/>
    <m/>
    <m/>
    <m/>
    <n v="4176900"/>
    <n v="4176900"/>
    <m/>
    <n v="4819500"/>
    <n v="4819500"/>
    <m/>
    <m/>
    <m/>
    <m/>
    <m/>
    <m/>
    <m/>
    <m/>
    <m/>
    <m/>
    <m/>
    <m/>
    <m/>
    <m/>
    <m/>
    <m/>
    <m/>
    <m/>
    <m/>
    <m/>
    <m/>
    <m/>
    <m/>
    <m/>
    <n v="48195000"/>
    <n v="8996400"/>
    <n v="8996400"/>
    <n v="39198600"/>
    <n v="0"/>
  </r>
  <r>
    <x v="0"/>
    <x v="6"/>
    <s v="Fortalecimiento de la planeación para reducir las limitaciones en la prestación del servicio de energía eléctrica y la atención plena de la demanda nacional."/>
    <s v="Energía"/>
    <s v="Sí"/>
    <s v="Sí"/>
    <n v="68"/>
    <s v="150-9"/>
    <s v="Aumentar señales de expansión y cobertura del servicio de energía eléctrica."/>
    <s v="Documentos de Planeación"/>
    <s v="Documento de planeación validado."/>
    <n v="80111620"/>
    <s v="C-2102-1900-6-40301C-2102009-02"/>
    <x v="0"/>
    <s v="150-9 Prestar servicios profesionales para la proyección de documentos de contenido legal y apoyo de los asuntos de tipo jurídico que resulten de las actuaciones administrativas de competencia de la UPME, en el marco de la gestión institucional de la Enti"/>
    <s v="Enero "/>
    <s v="Enero "/>
    <s v="Enero "/>
    <n v="10"/>
    <s v="Meses"/>
    <s v="Contratación directa - Prestación de servicios profesionales "/>
    <s v="Propios - 20 - Ingresos corrientes"/>
    <n v="62000000"/>
    <n v="62000000"/>
    <s v="No"/>
    <s v="N/A"/>
    <s v="Guillermo Holguin Garcia"/>
    <s v="Subdirector de Energía Eléctrica"/>
    <n v="6012220601"/>
    <s v="guillermo.holguin@upme.gov.co"/>
    <n v="62000000"/>
    <n v="0"/>
    <n v="0"/>
    <n v="0"/>
    <n v="0"/>
    <n v="6200000"/>
    <n v="0"/>
    <n v="6200000"/>
    <n v="0"/>
    <n v="6200000"/>
    <n v="0"/>
    <n v="6200000"/>
    <n v="0"/>
    <n v="6200000"/>
    <n v="0"/>
    <n v="6200000"/>
    <n v="0"/>
    <n v="6200000"/>
    <n v="0"/>
    <n v="6200000"/>
    <n v="0"/>
    <n v="6200000"/>
    <n v="0"/>
    <n v="6200000"/>
    <n v="62000000"/>
    <n v="62000000"/>
    <n v="0"/>
    <n v="0"/>
    <s v="Prestar servicios profesionales para la proyección de documentos de contenido legal y apoyo de los asuntos de tipo jurídico que resulten de las actuaciones administrativas de competencia de la UPME, en el marco de la gestión institucional de la Entidad."/>
    <n v="62000000"/>
    <m/>
    <m/>
    <m/>
    <m/>
    <n v="6200000"/>
    <m/>
    <n v="6200000"/>
    <m/>
    <n v="6200000"/>
    <m/>
    <n v="6200000"/>
    <m/>
    <n v="6200000"/>
    <m/>
    <n v="6200000"/>
    <m/>
    <n v="6200000"/>
    <m/>
    <n v="6200000"/>
    <m/>
    <n v="6200000"/>
    <m/>
    <n v="6200000"/>
    <m/>
    <m/>
    <n v="62000000"/>
    <n v="62000000"/>
    <n v="0"/>
    <n v="0"/>
    <n v="11226"/>
    <d v="2026-01-08T00:00:00"/>
    <n v="62000000"/>
    <n v="0"/>
    <n v="9526"/>
    <d v="2026-01-15T00:00:00"/>
    <n v="62000000"/>
    <n v="0"/>
    <n v="0"/>
    <s v="BELTRAN ALEMAN NICOLAS"/>
    <s v="CO1.PCCNTR.8848037"/>
    <n v="62000000"/>
    <m/>
    <m/>
    <m/>
    <n v="3100000"/>
    <n v="3100000"/>
    <m/>
    <n v="6200000"/>
    <n v="6200000"/>
    <m/>
    <n v="6200000"/>
    <n v="6200000"/>
    <m/>
    <m/>
    <m/>
    <m/>
    <m/>
    <m/>
    <m/>
    <m/>
    <m/>
    <m/>
    <m/>
    <m/>
    <m/>
    <m/>
    <m/>
    <m/>
    <m/>
    <m/>
    <m/>
    <m/>
    <m/>
    <m/>
    <m/>
    <m/>
    <n v="62000000"/>
    <n v="15500000"/>
    <n v="15500000"/>
    <n v="46500000"/>
    <n v="0"/>
  </r>
  <r>
    <x v="0"/>
    <x v="6"/>
    <s v="Fortalecimiento de la planeación para reducir las limitaciones en la prestación del servicio de energía eléctrica y la atención plena de la demanda nacional."/>
    <s v="Energía"/>
    <s v="Sí"/>
    <s v="Sí"/>
    <n v="68"/>
    <s v="150-90"/>
    <s v="Aumentar señales de expansión y cobertura del servicio de energía eléctrica."/>
    <s v="Documentos de Planeación"/>
    <s v="Documento de planeación validado."/>
    <n v="80111620"/>
    <s v="C-2102-1900-6-40301C-2102009-02"/>
    <x v="0"/>
    <s v="150-90 Prestar servicios profesionales para participar en el análisis de la expansión y de las solicitudes de asignación de capacidad de proyectos de generación y usuarios finales, así como en el procesamiento de la información requerida por los modelos y"/>
    <s v="Enero "/>
    <s v="Enero "/>
    <s v="Enero "/>
    <n v="11"/>
    <s v="Meses"/>
    <s v="Contratación directa - Prestación de servicios profesionales "/>
    <s v="Propios - 20 - Ingresos corrientes"/>
    <n v="60000000"/>
    <n v="60000000"/>
    <s v="No"/>
    <s v="N/A"/>
    <s v="Guillermo Holguin Garcia"/>
    <s v="Subdirector de Energía Eléctrica"/>
    <n v="6012220601"/>
    <s v="guillermo.holguin@upme.gov.co"/>
    <n v="60000000"/>
    <n v="0"/>
    <n v="0"/>
    <n v="0"/>
    <n v="0"/>
    <n v="6000000"/>
    <n v="0"/>
    <n v="6000000"/>
    <n v="0"/>
    <n v="6000000"/>
    <n v="0"/>
    <n v="6000000"/>
    <n v="0"/>
    <n v="6000000"/>
    <n v="0"/>
    <n v="6000000"/>
    <n v="0"/>
    <n v="6000000"/>
    <n v="0"/>
    <n v="6000000"/>
    <n v="0"/>
    <n v="6000000"/>
    <n v="0"/>
    <n v="6000000"/>
    <n v="60000000"/>
    <n v="60000000"/>
    <n v="0"/>
    <n v="0"/>
    <s v="Prestar servicios profesionales para participar en el análisis de la expansión y de las solicitudes de asignación de capacidad de proyectos de generación y usuarios finales, así como en el procesamiento de la información requerida por los modelos y en la "/>
    <n v="60000000"/>
    <m/>
    <m/>
    <m/>
    <m/>
    <n v="6000000"/>
    <m/>
    <n v="6000000"/>
    <m/>
    <n v="6000000"/>
    <m/>
    <n v="6000000"/>
    <m/>
    <n v="6000000"/>
    <m/>
    <n v="6000000"/>
    <m/>
    <n v="6000000"/>
    <m/>
    <n v="6000000"/>
    <m/>
    <n v="6000000"/>
    <m/>
    <n v="6000000"/>
    <m/>
    <m/>
    <n v="60000000"/>
    <n v="60000000"/>
    <n v="0"/>
    <n v="0"/>
    <n v="5626"/>
    <d v="2026-01-05T00:00:00"/>
    <n v="60000000"/>
    <n v="0"/>
    <n v="9626"/>
    <d v="2026-01-16T00:00:00"/>
    <n v="60000000"/>
    <n v="0"/>
    <n v="0"/>
    <s v="DIAZ CANO YILMAR WALTER"/>
    <s v="CO1.PCCNTR.8837235"/>
    <n v="60000000"/>
    <m/>
    <m/>
    <m/>
    <n v="2800000"/>
    <n v="2800000"/>
    <m/>
    <n v="6000000"/>
    <n v="6000000"/>
    <m/>
    <m/>
    <m/>
    <m/>
    <m/>
    <m/>
    <m/>
    <m/>
    <m/>
    <m/>
    <m/>
    <m/>
    <m/>
    <m/>
    <m/>
    <m/>
    <m/>
    <m/>
    <m/>
    <m/>
    <m/>
    <m/>
    <m/>
    <m/>
    <m/>
    <m/>
    <m/>
    <n v="60000000"/>
    <n v="8800000"/>
    <n v="8800000"/>
    <n v="51200000"/>
    <n v="0"/>
  </r>
  <r>
    <x v="0"/>
    <x v="6"/>
    <s v="Fortalecimiento de la planeación para reducir las limitaciones en la prestación del servicio de energía eléctrica y la atención plena de la demanda nacional."/>
    <s v="Energía"/>
    <s v="Sí"/>
    <s v="Sí"/>
    <n v="68"/>
    <s v="150-91"/>
    <s v="Aumentar señales de expansión y cobertura del servicio de energía eléctrica."/>
    <s v="Documentos de Planeación"/>
    <s v="Documento de planeación validado."/>
    <n v="80111620"/>
    <s v="C-2102-1900-6-40301C-2102009-02"/>
    <x v="0"/>
    <s v="150-91 Brindar servicios de apoyo profesional en la creación y diseño de productos gráficos innovadores para contenido digital e impreso, con el fin de contribuir a la gestión de la comunicación interna y externa de la UPME"/>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0"/>
    <n v="0"/>
    <s v="Brindar servicios de apoyo profesional en la creación y diseño de productos gráficos innovadores para contenido digital e impreso, con el fin de contribuir a la gestión de la comunicación interna y externa de la UPME"/>
    <m/>
    <m/>
    <n v="32000000"/>
    <m/>
    <m/>
    <n v="3200000"/>
    <m/>
    <n v="3200000"/>
    <m/>
    <n v="3200000"/>
    <m/>
    <n v="3200000"/>
    <m/>
    <n v="3200000"/>
    <m/>
    <n v="3200000"/>
    <m/>
    <n v="3200000"/>
    <m/>
    <n v="3200000"/>
    <m/>
    <n v="3200000"/>
    <m/>
    <n v="3200000"/>
    <m/>
    <m/>
    <n v="32000000"/>
    <n v="32000000"/>
    <n v="0"/>
    <n v="0"/>
    <n v="25026"/>
    <d v="2026-01-13T00:00:00"/>
    <n v="32000000"/>
    <n v="0"/>
    <n v="47826"/>
    <d v="2026-02-06T00:00:00"/>
    <n v="32000000"/>
    <n v="0"/>
    <n v="0"/>
    <s v="LIZARAZO CONTRERAS DIOSA AMANDA"/>
    <s v="CO1.PCCNTR.9273089"/>
    <m/>
    <m/>
    <m/>
    <n v="32000000"/>
    <m/>
    <m/>
    <m/>
    <m/>
    <m/>
    <m/>
    <m/>
    <m/>
    <m/>
    <m/>
    <m/>
    <m/>
    <m/>
    <m/>
    <m/>
    <m/>
    <m/>
    <m/>
    <m/>
    <m/>
    <m/>
    <m/>
    <m/>
    <m/>
    <m/>
    <m/>
    <m/>
    <m/>
    <m/>
    <m/>
    <m/>
    <m/>
    <n v="32000000"/>
    <n v="0"/>
    <n v="0"/>
    <n v="32000000"/>
    <n v="0"/>
  </r>
  <r>
    <x v="0"/>
    <x v="6"/>
    <s v="Fortalecimiento de la planeación para reducir las limitaciones en la prestación del servicio de energía eléctrica y la atención plena de la demanda nacional."/>
    <s v="Energía"/>
    <s v="Sí"/>
    <s v="Sí"/>
    <n v="68"/>
    <s v="150-92"/>
    <s v="Aumentar señales de expansión y cobertura del servicio de energía eléctrica."/>
    <s v="Documentos de Planeación"/>
    <s v="Documento de planeación validado."/>
    <n v="80111620"/>
    <s v="C-2102-1900-6-40301C-2102009-02"/>
    <x v="0"/>
    <s v="150-9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n v="6526"/>
    <d v="2026-01-06T00:00:00"/>
    <n v="70000000"/>
    <n v="0"/>
    <n v="17026"/>
    <d v="2026-01-22T00:00:00"/>
    <n v="70000000"/>
    <n v="0"/>
    <n v="0"/>
    <s v="LOAIZA MESA NATALIA"/>
    <s v="CO1.PCCNTR.8975163"/>
    <n v="70000000"/>
    <m/>
    <m/>
    <m/>
    <n v="1866667"/>
    <n v="1866667"/>
    <m/>
    <n v="7000000"/>
    <n v="7000000"/>
    <m/>
    <n v="7000000"/>
    <n v="7000000"/>
    <m/>
    <m/>
    <m/>
    <m/>
    <m/>
    <m/>
    <m/>
    <m/>
    <m/>
    <m/>
    <m/>
    <m/>
    <m/>
    <m/>
    <m/>
    <m/>
    <m/>
    <m/>
    <m/>
    <m/>
    <m/>
    <m/>
    <m/>
    <m/>
    <n v="70000000"/>
    <n v="15866667"/>
    <n v="15866667"/>
    <n v="54133333"/>
    <n v="0"/>
  </r>
  <r>
    <x v="0"/>
    <x v="6"/>
    <s v="Fortalecimiento de la planeación para reducir las limitaciones en la prestación del servicio de energía eléctrica y la atención plena de la demanda nacional."/>
    <s v="Energía"/>
    <s v="Sí"/>
    <s v="Sí"/>
    <n v="20"/>
    <s v="150-93"/>
    <s v="Aumentar señales de expansión y cobertura del servicio de energía eléctrica."/>
    <s v="Documentos de Planeación"/>
    <s v="Documento de planeación validado."/>
    <n v="80111620"/>
    <s v="C-2102-1900-6-40301C-2102009-02"/>
    <x v="0"/>
    <s v="150-9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0"/>
    <n v="0"/>
    <s v="No"/>
    <s v="N/A"/>
    <s v="Guillermo Holguin Garcia"/>
    <s v="Subdirector de Energía Eléctrica"/>
    <n v="6012220601"/>
    <s v="guillermo.holguin@upme.gov.co"/>
    <n v="0"/>
    <n v="0"/>
    <n v="0"/>
    <n v="0"/>
    <n v="0"/>
    <n v="0"/>
    <n v="0"/>
    <n v="0"/>
    <n v="0"/>
    <n v="0"/>
    <n v="0"/>
    <n v="0"/>
    <n v="0"/>
    <n v="0"/>
    <n v="0"/>
    <n v="0"/>
    <n v="0"/>
    <n v="0"/>
    <n v="0"/>
    <n v="0"/>
    <n v="70000000"/>
    <n v="0"/>
    <n v="0"/>
    <n v="70000000"/>
    <n v="70000000"/>
    <n v="70000000"/>
    <n v="-70000000"/>
    <n v="-70000000"/>
    <s v="Prestar servicios profesionales para la proyección de documentos de contenido legal y apoyo de los asuntos de tipo jurídico que resulten de las actuaciones administrativas de competencia de la UPME, en el marco de la gestión institucional de la Entidad."/>
    <m/>
    <m/>
    <m/>
    <m/>
    <m/>
    <m/>
    <m/>
    <m/>
    <m/>
    <m/>
    <m/>
    <m/>
    <m/>
    <m/>
    <m/>
    <m/>
    <m/>
    <m/>
    <m/>
    <m/>
    <m/>
    <m/>
    <m/>
    <m/>
    <m/>
    <m/>
    <n v="0"/>
    <n v="0"/>
    <n v="0"/>
    <n v="0"/>
    <n v="5426"/>
    <d v="2026-01-05T00:00:00"/>
    <m/>
    <n v="0"/>
    <m/>
    <m/>
    <n v="0"/>
    <n v="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s v="No. Rad 202601300040373"/>
    <s v="150-94"/>
    <s v="Aumentar señales de expansión y cobertura del servicio de energía eléctrica."/>
    <s v="Documentos de Planeación"/>
    <s v="Documento de planeación validado."/>
    <s v="43201800;43233405;43212201"/>
    <s v="C-2102-1900-6-40301C-2102009-02"/>
    <x v="1"/>
    <s v="150-94 Adquirir el licenciamiento por suscripción para Plataforma de virtualización y almacenamiento en nube incluyendo la adquisición del hardware para Computación y Storage que soporta esta solución de Hiperconvergencia._x0009__x0009__x0009__x0009__x0009__x0009_"/>
    <s v="Febrero"/>
    <s v="Febrero"/>
    <s v="Abril"/>
    <n v="12"/>
    <s v="Meses"/>
    <s v="Contratación régimen especial (con ofertas)  - Régimen especial"/>
    <s v="Propios - 20 - Ingresos corrientes"/>
    <n v="168656043"/>
    <n v="168656043"/>
    <s v="No"/>
    <s v="N/A"/>
    <s v="Guillermo Holguin Garcia"/>
    <s v="Subdirector de Energía Eléctrica"/>
    <n v="6012220601"/>
    <s v="guillermo.holguin@upme.gov.co"/>
    <n v="0"/>
    <n v="0"/>
    <n v="0"/>
    <n v="0"/>
    <n v="0"/>
    <n v="0"/>
    <n v="168656043"/>
    <n v="0"/>
    <n v="0"/>
    <n v="0"/>
    <n v="0"/>
    <n v="168656043"/>
    <n v="0"/>
    <n v="0"/>
    <n v="0"/>
    <n v="0"/>
    <n v="0"/>
    <n v="0"/>
    <n v="0"/>
    <n v="0"/>
    <n v="0"/>
    <n v="0"/>
    <n v="0"/>
    <n v="0"/>
    <n v="168656043"/>
    <n v="168656043"/>
    <n v="0"/>
    <n v="0"/>
    <s v="Adquirir el licenciamiento por suscripción para Plataforma de virtualización y almacenamiento en nube incluyendo la adquisición del hardware para Computación y Storage que soporta esta solución de Hiperconvergencia._x0009__x0009__x0009__x0009__x0009__x0009_"/>
    <m/>
    <m/>
    <m/>
    <m/>
    <m/>
    <m/>
    <n v="168656043"/>
    <m/>
    <m/>
    <m/>
    <m/>
    <n v="168656043"/>
    <m/>
    <m/>
    <m/>
    <m/>
    <m/>
    <m/>
    <m/>
    <m/>
    <m/>
    <m/>
    <m/>
    <m/>
    <m/>
    <m/>
    <n v="168656043"/>
    <n v="168656043"/>
    <n v="0"/>
    <n v="0"/>
    <n v="8226"/>
    <d v="2026-01-06T00:00:00"/>
    <m/>
    <n v="168656043"/>
    <m/>
    <m/>
    <n v="0"/>
    <n v="168656043"/>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s v="Radicado 202601500059273"/>
    <s v="150-95"/>
    <s v="Aumentar la oportunidad en la definición de obras y ejecución de los procesos de convocatorias."/>
    <s v="Servicio de Asistencia Técnica"/>
    <s v="Monitorear los resultados e impactos de los proyectos en ejecución de los procesos de convocatorias y subastas."/>
    <n v="43211507"/>
    <s v="C-2102-1900-6-40301C-2102071-02"/>
    <x v="1"/>
    <s v="150-95 Adquirir equipos de cómputo para la Subdirección de Energía Eléctrica"/>
    <s v="Junio"/>
    <s v="Julio"/>
    <s v="Agosto"/>
    <n v="4"/>
    <s v="Meses"/>
    <s v="Contratación directa"/>
    <s v="Propios - 21 - Otros recursos de tesorería"/>
    <n v="92655700"/>
    <n v="92655700"/>
    <s v="No"/>
    <s v="N/A"/>
    <s v="Guillermo Holguin Garcia"/>
    <s v="Subdirector de Energía Eléctrica"/>
    <n v="6012220601"/>
    <s v="guillermo.holguin@upme.gov.co"/>
    <n v="0"/>
    <n v="0"/>
    <n v="0"/>
    <n v="0"/>
    <n v="0"/>
    <n v="0"/>
    <n v="92655700"/>
    <n v="0"/>
    <n v="0"/>
    <n v="23163925"/>
    <n v="0"/>
    <n v="23163925"/>
    <n v="0"/>
    <n v="46327850"/>
    <n v="0"/>
    <n v="0"/>
    <n v="0"/>
    <n v="0"/>
    <n v="0"/>
    <n v="0"/>
    <n v="0"/>
    <n v="0"/>
    <n v="0"/>
    <n v="0"/>
    <n v="92655700"/>
    <n v="92655700"/>
    <n v="0"/>
    <n v="0"/>
    <s v="Adquirir equipos de cómputo para la Subdirección de Energía Eléctrica"/>
    <m/>
    <m/>
    <m/>
    <m/>
    <m/>
    <m/>
    <n v="92655700"/>
    <m/>
    <m/>
    <n v="23163925"/>
    <m/>
    <n v="23163925"/>
    <m/>
    <n v="46327850"/>
    <m/>
    <m/>
    <m/>
    <m/>
    <m/>
    <m/>
    <m/>
    <m/>
    <m/>
    <m/>
    <m/>
    <m/>
    <n v="92655700"/>
    <n v="92655700"/>
    <n v="0"/>
    <n v="0"/>
    <m/>
    <m/>
    <m/>
    <n v="92655700"/>
    <m/>
    <m/>
    <n v="0"/>
    <n v="92655700"/>
    <n v="0"/>
    <m/>
    <m/>
    <m/>
    <m/>
    <m/>
    <m/>
    <m/>
    <m/>
    <m/>
    <m/>
    <m/>
    <m/>
    <m/>
    <m/>
    <m/>
    <m/>
    <m/>
    <m/>
    <m/>
    <m/>
    <m/>
    <m/>
    <m/>
    <m/>
    <m/>
    <m/>
    <m/>
    <m/>
    <m/>
    <m/>
    <m/>
    <m/>
    <m/>
    <m/>
    <m/>
    <m/>
    <m/>
    <m/>
    <n v="0"/>
    <n v="0"/>
    <n v="0"/>
    <n v="0"/>
    <n v="0"/>
  </r>
  <r>
    <x v="0"/>
    <x v="6"/>
    <s v="Fortalecimiento de la planeación para reducir las limitaciones en la prestación del servicio de energía eléctrica y la atención plena de la demanda nacional."/>
    <s v="Energía"/>
    <s v="Sí"/>
    <s v="Sí"/>
    <n v="68"/>
    <s v="150-9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96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5039878"/>
    <n v="5039878"/>
    <s v="No"/>
    <s v="N/A"/>
    <s v="Guillermo Holguin Garcia"/>
    <s v="Subdirector de Energía Eléctrica"/>
    <n v="6012220601"/>
    <s v="guillermo.holguin@upme.gov.co"/>
    <n v="5039878"/>
    <n v="0"/>
    <n v="0"/>
    <n v="458171"/>
    <n v="0"/>
    <n v="458171"/>
    <n v="0"/>
    <n v="458171"/>
    <n v="0"/>
    <n v="458171"/>
    <n v="0"/>
    <n v="458171"/>
    <n v="0"/>
    <n v="458171"/>
    <n v="0"/>
    <n v="458171"/>
    <n v="0"/>
    <n v="458171"/>
    <n v="0"/>
    <n v="458171"/>
    <n v="0"/>
    <n v="458171"/>
    <n v="0"/>
    <n v="458168"/>
    <n v="5039878"/>
    <n v="5039878"/>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5039878"/>
    <m/>
    <m/>
    <n v="458171"/>
    <m/>
    <n v="458171"/>
    <m/>
    <n v="458171"/>
    <m/>
    <n v="458171"/>
    <m/>
    <n v="458171"/>
    <m/>
    <n v="458171"/>
    <m/>
    <n v="458171"/>
    <m/>
    <n v="458171"/>
    <m/>
    <n v="458171"/>
    <m/>
    <n v="458171"/>
    <m/>
    <n v="458168"/>
    <m/>
    <m/>
    <n v="5039878"/>
    <n v="5039878"/>
    <n v="0"/>
    <n v="0"/>
    <n v="20926"/>
    <d v="2026-01-11T00:00:00"/>
    <n v="5039878"/>
    <n v="0"/>
    <n v="12826"/>
    <d v="2026-01-20T00:00:00"/>
    <n v="5039878"/>
    <n v="0"/>
    <n v="0"/>
    <s v="ULLOA AVILA JHOLMAN ALEXIS"/>
    <s v="CO1.PCCNTR.8908413"/>
    <n v="5039878"/>
    <m/>
    <m/>
    <m/>
    <m/>
    <m/>
    <m/>
    <m/>
    <m/>
    <m/>
    <m/>
    <m/>
    <m/>
    <m/>
    <m/>
    <m/>
    <m/>
    <m/>
    <m/>
    <m/>
    <m/>
    <m/>
    <m/>
    <m/>
    <m/>
    <m/>
    <m/>
    <m/>
    <m/>
    <m/>
    <m/>
    <m/>
    <m/>
    <m/>
    <m/>
    <m/>
    <n v="5039878"/>
    <n v="0"/>
    <n v="0"/>
    <n v="5039878"/>
    <n v="0"/>
  </r>
  <r>
    <x v="0"/>
    <x v="6"/>
    <s v="Fortalecimiento de la planeación para reducir las limitaciones en la prestación del servicio de energía eléctrica y la atención plena de la demanda nacional."/>
    <s v="Energía"/>
    <s v="Sí"/>
    <s v="Sí"/>
    <n v="68"/>
    <s v="150-97"/>
    <s v="Aumentar la oportunidad en la definición de obras y ejecución de los procesos de convocatorias."/>
    <s v="Servicio de Asistencia Técnica"/>
    <s v="Estructurar los documentos técnicos y jurídicos para los procesos de convocatorias y subastas."/>
    <n v="80111620"/>
    <s v="C-2102-1900-6-40301C-2102071-02"/>
    <x v="0"/>
    <s v="150-97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1 - Otros recursos de tesorería"/>
    <n v="2113650"/>
    <n v="2113650"/>
    <s v="No"/>
    <s v="N/A"/>
    <s v="Guillermo Holguin Garcia"/>
    <s v="Subdirector de Energía Eléctrica"/>
    <n v="6012220601"/>
    <s v="guillermo.holguin@upme.gov.co"/>
    <n v="2113650"/>
    <n v="0"/>
    <n v="0"/>
    <n v="192150"/>
    <n v="0"/>
    <n v="192150"/>
    <n v="0"/>
    <n v="192150"/>
    <n v="0"/>
    <n v="192150"/>
    <n v="0"/>
    <n v="192150"/>
    <n v="0"/>
    <n v="192150"/>
    <n v="0"/>
    <n v="192150"/>
    <n v="0"/>
    <n v="192150"/>
    <n v="0"/>
    <n v="192150"/>
    <n v="0"/>
    <n v="192150"/>
    <n v="0"/>
    <n v="192150"/>
    <n v="2113650"/>
    <n v="2113650"/>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2113650"/>
    <m/>
    <m/>
    <n v="192150"/>
    <m/>
    <n v="192150"/>
    <m/>
    <n v="192150"/>
    <m/>
    <n v="192150"/>
    <m/>
    <n v="192150"/>
    <m/>
    <n v="192150"/>
    <m/>
    <n v="192150"/>
    <m/>
    <n v="192150"/>
    <m/>
    <n v="192150"/>
    <m/>
    <n v="192150"/>
    <m/>
    <n v="192150"/>
    <m/>
    <m/>
    <n v="2113650"/>
    <n v="2113650"/>
    <n v="0"/>
    <n v="0"/>
    <n v="20926"/>
    <d v="2026-01-11T00:00:00"/>
    <n v="2113650"/>
    <n v="0"/>
    <n v="12826"/>
    <d v="2026-01-20T00:00:00"/>
    <n v="2113650"/>
    <n v="0"/>
    <n v="0"/>
    <s v="ULLOA AVILA JHOLMAN ALEXIS"/>
    <s v="CO1.PCCNTR.8908413"/>
    <n v="2113650"/>
    <m/>
    <m/>
    <m/>
    <m/>
    <m/>
    <m/>
    <m/>
    <m/>
    <m/>
    <m/>
    <m/>
    <m/>
    <m/>
    <m/>
    <m/>
    <m/>
    <m/>
    <m/>
    <m/>
    <m/>
    <m/>
    <m/>
    <m/>
    <m/>
    <m/>
    <m/>
    <m/>
    <m/>
    <m/>
    <m/>
    <m/>
    <m/>
    <m/>
    <m/>
    <m/>
    <n v="2113650"/>
    <n v="0"/>
    <n v="0"/>
    <n v="2113650"/>
    <n v="0"/>
  </r>
  <r>
    <x v="0"/>
    <x v="6"/>
    <s v="Fortalecimiento de la planeación para reducir las limitaciones en la prestación del servicio de energía eléctrica y la atención plena de la demanda nacional."/>
    <s v="Energía"/>
    <s v="Sí"/>
    <s v="Sí"/>
    <n v="68"/>
    <s v="150-98"/>
    <s v="Aumentar la oportunidad en la definición de obras y ejecución de los procesos de convocatorias."/>
    <s v="Servicio de Asistencia Técnica"/>
    <s v="Estructurar los documentos técnicos y jurídicos para los procesos de convocatorias y subastas."/>
    <n v="80111620"/>
    <s v="C-2102-1900-6-40301C-2102071-02"/>
    <x v="0"/>
    <s v="150-98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3686350"/>
    <n v="3686350"/>
    <s v="No"/>
    <s v="N/A"/>
    <s v="Guillermo Holguin Garcia"/>
    <s v="Subdirector de Energía Eléctrica"/>
    <n v="6012220601"/>
    <s v="guillermo.holguin@upme.gov.co"/>
    <n v="3686350"/>
    <n v="0"/>
    <n v="0"/>
    <n v="335123"/>
    <n v="0"/>
    <n v="335123"/>
    <n v="0"/>
    <n v="335123"/>
    <n v="0"/>
    <n v="335123"/>
    <n v="0"/>
    <n v="335123"/>
    <n v="0"/>
    <n v="335123"/>
    <n v="0"/>
    <n v="335123"/>
    <n v="0"/>
    <n v="335123"/>
    <n v="0"/>
    <n v="335123"/>
    <n v="0"/>
    <n v="335123"/>
    <n v="0"/>
    <n v="335120"/>
    <n v="3686350"/>
    <n v="3686350"/>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3686350"/>
    <m/>
    <m/>
    <n v="335123"/>
    <m/>
    <n v="335123"/>
    <m/>
    <n v="335123"/>
    <m/>
    <n v="335123"/>
    <m/>
    <n v="335123"/>
    <m/>
    <n v="335123"/>
    <m/>
    <n v="335123"/>
    <m/>
    <n v="335123"/>
    <m/>
    <n v="335123"/>
    <m/>
    <n v="335123"/>
    <m/>
    <n v="335120"/>
    <m/>
    <m/>
    <n v="3686350"/>
    <n v="3686350"/>
    <n v="0"/>
    <n v="0"/>
    <n v="20926"/>
    <d v="2026-01-11T00:00:00"/>
    <n v="3686350"/>
    <n v="0"/>
    <n v="12826"/>
    <d v="2026-01-20T00:00:00"/>
    <n v="3686350"/>
    <n v="0"/>
    <n v="0"/>
    <s v="ULLOA AVILA JHOLMAN ALEXIS"/>
    <s v="CO1.PCCNTR.8908413"/>
    <n v="3686350"/>
    <m/>
    <m/>
    <m/>
    <m/>
    <m/>
    <m/>
    <m/>
    <m/>
    <m/>
    <m/>
    <m/>
    <m/>
    <m/>
    <m/>
    <m/>
    <m/>
    <m/>
    <m/>
    <m/>
    <m/>
    <m/>
    <m/>
    <m/>
    <m/>
    <m/>
    <m/>
    <m/>
    <m/>
    <m/>
    <m/>
    <m/>
    <m/>
    <m/>
    <m/>
    <m/>
    <n v="3686350"/>
    <n v="0"/>
    <n v="0"/>
    <n v="3686350"/>
    <n v="0"/>
  </r>
  <r>
    <x v="0"/>
    <x v="6"/>
    <s v="Fortalecimiento de la planeación para reducir las limitaciones en la prestación del servicio de energía eléctrica y la atención plena de la demanda nacional."/>
    <s v="Energía"/>
    <s v="Sí"/>
    <s v="Sí"/>
    <n v="68"/>
    <s v="150-99"/>
    <s v="Aumentar señales de expansión y cobertura del servicio de energía eléctrica."/>
    <s v="Documentos de Planeación"/>
    <s v="Documento de planeación validado."/>
    <n v="80111620"/>
    <s v="C-2102-1900-6-40301C-2102009-02"/>
    <x v="0"/>
    <s v="150-99 Brindar servicios profesionales de asesoría en asuntos jurídicos y regulatorios a la Subdirección de Energía Eléctrica, en el marco de los procedimientos y actuaciones que adelante"/>
    <s v="Enero "/>
    <s v="Enero "/>
    <s v="Enero "/>
    <n v="10"/>
    <s v="Meses"/>
    <s v="Contratación directa - Prestación de servicios profesionales "/>
    <s v="Propios - 20 - Ingresos corrientes"/>
    <n v="118644390"/>
    <n v="118644390"/>
    <s v="No"/>
    <s v="N/A"/>
    <s v="Guillermo Holguin Garcia"/>
    <s v="Subdirector de Energía Eléctrica"/>
    <n v="6012220601"/>
    <s v="guillermo.holguin@upme.gov.co"/>
    <n v="118644390"/>
    <n v="0"/>
    <n v="0"/>
    <n v="0"/>
    <n v="0"/>
    <n v="11864439"/>
    <n v="0"/>
    <n v="11864439"/>
    <n v="0"/>
    <n v="11864439"/>
    <n v="0"/>
    <n v="11864439"/>
    <n v="0"/>
    <n v="11864439"/>
    <n v="0"/>
    <n v="11864439"/>
    <n v="0"/>
    <n v="11864439"/>
    <n v="0"/>
    <n v="11864439"/>
    <n v="0"/>
    <n v="11864439"/>
    <n v="0"/>
    <n v="11864439"/>
    <n v="118644390"/>
    <n v="118644390"/>
    <n v="0"/>
    <n v="0"/>
    <s v="Brindar servicios profesionales de asesoría en asuntos jurídicos y regulatorios a la Subdirección de Energía Eléctrica, en el marco de los procedimientos y actuaciones que adelante"/>
    <n v="118644390"/>
    <m/>
    <m/>
    <m/>
    <m/>
    <n v="11864439"/>
    <m/>
    <n v="11864439"/>
    <m/>
    <n v="11864439"/>
    <m/>
    <n v="11864439"/>
    <m/>
    <n v="11864439"/>
    <m/>
    <n v="11864439"/>
    <m/>
    <n v="11864439"/>
    <m/>
    <n v="11864439"/>
    <m/>
    <n v="11864439"/>
    <m/>
    <n v="11864439"/>
    <m/>
    <m/>
    <n v="118644390"/>
    <n v="118644390"/>
    <n v="0"/>
    <n v="0"/>
    <n v="7726"/>
    <d v="2026-01-06T00:00:00"/>
    <n v="118644390"/>
    <n v="0"/>
    <n v="29726"/>
    <d v="2026-01-28T00:00:00"/>
    <n v="118644390"/>
    <n v="0"/>
    <n v="0"/>
    <s v="AMAYA SAENZ INGRID JOHANNA"/>
    <s v="CO1.PCCNTR.9139537"/>
    <n v="118644390"/>
    <m/>
    <m/>
    <m/>
    <m/>
    <m/>
    <m/>
    <n v="11044390"/>
    <n v="11044390"/>
    <m/>
    <n v="12000000"/>
    <n v="12000000"/>
    <m/>
    <m/>
    <m/>
    <m/>
    <m/>
    <m/>
    <m/>
    <m/>
    <m/>
    <m/>
    <m/>
    <m/>
    <m/>
    <m/>
    <m/>
    <m/>
    <m/>
    <m/>
    <m/>
    <m/>
    <m/>
    <m/>
    <m/>
    <m/>
    <n v="118644390"/>
    <n v="23044390"/>
    <n v="23044390"/>
    <n v="95600000"/>
    <n v="0"/>
  </r>
  <r>
    <x v="0"/>
    <x v="7"/>
    <s v="Implementación de una solución integral para el acceso a los datos y a la información oportuna y de calidad del sector minero energético a nivel nacional"/>
    <s v="Gestión de la Información"/>
    <s v="Sí"/>
    <s v="Sí"/>
    <n v="68"/>
    <s v="131-1"/>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1 Prestación de servicios profesionales para la construcción e implementación de los lineamientos sectoriales e institucionales en materia de gobierno de datos y gestión de información, considerando el marco normativo vigente."/>
    <s v="Enero "/>
    <s v="Enero "/>
    <s v="Enero "/>
    <n v="10"/>
    <s v="Meses"/>
    <s v="Contratación directa - Prestación de servicios profesionales "/>
    <s v="Propios - 20 - Ingresos corrientes"/>
    <n v="41700000"/>
    <n v="41700000"/>
    <s v="No"/>
    <s v="N/A"/>
    <s v="Guillermo Holguin"/>
    <s v="Subdirector de Gestión de la Información"/>
    <n v="6012220601"/>
    <s v="guillermo.holguin@upme.gov.co"/>
    <n v="41700000"/>
    <n v="0"/>
    <n v="0"/>
    <n v="5000000"/>
    <n v="0"/>
    <n v="10000000"/>
    <n v="0"/>
    <n v="10000000"/>
    <n v="0"/>
    <n v="10000000"/>
    <n v="0"/>
    <n v="6700000"/>
    <n v="0"/>
    <n v="0"/>
    <n v="0"/>
    <n v="0"/>
    <n v="0"/>
    <n v="0"/>
    <n v="0"/>
    <n v="0"/>
    <n v="0"/>
    <n v="0"/>
    <n v="0"/>
    <n v="0"/>
    <n v="41700000"/>
    <n v="41700000"/>
    <n v="0"/>
    <n v="0"/>
    <s v="Prestación de servicios profesionales para la construcción e implementación de los lineamientos sectoriales e institucionales en materia de gobierno de datos y gestión de información, considerando el marco normativo vigente."/>
    <n v="41700000"/>
    <m/>
    <m/>
    <n v="5000000"/>
    <m/>
    <n v="10000000"/>
    <m/>
    <n v="10000000"/>
    <m/>
    <n v="10000000"/>
    <m/>
    <n v="6700000"/>
    <m/>
    <m/>
    <m/>
    <m/>
    <m/>
    <m/>
    <m/>
    <m/>
    <m/>
    <m/>
    <m/>
    <m/>
    <m/>
    <m/>
    <n v="41700000"/>
    <n v="41700000"/>
    <n v="0"/>
    <n v="0"/>
    <n v="30326"/>
    <d v="2026-01-14T00:00:00"/>
    <n v="41700000"/>
    <n v="0"/>
    <n v="20926"/>
    <d v="2026-01-26T00:00:00"/>
    <n v="41700000"/>
    <n v="0"/>
    <n v="0"/>
    <s v="AVILA ARIAS JOHN JAIRO"/>
    <s v="CO1.PCCNTR.9054585"/>
    <n v="41700000"/>
    <m/>
    <m/>
    <m/>
    <m/>
    <m/>
    <m/>
    <n v="10333333"/>
    <n v="10333333"/>
    <m/>
    <m/>
    <m/>
    <m/>
    <m/>
    <m/>
    <m/>
    <m/>
    <m/>
    <m/>
    <m/>
    <m/>
    <m/>
    <m/>
    <m/>
    <m/>
    <m/>
    <m/>
    <m/>
    <m/>
    <m/>
    <m/>
    <m/>
    <m/>
    <m/>
    <m/>
    <m/>
    <n v="41700000"/>
    <n v="10333333"/>
    <n v="10333333"/>
    <n v="31366667"/>
    <n v="0"/>
  </r>
  <r>
    <x v="0"/>
    <x v="7"/>
    <s v="Implementación de una solución integral para el acceso a los datos y a la información oportuna y de calidad del sector minero energético a nivel nacional"/>
    <s v="Gestión de la Información"/>
    <s v="Sí"/>
    <s v="Sí"/>
    <n v="2"/>
    <s v="131-2"/>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2 Prestación de servicios de apoyo a la gestión para el seguimiento, estructuración y tramitación de las gestiones y metas presupuestales asociadas a la entidad, con especial énfasis en la Subdirección de Gestión de la Información y su proyecto de inv"/>
    <s v="Enero "/>
    <s v="Enero "/>
    <s v="Enero "/>
    <n v="10"/>
    <s v="Meses"/>
    <s v="Contratación directa - Prestación de servicios profesionales "/>
    <s v="Propios - 20 - Ingresos corrientes"/>
    <n v="40000000"/>
    <n v="40000000"/>
    <s v="No"/>
    <s v="N/A"/>
    <s v="Guillermo Holguin"/>
    <s v="Subdirector de Gestión de la Información"/>
    <n v="6012220601"/>
    <s v="guillermo.holguin@upme.gov.co"/>
    <n v="40000000"/>
    <n v="0"/>
    <n v="0"/>
    <n v="500000"/>
    <n v="0"/>
    <n v="4000000"/>
    <n v="0"/>
    <n v="4000000"/>
    <n v="0"/>
    <n v="4000000"/>
    <n v="0"/>
    <n v="4000000"/>
    <n v="0"/>
    <n v="4000000"/>
    <n v="0"/>
    <n v="4000000"/>
    <n v="0"/>
    <n v="4000000"/>
    <n v="0"/>
    <n v="4000000"/>
    <n v="0"/>
    <n v="4000000"/>
    <n v="0"/>
    <n v="3500000"/>
    <n v="40000000"/>
    <n v="40000000"/>
    <n v="0"/>
    <n v="0"/>
    <s v="Prestación de servicios de apoyo a la gestión para el seguimiento, estructuración y tramitación de las gestiones y metas presupuestales asociadas a la entidad, con especial énfasis en la Subdirección de Gestión de la Información y su proyecto de inversión"/>
    <n v="40000000"/>
    <m/>
    <m/>
    <n v="500000"/>
    <m/>
    <n v="4000000"/>
    <m/>
    <n v="4000000"/>
    <m/>
    <n v="4000000"/>
    <m/>
    <n v="4000000"/>
    <m/>
    <n v="4000000"/>
    <m/>
    <n v="4000000"/>
    <m/>
    <n v="4000000"/>
    <m/>
    <n v="4000000"/>
    <m/>
    <n v="4000000"/>
    <m/>
    <n v="3500000"/>
    <m/>
    <m/>
    <n v="40000000"/>
    <n v="40000000"/>
    <n v="0"/>
    <n v="0"/>
    <n v="20826"/>
    <d v="2026-01-11T00:00:00"/>
    <n v="40000000"/>
    <n v="0"/>
    <n v="16826"/>
    <d v="2026-01-22T00:00:00"/>
    <n v="40000000"/>
    <n v="0"/>
    <n v="0"/>
    <s v="MARTINEZ BALLESTAS JULLY PAULINE"/>
    <s v="CO1.PCCNTR.8936638"/>
    <n v="40000000"/>
    <m/>
    <m/>
    <m/>
    <m/>
    <m/>
    <m/>
    <n v="5066667"/>
    <n v="5066667"/>
    <m/>
    <n v="4000000"/>
    <n v="4000000"/>
    <m/>
    <m/>
    <m/>
    <m/>
    <m/>
    <m/>
    <m/>
    <m/>
    <m/>
    <m/>
    <m/>
    <m/>
    <m/>
    <m/>
    <m/>
    <m/>
    <m/>
    <m/>
    <m/>
    <m/>
    <m/>
    <m/>
    <m/>
    <m/>
    <n v="40000000"/>
    <n v="9066667"/>
    <n v="9066667"/>
    <n v="30933333"/>
    <n v="0"/>
  </r>
  <r>
    <x v="0"/>
    <x v="7"/>
    <s v="Implementación de una solución integral para el acceso a los datos y a la información oportuna y de calidad del sector minero energético a nivel nacional"/>
    <s v="Gestión de la Información"/>
    <s v="Sí"/>
    <s v="Sí"/>
    <n v="23"/>
    <s v="131-3"/>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3 Prestación servicios profesionales para la documentación y actualización de los lineamientos de gobierno de datos y la metodología de gestión de la información, así como para brindar el apoyo administrativo en el seguimiento y control de las metas d"/>
    <s v="Enero "/>
    <s v="Enero "/>
    <s v="Enero "/>
    <n v="11.5"/>
    <s v="Meses"/>
    <s v="Contratación directa - Prestación de servicios profesionales "/>
    <s v="Propios - 20 - Ingresos corrientes"/>
    <n v="74750000"/>
    <n v="74750000"/>
    <s v="No"/>
    <s v="N/A"/>
    <s v="Guillermo Holguin"/>
    <s v="Subdirector de Gestión de la Información"/>
    <n v="6012220601"/>
    <s v="guillermo.holguin@upme.gov.co"/>
    <n v="74750000"/>
    <n v="0"/>
    <n v="0"/>
    <n v="3250000"/>
    <n v="0"/>
    <n v="6500000"/>
    <n v="0"/>
    <n v="6500000"/>
    <n v="0"/>
    <n v="6500000"/>
    <n v="0"/>
    <n v="6500000"/>
    <n v="0"/>
    <n v="6500000"/>
    <n v="0"/>
    <n v="6500000"/>
    <n v="0"/>
    <n v="6500000"/>
    <n v="0"/>
    <n v="6500000"/>
    <n v="0"/>
    <n v="6500000"/>
    <n v="0"/>
    <n v="13000000"/>
    <n v="74750000"/>
    <n v="74750000"/>
    <n v="0"/>
    <n v="0"/>
    <s v="Prestación servicios profesionales para la documentación y actualización de los lineamientos de gobierno de datos y la metodología de gestión de la información, así como para brindar el apoyo administrativo en el seguimiento y control de las metas de la S"/>
    <n v="74750000"/>
    <m/>
    <m/>
    <n v="3250000"/>
    <m/>
    <n v="6500000"/>
    <m/>
    <n v="6500000"/>
    <m/>
    <n v="6500000"/>
    <m/>
    <n v="6500000"/>
    <m/>
    <n v="6500000"/>
    <m/>
    <n v="6500000"/>
    <m/>
    <n v="6500000"/>
    <m/>
    <n v="6500000"/>
    <m/>
    <n v="6500000"/>
    <m/>
    <n v="13000000"/>
    <m/>
    <m/>
    <n v="74750000"/>
    <n v="74750000"/>
    <n v="0"/>
    <n v="0"/>
    <n v="14926"/>
    <d v="2026-01-09T00:00:00"/>
    <n v="73233333"/>
    <n v="1516667"/>
    <n v="16126"/>
    <d v="2026-01-22T00:00:00"/>
    <n v="73233333"/>
    <n v="1516667"/>
    <n v="0"/>
    <s v="TORRES AYALA DIEGO"/>
    <s v="CO1.PCCNTR.8997447"/>
    <n v="74750000"/>
    <m/>
    <m/>
    <m/>
    <n v="1733333"/>
    <n v="1733333"/>
    <n v="-1516667"/>
    <n v="6500000"/>
    <n v="6500000"/>
    <m/>
    <n v="6500000"/>
    <n v="6500000"/>
    <m/>
    <m/>
    <m/>
    <m/>
    <m/>
    <m/>
    <m/>
    <m/>
    <m/>
    <m/>
    <m/>
    <m/>
    <m/>
    <m/>
    <m/>
    <m/>
    <m/>
    <m/>
    <m/>
    <m/>
    <m/>
    <m/>
    <m/>
    <m/>
    <n v="73233333"/>
    <n v="14733333"/>
    <n v="14733333"/>
    <n v="58500000"/>
    <n v="0"/>
  </r>
  <r>
    <x v="0"/>
    <x v="7"/>
    <s v="Implementación de una solución integral para el acceso a los datos y a la información oportuna y de calidad del sector minero energético a nivel nacional"/>
    <s v="Gestión de la Información"/>
    <s v="Sí"/>
    <s v="Sí"/>
    <n v="68"/>
    <s v="131-4"/>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4 Prestación de servicios profesionales orientados a la gestión de proyectos asociados al Plan Estratégico de Tecnologías de la Información y a otros instrumentos de planeación de la Subdirección de Gestión de la Información"/>
    <s v="Enero "/>
    <s v="Enero "/>
    <s v="Enero "/>
    <n v="10"/>
    <s v="Meses"/>
    <s v="Contratación directa - Prestación de servicios profesionales "/>
    <s v="Propios - 20 - Ingresos corrientes"/>
    <n v="50000000"/>
    <n v="50000000"/>
    <s v="No"/>
    <s v="N/A"/>
    <s v="Guillermo Holguin"/>
    <s v="Subdirector de Gestión de la Información"/>
    <n v="6012220601"/>
    <s v="guillermo.holguin@upme.gov.co"/>
    <n v="0"/>
    <n v="0"/>
    <n v="50000000"/>
    <n v="0"/>
    <n v="0"/>
    <n v="5000000"/>
    <n v="0"/>
    <n v="5000000"/>
    <n v="0"/>
    <n v="5000000"/>
    <n v="0"/>
    <n v="5000000"/>
    <n v="0"/>
    <n v="5000000"/>
    <n v="0"/>
    <n v="5000000"/>
    <n v="0"/>
    <n v="5000000"/>
    <n v="0"/>
    <n v="5000000"/>
    <n v="0"/>
    <n v="5000000"/>
    <n v="0"/>
    <n v="5000000"/>
    <n v="50000000"/>
    <n v="50000000"/>
    <n v="0"/>
    <n v="0"/>
    <s v="Prestación de servicios profesionales orientados a la gestión de proyectos asociados al Plan Estratégico de Tecnologías de la Información y a otros instrumentos de planeación de la Subdirección de Gestión de la Información"/>
    <m/>
    <m/>
    <n v="50000000"/>
    <m/>
    <m/>
    <n v="5000000"/>
    <m/>
    <n v="5000000"/>
    <m/>
    <n v="5000000"/>
    <m/>
    <n v="5000000"/>
    <m/>
    <n v="5000000"/>
    <m/>
    <n v="5000000"/>
    <m/>
    <n v="5000000"/>
    <m/>
    <n v="5000000"/>
    <m/>
    <n v="5000000"/>
    <m/>
    <n v="5000000"/>
    <m/>
    <m/>
    <n v="50000000"/>
    <n v="50000000"/>
    <n v="0"/>
    <n v="0"/>
    <n v="18926"/>
    <d v="2026-01-11T00:00:00"/>
    <n v="50000000"/>
    <n v="0"/>
    <n v="41926"/>
    <d v="2026-02-05T00:00:00"/>
    <n v="50000000"/>
    <n v="0"/>
    <n v="0"/>
    <s v="ATENCIO ZAMBRANO JOHN JADER"/>
    <s v="CO1.PCCNTR.9202037"/>
    <m/>
    <m/>
    <m/>
    <n v="50000000"/>
    <m/>
    <m/>
    <m/>
    <n v="4333333"/>
    <n v="4333333"/>
    <m/>
    <n v="5000000"/>
    <n v="5000000"/>
    <m/>
    <m/>
    <m/>
    <m/>
    <m/>
    <m/>
    <m/>
    <m/>
    <m/>
    <m/>
    <m/>
    <m/>
    <m/>
    <m/>
    <m/>
    <m/>
    <m/>
    <m/>
    <m/>
    <m/>
    <m/>
    <m/>
    <m/>
    <m/>
    <n v="50000000"/>
    <n v="9333333"/>
    <n v="9333333"/>
    <n v="40666667"/>
    <n v="0"/>
  </r>
  <r>
    <x v="0"/>
    <x v="7"/>
    <s v="Implementación de una solución integral para el acceso a los datos y a la información oportuna y de calidad del sector minero energético a nivel nacional"/>
    <s v="Gestión de la Información"/>
    <s v="Sí"/>
    <s v="Sí"/>
    <n v="23"/>
    <s v="131-5"/>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5 Prestación de servicios de apoyo a la gestión para desarrollar la documentación integral del sistema de gestión de datos y brindar apoyo técnico en la implementación y actualización de la política de gobierno de datos y la metodología de gestión de "/>
    <s v="Enero "/>
    <s v="Enero "/>
    <s v="Enero "/>
    <n v="11"/>
    <s v="Meses"/>
    <s v="Contratación directa - Prestación de servicios profesionales "/>
    <s v="Propios - 20 - Ingresos corrientes"/>
    <n v="46200000"/>
    <n v="46200000"/>
    <s v="No"/>
    <s v="N/A"/>
    <s v="Guillermo Holguin"/>
    <s v="Subdirector de Gestión de la Información"/>
    <n v="6012220601"/>
    <s v="guillermo.holguin@upme.gov.co"/>
    <n v="0"/>
    <n v="0"/>
    <n v="46200000"/>
    <n v="0"/>
    <n v="0"/>
    <n v="4200000"/>
    <n v="0"/>
    <n v="4200000"/>
    <n v="0"/>
    <n v="4200000"/>
    <n v="0"/>
    <n v="4200000"/>
    <n v="0"/>
    <n v="4200000"/>
    <n v="0"/>
    <n v="4200000"/>
    <n v="0"/>
    <n v="4200000"/>
    <n v="0"/>
    <n v="4200000"/>
    <n v="0"/>
    <n v="4200000"/>
    <n v="0"/>
    <n v="8400000"/>
    <n v="46200000"/>
    <n v="46200000"/>
    <n v="0"/>
    <n v="0"/>
    <s v="Prestación de servicios de apoyo a la gestión para desarrollar la documentación integral del sistema de gestión de datos y brindar apoyo técnico en la implementación y actualización de la política de gobierno de datos y la metodología de gestión de inform"/>
    <m/>
    <m/>
    <n v="46200000"/>
    <m/>
    <m/>
    <n v="4200000"/>
    <m/>
    <n v="4200000"/>
    <m/>
    <n v="4200000"/>
    <m/>
    <n v="4200000"/>
    <m/>
    <n v="4200000"/>
    <m/>
    <n v="4200000"/>
    <m/>
    <n v="4200000"/>
    <m/>
    <n v="4200000"/>
    <m/>
    <n v="4200000"/>
    <m/>
    <n v="8400000"/>
    <m/>
    <m/>
    <n v="46200000"/>
    <n v="46200000"/>
    <n v="0"/>
    <n v="0"/>
    <n v="29326"/>
    <d v="2026-01-14T00:00:00"/>
    <n v="45780000"/>
    <n v="420000"/>
    <n v="38626"/>
    <d v="2026-02-03T00:00:00"/>
    <n v="45780000"/>
    <n v="420000"/>
    <n v="0"/>
    <s v="TOLEDO EDISON"/>
    <s v="CO1.PCCNTR.9189073"/>
    <m/>
    <m/>
    <m/>
    <n v="46200000"/>
    <m/>
    <m/>
    <n v="-420000"/>
    <n v="3780000"/>
    <n v="3780000"/>
    <m/>
    <n v="4200000"/>
    <n v="4200000"/>
    <m/>
    <m/>
    <m/>
    <m/>
    <m/>
    <m/>
    <m/>
    <m/>
    <m/>
    <m/>
    <m/>
    <m/>
    <m/>
    <m/>
    <m/>
    <m/>
    <m/>
    <m/>
    <m/>
    <m/>
    <m/>
    <m/>
    <m/>
    <m/>
    <n v="45780000"/>
    <n v="7980000"/>
    <n v="7980000"/>
    <n v="37800000"/>
    <n v="0"/>
  </r>
  <r>
    <x v="0"/>
    <x v="7"/>
    <s v="Implementación de una solución integral para el acceso a los datos y a la información oportuna y de calidad del sector minero energético a nivel nacional"/>
    <s v="Gestión de la Información"/>
    <s v="Sí"/>
    <s v="Sí"/>
    <n v="23"/>
    <s v="131-6"/>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6 Prestación de servicios profesionales para actualizar y fortalecer el documento de gestión de información sectorial, incluyendo la revisión, actualización e implementación de metodologías y políticas de gobierno de datos, alineados con las necesidad"/>
    <s v="Enero "/>
    <s v="Enero "/>
    <s v="Enero "/>
    <n v="7"/>
    <s v="Meses"/>
    <s v="Contratación directa - Prestación de servicios profesionales "/>
    <s v="Propios - 20 - Ingresos corrientes"/>
    <n v="49000000"/>
    <n v="49000000"/>
    <s v="No"/>
    <s v="N/A"/>
    <s v="Guillermo Holguin"/>
    <s v="Subdirector de Gestión de la Información"/>
    <n v="6012220601"/>
    <s v="guillermo.holguin@upme.gov.co"/>
    <n v="0"/>
    <n v="0"/>
    <n v="0"/>
    <n v="0"/>
    <n v="0"/>
    <n v="0"/>
    <n v="0"/>
    <n v="0"/>
    <n v="0"/>
    <n v="0"/>
    <n v="0"/>
    <n v="0"/>
    <n v="49000000"/>
    <n v="0"/>
    <n v="0"/>
    <n v="0"/>
    <n v="0"/>
    <n v="0"/>
    <n v="0"/>
    <n v="0"/>
    <n v="0"/>
    <n v="0"/>
    <n v="0"/>
    <n v="49000000"/>
    <n v="49000000"/>
    <n v="49000000"/>
    <n v="0"/>
    <n v="0"/>
    <s v="Prestación de servicios profesionales para actualizar y fortalecer el documento de gestión de información sectorial, incluyendo la revisión, actualización e implementación de metodologías y políticas de gobierno de datos, alineados con las necesidades del"/>
    <m/>
    <m/>
    <m/>
    <m/>
    <m/>
    <m/>
    <m/>
    <m/>
    <m/>
    <m/>
    <m/>
    <m/>
    <n v="49000000"/>
    <m/>
    <m/>
    <m/>
    <m/>
    <m/>
    <m/>
    <m/>
    <m/>
    <m/>
    <m/>
    <n v="49000000"/>
    <m/>
    <m/>
    <n v="49000000"/>
    <n v="49000000"/>
    <n v="0"/>
    <n v="0"/>
    <m/>
    <m/>
    <m/>
    <n v="49000000"/>
    <m/>
    <m/>
    <n v="0"/>
    <n v="490000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3"/>
    <s v="131-7"/>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 Prestación de servicios profesionales para apoyar el fortalecimiento e implementación del Marco de Referencia de Arquitectura Empresarial en la Unidad de Planeación Minero Energética"/>
    <s v="Enero "/>
    <s v="Enero "/>
    <s v="Enero "/>
    <n v="11"/>
    <s v="Meses"/>
    <s v="Contratación directa - Prestación de servicios profesionales "/>
    <s v="Propios - 20 - Ingresos corrientes"/>
    <n v="77000000"/>
    <n v="77000000"/>
    <s v="No"/>
    <s v="N/A"/>
    <s v="Guillermo Holguin"/>
    <s v="Subdirector de Gestión de la Información"/>
    <n v="6012220601"/>
    <s v="guillermo.holguin@upme.gov.co"/>
    <n v="0"/>
    <n v="0"/>
    <n v="77000000"/>
    <n v="0"/>
    <n v="0"/>
    <n v="7000000"/>
    <n v="0"/>
    <n v="7000000"/>
    <n v="0"/>
    <n v="7000000"/>
    <n v="0"/>
    <n v="7000000"/>
    <n v="0"/>
    <n v="7000000"/>
    <n v="0"/>
    <n v="7000000"/>
    <n v="0"/>
    <n v="7000000"/>
    <n v="0"/>
    <n v="7000000"/>
    <n v="0"/>
    <n v="7000000"/>
    <n v="0"/>
    <n v="14000000"/>
    <n v="77000000"/>
    <n v="77000000"/>
    <n v="0"/>
    <n v="0"/>
    <s v="Prestación de servicios profesionales para apoyar el fortalecimiento e implementación del Marco de Referencia de Arquitectura Empresarial en la Unidad de Planeación Minero Energética"/>
    <m/>
    <m/>
    <n v="77000000"/>
    <m/>
    <m/>
    <n v="7000000"/>
    <m/>
    <n v="7000000"/>
    <m/>
    <n v="7000000"/>
    <m/>
    <n v="7000000"/>
    <m/>
    <n v="7000000"/>
    <m/>
    <n v="7000000"/>
    <m/>
    <n v="7000000"/>
    <m/>
    <n v="7000000"/>
    <m/>
    <n v="7000000"/>
    <m/>
    <n v="14000000"/>
    <m/>
    <m/>
    <n v="77000000"/>
    <n v="77000000"/>
    <n v="0"/>
    <n v="0"/>
    <n v="56026"/>
    <d v="2026-01-22T00:00:00"/>
    <n v="74666667"/>
    <n v="2333333"/>
    <n v="53026"/>
    <d v="2026-02-10T00:00:00"/>
    <n v="74666667"/>
    <n v="2333333"/>
    <n v="0"/>
    <s v="ESTEPA CARDENAS DIANA FERNANDA"/>
    <s v="CO1.PCCNTR.9290549"/>
    <m/>
    <m/>
    <m/>
    <n v="77000000"/>
    <m/>
    <m/>
    <n v="-2333333"/>
    <n v="4666666"/>
    <n v="4666666"/>
    <m/>
    <n v="7000000"/>
    <n v="7000000"/>
    <m/>
    <m/>
    <m/>
    <m/>
    <m/>
    <m/>
    <m/>
    <m/>
    <m/>
    <m/>
    <m/>
    <m/>
    <m/>
    <m/>
    <m/>
    <m/>
    <m/>
    <m/>
    <m/>
    <m/>
    <m/>
    <m/>
    <m/>
    <m/>
    <n v="74666667"/>
    <n v="11666666"/>
    <n v="11666666"/>
    <n v="63000001"/>
    <n v="0"/>
  </r>
  <r>
    <x v="0"/>
    <x v="7"/>
    <s v="Implementación de una solución integral para el acceso a los datos y a la información oportuna y de calidad del sector minero energético a nivel nacional"/>
    <s v="Gestión de la Información"/>
    <s v="Sí"/>
    <s v="Sí"/>
    <n v="23"/>
    <s v="131-8"/>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8 Prestar apoyo en la elaboración, actualización de los procesos, procedimientos y documentación en el marco de la Modernización de Procesos de la Entidad"/>
    <s v="Enero "/>
    <s v="Enero "/>
    <s v="Enero "/>
    <n v="11.5"/>
    <s v="Meses"/>
    <s v="Contratación directa - Prestación de servicios profesionales "/>
    <s v="Propios - 20 - Ingresos corrientes"/>
    <n v="41400000"/>
    <n v="41400000"/>
    <s v="No"/>
    <s v="N/A"/>
    <s v="Guillermo Holguin"/>
    <s v="Subdirector de Gestión de la Información"/>
    <n v="6012220601"/>
    <s v="guillermo.holguin@upme.gov.co"/>
    <n v="39600000"/>
    <n v="0"/>
    <n v="0"/>
    <n v="1800000"/>
    <n v="0"/>
    <n v="3600000"/>
    <n v="0"/>
    <n v="3600000"/>
    <n v="0"/>
    <n v="3600000"/>
    <n v="0"/>
    <n v="3600000"/>
    <n v="1800000"/>
    <n v="3600000"/>
    <n v="0"/>
    <n v="3600000"/>
    <n v="0"/>
    <n v="3600000"/>
    <n v="0"/>
    <n v="3600000"/>
    <n v="0"/>
    <n v="3600000"/>
    <n v="0"/>
    <n v="7200000"/>
    <n v="41400000"/>
    <n v="41400000"/>
    <n v="0"/>
    <n v="0"/>
    <s v="Prestar apoyo en la elaboración, actualización de los procesos, procedimientos y documentación en el marco de la Modernización de Procesos de la Entidad"/>
    <n v="39600000"/>
    <m/>
    <m/>
    <n v="1800000"/>
    <m/>
    <n v="3600000"/>
    <m/>
    <n v="3600000"/>
    <m/>
    <n v="3600000"/>
    <m/>
    <n v="3600000"/>
    <n v="1800000"/>
    <n v="3600000"/>
    <m/>
    <n v="3600000"/>
    <m/>
    <n v="3600000"/>
    <m/>
    <n v="3600000"/>
    <m/>
    <n v="3600000"/>
    <m/>
    <n v="7200000"/>
    <m/>
    <m/>
    <n v="41400000"/>
    <n v="41400000"/>
    <n v="0"/>
    <n v="0"/>
    <n v="38626"/>
    <d v="2026-01-15T00:00:00"/>
    <n v="39600000"/>
    <n v="1800000"/>
    <n v="27026"/>
    <d v="2026-01-28T00:00:00"/>
    <n v="39600000"/>
    <n v="1800000"/>
    <n v="0"/>
    <s v="DIAZ SANCHEZ NORELA"/>
    <s v="CO1.PCCNTR.9143308"/>
    <n v="39600000"/>
    <m/>
    <m/>
    <m/>
    <m/>
    <m/>
    <m/>
    <n v="3840000"/>
    <n v="3840000"/>
    <m/>
    <n v="3600000"/>
    <n v="3600000"/>
    <m/>
    <m/>
    <m/>
    <m/>
    <m/>
    <m/>
    <m/>
    <m/>
    <m/>
    <m/>
    <m/>
    <m/>
    <m/>
    <m/>
    <m/>
    <m/>
    <m/>
    <m/>
    <m/>
    <m/>
    <m/>
    <m/>
    <m/>
    <m/>
    <n v="39600000"/>
    <n v="7440000"/>
    <n v="7440000"/>
    <n v="32160000"/>
    <n v="0"/>
  </r>
  <r>
    <x v="0"/>
    <x v="7"/>
    <s v="Implementación de una solución integral para el acceso a los datos y a la información oportuna y de calidad del sector minero energético a nivel nacional"/>
    <s v="Gestión de la Información"/>
    <s v="Sí"/>
    <s v="Sí"/>
    <n v="68"/>
    <s v="131-9"/>
    <s v="Fortalecer la implementación de la política de gobierno de datos y gestión de información del sector minero energético."/>
    <s v="Documentos de Lineamientos Técnicos para el Gobierno de Datos y Gestión de la Información"/>
    <s v="Divulgación"/>
    <n v="80111620"/>
    <s v="C-2106-1900-14-53105B-2106010-02"/>
    <x v="0"/>
    <s v="131-9 Prestación de servicios profesionales para la construcción e implementación de los lineamientos sectoriales e institucionales en materia de gobierno de datos y gestión de información, considerando el marco normativo vigente."/>
    <s v="Enero "/>
    <s v="Enero "/>
    <s v="Enero "/>
    <n v="10"/>
    <s v="Meses"/>
    <s v="Contratación directa - Prestación de servicios profesionales "/>
    <s v="Propios - 20 - Ingresos corrientes"/>
    <n v="58300000"/>
    <n v="58300000"/>
    <s v="No"/>
    <s v="N/A"/>
    <s v="Guillermo Holguin"/>
    <s v="Subdirector de Gestión de la Información"/>
    <n v="6012220601"/>
    <s v="guillermo.holguin@upme.gov.co"/>
    <n v="58300000"/>
    <n v="0"/>
    <n v="0"/>
    <n v="0"/>
    <n v="0"/>
    <n v="0"/>
    <n v="0"/>
    <n v="0"/>
    <n v="0"/>
    <n v="0"/>
    <n v="0"/>
    <n v="3300000"/>
    <n v="0"/>
    <n v="10000000"/>
    <n v="0"/>
    <n v="10000000"/>
    <n v="0"/>
    <n v="10000000"/>
    <n v="0"/>
    <n v="10000000"/>
    <n v="0"/>
    <n v="10000000"/>
    <n v="0"/>
    <n v="5000000"/>
    <n v="58300000"/>
    <n v="58300000"/>
    <n v="0"/>
    <n v="0"/>
    <s v="Prestación de servicios profesionales para la construcción e implementación de los lineamientos sectoriales e institucionales en materia de gobierno de datos y gestión de información, considerando el marco normativo vigente."/>
    <n v="58300000"/>
    <m/>
    <m/>
    <m/>
    <m/>
    <m/>
    <m/>
    <m/>
    <m/>
    <m/>
    <m/>
    <n v="3300000"/>
    <m/>
    <n v="10000000"/>
    <m/>
    <n v="10000000"/>
    <m/>
    <n v="10000000"/>
    <m/>
    <n v="10000000"/>
    <m/>
    <n v="10000000"/>
    <m/>
    <n v="5000000"/>
    <m/>
    <m/>
    <n v="58300000"/>
    <n v="58300000"/>
    <n v="0"/>
    <n v="0"/>
    <n v="30326"/>
    <d v="2026-01-14T00:00:00"/>
    <n v="58300000"/>
    <n v="0"/>
    <n v="20926"/>
    <d v="2026-01-26T00:00:00"/>
    <n v="58300000"/>
    <n v="0"/>
    <n v="0"/>
    <s v="AVILA ARIAS JOHN JAIRO"/>
    <s v="CO1.PCCNTR.9054585"/>
    <n v="58300000"/>
    <m/>
    <m/>
    <m/>
    <m/>
    <m/>
    <m/>
    <m/>
    <m/>
    <m/>
    <n v="10000000"/>
    <n v="10000000"/>
    <m/>
    <m/>
    <m/>
    <m/>
    <m/>
    <m/>
    <m/>
    <m/>
    <m/>
    <m/>
    <m/>
    <m/>
    <m/>
    <m/>
    <m/>
    <m/>
    <m/>
    <m/>
    <m/>
    <m/>
    <m/>
    <m/>
    <m/>
    <m/>
    <n v="58300000"/>
    <n v="10000000"/>
    <n v="10000000"/>
    <n v="48300000"/>
    <n v="0"/>
  </r>
  <r>
    <x v="0"/>
    <x v="7"/>
    <s v="Implementación de una solución integral para el acceso a los datos y a la información oportuna y de calidad del sector minero energético a nivel nacional"/>
    <s v="Gestión de la Información"/>
    <s v="Sí"/>
    <s v="Sí"/>
    <n v="68"/>
    <s v="131-10"/>
    <s v="Fortalecer la implementación de la política de gobierno de datos y gestión de información del sector minero energético."/>
    <s v="Servicio de Información Implementado e Interoperado"/>
    <s v="Diseño técnico y funcional."/>
    <n v="80111620"/>
    <s v="C-2106-1900-14-53105B-2106034-02"/>
    <x v="0"/>
    <s v="131-10 Prestación de servicios profesionales para diseñar, documentar e implementar arquitecturas de datos robustas, escalables y seguras, incluyendo el modelo conceptual, lógico y físico que procure la integración de las diferentes fuentes de información"/>
    <s v="Enero "/>
    <s v="Enero "/>
    <s v="Enero "/>
    <n v="11.5"/>
    <s v="Meses"/>
    <s v="Contratación directa - Prestación de servicios profesionales "/>
    <s v="Propios - 20 - Ingresos corrientes"/>
    <n v="85100000"/>
    <n v="85100000"/>
    <s v="No"/>
    <s v="N/A"/>
    <s v="Guillermo Holguin"/>
    <s v="Subdirector de Gestión de la Información"/>
    <n v="6012220601"/>
    <s v="guillermo.holguin@upme.gov.co"/>
    <n v="85000000"/>
    <n v="0"/>
    <n v="0"/>
    <n v="3700000"/>
    <n v="0"/>
    <n v="7400000"/>
    <n v="0"/>
    <n v="7400000"/>
    <n v="0"/>
    <n v="7400000"/>
    <n v="0"/>
    <n v="7400000"/>
    <n v="100000"/>
    <n v="7400000"/>
    <n v="0"/>
    <n v="7400000"/>
    <n v="0"/>
    <n v="7400000"/>
    <n v="0"/>
    <n v="7400000"/>
    <n v="0"/>
    <n v="7400000"/>
    <n v="0"/>
    <n v="14800000"/>
    <n v="85100000"/>
    <n v="85100000"/>
    <n v="0"/>
    <n v="0"/>
    <s v="Prestación de servicios profesionales para diseñar, documentar e implementar arquitecturas de datos robustas, escalables y seguras, incluyendo el modelo conceptual, lógico y físico que procure la integración de las diferentes fuentes de información que re"/>
    <n v="85000000"/>
    <m/>
    <m/>
    <n v="3700000"/>
    <m/>
    <n v="7400000"/>
    <m/>
    <n v="7400000"/>
    <m/>
    <n v="7400000"/>
    <m/>
    <n v="7400000"/>
    <n v="100000"/>
    <n v="7400000"/>
    <m/>
    <n v="7400000"/>
    <m/>
    <n v="7400000"/>
    <m/>
    <n v="7400000"/>
    <m/>
    <n v="7400000"/>
    <m/>
    <n v="14800000"/>
    <m/>
    <m/>
    <n v="85100000"/>
    <n v="85100000"/>
    <n v="0"/>
    <n v="0"/>
    <n v="55526"/>
    <d v="2026-01-22T00:00:00"/>
    <n v="85000000"/>
    <n v="100000"/>
    <n v="33126"/>
    <d v="2026-01-29T00:00:00"/>
    <n v="85000000"/>
    <n v="100000"/>
    <n v="0"/>
    <s v="DOMINGUEZ JIMENEZ RAFAEL ANDRES"/>
    <s v="CO1.PCCNTR.9138557"/>
    <n v="85000000"/>
    <m/>
    <m/>
    <m/>
    <m/>
    <m/>
    <m/>
    <n v="10333333"/>
    <n v="10333333"/>
    <m/>
    <n v="10000000"/>
    <n v="10000000"/>
    <m/>
    <m/>
    <m/>
    <m/>
    <m/>
    <m/>
    <m/>
    <m/>
    <m/>
    <m/>
    <m/>
    <m/>
    <m/>
    <m/>
    <m/>
    <m/>
    <m/>
    <m/>
    <m/>
    <m/>
    <m/>
    <m/>
    <m/>
    <m/>
    <n v="85000000"/>
    <n v="20333333"/>
    <n v="20333333"/>
    <n v="64666667"/>
    <n v="0"/>
  </r>
  <r>
    <x v="0"/>
    <x v="7"/>
    <s v="Implementación de una solución integral para el acceso a los datos y a la información oportuna y de calidad del sector minero energético a nivel nacional"/>
    <s v="Gestión de la Información"/>
    <s v="Sí"/>
    <s v="Sí"/>
    <n v="22"/>
    <s v="131-11"/>
    <s v="Fortalecer la implementación de la política de gobierno de datos y gestión de información del sector minero energético."/>
    <s v="Servicio de Información Implementado e Interoperado"/>
    <s v="Diseño técnico y funcional."/>
    <n v="81112003"/>
    <s v="C-2106-1900-14-53105B-2106034-02"/>
    <x v="10"/>
    <s v="131-11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32116800"/>
    <n v="32116800"/>
    <s v="No"/>
    <s v="N/A"/>
    <s v="Guillermo Holguin"/>
    <s v="Subdirector de Gestión de la Información"/>
    <n v="6012220601"/>
    <s v="guillermo.holguin@upme.gov.co"/>
    <n v="0"/>
    <n v="0"/>
    <n v="0"/>
    <n v="0"/>
    <n v="0"/>
    <n v="0"/>
    <n v="32116800"/>
    <n v="0"/>
    <n v="0"/>
    <n v="32116800"/>
    <n v="0"/>
    <n v="0"/>
    <n v="0"/>
    <n v="0"/>
    <n v="0"/>
    <n v="0"/>
    <n v="0"/>
    <n v="0"/>
    <n v="0"/>
    <n v="0"/>
    <n v="0"/>
    <n v="0"/>
    <n v="0"/>
    <n v="0"/>
    <n v="32116800"/>
    <n v="32116800"/>
    <n v="0"/>
    <n v="0"/>
    <s v="servicios en la nube para la implementación de un lago de datos institucional que permita la consolidación, integración, centralización, acceso y exposición de la información de la UPME, incluyendo la asociada a electromovilidad."/>
    <n v="0"/>
    <n v="0"/>
    <n v="0"/>
    <n v="0"/>
    <n v="0"/>
    <n v="0"/>
    <n v="0"/>
    <n v="0"/>
    <n v="32116800"/>
    <n v="0"/>
    <n v="0"/>
    <n v="0"/>
    <n v="0"/>
    <n v="32116800"/>
    <n v="0"/>
    <n v="0"/>
    <n v="0"/>
    <n v="0"/>
    <n v="0"/>
    <n v="0"/>
    <n v="0"/>
    <n v="0"/>
    <n v="0"/>
    <n v="0"/>
    <m/>
    <m/>
    <n v="32116800"/>
    <n v="32116800"/>
    <n v="0"/>
    <n v="0"/>
    <m/>
    <m/>
    <m/>
    <n v="32116800"/>
    <m/>
    <m/>
    <n v="0"/>
    <n v="321168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8"/>
    <s v="131-12"/>
    <s v="Fortalecer la implementación de la política de gobierno de datos y gestión de información del sector minero energético."/>
    <s v="Servicio de Información Implementado e Interoperado"/>
    <s v="Diseño técnico y funcional."/>
    <n v="80111713"/>
    <s v="C-2106-1900-14-53105B-2106034-02"/>
    <x v="10"/>
    <s v="131-12 Adquirir el licenciamiento de las herramientas colaborativas en nube para la UPME"/>
    <s v="Agosto"/>
    <s v="Agosto"/>
    <s v="Septiembre"/>
    <n v="12"/>
    <s v="Meses"/>
    <s v="Seléccion abreviada - acuerdo marco"/>
    <s v="Propios - 21 - Otros recursos de tesorería"/>
    <n v="10812000"/>
    <n v="10812000"/>
    <s v="No"/>
    <s v="N/A"/>
    <s v="Guillermo Holguin"/>
    <s v="Subdirector de Gestión de la Información"/>
    <n v="6012220601"/>
    <s v="guillermo.holguin@upme.gov.co"/>
    <n v="0"/>
    <n v="0"/>
    <n v="0"/>
    <n v="0"/>
    <n v="0"/>
    <n v="0"/>
    <n v="0"/>
    <n v="0"/>
    <n v="0"/>
    <n v="0"/>
    <n v="0"/>
    <n v="0"/>
    <n v="0"/>
    <n v="0"/>
    <n v="0"/>
    <n v="0"/>
    <n v="0"/>
    <n v="0"/>
    <n v="10812000"/>
    <n v="0"/>
    <n v="0"/>
    <n v="0"/>
    <n v="0"/>
    <n v="10812000"/>
    <n v="10812000"/>
    <n v="10812000"/>
    <n v="0"/>
    <n v="0"/>
    <s v="Adquirir el licenciamiento de las herramientas colaborativas en nube para la UPME"/>
    <m/>
    <m/>
    <m/>
    <m/>
    <m/>
    <m/>
    <m/>
    <m/>
    <m/>
    <m/>
    <m/>
    <m/>
    <m/>
    <m/>
    <m/>
    <m/>
    <m/>
    <m/>
    <n v="10812000"/>
    <m/>
    <m/>
    <m/>
    <m/>
    <n v="10812000"/>
    <m/>
    <m/>
    <n v="10812000"/>
    <n v="10812000"/>
    <n v="0"/>
    <n v="0"/>
    <m/>
    <m/>
    <m/>
    <n v="10812000"/>
    <m/>
    <m/>
    <n v="0"/>
    <n v="108120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8"/>
    <s v="131-13"/>
    <s v="Fortalecer la implementación de la política de gobierno de datos y gestión de información del sector minero energético."/>
    <s v="Servicio de Información Implementado e Interoperado"/>
    <s v="Pruebas y aseguramiento de calidad."/>
    <n v="80111620"/>
    <s v="C-2106-1900-14-53105B-2106034-02"/>
    <x v="0"/>
    <s v="131-13 Prestación de servicios de apoyo a la gestión para el diseño, documentación e implementación de la arquitectura de integración y flujos de información sectoriales, garantizando la interoperabilidad entre los sistemas de información de la UPME y la "/>
    <s v="Enero "/>
    <s v="Enero "/>
    <s v="Enero "/>
    <n v="11"/>
    <s v="Meses"/>
    <s v="Contratación directa - Prestación de servicios profesionales "/>
    <s v="Propios - 20 - Ingresos corrientes"/>
    <n v="55440000"/>
    <n v="55440000"/>
    <s v="No"/>
    <s v="N/A"/>
    <s v="Guillermo Holguin"/>
    <s v="Subdirector de Gestión de la Información"/>
    <n v="6012220601"/>
    <s v="guillermo.holguin@upme.gov.co"/>
    <n v="0"/>
    <n v="0"/>
    <n v="55440000"/>
    <n v="0"/>
    <n v="0"/>
    <n v="5040000"/>
    <n v="0"/>
    <n v="5040000"/>
    <n v="0"/>
    <n v="5040000"/>
    <n v="0"/>
    <n v="5040000"/>
    <n v="0"/>
    <n v="5040000"/>
    <n v="0"/>
    <n v="5040000"/>
    <n v="0"/>
    <n v="5040000"/>
    <n v="0"/>
    <n v="5040000"/>
    <n v="0"/>
    <n v="5040000"/>
    <n v="0"/>
    <n v="10080000"/>
    <n v="55440000"/>
    <n v="55440000"/>
    <n v="0"/>
    <n v="0"/>
    <s v="Prestación de servicios de apoyo a la gestión para el diseño, documentación e implementación de la arquitectura de integración y flujos de información sectoriales, garantizando la interoperabilidad entre los sistemas de información de la UPME y la coheren"/>
    <m/>
    <m/>
    <n v="55440000"/>
    <m/>
    <m/>
    <n v="5040000"/>
    <m/>
    <n v="5040000"/>
    <m/>
    <n v="5040000"/>
    <m/>
    <n v="5040000"/>
    <m/>
    <n v="5040000"/>
    <m/>
    <n v="5040000"/>
    <m/>
    <n v="5040000"/>
    <m/>
    <n v="5040000"/>
    <m/>
    <n v="5040000"/>
    <m/>
    <n v="10080000"/>
    <m/>
    <m/>
    <n v="55440000"/>
    <n v="55440000"/>
    <n v="0"/>
    <n v="0"/>
    <n v="29226"/>
    <d v="2026-01-14T00:00:00"/>
    <n v="55440000"/>
    <n v="0"/>
    <n v="38926"/>
    <d v="2026-02-03T00:00:00"/>
    <n v="55440000"/>
    <n v="0"/>
    <n v="0"/>
    <s v="GARZON GARCIA FABIAN"/>
    <s v="CO1.PCCNTR.9188620"/>
    <m/>
    <m/>
    <m/>
    <n v="55440000"/>
    <m/>
    <m/>
    <m/>
    <m/>
    <m/>
    <m/>
    <n v="9576000"/>
    <n v="9576000"/>
    <m/>
    <m/>
    <m/>
    <m/>
    <m/>
    <m/>
    <m/>
    <m/>
    <m/>
    <m/>
    <m/>
    <m/>
    <m/>
    <m/>
    <m/>
    <m/>
    <m/>
    <m/>
    <m/>
    <m/>
    <m/>
    <m/>
    <m/>
    <m/>
    <n v="55440000"/>
    <n v="9576000"/>
    <n v="9576000"/>
    <n v="45864000"/>
    <n v="0"/>
  </r>
  <r>
    <x v="0"/>
    <x v="7"/>
    <s v="Implementación de una solución integral para el acceso a los datos y a la información oportuna y de calidad del sector minero energético a nivel nacional"/>
    <s v="Gestión de la Información"/>
    <s v="Sí"/>
    <s v="Sí"/>
    <n v="68"/>
    <s v="131-14"/>
    <s v="Fortalecer la implementación de la política de gobierno de datos y gestión de información del sector minero energético."/>
    <s v="Servicio de Información Implementado e Interoperado"/>
    <s v="Pruebas y aseguramiento de calidad."/>
    <n v="80111620"/>
    <s v="C-2106-1900-14-53105B-2106034-02"/>
    <x v="0"/>
    <s v="131-14 Prestación de servicios de apoyo a la gestión orientados al despliegue de microservicios y arquitecturas distribuidas, así como a la contribución en la integración e interoperabilidad de la información requerida por la entidad."/>
    <s v="Enero "/>
    <s v="Enero "/>
    <s v="Enero "/>
    <n v="11"/>
    <s v="Meses"/>
    <s v="Contratación directa - Prestación de servicios profesionales "/>
    <s v="Propios - 20 - Ingresos corrientes"/>
    <n v="55440000"/>
    <n v="55440000"/>
    <s v="No"/>
    <s v="N/A"/>
    <s v="Guillermo Holguin"/>
    <s v="Subdirector de Gestión de la Información"/>
    <n v="6012220601"/>
    <s v="guillermo.holguin@upme.gov.co"/>
    <n v="55440000"/>
    <n v="0"/>
    <n v="0"/>
    <n v="1260000"/>
    <n v="0"/>
    <n v="5040000"/>
    <n v="0"/>
    <n v="5040000"/>
    <n v="0"/>
    <n v="5040000"/>
    <n v="0"/>
    <n v="5040000"/>
    <n v="0"/>
    <n v="5040000"/>
    <n v="0"/>
    <n v="5040000"/>
    <n v="0"/>
    <n v="5040000"/>
    <n v="0"/>
    <n v="5040000"/>
    <n v="0"/>
    <n v="5040000"/>
    <n v="0"/>
    <n v="8820000"/>
    <n v="55440000"/>
    <n v="55440000"/>
    <n v="0"/>
    <n v="0"/>
    <s v="Prestación de servicios de apoyo a la gestión orientados al despliegue de microservicios y arquitecturas distribuidas, así como a la contribución en la integración e interoperabilidad de la información requerida por la entidad."/>
    <n v="55440000"/>
    <m/>
    <m/>
    <n v="1260000"/>
    <m/>
    <n v="5040000"/>
    <m/>
    <n v="5040000"/>
    <m/>
    <n v="5040000"/>
    <m/>
    <n v="5040000"/>
    <m/>
    <n v="5040000"/>
    <m/>
    <n v="5040000"/>
    <m/>
    <n v="5040000"/>
    <m/>
    <n v="5040000"/>
    <m/>
    <n v="5040000"/>
    <m/>
    <n v="8820000"/>
    <m/>
    <m/>
    <n v="55440000"/>
    <n v="55440000"/>
    <n v="0"/>
    <n v="0"/>
    <n v="30126"/>
    <d v="2026-01-14T00:00:00"/>
    <n v="55272000"/>
    <n v="168000"/>
    <n v="30626"/>
    <d v="2026-01-28T00:00:00"/>
    <n v="55272000"/>
    <n v="168000"/>
    <n v="0"/>
    <s v="ARNEDO MENDOZA RAFAEL SANTOS"/>
    <s v="CO1.PCCNTR.9053375"/>
    <n v="55440000"/>
    <m/>
    <m/>
    <m/>
    <m/>
    <m/>
    <m/>
    <n v="4872000"/>
    <n v="4872000"/>
    <n v="-168000"/>
    <n v="5040000"/>
    <n v="5040000"/>
    <m/>
    <m/>
    <m/>
    <m/>
    <m/>
    <m/>
    <m/>
    <m/>
    <m/>
    <m/>
    <m/>
    <m/>
    <m/>
    <m/>
    <m/>
    <m/>
    <m/>
    <m/>
    <m/>
    <m/>
    <m/>
    <m/>
    <m/>
    <m/>
    <n v="55272000"/>
    <n v="9912000"/>
    <n v="9912000"/>
    <n v="45360000"/>
    <n v="0"/>
  </r>
  <r>
    <x v="0"/>
    <x v="7"/>
    <s v="Implementación de una solución integral para el acceso a los datos y a la información oportuna y de calidad del sector minero energético a nivel nacional"/>
    <s v="Gestión de la Información"/>
    <s v="Sí"/>
    <s v="Sí"/>
    <n v="2"/>
    <s v="131-15"/>
    <s v="Fortalecer la implementación de la política de gobierno de datos y gestión de información del sector minero energético."/>
    <s v="Servicio de Información Implementado e Interoperado"/>
    <s v="Pruebas y aseguramiento de calidad."/>
    <n v="80111620"/>
    <s v="C-2106-1900-14-53105B-2106034-02"/>
    <x v="0"/>
    <s v="131-15 Prestación de servicios de apoyo a la gestión para la recolección y procesamiento de material audiovisual requerido para los sistemas de información y las comunicaciones institucionales"/>
    <s v="Enero "/>
    <s v="Enero "/>
    <s v="Enero "/>
    <n v="11"/>
    <s v="Meses"/>
    <s v="Contratación directa - Prestación de servicios profesionales "/>
    <s v="Propios - 20 - Ingresos corrientes"/>
    <n v="39297856"/>
    <n v="39297856"/>
    <s v="No"/>
    <s v="N/A"/>
    <s v="Guillermo Holguin"/>
    <s v="Subdirector de Gestión de la Información"/>
    <n v="6012220601"/>
    <s v="guillermo.holguin@upme.gov.co"/>
    <n v="39297856"/>
    <n v="0"/>
    <n v="0"/>
    <n v="333333"/>
    <n v="0"/>
    <n v="5000000"/>
    <n v="0"/>
    <n v="5000000"/>
    <n v="0"/>
    <n v="5000000"/>
    <n v="0"/>
    <n v="5000000"/>
    <n v="0"/>
    <n v="5000000"/>
    <n v="0"/>
    <n v="5000000"/>
    <n v="0"/>
    <n v="5000000"/>
    <n v="0"/>
    <n v="3964523"/>
    <n v="0"/>
    <n v="0"/>
    <n v="0"/>
    <n v="0"/>
    <n v="39297856"/>
    <n v="39297856"/>
    <n v="0"/>
    <n v="0"/>
    <s v="Prestación de servicios de apoyo a la gestión para la recolección y procesamiento de material audiovisual requerido para los sistemas de información y las comunicaciones institucionales"/>
    <n v="39297856"/>
    <m/>
    <m/>
    <n v="333333"/>
    <m/>
    <n v="5000000"/>
    <m/>
    <n v="5000000"/>
    <m/>
    <n v="5000000"/>
    <m/>
    <n v="5000000"/>
    <m/>
    <n v="5000000"/>
    <m/>
    <n v="5000000"/>
    <m/>
    <n v="5000000"/>
    <m/>
    <n v="3964523"/>
    <m/>
    <m/>
    <m/>
    <m/>
    <m/>
    <m/>
    <n v="39297856"/>
    <n v="39297856"/>
    <n v="0"/>
    <n v="0"/>
    <n v="24526"/>
    <d v="2026-01-13T00:00:00"/>
    <n v="39297856"/>
    <n v="0"/>
    <n v="20426"/>
    <d v="2026-01-26T00:00:00"/>
    <n v="39297856"/>
    <n v="0"/>
    <n v="0"/>
    <s v="CASTILLA ACEVEDO JOSE FERNANDO"/>
    <s v="CO1.PCCNTR.9034108"/>
    <n v="39297856"/>
    <m/>
    <m/>
    <m/>
    <m/>
    <m/>
    <m/>
    <m/>
    <m/>
    <m/>
    <n v="5000000"/>
    <n v="5000000"/>
    <m/>
    <m/>
    <m/>
    <m/>
    <m/>
    <m/>
    <m/>
    <m/>
    <m/>
    <m/>
    <m/>
    <m/>
    <m/>
    <m/>
    <m/>
    <m/>
    <m/>
    <m/>
    <m/>
    <m/>
    <m/>
    <m/>
    <m/>
    <m/>
    <n v="39297856"/>
    <n v="5000000"/>
    <n v="5000000"/>
    <n v="34297856"/>
    <n v="0"/>
  </r>
  <r>
    <x v="0"/>
    <x v="7"/>
    <s v="Implementación de una solución integral para el acceso a los datos y a la información oportuna y de calidad del sector minero energético a nivel nacional"/>
    <s v="Gestión de la Información"/>
    <s v="Sí"/>
    <s v="Sí"/>
    <n v="9"/>
    <s v="131-16"/>
    <s v="Fortalecer la implementación de la política de gobierno de datos y gestión de información del sector minero energético."/>
    <s v="Servicio de Información Implementado e Interoperado"/>
    <s v="Pruebas y aseguramiento de calidad."/>
    <n v="80111620"/>
    <s v="C-2106-1900-14-53105B-2106034-02"/>
    <x v="0"/>
    <s v="131-16 Prestación de servicios profesionales para apoyar la gestión, actualización y visualización de información geográfica, siguiendo los lineamientos técnicos definidos por la entidad."/>
    <s v="Enero "/>
    <s v="Enero "/>
    <s v="Enero "/>
    <n v="10.5"/>
    <s v="Meses"/>
    <s v="Contratación directa - Prestación de servicios profesionales "/>
    <s v="Propios - 20 - Ingresos corrientes"/>
    <n v="33681384"/>
    <n v="33681384"/>
    <s v="No"/>
    <s v="N/A"/>
    <s v="Guillermo Holguin"/>
    <s v="Subdirector de Gestión de la Información"/>
    <n v="6012220601"/>
    <s v="guillermo.holguin@upme.gov.co"/>
    <n v="0"/>
    <n v="0"/>
    <n v="33681384"/>
    <n v="0"/>
    <n v="0"/>
    <n v="3285450"/>
    <n v="0"/>
    <n v="3285450"/>
    <n v="0"/>
    <n v="3285450"/>
    <n v="0"/>
    <n v="3285450"/>
    <n v="0"/>
    <n v="3285450"/>
    <n v="0"/>
    <n v="3285450"/>
    <n v="0"/>
    <n v="3285450"/>
    <n v="0"/>
    <n v="3285450"/>
    <n v="0"/>
    <n v="3285450"/>
    <n v="0"/>
    <n v="4112334"/>
    <n v="33681384"/>
    <n v="33681384"/>
    <n v="0"/>
    <n v="0"/>
    <s v="Prestación de servicios profesionales para apoyar la gestión, actualización y visualización de información geográfica, siguiendo los lineamientos técnicos definidos por la entidad."/>
    <m/>
    <m/>
    <n v="33681384"/>
    <m/>
    <m/>
    <n v="3285450"/>
    <m/>
    <n v="3285450"/>
    <m/>
    <n v="3285450"/>
    <m/>
    <n v="3285450"/>
    <m/>
    <n v="3285450"/>
    <m/>
    <n v="3285450"/>
    <m/>
    <n v="3285450"/>
    <m/>
    <n v="3285450"/>
    <m/>
    <n v="3285450"/>
    <m/>
    <n v="4112334"/>
    <m/>
    <m/>
    <n v="33681384"/>
    <n v="33681384"/>
    <n v="0"/>
    <n v="0"/>
    <n v="66726"/>
    <d v="2026-01-29T00:00:00"/>
    <n v="33402075"/>
    <n v="279309"/>
    <n v="50326"/>
    <d v="2026-02-09T00:00:00"/>
    <n v="33402075"/>
    <n v="279309"/>
    <n v="0"/>
    <s v="RAMIREZ ESPITIA CATALINA"/>
    <s v="CO1.PCCNTR.9295326"/>
    <m/>
    <m/>
    <m/>
    <n v="33402075"/>
    <m/>
    <m/>
    <m/>
    <n v="2299815"/>
    <n v="2299815"/>
    <m/>
    <n v="3285450"/>
    <n v="3285450"/>
    <m/>
    <m/>
    <m/>
    <m/>
    <m/>
    <m/>
    <m/>
    <m/>
    <m/>
    <m/>
    <m/>
    <m/>
    <m/>
    <m/>
    <m/>
    <m/>
    <m/>
    <m/>
    <m/>
    <m/>
    <m/>
    <m/>
    <m/>
    <m/>
    <n v="33402075"/>
    <n v="5585265"/>
    <n v="5585265"/>
    <n v="27816810"/>
    <n v="0"/>
  </r>
  <r>
    <x v="0"/>
    <x v="7"/>
    <s v="Implementación de una solución integral para el acceso a los datos y a la información oportuna y de calidad del sector minero energético a nivel nacional"/>
    <s v="Gestión de la Información"/>
    <s v="Sí"/>
    <s v="Sí"/>
    <n v="2"/>
    <s v="131-17"/>
    <s v="Fortalecer la implementación de la política de gobierno de datos y gestión de información del sector minero energético."/>
    <s v="Servicio de Información Implementado e Interoperado"/>
    <s v="Pruebas y aseguramiento de calidad."/>
    <n v="80111620"/>
    <s v="C-2106-1900-14-53105B-2106034-02"/>
    <x v="0"/>
    <s v="131-17 Prestación de servicios de apoyo a la gestión para la creación de contenido digital asociado a los sistemas de información y las comunicaciones institucionales."/>
    <s v="Enero "/>
    <s v="Enero "/>
    <s v="Enero "/>
    <n v="10"/>
    <s v="Meses"/>
    <s v="Contratación directa - Prestación de servicios profesionales "/>
    <s v="Propios - 20 - Ingresos corrientes"/>
    <n v="50000000"/>
    <n v="50000000"/>
    <s v="No"/>
    <s v="N/A"/>
    <s v="Guillermo Holguin"/>
    <s v="Subdirector de Gestión de la Información"/>
    <n v="6012220601"/>
    <s v="guillermo.holguin@upme.gov.co"/>
    <n v="50000000"/>
    <n v="0"/>
    <n v="0"/>
    <n v="333333"/>
    <n v="0"/>
    <n v="5000000"/>
    <n v="0"/>
    <n v="5000000"/>
    <n v="0"/>
    <n v="5000000"/>
    <n v="0"/>
    <n v="5000000"/>
    <n v="0"/>
    <n v="5000000"/>
    <n v="0"/>
    <n v="5000000"/>
    <n v="0"/>
    <n v="5000000"/>
    <n v="0"/>
    <n v="5000000"/>
    <n v="0"/>
    <n v="5000000"/>
    <n v="0"/>
    <n v="4666667"/>
    <n v="50000000"/>
    <n v="50000000"/>
    <n v="0"/>
    <n v="0"/>
    <s v="Prestación de servicios de apoyo a la gestión para la creación de contenido digital asociado a los sistemas de información y las comunicaciones institucionales."/>
    <n v="50000000"/>
    <m/>
    <m/>
    <n v="333333"/>
    <m/>
    <n v="5000000"/>
    <m/>
    <n v="5000000"/>
    <m/>
    <n v="5000000"/>
    <m/>
    <n v="5000000"/>
    <m/>
    <n v="5000000"/>
    <m/>
    <n v="5000000"/>
    <m/>
    <n v="5000000"/>
    <m/>
    <n v="5000000"/>
    <m/>
    <n v="5000000"/>
    <m/>
    <n v="4666667"/>
    <m/>
    <m/>
    <n v="50000000"/>
    <n v="50000000"/>
    <n v="0"/>
    <n v="0"/>
    <n v="24626"/>
    <d v="2026-01-13T00:00:00"/>
    <n v="50000000"/>
    <n v="0"/>
    <n v="12426"/>
    <d v="2026-01-20T00:00:00"/>
    <n v="50000000"/>
    <n v="0"/>
    <n v="0"/>
    <s v="PERALTA MEZA LEIDY YINETH"/>
    <s v="CO1.PCCNTR.8954940"/>
    <n v="50000000"/>
    <m/>
    <m/>
    <m/>
    <m/>
    <m/>
    <m/>
    <n v="6666667"/>
    <n v="6666667"/>
    <m/>
    <n v="5000000"/>
    <n v="5000000"/>
    <m/>
    <m/>
    <m/>
    <m/>
    <m/>
    <m/>
    <m/>
    <m/>
    <m/>
    <m/>
    <m/>
    <m/>
    <m/>
    <m/>
    <m/>
    <m/>
    <m/>
    <m/>
    <m/>
    <m/>
    <m/>
    <m/>
    <m/>
    <m/>
    <n v="50000000"/>
    <n v="11666667"/>
    <n v="11666667"/>
    <n v="38333333"/>
    <n v="0"/>
  </r>
  <r>
    <x v="0"/>
    <x v="7"/>
    <s v="Implementación de una solución integral para el acceso a los datos y a la información oportuna y de calidad del sector minero energético a nivel nacional"/>
    <s v="Gestión de la Información"/>
    <s v="Sí"/>
    <s v="Sí"/>
    <n v="68"/>
    <s v="131-18"/>
    <s v="Fortalecer la implementación de la política de gobierno de datos y gestión de información del sector minero energético."/>
    <s v="Servicio de Información Implementado e Interoperado"/>
    <s v="Pruebas y aseguramiento de calidad."/>
    <n v="80111620"/>
    <s v="C-2106-1900-14-53105B-2106034-02"/>
    <x v="0"/>
    <s v="131-18 Prestación de servicios profesionales para el fortalecimiento de las comunicaciones y divulgación de los sistemas de información institucionales."/>
    <s v="Enero "/>
    <s v="Enero "/>
    <s v="Enero "/>
    <n v="11"/>
    <s v="Meses"/>
    <s v="Contratación directa - Prestación de servicios profesionales "/>
    <s v="Propios - 21 - Otros recursos de tesorería"/>
    <n v="33746160"/>
    <n v="33746160"/>
    <s v="No"/>
    <s v="N/A"/>
    <s v="Guillermo Holguin"/>
    <s v="Subdirector de Gestión de la Información"/>
    <n v="6012220601"/>
    <s v="guillermo.holguin@upme.gov.co"/>
    <n v="33730620"/>
    <n v="0"/>
    <n v="0"/>
    <n v="219030"/>
    <n v="0"/>
    <n v="3285450"/>
    <n v="0"/>
    <n v="3285450"/>
    <n v="0"/>
    <n v="3285450"/>
    <n v="0"/>
    <n v="3285450"/>
    <n v="15540"/>
    <n v="3285450"/>
    <n v="0"/>
    <n v="3285450"/>
    <n v="0"/>
    <n v="3285450"/>
    <n v="0"/>
    <n v="3285450"/>
    <n v="0"/>
    <n v="3285450"/>
    <n v="0"/>
    <n v="3958080"/>
    <n v="33746160"/>
    <n v="33746160"/>
    <n v="0"/>
    <n v="0"/>
    <s v="Prestación de servicios profesionales para el fortalecimiento de las comunicaciones y divulgación de los sistemas de información institucionales."/>
    <n v="33730620"/>
    <m/>
    <m/>
    <n v="219030"/>
    <m/>
    <n v="3285450"/>
    <m/>
    <n v="3285450"/>
    <m/>
    <n v="3285450"/>
    <m/>
    <n v="3285450"/>
    <n v="15540"/>
    <n v="3285450"/>
    <m/>
    <n v="3285450"/>
    <m/>
    <n v="3285450"/>
    <m/>
    <n v="3285450"/>
    <m/>
    <n v="3285450"/>
    <m/>
    <n v="3958080"/>
    <m/>
    <m/>
    <n v="33746160"/>
    <n v="33746160"/>
    <n v="0"/>
    <n v="0"/>
    <n v="24926"/>
    <d v="2026-01-13T00:00:00"/>
    <n v="33730620"/>
    <n v="15540"/>
    <n v="15126"/>
    <d v="2026-01-21T00:00:00"/>
    <n v="33730620"/>
    <n v="15540"/>
    <n v="0"/>
    <s v="ROJAS RINCON DANNA ALEJANDRA"/>
    <s v="CO1.PCCNTR.8943149"/>
    <n v="33730620"/>
    <m/>
    <m/>
    <m/>
    <m/>
    <m/>
    <m/>
    <n v="4271085"/>
    <n v="4271085"/>
    <m/>
    <n v="3285450"/>
    <n v="3285450"/>
    <m/>
    <m/>
    <m/>
    <m/>
    <m/>
    <m/>
    <m/>
    <m/>
    <m/>
    <m/>
    <m/>
    <m/>
    <m/>
    <m/>
    <m/>
    <m/>
    <m/>
    <m/>
    <m/>
    <m/>
    <m/>
    <m/>
    <m/>
    <m/>
    <n v="33730620"/>
    <n v="7556535"/>
    <n v="7556535"/>
    <n v="26174085"/>
    <n v="0"/>
  </r>
  <r>
    <x v="0"/>
    <x v="7"/>
    <s v="Implementación de una solución integral para el acceso a los datos y a la información oportuna y de calidad del sector minero energético a nivel nacional"/>
    <s v="Gestión de la Información"/>
    <s v="Sí"/>
    <s v="Sí"/>
    <n v="68"/>
    <s v="131-19"/>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19 Prestación de servicios profesionales para la formulación e implementación de los lineamientos estadísticos sectoriales e institucionales orientados a la consolidación de planes y estrategias para el fortalecimiento y certificación de la informació"/>
    <s v="Enero "/>
    <s v="Enero "/>
    <s v="Enero "/>
    <n v="11.5"/>
    <s v="Meses"/>
    <s v="Contratación directa - Prestación de servicios profesionales "/>
    <s v="Propios - 20 - Ingresos corrientes"/>
    <n v="97750000"/>
    <n v="97750000"/>
    <s v="No"/>
    <s v="N/A"/>
    <s v="Guillermo Holguin"/>
    <s v="Subdirector de Gestión de la Información"/>
    <n v="6012220601"/>
    <s v="guillermo.holguin@upme.gov.co"/>
    <n v="96333333"/>
    <n v="0"/>
    <n v="0"/>
    <n v="4250000"/>
    <n v="0"/>
    <n v="8500000"/>
    <n v="0"/>
    <n v="8500000"/>
    <n v="0"/>
    <n v="8500000"/>
    <n v="0"/>
    <n v="8500000"/>
    <n v="1416667"/>
    <n v="8500000"/>
    <n v="0"/>
    <n v="8500000"/>
    <n v="0"/>
    <n v="8500000"/>
    <n v="0"/>
    <n v="8500000"/>
    <n v="0"/>
    <n v="8500000"/>
    <n v="0"/>
    <n v="17000000"/>
    <n v="97750000"/>
    <n v="97750000"/>
    <n v="0"/>
    <n v="0"/>
    <s v="Prestación de servicios profesionales para la formulación e implementación de los lineamientos estadísticos sectoriales e institucionales orientados a la consolidación de planes y estrategias para el fortalecimiento y certificación de la información estad"/>
    <n v="96333333"/>
    <m/>
    <m/>
    <n v="4250000"/>
    <m/>
    <n v="8500000"/>
    <m/>
    <n v="8500000"/>
    <m/>
    <n v="8500000"/>
    <m/>
    <n v="8500000"/>
    <n v="1416667"/>
    <n v="8500000"/>
    <m/>
    <n v="8500000"/>
    <m/>
    <n v="8500000"/>
    <m/>
    <n v="8500000"/>
    <m/>
    <n v="8500000"/>
    <m/>
    <n v="17000000"/>
    <m/>
    <m/>
    <n v="97750000"/>
    <n v="97750000"/>
    <n v="0"/>
    <n v="0"/>
    <n v="29026"/>
    <d v="2026-01-14T00:00:00"/>
    <n v="96050000"/>
    <n v="1700000"/>
    <n v="15626"/>
    <d v="2026-01-21T00:00:00"/>
    <n v="96050000"/>
    <n v="1700000"/>
    <n v="0"/>
    <s v="SANCHEZ GRANADOS SOFIA"/>
    <m/>
    <n v="96333333"/>
    <m/>
    <m/>
    <m/>
    <n v="2550000"/>
    <n v="2550000"/>
    <m/>
    <n v="8500000"/>
    <n v="8500000"/>
    <n v="-283333"/>
    <n v="8500000"/>
    <n v="8500000"/>
    <m/>
    <m/>
    <m/>
    <m/>
    <m/>
    <m/>
    <m/>
    <m/>
    <m/>
    <m/>
    <m/>
    <m/>
    <m/>
    <m/>
    <m/>
    <m/>
    <m/>
    <m/>
    <m/>
    <m/>
    <m/>
    <m/>
    <m/>
    <m/>
    <n v="96050000"/>
    <n v="19550000"/>
    <n v="19550000"/>
    <n v="76500000"/>
    <n v="0"/>
  </r>
  <r>
    <x v="0"/>
    <x v="7"/>
    <s v="Implementación de una solución integral para el acceso a los datos y a la información oportuna y de calidad del sector minero energético a nivel nacional"/>
    <s v="Gestión de la Información"/>
    <s v="Sí"/>
    <s v="Sí"/>
    <n v="68"/>
    <s v="131-20"/>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20 Prestación de servicios profesionales orientados al fortalecimiento de la política MIPG de Gestión de Información Estadística, así como al mejoramiento continuo de registros administrativos y operaciones estadísticas."/>
    <s v="Enero "/>
    <s v="Enero "/>
    <s v="Enero "/>
    <n v="11"/>
    <s v="Meses"/>
    <s v="Contratación directa - Prestación de servicios profesionales "/>
    <s v="Propios - 20 - Ingresos corrientes"/>
    <n v="48400000"/>
    <n v="48400000"/>
    <s v="No"/>
    <s v="N/A"/>
    <s v="Guillermo Holguin"/>
    <s v="Subdirector de Gestión de la Información"/>
    <n v="6012220601"/>
    <s v="guillermo.holguin@upme.gov.co"/>
    <n v="48400000"/>
    <n v="0"/>
    <n v="0"/>
    <n v="1100000"/>
    <n v="0"/>
    <n v="4400000"/>
    <n v="0"/>
    <n v="4400000"/>
    <n v="0"/>
    <n v="4400000"/>
    <n v="0"/>
    <n v="4400000"/>
    <n v="0"/>
    <n v="4400000"/>
    <n v="0"/>
    <n v="4400000"/>
    <n v="0"/>
    <n v="4400000"/>
    <n v="0"/>
    <n v="4400000"/>
    <n v="0"/>
    <n v="4400000"/>
    <n v="0"/>
    <n v="7700000"/>
    <n v="48400000"/>
    <n v="48400000"/>
    <n v="0"/>
    <n v="0"/>
    <s v="Prestación de servicios profesionales orientados al fortalecimiento de la política MIPG de Gestión de Información Estadística, así como al mejoramiento continuo de registros administrativos y operaciones estadísticas."/>
    <n v="48400000"/>
    <m/>
    <m/>
    <n v="1100000"/>
    <m/>
    <n v="4400000"/>
    <m/>
    <n v="4400000"/>
    <m/>
    <n v="4400000"/>
    <m/>
    <n v="4400000"/>
    <m/>
    <n v="4400000"/>
    <m/>
    <n v="4400000"/>
    <m/>
    <n v="4400000"/>
    <m/>
    <n v="4400000"/>
    <m/>
    <n v="4400000"/>
    <m/>
    <n v="7700000"/>
    <m/>
    <m/>
    <n v="48400000"/>
    <n v="48400000"/>
    <n v="0"/>
    <n v="0"/>
    <n v="28726"/>
    <d v="2026-01-14T00:00:00"/>
    <n v="48400000"/>
    <n v="0"/>
    <n v="21126"/>
    <d v="2026-01-26T00:00:00"/>
    <n v="48400000"/>
    <n v="0"/>
    <n v="0"/>
    <s v="AVENDAÑO SUAREZ JUAN LIBARDO"/>
    <s v="CO1.PCCNTR.9050247"/>
    <n v="48400000"/>
    <m/>
    <m/>
    <m/>
    <m/>
    <m/>
    <m/>
    <n v="4986667"/>
    <n v="4986667"/>
    <m/>
    <n v="4400000"/>
    <n v="4400000"/>
    <m/>
    <m/>
    <m/>
    <m/>
    <m/>
    <m/>
    <m/>
    <m/>
    <m/>
    <m/>
    <m/>
    <m/>
    <m/>
    <m/>
    <m/>
    <m/>
    <m/>
    <m/>
    <m/>
    <m/>
    <m/>
    <m/>
    <m/>
    <m/>
    <n v="48400000"/>
    <n v="9386667"/>
    <n v="9386667"/>
    <n v="39013333"/>
    <n v="0"/>
  </r>
  <r>
    <x v="0"/>
    <x v="7"/>
    <s v="Implementación de una solución integral para el acceso a los datos y a la información oportuna y de calidad del sector minero energético a nivel nacional"/>
    <s v="Gestión de la Información"/>
    <s v="Sí"/>
    <s v="Sí"/>
    <n v="68"/>
    <s v="131-21"/>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21 Prestar los servicios profesionales en el proceso de gestión documental en la implementación del Plan Institucional de Archivos – PINAR y en la gestión de los recursos bibliográficos a través de la biblioteca digital de la UPME para vigencia 2026."/>
    <s v="Enero "/>
    <s v="Enero "/>
    <s v="Enero "/>
    <n v="6"/>
    <s v="Meses"/>
    <s v="Contratación directa - Prestación de servicios profesionales "/>
    <s v="Propios - 20 - Ingresos corrientes"/>
    <n v="40360560"/>
    <n v="40360560"/>
    <s v="No"/>
    <s v="N/A"/>
    <s v="Guillermo Holguin"/>
    <s v="Subdirector de Gestión de la Información"/>
    <n v="6012220601"/>
    <s v="guillermo.holguin@upme.gov.co"/>
    <n v="40360560"/>
    <n v="0"/>
    <n v="0"/>
    <n v="3363380"/>
    <n v="0"/>
    <n v="6726760"/>
    <n v="0"/>
    <n v="6726760"/>
    <n v="0"/>
    <n v="6726760"/>
    <n v="0"/>
    <n v="6726760"/>
    <n v="0"/>
    <n v="6726760"/>
    <n v="0"/>
    <n v="3363380"/>
    <n v="0"/>
    <n v="0"/>
    <n v="0"/>
    <n v="0"/>
    <n v="0"/>
    <n v="0"/>
    <n v="0"/>
    <n v="0"/>
    <n v="40360560"/>
    <n v="40360560"/>
    <n v="0"/>
    <n v="0"/>
    <s v="Prestar los servicios profesionales en el proceso de gestión documental en la implementación del Plan Institucional de Archivos – PINAR y en la gestión de los recursos bibliográficos a través de la biblioteca digital de la UPME para vigencia 2026."/>
    <n v="40360560"/>
    <m/>
    <m/>
    <n v="3363380"/>
    <m/>
    <n v="6726760"/>
    <m/>
    <n v="6726760"/>
    <m/>
    <n v="6726760"/>
    <m/>
    <n v="6726760"/>
    <m/>
    <n v="6726760"/>
    <m/>
    <n v="3363380"/>
    <m/>
    <m/>
    <m/>
    <m/>
    <m/>
    <m/>
    <m/>
    <m/>
    <m/>
    <m/>
    <n v="40360560"/>
    <n v="40360560"/>
    <n v="0"/>
    <n v="0"/>
    <n v="20626"/>
    <d v="2026-01-11T00:00:00"/>
    <n v="40360560"/>
    <n v="0"/>
    <n v="25826"/>
    <d v="2026-01-28T00:00:00"/>
    <n v="40360560"/>
    <n v="0"/>
    <n v="0"/>
    <s v="ESTUPIÑAN HURTADO NUBIA MARINA"/>
    <s v="CO1.PCCNTR.9117441"/>
    <n v="40360560"/>
    <m/>
    <m/>
    <m/>
    <m/>
    <m/>
    <m/>
    <n v="7175210"/>
    <n v="7175210"/>
    <m/>
    <n v="6726760"/>
    <n v="6726760"/>
    <m/>
    <m/>
    <m/>
    <m/>
    <m/>
    <m/>
    <m/>
    <m/>
    <m/>
    <m/>
    <m/>
    <m/>
    <m/>
    <m/>
    <m/>
    <m/>
    <m/>
    <m/>
    <m/>
    <m/>
    <m/>
    <m/>
    <m/>
    <m/>
    <n v="40360560"/>
    <n v="13901970"/>
    <n v="13901970"/>
    <n v="26458590"/>
    <n v="0"/>
  </r>
  <r>
    <x v="0"/>
    <x v="7"/>
    <s v="Implementación de una solución integral para el acceso a los datos y a la información oportuna y de calidad del sector minero energético a nivel nacional"/>
    <s v="Gestión de la Información"/>
    <s v="Sí"/>
    <s v="Sí"/>
    <n v="22"/>
    <s v="131-22"/>
    <s v="Mejorar la calidad de la información producida por el sector minero energético."/>
    <s v="Documentos de Lineamientos Técnicos para la Producción de Información del Sector con Estándares de Calidad"/>
    <s v="Documento con la descripción de procesos, métodos y herramientas."/>
    <n v="81112003"/>
    <s v="C-2106-1900-14-53105B-2106010-02"/>
    <x v="10"/>
    <s v="131-22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3704440"/>
    <n v="3704440"/>
    <s v="No"/>
    <s v="N/A"/>
    <s v="Guillermo Holguin"/>
    <s v="Subdirector de Gestión de la Información"/>
    <n v="6012220601"/>
    <s v="guillermo.holguin@upme.gov.co"/>
    <n v="0"/>
    <n v="0"/>
    <n v="0"/>
    <n v="0"/>
    <n v="0"/>
    <n v="0"/>
    <n v="3704440"/>
    <n v="0"/>
    <n v="0"/>
    <n v="3704440"/>
    <n v="0"/>
    <n v="0"/>
    <n v="0"/>
    <n v="0"/>
    <n v="0"/>
    <n v="0"/>
    <n v="0"/>
    <n v="0"/>
    <n v="0"/>
    <n v="0"/>
    <n v="0"/>
    <n v="0"/>
    <n v="0"/>
    <n v="0"/>
    <n v="3704440"/>
    <n v="3704440"/>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3704440"/>
    <n v="0"/>
    <n v="0"/>
    <n v="0"/>
    <n v="0"/>
    <n v="3704440"/>
    <n v="0"/>
    <n v="0"/>
    <n v="0"/>
    <n v="0"/>
    <n v="0"/>
    <n v="0"/>
    <n v="0"/>
    <n v="0"/>
    <n v="0"/>
    <n v="0"/>
    <m/>
    <m/>
    <n v="3704440"/>
    <n v="3704440"/>
    <n v="0"/>
    <n v="0"/>
    <m/>
    <m/>
    <m/>
    <n v="3704440"/>
    <m/>
    <m/>
    <n v="0"/>
    <n v="370444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8"/>
    <s v="131-23"/>
    <s v="Mejorar la calidad de la información producida por el sector minero energético."/>
    <s v="Servicio de Información Actualizado para el Análisis y Toma de Decisiones Estratégicas del Sector"/>
    <s v="Diseño técnico y funcional."/>
    <n v="80111620"/>
    <s v="C-2106-1900-14-53105B-2106033-02"/>
    <x v="0"/>
    <s v="131-23 Prestación de servicios profesionales orientados a definir, estructurar y apoyar la implementación de modelos de analítica de datos e inteligencia artificial que permitan identificar patrones, tendencias y correlaciones significativas, utilizando h"/>
    <s v="Enero "/>
    <s v="Enero "/>
    <s v="Enero "/>
    <n v="11.5"/>
    <s v="Meses"/>
    <s v="Contratación directa - Prestación de servicios profesionales "/>
    <s v="Propios - 20 - Ingresos corrientes"/>
    <n v="63250000"/>
    <n v="63250000"/>
    <s v="No"/>
    <s v="N/A"/>
    <s v="Guillermo Holguin"/>
    <s v="Subdirector de Gestión de la Información"/>
    <n v="6012220601"/>
    <s v="guillermo.holguin@upme.gov.co"/>
    <n v="63250000"/>
    <n v="0"/>
    <n v="0"/>
    <n v="2750000"/>
    <n v="0"/>
    <n v="5500000"/>
    <n v="0"/>
    <n v="5500000"/>
    <n v="0"/>
    <n v="5500000"/>
    <n v="0"/>
    <n v="5500000"/>
    <n v="0"/>
    <n v="5500000"/>
    <n v="0"/>
    <n v="5500000"/>
    <n v="0"/>
    <n v="5500000"/>
    <n v="0"/>
    <n v="5500000"/>
    <n v="0"/>
    <n v="5500000"/>
    <n v="0"/>
    <n v="11000000"/>
    <n v="63250000"/>
    <n v="63250000"/>
    <n v="0"/>
    <n v="0"/>
    <s v="Prestación de servicios profesionales orientados a definir, estructurar y apoyar la implementación de modelos de analítica de datos e inteligencia artificial que permitan identificar patrones, tendencias y correlaciones significativas, utilizando herramie"/>
    <n v="63250000"/>
    <m/>
    <m/>
    <n v="2750000"/>
    <m/>
    <n v="5500000"/>
    <m/>
    <n v="5500000"/>
    <m/>
    <n v="5500000"/>
    <m/>
    <n v="5500000"/>
    <m/>
    <n v="5500000"/>
    <m/>
    <n v="5500000"/>
    <m/>
    <n v="5500000"/>
    <m/>
    <n v="5500000"/>
    <m/>
    <n v="5500000"/>
    <m/>
    <n v="11000000"/>
    <m/>
    <m/>
    <n v="63250000"/>
    <n v="63250000"/>
    <n v="0"/>
    <n v="0"/>
    <n v="30526"/>
    <d v="2026-01-14T00:00:00"/>
    <n v="63250000"/>
    <n v="0"/>
    <n v="23026"/>
    <d v="2026-01-27T00:00:00"/>
    <n v="63250000"/>
    <n v="0"/>
    <n v="0"/>
    <s v="GUTIERREZ RODRIGUEZ KAREN SOFIA"/>
    <s v="CO1.PCCNTR.9052807"/>
    <n v="63250000"/>
    <m/>
    <m/>
    <m/>
    <m/>
    <m/>
    <m/>
    <n v="550000"/>
    <n v="550000"/>
    <m/>
    <n v="11000000"/>
    <n v="11000000"/>
    <m/>
    <m/>
    <m/>
    <m/>
    <m/>
    <m/>
    <m/>
    <m/>
    <m/>
    <m/>
    <m/>
    <m/>
    <m/>
    <m/>
    <m/>
    <m/>
    <m/>
    <m/>
    <m/>
    <m/>
    <m/>
    <m/>
    <m/>
    <m/>
    <n v="63250000"/>
    <n v="11550000"/>
    <n v="11550000"/>
    <n v="51700000"/>
    <n v="0"/>
  </r>
  <r>
    <x v="0"/>
    <x v="7"/>
    <s v="Implementación de una solución integral para el acceso a los datos y a la información oportuna y de calidad del sector minero energético a nivel nacional"/>
    <s v="Gestión de la Información"/>
    <s v="Sí"/>
    <s v="Sí"/>
    <n v="22"/>
    <s v="131-24"/>
    <s v="Mejorar la calidad de la información producida por el sector minero energético."/>
    <s v="Servicio de Información Actualizado para el Análisis y Toma de Decisiones Estratégicas del Sector"/>
    <s v="Diseño técnico y funcional."/>
    <n v="81112003"/>
    <s v="C-2106-1900-14-53105B-2106033-02"/>
    <x v="10"/>
    <s v="131-24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12637520"/>
    <n v="12637520"/>
    <s v="No"/>
    <s v="N/A"/>
    <s v="Guillermo Holguin"/>
    <s v="Subdirector de Gestión de la Información"/>
    <n v="6012220601"/>
    <s v="guillermo.holguin@upme.gov.co"/>
    <n v="0"/>
    <n v="0"/>
    <n v="0"/>
    <n v="0"/>
    <n v="0"/>
    <n v="0"/>
    <n v="12637520"/>
    <n v="0"/>
    <n v="0"/>
    <n v="12637520"/>
    <n v="0"/>
    <n v="0"/>
    <n v="0"/>
    <n v="0"/>
    <n v="0"/>
    <n v="0"/>
    <n v="0"/>
    <n v="0"/>
    <n v="0"/>
    <n v="0"/>
    <n v="0"/>
    <n v="0"/>
    <n v="0"/>
    <n v="0"/>
    <n v="12637520"/>
    <n v="12637520"/>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12637520"/>
    <n v="0"/>
    <n v="0"/>
    <n v="0"/>
    <n v="0"/>
    <n v="12637520"/>
    <n v="0"/>
    <n v="0"/>
    <n v="0"/>
    <n v="0"/>
    <n v="0"/>
    <n v="0"/>
    <n v="0"/>
    <n v="0"/>
    <n v="0"/>
    <n v="0"/>
    <m/>
    <m/>
    <n v="12637520"/>
    <n v="12637520"/>
    <n v="0"/>
    <n v="0"/>
    <m/>
    <m/>
    <m/>
    <n v="12637520"/>
    <m/>
    <m/>
    <n v="0"/>
    <n v="1263752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2"/>
    <s v="131-25"/>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5 Prestación de servicios profesionales orientados a definir, desarrollar e implementar productos de interés sectorial a partir de la utilización de analítica de datos, que permita contribuir en el fortalecimiento de los sistemas de información de es"/>
    <s v="Enero "/>
    <s v="Enero "/>
    <s v="Enero "/>
    <n v="11"/>
    <s v="Meses"/>
    <s v="Contratación directa - Prestación de servicios profesionales "/>
    <s v="Propios - 20 - Ingresos corrientes"/>
    <n v="25228165"/>
    <n v="25228165"/>
    <s v="No"/>
    <s v="N/A"/>
    <s v="Guillermo Holguin"/>
    <s v="Subdirector de Gestión de la Información"/>
    <n v="6012220601"/>
    <s v="guillermo.holguin@upme.gov.co"/>
    <n v="0"/>
    <n v="0"/>
    <n v="0"/>
    <n v="0"/>
    <n v="0"/>
    <n v="0"/>
    <n v="0"/>
    <n v="0"/>
    <n v="0"/>
    <n v="0"/>
    <n v="0"/>
    <n v="0"/>
    <n v="0"/>
    <n v="0"/>
    <n v="44000000"/>
    <n v="0"/>
    <n v="0"/>
    <n v="0"/>
    <n v="0"/>
    <n v="0"/>
    <n v="0"/>
    <n v="0"/>
    <n v="0"/>
    <n v="44000000"/>
    <n v="44000000"/>
    <n v="44000000"/>
    <n v="-18771835"/>
    <n v="-18771835"/>
    <s v="Prestación de servicios profesionales orientados a definir, desarrollar e implementar productos de interés sectorial a partir de la utilización de analítica de datos, que permita contribuir en el fortalecimiento de los sistemas de información de este sect"/>
    <n v="0"/>
    <n v="0"/>
    <n v="0"/>
    <n v="0"/>
    <n v="0"/>
    <n v="0"/>
    <n v="0"/>
    <n v="0"/>
    <n v="0"/>
    <n v="0"/>
    <n v="0"/>
    <n v="0"/>
    <n v="0"/>
    <n v="0"/>
    <n v="0"/>
    <n v="0"/>
    <n v="25228165"/>
    <n v="0"/>
    <n v="0"/>
    <n v="0"/>
    <n v="0"/>
    <n v="25228165"/>
    <n v="0"/>
    <n v="0"/>
    <m/>
    <m/>
    <n v="25228165"/>
    <n v="25228165"/>
    <n v="0"/>
    <n v="0"/>
    <m/>
    <m/>
    <m/>
    <n v="25228165"/>
    <m/>
    <m/>
    <n v="0"/>
    <n v="25228165"/>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2"/>
    <s v="131-26"/>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6 Prestación de servicios profesionales orientados a definir, desarrollar e implementar herramientas de analítica y visualización de datos de interés sectorial, con especial énfasis en las variables del sector hidrocarburos, así como a contribuir en "/>
    <s v="Enero "/>
    <s v="Enero "/>
    <s v="Enero "/>
    <n v="11"/>
    <s v="Meses"/>
    <s v="Contratación directa - Prestación de servicios profesionales "/>
    <s v="Propios - 20 - Ingresos corrientes"/>
    <n v="81500000"/>
    <n v="81500000"/>
    <s v="No"/>
    <s v="N/A"/>
    <s v="Guillermo Holguin"/>
    <s v="Subdirector de Gestión de la Información"/>
    <n v="6012220601"/>
    <s v="guillermo.holguin@upme.gov.co"/>
    <n v="0"/>
    <n v="0"/>
    <n v="82500000"/>
    <n v="0"/>
    <n v="0"/>
    <n v="7500000"/>
    <n v="0"/>
    <n v="7500000"/>
    <n v="0"/>
    <n v="7500000"/>
    <n v="0"/>
    <n v="7500000"/>
    <n v="0"/>
    <n v="7500000"/>
    <n v="0"/>
    <n v="7500000"/>
    <n v="0"/>
    <n v="7500000"/>
    <n v="0"/>
    <n v="7500000"/>
    <n v="0"/>
    <n v="7500000"/>
    <n v="0"/>
    <n v="15000000"/>
    <n v="82500000"/>
    <n v="82500000"/>
    <n v="-1000000"/>
    <n v="-1000000"/>
    <s v="Prestación de servicios profesionales orientados a definir, desarrollar e implementar herramientas de analítica y visualización de datos de interés sectorial, con especial énfasis en las variables del sector hidrocarburos, así como a contribuir en el fort"/>
    <n v="0"/>
    <n v="0"/>
    <n v="81500000"/>
    <n v="0"/>
    <n v="0"/>
    <n v="7500000"/>
    <n v="0"/>
    <n v="7500000"/>
    <n v="0"/>
    <n v="7500000"/>
    <n v="0"/>
    <n v="7500000"/>
    <n v="0"/>
    <n v="7500000"/>
    <n v="0"/>
    <n v="7500000"/>
    <n v="0"/>
    <n v="7500000"/>
    <n v="0"/>
    <n v="7500000"/>
    <n v="0"/>
    <n v="7500000"/>
    <n v="0"/>
    <n v="14000000"/>
    <m/>
    <m/>
    <n v="81500000"/>
    <n v="81500000"/>
    <n v="0"/>
    <n v="0"/>
    <n v="56326"/>
    <d v="2026-01-22T00:00:00"/>
    <n v="81500000"/>
    <n v="0"/>
    <n v="40126"/>
    <d v="2026-02-03T00:00:00"/>
    <n v="81500000"/>
    <n v="0"/>
    <n v="0"/>
    <s v="FAJARDO GUIO LUIS FELIPE"/>
    <s v="CO1.PCCNTR.9237653"/>
    <m/>
    <m/>
    <m/>
    <n v="82500000"/>
    <m/>
    <m/>
    <n v="-1000000"/>
    <n v="6500000"/>
    <n v="6500000"/>
    <m/>
    <n v="7500000"/>
    <n v="7500000"/>
    <m/>
    <m/>
    <m/>
    <m/>
    <m/>
    <m/>
    <m/>
    <m/>
    <m/>
    <m/>
    <m/>
    <m/>
    <m/>
    <m/>
    <m/>
    <m/>
    <m/>
    <m/>
    <m/>
    <m/>
    <m/>
    <m/>
    <m/>
    <m/>
    <n v="81500000"/>
    <n v="14000000"/>
    <n v="14000000"/>
    <n v="67500000"/>
    <n v="0"/>
  </r>
  <r>
    <x v="0"/>
    <x v="7"/>
    <s v="Implementación de una solución integral para el acceso a los datos y a la información oportuna y de calidad del sector minero energético a nivel nacional"/>
    <s v="Gestión de la Información"/>
    <s v="Sí"/>
    <s v="Sí"/>
    <n v="68"/>
    <s v="131-27"/>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7 Prestación de servicios profesionales para el apoyo en la implementación efectiva de políticas y procedimientos adaptados para el cumplimiento del régimen de protección de datos personales"/>
    <s v="Enero "/>
    <s v="Enero "/>
    <s v="Enero "/>
    <n v="10.5"/>
    <s v="Meses"/>
    <s v="Contratación directa - Prestación de servicios profesionales "/>
    <s v="Propios - 20 - Ingresos corrientes"/>
    <n v="89250000"/>
    <n v="89250000"/>
    <s v="No"/>
    <s v="N/A"/>
    <s v="Guillermo Holguin"/>
    <s v="Subdirector de Gestión de la Información"/>
    <n v="6012220601"/>
    <s v="guillermo.holguin@upme.gov.co"/>
    <n v="0"/>
    <n v="0"/>
    <n v="89250000"/>
    <n v="0"/>
    <n v="0"/>
    <n v="8500000"/>
    <n v="0"/>
    <n v="8500000"/>
    <n v="0"/>
    <n v="8500000"/>
    <n v="0"/>
    <n v="8500000"/>
    <n v="0"/>
    <n v="8500000"/>
    <n v="0"/>
    <n v="8500000"/>
    <n v="0"/>
    <n v="8500000"/>
    <n v="0"/>
    <n v="8500000"/>
    <n v="0"/>
    <n v="8500000"/>
    <n v="0"/>
    <n v="12750000"/>
    <n v="89250000"/>
    <n v="89250000"/>
    <n v="0"/>
    <n v="0"/>
    <s v="Prestación de servicios profesionales para el apoyo en la implementación efectiva de políticas y procedimientos adaptados para el cumplimiento del régimen de protección de datos personales"/>
    <m/>
    <m/>
    <n v="89250000"/>
    <m/>
    <m/>
    <n v="8500000"/>
    <m/>
    <n v="8500000"/>
    <m/>
    <n v="8500000"/>
    <m/>
    <n v="8500000"/>
    <m/>
    <n v="8500000"/>
    <m/>
    <n v="8500000"/>
    <m/>
    <n v="8500000"/>
    <m/>
    <n v="8500000"/>
    <m/>
    <n v="8500000"/>
    <m/>
    <n v="12750000"/>
    <m/>
    <m/>
    <n v="89250000"/>
    <n v="89250000"/>
    <n v="0"/>
    <n v="0"/>
    <n v="55926"/>
    <d v="2026-01-22T00:00:00"/>
    <n v="89250000"/>
    <n v="0"/>
    <n v="38026"/>
    <d v="2026-02-02T00:00:00"/>
    <n v="89250000"/>
    <n v="0"/>
    <n v="0"/>
    <s v="CARBONO CARBONO DAYANA"/>
    <s v="CO1.PCCNTR.9161489"/>
    <m/>
    <m/>
    <m/>
    <n v="89250000"/>
    <m/>
    <m/>
    <m/>
    <n v="7933333"/>
    <n v="7933333"/>
    <m/>
    <n v="8500000"/>
    <n v="8500000"/>
    <m/>
    <m/>
    <m/>
    <m/>
    <m/>
    <m/>
    <m/>
    <m/>
    <m/>
    <m/>
    <m/>
    <m/>
    <m/>
    <m/>
    <m/>
    <m/>
    <m/>
    <m/>
    <m/>
    <m/>
    <m/>
    <m/>
    <m/>
    <m/>
    <n v="89250000"/>
    <n v="16433333"/>
    <n v="16433333"/>
    <n v="72816667"/>
    <n v="0"/>
  </r>
  <r>
    <x v="0"/>
    <x v="7"/>
    <s v="Implementación de una solución integral para el acceso a los datos y a la información oportuna y de calidad del sector minero energético a nivel nacional"/>
    <s v="Gestión de la Información"/>
    <s v="Sí"/>
    <s v="Sí"/>
    <n v="22"/>
    <s v="131-28"/>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8 Prestación de servicios profesionales orientados a definir, estructurar, implementar y gestionar la carga y manejo de datos para el desarrollo de modelos de analítica de datos aplicados al sector minero energético, garantizando la identificación de"/>
    <s v="Enero "/>
    <s v="Enero "/>
    <s v="Enero "/>
    <n v="11.5"/>
    <s v="Meses"/>
    <s v="Contratación directa - Prestación de servicios profesionales "/>
    <s v="Propios - 20 - Ingresos corrientes"/>
    <n v="74120000"/>
    <n v="74120000"/>
    <s v="No"/>
    <s v="N/A"/>
    <s v="Guillermo Holguin"/>
    <s v="Subdirector de Gestión de la Información"/>
    <n v="6012220601"/>
    <s v="guillermo.holguin@upme.gov.co"/>
    <n v="0"/>
    <n v="0"/>
    <n v="78200000"/>
    <n v="0"/>
    <n v="0"/>
    <n v="6800000"/>
    <n v="0"/>
    <n v="6800000"/>
    <n v="0"/>
    <n v="6800000"/>
    <n v="0"/>
    <n v="6800000"/>
    <n v="0"/>
    <n v="6800000"/>
    <n v="0"/>
    <n v="6800000"/>
    <n v="0"/>
    <n v="6800000"/>
    <n v="0"/>
    <n v="6800000"/>
    <n v="0"/>
    <n v="6800000"/>
    <n v="0"/>
    <n v="17000000"/>
    <n v="78200000"/>
    <n v="78200000"/>
    <n v="-4080000"/>
    <n v="-4080000"/>
    <s v="Prestación de servicios profesionales orientados a definir, estructurar, implementar y gestionar la carga y manejo de datos para el desarrollo de modelos de analítica de datos aplicados al sector minero energético, garantizando la identificación de patron"/>
    <n v="0"/>
    <n v="0"/>
    <n v="74120000"/>
    <n v="0"/>
    <n v="0"/>
    <n v="6800000"/>
    <n v="0"/>
    <n v="6800000"/>
    <n v="0"/>
    <n v="6800000"/>
    <n v="0"/>
    <n v="6800000"/>
    <n v="0"/>
    <n v="6800000"/>
    <n v="0"/>
    <n v="6800000"/>
    <n v="0"/>
    <n v="6800000"/>
    <n v="0"/>
    <n v="6800000"/>
    <n v="0"/>
    <n v="6800000"/>
    <n v="0"/>
    <n v="12920000"/>
    <m/>
    <m/>
    <n v="74120000"/>
    <n v="74120000"/>
    <n v="0"/>
    <n v="0"/>
    <n v="29526"/>
    <d v="2026-01-14T00:00:00"/>
    <n v="74120000"/>
    <n v="0"/>
    <n v="38326"/>
    <d v="2026-02-03T00:00:00"/>
    <n v="74120000"/>
    <n v="0"/>
    <n v="0"/>
    <s v="SANCHEZ DAZA JESUS EDUARDO"/>
    <s v="No. CO1.PCCNTR.9181173"/>
    <m/>
    <m/>
    <m/>
    <n v="78200000"/>
    <m/>
    <m/>
    <n v="-4080000"/>
    <n v="6120000"/>
    <n v="6120000"/>
    <m/>
    <n v="6800000"/>
    <n v="6800000"/>
    <m/>
    <m/>
    <m/>
    <m/>
    <m/>
    <m/>
    <m/>
    <m/>
    <m/>
    <m/>
    <m/>
    <m/>
    <m/>
    <m/>
    <m/>
    <m/>
    <m/>
    <m/>
    <m/>
    <m/>
    <m/>
    <m/>
    <m/>
    <m/>
    <n v="74120000"/>
    <n v="12920000"/>
    <n v="12920000"/>
    <n v="61200000"/>
    <n v="0"/>
  </r>
  <r>
    <x v="0"/>
    <x v="7"/>
    <s v="Implementación de una solución integral para el acceso a los datos y a la información oportuna y de calidad del sector minero energético a nivel nacional"/>
    <s v="Gestión de la Información"/>
    <s v="Sí"/>
    <s v="Sí"/>
    <n v="22"/>
    <s v="131-29"/>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9 Prestación de servicios profesionales orientados a la realización de labores de analítica de datos para las principales variables del sector minero energético, garantizando calidad en los datos."/>
    <s v="Enero "/>
    <s v="Enero "/>
    <s v="Enero "/>
    <n v="11"/>
    <s v="Meses"/>
    <s v="Contratación directa - Prestación de servicios profesionales "/>
    <s v="Propios - 20 - Ingresos corrientes"/>
    <n v="35154315"/>
    <n v="35154315"/>
    <s v="No"/>
    <s v="N/A"/>
    <s v="Guillermo Holguin"/>
    <s v="Subdirector de Gestión de la Información"/>
    <n v="6012220601"/>
    <s v="guillermo.holguin@upme.gov.co"/>
    <n v="0"/>
    <n v="0"/>
    <n v="36139950"/>
    <n v="0"/>
    <n v="0"/>
    <n v="3285450"/>
    <n v="0"/>
    <n v="3285450"/>
    <n v="0"/>
    <n v="3285450"/>
    <n v="0"/>
    <n v="3285450"/>
    <n v="0"/>
    <n v="3285450"/>
    <n v="2360050"/>
    <n v="3285450"/>
    <n v="0"/>
    <n v="3285450"/>
    <n v="0"/>
    <n v="3285450"/>
    <n v="0"/>
    <n v="3285450"/>
    <n v="0"/>
    <n v="8930950"/>
    <n v="38500000"/>
    <n v="38500000"/>
    <n v="-3345685"/>
    <n v="-3345685"/>
    <s v="Prestación de servicios profesionales orientados a la realización de labores de analítica de datos para las principales variables del sector minero energético, garantizando calidad en los datos."/>
    <n v="0"/>
    <n v="0"/>
    <n v="35154315"/>
    <n v="0"/>
    <n v="0"/>
    <n v="3285450"/>
    <n v="0"/>
    <n v="3285450"/>
    <n v="0"/>
    <n v="3285450"/>
    <n v="0"/>
    <n v="3285450"/>
    <n v="0"/>
    <n v="3285450"/>
    <n v="0"/>
    <n v="3285450"/>
    <n v="0"/>
    <n v="3285450"/>
    <n v="0"/>
    <n v="3285450"/>
    <n v="0"/>
    <n v="3285450"/>
    <n v="0"/>
    <n v="5585265"/>
    <m/>
    <m/>
    <n v="35154315"/>
    <n v="35154315"/>
    <n v="0"/>
    <n v="0"/>
    <n v="54526"/>
    <d v="2026-01-21T00:00:00"/>
    <n v="35154315"/>
    <n v="0"/>
    <n v="50526"/>
    <d v="2026-02-09T00:00:00"/>
    <n v="35154315"/>
    <n v="0"/>
    <n v="0"/>
    <s v="MARTINEZ PEREZ EDUARDO"/>
    <s v="CO1.PCCNTR.9294468"/>
    <m/>
    <m/>
    <m/>
    <n v="36139950"/>
    <m/>
    <m/>
    <n v="-985635"/>
    <n v="2299815"/>
    <n v="2299815"/>
    <m/>
    <n v="3285450"/>
    <n v="3285450"/>
    <m/>
    <m/>
    <m/>
    <m/>
    <m/>
    <m/>
    <m/>
    <m/>
    <m/>
    <m/>
    <m/>
    <m/>
    <m/>
    <m/>
    <m/>
    <m/>
    <m/>
    <m/>
    <m/>
    <m/>
    <m/>
    <m/>
    <m/>
    <m/>
    <n v="35154315"/>
    <n v="5585265"/>
    <n v="5585265"/>
    <n v="29569050"/>
    <n v="0"/>
  </r>
  <r>
    <x v="0"/>
    <x v="7"/>
    <s v="Implementación de una solución integral para el acceso a los datos y a la información oportuna y de calidad del sector minero energético a nivel nacional"/>
    <s v="Gestión de la Información"/>
    <s v="Sí"/>
    <s v="Sí"/>
    <n v="68"/>
    <s v="131-30"/>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0 Prestación de servicios profesionales orientados a la realización de analítica de datos y modelos para las principales variables del sector minero energético, garantizando la identificación de patrones, tendencias y correlaciones significativas uti"/>
    <s v="Enero "/>
    <s v="Enero "/>
    <s v="Enero "/>
    <n v="11"/>
    <s v="Meses"/>
    <s v="Contratación directa - Prestación de servicios profesionales "/>
    <s v="Propios - 20 - Ingresos corrientes"/>
    <n v="55000000"/>
    <n v="55000000"/>
    <s v="No"/>
    <s v="N/A"/>
    <s v="Guillermo Holguin"/>
    <s v="Subdirector de Gestión de la Información"/>
    <n v="6012220601"/>
    <s v="guillermo.holguin@upme.gov.co"/>
    <n v="0"/>
    <n v="0"/>
    <n v="0"/>
    <n v="0"/>
    <n v="0"/>
    <n v="0"/>
    <n v="0"/>
    <n v="0"/>
    <n v="0"/>
    <n v="0"/>
    <n v="0"/>
    <n v="0"/>
    <n v="0"/>
    <n v="0"/>
    <n v="55000000"/>
    <n v="0"/>
    <n v="0"/>
    <n v="0"/>
    <n v="0"/>
    <n v="0"/>
    <n v="0"/>
    <n v="0"/>
    <n v="0"/>
    <n v="55000000"/>
    <n v="55000000"/>
    <n v="55000000"/>
    <n v="0"/>
    <n v="0"/>
    <s v="Prestación de servicios profesionales orientados a la realización de analítica de datos y modelos para las principales variables del sector minero energético, garantizando la identificación de patrones, tendencias y correlaciones significativas utilizando"/>
    <m/>
    <m/>
    <m/>
    <m/>
    <m/>
    <m/>
    <m/>
    <m/>
    <m/>
    <m/>
    <m/>
    <m/>
    <m/>
    <m/>
    <n v="55000000"/>
    <m/>
    <m/>
    <m/>
    <m/>
    <m/>
    <m/>
    <m/>
    <m/>
    <n v="55000000"/>
    <m/>
    <m/>
    <n v="55000000"/>
    <n v="55000000"/>
    <n v="0"/>
    <n v="0"/>
    <n v="63326"/>
    <d v="2026-01-23T00:00:00"/>
    <n v="0"/>
    <n v="55000000"/>
    <m/>
    <m/>
    <n v="0"/>
    <n v="550000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2"/>
    <s v="131-31"/>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1 Prestación de servicios profesionales para diseñar, documentar y mantener la arquitectura de datos institucional, incluyendo modelos conceptuales, lógicos y físicos, así como la implementación de interoperabilidades y del Data Warehouse/Data Lake, "/>
    <s v="Enero "/>
    <s v="Enero "/>
    <s v="Enero "/>
    <n v="11"/>
    <s v="Meses"/>
    <s v="Contratación directa - Prestación de servicios profesionales "/>
    <s v="Propios - 20 - Ingresos corrientes"/>
    <n v="80000000"/>
    <n v="80000000"/>
    <s v="No"/>
    <s v="N/A"/>
    <s v="Guillermo Holguin"/>
    <s v="Subdirector de Gestión de la Información"/>
    <n v="6012220601"/>
    <s v="guillermo.holguin@upme.gov.co"/>
    <n v="80000000"/>
    <n v="0"/>
    <n v="0"/>
    <n v="500000"/>
    <n v="0"/>
    <n v="7500000"/>
    <n v="0"/>
    <n v="7500000"/>
    <n v="0"/>
    <n v="7500000"/>
    <n v="0"/>
    <n v="7500000"/>
    <n v="0"/>
    <n v="7500000"/>
    <n v="500000"/>
    <n v="7500000"/>
    <n v="0"/>
    <n v="7500000"/>
    <n v="0"/>
    <n v="7500000"/>
    <n v="0"/>
    <n v="7500000"/>
    <n v="0"/>
    <n v="12500000"/>
    <n v="80500000"/>
    <n v="80500000"/>
    <n v="-500000"/>
    <n v="-500000"/>
    <s v="Prestación de servicios profesionales para diseñar, documentar y mantener la arquitectura de datos institucional, incluyendo modelos conceptuales, lógicos y físicos, así como la implementación de interoperabilidades y del Data Warehouse/Data Lake, asegura"/>
    <n v="80000000"/>
    <n v="0"/>
    <n v="0"/>
    <n v="500000"/>
    <n v="0"/>
    <n v="7500000"/>
    <n v="0"/>
    <n v="7500000"/>
    <n v="0"/>
    <n v="7500000"/>
    <n v="0"/>
    <n v="7500000"/>
    <n v="0"/>
    <n v="7500000"/>
    <n v="0"/>
    <n v="7500000"/>
    <n v="0"/>
    <n v="7500000"/>
    <n v="0"/>
    <n v="7500000"/>
    <n v="0"/>
    <n v="7500000"/>
    <n v="0"/>
    <n v="12000000"/>
    <m/>
    <m/>
    <n v="80000000"/>
    <n v="80000000"/>
    <n v="0"/>
    <n v="0"/>
    <n v="31726"/>
    <d v="2026-01-14T00:00:00"/>
    <n v="80000000"/>
    <n v="0"/>
    <n v="36226"/>
    <d v="2026-01-30T00:00:00"/>
    <n v="80000000"/>
    <n v="0"/>
    <n v="0"/>
    <s v="SANTAMARIA MOSQUERA WILSON DIDIER"/>
    <s v="CO1.PCCNTR.9179134"/>
    <n v="80000000"/>
    <m/>
    <m/>
    <m/>
    <m/>
    <m/>
    <m/>
    <n v="7250000"/>
    <n v="7250000"/>
    <m/>
    <n v="7500000"/>
    <n v="7500000"/>
    <m/>
    <m/>
    <m/>
    <m/>
    <m/>
    <m/>
    <m/>
    <m/>
    <m/>
    <m/>
    <m/>
    <m/>
    <m/>
    <m/>
    <m/>
    <m/>
    <m/>
    <m/>
    <m/>
    <m/>
    <m/>
    <m/>
    <m/>
    <m/>
    <n v="80000000"/>
    <n v="14750000"/>
    <n v="14750000"/>
    <n v="65250000"/>
    <n v="0"/>
  </r>
  <r>
    <x v="0"/>
    <x v="7"/>
    <s v="Implementación de una solución integral para el acceso a los datos y a la información oportuna y de calidad del sector minero energético a nivel nacional"/>
    <s v="Gestión de la Información"/>
    <s v="Sí"/>
    <s v="Sí"/>
    <n v="6"/>
    <s v="131-32"/>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2 Prestación de servicios profesionales para la recopilación, análisis, depuración y reporte de datos y planes minerenergéticos, con especial énfasis en variables hidrocarburíferas a nivel nacional e internacional."/>
    <s v="Enero "/>
    <s v="Enero "/>
    <s v="Enero "/>
    <n v="11"/>
    <s v="Meses"/>
    <s v="Contratación directa - Prestación de servicios profesionales "/>
    <s v="Propios - 20 - Ingresos corrientes"/>
    <n v="55000000"/>
    <n v="55000000"/>
    <s v="No"/>
    <s v="N/A"/>
    <s v="Guillermo Holguin"/>
    <s v="Subdirector de Gestión de la Información"/>
    <n v="6012220601"/>
    <s v="guillermo.holguin@upme.gov.co"/>
    <n v="0"/>
    <n v="0"/>
    <n v="55000000"/>
    <n v="0"/>
    <n v="0"/>
    <n v="9500000"/>
    <n v="0"/>
    <n v="9500000"/>
    <n v="0"/>
    <n v="9500000"/>
    <n v="0"/>
    <n v="9500000"/>
    <n v="0"/>
    <n v="9500000"/>
    <n v="0"/>
    <n v="7500000"/>
    <n v="0"/>
    <n v="0"/>
    <n v="0"/>
    <n v="0"/>
    <n v="0"/>
    <n v="0"/>
    <n v="0"/>
    <n v="0"/>
    <n v="55000000"/>
    <n v="55000000"/>
    <n v="0"/>
    <n v="0"/>
    <s v="Prestación de servicios profesionales para la recopilación, análisis, depuración y reporte de datos y planes minerenergéticos, con especial énfasis en variables hidrocarburíferas a nivel nacional e internacional."/>
    <m/>
    <m/>
    <n v="55000000"/>
    <m/>
    <m/>
    <n v="9500000"/>
    <m/>
    <n v="9500000"/>
    <m/>
    <n v="9500000"/>
    <m/>
    <n v="9500000"/>
    <m/>
    <n v="9500000"/>
    <m/>
    <n v="7500000"/>
    <m/>
    <m/>
    <m/>
    <m/>
    <m/>
    <m/>
    <m/>
    <m/>
    <m/>
    <m/>
    <n v="55000000"/>
    <n v="55000000"/>
    <n v="0"/>
    <n v="0"/>
    <n v="63126"/>
    <d v="2026-01-23T00:00:00"/>
    <n v="55000000"/>
    <n v="0"/>
    <n v="37726"/>
    <d v="2026-02-02T00:00:00"/>
    <n v="55000000"/>
    <n v="0"/>
    <n v="0"/>
    <s v="BELTRAN MORATTO MAGDA LILIANA"/>
    <s v="CO1.PCCNTR.9160784"/>
    <m/>
    <m/>
    <m/>
    <n v="55000000"/>
    <m/>
    <m/>
    <m/>
    <n v="8866667"/>
    <n v="8866667"/>
    <m/>
    <n v="9500000"/>
    <n v="9500000"/>
    <m/>
    <m/>
    <m/>
    <m/>
    <m/>
    <m/>
    <m/>
    <m/>
    <m/>
    <m/>
    <m/>
    <m/>
    <m/>
    <m/>
    <m/>
    <m/>
    <m/>
    <m/>
    <m/>
    <m/>
    <m/>
    <m/>
    <m/>
    <m/>
    <n v="55000000"/>
    <n v="18366667"/>
    <n v="18366667"/>
    <n v="36633333"/>
    <n v="0"/>
  </r>
  <r>
    <x v="0"/>
    <x v="7"/>
    <s v="Implementación de una solución integral para el acceso a los datos y a la información oportuna y de calidad del sector minero energético a nivel nacional"/>
    <s v="Gestión de la Información"/>
    <s v="Sí"/>
    <s v="Sí"/>
    <n v="68"/>
    <s v="131-33"/>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3 Prestación de servicios profesionales para la gestión de procesos contractuales asociados al proyecto de inversión ejecutado por la Subdirección de Gestión de la Información, así como al ciclo de formulación, seguimiento y reporte de los instrument"/>
    <s v="Enero "/>
    <s v="Enero "/>
    <s v="Enero "/>
    <n v="11.5"/>
    <s v="Meses"/>
    <s v="Contratación directa - Prestación de servicios profesionales "/>
    <s v="Propios - 20 - Ingresos corrientes"/>
    <n v="92000000"/>
    <n v="92000000"/>
    <s v="No"/>
    <s v="N/A"/>
    <s v="Guillermo Holguin"/>
    <s v="Subdirector de Gestión de la Información"/>
    <n v="6012220601"/>
    <s v="guillermo.holguin@upme.gov.co"/>
    <n v="92000000"/>
    <n v="0"/>
    <n v="0"/>
    <n v="4000000"/>
    <n v="0"/>
    <n v="8000000"/>
    <n v="0"/>
    <n v="8000000"/>
    <n v="0"/>
    <n v="8000000"/>
    <n v="0"/>
    <n v="8000000"/>
    <n v="0"/>
    <n v="8000000"/>
    <n v="0"/>
    <n v="8000000"/>
    <n v="0"/>
    <n v="8000000"/>
    <n v="0"/>
    <n v="8000000"/>
    <n v="0"/>
    <n v="8000000"/>
    <n v="0"/>
    <n v="16000000"/>
    <n v="92000000"/>
    <n v="92000000"/>
    <n v="0"/>
    <n v="0"/>
    <s v="Prestación de servicios profesionales para la gestión de procesos contractuales asociados al proyecto de inversión ejecutado por la Subdirección de Gestión de la Información, así como al ciclo de formulación, seguimiento y reporte de los instrumentos de p"/>
    <n v="92000000"/>
    <m/>
    <m/>
    <n v="4000000"/>
    <m/>
    <n v="8000000"/>
    <m/>
    <n v="8000000"/>
    <m/>
    <n v="8000000"/>
    <m/>
    <n v="8000000"/>
    <m/>
    <n v="8000000"/>
    <m/>
    <n v="8000000"/>
    <m/>
    <n v="8000000"/>
    <m/>
    <n v="8000000"/>
    <m/>
    <n v="8000000"/>
    <m/>
    <n v="16000000"/>
    <m/>
    <m/>
    <n v="92000000"/>
    <n v="92000000"/>
    <n v="0"/>
    <n v="0"/>
    <n v="13426"/>
    <d v="2026-01-08T00:00:00"/>
    <n v="92000000"/>
    <n v="0"/>
    <n v="8226"/>
    <d v="2026-01-13T00:00:00"/>
    <n v="92000000"/>
    <n v="0"/>
    <n v="0"/>
    <s v="KUARAN LUQUEZ ARUCI MAURICIO"/>
    <s v="CO1.PCCNTR.8820080"/>
    <n v="92000000"/>
    <m/>
    <m/>
    <m/>
    <n v="4533333"/>
    <n v="4533333"/>
    <m/>
    <n v="8000000"/>
    <n v="8000000"/>
    <m/>
    <n v="8000000"/>
    <n v="8000000"/>
    <m/>
    <m/>
    <m/>
    <m/>
    <m/>
    <m/>
    <m/>
    <m/>
    <m/>
    <m/>
    <m/>
    <m/>
    <m/>
    <m/>
    <m/>
    <m/>
    <m/>
    <m/>
    <m/>
    <m/>
    <m/>
    <m/>
    <m/>
    <m/>
    <n v="92000000"/>
    <n v="20533333"/>
    <n v="20533333"/>
    <n v="71466667"/>
    <n v="0"/>
  </r>
  <r>
    <x v="0"/>
    <x v="7"/>
    <s v="Implementación de una solución integral para el acceso a los datos y a la información oportuna y de calidad del sector minero energético a nivel nacional"/>
    <s v="Gestión de la Información"/>
    <s v="Sí"/>
    <s v="Sí"/>
    <n v="68"/>
    <s v="131-34"/>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4 Prestación de servicios profesionales para la proyección oportuna y eficiente de los actos administrativos y memorandos de la Subdirección de Gestión de la Información, así como para el apoyo en la gestión contractual y documental de la dependencia"/>
    <s v="Enero "/>
    <s v="Enero "/>
    <s v="Enero "/>
    <n v="10"/>
    <s v="Meses"/>
    <s v="Contratación directa - Prestación de servicios profesionales "/>
    <s v="Propios - 20 - Ingresos corrientes"/>
    <n v="60000000"/>
    <n v="60000000"/>
    <s v="No"/>
    <s v="N/A"/>
    <s v="Guillermo Holguin"/>
    <s v="Subdirector de Gestión de la Información"/>
    <n v="6012220601"/>
    <s v="guillermo.holguin@upme.gov.co"/>
    <n v="60000000"/>
    <n v="0"/>
    <n v="0"/>
    <n v="600000"/>
    <n v="0"/>
    <n v="6000000"/>
    <n v="0"/>
    <n v="6000000"/>
    <n v="0"/>
    <n v="6000000"/>
    <n v="0"/>
    <n v="6000000"/>
    <n v="0"/>
    <n v="6000000"/>
    <n v="0"/>
    <n v="6000000"/>
    <n v="0"/>
    <n v="6000000"/>
    <n v="0"/>
    <n v="6000000"/>
    <n v="0"/>
    <n v="6000000"/>
    <n v="0"/>
    <n v="5400000"/>
    <n v="60000000"/>
    <n v="60000000"/>
    <n v="0"/>
    <n v="0"/>
    <s v="Prestación de servicios profesionales para la proyección oportuna y eficiente de los actos administrativos y memorandos de la Subdirección de Gestión de la Información, así como para el apoyo en la gestión contractual y documental de la dependencia y el s"/>
    <n v="60000000"/>
    <m/>
    <m/>
    <n v="600000"/>
    <m/>
    <n v="6000000"/>
    <m/>
    <n v="6000000"/>
    <m/>
    <n v="6000000"/>
    <m/>
    <n v="6000000"/>
    <m/>
    <n v="6000000"/>
    <m/>
    <n v="6000000"/>
    <m/>
    <n v="6000000"/>
    <m/>
    <n v="6000000"/>
    <m/>
    <n v="6000000"/>
    <m/>
    <n v="5400000"/>
    <m/>
    <m/>
    <n v="60000000"/>
    <n v="60000000"/>
    <n v="0"/>
    <n v="0"/>
    <n v="16026"/>
    <d v="2026-01-09T00:00:00"/>
    <n v="60000000"/>
    <n v="0"/>
    <n v="29226"/>
    <d v="2026-01-28T00:00:00"/>
    <n v="60000000"/>
    <n v="0"/>
    <n v="0"/>
    <s v="DURANGO SAEZ LINA MARIA"/>
    <s v="CO1.PCCNTR.9070639"/>
    <n v="60000000"/>
    <m/>
    <m/>
    <m/>
    <m/>
    <m/>
    <m/>
    <m/>
    <m/>
    <m/>
    <n v="12400000"/>
    <n v="12400000"/>
    <m/>
    <m/>
    <m/>
    <m/>
    <m/>
    <m/>
    <m/>
    <m/>
    <m/>
    <m/>
    <m/>
    <m/>
    <m/>
    <m/>
    <m/>
    <m/>
    <m/>
    <m/>
    <m/>
    <m/>
    <m/>
    <m/>
    <m/>
    <m/>
    <n v="60000000"/>
    <n v="12400000"/>
    <n v="12400000"/>
    <n v="47600000"/>
    <n v="0"/>
  </r>
  <r>
    <x v="0"/>
    <x v="7"/>
    <s v="Implementación de una solución integral para el acceso a los datos y a la información oportuna y de calidad del sector minero energético a nivel nacional"/>
    <s v="Gestión de la Información"/>
    <s v="Sí"/>
    <s v="Sí"/>
    <n v="22"/>
    <s v="131-35"/>
    <s v="Mejorar la calidad de la información producida por el sector minero energético."/>
    <s v="Servicio de Información Actualizado para el Análisis y Toma de Decisiones Estratégicas del Sector"/>
    <s v="Pruebas y aseguramiento de calidad."/>
    <s v="43201800;43233405;43212201"/>
    <s v="C-2106-1900-14-53105B-2106033-02"/>
    <x v="1"/>
    <s v="131-35 Adquirir el licenciamiento por suscripción para Plataforma de virtualización y almacenamiento en nube incluyendo la adquisición del hardware para Computación y Storage que soporta esta solución de Hiperconvergencia."/>
    <s v="Abril"/>
    <s v="Abril"/>
    <s v="Mayo"/>
    <n v="12"/>
    <s v="Meses"/>
    <s v="Contratación régimen especial (con ofertas)  - Régimen especial "/>
    <s v="Propios - 20 - Ingresos corrientes"/>
    <n v="100000000"/>
    <n v="100000000"/>
    <s v="No"/>
    <s v="N/A"/>
    <s v="Guillermo Holguin"/>
    <s v="Subdirector de Gestión de la Información"/>
    <n v="6012220601"/>
    <s v="guillermo.holguin@upme.gov.co"/>
    <n v="0"/>
    <n v="0"/>
    <n v="0"/>
    <n v="0"/>
    <n v="0"/>
    <n v="0"/>
    <n v="0"/>
    <n v="0"/>
    <n v="0"/>
    <n v="0"/>
    <n v="0"/>
    <n v="0"/>
    <n v="70000000"/>
    <n v="0"/>
    <n v="0"/>
    <n v="0"/>
    <n v="0"/>
    <n v="0"/>
    <n v="0"/>
    <n v="0"/>
    <n v="0"/>
    <n v="0"/>
    <n v="0"/>
    <n v="70000000"/>
    <n v="70000000"/>
    <n v="70000000"/>
    <n v="30000000"/>
    <n v="30000000"/>
    <s v="Adquirir el licenciamiento por suscripción para Plataforma de virtualización y almacenamiento en nube incluyendo la adquisición del hardware para Computación y Storage que soporta esta solución de Hiperconvergencia."/>
    <n v="0"/>
    <n v="0"/>
    <n v="0"/>
    <n v="0"/>
    <n v="0"/>
    <n v="0"/>
    <n v="0"/>
    <n v="0"/>
    <n v="100000000"/>
    <n v="0"/>
    <n v="0"/>
    <n v="100000000"/>
    <n v="0"/>
    <n v="0"/>
    <n v="0"/>
    <n v="0"/>
    <n v="0"/>
    <n v="0"/>
    <n v="0"/>
    <n v="0"/>
    <n v="0"/>
    <n v="0"/>
    <n v="0"/>
    <n v="0"/>
    <m/>
    <m/>
    <n v="100000000"/>
    <n v="100000000"/>
    <n v="0"/>
    <n v="0"/>
    <n v="19026"/>
    <d v="2026-01-11T00:00:00"/>
    <n v="0"/>
    <n v="100000000"/>
    <m/>
    <m/>
    <n v="0"/>
    <n v="1000000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2"/>
    <s v="131-36"/>
    <s v="Mejorar la calidad de la información producida por el sector minero energético."/>
    <s v="Servicio de Información Actualizado para el Análisis y Toma de Decisiones Estratégicas del Sector"/>
    <s v="Pruebas y aseguramiento de calidad."/>
    <n v="81112003"/>
    <s v="C-2106-1900-14-53105B-2106033-02"/>
    <x v="10"/>
    <s v="131-36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4119272"/>
    <n v="4119272"/>
    <s v="No"/>
    <s v="N/A"/>
    <s v="Guillermo Holguin"/>
    <s v="Subdirector de Gestión de la Información"/>
    <n v="6012220601"/>
    <s v="guillermo.holguin@upme.gov.co"/>
    <n v="0"/>
    <n v="0"/>
    <n v="0"/>
    <n v="0"/>
    <n v="0"/>
    <n v="0"/>
    <n v="4119272"/>
    <n v="0"/>
    <n v="0"/>
    <n v="4119272"/>
    <n v="0"/>
    <n v="0"/>
    <n v="0"/>
    <n v="0"/>
    <n v="0"/>
    <n v="0"/>
    <n v="0"/>
    <n v="0"/>
    <n v="0"/>
    <n v="0"/>
    <n v="0"/>
    <n v="0"/>
    <n v="0"/>
    <n v="0"/>
    <n v="4119272"/>
    <n v="4119272"/>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4119272"/>
    <n v="0"/>
    <n v="0"/>
    <n v="0"/>
    <n v="0"/>
    <n v="4119272"/>
    <n v="0"/>
    <n v="0"/>
    <n v="0"/>
    <n v="0"/>
    <n v="0"/>
    <n v="0"/>
    <n v="0"/>
    <n v="0"/>
    <n v="0"/>
    <n v="0"/>
    <m/>
    <m/>
    <n v="4119272"/>
    <n v="4119272"/>
    <n v="0"/>
    <n v="0"/>
    <m/>
    <m/>
    <m/>
    <n v="4119272"/>
    <m/>
    <m/>
    <n v="0"/>
    <n v="4119272"/>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8"/>
    <s v="131-37"/>
    <s v="Implementar una adecuada estrategia de comunicación y divulgación de la información del sector minero energético."/>
    <s v="Servicio de Información Implementado para la Accesibilidad Sectorial"/>
    <s v="Desarrollo"/>
    <n v="80111620"/>
    <s v="C-2106-1900-14-53105B-2106034-02"/>
    <x v="0"/>
    <s v="131-37 Prestación de servicios profesionales para el diseño, desarrollo e implementación de mejoras y requerimientos en los portales institucionales, la Intranet y las aplicaciones web de la UPME, asegurando la planeación, coordinación y articulación con "/>
    <s v="Enero "/>
    <s v="Enero "/>
    <s v="Enero "/>
    <n v="11.5"/>
    <s v="Meses"/>
    <s v="Contratación directa - Prestación de servicios profesionales "/>
    <s v="Propios - 20 - Ingresos corrientes"/>
    <n v="138000000"/>
    <n v="138000000"/>
    <s v="No"/>
    <s v="N/A"/>
    <s v="Guillermo Holguin"/>
    <s v="Subdirector de Gestión de la Información"/>
    <n v="6012220601"/>
    <s v="guillermo.holguin@upme.gov.co"/>
    <n v="120750000"/>
    <n v="0"/>
    <n v="0"/>
    <n v="0"/>
    <n v="0"/>
    <n v="10500000"/>
    <n v="0"/>
    <n v="10500000"/>
    <n v="0"/>
    <n v="10500000"/>
    <n v="0"/>
    <n v="10500000"/>
    <n v="0"/>
    <n v="10500000"/>
    <n v="17250000"/>
    <n v="10500000"/>
    <n v="0"/>
    <n v="10500000"/>
    <n v="0"/>
    <n v="10500000"/>
    <n v="0"/>
    <n v="10500000"/>
    <n v="0"/>
    <n v="43500000"/>
    <n v="138000000"/>
    <n v="138000000"/>
    <n v="0"/>
    <n v="0"/>
    <s v="Prestación de servicios profesionales para el diseño, desarrollo e implementación de mejoras y requerimientos en los portales institucionales, la Intranet y las aplicaciones web de la UPME, asegurando la planeación, coordinación y articulación con las áre"/>
    <n v="120750000"/>
    <m/>
    <m/>
    <m/>
    <m/>
    <n v="10500000"/>
    <m/>
    <n v="10500000"/>
    <m/>
    <n v="10500000"/>
    <m/>
    <n v="10500000"/>
    <m/>
    <n v="10500000"/>
    <n v="17250000"/>
    <n v="10500000"/>
    <m/>
    <n v="10500000"/>
    <m/>
    <n v="10500000"/>
    <m/>
    <n v="10500000"/>
    <m/>
    <n v="43500000"/>
    <m/>
    <m/>
    <n v="138000000"/>
    <n v="138000000"/>
    <n v="0"/>
    <n v="0"/>
    <n v="14826"/>
    <d v="2026-01-09T00:00:00"/>
    <n v="117250000"/>
    <n v="20750000"/>
    <n v="18526"/>
    <d v="2026-01-23T00:00:00"/>
    <n v="117250000"/>
    <n v="20750000"/>
    <n v="0"/>
    <s v="BERMUDEZ AURA"/>
    <s v="CO1.PCCNTR.8996779."/>
    <n v="120750000"/>
    <m/>
    <m/>
    <m/>
    <n v="1750000"/>
    <n v="1750000"/>
    <n v="-3500000"/>
    <n v="10500000"/>
    <n v="10500000"/>
    <m/>
    <n v="10500000"/>
    <n v="10500000"/>
    <m/>
    <m/>
    <m/>
    <m/>
    <m/>
    <m/>
    <m/>
    <m/>
    <m/>
    <m/>
    <m/>
    <m/>
    <m/>
    <m/>
    <m/>
    <m/>
    <m/>
    <m/>
    <m/>
    <m/>
    <m/>
    <m/>
    <m/>
    <m/>
    <n v="117250000"/>
    <n v="22750000"/>
    <n v="22750000"/>
    <n v="94500000"/>
    <n v="0"/>
  </r>
  <r>
    <x v="0"/>
    <x v="7"/>
    <s v="Implementación de una solución integral para el acceso a los datos y a la información oportuna y de calidad del sector minero energético a nivel nacional"/>
    <s v="Gestión de la Información"/>
    <s v="Sí"/>
    <s v="Sí"/>
    <n v="68"/>
    <s v="131-38"/>
    <s v="Implementar una adecuada estrategia de comunicación y divulgación de la información del sector minero energético."/>
    <s v="Servicio de Información Implementado para la Accesibilidad Sectorial"/>
    <s v="Desarrollo"/>
    <n v="80111620"/>
    <s v="C-2106-1900-14-53105B-2106034-02"/>
    <x v="0"/>
    <s v="131-38 Prestación de servicios profesionales para el desarrollo, actualización, integración y mantenimiento de los portales institucionales, sistemas de información y aplicaciones web de la UPME, incorporando componentes de backend, servicios API y estruc"/>
    <s v="Enero "/>
    <s v="Enero "/>
    <s v="Enero "/>
    <n v="11"/>
    <s v="Meses"/>
    <s v="Contratación directa - Prestación de servicios profesionales "/>
    <s v="Propios - 20 - Ingresos corrientes"/>
    <n v="80850000"/>
    <n v="80850000"/>
    <s v="No"/>
    <s v="N/A"/>
    <s v="Guillermo Holguin"/>
    <s v="Subdirector de Gestión de la Información"/>
    <n v="6012220601"/>
    <s v="guillermo.holguin@upme.gov.co"/>
    <n v="80850000"/>
    <n v="0"/>
    <n v="0"/>
    <n v="1837500"/>
    <n v="0"/>
    <n v="7350000"/>
    <n v="0"/>
    <n v="7350000"/>
    <n v="0"/>
    <n v="7350000"/>
    <n v="0"/>
    <n v="7350000"/>
    <n v="0"/>
    <n v="7350000"/>
    <n v="0"/>
    <n v="7350000"/>
    <n v="0"/>
    <n v="7350000"/>
    <n v="0"/>
    <n v="7350000"/>
    <n v="0"/>
    <n v="7350000"/>
    <n v="0"/>
    <n v="12862500"/>
    <n v="80850000"/>
    <n v="80850000"/>
    <n v="0"/>
    <n v="0"/>
    <s v="Prestación de servicios profesionales para el desarrollo, actualización, integración y mantenimiento de los portales institucionales, sistemas de información y aplicaciones web de la UPME, incorporando componentes de backend, servicios API y estructuras d"/>
    <n v="80850000"/>
    <m/>
    <m/>
    <n v="1837500"/>
    <m/>
    <n v="7350000"/>
    <m/>
    <n v="7350000"/>
    <m/>
    <n v="7350000"/>
    <m/>
    <n v="7350000"/>
    <m/>
    <n v="7350000"/>
    <m/>
    <n v="7350000"/>
    <m/>
    <n v="7350000"/>
    <m/>
    <n v="7350000"/>
    <m/>
    <n v="7350000"/>
    <m/>
    <n v="12862500"/>
    <m/>
    <m/>
    <n v="80850000"/>
    <n v="80850000"/>
    <n v="0"/>
    <n v="0"/>
    <n v="25326"/>
    <d v="2026-01-13T00:00:00"/>
    <n v="80850000"/>
    <n v="0"/>
    <n v="24326"/>
    <d v="2026-01-27T00:00:00"/>
    <n v="80850000"/>
    <n v="0"/>
    <n v="0"/>
    <s v="PEÑA MENESES JOSE DANIEL"/>
    <s v="CO1.PCCNTR.9059126"/>
    <n v="80850000"/>
    <m/>
    <m/>
    <m/>
    <m/>
    <m/>
    <m/>
    <n v="8085000"/>
    <n v="8085000"/>
    <m/>
    <n v="7350000"/>
    <n v="7350000"/>
    <m/>
    <m/>
    <m/>
    <m/>
    <m/>
    <m/>
    <m/>
    <m/>
    <m/>
    <m/>
    <m/>
    <m/>
    <m/>
    <m/>
    <m/>
    <m/>
    <m/>
    <m/>
    <m/>
    <m/>
    <m/>
    <m/>
    <m/>
    <m/>
    <n v="80850000"/>
    <n v="15435000"/>
    <n v="15435000"/>
    <n v="65415000"/>
    <n v="0"/>
  </r>
  <r>
    <x v="0"/>
    <x v="7"/>
    <s v="Implementación de una solución integral para el acceso a los datos y a la información oportuna y de calidad del sector minero energético a nivel nacional"/>
    <s v="Gestión de la Información"/>
    <s v="Sí"/>
    <s v="Sí"/>
    <n v="22"/>
    <s v="131-39"/>
    <s v="Implementar una adecuada estrategia de comunicación y divulgación de la información del sector minero energético."/>
    <s v="Servicio de Información Implementado para la Accesibilidad Sectorial"/>
    <s v="Desarrollo"/>
    <n v="81112003"/>
    <s v="C-2106-1900-14-53105B-2106034-02"/>
    <x v="10"/>
    <s v="131-39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0 - Ingresos corrientes"/>
    <n v="16380041"/>
    <n v="16380041"/>
    <s v="No"/>
    <s v="N/A"/>
    <s v="Guillermo Holguin"/>
    <s v="Subdirector de Gestión de la Información"/>
    <n v="6012220601"/>
    <s v="guillermo.holguin@upme.gov.co"/>
    <n v="0"/>
    <n v="0"/>
    <n v="0"/>
    <n v="0"/>
    <n v="0"/>
    <n v="0"/>
    <n v="16380041"/>
    <n v="0"/>
    <n v="0"/>
    <n v="16380041"/>
    <n v="0"/>
    <n v="0"/>
    <n v="0"/>
    <n v="0"/>
    <n v="0"/>
    <n v="0"/>
    <n v="0"/>
    <n v="0"/>
    <n v="0"/>
    <n v="0"/>
    <n v="0"/>
    <n v="0"/>
    <n v="0"/>
    <n v="0"/>
    <n v="16380041"/>
    <n v="16380041"/>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16380041"/>
    <n v="0"/>
    <n v="0"/>
    <n v="0"/>
    <n v="0"/>
    <n v="16380041"/>
    <n v="0"/>
    <n v="0"/>
    <n v="0"/>
    <n v="0"/>
    <n v="0"/>
    <n v="0"/>
    <n v="0"/>
    <n v="0"/>
    <n v="0"/>
    <n v="0"/>
    <m/>
    <m/>
    <n v="16380041"/>
    <n v="16380041"/>
    <n v="0"/>
    <n v="0"/>
    <m/>
    <m/>
    <m/>
    <n v="16380041"/>
    <m/>
    <m/>
    <n v="0"/>
    <n v="16380041"/>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2"/>
    <s v="131-40"/>
    <s v="Implementar una adecuada estrategia de comunicación y divulgación de la información del sector minero energético."/>
    <s v="Servicio de Información Implementado para la Accesibilidad Sectorial"/>
    <s v="Desarrollo"/>
    <n v="81112003"/>
    <s v="C-2106-1900-14-53105B-2106034-02"/>
    <x v="10"/>
    <s v="131-40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1 - Otros recursos de tesorería"/>
    <n v="174384"/>
    <n v="174384"/>
    <s v="No"/>
    <s v="N/A"/>
    <s v="Guillermo Holguin"/>
    <s v="Subdirector de Gestión de la Información"/>
    <n v="6012220601"/>
    <s v="guillermo.holguin@upme.gov.co"/>
    <n v="0"/>
    <n v="0"/>
    <n v="0"/>
    <n v="0"/>
    <n v="0"/>
    <n v="0"/>
    <n v="174384"/>
    <n v="0"/>
    <n v="0"/>
    <n v="174384"/>
    <n v="0"/>
    <n v="0"/>
    <n v="0"/>
    <n v="0"/>
    <n v="0"/>
    <n v="0"/>
    <n v="0"/>
    <n v="0"/>
    <n v="0"/>
    <n v="0"/>
    <n v="0"/>
    <n v="0"/>
    <n v="0"/>
    <n v="0"/>
    <n v="174384"/>
    <n v="174384"/>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174384"/>
    <n v="0"/>
    <n v="0"/>
    <n v="0"/>
    <n v="0"/>
    <n v="174384"/>
    <n v="0"/>
    <n v="0"/>
    <n v="0"/>
    <n v="0"/>
    <n v="0"/>
    <n v="0"/>
    <n v="0"/>
    <n v="0"/>
    <n v="0"/>
    <n v="0"/>
    <m/>
    <m/>
    <n v="174384"/>
    <n v="174384"/>
    <n v="0"/>
    <n v="0"/>
    <m/>
    <m/>
    <m/>
    <n v="174384"/>
    <m/>
    <m/>
    <n v="0"/>
    <n v="174384"/>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7"/>
    <s v="131-41"/>
    <s v="Implementar una adecuada estrategia de comunicación y divulgación de la información del sector minero energético."/>
    <s v="Servicio de Información Implementado para la Accesibilidad Sectorial"/>
    <s v="Desarrollo"/>
    <n v="80111620"/>
    <s v="C-2106-1900-14-53105B-2106034-02"/>
    <x v="0"/>
    <s v="131-41  Prestación de servicios profesionales especializados en la Subdirección de Gestión de la Información para el direccionamiento de planes, programas y proyectos institucionales asociados al ejercicio efectivo del rol como Lider de la Gestión Estraté"/>
    <s v="Enero "/>
    <s v="Enero "/>
    <s v="Enero "/>
    <n v="11"/>
    <s v="Meses"/>
    <s v="Contratación directa - Prestación de servicios profesionales "/>
    <s v="Propios - 21 - Otros recursos de tesorería"/>
    <n v="36750000"/>
    <n v="36750000"/>
    <s v="No"/>
    <s v="N/A"/>
    <s v="Guillermo Holguin"/>
    <s v="Subdirector de Gestión de la Información"/>
    <n v="6012220601"/>
    <s v="guillermo.holguin@upme.gov.co"/>
    <n v="0"/>
    <n v="0"/>
    <n v="28816667"/>
    <n v="0"/>
    <n v="0"/>
    <n v="0"/>
    <n v="0"/>
    <n v="0"/>
    <n v="0"/>
    <n v="0"/>
    <n v="0"/>
    <n v="0"/>
    <n v="0"/>
    <n v="0"/>
    <n v="7933333"/>
    <n v="0"/>
    <n v="0"/>
    <n v="8416667"/>
    <n v="0"/>
    <n v="13600000"/>
    <n v="0"/>
    <n v="13600000"/>
    <n v="0"/>
    <n v="1133333"/>
    <n v="36750000"/>
    <n v="36750000"/>
    <n v="0"/>
    <n v="0"/>
    <s v=" Prestación de servicios profesionales especializados en la Subdirección de Gestión de la Información para el direccionamiento de planes, programas y proyectos institucionales asociados al ejercicio efectivo del rol como Lider de la Gestión Estratégica de"/>
    <m/>
    <m/>
    <n v="28816667"/>
    <m/>
    <m/>
    <m/>
    <m/>
    <m/>
    <m/>
    <m/>
    <m/>
    <m/>
    <m/>
    <m/>
    <n v="7933333"/>
    <m/>
    <m/>
    <n v="8416667"/>
    <m/>
    <n v="13600000"/>
    <m/>
    <n v="13600000"/>
    <m/>
    <n v="1133333"/>
    <m/>
    <m/>
    <n v="36750000"/>
    <n v="36750000"/>
    <n v="0"/>
    <n v="0"/>
    <n v="62426"/>
    <d v="2026-01-23T00:00:00"/>
    <n v="28816667"/>
    <n v="7933333"/>
    <n v="37426"/>
    <d v="2026-02-02T00:00:00"/>
    <n v="28816667"/>
    <n v="7933333"/>
    <n v="0"/>
    <s v="REMIREZ CARRERO RICARDO HUMBERTO"/>
    <s v="CO1.PCCNTR.9158997"/>
    <m/>
    <m/>
    <m/>
    <n v="28816667"/>
    <m/>
    <m/>
    <m/>
    <m/>
    <m/>
    <m/>
    <n v="12693333.33"/>
    <n v="12693333.33"/>
    <m/>
    <m/>
    <m/>
    <m/>
    <m/>
    <m/>
    <m/>
    <m/>
    <m/>
    <m/>
    <m/>
    <m/>
    <m/>
    <m/>
    <m/>
    <m/>
    <m/>
    <m/>
    <m/>
    <m/>
    <m/>
    <m/>
    <m/>
    <m/>
    <n v="28816667"/>
    <n v="12693333.33"/>
    <n v="12693333.33"/>
    <n v="16123333.67"/>
    <n v="0"/>
  </r>
  <r>
    <x v="0"/>
    <x v="7"/>
    <s v="Implementación de una solución integral para el acceso a los datos y a la información oportuna y de calidad del sector minero energético a nivel nacional"/>
    <s v="Gestión de la Información"/>
    <s v="Sí"/>
    <s v="Sí"/>
    <n v="68"/>
    <s v="131-42"/>
    <s v="Implementar una adecuada estrategia de comunicación y divulgación de la información del sector minero energético."/>
    <s v="Servicio de Información Implementado para la Accesibilidad Sectorial"/>
    <s v="Desarrollo"/>
    <n v="80111620"/>
    <s v="C-2106-1900-14-53105B-2106034-02"/>
    <x v="0"/>
    <s v="131-42 Prestación de servicios profesionales para el diseño, desarrollo, mantenimiento y optimización de los portales institucionales, micrositios y sistemas de información administrados por la UPME, garantizando la calidad técnica, la interoperabilidad y"/>
    <s v="Enero "/>
    <s v="Enero "/>
    <s v="Enero "/>
    <n v="8"/>
    <s v="Meses"/>
    <s v="Contratación directa - Prestación de servicios profesionales "/>
    <s v="Propios - 21 - Otros recursos de tesorería"/>
    <n v="58800000"/>
    <n v="58800000"/>
    <s v="No"/>
    <s v="N/A"/>
    <s v="Guillermo Holguin"/>
    <s v="Subdirector de Gestión de la Información"/>
    <n v="6012220601"/>
    <s v="guillermo.holguin@upme.gov.co"/>
    <n v="0"/>
    <n v="0"/>
    <n v="58800000"/>
    <n v="0"/>
    <n v="0"/>
    <n v="7350000"/>
    <n v="0"/>
    <n v="7350000"/>
    <n v="0"/>
    <n v="7350000"/>
    <n v="0"/>
    <n v="7350000"/>
    <n v="0"/>
    <n v="7350000"/>
    <n v="0"/>
    <n v="7350000"/>
    <n v="0"/>
    <n v="7350000"/>
    <n v="0"/>
    <n v="7350000"/>
    <n v="0"/>
    <n v="0"/>
    <n v="0"/>
    <n v="0"/>
    <n v="58800000"/>
    <n v="58800000"/>
    <n v="0"/>
    <n v="0"/>
    <s v="Prestación de servicios profesionales para el diseño, desarrollo, mantenimiento y optimización de los portales institucionales, micrositios y sistemas de información administrados por la UPME, garantizando la calidad técnica, la interoperabilidad y la ade"/>
    <m/>
    <m/>
    <n v="58800000"/>
    <m/>
    <m/>
    <n v="7350000"/>
    <m/>
    <n v="7350000"/>
    <m/>
    <n v="7350000"/>
    <m/>
    <n v="7350000"/>
    <m/>
    <n v="7350000"/>
    <m/>
    <n v="7350000"/>
    <m/>
    <n v="7350000"/>
    <m/>
    <n v="7350000"/>
    <m/>
    <m/>
    <m/>
    <m/>
    <m/>
    <m/>
    <n v="58800000"/>
    <n v="58800000"/>
    <n v="0"/>
    <n v="0"/>
    <n v="59026"/>
    <d v="2026-01-23T00:00:00"/>
    <n v="49000000"/>
    <n v="9800000"/>
    <n v="47026"/>
    <d v="2026-02-06T00:00:00"/>
    <n v="49000000"/>
    <n v="9800000"/>
    <n v="0"/>
    <s v="OSCAR EDUARDO BLUM CARRERO"/>
    <s v="CO1.PCCNTR.9238055"/>
    <m/>
    <m/>
    <m/>
    <n v="49000000"/>
    <m/>
    <m/>
    <m/>
    <n v="5133333"/>
    <n v="5133333"/>
    <m/>
    <n v="7000000"/>
    <n v="7000000"/>
    <m/>
    <m/>
    <m/>
    <m/>
    <m/>
    <m/>
    <m/>
    <m/>
    <m/>
    <m/>
    <m/>
    <m/>
    <m/>
    <m/>
    <m/>
    <m/>
    <m/>
    <m/>
    <m/>
    <m/>
    <m/>
    <m/>
    <m/>
    <m/>
    <n v="49000000"/>
    <n v="12133333"/>
    <n v="12133333"/>
    <n v="36866667"/>
    <n v="0"/>
  </r>
  <r>
    <x v="0"/>
    <x v="7"/>
    <s v="Implementación de una solución integral para el acceso a los datos y a la información oportuna y de calidad del sector minero energético a nivel nacional"/>
    <s v="Gestión de la Información"/>
    <s v="Sí"/>
    <s v="Sí"/>
    <n v="68"/>
    <s v="131-43"/>
    <s v="Implementar una adecuada estrategia de comunicación y divulgación de la información del sector minero energético."/>
    <s v="Servicio de Información Implementado para la Accesibilidad Sectorial"/>
    <s v="Desarrollo"/>
    <n v="80111620"/>
    <s v="C-2106-1900-14-53105B-2106034-02"/>
    <x v="0"/>
    <s v="131-43 Prestación de servicios profesionales para la actualización, mantenimiento y desarrollo de visores geográficos, así como el fortalecimiento del Geoportal Sectorial, la implementación de dashboards considerando especialmente las variables que integr"/>
    <s v="Enero "/>
    <s v="Enero "/>
    <s v="Enero "/>
    <n v="11.5"/>
    <s v="Meses"/>
    <s v="Contratación directa - Prestación de servicios profesionales "/>
    <s v="Propios - 21 - Otros recursos de tesorería"/>
    <n v="100050000"/>
    <n v="100050000"/>
    <s v="No"/>
    <s v="N/A"/>
    <s v="Guillermo Holguin"/>
    <s v="Subdirector de Gestión de la Información"/>
    <n v="6012220601"/>
    <s v="guillermo.holguin@upme.gov.co"/>
    <n v="100050000"/>
    <n v="0"/>
    <n v="0"/>
    <n v="4350000"/>
    <n v="0"/>
    <n v="8700000"/>
    <n v="0"/>
    <n v="8700000"/>
    <n v="0"/>
    <n v="8700000"/>
    <n v="0"/>
    <n v="8700000"/>
    <n v="0"/>
    <n v="8700000"/>
    <n v="0"/>
    <n v="8700000"/>
    <n v="0"/>
    <n v="8700000"/>
    <n v="0"/>
    <n v="8700000"/>
    <n v="0"/>
    <n v="8700000"/>
    <n v="0"/>
    <n v="17400000"/>
    <n v="100050000"/>
    <n v="100050000"/>
    <n v="0"/>
    <n v="0"/>
    <s v="Prestación de servicios profesionales para la actualización, mantenimiento y desarrollo de visores geográficos, así como el fortalecimiento del Geoportal Sectorial, la implementación de dashboards considerando especialmente las variables que integren y an"/>
    <n v="100050000"/>
    <m/>
    <m/>
    <n v="4350000"/>
    <m/>
    <n v="8700000"/>
    <m/>
    <n v="8700000"/>
    <m/>
    <n v="8700000"/>
    <m/>
    <n v="8700000"/>
    <m/>
    <n v="8700000"/>
    <m/>
    <n v="8700000"/>
    <m/>
    <n v="8700000"/>
    <m/>
    <n v="8700000"/>
    <m/>
    <n v="8700000"/>
    <m/>
    <n v="17400000"/>
    <m/>
    <m/>
    <n v="100050000"/>
    <n v="100050000"/>
    <n v="0"/>
    <n v="0"/>
    <n v="15026"/>
    <d v="2026-01-09T00:00:00"/>
    <n v="100050000"/>
    <n v="0"/>
    <n v="29126"/>
    <d v="2026-01-28T00:00:00"/>
    <n v="100050000"/>
    <n v="0"/>
    <n v="0"/>
    <s v="GARCIA VARGAS JULIETH MARCELA"/>
    <s v="CO1.PCCNTR.9067100"/>
    <n v="100050000"/>
    <m/>
    <m/>
    <m/>
    <n v="580000"/>
    <n v="580000"/>
    <m/>
    <n v="8700000"/>
    <n v="8700000"/>
    <m/>
    <n v="8700000"/>
    <n v="8700000"/>
    <m/>
    <m/>
    <m/>
    <m/>
    <m/>
    <m/>
    <m/>
    <m/>
    <m/>
    <m/>
    <m/>
    <m/>
    <m/>
    <m/>
    <m/>
    <m/>
    <m/>
    <m/>
    <m/>
    <m/>
    <m/>
    <m/>
    <m/>
    <m/>
    <n v="100050000"/>
    <n v="17980000"/>
    <n v="17980000"/>
    <n v="82070000"/>
    <n v="0"/>
  </r>
  <r>
    <x v="0"/>
    <x v="7"/>
    <s v="Implementación de una solución integral para el acceso a los datos y a la información oportuna y de calidad del sector minero energético a nivel nacional"/>
    <s v="Gestión de la Información"/>
    <s v="Sí"/>
    <s v="Sí"/>
    <n v="68"/>
    <s v="131-44"/>
    <s v="Implementar una adecuada estrategia de comunicación y divulgación de la información del sector minero energético."/>
    <s v="Servicio de Información Implementado para la Accesibilidad Sectorial"/>
    <s v="Desarrollo"/>
    <n v="80111620"/>
    <s v="C-2106-1900-14-53105B-2106034-02"/>
    <x v="0"/>
    <s v="131-44 Prestación de servicios de apoyo a la gestión para el análisis, integración y modelamiento de información geoespacial relacionada con la generación de energía a partir de fuentes no convencionales y renovables (FNCER), apoyando la planeación energé"/>
    <s v="Enero "/>
    <s v="Enero "/>
    <s v="Enero "/>
    <n v="11"/>
    <s v="Meses"/>
    <s v="Contratación directa - Prestación de servicios profesionales "/>
    <s v="Propios - 21 - Otros recursos de tesorería"/>
    <n v="25740000"/>
    <n v="25740000"/>
    <s v="No"/>
    <s v="N/A"/>
    <s v="Guillermo Holguin"/>
    <s v="Subdirector de Gestión de la Información"/>
    <n v="6012220601"/>
    <s v="guillermo.holguin@upme.gov.co"/>
    <n v="0"/>
    <n v="0"/>
    <n v="25740000"/>
    <n v="0"/>
    <n v="0"/>
    <n v="2340000"/>
    <n v="0"/>
    <n v="2340000"/>
    <n v="0"/>
    <n v="2340000"/>
    <n v="0"/>
    <n v="2340000"/>
    <n v="0"/>
    <n v="2340000"/>
    <n v="0"/>
    <n v="2340000"/>
    <n v="0"/>
    <n v="2340000"/>
    <n v="0"/>
    <n v="2340000"/>
    <n v="0"/>
    <n v="2340000"/>
    <n v="0"/>
    <n v="4680000"/>
    <n v="25740000"/>
    <n v="25740000"/>
    <n v="0"/>
    <n v="0"/>
    <s v="Prestación de servicios de apoyo a la gestión para el análisis, integración y modelamiento de información geoespacial relacionada con la generación de energía a partir de fuentes no convencionales y renovables (FNCER), apoyando la planeación energética me"/>
    <m/>
    <m/>
    <n v="25740000"/>
    <m/>
    <m/>
    <n v="2340000"/>
    <m/>
    <n v="2340000"/>
    <m/>
    <n v="2340000"/>
    <m/>
    <n v="2340000"/>
    <m/>
    <n v="2340000"/>
    <m/>
    <n v="2340000"/>
    <m/>
    <n v="2340000"/>
    <m/>
    <n v="2340000"/>
    <m/>
    <n v="2340000"/>
    <m/>
    <n v="4680000"/>
    <m/>
    <m/>
    <n v="25740000"/>
    <n v="25740000"/>
    <n v="0"/>
    <n v="0"/>
    <n v="29926"/>
    <d v="2026-01-14T00:00:00"/>
    <n v="25740000"/>
    <n v="0"/>
    <n v="40226"/>
    <d v="2026-02-03T00:00:00"/>
    <n v="25740000"/>
    <n v="0"/>
    <n v="0"/>
    <s v="VIDES ORTIZ ELIAS DAVID"/>
    <s v="CO1.PCCNTR.9244551"/>
    <m/>
    <m/>
    <m/>
    <n v="25740000"/>
    <m/>
    <m/>
    <m/>
    <n v="2028000"/>
    <n v="2028000"/>
    <m/>
    <n v="2340000"/>
    <n v="2340000"/>
    <m/>
    <m/>
    <m/>
    <m/>
    <m/>
    <m/>
    <m/>
    <m/>
    <m/>
    <m/>
    <m/>
    <m/>
    <m/>
    <m/>
    <m/>
    <m/>
    <m/>
    <m/>
    <m/>
    <m/>
    <m/>
    <m/>
    <m/>
    <m/>
    <n v="25740000"/>
    <n v="4368000"/>
    <n v="4368000"/>
    <n v="21372000"/>
    <n v="0"/>
  </r>
  <r>
    <x v="0"/>
    <x v="7"/>
    <s v="Implementación de una solución integral para el acceso a los datos y a la información oportuna y de calidad del sector minero energético a nivel nacional"/>
    <s v="Gestión de la Información"/>
    <s v="Sí"/>
    <s v="Sí"/>
    <n v="68"/>
    <s v="131-45"/>
    <s v="Implementar una adecuada estrategia de comunicación y divulgación de la información del sector minero energético."/>
    <s v="Servicio de Información Implementado para la Accesibilidad Sectorial"/>
    <s v="Desarrollo"/>
    <n v="80111620"/>
    <s v="C-2106-1900-14-53105B-2106034-02"/>
    <x v="0"/>
    <s v="131-45 Prestación de servicios profesionales para el diseño gráfico, la creación de interfaces de usuario (UI/UX), la estructuración y maquetación visual de los portales institucionales, micrositios, sistemas de información, la Intranet y demás aplicacion"/>
    <s v="Enero "/>
    <s v="Enero "/>
    <s v="Enero "/>
    <n v="9"/>
    <s v="Meses"/>
    <s v="Contratación directa - Prestación de servicios profesionales "/>
    <s v="Propios - 21 - Otros recursos de tesorería"/>
    <n v="63000000"/>
    <n v="63000000"/>
    <s v="No"/>
    <s v="N/A"/>
    <s v="Guillermo Holguin"/>
    <s v="Subdirector de Gestión de la Información"/>
    <n v="6012220601"/>
    <s v="guillermo.holguin@upme.gov.co"/>
    <n v="0"/>
    <n v="0"/>
    <n v="63000000"/>
    <n v="0"/>
    <n v="0"/>
    <n v="7000000"/>
    <n v="0"/>
    <n v="7000000"/>
    <n v="0"/>
    <n v="7000000"/>
    <n v="0"/>
    <n v="7000000"/>
    <n v="0"/>
    <n v="7000000"/>
    <n v="0"/>
    <n v="7000000"/>
    <n v="0"/>
    <n v="7000000"/>
    <n v="0"/>
    <n v="7000000"/>
    <n v="0"/>
    <n v="7000000"/>
    <n v="0"/>
    <n v="0"/>
    <n v="63000000"/>
    <n v="63000000"/>
    <n v="0"/>
    <n v="0"/>
    <s v="Prestación de servicios profesionales para el diseño gráfico, la creación de interfaces de usuario (UI/UX), la estructuración y maquetación visual de los portales institucionales, micrositios, sistemas de información, la Intranet y demás aplicaciones web "/>
    <m/>
    <m/>
    <n v="63000000"/>
    <m/>
    <m/>
    <n v="7000000"/>
    <m/>
    <n v="7000000"/>
    <m/>
    <n v="7000000"/>
    <m/>
    <n v="7000000"/>
    <m/>
    <n v="7000000"/>
    <m/>
    <n v="7000000"/>
    <m/>
    <n v="7000000"/>
    <m/>
    <n v="7000000"/>
    <m/>
    <n v="7000000"/>
    <m/>
    <m/>
    <m/>
    <m/>
    <n v="63000000"/>
    <n v="63000000"/>
    <n v="0"/>
    <n v="0"/>
    <n v="56226"/>
    <d v="2026-01-22T00:00:00"/>
    <n v="63000000"/>
    <n v="0"/>
    <n v="48026"/>
    <d v="2026-02-06T00:00:00"/>
    <n v="63000000"/>
    <n v="0"/>
    <n v="0"/>
    <s v="CHIA RODRIGUEZ JULIETH NATALIA"/>
    <s v="CO1.PCCNTR.9238011"/>
    <m/>
    <m/>
    <m/>
    <n v="63000000"/>
    <m/>
    <m/>
    <m/>
    <n v="5600000"/>
    <n v="5600000"/>
    <m/>
    <n v="7000000"/>
    <n v="7000000"/>
    <m/>
    <m/>
    <m/>
    <m/>
    <m/>
    <m/>
    <m/>
    <m/>
    <m/>
    <m/>
    <m/>
    <m/>
    <m/>
    <m/>
    <m/>
    <m/>
    <m/>
    <m/>
    <m/>
    <m/>
    <m/>
    <m/>
    <m/>
    <m/>
    <n v="63000000"/>
    <n v="12600000"/>
    <n v="12600000"/>
    <n v="50400000"/>
    <n v="0"/>
  </r>
  <r>
    <x v="0"/>
    <x v="7"/>
    <s v="Implementación de una solución integral para el acceso a los datos y a la información oportuna y de calidad del sector minero energético a nivel nacional"/>
    <s v="Gestión de la Información"/>
    <s v="Sí"/>
    <s v="Sí"/>
    <n v="68"/>
    <s v="131-46"/>
    <s v="Implementar una adecuada estrategia de comunicación y divulgación de la información del sector minero energético."/>
    <s v="Servicio de Información Implementado para la Accesibilidad Sectorial"/>
    <s v="Desarrollo"/>
    <n v="80111620"/>
    <s v="C-2106-1900-14-53105B-2106034-02"/>
    <x v="0"/>
    <s v="131-46 Prestación de servicios profesionales para el control de calidad, documentación y fortalecimiento del gobierno de datos geográficos y sectoriales de la UPME, mediante la verificación, normalización y documentación de la información geoespacial, la "/>
    <s v="Enero "/>
    <s v="Enero "/>
    <s v="Enero "/>
    <n v="11"/>
    <s v="Meses"/>
    <s v="Contratación directa - Prestación de servicios profesionales "/>
    <s v="Propios - 21 - Otros recursos de tesorería"/>
    <n v="5600000"/>
    <n v="5600000"/>
    <s v="No"/>
    <s v="N/A"/>
    <s v="Guillermo Holguin"/>
    <s v="Subdirector de Gestión de la Información"/>
    <n v="6012220601"/>
    <s v="guillermo.holguin@upme.gov.co"/>
    <n v="5600000"/>
    <n v="0"/>
    <n v="0"/>
    <n v="600000"/>
    <n v="0"/>
    <n v="5000000"/>
    <n v="0"/>
    <n v="0"/>
    <n v="0"/>
    <n v="0"/>
    <n v="0"/>
    <n v="0"/>
    <n v="0"/>
    <n v="0"/>
    <n v="0"/>
    <n v="0"/>
    <n v="0"/>
    <n v="0"/>
    <n v="0"/>
    <n v="0"/>
    <n v="0"/>
    <n v="0"/>
    <n v="0"/>
    <n v="0"/>
    <n v="5600000"/>
    <n v="5600000"/>
    <n v="0"/>
    <n v="0"/>
    <s v="Prestación de servicios profesionales para el control de calidad, documentación y fortalecimiento del gobierno de datos geográficos y sectoriales de la UPME, mediante la verificación, normalización y documentación de la información geoespacial, la gestión"/>
    <n v="5600000"/>
    <m/>
    <m/>
    <n v="600000"/>
    <m/>
    <n v="5000000"/>
    <m/>
    <m/>
    <m/>
    <m/>
    <m/>
    <m/>
    <m/>
    <m/>
    <m/>
    <m/>
    <m/>
    <m/>
    <m/>
    <m/>
    <m/>
    <m/>
    <m/>
    <m/>
    <m/>
    <m/>
    <n v="5600000"/>
    <n v="5600000"/>
    <n v="0"/>
    <n v="0"/>
    <n v="13626"/>
    <d v="2026-01-08T00:00:00"/>
    <n v="5600000"/>
    <n v="0"/>
    <n v="14426"/>
    <d v="2026-01-21T00:00:00"/>
    <n v="5600000"/>
    <n v="0"/>
    <n v="0"/>
    <s v="SIERRA BAUTISTA IVAN DARIO"/>
    <s v="CO1.PCCNTR.8965738"/>
    <n v="5600000"/>
    <m/>
    <m/>
    <m/>
    <m/>
    <m/>
    <m/>
    <m/>
    <m/>
    <m/>
    <m/>
    <m/>
    <m/>
    <m/>
    <m/>
    <m/>
    <m/>
    <m/>
    <m/>
    <m/>
    <m/>
    <m/>
    <m/>
    <m/>
    <m/>
    <m/>
    <m/>
    <m/>
    <m/>
    <m/>
    <m/>
    <m/>
    <m/>
    <m/>
    <m/>
    <m/>
    <n v="5600000"/>
    <n v="0"/>
    <n v="0"/>
    <n v="5600000"/>
    <n v="0"/>
  </r>
  <r>
    <x v="0"/>
    <x v="7"/>
    <s v="Implementación de una solución integral para el acceso a los datos y a la información oportuna y de calidad del sector minero energético a nivel nacional"/>
    <s v="Gestión de la Información"/>
    <s v="Sí"/>
    <s v="Sí"/>
    <n v="68"/>
    <s v="131-47"/>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47 Prestación de servicios profesionales para el diseño, estructuración y desarrollo visual de los portales institucionales, la Intranet y demás productos digitales de la UPME, aplicando principios de experiencia de usuario (UX/UI), accesibilidad y us"/>
    <s v="Enero "/>
    <s v="Enero "/>
    <s v="Enero "/>
    <n v="11.5"/>
    <s v="Meses"/>
    <s v="Contratación directa - Prestación de servicios profesionales "/>
    <s v="Propios - 21 - Otros recursos de tesorería"/>
    <n v="96600000"/>
    <n v="96600000"/>
    <s v="No"/>
    <s v="N/A"/>
    <s v="Guillermo Holguin"/>
    <s v="Subdirector de Gestión de la Información"/>
    <n v="6012220601"/>
    <s v="guillermo.holguin@upme.gov.co"/>
    <n v="96600000"/>
    <n v="0"/>
    <n v="0"/>
    <n v="4200000"/>
    <n v="0"/>
    <n v="8400000"/>
    <n v="0"/>
    <n v="8400000"/>
    <n v="0"/>
    <n v="8400000"/>
    <n v="0"/>
    <n v="8400000"/>
    <n v="0"/>
    <n v="8400000"/>
    <n v="0"/>
    <n v="8400000"/>
    <n v="0"/>
    <n v="8400000"/>
    <n v="0"/>
    <n v="8400000"/>
    <n v="0"/>
    <n v="8400000"/>
    <n v="0"/>
    <n v="16800000"/>
    <n v="96600000"/>
    <n v="96600000"/>
    <n v="0"/>
    <n v="0"/>
    <s v="Prestación de servicios profesionales para el diseño, estructuración y desarrollo visual de los portales institucionales, la Intranet y demás productos digitales de la UPME, aplicando principios de experiencia de usuario (UX/UI), accesibilidad y usabilida"/>
    <n v="96600000"/>
    <m/>
    <m/>
    <n v="4200000"/>
    <m/>
    <n v="8400000"/>
    <m/>
    <n v="8400000"/>
    <m/>
    <n v="8400000"/>
    <m/>
    <n v="8400000"/>
    <m/>
    <n v="8400000"/>
    <m/>
    <n v="8400000"/>
    <m/>
    <n v="8400000"/>
    <m/>
    <n v="8400000"/>
    <m/>
    <n v="8400000"/>
    <m/>
    <n v="16800000"/>
    <m/>
    <m/>
    <n v="96600000"/>
    <n v="96600000"/>
    <n v="0"/>
    <n v="0"/>
    <n v="25526"/>
    <d v="2026-01-13T00:00:00"/>
    <n v="93520000"/>
    <n v="3080000"/>
    <n v="21626"/>
    <d v="2026-01-26T00:00:00"/>
    <n v="93520000"/>
    <n v="3080000"/>
    <n v="0"/>
    <s v="ZUÑIGA BOLAÑOS JUAN MANUEL"/>
    <s v="CO1.PCCNTR.9051144"/>
    <n v="96600000"/>
    <m/>
    <m/>
    <m/>
    <n v="1120000"/>
    <n v="1120000"/>
    <n v="-3080000"/>
    <n v="8400000"/>
    <n v="8400000"/>
    <m/>
    <n v="8400000"/>
    <n v="8400000"/>
    <m/>
    <m/>
    <m/>
    <m/>
    <m/>
    <m/>
    <m/>
    <m/>
    <m/>
    <m/>
    <m/>
    <m/>
    <m/>
    <m/>
    <m/>
    <m/>
    <m/>
    <m/>
    <m/>
    <m/>
    <m/>
    <m/>
    <m/>
    <m/>
    <n v="93520000"/>
    <n v="17920000"/>
    <n v="17920000"/>
    <n v="75600000"/>
    <n v="0"/>
  </r>
  <r>
    <x v="0"/>
    <x v="7"/>
    <s v="Implementación de una solución integral para el acceso a los datos y a la información oportuna y de calidad del sector minero energético a nivel nacional"/>
    <s v="Gestión de la Información"/>
    <s v="Sí"/>
    <s v="Sí"/>
    <n v="68"/>
    <s v="131-48"/>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48 Prestación de servicios profesionales para el diseño, desarrollo y fortalecimiento de la estrategia de comunicación y divulgación de los portales interactivos, sistemas de información, trámites e instrumentos de planeación asociados a las Subdirecc"/>
    <s v="Enero "/>
    <s v="Enero "/>
    <s v="Enero "/>
    <n v="11.5"/>
    <s v="Meses"/>
    <s v="Contratación directa - Prestación de servicios profesionales "/>
    <s v="Propios - 21 - Otros recursos de tesorería"/>
    <n v="57500000"/>
    <n v="57500000"/>
    <s v="No"/>
    <s v="N/A"/>
    <s v="Guillermo Holguin"/>
    <s v="Subdirector de Gestión de la Información"/>
    <n v="6012220601"/>
    <s v="guillermo.holguin@upme.gov.co"/>
    <n v="57500000"/>
    <n v="0"/>
    <n v="0"/>
    <n v="0"/>
    <n v="0"/>
    <n v="0"/>
    <n v="0"/>
    <n v="0"/>
    <n v="0"/>
    <n v="0"/>
    <n v="0"/>
    <n v="0"/>
    <n v="0"/>
    <n v="0"/>
    <n v="0"/>
    <n v="7500000"/>
    <n v="0"/>
    <n v="10000000"/>
    <n v="0"/>
    <n v="10000000"/>
    <n v="0"/>
    <n v="10000000"/>
    <n v="0"/>
    <n v="20000000"/>
    <n v="57500000"/>
    <n v="57500000"/>
    <n v="0"/>
    <n v="0"/>
    <s v="Prestación de servicios profesionales para el diseño, desarrollo y fortalecimiento de la estrategia de comunicación y divulgación de los portales interactivos, sistemas de información, trámites e instrumentos de planeación asociados a las Subdirecciones d"/>
    <n v="57500000"/>
    <m/>
    <m/>
    <m/>
    <m/>
    <m/>
    <m/>
    <m/>
    <m/>
    <m/>
    <m/>
    <m/>
    <m/>
    <m/>
    <m/>
    <n v="7500000"/>
    <m/>
    <n v="10000000"/>
    <m/>
    <n v="10000000"/>
    <m/>
    <n v="10000000"/>
    <m/>
    <n v="20000000"/>
    <m/>
    <m/>
    <n v="57500000"/>
    <n v="57500000"/>
    <n v="0"/>
    <n v="0"/>
    <n v="29726"/>
    <d v="2026-01-14T00:00:00"/>
    <n v="55166667"/>
    <n v="2333333"/>
    <n v="16026"/>
    <d v="2026-01-22T00:00:00"/>
    <n v="55166667"/>
    <n v="2333333"/>
    <n v="0"/>
    <s v="ROJAS SOLORZANO OLGA LUCIA"/>
    <s v="CO1.PCCNTR.8992620"/>
    <n v="57500000"/>
    <m/>
    <m/>
    <m/>
    <m/>
    <m/>
    <n v="-2333333"/>
    <m/>
    <m/>
    <m/>
    <m/>
    <m/>
    <m/>
    <m/>
    <m/>
    <m/>
    <m/>
    <m/>
    <m/>
    <m/>
    <m/>
    <m/>
    <m/>
    <m/>
    <m/>
    <m/>
    <m/>
    <m/>
    <m/>
    <m/>
    <m/>
    <m/>
    <m/>
    <m/>
    <m/>
    <m/>
    <n v="55166667"/>
    <n v="0"/>
    <n v="0"/>
    <n v="55166667"/>
    <n v="0"/>
  </r>
  <r>
    <x v="0"/>
    <x v="7"/>
    <s v="Implementación de una solución integral para el acceso a los datos y a la información oportuna y de calidad del sector minero energético a nivel nacional"/>
    <s v="Gestión de la Información"/>
    <s v="Sí"/>
    <s v="Sí"/>
    <n v="68"/>
    <s v="131-49"/>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49 Prestación de servicios de apoyo técnico y funcional para la gestión, actualización, publicación y difusión de contenidos en los portales institucionales, micrositios e Intranet de la UPME, asegurando la accesibilidad de la información, la continui"/>
    <s v="Enero "/>
    <s v="Enero "/>
    <s v="Enero "/>
    <n v="11.5"/>
    <s v="Meses"/>
    <s v="Contratación directa - Prestación de servicios profesionales "/>
    <s v="Propios - 21 - Otros recursos de tesorería"/>
    <n v="50600000"/>
    <n v="50600000"/>
    <s v="No"/>
    <s v="N/A"/>
    <s v="Guillermo Holguin"/>
    <s v="Subdirector de Gestión de la Información"/>
    <n v="6012220601"/>
    <s v="guillermo.holguin@upme.gov.co"/>
    <n v="50600000"/>
    <n v="0"/>
    <n v="0"/>
    <n v="2200000"/>
    <n v="0"/>
    <n v="4400000"/>
    <n v="0"/>
    <n v="4400000"/>
    <n v="0"/>
    <n v="4400000"/>
    <n v="0"/>
    <n v="4400000"/>
    <n v="0"/>
    <n v="4400000"/>
    <n v="0"/>
    <n v="4400000"/>
    <n v="0"/>
    <n v="4400000"/>
    <n v="0"/>
    <n v="4400000"/>
    <n v="0"/>
    <n v="4400000"/>
    <n v="0"/>
    <n v="8800000"/>
    <n v="50600000"/>
    <n v="50600000"/>
    <n v="0"/>
    <n v="0"/>
    <s v="Prestación de servicios de apoyo técnico y funcional para la gestión, actualización, publicación y difusión de contenidos en los portales institucionales, micrositios e Intranet de la UPME, asegurando la accesibilidad de la información, la continuidad ope"/>
    <n v="50600000"/>
    <m/>
    <m/>
    <n v="2200000"/>
    <m/>
    <n v="4400000"/>
    <m/>
    <n v="4400000"/>
    <m/>
    <n v="4400000"/>
    <m/>
    <n v="4400000"/>
    <m/>
    <n v="4400000"/>
    <m/>
    <n v="4400000"/>
    <m/>
    <n v="4400000"/>
    <m/>
    <n v="4400000"/>
    <m/>
    <n v="4400000"/>
    <m/>
    <n v="8800000"/>
    <m/>
    <m/>
    <n v="50600000"/>
    <n v="50600000"/>
    <n v="0"/>
    <n v="0"/>
    <n v="15326"/>
    <d v="2026-01-09T00:00:00"/>
    <n v="50600000"/>
    <n v="0"/>
    <n v="31326"/>
    <d v="2026-01-29T00:00:00"/>
    <n v="50600000"/>
    <n v="0"/>
    <n v="0"/>
    <s v="CAMARGO BERNAL RICARDO ANTONIO"/>
    <s v="CO1.PCCNTR.9060712"/>
    <n v="50600000"/>
    <m/>
    <m/>
    <m/>
    <m/>
    <m/>
    <m/>
    <n v="4546667"/>
    <n v="4546667"/>
    <m/>
    <n v="4400000"/>
    <n v="4400000"/>
    <m/>
    <m/>
    <m/>
    <m/>
    <m/>
    <m/>
    <m/>
    <m/>
    <m/>
    <m/>
    <m/>
    <m/>
    <m/>
    <m/>
    <m/>
    <m/>
    <m/>
    <m/>
    <m/>
    <m/>
    <m/>
    <m/>
    <m/>
    <m/>
    <n v="50600000"/>
    <n v="8946667"/>
    <n v="8946667"/>
    <n v="41653333"/>
    <n v="0"/>
  </r>
  <r>
    <x v="0"/>
    <x v="7"/>
    <s v="Implementación de una solución integral para el acceso a los datos y a la información oportuna y de calidad del sector minero energético a nivel nacional"/>
    <s v="Gestión de la Información"/>
    <s v="Sí"/>
    <s v="Sí"/>
    <n v="68"/>
    <s v="131-50"/>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0 Prestación de servicios profesionales para el desarrollo, actualización, mantenimiento y mejora de las soluciones web, portales institucionales, aplicaciones y sistemas de información de la UPME, garantizando el cumplimiento de los estándares de ac"/>
    <s v="Enero "/>
    <s v="Enero "/>
    <s v="Enero "/>
    <n v="11"/>
    <s v="Meses"/>
    <s v="Contratación directa - Prestación de servicios profesionales "/>
    <s v="Propios - 21 - Otros recursos de tesorería"/>
    <n v="57750000"/>
    <n v="57750000"/>
    <s v="No"/>
    <s v="N/A"/>
    <s v="Guillermo Holguin"/>
    <s v="Subdirector de Gestión de la Información"/>
    <n v="6012220601"/>
    <s v="guillermo.holguin@upme.gov.co"/>
    <n v="57750000"/>
    <n v="0"/>
    <n v="0"/>
    <n v="1312500"/>
    <n v="0"/>
    <n v="5250000"/>
    <n v="0"/>
    <n v="5250000"/>
    <n v="0"/>
    <n v="5250000"/>
    <n v="0"/>
    <n v="5250000"/>
    <n v="0"/>
    <n v="5250000"/>
    <n v="0"/>
    <n v="5250000"/>
    <n v="0"/>
    <n v="5250000"/>
    <n v="0"/>
    <n v="5250000"/>
    <n v="0"/>
    <n v="5250000"/>
    <n v="0"/>
    <n v="9187500"/>
    <n v="57750000"/>
    <n v="57750000"/>
    <n v="0"/>
    <n v="0"/>
    <s v="Prestación de servicios profesionales para el desarrollo, actualización, mantenimiento y mejora de las soluciones web, portales institucionales, aplicaciones y sistemas de información de la UPME, garantizando el cumplimiento de los estándares de accesibil"/>
    <n v="57750000"/>
    <m/>
    <m/>
    <n v="1312500"/>
    <m/>
    <n v="5250000"/>
    <m/>
    <n v="5250000"/>
    <m/>
    <n v="5250000"/>
    <m/>
    <n v="5250000"/>
    <m/>
    <n v="5250000"/>
    <m/>
    <n v="5250000"/>
    <m/>
    <n v="5250000"/>
    <m/>
    <n v="5250000"/>
    <m/>
    <n v="5250000"/>
    <m/>
    <n v="9187500"/>
    <m/>
    <m/>
    <n v="57750000"/>
    <n v="57750000"/>
    <n v="0"/>
    <n v="0"/>
    <n v="29826"/>
    <d v="2026-01-14T00:00:00"/>
    <n v="57750000"/>
    <n v="0"/>
    <n v="33026"/>
    <d v="2026-01-29T00:00:00"/>
    <n v="57750000"/>
    <n v="0"/>
    <n v="0"/>
    <s v="BELTRAN MEZA JOSE FABIAN"/>
    <s v="CO1.PCCNTR.8994207"/>
    <n v="57750000"/>
    <m/>
    <m/>
    <m/>
    <m/>
    <m/>
    <m/>
    <n v="5425000"/>
    <n v="5425000"/>
    <m/>
    <n v="5250000"/>
    <n v="5250000"/>
    <m/>
    <m/>
    <m/>
    <m/>
    <m/>
    <m/>
    <m/>
    <m/>
    <m/>
    <m/>
    <m/>
    <m/>
    <m/>
    <m/>
    <m/>
    <m/>
    <m/>
    <m/>
    <m/>
    <m/>
    <m/>
    <m/>
    <m/>
    <m/>
    <n v="57750000"/>
    <n v="10675000"/>
    <n v="10675000"/>
    <n v="47075000"/>
    <n v="0"/>
  </r>
  <r>
    <x v="0"/>
    <x v="7"/>
    <s v="Implementación de una solución integral para el acceso a los datos y a la información oportuna y de calidad del sector minero energético a nivel nacional"/>
    <s v="Gestión de la Información"/>
    <s v="Sí"/>
    <s v="Sí"/>
    <n v="68"/>
    <s v="131-51"/>
    <s v="Implementar una adecuada estrategia de comunicación y divulgación de la información del sector minero energético."/>
    <s v="Servicio de Información Implementado para la Accesibilidad Sectorial"/>
    <s v="Pruebas y aseguramiento de calidad."/>
    <n v="81112103"/>
    <s v="C-2106-1900-14-53105B-2106034-02"/>
    <x v="10"/>
    <s v="131-51 Adquirir el licenciamiento de un conjunto de herramientas digitales destinadas al diseño de interfaces gráficas, así como al desarrollo y la optimización en la gestión de contenidos web de la Unidad de Planeación Minero Energética (UPME)."/>
    <s v="Octubre"/>
    <s v="Octubre"/>
    <s v="Noviembre"/>
    <n v="12"/>
    <s v="Meses"/>
    <s v="Contratación directa - Contratos menor cuantía"/>
    <s v="Propios - 21 - Otros recursos de tesorería"/>
    <n v="30000000"/>
    <n v="30000000"/>
    <s v="No"/>
    <s v="N/A"/>
    <s v="Guillermo Holguin"/>
    <s v="Subdirector de Gestión de la Información"/>
    <n v="6012220601"/>
    <s v="guillermo.holguin@upme.gov.co"/>
    <n v="0"/>
    <n v="0"/>
    <n v="0"/>
    <n v="0"/>
    <n v="0"/>
    <n v="0"/>
    <n v="0"/>
    <n v="0"/>
    <n v="0"/>
    <n v="0"/>
    <n v="0"/>
    <n v="0"/>
    <n v="0"/>
    <n v="0"/>
    <n v="0"/>
    <n v="0"/>
    <n v="0"/>
    <n v="0"/>
    <n v="0"/>
    <n v="0"/>
    <n v="30000000"/>
    <n v="0"/>
    <n v="0"/>
    <n v="30000000"/>
    <n v="30000000"/>
    <n v="30000000"/>
    <n v="0"/>
    <n v="0"/>
    <s v="Adquirir el licenciamiento de un conjunto de herramientas digitales destinadas al diseño de interfaces gráficas, así como al desarrollo y la optimización en la gestión de contenidos web de la Unidad de Planeación Minero Energética (UPME)."/>
    <m/>
    <m/>
    <m/>
    <m/>
    <m/>
    <m/>
    <m/>
    <m/>
    <m/>
    <m/>
    <m/>
    <m/>
    <m/>
    <m/>
    <m/>
    <m/>
    <m/>
    <m/>
    <m/>
    <m/>
    <n v="30000000"/>
    <m/>
    <m/>
    <n v="30000000"/>
    <m/>
    <m/>
    <n v="30000000"/>
    <n v="30000000"/>
    <n v="0"/>
    <n v="0"/>
    <m/>
    <m/>
    <m/>
    <n v="30000000"/>
    <m/>
    <m/>
    <n v="0"/>
    <n v="300000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8"/>
    <s v="131-52"/>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2 Prestación de servicios profesionales para apoyar en la identificación, caracterización técnica y metodológica de nuevos registros administrativos con potencial estadístico, así como el acompañamiento en la implementación de las fases del proceso e"/>
    <s v="Enero "/>
    <s v="Enero "/>
    <s v="Enero "/>
    <n v="11"/>
    <s v="Meses"/>
    <s v="Contratación directa - Prestación de servicios profesionales "/>
    <s v="Propios - 21 - Otros recursos de tesorería"/>
    <n v="53350000"/>
    <n v="53350000"/>
    <s v="No"/>
    <s v="N/A"/>
    <s v="Guillermo Holguin"/>
    <s v="Subdirector de Gestión de la Información"/>
    <n v="6012220601"/>
    <s v="guillermo.holguin@upme.gov.co"/>
    <n v="0"/>
    <n v="0"/>
    <n v="53350000"/>
    <n v="0"/>
    <n v="0"/>
    <n v="4850000"/>
    <n v="0"/>
    <n v="4850000"/>
    <n v="0"/>
    <n v="4850000"/>
    <n v="0"/>
    <n v="4850000"/>
    <n v="0"/>
    <n v="4850000"/>
    <n v="0"/>
    <n v="4850000"/>
    <n v="0"/>
    <n v="4850000"/>
    <n v="0"/>
    <n v="4850000"/>
    <n v="0"/>
    <n v="4850000"/>
    <n v="0"/>
    <n v="9700000"/>
    <n v="53350000"/>
    <n v="53350000"/>
    <n v="0"/>
    <n v="0"/>
    <s v="Prestación de servicios profesionales para apoyar en la identificación, caracterización técnica y metodológica de nuevos registros administrativos con potencial estadístico, así como el acompañamiento en la implementación de las fases del proceso estadíst"/>
    <m/>
    <m/>
    <n v="53350000"/>
    <m/>
    <m/>
    <n v="4850000"/>
    <m/>
    <n v="4850000"/>
    <m/>
    <n v="4850000"/>
    <m/>
    <n v="4850000"/>
    <m/>
    <n v="4850000"/>
    <m/>
    <n v="4850000"/>
    <m/>
    <n v="4850000"/>
    <m/>
    <n v="4850000"/>
    <m/>
    <n v="4850000"/>
    <m/>
    <n v="9700000"/>
    <m/>
    <m/>
    <n v="53350000"/>
    <n v="53350000"/>
    <n v="0"/>
    <n v="0"/>
    <n v="57126"/>
    <d v="2026-01-22T00:00:00"/>
    <n v="52703333"/>
    <n v="646667"/>
    <n v="39526"/>
    <d v="2026-02-03T00:00:00"/>
    <n v="52703333"/>
    <n v="646667"/>
    <n v="0"/>
    <s v="SIERRA CANTOR CLAUDIA"/>
    <s v="CO1.PCCNTR.9190165"/>
    <m/>
    <m/>
    <m/>
    <n v="53350000"/>
    <m/>
    <m/>
    <n v="-646667"/>
    <n v="4203333"/>
    <n v="4203333"/>
    <m/>
    <n v="4850000"/>
    <n v="4850000"/>
    <m/>
    <m/>
    <m/>
    <m/>
    <m/>
    <m/>
    <m/>
    <m/>
    <m/>
    <m/>
    <m/>
    <m/>
    <m/>
    <m/>
    <m/>
    <m/>
    <m/>
    <m/>
    <m/>
    <m/>
    <m/>
    <m/>
    <m/>
    <m/>
    <n v="52703333"/>
    <n v="9053333"/>
    <n v="9053333"/>
    <n v="43650000"/>
    <n v="0"/>
  </r>
  <r>
    <x v="0"/>
    <x v="7"/>
    <s v="Implementación de una solución integral para el acceso a los datos y a la información oportuna y de calidad del sector minero energético a nivel nacional"/>
    <s v="Gestión de la Información"/>
    <s v="Sí"/>
    <s v="Sí"/>
    <n v="68"/>
    <s v="131-53"/>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3 Prestación de servicios profesionales para el mantenimiento, administración, optimización y aseguramiento de la calidad de la Base de Datos Geográfica Corporativa (EGDBUPME), garantizando la integridad, interoperabilidad, seguridad y disponibilidad"/>
    <s v="Enero "/>
    <s v="Enero "/>
    <s v="Enero "/>
    <n v="11"/>
    <s v="Meses"/>
    <s v="Contratación directa - Prestación de servicios profesionales "/>
    <s v="Propios - 21 - Otros recursos de tesorería"/>
    <n v="95700000"/>
    <n v="95700000"/>
    <s v="No"/>
    <s v="N/A"/>
    <s v="Guillermo Holguin"/>
    <s v="Subdirector de Gestión de la Información"/>
    <n v="6012220601"/>
    <s v="guillermo.holguin@upme.gov.co"/>
    <n v="95700000"/>
    <n v="0"/>
    <n v="0"/>
    <n v="2175000"/>
    <n v="0"/>
    <n v="8700000"/>
    <n v="0"/>
    <n v="8700000"/>
    <n v="0"/>
    <n v="8700000"/>
    <n v="0"/>
    <n v="8700000"/>
    <n v="0"/>
    <n v="8700000"/>
    <n v="0"/>
    <n v="8700000"/>
    <n v="0"/>
    <n v="8700000"/>
    <n v="0"/>
    <n v="8700000"/>
    <n v="0"/>
    <n v="8700000"/>
    <n v="0"/>
    <n v="15225000"/>
    <n v="95700000"/>
    <n v="95700000"/>
    <n v="0"/>
    <n v="0"/>
    <s v="Prestación de servicios profesionales para el mantenimiento, administración, optimización y aseguramiento de la calidad de la Base de Datos Geográfica Corporativa (EGDBUPME), garantizando la integridad, interoperabilidad, seguridad y disponibilidad de la "/>
    <n v="95700000"/>
    <m/>
    <m/>
    <n v="2175000"/>
    <m/>
    <n v="8700000"/>
    <m/>
    <n v="8700000"/>
    <m/>
    <n v="8700000"/>
    <m/>
    <n v="8700000"/>
    <m/>
    <n v="8700000"/>
    <m/>
    <n v="8700000"/>
    <m/>
    <n v="8700000"/>
    <m/>
    <n v="8700000"/>
    <m/>
    <n v="8700000"/>
    <m/>
    <n v="15225000"/>
    <m/>
    <m/>
    <n v="95700000"/>
    <n v="95700000"/>
    <n v="0"/>
    <n v="0"/>
    <n v="29626"/>
    <d v="2026-01-14T00:00:00"/>
    <n v="95410000"/>
    <n v="290000"/>
    <n v="35626"/>
    <d v="2026-01-30T00:00:00"/>
    <n v="95410000"/>
    <n v="290000"/>
    <n v="0"/>
    <s v="DELGADO LOPEZ HERMES JOHANN"/>
    <s v="CO1.PCCNTR.9178180"/>
    <n v="95700000"/>
    <m/>
    <m/>
    <m/>
    <m/>
    <m/>
    <m/>
    <n v="8410000"/>
    <n v="8410000"/>
    <n v="-290000"/>
    <n v="8700000"/>
    <n v="8700000"/>
    <m/>
    <m/>
    <m/>
    <m/>
    <m/>
    <m/>
    <m/>
    <m/>
    <m/>
    <m/>
    <m/>
    <m/>
    <m/>
    <m/>
    <m/>
    <m/>
    <m/>
    <m/>
    <m/>
    <m/>
    <m/>
    <m/>
    <m/>
    <m/>
    <n v="95410000"/>
    <n v="17110000"/>
    <n v="17110000"/>
    <n v="78300000"/>
    <n v="0"/>
  </r>
  <r>
    <x v="0"/>
    <x v="7"/>
    <s v="Implementación de una solución integral para el acceso a los datos y a la información oportuna y de calidad del sector minero energético a nivel nacional"/>
    <s v="Gestión de la Información"/>
    <s v="Sí"/>
    <s v="Sí"/>
    <n v="1"/>
    <s v="131-54"/>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4 Prestación de servicios profesionales para al análisis y validación de la información territorial y normativa (POT, POMCA, áreas protegidas, catastro multipropósito y demás instrumentos de ordenamiento), integrándose a los análisis SIG de la UPME p"/>
    <s v="Enero "/>
    <s v="Enero "/>
    <s v="Enero "/>
    <n v="11"/>
    <s v="Meses"/>
    <s v="Contratación directa - Prestación de servicios profesionales "/>
    <s v="Propios - 21 - Otros recursos de tesorería"/>
    <n v="72600000"/>
    <n v="72600000"/>
    <s v="No"/>
    <s v="N/A"/>
    <s v="Guillermo Holguin"/>
    <s v="Subdirector de Gestión de la Información"/>
    <n v="6012220601"/>
    <s v="guillermo.holguin@upme.gov.co"/>
    <n v="0"/>
    <n v="0"/>
    <n v="72600000"/>
    <n v="0"/>
    <n v="0"/>
    <n v="6600000"/>
    <n v="0"/>
    <n v="6600000"/>
    <n v="0"/>
    <n v="6600000"/>
    <n v="0"/>
    <n v="6600000"/>
    <n v="0"/>
    <n v="6600000"/>
    <n v="0"/>
    <n v="6600000"/>
    <n v="0"/>
    <n v="6600000"/>
    <n v="0"/>
    <n v="6600000"/>
    <n v="0"/>
    <n v="6600000"/>
    <n v="0"/>
    <n v="13200000"/>
    <n v="72600000"/>
    <n v="72600000"/>
    <n v="0"/>
    <n v="0"/>
    <s v="Prestación de servicios profesionales para al análisis y validación de la información territorial y normativa (POT, POMCA, áreas protegidas, catastro multipropósito y demás instrumentos de ordenamiento), integrándose a los análisis SIG de la UPME para gar"/>
    <m/>
    <m/>
    <n v="72600000"/>
    <m/>
    <m/>
    <n v="6600000"/>
    <m/>
    <n v="6600000"/>
    <m/>
    <n v="6600000"/>
    <m/>
    <n v="6600000"/>
    <m/>
    <n v="6600000"/>
    <m/>
    <n v="6600000"/>
    <m/>
    <n v="6600000"/>
    <m/>
    <n v="6600000"/>
    <m/>
    <n v="6600000"/>
    <m/>
    <n v="13200000"/>
    <m/>
    <m/>
    <n v="72600000"/>
    <n v="72600000"/>
    <n v="0"/>
    <n v="0"/>
    <n v="31526"/>
    <d v="2026-01-14T00:00:00"/>
    <n v="71940000"/>
    <n v="660000"/>
    <n v="39026"/>
    <d v="2026-02-03T00:00:00"/>
    <n v="71940000"/>
    <n v="660000"/>
    <n v="0"/>
    <s v="SIERRA OCHOA MANUEL SANTIAGO"/>
    <s v="CO1.PCCNTR.9189741"/>
    <m/>
    <m/>
    <m/>
    <n v="72600000"/>
    <m/>
    <m/>
    <m/>
    <n v="5940000"/>
    <n v="5940000"/>
    <n v="-660000"/>
    <n v="6600000"/>
    <n v="6600000"/>
    <m/>
    <m/>
    <m/>
    <m/>
    <m/>
    <m/>
    <m/>
    <m/>
    <m/>
    <m/>
    <m/>
    <m/>
    <m/>
    <m/>
    <m/>
    <m/>
    <m/>
    <m/>
    <m/>
    <m/>
    <m/>
    <m/>
    <m/>
    <m/>
    <n v="71940000"/>
    <n v="12540000"/>
    <n v="12540000"/>
    <n v="59400000"/>
    <n v="0"/>
  </r>
  <r>
    <x v="0"/>
    <x v="7"/>
    <s v="Implementación de una solución integral para el acceso a los datos y a la información oportuna y de calidad del sector minero energético a nivel nacional"/>
    <s v="Gestión de la Información"/>
    <s v="Sí"/>
    <s v="Sí"/>
    <n v="68"/>
    <s v="131-55"/>
    <s v="Implementar una adecuada estrategia de comunicación y divulgación de la información del sector minero energético."/>
    <s v="Servicio de Información Implementado para la Accesibilidad Sectorial"/>
    <s v="Pruebas y aseguramiento de calidad."/>
    <n v="43232605"/>
    <s v="C-2106-1900-14-53105B-2106034-02"/>
    <x v="10"/>
    <s v="131-55 Actualizar y renovar el licenciamiento ESRI."/>
    <s v="Junio"/>
    <s v="Junio"/>
    <s v="Junio"/>
    <n v="12"/>
    <s v="Meses"/>
    <s v="Seléccion abreviada - acuerdo marco"/>
    <s v="Propios - 21 - Otros recursos de tesorería"/>
    <n v="50000000"/>
    <n v="50000000"/>
    <s v="No"/>
    <s v="N/A"/>
    <s v="Guillermo Holguin"/>
    <s v="Subdirector de Gestión de la Información"/>
    <n v="6012220601"/>
    <s v="guillermo.holguin@upme.gov.co"/>
    <n v="0"/>
    <n v="0"/>
    <n v="0"/>
    <n v="0"/>
    <n v="0"/>
    <n v="0"/>
    <n v="0"/>
    <n v="0"/>
    <n v="0"/>
    <n v="0"/>
    <n v="0"/>
    <n v="0"/>
    <n v="50000000"/>
    <n v="0"/>
    <n v="0"/>
    <n v="0"/>
    <n v="0"/>
    <n v="0"/>
    <n v="0"/>
    <n v="0"/>
    <n v="0"/>
    <n v="0"/>
    <n v="0"/>
    <n v="50000000"/>
    <n v="50000000"/>
    <n v="50000000"/>
    <n v="0"/>
    <n v="0"/>
    <s v="Actualizar y renovar el licenciamiento ESRI."/>
    <m/>
    <m/>
    <m/>
    <m/>
    <m/>
    <m/>
    <m/>
    <m/>
    <m/>
    <m/>
    <m/>
    <m/>
    <n v="50000000"/>
    <m/>
    <m/>
    <m/>
    <m/>
    <m/>
    <m/>
    <m/>
    <m/>
    <m/>
    <m/>
    <n v="50000000"/>
    <m/>
    <m/>
    <n v="50000000"/>
    <n v="50000000"/>
    <n v="0"/>
    <n v="0"/>
    <m/>
    <m/>
    <m/>
    <n v="50000000"/>
    <m/>
    <m/>
    <n v="0"/>
    <n v="500000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
    <s v="131-56"/>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6 Prestación de servicios de apoyo a la gestión para la recolección y procesamiento de material audiovisual requerido para los sistemas de información y las comunicaciones institucionales"/>
    <s v="Enero "/>
    <s v="Enero "/>
    <s v="Enero "/>
    <n v="11"/>
    <s v="Meses"/>
    <s v="Contratación directa - Prestación de servicios profesionales "/>
    <s v="Propios - 21 - Otros recursos de tesorería"/>
    <n v="15702144"/>
    <n v="15702144"/>
    <s v="No"/>
    <s v="N/A"/>
    <s v="Guillermo Holguin"/>
    <s v="Subdirector de Gestión de la Información"/>
    <n v="6012220601"/>
    <s v="guillermo.holguin@upme.gov.co"/>
    <n v="15702144"/>
    <n v="0"/>
    <n v="0"/>
    <n v="0"/>
    <n v="0"/>
    <n v="0"/>
    <n v="0"/>
    <n v="0"/>
    <n v="0"/>
    <n v="0"/>
    <n v="0"/>
    <n v="0"/>
    <n v="0"/>
    <n v="0"/>
    <n v="0"/>
    <n v="0"/>
    <n v="0"/>
    <n v="0"/>
    <n v="0"/>
    <n v="1035477"/>
    <n v="0"/>
    <n v="5000000"/>
    <n v="0"/>
    <n v="9666667"/>
    <n v="15702144"/>
    <n v="15702144"/>
    <n v="0"/>
    <n v="0"/>
    <s v="Prestación de servicios de apoyo a la gestión para la recolección y procesamiento de material audiovisual requerido para los sistemas de información y las comunicaciones institucionales"/>
    <n v="15702144"/>
    <m/>
    <m/>
    <m/>
    <m/>
    <m/>
    <m/>
    <m/>
    <m/>
    <m/>
    <m/>
    <m/>
    <m/>
    <m/>
    <m/>
    <m/>
    <m/>
    <m/>
    <m/>
    <n v="1035477"/>
    <m/>
    <n v="5000000"/>
    <m/>
    <n v="9666667"/>
    <m/>
    <m/>
    <n v="15702144"/>
    <n v="15702144"/>
    <n v="0"/>
    <n v="0"/>
    <n v="24526"/>
    <d v="2026-01-13T00:00:00"/>
    <n v="15702144"/>
    <n v="0"/>
    <n v="20426"/>
    <d v="2026-01-26T00:00:00"/>
    <n v="15702144"/>
    <n v="0"/>
    <n v="0"/>
    <s v="CASTILLA ACEVEDO JOSE FERNANDO"/>
    <s v="CO1.PCCNTR.9034108"/>
    <n v="15702144"/>
    <m/>
    <m/>
    <m/>
    <m/>
    <m/>
    <m/>
    <n v="5666667"/>
    <n v="5666667"/>
    <m/>
    <m/>
    <m/>
    <m/>
    <m/>
    <m/>
    <m/>
    <m/>
    <m/>
    <m/>
    <m/>
    <m/>
    <m/>
    <m/>
    <m/>
    <m/>
    <m/>
    <m/>
    <m/>
    <m/>
    <m/>
    <m/>
    <m/>
    <m/>
    <m/>
    <m/>
    <m/>
    <n v="15702144"/>
    <n v="5666667"/>
    <n v="5666667"/>
    <n v="10035477"/>
    <n v="0"/>
  </r>
  <r>
    <x v="0"/>
    <x v="7"/>
    <s v="Implementación de una solución integral para el acceso a los datos y a la información oportuna y de calidad del sector minero energético a nivel nacional"/>
    <s v="Gestión de la Información"/>
    <s v="Sí"/>
    <s v="Sí"/>
    <n v="22"/>
    <s v="131-57"/>
    <s v="Implementar una adecuada estrategia de comunicación y divulgación de la información del sector minero energético."/>
    <s v="Servicio de Información Implementado para la Accesibilidad Sectorial"/>
    <s v="Pruebas y aseguramiento de calidad."/>
    <n v="81112003"/>
    <s v="C-2106-1900-14-53105B-2106034-02"/>
    <x v="10"/>
    <s v="131-57 Adquirir servicios en la nube para la implementación de un lago de datos institucional que permita la consolidación, integración, centralización, acceso y exposición de la información de la UPME, incluyendo la asociada a electromovilidad."/>
    <s v="Abril"/>
    <s v="Mayo"/>
    <s v="Mayo"/>
    <n v="12"/>
    <s v="Meses"/>
    <s v="Seléccion abreviada - acuerdo marco"/>
    <s v="Propios - 21 - Otros recursos de tesorería"/>
    <n v="73467716"/>
    <n v="73467716"/>
    <s v="No"/>
    <s v="N/A"/>
    <s v="Guillermo Holguin"/>
    <s v="Subdirector de Gestión de la Información"/>
    <n v="6012220601"/>
    <s v="guillermo.holguin@upme.gov.co"/>
    <n v="0"/>
    <n v="0"/>
    <n v="0"/>
    <n v="0"/>
    <n v="0"/>
    <n v="0"/>
    <n v="73467716"/>
    <n v="0"/>
    <n v="0"/>
    <n v="73467716"/>
    <n v="0"/>
    <n v="0"/>
    <n v="0"/>
    <n v="0"/>
    <n v="0"/>
    <n v="0"/>
    <n v="0"/>
    <n v="0"/>
    <n v="0"/>
    <n v="0"/>
    <n v="0"/>
    <n v="0"/>
    <n v="0"/>
    <n v="0"/>
    <n v="73467716"/>
    <n v="73467716"/>
    <n v="0"/>
    <n v="0"/>
    <s v="Adquirir servicios en la nube para la implementación de un lago de datos institucional que permita la consolidación, integración, centralización, acceso y exposición de la información de la UPME, incluyendo la asociada a electromovilidad."/>
    <n v="0"/>
    <n v="0"/>
    <n v="0"/>
    <n v="0"/>
    <n v="0"/>
    <n v="0"/>
    <n v="0"/>
    <n v="0"/>
    <n v="73467716"/>
    <n v="0"/>
    <n v="0"/>
    <n v="0"/>
    <n v="0"/>
    <n v="73467716"/>
    <n v="0"/>
    <n v="0"/>
    <n v="0"/>
    <n v="0"/>
    <n v="0"/>
    <n v="0"/>
    <n v="0"/>
    <n v="0"/>
    <n v="0"/>
    <n v="0"/>
    <m/>
    <m/>
    <n v="73467716"/>
    <n v="73467716"/>
    <n v="0"/>
    <n v="0"/>
    <m/>
    <m/>
    <m/>
    <n v="73467716"/>
    <m/>
    <m/>
    <n v="0"/>
    <n v="73467716"/>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8"/>
    <s v="131-58"/>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8 Prestar servicios profesionales para la gestión de las fases contractuales de la entidad, con especial énfasis en los asuntos relativos a la Subdirección de Gestión de la Información, en asocio con el GIT de Gestión Contractual."/>
    <s v="Enero "/>
    <s v="Enero "/>
    <s v="Enero "/>
    <n v="6"/>
    <s v="Meses"/>
    <s v="Contratación directa - Prestación de servicios profesionales "/>
    <s v="Propios - 21 - Otros recursos de tesorería"/>
    <n v="27422400"/>
    <n v="27422400"/>
    <s v="No"/>
    <s v="N/A"/>
    <s v="Guillermo Holguin"/>
    <s v="Subdirector de Gestión de la Información"/>
    <n v="6012220601"/>
    <s v="guillermo.holguin@upme.gov.co"/>
    <n v="27422400"/>
    <n v="0"/>
    <n v="0"/>
    <n v="422400"/>
    <n v="0"/>
    <n v="3250000"/>
    <n v="0"/>
    <n v="5000000"/>
    <n v="0"/>
    <n v="5000000"/>
    <n v="0"/>
    <n v="5000000"/>
    <n v="0"/>
    <n v="5000000"/>
    <n v="0"/>
    <n v="3750000"/>
    <n v="0"/>
    <n v="0"/>
    <n v="0"/>
    <n v="0"/>
    <n v="0"/>
    <n v="0"/>
    <n v="0"/>
    <n v="0"/>
    <n v="27422400"/>
    <n v="27422400"/>
    <n v="0"/>
    <n v="0"/>
    <s v="Prestar servicios profesionales para la gestión de las fases contractuales de la entidad, con especial énfasis en los asuntos relativos a la Subdirección de Gestión de la Información, en asocio con el GIT de Gestión Contractual."/>
    <n v="27422400"/>
    <m/>
    <m/>
    <n v="422400"/>
    <m/>
    <n v="3250000"/>
    <m/>
    <n v="5000000"/>
    <m/>
    <n v="5000000"/>
    <m/>
    <n v="5000000"/>
    <m/>
    <n v="5000000"/>
    <m/>
    <n v="3750000"/>
    <m/>
    <m/>
    <m/>
    <m/>
    <m/>
    <m/>
    <m/>
    <m/>
    <m/>
    <m/>
    <n v="27422400"/>
    <n v="27422400"/>
    <n v="0"/>
    <n v="0"/>
    <n v="9426"/>
    <d v="2026-01-06T00:00:00"/>
    <n v="27422400"/>
    <n v="0"/>
    <n v="3026"/>
    <d v="2026-01-09T00:00:00"/>
    <n v="27422400"/>
    <n v="0"/>
    <n v="0"/>
    <s v="PINZON LEYVA MARIA DEL PILAR"/>
    <s v="CO1.PCCNTR.8786301"/>
    <n v="27422400"/>
    <m/>
    <m/>
    <m/>
    <m/>
    <m/>
    <m/>
    <n v="8000000"/>
    <n v="8000000"/>
    <m/>
    <n v="5000000"/>
    <n v="5000000"/>
    <m/>
    <m/>
    <m/>
    <m/>
    <m/>
    <m/>
    <m/>
    <m/>
    <m/>
    <m/>
    <m/>
    <m/>
    <m/>
    <m/>
    <m/>
    <m/>
    <m/>
    <m/>
    <m/>
    <m/>
    <m/>
    <m/>
    <m/>
    <m/>
    <n v="27422400"/>
    <n v="13000000"/>
    <n v="13000000"/>
    <n v="14422400"/>
    <n v="0"/>
  </r>
  <r>
    <x v="0"/>
    <x v="7"/>
    <s v="Implementación de una solución integral para el acceso a los datos y a la información oportuna y de calidad del sector minero energético a nivel nacional"/>
    <s v="Gestión de la Información"/>
    <s v="Sí"/>
    <s v="Sí"/>
    <n v="68"/>
    <s v="131-59"/>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9 Prestación de servicios profesionales para la gestión contractual de la entidad garantizando el cumplimiento de las disposiciones legales e institucionales."/>
    <s v="Enero "/>
    <s v="Enero "/>
    <s v="Enero "/>
    <n v="11.5"/>
    <s v="Meses"/>
    <s v="Contratación directa - Prestación de servicios profesionales "/>
    <s v="Propios - 21 - Otros recursos de tesorería"/>
    <n v="77357740"/>
    <n v="77357740"/>
    <s v="No"/>
    <s v="N/A"/>
    <s v="Guillermo Holguin"/>
    <s v="Subdirector de Gestión de la Información"/>
    <n v="6012220601"/>
    <s v="guillermo.holguin@upme.gov.co"/>
    <n v="77357740"/>
    <n v="0"/>
    <n v="0"/>
    <n v="3363380"/>
    <n v="0"/>
    <n v="6726760"/>
    <n v="0"/>
    <n v="6726760"/>
    <n v="0"/>
    <n v="6726760"/>
    <n v="0"/>
    <n v="6726760"/>
    <n v="0"/>
    <n v="6726760"/>
    <n v="0"/>
    <n v="6726760"/>
    <n v="0"/>
    <n v="6726760"/>
    <n v="0"/>
    <n v="6726760"/>
    <n v="0"/>
    <n v="6726760"/>
    <n v="0"/>
    <n v="13453520"/>
    <n v="77357740"/>
    <n v="77357740"/>
    <n v="0"/>
    <n v="0"/>
    <s v="Prestación de servicios profesionales para la gestión contractual de la entidad garantizando el cumplimiento de las disposiciones legales e institucionales."/>
    <n v="77357740"/>
    <m/>
    <m/>
    <n v="3363380"/>
    <m/>
    <n v="6726760"/>
    <m/>
    <n v="6726760"/>
    <m/>
    <n v="6726760"/>
    <m/>
    <n v="6726760"/>
    <m/>
    <n v="6726760"/>
    <m/>
    <n v="6726760"/>
    <m/>
    <n v="6726760"/>
    <m/>
    <n v="6726760"/>
    <m/>
    <n v="6726760"/>
    <m/>
    <n v="13453520"/>
    <m/>
    <m/>
    <n v="77357740"/>
    <n v="77357740"/>
    <n v="0"/>
    <n v="0"/>
    <n v="6426"/>
    <d v="2026-01-06T00:00:00"/>
    <n v="77357740"/>
    <n v="0"/>
    <n v="4226"/>
    <d v="2026-01-09T00:00:00"/>
    <n v="77357740"/>
    <n v="0"/>
    <n v="0"/>
    <s v="RESTREPO ORJUELA SANTIAGO"/>
    <s v="CO1.PCCNTR.8790677"/>
    <n v="77357740"/>
    <m/>
    <m/>
    <m/>
    <n v="4036056"/>
    <n v="4036056"/>
    <m/>
    <n v="6726760"/>
    <n v="6726760"/>
    <m/>
    <n v="6726760"/>
    <n v="6726760"/>
    <m/>
    <m/>
    <m/>
    <m/>
    <m/>
    <m/>
    <m/>
    <m/>
    <m/>
    <m/>
    <m/>
    <m/>
    <m/>
    <m/>
    <m/>
    <m/>
    <m/>
    <m/>
    <m/>
    <m/>
    <m/>
    <m/>
    <m/>
    <m/>
    <n v="77357740"/>
    <n v="17489576"/>
    <n v="17489576"/>
    <n v="59868164"/>
    <n v="0"/>
  </r>
  <r>
    <x v="0"/>
    <x v="7"/>
    <s v="Implementación de una solución integral para el acceso a los datos y a la información oportuna y de calidad del sector minero energético a nivel nacional"/>
    <s v="Gestión de la Información"/>
    <s v="Sí"/>
    <s v="Sí"/>
    <n v="7"/>
    <s v="131-60"/>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0 Prestación de servicios profesionales en marketing para la gestión administrativa integral del equipo de comunicaciones de la UPME, asegurando la operatividad, trazabilidad y calidad de sus procesos internos y acciones de comunicación, en cumplimie"/>
    <s v="Enero "/>
    <s v="Enero "/>
    <s v="Enero "/>
    <n v="11"/>
    <s v="Meses"/>
    <s v="Contratación directa - Prestación de servicios profesionales "/>
    <s v="Propios - 21 - Otros recursos de tesorería"/>
    <n v="88000000"/>
    <n v="88000000"/>
    <s v="No"/>
    <s v="N/A"/>
    <s v="Guillermo Holguin"/>
    <s v="Subdirector de Gestión de la Información"/>
    <n v="6012220601"/>
    <s v="guillermo.holguin@upme.gov.co"/>
    <n v="0"/>
    <n v="0"/>
    <n v="88000000"/>
    <n v="0"/>
    <n v="0"/>
    <n v="8000000"/>
    <n v="0"/>
    <n v="8000000"/>
    <n v="0"/>
    <n v="8000000"/>
    <n v="0"/>
    <n v="8000000"/>
    <n v="0"/>
    <n v="8000000"/>
    <n v="0"/>
    <n v="8000000"/>
    <n v="0"/>
    <n v="8000000"/>
    <n v="0"/>
    <n v="8000000"/>
    <n v="0"/>
    <n v="8000000"/>
    <n v="0"/>
    <n v="16000000"/>
    <n v="88000000"/>
    <n v="88000000"/>
    <n v="0"/>
    <n v="0"/>
    <s v="Prestación de servicios profesionales en marketing para la gestión administrativa integral del equipo de comunicaciones de la UPME, asegurando la operatividad, trazabilidad y calidad de sus procesos internos y acciones de comunicación, en cumplimiento de "/>
    <m/>
    <m/>
    <n v="88000000"/>
    <m/>
    <m/>
    <n v="8000000"/>
    <m/>
    <n v="8000000"/>
    <m/>
    <n v="8000000"/>
    <m/>
    <n v="8000000"/>
    <m/>
    <n v="8000000"/>
    <m/>
    <n v="8000000"/>
    <m/>
    <n v="8000000"/>
    <m/>
    <n v="8000000"/>
    <m/>
    <n v="8000000"/>
    <m/>
    <n v="16000000"/>
    <m/>
    <m/>
    <n v="88000000"/>
    <n v="88000000"/>
    <n v="0"/>
    <n v="0"/>
    <n v="65326"/>
    <d v="2026-01-26T00:00:00"/>
    <n v="88000000"/>
    <n v="0"/>
    <n v="56926"/>
    <d v="2026-02-10T00:00:00"/>
    <n v="88000000"/>
    <n v="0"/>
    <n v="0"/>
    <s v="LUISA CARVAJAL"/>
    <s v="CO1.PCCNTR.9301618"/>
    <m/>
    <m/>
    <m/>
    <n v="88000000"/>
    <m/>
    <m/>
    <m/>
    <n v="5333333"/>
    <n v="5333333"/>
    <m/>
    <n v="8000000"/>
    <n v="8000000"/>
    <m/>
    <m/>
    <m/>
    <m/>
    <m/>
    <m/>
    <m/>
    <m/>
    <m/>
    <m/>
    <m/>
    <m/>
    <m/>
    <m/>
    <m/>
    <m/>
    <m/>
    <m/>
    <m/>
    <m/>
    <m/>
    <m/>
    <m/>
    <m/>
    <n v="88000000"/>
    <n v="13333333"/>
    <n v="13333333"/>
    <n v="74666667"/>
    <n v="0"/>
  </r>
  <r>
    <x v="0"/>
    <x v="7"/>
    <s v="Implementación de una solución integral para el acceso a los datos y a la información oportuna y de calidad del sector minero energético a nivel nacional"/>
    <s v="Gestión de la Información"/>
    <s v="Sí"/>
    <s v="Sí"/>
    <n v="6"/>
    <s v="131-61"/>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1 Prestación de servicios profesionales para la recopilación, análisis, depuración y reporte de datos y planes minerenergéticos, con especial énfasis en variables hidrocarburíferas a nivel nacional e internacional."/>
    <s v="Enero "/>
    <s v="Enero "/>
    <s v="Enero "/>
    <n v="11"/>
    <s v="Meses"/>
    <s v="Contratación directa - Prestación de servicios profesionales "/>
    <s v="Propios - 21 - Otros recursos de tesorería"/>
    <n v="61486200"/>
    <n v="61486200"/>
    <s v="No"/>
    <s v="N/A"/>
    <s v="Guillermo Holguin"/>
    <s v="Subdirector de Gestión de la Información"/>
    <n v="6012220601"/>
    <s v="guillermo.holguin@upme.gov.co"/>
    <n v="0"/>
    <n v="0"/>
    <n v="51083333"/>
    <n v="0"/>
    <n v="0"/>
    <n v="0"/>
    <n v="0"/>
    <n v="0"/>
    <n v="0"/>
    <n v="0"/>
    <n v="0"/>
    <n v="0"/>
    <n v="0"/>
    <n v="0"/>
    <n v="10402867"/>
    <n v="2000000"/>
    <n v="0"/>
    <n v="9500000"/>
    <n v="0"/>
    <n v="9500000"/>
    <n v="0"/>
    <n v="9500000"/>
    <n v="0"/>
    <n v="30986200"/>
    <n v="61486200"/>
    <n v="61486200"/>
    <n v="0"/>
    <n v="0"/>
    <s v="Prestación de servicios profesionales para la recopilación, análisis, depuración y reporte de datos y planes minerenergéticos, con especial énfasis en variables hidrocarburíferas a nivel nacional e internacional."/>
    <m/>
    <m/>
    <n v="51083333"/>
    <m/>
    <m/>
    <m/>
    <m/>
    <m/>
    <m/>
    <m/>
    <m/>
    <m/>
    <m/>
    <m/>
    <n v="10402867"/>
    <n v="2000000"/>
    <m/>
    <n v="9500000"/>
    <m/>
    <n v="9500000"/>
    <m/>
    <n v="9500000"/>
    <m/>
    <n v="30986200"/>
    <m/>
    <m/>
    <n v="61486200"/>
    <n v="61486200"/>
    <n v="0"/>
    <n v="0"/>
    <n v="63126"/>
    <d v="2026-01-23T00:00:00"/>
    <n v="48866667"/>
    <n v="12619533"/>
    <n v="37726"/>
    <d v="2026-02-02T00:00:00"/>
    <n v="48866667"/>
    <n v="12619533"/>
    <n v="0"/>
    <s v="BELTRAN MORATTO MAGDA LILIANA"/>
    <s v="CO1.PCCNTR.9160784"/>
    <m/>
    <m/>
    <m/>
    <n v="51083333"/>
    <m/>
    <m/>
    <m/>
    <m/>
    <m/>
    <n v="-2216666"/>
    <m/>
    <m/>
    <m/>
    <m/>
    <m/>
    <m/>
    <m/>
    <m/>
    <m/>
    <m/>
    <m/>
    <m/>
    <m/>
    <m/>
    <m/>
    <m/>
    <m/>
    <m/>
    <m/>
    <m/>
    <m/>
    <m/>
    <m/>
    <m/>
    <m/>
    <m/>
    <n v="48866667"/>
    <n v="0"/>
    <n v="0"/>
    <n v="48866667"/>
    <n v="0"/>
  </r>
  <r>
    <x v="0"/>
    <x v="7"/>
    <s v="Implementación de una solución integral para el acceso a los datos y a la información oportuna y de calidad del sector minero energético a nivel nacional"/>
    <s v="Gestión de la Información"/>
    <s v="Sí"/>
    <s v="Sí"/>
    <n v="68"/>
    <s v="131-62"/>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2 Prestación de servicios de apoyo a la gestión para la recolección, procesamiento y creación de productos audiovisuales para los diferentes canales de comunicación institucionales."/>
    <s v="Enero "/>
    <s v="Enero "/>
    <s v="Enero "/>
    <n v="11"/>
    <s v="Meses"/>
    <s v="Contratación directa - Prestación de servicios profesionales "/>
    <s v="Propios - 21 - Otros recursos de tesorería"/>
    <n v="61486200"/>
    <n v="61486200"/>
    <s v="No"/>
    <s v="N/A"/>
    <s v="Guillermo Holguin"/>
    <s v="Subdirector de Gestión de la Información"/>
    <n v="6012220601"/>
    <s v="guillermo.holguin@upme.gov.co"/>
    <n v="0"/>
    <n v="0"/>
    <n v="37500000"/>
    <n v="0"/>
    <n v="0"/>
    <n v="5000000"/>
    <n v="0"/>
    <n v="5000000"/>
    <n v="0"/>
    <n v="5000000"/>
    <n v="0"/>
    <n v="5000000"/>
    <n v="0"/>
    <n v="5000000"/>
    <n v="23986200"/>
    <n v="5000000"/>
    <n v="0"/>
    <n v="5000000"/>
    <n v="0"/>
    <n v="5000000"/>
    <n v="0"/>
    <n v="5000000"/>
    <n v="0"/>
    <n v="16486200"/>
    <n v="61486200"/>
    <n v="61486200"/>
    <n v="0"/>
    <n v="0"/>
    <s v="Prestación de servicios de apoyo a la gestión para la recolección, procesamiento y creación de productos audiovisuales para los diferentes canales de comunicación institucionales."/>
    <m/>
    <m/>
    <n v="37500000"/>
    <m/>
    <m/>
    <n v="5000000"/>
    <m/>
    <n v="5000000"/>
    <m/>
    <n v="5000000"/>
    <m/>
    <n v="5000000"/>
    <m/>
    <n v="5000000"/>
    <n v="23986200"/>
    <n v="5000000"/>
    <m/>
    <n v="5000000"/>
    <m/>
    <n v="5000000"/>
    <m/>
    <n v="5000000"/>
    <m/>
    <n v="16486200"/>
    <m/>
    <m/>
    <n v="61486200"/>
    <n v="61486200"/>
    <n v="0"/>
    <n v="0"/>
    <n v="56526"/>
    <d v="2026-01-22T00:00:00"/>
    <n v="38530800"/>
    <n v="22955400"/>
    <n v="47126"/>
    <d v="2026-02-06T00:00:00"/>
    <n v="37500000"/>
    <n v="23986200"/>
    <n v="1030800"/>
    <s v="FORERO RODRIGUEZ VERONICA RAFAELA"/>
    <s v="CO1.PCCNTR.9244480"/>
    <m/>
    <m/>
    <m/>
    <n v="37500000"/>
    <m/>
    <m/>
    <m/>
    <n v="4166666.67"/>
    <n v="4166666.67"/>
    <m/>
    <n v="5000000"/>
    <n v="5000000"/>
    <m/>
    <m/>
    <m/>
    <m/>
    <m/>
    <m/>
    <m/>
    <m/>
    <m/>
    <m/>
    <m/>
    <m/>
    <m/>
    <m/>
    <m/>
    <m/>
    <m/>
    <m/>
    <m/>
    <m/>
    <m/>
    <m/>
    <m/>
    <m/>
    <n v="37500000"/>
    <n v="9166666.6699999999"/>
    <n v="9166666.6699999999"/>
    <n v="28333333.329999998"/>
    <n v="0"/>
  </r>
  <r>
    <x v="0"/>
    <x v="7"/>
    <s v="Implementación de una solución integral para el acceso a los datos y a la información oportuna y de calidad del sector minero energético a nivel nacional"/>
    <s v="Gestión de la Información"/>
    <s v="Sí"/>
    <s v="Sí"/>
    <s v="Radicado 20261110012353"/>
    <s v="131-63"/>
    <s v="Implementar una adecuada estrategia de comunicación y divulgación de la información del sector minero energético."/>
    <s v="Servicio de Divulgación del Sector Minero Energético"/>
    <s v="Realizar la recolección y procesamiento de la información."/>
    <n v="78111502"/>
    <s v="C-2106-1900-14-53105B-2106019-02"/>
    <x v="3"/>
    <s v="131-63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60878356"/>
    <n v="60878356"/>
    <s v="No"/>
    <s v="N/A"/>
    <s v="Guillermo Holguin"/>
    <s v="Subdirector de Gestión de la Información"/>
    <n v="6012220601"/>
    <s v="guillermo.holguin@upme.gov.co"/>
    <n v="60878356"/>
    <n v="0"/>
    <n v="0"/>
    <n v="0"/>
    <n v="0"/>
    <n v="0"/>
    <n v="0"/>
    <n v="0"/>
    <n v="0"/>
    <n v="0"/>
    <n v="0"/>
    <n v="0"/>
    <n v="0"/>
    <n v="30439178"/>
    <n v="0"/>
    <n v="0"/>
    <n v="0"/>
    <n v="0"/>
    <n v="0"/>
    <n v="0"/>
    <n v="0"/>
    <n v="0"/>
    <n v="0"/>
    <n v="30439178"/>
    <n v="60878356"/>
    <n v="60878356"/>
    <n v="0"/>
    <n v="0"/>
    <s v="Adquirir los servicios necesarios para garantizar el desplazamiento de servidores públicos y contratistas de la UPME a los eventos y espacios institucionales de planeación minero energética."/>
    <n v="60878356"/>
    <m/>
    <m/>
    <m/>
    <m/>
    <m/>
    <m/>
    <m/>
    <m/>
    <m/>
    <m/>
    <m/>
    <m/>
    <n v="30439178"/>
    <m/>
    <m/>
    <m/>
    <m/>
    <m/>
    <m/>
    <m/>
    <m/>
    <m/>
    <n v="30439178"/>
    <m/>
    <m/>
    <n v="60878356"/>
    <n v="60878356"/>
    <n v="0"/>
    <n v="0"/>
    <n v="38826"/>
    <d v="2026-01-15T00:00:00"/>
    <n v="60878356"/>
    <n v="0"/>
    <n v="20326"/>
    <d v="2026-01-26T00:00:00"/>
    <n v="60878356"/>
    <n v="0"/>
    <n v="0"/>
    <s v="FESTIVAL TOURS S.A.S"/>
    <s v="CO1.PCCNTR.9020125"/>
    <n v="60878356"/>
    <m/>
    <m/>
    <m/>
    <m/>
    <m/>
    <m/>
    <m/>
    <m/>
    <m/>
    <m/>
    <m/>
    <m/>
    <m/>
    <m/>
    <m/>
    <m/>
    <m/>
    <m/>
    <m/>
    <m/>
    <m/>
    <m/>
    <m/>
    <m/>
    <m/>
    <m/>
    <m/>
    <m/>
    <m/>
    <m/>
    <m/>
    <m/>
    <m/>
    <m/>
    <m/>
    <n v="60878356"/>
    <n v="0"/>
    <n v="0"/>
    <n v="60878356"/>
    <n v="0"/>
  </r>
  <r>
    <x v="0"/>
    <x v="7"/>
    <s v="Implementación de una solución integral para el acceso a los datos y a la información oportuna y de calidad del sector minero energético a nivel nacional"/>
    <s v="Gestión de la Información"/>
    <s v="No"/>
    <s v="Sí"/>
    <n v="68"/>
    <s v="131-64"/>
    <s v="Implementar una adecuada estrategia de comunicación y divulgación de la información del sector minero energético."/>
    <s v="Servicio de Divulgación del Sector Minero Energético"/>
    <s v="Realizar la recolección y procesamiento de la información."/>
    <s v="N/A"/>
    <s v="C-2106-1900-14-53105B-2106019-02"/>
    <x v="4"/>
    <s v="131-64 Viáticos o gastos de desplazamiento"/>
    <s v="N/A"/>
    <s v="N/A"/>
    <s v="N/A"/>
    <s v="N/A"/>
    <s v="N/A"/>
    <s v="N/A"/>
    <s v="Propios - 21 - Otros recursos de tesorería"/>
    <n v="31441840"/>
    <n v="31441840"/>
    <s v="No"/>
    <s v="N/A"/>
    <s v="Guillermo Holguin"/>
    <s v="Subdirector de Gestión de la Información"/>
    <n v="6012220601"/>
    <s v="guillermo.holguin@upme.gov.co"/>
    <n v="0"/>
    <n v="0"/>
    <n v="0"/>
    <n v="0"/>
    <n v="3144184"/>
    <n v="3144184"/>
    <n v="3144184"/>
    <n v="3144184"/>
    <n v="3144184"/>
    <n v="3144184"/>
    <n v="3144184"/>
    <n v="3144184"/>
    <n v="3144184"/>
    <n v="3144184"/>
    <n v="3144184"/>
    <n v="3144184"/>
    <n v="3144184"/>
    <n v="3144184"/>
    <n v="3144184"/>
    <n v="3144184"/>
    <n v="3144184"/>
    <n v="3144184"/>
    <n v="3144184"/>
    <n v="3144184"/>
    <n v="31441840"/>
    <n v="31441840"/>
    <n v="0"/>
    <n v="0"/>
    <s v="Viáticos o gastos de desplazamiento"/>
    <m/>
    <m/>
    <m/>
    <m/>
    <n v="3144184"/>
    <n v="3144184"/>
    <n v="3144184"/>
    <n v="3144184"/>
    <n v="3144184"/>
    <n v="3144184"/>
    <n v="3144184"/>
    <n v="3144184"/>
    <n v="3144184"/>
    <n v="3144184"/>
    <n v="3144184"/>
    <n v="3144184"/>
    <n v="3144184"/>
    <n v="3144184"/>
    <n v="3144184"/>
    <n v="3144184"/>
    <n v="3144184"/>
    <n v="3144184"/>
    <n v="3144184"/>
    <n v="3144184"/>
    <m/>
    <m/>
    <n v="31441840"/>
    <n v="31441840"/>
    <n v="0"/>
    <n v="0"/>
    <n v="68926.697260000001"/>
    <d v="2026-02-10T00:00:00"/>
    <n v="31441840"/>
    <n v="0"/>
    <s v="69226,69926,72526"/>
    <d v="2026-04-14T00:00:00"/>
    <n v="1737293"/>
    <n v="29704547"/>
    <n v="29704547"/>
    <s v="CASTILLA ACEVEDO JOSE FERNANDO"/>
    <m/>
    <m/>
    <m/>
    <m/>
    <m/>
    <m/>
    <m/>
    <m/>
    <m/>
    <m/>
    <n v="1737293"/>
    <m/>
    <m/>
    <m/>
    <m/>
    <m/>
    <m/>
    <m/>
    <m/>
    <m/>
    <m/>
    <m/>
    <m/>
    <m/>
    <m/>
    <m/>
    <m/>
    <m/>
    <m/>
    <m/>
    <m/>
    <m/>
    <m/>
    <m/>
    <m/>
    <m/>
    <m/>
    <n v="1737293"/>
    <n v="0"/>
    <n v="0"/>
    <n v="1737293"/>
    <n v="0"/>
  </r>
  <r>
    <x v="0"/>
    <x v="7"/>
    <s v="Implementación de una solución integral para el acceso a los datos y a la información oportuna y de calidad del sector minero energético a nivel nacional"/>
    <s v="Gestión de la Información"/>
    <s v="Sí"/>
    <s v="Sí"/>
    <s v="Radicado 20261900002593"/>
    <s v="131-65"/>
    <s v="Implementar una adecuada estrategia de comunicación y divulgación de la información del sector minero energético."/>
    <s v="Servicio de Divulgación del Sector Minero Energético"/>
    <s v="Realizar la recolección y procesamiento de la información."/>
    <n v="80141607"/>
    <s v="C-2106-1900-14-53105B-2106019-02"/>
    <x v="2"/>
    <s v="131-65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40000000"/>
    <n v="40000000"/>
    <s v="No"/>
    <s v="N/A"/>
    <s v="Guillermo Holguin"/>
    <s v="Subdirector de Gestión de la Información"/>
    <n v="6012220601"/>
    <s v="guillermo.holguin@upme.gov.co"/>
    <n v="40000000"/>
    <n v="0"/>
    <n v="0"/>
    <n v="0"/>
    <n v="0"/>
    <n v="0"/>
    <n v="0"/>
    <n v="0"/>
    <n v="0"/>
    <n v="0"/>
    <n v="0"/>
    <n v="0"/>
    <n v="0"/>
    <n v="0"/>
    <n v="0"/>
    <n v="0"/>
    <n v="0"/>
    <n v="0"/>
    <n v="0"/>
    <n v="0"/>
    <n v="0"/>
    <n v="0"/>
    <n v="0"/>
    <n v="40000000"/>
    <n v="40000000"/>
    <n v="40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n v="40000000"/>
    <m/>
    <m/>
    <m/>
    <m/>
    <m/>
    <m/>
    <m/>
    <m/>
    <m/>
    <m/>
    <m/>
    <m/>
    <m/>
    <m/>
    <m/>
    <m/>
    <m/>
    <m/>
    <m/>
    <m/>
    <m/>
    <m/>
    <n v="40000000"/>
    <m/>
    <m/>
    <n v="40000000"/>
    <n v="40000000"/>
    <n v="0"/>
    <n v="0"/>
    <n v="15126"/>
    <d v="2026-01-09T00:00:00"/>
    <n v="40000000"/>
    <n v="0"/>
    <n v="26226"/>
    <d v="2026-01-28T00:00:00"/>
    <n v="40000000"/>
    <n v="0"/>
    <n v="0"/>
    <s v="M2C ESTRATEGIAS SAS"/>
    <s v="CO1.PCCNTR.9130164"/>
    <n v="40000000"/>
    <m/>
    <m/>
    <m/>
    <m/>
    <m/>
    <m/>
    <m/>
    <m/>
    <m/>
    <n v="11241492.720000001"/>
    <n v="11241492.720000001"/>
    <m/>
    <m/>
    <m/>
    <m/>
    <m/>
    <m/>
    <m/>
    <m/>
    <m/>
    <m/>
    <m/>
    <m/>
    <m/>
    <m/>
    <m/>
    <m/>
    <m/>
    <m/>
    <m/>
    <m/>
    <m/>
    <m/>
    <m/>
    <m/>
    <n v="40000000"/>
    <n v="11241492.720000001"/>
    <n v="11241492.720000001"/>
    <n v="28758507.280000001"/>
    <n v="0"/>
  </r>
  <r>
    <x v="0"/>
    <x v="7"/>
    <s v="Implementación de una solución integral para el acceso a los datos y a la información oportuna y de calidad del sector minero energético a nivel nacional"/>
    <s v="Gestión de la Información"/>
    <s v="Sí"/>
    <s v="Sí"/>
    <n v="68"/>
    <s v="131-66"/>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6 Prestación de servicios profesionales con autonomía técnica y administrativa, para el acompañamiento jurídico especializado en la gestión contractual de la Subdirección de Gestión de la Información y de la entidad, en coordinación con el Git de Ges"/>
    <s v="Enero "/>
    <s v="Enero "/>
    <s v="Enero "/>
    <n v="6"/>
    <s v="Meses"/>
    <s v="Contratación directa - Prestación de servicios profesionales "/>
    <s v="Propios - 21 - Otros recursos de tesorería"/>
    <n v="45000000"/>
    <n v="45000000"/>
    <s v="No"/>
    <s v="N/A"/>
    <s v="Guillermo Holguin"/>
    <s v="Subdirector de Gestión de la Información"/>
    <n v="6012220601"/>
    <s v="guillermo.holguin@upme.gov.co"/>
    <n v="45000000"/>
    <n v="0"/>
    <n v="0"/>
    <n v="3750000"/>
    <n v="0"/>
    <n v="7500000"/>
    <n v="0"/>
    <n v="7500000"/>
    <n v="0"/>
    <n v="7500000"/>
    <n v="0"/>
    <n v="7500000"/>
    <n v="0"/>
    <n v="7500000"/>
    <n v="0"/>
    <n v="3750000"/>
    <n v="0"/>
    <n v="0"/>
    <n v="0"/>
    <n v="0"/>
    <n v="0"/>
    <n v="0"/>
    <n v="0"/>
    <n v="0"/>
    <n v="45000000"/>
    <n v="45000000"/>
    <n v="0"/>
    <n v="0"/>
    <s v="Prestación de servicios profesionales con autonomía técnica y administrativa, para el acompañamiento jurídico especializado en la gestión contractual de la Subdirección de Gestión de la Información y de la entidad, en coordinación con el Git de Gestión Co"/>
    <n v="45000000"/>
    <m/>
    <m/>
    <n v="3750000"/>
    <m/>
    <n v="7500000"/>
    <m/>
    <n v="7500000"/>
    <m/>
    <n v="7500000"/>
    <m/>
    <n v="7500000"/>
    <m/>
    <n v="7500000"/>
    <m/>
    <n v="3750000"/>
    <m/>
    <m/>
    <m/>
    <m/>
    <m/>
    <m/>
    <m/>
    <m/>
    <m/>
    <m/>
    <n v="45000000"/>
    <n v="45000000"/>
    <n v="0"/>
    <n v="0"/>
    <n v="9526"/>
    <d v="2026-01-06T00:00:00"/>
    <n v="45000000"/>
    <n v="0"/>
    <n v="9826"/>
    <d v="2026-01-16T00:00:00"/>
    <n v="45000000"/>
    <n v="0"/>
    <n v="0"/>
    <s v="HIGUERA SAAVEDRA ERIKA JOHANNA"/>
    <s v="CO1.PCCNTR.8846950"/>
    <n v="45000000"/>
    <m/>
    <m/>
    <m/>
    <n v="3500000"/>
    <n v="3500000"/>
    <m/>
    <n v="7500000"/>
    <n v="7500000"/>
    <m/>
    <n v="7500000"/>
    <n v="7500000"/>
    <m/>
    <m/>
    <m/>
    <m/>
    <m/>
    <m/>
    <m/>
    <m/>
    <m/>
    <m/>
    <m/>
    <m/>
    <m/>
    <m/>
    <m/>
    <m/>
    <m/>
    <m/>
    <m/>
    <m/>
    <m/>
    <m/>
    <m/>
    <m/>
    <n v="45000000"/>
    <n v="18500000"/>
    <n v="18500000"/>
    <n v="26500000"/>
    <n v="0"/>
  </r>
  <r>
    <x v="0"/>
    <x v="7"/>
    <s v="Implementación de una solución integral para el acceso a los datos y a la información oportuna y de calidad del sector minero energético a nivel nacional"/>
    <s v="Gestión de la Información"/>
    <s v="Sí"/>
    <s v="Sí"/>
    <n v="6"/>
    <s v="131-67"/>
    <s v="Implementar una adecuada estrategia de comunicación y divulgación de la información del sector minero energético."/>
    <s v="Servicio de Divulgación del Sector Minero Energético"/>
    <s v="Desarrollar el proceso de divulgación."/>
    <n v="80111620"/>
    <s v="C-2106-1900-14-53105B-2106019-02"/>
    <x v="0"/>
    <s v="131-67 Prestación de servicios profesionales de estructuración gráfica de documentos, diseño digital, presentaciones de diversa índole que sean requeridos por el área de comunicaciones."/>
    <s v="Enero "/>
    <s v="Enero "/>
    <s v="Enero "/>
    <n v="11"/>
    <s v="Meses"/>
    <s v="Contratación directa - Prestación de servicios profesionales "/>
    <s v="Propios - 21 - Otros recursos de tesorería"/>
    <n v="46500300"/>
    <n v="46500300"/>
    <s v="No"/>
    <s v="N/A"/>
    <s v="Guillermo Holguin"/>
    <s v="Subdirector de Gestión de la Información"/>
    <n v="6012220601"/>
    <s v="guillermo.holguin@upme.gov.co"/>
    <n v="0"/>
    <n v="0"/>
    <n v="0"/>
    <n v="0"/>
    <n v="0"/>
    <n v="0"/>
    <n v="0"/>
    <n v="0"/>
    <n v="0"/>
    <n v="0"/>
    <n v="0"/>
    <n v="0"/>
    <n v="0"/>
    <n v="0"/>
    <n v="46500300"/>
    <n v="0"/>
    <n v="0"/>
    <n v="0"/>
    <n v="0"/>
    <n v="0"/>
    <n v="0"/>
    <n v="0"/>
    <n v="0"/>
    <n v="46500300"/>
    <n v="46500300"/>
    <n v="46500300"/>
    <n v="0"/>
    <n v="0"/>
    <s v="Prestación de servicios profesionales de estructuración gráfica de documentos, diseño digital, presentaciones de diversa índole que sean requeridos por el área de comunicaciones."/>
    <m/>
    <m/>
    <m/>
    <m/>
    <m/>
    <m/>
    <m/>
    <m/>
    <m/>
    <m/>
    <m/>
    <m/>
    <m/>
    <m/>
    <n v="46500300"/>
    <m/>
    <m/>
    <m/>
    <m/>
    <m/>
    <m/>
    <m/>
    <m/>
    <n v="46500300"/>
    <m/>
    <m/>
    <n v="46500300"/>
    <n v="46500300"/>
    <n v="0"/>
    <n v="0"/>
    <n v="57226"/>
    <d v="2026-01-22T00:00:00"/>
    <n v="0"/>
    <n v="46500300"/>
    <m/>
    <m/>
    <n v="0"/>
    <n v="46500300"/>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
    <s v="131-68"/>
    <s v="Implementar una adecuada estrategia de comunicación y divulgación de la información del sector minero energético."/>
    <s v="Servicio de Divulgación del Sector Minero Energético"/>
    <s v="Desarrollar el proceso de divulgación."/>
    <n v="80111620"/>
    <s v="C-2106-1900-14-53105B-2106019-02"/>
    <x v="0"/>
    <s v="131-68 Prestación de servicios profesionales para la contribución técnica y metodológica en el desarrollo e implementación de estrategias y programas asociados a la transición energética justa."/>
    <s v="Enero "/>
    <s v="Enero "/>
    <s v="Enero "/>
    <n v="11"/>
    <s v="Meses"/>
    <s v="Contratación directa - Prestación de servicios profesionales "/>
    <s v="Propios - 21 - Otros recursos de tesorería"/>
    <n v="149600000"/>
    <n v="149600000"/>
    <s v="No"/>
    <s v="N/A"/>
    <s v="Guillermo Holguin"/>
    <s v="Subdirector de Gestión de la Información"/>
    <n v="6012220601"/>
    <s v="guillermo.holguin@upme.gov.co"/>
    <n v="0"/>
    <n v="0"/>
    <n v="129200000"/>
    <n v="0"/>
    <n v="0"/>
    <n v="13600000"/>
    <n v="0"/>
    <n v="13600000"/>
    <n v="0"/>
    <n v="13600000"/>
    <n v="0"/>
    <n v="13600000"/>
    <n v="0"/>
    <n v="13600000"/>
    <n v="20400000"/>
    <n v="13600000"/>
    <n v="0"/>
    <n v="13600000"/>
    <n v="0"/>
    <n v="13600000"/>
    <n v="0"/>
    <n v="13600000"/>
    <n v="0"/>
    <n v="27200000"/>
    <n v="149600000"/>
    <n v="149600000"/>
    <n v="0"/>
    <n v="0"/>
    <s v="Prestación de servicios profesionales para la contribución técnica y metodológica en el desarrollo e implementación de estrategias y programas asociados a la transición energética justa."/>
    <m/>
    <m/>
    <n v="129200000"/>
    <m/>
    <m/>
    <n v="13600000"/>
    <m/>
    <n v="13600000"/>
    <m/>
    <n v="13600000"/>
    <m/>
    <n v="13600000"/>
    <m/>
    <n v="13600000"/>
    <n v="20400000"/>
    <n v="13600000"/>
    <m/>
    <n v="13600000"/>
    <m/>
    <n v="13600000"/>
    <m/>
    <n v="13600000"/>
    <m/>
    <n v="27200000"/>
    <m/>
    <m/>
    <n v="149600000"/>
    <n v="149600000"/>
    <n v="0"/>
    <n v="0"/>
    <n v="56626"/>
    <d v="2026-01-22T00:00:00"/>
    <n v="129200000"/>
    <n v="20400000"/>
    <n v="37126"/>
    <d v="2026-02-02T00:00:00"/>
    <n v="129200000"/>
    <n v="20400000"/>
    <n v="0"/>
    <s v="RAMIREZ TOVAR ANA MARIA"/>
    <s v="CO1.PCCNTR.9161699"/>
    <m/>
    <m/>
    <m/>
    <n v="129200000"/>
    <m/>
    <m/>
    <m/>
    <n v="12693333"/>
    <n v="12693333"/>
    <m/>
    <n v="13600000"/>
    <n v="13600000"/>
    <m/>
    <m/>
    <m/>
    <m/>
    <m/>
    <m/>
    <m/>
    <m/>
    <m/>
    <m/>
    <m/>
    <m/>
    <m/>
    <m/>
    <m/>
    <m/>
    <m/>
    <m/>
    <m/>
    <m/>
    <m/>
    <m/>
    <m/>
    <m/>
    <n v="129200000"/>
    <n v="26293333"/>
    <n v="26293333"/>
    <n v="102906667"/>
    <n v="0"/>
  </r>
  <r>
    <x v="0"/>
    <x v="7"/>
    <s v="Implementación de una solución integral para el acceso a los datos y a la información oportuna y de calidad del sector minero energético a nivel nacional"/>
    <s v="Gestión de la Información"/>
    <s v="Sí"/>
    <s v="Sí"/>
    <n v="7"/>
    <s v="131-69"/>
    <s v="Implementar una adecuada estrategia de comunicación y divulgación de la información del sector minero energético."/>
    <s v="Servicio de Divulgación del Sector Minero Energético"/>
    <s v="Desarrollar el proceso de divulgación."/>
    <n v="80111620"/>
    <s v="C-2106-1900-14-53105B-2106019-02"/>
    <x v="0"/>
    <s v="131-69 Prestación de servicios profesionales especializados en la Subdirección de Gestión de la Información para el direccionamiento de planes, programas y proyectos institucionales asociados al ejercicio efectivo del rol como Lider de la Gestión Estratég"/>
    <s v="Enero "/>
    <s v="Enero "/>
    <s v="Enero "/>
    <n v="11"/>
    <s v="Meses"/>
    <s v="Contratación directa - Prestación de servicios profesionales "/>
    <s v="Propios - 21 - Otros recursos de tesorería"/>
    <n v="100383333"/>
    <n v="100383333"/>
    <s v="No"/>
    <s v="N/A"/>
    <s v="Guillermo Holguin"/>
    <s v="Subdirector de Gestión de la Información"/>
    <n v="6012220601"/>
    <s v="guillermo.holguin@upme.gov.co"/>
    <n v="0"/>
    <n v="0"/>
    <n v="100383333"/>
    <n v="0"/>
    <n v="0"/>
    <n v="13600000"/>
    <n v="0"/>
    <n v="13600000"/>
    <n v="0"/>
    <n v="13600000"/>
    <n v="0"/>
    <n v="13600000"/>
    <n v="0"/>
    <n v="13600000"/>
    <n v="0"/>
    <n v="13600000"/>
    <n v="0"/>
    <n v="5183333"/>
    <n v="0"/>
    <n v="0"/>
    <n v="0"/>
    <n v="0"/>
    <n v="0"/>
    <n v="13600000"/>
    <n v="100383333"/>
    <n v="100383333"/>
    <n v="0"/>
    <n v="0"/>
    <s v="Prestación de servicios profesionales especializados en la Subdirección de Gestión de la Información para el direccionamiento de planes, programas y proyectos institucionales asociados al ejercicio efectivo del rol como Lider de la Gestión Estratégica de "/>
    <m/>
    <m/>
    <n v="100383333"/>
    <m/>
    <m/>
    <n v="13600000"/>
    <m/>
    <n v="13600000"/>
    <m/>
    <n v="13600000"/>
    <m/>
    <n v="13600000"/>
    <m/>
    <n v="13600000"/>
    <m/>
    <n v="13600000"/>
    <m/>
    <n v="5183333"/>
    <m/>
    <m/>
    <m/>
    <m/>
    <m/>
    <n v="13600000"/>
    <m/>
    <m/>
    <n v="100383333"/>
    <n v="100383333"/>
    <n v="0"/>
    <n v="0"/>
    <n v="62426"/>
    <d v="2026-01-23T00:00:00"/>
    <n v="100383333"/>
    <n v="0"/>
    <n v="37426"/>
    <d v="2026-02-02T00:00:00"/>
    <n v="100383333"/>
    <n v="0"/>
    <n v="0"/>
    <s v="REMIREZ CARRERO RICARDO HUMBERTO"/>
    <s v="CO1.PCCNTR.9158997"/>
    <m/>
    <m/>
    <m/>
    <n v="100383333"/>
    <m/>
    <m/>
    <m/>
    <m/>
    <m/>
    <m/>
    <m/>
    <m/>
    <m/>
    <m/>
    <m/>
    <m/>
    <m/>
    <m/>
    <m/>
    <m/>
    <m/>
    <m/>
    <m/>
    <m/>
    <m/>
    <m/>
    <m/>
    <m/>
    <m/>
    <m/>
    <m/>
    <m/>
    <m/>
    <m/>
    <m/>
    <m/>
    <n v="100383333"/>
    <n v="0"/>
    <n v="0"/>
    <n v="100383333"/>
    <n v="0"/>
  </r>
  <r>
    <x v="0"/>
    <x v="7"/>
    <s v="Implementación de una solución integral para el acceso a los datos y a la información oportuna y de calidad del sector minero energético a nivel nacional"/>
    <s v="Gestión de la Información"/>
    <s v="Sí"/>
    <s v="Sí"/>
    <n v="68"/>
    <s v="131-70"/>
    <s v="Implementar una adecuada estrategia de comunicación y divulgación de la información del sector minero energético."/>
    <s v="Servicio de Divulgación del Sector Minero Energético"/>
    <s v="Desarrollar el proceso de divulgación."/>
    <n v="80111620"/>
    <s v="C-2106-1900-14-53105B-2106019-02"/>
    <x v="0"/>
    <s v="131-7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6312922"/>
    <n v="6312922"/>
    <s v="No"/>
    <s v="N/A"/>
    <s v="Guillermo Holguin"/>
    <s v="Subdirector de Gestión de la Información"/>
    <n v="6012220601"/>
    <s v="guillermo.holguin@upme.gov.co"/>
    <n v="0"/>
    <n v="0"/>
    <n v="6312922"/>
    <n v="0"/>
    <n v="0"/>
    <n v="0"/>
    <n v="0"/>
    <n v="0"/>
    <n v="0"/>
    <n v="0"/>
    <n v="0"/>
    <n v="3371320"/>
    <n v="0"/>
    <n v="2941602"/>
    <n v="0"/>
    <n v="0"/>
    <n v="0"/>
    <n v="0"/>
    <n v="0"/>
    <n v="0"/>
    <n v="0"/>
    <n v="0"/>
    <n v="0"/>
    <n v="0"/>
    <n v="6312922"/>
    <n v="6312922"/>
    <n v="0"/>
    <n v="0"/>
    <s v="Prestar servicios profesionales orientados al fortalecimiento de la Dimensión de Control Interno mediante la ejecución del Plan Anual de Auditorías Internas Independientes, con énfasis en la evaluación de la gestión administrativa de la UPME."/>
    <m/>
    <m/>
    <n v="6312922"/>
    <m/>
    <m/>
    <m/>
    <m/>
    <m/>
    <m/>
    <m/>
    <m/>
    <n v="3371320"/>
    <m/>
    <n v="2941602"/>
    <m/>
    <m/>
    <m/>
    <m/>
    <m/>
    <m/>
    <m/>
    <m/>
    <m/>
    <m/>
    <m/>
    <m/>
    <n v="6312922"/>
    <n v="6312922"/>
    <n v="0"/>
    <n v="0"/>
    <n v="64026"/>
    <d v="2026-01-23T00:00:00"/>
    <n v="6312922"/>
    <n v="0"/>
    <n v="59726"/>
    <d v="2026-02-12T00:00:00"/>
    <n v="6312922"/>
    <n v="0"/>
    <n v="0"/>
    <s v="NUÑEZ GANTIVA NATALIA ELIANA"/>
    <s v="CO1.PCCNTR.9306722"/>
    <m/>
    <m/>
    <m/>
    <n v="6312922"/>
    <m/>
    <m/>
    <m/>
    <m/>
    <m/>
    <m/>
    <m/>
    <m/>
    <m/>
    <m/>
    <m/>
    <m/>
    <m/>
    <m/>
    <m/>
    <m/>
    <m/>
    <m/>
    <m/>
    <m/>
    <m/>
    <m/>
    <m/>
    <m/>
    <m/>
    <m/>
    <m/>
    <m/>
    <m/>
    <m/>
    <m/>
    <m/>
    <n v="6312922"/>
    <n v="0"/>
    <n v="0"/>
    <n v="6312922"/>
    <n v="0"/>
  </r>
  <r>
    <x v="0"/>
    <x v="7"/>
    <s v="Implementación de una solución integral para el acceso a los datos y a la información oportuna y de calidad del sector minero energético a nivel nacional"/>
    <s v="Gestión de la Información"/>
    <s v="Sí"/>
    <s v="Sí"/>
    <n v="23"/>
    <s v="131-71"/>
    <s v="Implementar una adecuada estrategia de comunicación y divulgación de la información del sector minero energético."/>
    <s v="Servicio de Divulgación del Sector Minero Energético"/>
    <s v="Desarrollar el proceso de divulgación."/>
    <n v="80111620"/>
    <s v="C-2106-1900-14-53105B-2106019-02"/>
    <x v="0"/>
    <s v="131-71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1 - Otros recursos de tesorería"/>
    <n v="6312922"/>
    <n v="6312922"/>
    <s v="No"/>
    <s v="N/A"/>
    <s v="Guillermo Holguin"/>
    <s v="Subdirector de Gestión de la Información"/>
    <n v="6012220601"/>
    <s v="guillermo.holguin@upme.gov.co"/>
    <n v="0"/>
    <n v="0"/>
    <n v="0"/>
    <n v="0"/>
    <n v="0"/>
    <n v="0"/>
    <n v="0"/>
    <n v="0"/>
    <n v="0"/>
    <n v="0"/>
    <n v="0"/>
    <n v="0"/>
    <n v="6312922"/>
    <n v="0"/>
    <n v="0"/>
    <n v="0"/>
    <n v="0"/>
    <n v="0"/>
    <n v="0"/>
    <n v="2000000"/>
    <n v="0"/>
    <n v="2000000"/>
    <n v="0"/>
    <n v="2312922"/>
    <n v="6312922"/>
    <n v="6312922"/>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312922"/>
    <m/>
    <m/>
    <m/>
    <m/>
    <m/>
    <m/>
    <n v="2000000"/>
    <m/>
    <n v="2000000"/>
    <m/>
    <n v="2312922"/>
    <m/>
    <m/>
    <n v="6312922"/>
    <n v="6312922"/>
    <n v="0"/>
    <n v="0"/>
    <m/>
    <m/>
    <m/>
    <n v="6312922"/>
    <m/>
    <m/>
    <n v="0"/>
    <n v="6312922"/>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23"/>
    <s v="131-72"/>
    <s v="Implementar una adecuada estrategia de comunicación y divulgación de la información del sector minero energético."/>
    <s v="Servicio de Divulgación del Sector Minero Energético"/>
    <s v="Desarrollar el proceso de divulgación."/>
    <n v="80111620"/>
    <s v="C-2106-1900-14-53105B-2106019-02"/>
    <x v="0"/>
    <s v="131-72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6312923"/>
    <n v="6312923"/>
    <s v="No"/>
    <s v="N/A"/>
    <s v="Guillermo Holguin"/>
    <s v="Subdirector de Gestión de la Información"/>
    <n v="6012220601"/>
    <s v="guillermo.holguin@upme.gov.co"/>
    <n v="0"/>
    <n v="0"/>
    <n v="0"/>
    <n v="0"/>
    <n v="0"/>
    <n v="0"/>
    <n v="0"/>
    <n v="0"/>
    <n v="0"/>
    <n v="0"/>
    <n v="0"/>
    <n v="0"/>
    <n v="6312923"/>
    <n v="0"/>
    <n v="0"/>
    <n v="0"/>
    <n v="0"/>
    <n v="0"/>
    <n v="0"/>
    <n v="2000000"/>
    <n v="0"/>
    <n v="2000000"/>
    <n v="0"/>
    <n v="2312923"/>
    <n v="6312923"/>
    <n v="6312923"/>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312923"/>
    <m/>
    <m/>
    <m/>
    <m/>
    <m/>
    <m/>
    <n v="2000000"/>
    <m/>
    <n v="2000000"/>
    <m/>
    <n v="2312923"/>
    <m/>
    <m/>
    <n v="6312923"/>
    <n v="6312923"/>
    <n v="0"/>
    <n v="0"/>
    <m/>
    <m/>
    <m/>
    <n v="6312923"/>
    <m/>
    <m/>
    <n v="0"/>
    <n v="6312923"/>
    <n v="0"/>
    <m/>
    <m/>
    <m/>
    <m/>
    <m/>
    <m/>
    <m/>
    <m/>
    <m/>
    <m/>
    <m/>
    <m/>
    <m/>
    <m/>
    <m/>
    <m/>
    <m/>
    <m/>
    <m/>
    <m/>
    <m/>
    <m/>
    <m/>
    <m/>
    <m/>
    <m/>
    <m/>
    <m/>
    <m/>
    <m/>
    <m/>
    <m/>
    <m/>
    <m/>
    <m/>
    <m/>
    <m/>
    <m/>
    <n v="0"/>
    <n v="0"/>
    <n v="0"/>
    <n v="0"/>
    <n v="0"/>
  </r>
  <r>
    <x v="0"/>
    <x v="7"/>
    <s v="Implementación de una solución integral para el acceso a los datos y a la información oportuna y de calidad del sector minero energético a nivel nacional"/>
    <s v="Gestión de la Información"/>
    <s v="Sí"/>
    <s v="Sí"/>
    <n v="68"/>
    <s v="131-73"/>
    <s v="Implementar una adecuada estrategia de comunicación y divulgación de la información del sector minero energético."/>
    <s v="Servicio de Divulgación del Sector Minero Energético"/>
    <s v="Desarrollar el proceso de divulgación."/>
    <n v="80111620"/>
    <s v="C-2106-1900-14-53105B-2106019-02"/>
    <x v="0"/>
    <s v="131-73 Prestar servicios profesionales para la gestión de las fases contractuales de la entidad, con especial énfasis en los asuntos relativos a la Subdirección de Gestión de la Información, en asocio con el GIT de Gestión Contractual."/>
    <s v="Enero "/>
    <s v="Enero "/>
    <s v="Enero "/>
    <n v="6"/>
    <s v="Meses"/>
    <s v="Contratación directa - Prestación de servicios profesionales "/>
    <s v="Propios - 21 - Otros recursos de tesorería"/>
    <n v="2577600"/>
    <n v="2577600"/>
    <s v="No"/>
    <s v="N/A"/>
    <s v="Guillermo Holguin"/>
    <s v="Subdirector de Gestión de la Información"/>
    <n v="6012220601"/>
    <s v="guillermo.holguin@upme.gov.co"/>
    <n v="2577600"/>
    <n v="0"/>
    <n v="0"/>
    <n v="827600"/>
    <n v="0"/>
    <n v="1750000"/>
    <n v="0"/>
    <n v="0"/>
    <n v="0"/>
    <n v="0"/>
    <n v="0"/>
    <n v="0"/>
    <n v="0"/>
    <n v="0"/>
    <n v="0"/>
    <n v="0"/>
    <n v="0"/>
    <n v="0"/>
    <n v="0"/>
    <n v="0"/>
    <n v="0"/>
    <n v="0"/>
    <n v="0"/>
    <n v="0"/>
    <n v="2577600"/>
    <n v="2577600"/>
    <n v="0"/>
    <n v="0"/>
    <s v="Prestar servicios profesionales para la gestión de las fases contractuales de la entidad, con especial énfasis en los asuntos relativos a la Subdirección de Gestión de la Información, en asocio con el GIT de Gestión Contractual."/>
    <n v="2577600"/>
    <m/>
    <m/>
    <n v="827600"/>
    <m/>
    <n v="1750000"/>
    <m/>
    <m/>
    <m/>
    <m/>
    <m/>
    <m/>
    <m/>
    <m/>
    <m/>
    <m/>
    <m/>
    <m/>
    <m/>
    <m/>
    <m/>
    <m/>
    <m/>
    <m/>
    <m/>
    <m/>
    <n v="2577600"/>
    <n v="2577600"/>
    <n v="0"/>
    <n v="0"/>
    <n v="9426"/>
    <d v="2026-01-06T00:00:00"/>
    <n v="2577600"/>
    <n v="0"/>
    <n v="3026"/>
    <d v="2026-01-09T00:00:00"/>
    <n v="2577600"/>
    <n v="0"/>
    <n v="0"/>
    <s v="PINZON LEYVA MARIA DEL PILAR"/>
    <s v="CO1.PCCNTR.8786301"/>
    <n v="2577600"/>
    <m/>
    <m/>
    <m/>
    <m/>
    <m/>
    <m/>
    <m/>
    <m/>
    <m/>
    <m/>
    <m/>
    <m/>
    <m/>
    <m/>
    <m/>
    <m/>
    <m/>
    <m/>
    <m/>
    <m/>
    <m/>
    <m/>
    <m/>
    <m/>
    <m/>
    <m/>
    <m/>
    <m/>
    <m/>
    <m/>
    <m/>
    <m/>
    <m/>
    <m/>
    <m/>
    <n v="2577600"/>
    <n v="0"/>
    <n v="0"/>
    <n v="2577600"/>
    <n v="0"/>
  </r>
  <r>
    <x v="0"/>
    <x v="7"/>
    <s v="Implementación de una solución integral para el acceso a los datos y a la información oportuna y de calidad del sector minero energético a nivel nacional"/>
    <s v="Gestión de la Información"/>
    <s v="Sí"/>
    <s v="Sí"/>
    <n v="23"/>
    <s v="131-74"/>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4 Prestación de servicios de apoyo a la gestión orientados a la estructuración y organización documental de la Subdirección de Gestión de la Información"/>
    <s v="Enero "/>
    <s v="Enero "/>
    <s v="Enero "/>
    <n v="10"/>
    <s v="Meses"/>
    <s v="Contratación directa - Prestación de servicios profesionales "/>
    <s v="Propios - 20 - Ingresos corrientes"/>
    <n v="30000000"/>
    <n v="30000000"/>
    <s v="No"/>
    <s v="N/A"/>
    <s v="Guillermo Holguin"/>
    <s v="Subdirector de Gestión de la Información"/>
    <n v="6012220601"/>
    <s v="guillermo.holguin@upme.gov.co"/>
    <n v="0"/>
    <n v="0"/>
    <n v="30000000"/>
    <n v="0"/>
    <n v="0"/>
    <n v="3000000"/>
    <n v="0"/>
    <n v="3000000"/>
    <n v="0"/>
    <n v="3000000"/>
    <n v="0"/>
    <n v="3000000"/>
    <n v="0"/>
    <n v="3000000"/>
    <n v="0"/>
    <n v="3000000"/>
    <n v="0"/>
    <n v="3000000"/>
    <n v="0"/>
    <n v="3000000"/>
    <n v="0"/>
    <n v="3000000"/>
    <n v="0"/>
    <n v="3000000"/>
    <n v="30000000"/>
    <n v="30000000"/>
    <n v="0"/>
    <n v="0"/>
    <s v="Prestación de servicios de apoyo a la gestión orientados a la estructuración y organización documental de la Subdirección de Gestión de la Información"/>
    <m/>
    <m/>
    <n v="30000000"/>
    <m/>
    <m/>
    <n v="3000000"/>
    <m/>
    <n v="3000000"/>
    <m/>
    <n v="3000000"/>
    <m/>
    <n v="3000000"/>
    <m/>
    <n v="3000000"/>
    <m/>
    <n v="3000000"/>
    <m/>
    <n v="3000000"/>
    <m/>
    <n v="3000000"/>
    <m/>
    <n v="3000000"/>
    <m/>
    <n v="3000000"/>
    <m/>
    <m/>
    <n v="30000000"/>
    <n v="30000000"/>
    <n v="0"/>
    <n v="0"/>
    <n v="56126"/>
    <d v="2026-01-22T00:00:00"/>
    <n v="29952000"/>
    <n v="48000"/>
    <n v="40326"/>
    <d v="2026-02-03T00:00:00"/>
    <n v="29952000"/>
    <n v="48000"/>
    <n v="0"/>
    <s v="GOMEZ SILVA LUZ YESENIA"/>
    <s v="CO1.PCCNTR.9237614"/>
    <m/>
    <m/>
    <m/>
    <n v="29952000"/>
    <m/>
    <m/>
    <m/>
    <n v="3042000"/>
    <n v="3042000"/>
    <m/>
    <n v="3510000"/>
    <n v="3510000"/>
    <m/>
    <m/>
    <m/>
    <m/>
    <m/>
    <m/>
    <m/>
    <m/>
    <m/>
    <m/>
    <m/>
    <m/>
    <m/>
    <m/>
    <m/>
    <m/>
    <m/>
    <m/>
    <m/>
    <m/>
    <m/>
    <m/>
    <m/>
    <m/>
    <n v="29952000"/>
    <n v="6552000"/>
    <n v="6552000"/>
    <n v="23400000"/>
    <n v="0"/>
  </r>
  <r>
    <x v="0"/>
    <x v="7"/>
    <s v="Implementación de una solución integral para el acceso a los datos y a la información oportuna y de calidad del sector minero energético a nivel nacional"/>
    <s v="Gestión de la Información"/>
    <s v="Sí"/>
    <s v="Sí"/>
    <n v="23"/>
    <s v="131-75"/>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5 Prestar apoyo a la consolidación, actualización y revisión de los inventarios y bienes de la UPME la Modernización de Procesos de la Entidad."/>
    <s v="Enero "/>
    <s v="Enero "/>
    <s v="Enero "/>
    <n v="11.5"/>
    <s v="Meses"/>
    <s v="Contratación directa - Prestación de servicios profesionales "/>
    <s v="Propios - 20 - Ingresos corrientes"/>
    <n v="44850000"/>
    <n v="44850000"/>
    <s v="No"/>
    <s v="N/A"/>
    <s v="Guillermo Holguin"/>
    <s v="Subdirector de Gestión de la Información"/>
    <n v="6012220601"/>
    <s v="guillermo.holguin@upme.gov.co"/>
    <n v="0"/>
    <n v="0"/>
    <n v="44850000"/>
    <n v="0"/>
    <n v="0"/>
    <n v="3900000"/>
    <n v="0"/>
    <n v="3900000"/>
    <n v="0"/>
    <n v="3900000"/>
    <n v="0"/>
    <n v="3900000"/>
    <n v="0"/>
    <n v="3900000"/>
    <n v="0"/>
    <n v="3900000"/>
    <n v="0"/>
    <n v="3900000"/>
    <n v="0"/>
    <n v="3900000"/>
    <n v="0"/>
    <n v="3900000"/>
    <n v="0"/>
    <n v="9750000"/>
    <n v="44850000"/>
    <n v="44850000"/>
    <n v="0"/>
    <n v="0"/>
    <s v="Prestar apoyo a la consolidación, actualización y revisión de los inventarios y bienes de la UPME la Modernización de Procesos de la Entidad."/>
    <m/>
    <m/>
    <n v="44850000"/>
    <m/>
    <m/>
    <n v="3900000"/>
    <m/>
    <n v="3900000"/>
    <m/>
    <n v="3900000"/>
    <m/>
    <n v="3900000"/>
    <m/>
    <n v="3900000"/>
    <m/>
    <n v="3900000"/>
    <m/>
    <n v="3900000"/>
    <m/>
    <n v="3900000"/>
    <m/>
    <n v="3900000"/>
    <m/>
    <n v="9750000"/>
    <m/>
    <m/>
    <n v="44850000"/>
    <n v="44850000"/>
    <n v="0"/>
    <n v="0"/>
    <n v="41326"/>
    <d v="2026-01-16T00:00:00"/>
    <n v="42900000"/>
    <n v="1950000"/>
    <n v="42926"/>
    <d v="2026-02-05T00:00:00"/>
    <n v="42900000"/>
    <n v="1950000"/>
    <n v="0"/>
    <s v="PERALTA GRANADOS HEIDY MARGARITA"/>
    <s v="CO1.PCCNTR.9225965"/>
    <m/>
    <m/>
    <m/>
    <n v="42900000"/>
    <m/>
    <m/>
    <m/>
    <m/>
    <m/>
    <m/>
    <m/>
    <m/>
    <m/>
    <m/>
    <m/>
    <m/>
    <m/>
    <m/>
    <m/>
    <m/>
    <m/>
    <m/>
    <m/>
    <m/>
    <m/>
    <m/>
    <m/>
    <m/>
    <m/>
    <m/>
    <m/>
    <m/>
    <m/>
    <m/>
    <m/>
    <m/>
    <n v="42900000"/>
    <n v="0"/>
    <n v="0"/>
    <n v="42900000"/>
    <n v="0"/>
  </r>
  <r>
    <x v="0"/>
    <x v="7"/>
    <s v="Implementación de una solución integral para el acceso a los datos y a la información oportuna y de calidad del sector minero energético a nivel nacional"/>
    <s v="Gestión de la Información"/>
    <s v="Sí"/>
    <s v="Sí"/>
    <n v="23"/>
    <s v="131-76"/>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6 Prestar servicios profesionales en psicología para apoyar los procesos de provisión y selección de personal de la entidad, de conformidad con los lineamientos institucionales y la normatividad vigente."/>
    <s v="Enero "/>
    <s v="Enero "/>
    <s v="Enero "/>
    <n v="11.5"/>
    <s v="Meses"/>
    <s v="Contratación directa - Prestación de servicios profesionales "/>
    <s v="Propios - 20 - Ingresos corrientes"/>
    <n v="30147856"/>
    <n v="30147856"/>
    <s v="No"/>
    <s v="N/A"/>
    <s v="Guillermo Holguin"/>
    <s v="Subdirector de Gestión de la Información"/>
    <n v="6012220601"/>
    <s v="guillermo.holguin@upme.gov.co"/>
    <n v="28300156"/>
    <n v="0"/>
    <n v="0"/>
    <n v="0"/>
    <n v="0"/>
    <n v="0"/>
    <n v="0"/>
    <n v="0"/>
    <n v="0"/>
    <n v="3046156"/>
    <n v="0"/>
    <n v="3900000"/>
    <n v="1847700"/>
    <n v="3900000"/>
    <n v="0"/>
    <n v="3900000"/>
    <n v="0"/>
    <n v="3900000"/>
    <n v="0"/>
    <n v="3900000"/>
    <n v="0"/>
    <n v="3900000"/>
    <n v="0"/>
    <n v="3701700"/>
    <n v="30147856"/>
    <n v="30147856"/>
    <n v="0"/>
    <n v="0"/>
    <s v="Prestar servicios profesionales en psicología para apoyar los procesos de provisión y selección de personal de la entidad, de conformidad con los lineamientos institucionales y la normatividad vigente."/>
    <n v="28300156"/>
    <m/>
    <m/>
    <m/>
    <m/>
    <m/>
    <m/>
    <m/>
    <m/>
    <n v="3046156"/>
    <m/>
    <n v="3900000"/>
    <n v="1847700"/>
    <n v="3900000"/>
    <m/>
    <n v="3900000"/>
    <m/>
    <n v="3900000"/>
    <m/>
    <n v="3900000"/>
    <m/>
    <n v="3900000"/>
    <m/>
    <n v="3701700"/>
    <m/>
    <m/>
    <n v="30147856"/>
    <n v="30147856"/>
    <n v="0"/>
    <n v="0"/>
    <n v="64426"/>
    <d v="2026-01-24T00:00:00"/>
    <n v="28300156"/>
    <n v="1847700"/>
    <n v="31026"/>
    <d v="2026-01-29T00:00:00"/>
    <n v="28300156"/>
    <n v="1847700"/>
    <n v="0"/>
    <s v="MENDEZ GUTIERREZ DIANA NATHALY"/>
    <s v="CO1.PCCNTR.9142109"/>
    <n v="28300156"/>
    <m/>
    <m/>
    <m/>
    <m/>
    <m/>
    <m/>
    <n v="3818580"/>
    <n v="3818580"/>
    <m/>
    <n v="3695400"/>
    <n v="3695400"/>
    <m/>
    <m/>
    <m/>
    <m/>
    <m/>
    <m/>
    <m/>
    <m/>
    <m/>
    <m/>
    <m/>
    <m/>
    <m/>
    <m/>
    <m/>
    <m/>
    <m/>
    <m/>
    <m/>
    <m/>
    <m/>
    <m/>
    <m/>
    <m/>
    <n v="28300156"/>
    <n v="7513980"/>
    <n v="7513980"/>
    <n v="20786176"/>
    <n v="0"/>
  </r>
  <r>
    <x v="0"/>
    <x v="7"/>
    <s v="Implementación de una solución integral para el acceso a los datos y a la información oportuna y de calidad del sector minero energético a nivel nacional"/>
    <s v="Gestión de la Información"/>
    <s v="Sí"/>
    <s v="Sí"/>
    <n v="68"/>
    <s v="131-77"/>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77 Prestar servicios profesionales en psicología para apoyar los procesos de provisión y selección de personal de la entidad, de conformidad con los lineamientos institucionales y la normatividad vigente."/>
    <s v="Enero "/>
    <s v="Enero "/>
    <s v="Enero "/>
    <n v="11.5"/>
    <s v="Meses"/>
    <s v="Contratación directa - Prestación de servicios profesionales "/>
    <s v="Propios - 21 - Otros recursos de tesorería"/>
    <n v="12349244"/>
    <n v="12349244"/>
    <s v="No"/>
    <s v="N/A"/>
    <s v="Guillermo Holguin"/>
    <s v="Subdirector de Gestión de la Información"/>
    <n v="6012220601"/>
    <s v="guillermo.holguin@upme.gov.co"/>
    <n v="12349244"/>
    <n v="0"/>
    <n v="0"/>
    <n v="3695400"/>
    <n v="0"/>
    <n v="3900000"/>
    <n v="0"/>
    <n v="3900000"/>
    <n v="0"/>
    <n v="853844"/>
    <n v="0"/>
    <n v="0"/>
    <n v="0"/>
    <n v="0"/>
    <n v="0"/>
    <n v="0"/>
    <n v="0"/>
    <n v="0"/>
    <n v="0"/>
    <n v="0"/>
    <n v="0"/>
    <n v="0"/>
    <n v="0"/>
    <n v="0"/>
    <n v="12349244"/>
    <n v="12349244"/>
    <n v="0"/>
    <n v="0"/>
    <s v="Prestar servicios profesionales en psicología para apoyar los procesos de provisión y selección de personal de la entidad, de conformidad con los lineamientos institucionales y la normatividad vigente."/>
    <n v="12349244"/>
    <m/>
    <m/>
    <n v="3695400"/>
    <m/>
    <n v="3900000"/>
    <m/>
    <n v="3900000"/>
    <m/>
    <n v="853844"/>
    <m/>
    <m/>
    <m/>
    <m/>
    <m/>
    <m/>
    <m/>
    <m/>
    <m/>
    <m/>
    <m/>
    <m/>
    <m/>
    <m/>
    <m/>
    <m/>
    <n v="12349244"/>
    <n v="12349244"/>
    <n v="0"/>
    <n v="0"/>
    <n v="64426"/>
    <d v="2026-01-24T00:00:00"/>
    <n v="12349244"/>
    <n v="0"/>
    <n v="31026"/>
    <d v="2026-01-29T00:00:00"/>
    <n v="12349244"/>
    <n v="0"/>
    <n v="0"/>
    <s v="MENDEZ GUTIERREZ DIANA NATHALY"/>
    <s v="CO1.PCCNTR.9142109"/>
    <n v="12349244"/>
    <m/>
    <m/>
    <m/>
    <m/>
    <m/>
    <m/>
    <m/>
    <m/>
    <m/>
    <m/>
    <m/>
    <m/>
    <m/>
    <m/>
    <m/>
    <m/>
    <m/>
    <m/>
    <m/>
    <m/>
    <m/>
    <m/>
    <m/>
    <m/>
    <m/>
    <m/>
    <m/>
    <m/>
    <m/>
    <m/>
    <m/>
    <m/>
    <m/>
    <m/>
    <m/>
    <n v="12349244"/>
    <n v="0"/>
    <n v="0"/>
    <n v="12349244"/>
    <n v="0"/>
  </r>
  <r>
    <x v="0"/>
    <x v="7"/>
    <s v="Implementación de una solución integral para el acceso a los datos y a la información oportuna y de calidad del sector minero energético a nivel nacional"/>
    <s v="Gestión de la Información"/>
    <s v="Sí"/>
    <s v="Sí"/>
    <n v="68"/>
    <s v="131-78"/>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78 Prestación de servicios profesionales para contribuir en la estructuración, planificación, seguimiento y control de los proyectos, iniciativas y líneas estratégicas y de tecnologías de la información asociadas a la Subdirección de Gestión de la Inf"/>
    <s v="Enero "/>
    <s v="Enero "/>
    <s v="Enero "/>
    <n v="10"/>
    <s v="Meses"/>
    <s v="Contratación directa - Prestación de servicios profesionales "/>
    <s v="Propios - 21 - Otros recursos de tesorería"/>
    <n v="55000000"/>
    <n v="55000000"/>
    <s v="No"/>
    <s v="N/A"/>
    <s v="Guillermo Holguin"/>
    <s v="Subdirector de Gestión de la Información"/>
    <n v="6012220601"/>
    <s v="guillermo.holguin@upme.gov.co"/>
    <n v="0"/>
    <n v="0"/>
    <n v="55000000"/>
    <n v="0"/>
    <n v="0"/>
    <n v="5500000"/>
    <n v="0"/>
    <n v="5500000"/>
    <n v="0"/>
    <n v="5500000"/>
    <n v="0"/>
    <n v="5500000"/>
    <n v="0"/>
    <n v="5500000"/>
    <n v="0"/>
    <n v="5500000"/>
    <n v="0"/>
    <n v="5500000"/>
    <n v="0"/>
    <n v="5500000"/>
    <n v="0"/>
    <n v="5500000"/>
    <n v="0"/>
    <n v="5500000"/>
    <n v="55000000"/>
    <n v="55000000"/>
    <n v="0"/>
    <n v="0"/>
    <s v="Prestación de servicios profesionales para contribuir en la estructuración, planificación, seguimiento y control de los proyectos, iniciativas y líneas estratégicas y de tecnologías de la información asociadas a la Subdirección de Gestión de la Informació"/>
    <m/>
    <m/>
    <n v="55000000"/>
    <m/>
    <m/>
    <n v="5500000"/>
    <m/>
    <n v="5500000"/>
    <m/>
    <n v="5500000"/>
    <m/>
    <n v="5500000"/>
    <m/>
    <n v="5500000"/>
    <m/>
    <n v="5500000"/>
    <m/>
    <n v="5500000"/>
    <m/>
    <n v="5500000"/>
    <m/>
    <n v="5500000"/>
    <m/>
    <n v="5500000"/>
    <m/>
    <m/>
    <n v="55000000"/>
    <n v="55000000"/>
    <n v="0"/>
    <n v="0"/>
    <n v="20726"/>
    <d v="2026-01-11T00:00:00"/>
    <n v="55000000"/>
    <n v="0"/>
    <n v="42126"/>
    <d v="2026-02-05T00:00:00"/>
    <n v="55000000"/>
    <n v="0"/>
    <n v="0"/>
    <s v="NUÑEZ GOMEZ CARLOS AUGUSTO"/>
    <s v="CO1.PCCNTR.9199225"/>
    <m/>
    <m/>
    <m/>
    <n v="55000000"/>
    <m/>
    <m/>
    <m/>
    <n v="4766667"/>
    <n v="4766667"/>
    <m/>
    <n v="5500000"/>
    <n v="5500000"/>
    <m/>
    <m/>
    <m/>
    <m/>
    <m/>
    <m/>
    <m/>
    <m/>
    <m/>
    <m/>
    <m/>
    <m/>
    <m/>
    <m/>
    <m/>
    <m/>
    <m/>
    <m/>
    <m/>
    <m/>
    <m/>
    <m/>
    <m/>
    <m/>
    <n v="55000000"/>
    <n v="10266667"/>
    <n v="10266667"/>
    <n v="44733333"/>
    <n v="0"/>
  </r>
  <r>
    <x v="0"/>
    <x v="7"/>
    <s v="Implementación de una solución integral para el acceso a los datos y a la información oportuna y de calidad del sector minero energético a nivel nacional"/>
    <s v="Gestión de la Información"/>
    <s v="Sí"/>
    <s v="Sí"/>
    <n v="68"/>
    <s v="131-79"/>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79 Prestación de servicios profesionales para el control de calidad, documentación y fortalecimiento del gobierno de datos geográficos y sectoriales de la UPME, mediante la verificación, normalización y documentación de la información geoespacial, la "/>
    <s v="Enero "/>
    <s v="Enero "/>
    <s v="Enero "/>
    <n v="11"/>
    <s v="Meses"/>
    <s v="Contratación directa - Prestación de servicios profesionales "/>
    <s v="Propios - 20 - Ingresos corrientes"/>
    <n v="49400000"/>
    <n v="49400000"/>
    <s v="No"/>
    <s v="N/A"/>
    <s v="Guillermo Holguin"/>
    <s v="Subdirector de Gestión de la Información"/>
    <n v="6012220601"/>
    <s v="guillermo.holguin@upme.gov.co"/>
    <n v="49400000"/>
    <n v="0"/>
    <n v="0"/>
    <n v="0"/>
    <n v="0"/>
    <n v="0"/>
    <n v="0"/>
    <n v="5000000"/>
    <n v="0"/>
    <n v="5000000"/>
    <n v="0"/>
    <n v="5000000"/>
    <n v="0"/>
    <n v="5000000"/>
    <n v="0"/>
    <n v="5000000"/>
    <n v="0"/>
    <n v="5000000"/>
    <n v="0"/>
    <n v="5000000"/>
    <n v="0"/>
    <n v="5000000"/>
    <n v="0"/>
    <n v="9400000"/>
    <n v="49400000"/>
    <n v="49400000"/>
    <n v="0"/>
    <n v="0"/>
    <s v="Prestación de servicios profesionales para el control de calidad, documentación y fortalecimiento del gobierno de datos geográficos y sectoriales de la UPME, mediante la verificación, normalización y documentación de la información geoespacial, la gestión"/>
    <n v="49400000"/>
    <m/>
    <m/>
    <m/>
    <m/>
    <m/>
    <m/>
    <n v="5000000"/>
    <m/>
    <n v="5000000"/>
    <m/>
    <n v="5000000"/>
    <m/>
    <n v="5000000"/>
    <m/>
    <n v="5000000"/>
    <m/>
    <n v="5000000"/>
    <m/>
    <n v="5000000"/>
    <m/>
    <n v="5000000"/>
    <m/>
    <n v="9400000"/>
    <m/>
    <m/>
    <n v="49400000"/>
    <n v="49400000"/>
    <n v="0"/>
    <n v="0"/>
    <n v="13626"/>
    <d v="2026-01-08T00:00:00"/>
    <n v="49400000"/>
    <n v="0"/>
    <n v="14426"/>
    <d v="2026-01-21T00:00:00"/>
    <n v="49400000"/>
    <n v="0"/>
    <n v="0"/>
    <s v="SIERRA BAUTISTA IVAN DARIO"/>
    <s v="CO1.PCCNTR.8965738"/>
    <n v="49400000"/>
    <m/>
    <m/>
    <m/>
    <n v="1500000"/>
    <n v="1500000"/>
    <m/>
    <n v="5000000"/>
    <n v="5000000"/>
    <m/>
    <n v="5000000"/>
    <n v="5000000"/>
    <m/>
    <m/>
    <m/>
    <m/>
    <m/>
    <m/>
    <m/>
    <m/>
    <m/>
    <m/>
    <m/>
    <m/>
    <m/>
    <m/>
    <m/>
    <m/>
    <m/>
    <m/>
    <m/>
    <m/>
    <m/>
    <m/>
    <m/>
    <m/>
    <n v="49400000"/>
    <n v="11500000"/>
    <n v="11500000"/>
    <n v="37900000"/>
    <n v="0"/>
  </r>
  <r>
    <x v="0"/>
    <x v="7"/>
    <s v="Implementación de una solución integral para el acceso a los datos y a la información oportuna y de calidad del sector minero energético a nivel nacional"/>
    <s v="Gestión de la Información"/>
    <s v="Sí"/>
    <s v="Sí"/>
    <n v="22"/>
    <s v="131-80"/>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80 Prestación de servicios de apoyo a la gestión para la exploración, limpieza y análisis de datos institucionales y sectoriales"/>
    <s v="Enero "/>
    <s v="Enero "/>
    <s v="Enero "/>
    <n v="11.5"/>
    <s v="Meses"/>
    <s v="Contratación directa - Prestación de servicios profesionales "/>
    <s v="Propios - 20 - Ingresos corrientes"/>
    <n v="30697520"/>
    <n v="30697520"/>
    <s v="No"/>
    <s v="N/A"/>
    <s v="Guillermo Holguin"/>
    <s v="Subdirector de Gestión de la Información"/>
    <n v="6012220601"/>
    <s v="guillermo.holguin@upme.gov.co"/>
    <n v="0"/>
    <n v="0"/>
    <n v="33000000"/>
    <n v="0"/>
    <n v="0"/>
    <n v="3000000"/>
    <n v="0"/>
    <n v="3000000"/>
    <n v="0"/>
    <n v="3000000"/>
    <n v="0"/>
    <n v="3000000"/>
    <n v="0"/>
    <n v="3000000"/>
    <n v="0"/>
    <n v="3000000"/>
    <n v="0"/>
    <n v="3000000"/>
    <n v="0"/>
    <n v="3000000"/>
    <n v="0"/>
    <n v="3000000"/>
    <n v="0"/>
    <n v="6000000"/>
    <n v="33000000"/>
    <n v="33000000"/>
    <n v="-2302480"/>
    <n v="-2302480"/>
    <s v="Prestación de servicios de apoyo a la gestión para la exploración, limpieza y análisis de datos institucionales y sectoriales"/>
    <n v="0"/>
    <n v="0"/>
    <n v="30697520"/>
    <n v="0"/>
    <n v="0"/>
    <n v="3000000"/>
    <n v="0"/>
    <n v="3000000"/>
    <n v="0"/>
    <n v="3000000"/>
    <n v="0"/>
    <n v="3000000"/>
    <n v="0"/>
    <n v="3000000"/>
    <n v="0"/>
    <n v="3000000"/>
    <n v="0"/>
    <n v="3000000"/>
    <n v="0"/>
    <n v="3000000"/>
    <n v="0"/>
    <n v="3000000"/>
    <n v="0"/>
    <n v="3697520"/>
    <m/>
    <m/>
    <n v="30697520"/>
    <n v="30697520"/>
    <n v="0"/>
    <n v="0"/>
    <n v="34526"/>
    <d v="2026-01-15T00:00:00"/>
    <n v="30697520"/>
    <n v="0"/>
    <n v="38126"/>
    <d v="2026-02-02T00:00:00"/>
    <n v="30697520"/>
    <n v="0"/>
    <n v="0"/>
    <s v="ARANGO CORREA ALEJANDRO"/>
    <s v="CO1.PCCNTR.9183437"/>
    <m/>
    <m/>
    <m/>
    <n v="30884700"/>
    <m/>
    <m/>
    <n v="-187180"/>
    <n v="2620520"/>
    <n v="2620520"/>
    <m/>
    <n v="2807700"/>
    <n v="2807700"/>
    <m/>
    <m/>
    <m/>
    <m/>
    <m/>
    <m/>
    <m/>
    <m/>
    <m/>
    <m/>
    <m/>
    <m/>
    <m/>
    <m/>
    <m/>
    <m/>
    <m/>
    <m/>
    <m/>
    <m/>
    <m/>
    <m/>
    <m/>
    <m/>
    <n v="30697520"/>
    <n v="5428220"/>
    <n v="5428220"/>
    <n v="25269300"/>
    <n v="0"/>
  </r>
  <r>
    <x v="0"/>
    <x v="7"/>
    <s v="Implementación de una solución integral para el acceso a los datos y a la información oportuna y de calidad del sector minero energético a nivel nacional"/>
    <s v="Gestión de la Información"/>
    <s v="Sí"/>
    <s v="Sí"/>
    <n v="9"/>
    <s v="131-81"/>
    <s v="Fortalecer la implementación de la política de gobierno de datos y gestión de información del sector minero energético."/>
    <s v="Servicio de Información Implementado e Interoperado"/>
    <s v="Pruebas y aseguramiento de calidad."/>
    <n v="80111620"/>
    <s v="C-2106-1900-14-53105B-2106034-02"/>
    <x v="0"/>
    <s v="131-81 Prestación de servicios profesionales para apoyar la proyección de actos administrativos y el cumplimiento de responsabilidades jurídico administrativas a cargo de la Subdirección de Gestión de la Información."/>
    <s v="Enero "/>
    <s v="Enero "/>
    <s v="Enero "/>
    <n v="10.5"/>
    <s v="Meses"/>
    <s v="Contratación directa - Prestación de servicios profesionales "/>
    <s v="Propios - 20 - Ingresos corrientes"/>
    <n v="33000000"/>
    <n v="33000000"/>
    <s v="No"/>
    <s v="N/A"/>
    <s v="Guillermo Holguin"/>
    <s v="Subdirector de Gestión de la Información"/>
    <n v="6012220601"/>
    <s v="guillermo.holguin@upme.gov.co"/>
    <n v="0"/>
    <n v="0"/>
    <n v="0"/>
    <n v="0"/>
    <n v="0"/>
    <n v="0"/>
    <n v="0"/>
    <n v="0"/>
    <n v="0"/>
    <n v="0"/>
    <n v="0"/>
    <n v="0"/>
    <n v="0"/>
    <n v="0"/>
    <n v="33000000"/>
    <n v="0"/>
    <n v="0"/>
    <n v="0"/>
    <n v="0"/>
    <n v="0"/>
    <n v="0"/>
    <n v="0"/>
    <n v="0"/>
    <n v="33000000"/>
    <n v="33000000"/>
    <n v="33000000"/>
    <n v="0"/>
    <n v="0"/>
    <s v="Prestación de servicios profesionales para apoyar la proyección de actos administrativos y el cumplimiento de responsabilidades jurídico administrativas a cargo de la Subdirección de Gestión de la Información."/>
    <m/>
    <m/>
    <m/>
    <m/>
    <m/>
    <m/>
    <m/>
    <m/>
    <m/>
    <m/>
    <m/>
    <m/>
    <m/>
    <m/>
    <n v="33000000"/>
    <m/>
    <m/>
    <m/>
    <m/>
    <m/>
    <m/>
    <m/>
    <m/>
    <n v="33000000"/>
    <m/>
    <m/>
    <n v="33000000"/>
    <n v="33000000"/>
    <n v="0"/>
    <n v="0"/>
    <m/>
    <m/>
    <m/>
    <n v="33000000"/>
    <m/>
    <m/>
    <n v="0"/>
    <n v="33000000"/>
    <n v="0"/>
    <m/>
    <m/>
    <m/>
    <m/>
    <m/>
    <m/>
    <m/>
    <m/>
    <m/>
    <m/>
    <m/>
    <m/>
    <m/>
    <m/>
    <m/>
    <m/>
    <m/>
    <m/>
    <m/>
    <m/>
    <m/>
    <m/>
    <m/>
    <m/>
    <m/>
    <m/>
    <m/>
    <m/>
    <m/>
    <m/>
    <m/>
    <m/>
    <m/>
    <m/>
    <m/>
    <m/>
    <m/>
    <m/>
    <n v="0"/>
    <n v="0"/>
    <n v="0"/>
    <n v="0"/>
    <n v="0"/>
  </r>
  <r>
    <x v="0"/>
    <x v="8"/>
    <s v="Mejoramiento de la planeación del abastecimiento y confiabilidad del subsector de hidrocarburos a nivel nacional"/>
    <s v="Hidrocarburos"/>
    <s v="Sí"/>
    <s v="Sí"/>
    <n v="8"/>
    <s v="170-1"/>
    <s v="Fortalecer la planificación de la oferta de hidrocarburos."/>
    <s v="Documentos de planeación estratégica del sector hidrocarburos"/>
    <s v="Documento de planeación preliminar."/>
    <n v="93151509"/>
    <s v="C-2103-1900-2-40301B-2103026-02"/>
    <x v="9"/>
    <s v="170-1 Realizar la renovación de la suscripción online de S&amp;P Global Commodity Insights."/>
    <s v="Septiembre"/>
    <s v="Octubre"/>
    <s v="Noviembre"/>
    <n v="12"/>
    <s v="Meses"/>
    <s v="Contratación directa  - único oferente"/>
    <s v="Propios - 20 - Ingresos corrientes"/>
    <n v="133781464"/>
    <n v="133781464"/>
    <s v="No"/>
    <s v="N/A"/>
    <s v="Ingrid Fernanda Vásquez Méndez"/>
    <s v="Subdirectora de hidrocarburos"/>
    <n v="6012220601"/>
    <s v="ingrid.vasquez@upme.gov.co"/>
    <n v="0"/>
    <n v="0"/>
    <n v="0"/>
    <n v="0"/>
    <n v="0"/>
    <n v="0"/>
    <n v="0"/>
    <n v="0"/>
    <n v="0"/>
    <n v="0"/>
    <n v="0"/>
    <n v="0"/>
    <n v="0"/>
    <n v="0"/>
    <n v="0"/>
    <n v="0"/>
    <n v="0"/>
    <n v="0"/>
    <n v="0"/>
    <n v="0"/>
    <n v="133781464"/>
    <n v="0"/>
    <n v="0"/>
    <n v="133781464"/>
    <n v="133781464"/>
    <n v="133781464"/>
    <n v="0"/>
    <n v="0"/>
    <s v="Realizar la renovación de la suscripción online de S&amp;P Global Commodity Insights."/>
    <m/>
    <m/>
    <m/>
    <m/>
    <m/>
    <m/>
    <m/>
    <m/>
    <m/>
    <m/>
    <m/>
    <m/>
    <m/>
    <m/>
    <m/>
    <m/>
    <m/>
    <m/>
    <m/>
    <m/>
    <n v="133781464"/>
    <m/>
    <m/>
    <n v="133781464"/>
    <m/>
    <m/>
    <n v="133781464"/>
    <n v="133781464"/>
    <n v="0"/>
    <n v="0"/>
    <m/>
    <m/>
    <m/>
    <n v="133781464"/>
    <m/>
    <m/>
    <n v="0"/>
    <n v="133781464"/>
    <n v="0"/>
    <m/>
    <m/>
    <m/>
    <m/>
    <m/>
    <m/>
    <m/>
    <m/>
    <m/>
    <m/>
    <m/>
    <m/>
    <m/>
    <m/>
    <m/>
    <m/>
    <m/>
    <m/>
    <m/>
    <m/>
    <m/>
    <m/>
    <m/>
    <m/>
    <m/>
    <m/>
    <m/>
    <m/>
    <m/>
    <m/>
    <m/>
    <m/>
    <m/>
    <m/>
    <m/>
    <m/>
    <m/>
    <m/>
    <n v="0"/>
    <n v="0"/>
    <n v="0"/>
    <n v="0"/>
    <n v="0"/>
  </r>
  <r>
    <x v="0"/>
    <x v="8"/>
    <s v="Mejoramiento de la planeación del abastecimiento y confiabilidad del subsector de hidrocarburos a nivel nacional"/>
    <s v="Hidrocarburos"/>
    <s v="Sí"/>
    <s v="Sí"/>
    <n v="21"/>
    <s v="170-2"/>
    <s v="Fortalecer la planificación de la oferta de hidrocarburos."/>
    <s v="Documentos de planeación estratégica del sector hidrocarburos"/>
    <s v="Documento de planeación preliminar."/>
    <n v="80111620"/>
    <s v="C-2103-1900-2-40301B-2103026-02"/>
    <x v="0"/>
    <s v="170-2 Prestar los servicios profesionales para realizar el seguimiento y control de las actividades de planeación estratégica, procesos contractuales, ejecución presupuestal y ejecución del proyecto de inversión para el cumplimiento de las metas y objetiv"/>
    <s v="Enero "/>
    <s v="Enero "/>
    <s v="Enero "/>
    <n v="11.7"/>
    <s v="Meses"/>
    <s v="Contratación directa - Prestación de servicios profesionales "/>
    <s v="Propios - 20 - Ingresos corrientes"/>
    <n v="111469661"/>
    <n v="111469661"/>
    <s v="No"/>
    <s v="N/A"/>
    <s v="Ingrid Fernanda Vásquez Méndez"/>
    <s v="Subdirectora de hidrocarburos"/>
    <n v="6012220601"/>
    <s v="ingrid.vasquez@upme.gov.co"/>
    <n v="111469661"/>
    <n v="0"/>
    <n v="0"/>
    <n v="4846507"/>
    <n v="0"/>
    <n v="9693014"/>
    <n v="0"/>
    <n v="9693014"/>
    <n v="0"/>
    <n v="9693014"/>
    <n v="0"/>
    <n v="9693014"/>
    <n v="1938603"/>
    <n v="9693014"/>
    <n v="0"/>
    <n v="9693014"/>
    <n v="0"/>
    <n v="9693014"/>
    <n v="0"/>
    <n v="9693014"/>
    <n v="0"/>
    <n v="9693014"/>
    <n v="0"/>
    <n v="21324631"/>
    <n v="113408264"/>
    <n v="113408264"/>
    <n v="-1938603"/>
    <n v="-1938603"/>
    <s v="Prestar los servicios profesionales para realizar el seguimiento y control de las actividades de planeación estratégica, procesos contractuales, ejecución presupuestal y ejecución del proyecto de inversión para el cumplimiento de las metas y objetivos de "/>
    <m/>
    <m/>
    <m/>
    <m/>
    <m/>
    <m/>
    <m/>
    <m/>
    <m/>
    <m/>
    <m/>
    <m/>
    <m/>
    <m/>
    <m/>
    <m/>
    <m/>
    <m/>
    <m/>
    <m/>
    <m/>
    <m/>
    <m/>
    <m/>
    <m/>
    <m/>
    <n v="111469661"/>
    <n v="111469661"/>
    <n v="0"/>
    <n v="0"/>
    <n v="3726"/>
    <d v="2026-01-05T00:00:00"/>
    <n v="111469661"/>
    <n v="0"/>
    <n v="9326"/>
    <d v="2026-01-15T00:00:00"/>
    <n v="111469661"/>
    <n v="0"/>
    <n v="0"/>
    <s v="CORTES PARRA SINDY ALEXANDRA"/>
    <s v="No. CO1.PCCNTR.8849277"/>
    <n v="111469661"/>
    <m/>
    <m/>
    <m/>
    <n v="4846507"/>
    <n v="4846507"/>
    <m/>
    <n v="9693014"/>
    <n v="9693014"/>
    <m/>
    <n v="9693014"/>
    <n v="9693014"/>
    <m/>
    <m/>
    <m/>
    <m/>
    <m/>
    <m/>
    <m/>
    <m/>
    <m/>
    <m/>
    <m/>
    <m/>
    <m/>
    <m/>
    <m/>
    <m/>
    <m/>
    <m/>
    <m/>
    <m/>
    <m/>
    <m/>
    <m/>
    <m/>
    <n v="111469661"/>
    <n v="24232535"/>
    <n v="24232535"/>
    <n v="87237126"/>
    <n v="0"/>
  </r>
  <r>
    <x v="0"/>
    <x v="8"/>
    <s v="Mejoramiento de la planeación del abastecimiento y confiabilidad del subsector de hidrocarburos a nivel nacional"/>
    <s v="Hidrocarburos"/>
    <s v="Sí"/>
    <s v="Sí"/>
    <n v="21"/>
    <s v="170-3"/>
    <s v="Fortalecer la planificación de la oferta de hidrocarburos."/>
    <s v="Documentos de planeación estratégica del sector hidrocarburos"/>
    <s v="Documento de planeación preliminar."/>
    <n v="80111620"/>
    <s v="C-2103-1900-2-40301B-2103026-02"/>
    <x v="0"/>
    <s v="170-3 Prestar servicios profesionales para brindar apoyo jurídico a la Subdirección de Hidrocarburos en la ejecución y seguimiento de la política pública correspondiente al sector."/>
    <s v="Enero "/>
    <s v="Enero "/>
    <s v="Enero "/>
    <n v="11.7"/>
    <s v="Meses"/>
    <s v="Contratación directa - Prestación de servicios profesionales "/>
    <s v="Propios - 20 - Ingresos corrientes"/>
    <n v="109207958"/>
    <n v="109207958"/>
    <s v="No"/>
    <s v="N/A"/>
    <s v="Ingrid Fernanda Vásquez Méndez"/>
    <s v="Subdirectora de hidrocarburos"/>
    <n v="6012220601"/>
    <s v="ingrid.vasquez@upme.gov.co"/>
    <n v="111469661"/>
    <n v="0"/>
    <n v="0"/>
    <n v="2584804"/>
    <n v="0"/>
    <n v="9693014"/>
    <n v="0"/>
    <n v="9693014"/>
    <n v="0"/>
    <n v="9693014"/>
    <n v="0"/>
    <n v="9693014"/>
    <n v="0"/>
    <n v="9693014"/>
    <n v="1938602"/>
    <n v="9693014"/>
    <n v="0"/>
    <n v="9693014"/>
    <n v="0"/>
    <n v="9693014"/>
    <n v="0"/>
    <n v="9693014"/>
    <n v="0"/>
    <n v="23586333"/>
    <n v="113408263"/>
    <n v="113408263"/>
    <n v="-4200305"/>
    <n v="-4200305"/>
    <s v="Prestar servicios profesionales para brindar apoyo jurídico a la Subdirección de Hidrocarburos en la ejecución y seguimiento de la política pública correspondiente al sector."/>
    <n v="111469661"/>
    <m/>
    <m/>
    <n v="4846507"/>
    <m/>
    <n v="9693014"/>
    <m/>
    <n v="9693014"/>
    <m/>
    <n v="9693014"/>
    <m/>
    <n v="9693014"/>
    <m/>
    <n v="9693014"/>
    <m/>
    <n v="9693014"/>
    <m/>
    <n v="9693014"/>
    <m/>
    <n v="9693014"/>
    <m/>
    <n v="9693014"/>
    <m/>
    <n v="19386028"/>
    <m/>
    <m/>
    <n v="109207958"/>
    <n v="109207958"/>
    <n v="0"/>
    <n v="0"/>
    <n v="20326"/>
    <d v="2026-01-11T00:00:00"/>
    <n v="109207958"/>
    <n v="0"/>
    <n v="17526"/>
    <d v="2026-01-22T00:00:00"/>
    <n v="109207958"/>
    <n v="0"/>
    <n v="0"/>
    <s v="RINCON MALAVER LUZ ALEXANDRA"/>
    <s v="CO1.PCCNTR.8980748"/>
    <n v="111469661"/>
    <m/>
    <m/>
    <n v="-2261703"/>
    <m/>
    <m/>
    <m/>
    <n v="2584804"/>
    <n v="2584804"/>
    <m/>
    <n v="9693014"/>
    <n v="9693014"/>
    <m/>
    <m/>
    <m/>
    <m/>
    <m/>
    <m/>
    <m/>
    <m/>
    <m/>
    <m/>
    <m/>
    <m/>
    <m/>
    <m/>
    <m/>
    <m/>
    <m/>
    <m/>
    <m/>
    <m/>
    <m/>
    <m/>
    <m/>
    <m/>
    <n v="109207958"/>
    <n v="12277818"/>
    <n v="12277818"/>
    <n v="96930140"/>
    <n v="0"/>
  </r>
  <r>
    <x v="0"/>
    <x v="8"/>
    <s v="Mejoramiento de la planeación del abastecimiento y confiabilidad del subsector de hidrocarburos a nivel nacional"/>
    <s v="Hidrocarburos"/>
    <s v="Sí"/>
    <s v="Sí"/>
    <n v="21"/>
    <s v="170-4"/>
    <s v="Fortalecer la planificación de la oferta de hidrocarburos."/>
    <s v="Documentos de planeación estratégica del sector hidrocarburos"/>
    <s v="Documento de planeación preliminar."/>
    <n v="80111620"/>
    <s v="C-2103-1900-2-40301B-2103026-02"/>
    <x v="0"/>
    <s v="170-4 Prestar servicios profesionales de asesoría jurídica en temas asociados a los procesos abiertos y competitivos que adelante la Subdirección de Hidrocarburos."/>
    <s v="Enero "/>
    <s v="Enero "/>
    <s v="Enero "/>
    <n v="11.7"/>
    <s v="Meses"/>
    <s v="Contratación directa - Prestación de servicios profesionales "/>
    <s v="Propios - 20 - Ingresos corrientes"/>
    <n v="93342000"/>
    <n v="93342000"/>
    <s v="No"/>
    <s v="N/A"/>
    <s v="Ingrid Fernanda Vásquez Méndez"/>
    <s v="Subdirectora de hidrocarburos"/>
    <n v="6012220601"/>
    <s v="ingrid.vasquez@upme.gov.co"/>
    <n v="94470000"/>
    <n v="0"/>
    <n v="0"/>
    <n v="0"/>
    <n v="0"/>
    <n v="7332000"/>
    <n v="0"/>
    <n v="8460000"/>
    <n v="0"/>
    <n v="8460000"/>
    <n v="0"/>
    <n v="8460000"/>
    <n v="0"/>
    <n v="8460000"/>
    <n v="4512000"/>
    <n v="8460000"/>
    <n v="0"/>
    <n v="8460000"/>
    <n v="0"/>
    <n v="8460000"/>
    <n v="0"/>
    <n v="8460000"/>
    <n v="0"/>
    <n v="23970000"/>
    <n v="98982000"/>
    <n v="98982000"/>
    <n v="-5640000"/>
    <n v="-5640000"/>
    <s v="Prestar servicios profesionales de asesoría jurídica en temas asociados a los procesos abiertos y competitivos que adelante la Subdirección de Hidrocarburos."/>
    <n v="109207958"/>
    <m/>
    <m/>
    <n v="2584804"/>
    <m/>
    <n v="9693014"/>
    <m/>
    <n v="9693014"/>
    <m/>
    <n v="9693014"/>
    <m/>
    <n v="9693014"/>
    <m/>
    <n v="9693014"/>
    <m/>
    <n v="9693014"/>
    <m/>
    <n v="9693014"/>
    <m/>
    <n v="9693014"/>
    <m/>
    <n v="9693014"/>
    <m/>
    <n v="19386028"/>
    <m/>
    <m/>
    <n v="93342000"/>
    <n v="93342000"/>
    <n v="0"/>
    <n v="0"/>
    <n v="21026"/>
    <d v="2026-01-11T00:00:00"/>
    <n v="93342000"/>
    <n v="0"/>
    <n v="28526"/>
    <d v="2026-01-28T00:00:00"/>
    <n v="93342000"/>
    <n v="0"/>
    <n v="0"/>
    <s v="HOYOS GOMEZ JUAN SEBASTIAN"/>
    <s v="CO1.PCCNTR.9139383"/>
    <n v="94470000"/>
    <m/>
    <m/>
    <n v="-1128000"/>
    <m/>
    <m/>
    <m/>
    <n v="8742000"/>
    <n v="8742000"/>
    <m/>
    <n v="8460000"/>
    <n v="8460000"/>
    <m/>
    <m/>
    <m/>
    <m/>
    <m/>
    <m/>
    <m/>
    <m/>
    <m/>
    <m/>
    <m/>
    <m/>
    <m/>
    <m/>
    <m/>
    <m/>
    <m/>
    <m/>
    <m/>
    <m/>
    <m/>
    <m/>
    <m/>
    <m/>
    <n v="93342000"/>
    <n v="17202000"/>
    <n v="17202000"/>
    <n v="76140000"/>
    <n v="0"/>
  </r>
  <r>
    <x v="0"/>
    <x v="8"/>
    <s v="Mejoramiento de la planeación del abastecimiento y confiabilidad del subsector de hidrocarburos a nivel nacional"/>
    <s v="Hidrocarburos"/>
    <s v="Sí"/>
    <s v="Sí"/>
    <n v="21"/>
    <s v="170-5"/>
    <s v="Fortalecer la planificación de la oferta de hidrocarburos."/>
    <s v="Documentos de planeación estratégica del sector hidrocarburos"/>
    <s v="Documento de planeación preliminar."/>
    <n v="80111620"/>
    <s v="C-2103-1900-2-40301B-2103026-02"/>
    <x v="0"/>
    <s v="170-5 Prestar servicios profesionales para apoyar la elaboración, desarrollo, análisis de información y demás actividades relacionadas con el Plan Indicativo de Combustibles Líquidos a cargo de la Subdirección de Hidrocarburos"/>
    <s v="Enero "/>
    <s v="Enero "/>
    <s v="Enero "/>
    <n v="11.7"/>
    <s v="Meses"/>
    <s v="Contratación directa - Prestación de servicios profesionales "/>
    <s v="Propios - 20 - Ingresos corrientes"/>
    <n v="102920000"/>
    <n v="102920000"/>
    <s v="No"/>
    <s v="N/A"/>
    <s v="Ingrid Fernanda Vásquez Méndez"/>
    <s v="Subdirectora de hidrocarburos"/>
    <n v="6012220601"/>
    <s v="ingrid.vasquez@upme.gov.co"/>
    <n v="104780000"/>
    <n v="0"/>
    <n v="0"/>
    <n v="0"/>
    <n v="0"/>
    <n v="8060000"/>
    <n v="0"/>
    <n v="9300000"/>
    <n v="0"/>
    <n v="9300000"/>
    <n v="0"/>
    <n v="9300000"/>
    <n v="0"/>
    <n v="9300000"/>
    <n v="4030000"/>
    <n v="9300000"/>
    <n v="0"/>
    <n v="9300000"/>
    <n v="0"/>
    <n v="9300000"/>
    <n v="0"/>
    <n v="9300000"/>
    <n v="0"/>
    <n v="26350000"/>
    <n v="108810000"/>
    <n v="108810000"/>
    <n v="-5890000"/>
    <n v="-5890000"/>
    <s v="Prestar servicios profesionales para apoyar la elaboración, desarrollo, análisis de información y demás actividades relacionadas con el Plan Indicativo de Combustibles Líquidos a cargo de la Subdirección de Hidrocarburos"/>
    <n v="93342000"/>
    <m/>
    <m/>
    <m/>
    <m/>
    <n v="7332000"/>
    <m/>
    <n v="8460000"/>
    <m/>
    <n v="8460000"/>
    <m/>
    <n v="8460000"/>
    <m/>
    <n v="8460000"/>
    <m/>
    <n v="8460000"/>
    <m/>
    <n v="8460000"/>
    <m/>
    <n v="9870000"/>
    <m/>
    <n v="8460000"/>
    <m/>
    <n v="16920000"/>
    <m/>
    <m/>
    <n v="102920000"/>
    <n v="102920000"/>
    <n v="0"/>
    <n v="0"/>
    <n v="43826"/>
    <d v="2026-01-17T00:00:00"/>
    <n v="102920000"/>
    <n v="0"/>
    <n v="26726"/>
    <d v="2026-01-28T00:00:00"/>
    <n v="102920000"/>
    <n v="0"/>
    <n v="0"/>
    <s v="GONZALEZ CLEVES NASHLA NAYELLI"/>
    <s v="CO1.PCCNTR.9119882"/>
    <n v="104780000"/>
    <m/>
    <m/>
    <n v="-1860000"/>
    <m/>
    <m/>
    <m/>
    <n v="9920000"/>
    <n v="9920000"/>
    <m/>
    <m/>
    <m/>
    <m/>
    <m/>
    <m/>
    <m/>
    <m/>
    <m/>
    <m/>
    <m/>
    <m/>
    <m/>
    <m/>
    <m/>
    <m/>
    <m/>
    <m/>
    <m/>
    <m/>
    <m/>
    <m/>
    <m/>
    <m/>
    <m/>
    <m/>
    <m/>
    <n v="102920000"/>
    <n v="9920000"/>
    <n v="9920000"/>
    <n v="93000000"/>
    <n v="0"/>
  </r>
  <r>
    <x v="0"/>
    <x v="8"/>
    <s v="Mejoramiento de la planeación del abastecimiento y confiabilidad del subsector de hidrocarburos a nivel nacional"/>
    <s v="Hidrocarburos"/>
    <s v="Sí"/>
    <s v="Sí"/>
    <n v="21"/>
    <s v="170-6"/>
    <s v="Fortalecer la planificación de la oferta de hidrocarburos."/>
    <s v="Documentos de planeación estratégica del sector hidrocarburos"/>
    <s v="Documento de planeación preliminar."/>
    <n v="80111620"/>
    <s v="C-2103-1900-2-40301B-2103026-02"/>
    <x v="0"/>
    <s v="170-6 Prestar los servicios profesionales para apoyar la estructuración, seguimiento, ejecución y control de los procesos abiertos y competitivos que adelante la Subdirección de Hidrocarburos."/>
    <s v="Enero "/>
    <s v="Enero "/>
    <s v="Enero "/>
    <n v="11.7"/>
    <s v="Meses"/>
    <s v="Contratación directa - Prestación de servicios profesionales "/>
    <s v="Propios - 20 - Ingresos corrientes"/>
    <n v="17966667"/>
    <n v="17966667"/>
    <s v="No"/>
    <s v="N/A"/>
    <s v="Ingrid Fernanda Vásquez Méndez"/>
    <s v="Subdirectora de hidrocarburos"/>
    <n v="6012220601"/>
    <s v="ingrid.vasquez@upme.gov.co"/>
    <n v="88550000"/>
    <n v="0"/>
    <n v="0"/>
    <n v="2566667"/>
    <n v="0"/>
    <n v="7700000"/>
    <n v="0"/>
    <n v="7700000"/>
    <n v="0"/>
    <n v="7700000"/>
    <n v="0"/>
    <n v="7700000"/>
    <n v="0"/>
    <n v="7700000"/>
    <n v="1540000"/>
    <n v="7700000"/>
    <n v="0"/>
    <n v="7700000"/>
    <n v="0"/>
    <n v="7700000"/>
    <n v="0"/>
    <n v="7700000"/>
    <n v="0"/>
    <n v="18223333"/>
    <n v="90090000"/>
    <n v="90090000"/>
    <n v="-72123333"/>
    <n v="-72123333"/>
    <s v="Prestar los servicios profesionales para apoyar la estructuración, seguimiento, ejecución y control de los procesos abiertos y competitivos que adelante la Subdirección de Hidrocarburos."/>
    <n v="102920000"/>
    <m/>
    <m/>
    <m/>
    <m/>
    <n v="8060000"/>
    <m/>
    <n v="9300000"/>
    <m/>
    <n v="9300000"/>
    <m/>
    <n v="9300000"/>
    <m/>
    <n v="9300000"/>
    <m/>
    <n v="9300000"/>
    <m/>
    <n v="9300000"/>
    <m/>
    <n v="11160000"/>
    <m/>
    <n v="9300000"/>
    <m/>
    <n v="18600000"/>
    <m/>
    <m/>
    <n v="17966667"/>
    <n v="17966667"/>
    <n v="0"/>
    <n v="0"/>
    <n v="13826"/>
    <d v="2026-01-08T00:00:00"/>
    <n v="17966667"/>
    <n v="0"/>
    <n v="13026"/>
    <d v="2026-01-20T00:00:00"/>
    <n v="17966667"/>
    <n v="0"/>
    <n v="0"/>
    <s v="SIERRA RAMIREZ LAURA MILENA"/>
    <s v="CO1.PCCNTR.8897373"/>
    <n v="88550000"/>
    <m/>
    <m/>
    <n v="-1283333"/>
    <n v="2566667"/>
    <n v="2566667"/>
    <m/>
    <n v="7700000"/>
    <n v="7700000"/>
    <n v="-69300000"/>
    <m/>
    <m/>
    <m/>
    <m/>
    <m/>
    <m/>
    <m/>
    <m/>
    <m/>
    <m/>
    <m/>
    <m/>
    <m/>
    <m/>
    <m/>
    <m/>
    <m/>
    <m/>
    <m/>
    <m/>
    <m/>
    <m/>
    <m/>
    <m/>
    <m/>
    <m/>
    <n v="17966667"/>
    <n v="10266667"/>
    <n v="10266667"/>
    <n v="7700000"/>
    <n v="0"/>
  </r>
  <r>
    <x v="0"/>
    <x v="8"/>
    <s v="Mejoramiento de la planeación del abastecimiento y confiabilidad del subsector de hidrocarburos a nivel nacional"/>
    <s v="Hidrocarburos"/>
    <s v="Sí"/>
    <s v="Sí"/>
    <n v="21"/>
    <s v="170-7"/>
    <s v="Fortalecer la planificación de la oferta de hidrocarburos."/>
    <s v="Documentos de planeación estratégica del sector hidrocarburos"/>
    <s v="Documento de planeación preliminar."/>
    <n v="80111620"/>
    <s v="C-2103-1900-2-40301B-2103026-02"/>
    <x v="0"/>
    <s v="170-7 Prestar servicios profesionales para apoyar la estructuración y desarrollo de lineamientos técnicos relacionados con procesos de selección y/o evaluación de proyectos de infraestructura que contribuyan al cumplimiento de los objetivos de la Subdirec"/>
    <s v="Enero "/>
    <s v="Enero "/>
    <s v="Enero "/>
    <n v="11.7"/>
    <s v="Meses"/>
    <s v="Contratación directa - Prestación de servicios profesionales "/>
    <s v="Propios - 20 - Ingresos corrientes"/>
    <n v="86933333"/>
    <n v="86933333"/>
    <s v="No"/>
    <s v="N/A"/>
    <s v="Ingrid Fernanda Vásquez Méndez"/>
    <s v="Subdirectora de hidrocarburos"/>
    <n v="6012220601"/>
    <s v="ingrid.vasquez@upme.gov.co"/>
    <n v="0"/>
    <n v="0"/>
    <n v="88000000"/>
    <n v="0"/>
    <n v="0"/>
    <n v="6933333"/>
    <n v="0"/>
    <n v="8000000"/>
    <n v="0"/>
    <n v="8000000"/>
    <n v="0"/>
    <n v="8000000"/>
    <n v="0"/>
    <n v="8000000"/>
    <n v="0"/>
    <n v="8000000"/>
    <n v="0"/>
    <n v="8000000"/>
    <n v="0"/>
    <n v="8000000"/>
    <n v="0"/>
    <n v="8000000"/>
    <n v="0"/>
    <n v="17066667"/>
    <n v="88000000"/>
    <n v="88000000"/>
    <n v="-1066667"/>
    <n v="-1066667"/>
    <s v="Prestar servicios profesionales para apoyar la estructuración y desarrollo de lineamientos técnicos relacionados con procesos de selección y/o evaluación de proyectos de infraestructura que contribuyan al cumplimiento de los objetivos de la Subdirección d"/>
    <n v="17966667"/>
    <m/>
    <m/>
    <n v="2566667"/>
    <m/>
    <n v="7700000"/>
    <m/>
    <n v="7700000"/>
    <m/>
    <m/>
    <m/>
    <m/>
    <m/>
    <m/>
    <m/>
    <m/>
    <m/>
    <m/>
    <m/>
    <m/>
    <m/>
    <m/>
    <m/>
    <m/>
    <m/>
    <m/>
    <n v="154212100"/>
    <n v="154212100"/>
    <n v="-67278767"/>
    <n v="-67278767"/>
    <n v="4726"/>
    <d v="2026-01-05T00:00:00"/>
    <n v="87200000"/>
    <n v="-266667"/>
    <n v="40626"/>
    <d v="2026-02-04T00:00:00"/>
    <n v="87200000"/>
    <n v="-266667"/>
    <n v="0"/>
    <s v="RODRIGUEZ LEON KATHERINE"/>
    <s v="CO1.PCCNTR.9245362"/>
    <m/>
    <m/>
    <m/>
    <n v="88000000"/>
    <m/>
    <m/>
    <n v="-800000"/>
    <n v="6933333"/>
    <n v="6933333"/>
    <m/>
    <n v="8000000"/>
    <n v="8000000"/>
    <m/>
    <m/>
    <m/>
    <m/>
    <m/>
    <m/>
    <m/>
    <m/>
    <m/>
    <m/>
    <m/>
    <m/>
    <m/>
    <m/>
    <m/>
    <m/>
    <m/>
    <m/>
    <m/>
    <m/>
    <m/>
    <m/>
    <m/>
    <m/>
    <n v="87200000"/>
    <n v="14933333"/>
    <n v="14933333"/>
    <n v="72266667"/>
    <n v="0"/>
  </r>
  <r>
    <x v="0"/>
    <x v="8"/>
    <s v="Mejoramiento de la planeación del abastecimiento y confiabilidad del subsector de hidrocarburos a nivel nacional"/>
    <s v="Hidrocarburos"/>
    <s v="Sí"/>
    <s v="Sí"/>
    <n v="21"/>
    <s v="170-8"/>
    <s v="Fortalecer la planificación de la oferta de hidrocarburos."/>
    <s v="Documentos de planeación estratégica del sector hidrocarburos"/>
    <s v="Documento de planeación preliminar."/>
    <n v="80111620"/>
    <s v="C-2103-1900-2-40301B-2103026-02"/>
    <x v="0"/>
    <s v="170-8 Prestar servicios profesionales de asesoría en la elaboración, estructuración y desarrollo de planes, así como acompañar la definición y desarrollo de lineamientos técnicos relacionados con los temas que requieran la Dirección General y la Subdirecc"/>
    <s v="Enero "/>
    <s v="Enero "/>
    <s v="Enero "/>
    <n v="11.7"/>
    <s v="Meses"/>
    <s v="Contratación directa - Prestación de servicios profesionales "/>
    <s v="Propios - 20 - Ingresos corrientes"/>
    <n v="154212100"/>
    <n v="154212100"/>
    <s v="No"/>
    <s v="N/A"/>
    <s v="Ingrid Fernanda Vásquez Méndez"/>
    <s v="Subdirectora de hidrocarburos"/>
    <n v="6012220601"/>
    <s v="ingrid.vasquez@upme.gov.co"/>
    <n v="154212100"/>
    <n v="0"/>
    <n v="0"/>
    <n v="4535650"/>
    <n v="0"/>
    <n v="13606950"/>
    <n v="0"/>
    <n v="13606950"/>
    <n v="0"/>
    <n v="13606950"/>
    <n v="0"/>
    <n v="13606950"/>
    <n v="0"/>
    <n v="13606950"/>
    <n v="4989215"/>
    <n v="13606950"/>
    <n v="0"/>
    <n v="13606950"/>
    <n v="0"/>
    <n v="13606950"/>
    <n v="0"/>
    <n v="13606950"/>
    <n v="0"/>
    <n v="32203115"/>
    <n v="159201315"/>
    <n v="159201315"/>
    <n v="-4989215"/>
    <n v="-4989215"/>
    <s v="Prestar servicios profesionales de asesoría en la elaboración, estructuración y desarrollo de planes, así como acompañar la definición y desarrollo de lineamientos técnicos relacionados con los temas que requieran la Dirección General y la Subdirección de"/>
    <n v="154212100"/>
    <m/>
    <m/>
    <n v="4535650"/>
    <m/>
    <n v="13606950"/>
    <m/>
    <n v="13606950"/>
    <m/>
    <n v="13606950"/>
    <m/>
    <n v="13606950"/>
    <m/>
    <n v="13606950"/>
    <m/>
    <n v="13606950"/>
    <m/>
    <n v="13606950"/>
    <m/>
    <n v="13606950"/>
    <m/>
    <n v="13606950"/>
    <m/>
    <n v="27213900"/>
    <m/>
    <m/>
    <e v="#REF!"/>
    <e v="#REF!"/>
    <e v="#REF!"/>
    <e v="#REF!"/>
    <n v="18526"/>
    <d v="2026-01-05T00:00:00"/>
    <n v="154212100"/>
    <n v="0"/>
    <n v="12226"/>
    <d v="2026-01-11T00:00:00"/>
    <n v="154212100"/>
    <n v="0"/>
    <n v="0"/>
    <s v="CERQUERA LOZADA HAYDEE DAISY"/>
    <s v="CO1.PCCNTR.8960035"/>
    <n v="154212100"/>
    <m/>
    <m/>
    <m/>
    <m/>
    <m/>
    <m/>
    <m/>
    <m/>
    <m/>
    <n v="31749550"/>
    <n v="31749550"/>
    <m/>
    <m/>
    <m/>
    <m/>
    <m/>
    <m/>
    <m/>
    <m/>
    <m/>
    <m/>
    <m/>
    <m/>
    <m/>
    <m/>
    <m/>
    <m/>
    <m/>
    <m/>
    <m/>
    <m/>
    <m/>
    <m/>
    <m/>
    <m/>
    <n v="154212100"/>
    <n v="31749550"/>
    <n v="31749550"/>
    <n v="122462550"/>
    <n v="0"/>
  </r>
  <r>
    <x v="0"/>
    <x v="8"/>
    <s v="Mejoramiento de la planeación del abastecimiento y confiabilidad del subsector de hidrocarburos a nivel nacional"/>
    <s v="Hidrocarburos"/>
    <s v="Sí"/>
    <s v="Sí"/>
    <n v="8"/>
    <s v="170-9"/>
    <s v="Fortalecer la planificación de la oferta de hidrocarburos."/>
    <s v="Documentos de planeación estratégica del sector hidrocarburos"/>
    <s v="Documento de planeación preliminar."/>
    <n v="80111620"/>
    <s v="C-2103-1900-2-40301B-2103026-02"/>
    <x v="0"/>
    <s v="170-9 Prestar servicios de apoyo a la gestión para el desarrollo de actividades administrativas y de gestión estratégica  institucional que le sean asignadas, de conformidad con las necesidades de la Subdirección de Hidrocarburos."/>
    <s v="Enero "/>
    <s v="Enero "/>
    <s v="Enero "/>
    <n v="11.7"/>
    <s v="Meses"/>
    <s v="Contratación directa - Prestación de servicios profesionales "/>
    <s v="Propios - 20 - Ingresos corrientes"/>
    <n v="55486200"/>
    <n v="55486200"/>
    <s v="No"/>
    <s v="N/A"/>
    <s v="Ingrid Fernanda Vásquez Méndez"/>
    <s v="Subdirectora de hidrocarburos"/>
    <n v="6012220601"/>
    <s v="ingrid.vasquez@upme.gov.co"/>
    <n v="55486200"/>
    <n v="0"/>
    <n v="0"/>
    <n v="0"/>
    <n v="0"/>
    <n v="4371640"/>
    <n v="0"/>
    <n v="5044200"/>
    <n v="0"/>
    <n v="5044200"/>
    <n v="0"/>
    <n v="5044200"/>
    <n v="0"/>
    <n v="5044200"/>
    <n v="0"/>
    <n v="5044200"/>
    <n v="0"/>
    <n v="5044200"/>
    <n v="0"/>
    <n v="5044200"/>
    <n v="0"/>
    <n v="5044200"/>
    <n v="0"/>
    <n v="10760960"/>
    <n v="55486200"/>
    <n v="55486200"/>
    <n v="0"/>
    <n v="0"/>
    <s v="Prestar servicios de apoyo a la gestión para el desarrollo de actividades administrativas y de gestión estratégica  institucional que le sean asignadas, de conformidad con las necesidades de la Subdirección de Hidrocarburos."/>
    <n v="55486200"/>
    <m/>
    <m/>
    <m/>
    <m/>
    <n v="4371640"/>
    <m/>
    <n v="5044200"/>
    <m/>
    <n v="5044200"/>
    <m/>
    <n v="5044200"/>
    <m/>
    <n v="5044200"/>
    <m/>
    <n v="5044200"/>
    <m/>
    <n v="5044200"/>
    <m/>
    <n v="5044200"/>
    <m/>
    <n v="5044200"/>
    <m/>
    <n v="10760960"/>
    <m/>
    <m/>
    <n v="55486200"/>
    <n v="55486200"/>
    <n v="0"/>
    <n v="0"/>
    <n v="61226"/>
    <d v="2026-01-23T00:00:00"/>
    <n v="55486200"/>
    <n v="0"/>
    <n v="34426"/>
    <d v="2026-01-29T00:00:00"/>
    <n v="55486200"/>
    <n v="0"/>
    <n v="0"/>
    <s v="PAEZ ESPITIA BIBIANA ELISA"/>
    <s v="CO1.PCCNTR.9172724"/>
    <n v="55486200"/>
    <m/>
    <m/>
    <m/>
    <m/>
    <m/>
    <m/>
    <n v="5212340"/>
    <n v="5212340"/>
    <m/>
    <n v="5044200"/>
    <n v="5044200"/>
    <m/>
    <m/>
    <m/>
    <m/>
    <m/>
    <m/>
    <m/>
    <m/>
    <m/>
    <m/>
    <m/>
    <m/>
    <m/>
    <m/>
    <m/>
    <m/>
    <m/>
    <m/>
    <m/>
    <m/>
    <m/>
    <m/>
    <m/>
    <m/>
    <n v="55486200"/>
    <n v="10256540"/>
    <n v="10256540"/>
    <n v="45229660"/>
    <n v="0"/>
  </r>
  <r>
    <x v="0"/>
    <x v="8"/>
    <s v="Mejoramiento de la planeación del abastecimiento y confiabilidad del subsector de hidrocarburos a nivel nacional"/>
    <s v="Hidrocarburos"/>
    <s v="Sí"/>
    <s v="Sí"/>
    <n v="21"/>
    <s v="170-10"/>
    <s v="Fortalecer la planificación de la oferta de hidrocarburos."/>
    <s v="Documentos de planeación estratégica del sector hidrocarburos"/>
    <s v="Documento de planeación preliminar."/>
    <n v="80111620"/>
    <s v="C-2103-1900-2-40301B-2103026-02"/>
    <x v="0"/>
    <s v="170-10 Prestar servicios profesionales de apoyo jurídico en la gestión de los temas asociados a las convocatorias y planes a cargo de la Subdirección de Hidrocarburos."/>
    <s v="Enero "/>
    <s v="Enero "/>
    <s v="Enero "/>
    <n v="11.5"/>
    <s v="Meses"/>
    <s v="Contratación directa - Prestación de servicios profesionales "/>
    <s v="Propios - 20 - Ingresos corrientes"/>
    <n v="103400000"/>
    <n v="103400000"/>
    <s v="No"/>
    <s v="N/A"/>
    <s v="Ingrid Fernanda Vásquez Méndez"/>
    <s v="Subdirectora de hidrocarburos"/>
    <n v="6012220601"/>
    <s v="ingrid.vasquez@upme.gov.co"/>
    <n v="103400000"/>
    <n v="0"/>
    <n v="0"/>
    <n v="0"/>
    <n v="0"/>
    <n v="9000000"/>
    <n v="0"/>
    <n v="9000000"/>
    <n v="0"/>
    <n v="9000000"/>
    <n v="0"/>
    <n v="9000000"/>
    <n v="0"/>
    <n v="9000000"/>
    <n v="100000"/>
    <n v="9000000"/>
    <n v="0"/>
    <n v="9000000"/>
    <n v="0"/>
    <n v="9000000"/>
    <n v="0"/>
    <n v="9000000"/>
    <n v="0"/>
    <n v="22500000"/>
    <n v="103500000"/>
    <n v="103500000"/>
    <n v="-100000"/>
    <n v="-100000"/>
    <s v="Prestar servicios profesionales de apoyo jurídico en la gestión de los temas asociados a las convocatorias y planes a cargo de la Subdirección de Hidrocarburos."/>
    <n v="103400000"/>
    <m/>
    <m/>
    <m/>
    <m/>
    <n v="9713333"/>
    <m/>
    <n v="9400000"/>
    <m/>
    <n v="9400000"/>
    <m/>
    <n v="9400000"/>
    <m/>
    <n v="9400000"/>
    <m/>
    <n v="9400000"/>
    <m/>
    <n v="9400000"/>
    <m/>
    <n v="9400000"/>
    <m/>
    <n v="9400000"/>
    <m/>
    <n v="18486667"/>
    <m/>
    <m/>
    <n v="103400000"/>
    <n v="103400000"/>
    <n v="0"/>
    <n v="0"/>
    <n v="43226"/>
    <d v="2026-01-17T00:00:00"/>
    <n v="103400000"/>
    <n v="0"/>
    <n v="33826"/>
    <d v="2026-01-29T00:00:00"/>
    <n v="103400000"/>
    <n v="0"/>
    <n v="0"/>
    <s v="ARIAS BUITRAGO DIANA CAROLINA"/>
    <s v="CO1.PCCNTR.9169885"/>
    <n v="103400000"/>
    <m/>
    <m/>
    <m/>
    <m/>
    <m/>
    <m/>
    <n v="9713333"/>
    <n v="9713333"/>
    <m/>
    <n v="9400000"/>
    <n v="9400000"/>
    <m/>
    <m/>
    <m/>
    <m/>
    <m/>
    <m/>
    <m/>
    <m/>
    <m/>
    <m/>
    <m/>
    <m/>
    <m/>
    <m/>
    <m/>
    <m/>
    <m/>
    <m/>
    <m/>
    <m/>
    <m/>
    <m/>
    <m/>
    <m/>
    <n v="103400000"/>
    <n v="19113333"/>
    <n v="19113333"/>
    <n v="84286667"/>
    <n v="0"/>
  </r>
  <r>
    <x v="0"/>
    <x v="8"/>
    <s v="Mejoramiento de la planeación del abastecimiento y confiabilidad del subsector de hidrocarburos a nivel nacional"/>
    <s v="Hidrocarburos"/>
    <s v="Sí"/>
    <s v="Sí"/>
    <n v="21"/>
    <s v="170-11"/>
    <s v="Fortalecer la planificación de la oferta de hidrocarburos."/>
    <s v="Documentos de planeación estratégica del sector hidrocarburos"/>
    <s v="Documento de planeación preliminar."/>
    <n v="80111620"/>
    <s v="C-2103-1900-2-40301B-2103026-02"/>
    <x v="0"/>
    <s v="170-11 Prestar servicios profesionales para apoyar el análisis y elaboración de metodologías para la proyección de precios de los energéticos en el contexto de las políticas energéticas a cargo de la Subdirección de Hidrocarburos."/>
    <s v="Enero "/>
    <s v="Enero "/>
    <s v="Enero "/>
    <n v="11.5"/>
    <s v="Meses"/>
    <s v="Contratación directa - Prestación de servicios profesionales "/>
    <s v="Propios - 20 - Ingresos corrientes"/>
    <n v="82500000"/>
    <n v="82500000"/>
    <s v="No"/>
    <s v="N/A"/>
    <s v="Ingrid Fernanda Vásquez Méndez"/>
    <s v="Subdirectora de hidrocarburos"/>
    <n v="6012220601"/>
    <s v="ingrid.vasquez@upme.gov.co"/>
    <n v="82500000"/>
    <n v="0"/>
    <n v="0"/>
    <n v="0"/>
    <n v="0"/>
    <n v="7500000"/>
    <n v="0"/>
    <n v="7500000"/>
    <n v="0"/>
    <n v="7500000"/>
    <n v="0"/>
    <n v="7500000"/>
    <n v="0"/>
    <n v="7500000"/>
    <n v="3750000"/>
    <n v="7500000"/>
    <n v="0"/>
    <n v="7500000"/>
    <n v="0"/>
    <n v="7500000"/>
    <n v="0"/>
    <n v="7500000"/>
    <n v="0"/>
    <n v="18750000"/>
    <n v="86250000"/>
    <n v="86250000"/>
    <n v="-3750000"/>
    <n v="-3750000"/>
    <s v="Prestar servicios profesionales para apoyar el análisis y elaboración de metodologías para la proyección de precios de los energéticos en el contexto de las políticas energéticas a cargo de la Subdirección de Hidrocarburos."/>
    <n v="82500000"/>
    <m/>
    <m/>
    <m/>
    <m/>
    <n v="7750000"/>
    <m/>
    <n v="7500000"/>
    <m/>
    <n v="7500000"/>
    <m/>
    <n v="7500000"/>
    <m/>
    <n v="7500000"/>
    <m/>
    <n v="7500000"/>
    <m/>
    <n v="7500000"/>
    <m/>
    <n v="7500000"/>
    <m/>
    <n v="7500000"/>
    <m/>
    <n v="14750000"/>
    <m/>
    <m/>
    <n v="82500000"/>
    <n v="82500000"/>
    <n v="0"/>
    <n v="0"/>
    <n v="50026"/>
    <d v="2026-01-20T00:00:00"/>
    <n v="82500000"/>
    <n v="0"/>
    <n v="33426"/>
    <d v="2026-01-29T00:00:00"/>
    <n v="82500000"/>
    <n v="0"/>
    <n v="0"/>
    <s v="CASTELLANOS URIBE LINA MARITZA"/>
    <s v="CO1.PCCNTR.9171295"/>
    <n v="82500000"/>
    <m/>
    <m/>
    <m/>
    <m/>
    <m/>
    <m/>
    <n v="7750000"/>
    <n v="7750000"/>
    <m/>
    <n v="7500000"/>
    <n v="7500000"/>
    <m/>
    <m/>
    <m/>
    <m/>
    <m/>
    <m/>
    <m/>
    <m/>
    <m/>
    <m/>
    <m/>
    <m/>
    <m/>
    <m/>
    <m/>
    <m/>
    <m/>
    <m/>
    <m/>
    <m/>
    <m/>
    <m/>
    <m/>
    <m/>
    <n v="82500000"/>
    <n v="15250000"/>
    <n v="15250000"/>
    <n v="67250000"/>
    <n v="0"/>
  </r>
  <r>
    <x v="0"/>
    <x v="8"/>
    <s v="Mejoramiento de la planeación del abastecimiento y confiabilidad del subsector de hidrocarburos a nivel nacional"/>
    <s v="Hidrocarburos"/>
    <s v="Sí"/>
    <s v="Sí"/>
    <n v="21"/>
    <s v="170-12"/>
    <s v="Fortalecer la planificación de la oferta de hidrocarburos."/>
    <s v="Documentos de planeación estratégica del sector hidrocarburos"/>
    <s v="Documento de planeación preliminar."/>
    <n v="80111620"/>
    <s v="C-2103-1900-2-40301B-2103026-02"/>
    <x v="0"/>
    <s v="170-12 Prestar los servicios profesionales para realizar el mantenimiento de la documentación, seguimiento y control de las herramientas de gestión, así como el acompañamiento de la gestión administrativa y de los convenios supervisados por la Subdirecció"/>
    <s v="Enero "/>
    <s v="Enero "/>
    <s v="Enero "/>
    <n v="11.5"/>
    <s v="Meses"/>
    <s v="Contratación directa - Prestación de servicios profesionales "/>
    <s v="Propios - 20 - Ingresos corrientes"/>
    <n v="48408920"/>
    <n v="48408920"/>
    <s v="No"/>
    <s v="N/A"/>
    <s v="Ingrid Fernanda Vásquez Méndez"/>
    <s v="Subdirectora de hidrocarburos"/>
    <n v="6012220601"/>
    <s v="ingrid.vasquez@upme.gov.co"/>
    <n v="49575400"/>
    <n v="0"/>
    <n v="0"/>
    <n v="0"/>
    <n v="0"/>
    <n v="4374300"/>
    <n v="0"/>
    <n v="4374300"/>
    <n v="0"/>
    <n v="4374300"/>
    <n v="0"/>
    <n v="4374300"/>
    <n v="0"/>
    <n v="4374300"/>
    <n v="729050"/>
    <n v="4374300"/>
    <n v="0"/>
    <n v="4374300"/>
    <n v="0"/>
    <n v="4374300"/>
    <n v="0"/>
    <n v="4374300"/>
    <n v="0"/>
    <n v="10935750"/>
    <n v="50304450"/>
    <n v="50304450"/>
    <n v="-1895530"/>
    <n v="-1895530"/>
    <s v="Prestar los servicios profesionales para realizar el mantenimiento de la documentación, seguimiento y control de las herramientas de gestión, así como el acompañamiento de la gestión administrativa y de los convenios supervisados por la Subdirección de Hi"/>
    <n v="48408920"/>
    <m/>
    <m/>
    <n v="291620"/>
    <m/>
    <n v="4374300"/>
    <m/>
    <n v="4374300"/>
    <m/>
    <n v="4374300"/>
    <m/>
    <n v="4374300"/>
    <m/>
    <n v="4374300"/>
    <m/>
    <n v="4374300"/>
    <m/>
    <n v="4374300"/>
    <m/>
    <n v="4374300"/>
    <m/>
    <n v="4374300"/>
    <m/>
    <n v="8748600"/>
    <m/>
    <m/>
    <n v="48408920"/>
    <n v="48408920"/>
    <n v="0"/>
    <n v="0"/>
    <n v="20426"/>
    <d v="2026-01-11T00:00:00"/>
    <n v="48408920"/>
    <n v="0"/>
    <n v="27326"/>
    <d v="2026-01-28T00:00:00"/>
    <n v="48408920"/>
    <n v="0"/>
    <n v="0"/>
    <s v="CASTRILLON MURILLO MONICA DEL CARMEN"/>
    <s v="CO1.PCCNTR.9120636"/>
    <n v="49575400"/>
    <m/>
    <m/>
    <m/>
    <m/>
    <m/>
    <n v="-1166480"/>
    <n v="4665920"/>
    <n v="4665920"/>
    <m/>
    <n v="4374300"/>
    <n v="4374300"/>
    <m/>
    <m/>
    <m/>
    <m/>
    <m/>
    <m/>
    <m/>
    <m/>
    <m/>
    <m/>
    <m/>
    <m/>
    <m/>
    <m/>
    <m/>
    <m/>
    <m/>
    <m/>
    <m/>
    <m/>
    <m/>
    <m/>
    <m/>
    <m/>
    <n v="48408920"/>
    <n v="9040220"/>
    <n v="9040220"/>
    <n v="39368700"/>
    <n v="0"/>
  </r>
  <r>
    <x v="0"/>
    <x v="8"/>
    <s v="Mejoramiento de la planeación del abastecimiento y confiabilidad del subsector de hidrocarburos a nivel nacional"/>
    <s v="Hidrocarburos"/>
    <s v="Sí"/>
    <s v="Sí"/>
    <n v="21"/>
    <s v="170-13"/>
    <s v="Fortalecer la planificación de la oferta de hidrocarburos."/>
    <s v="Documentos de planeación estratégica del sector hidrocarburos"/>
    <s v="Documento de planeación preliminar."/>
    <n v="80111620"/>
    <s v="C-2103-1900-2-40301B-2103026-02"/>
    <x v="0"/>
    <s v="170-13 Prestar servicios profesionales de apoyo jurídico, elaboración de actos administrativos y acompañamiento jurídico en los distintos procesos y actividades técnicas que adelanta la subdirección de hidrocarburos"/>
    <s v="Enero "/>
    <s v="Enero "/>
    <s v="Enero "/>
    <n v="11.5"/>
    <s v="Meses"/>
    <s v="Contratación directa - Prestación de servicios profesionales "/>
    <s v="Propios - 20 - Ingresos corrientes"/>
    <n v="93060000"/>
    <n v="93060000"/>
    <s v="No"/>
    <s v="N/A"/>
    <s v="Ingrid Fernanda Vásquez Méndez"/>
    <s v="Subdirectora de hidrocarburos"/>
    <n v="6012220601"/>
    <s v="ingrid.vasquez@upme.gov.co"/>
    <n v="93060000"/>
    <n v="0"/>
    <n v="0"/>
    <n v="0"/>
    <n v="0"/>
    <n v="7332000"/>
    <n v="0"/>
    <n v="8460000"/>
    <n v="0"/>
    <n v="8460000"/>
    <n v="0"/>
    <n v="8460000"/>
    <n v="0"/>
    <n v="8460000"/>
    <n v="4230000"/>
    <n v="8460000"/>
    <n v="0"/>
    <n v="8460000"/>
    <n v="0"/>
    <n v="8460000"/>
    <n v="0"/>
    <n v="8460000"/>
    <n v="0"/>
    <n v="22278000"/>
    <n v="97290000"/>
    <n v="97290000"/>
    <n v="-4230000"/>
    <n v="-4230000"/>
    <s v="Prestar servicios profesionales de apoyo jurídico, elaboración de actos administrativos y acompañamiento jurídico en los distintos procesos y actividades técnicas que adelanta la subdirección de hidrocarburos"/>
    <n v="93060000"/>
    <m/>
    <m/>
    <m/>
    <m/>
    <n v="8460000"/>
    <m/>
    <n v="8460000"/>
    <m/>
    <n v="8460000"/>
    <m/>
    <n v="8460000"/>
    <m/>
    <n v="8460000"/>
    <m/>
    <n v="8460000"/>
    <m/>
    <n v="8460000"/>
    <m/>
    <n v="8460000"/>
    <m/>
    <n v="8460000"/>
    <m/>
    <n v="16920000"/>
    <m/>
    <m/>
    <n v="93060000"/>
    <n v="93060000"/>
    <n v="0"/>
    <n v="0"/>
    <n v="19626"/>
    <d v="2026-01-11T00:00:00"/>
    <n v="93060000"/>
    <n v="0"/>
    <n v="24726"/>
    <d v="2026-01-27T00:00:00"/>
    <n v="93060000"/>
    <n v="0"/>
    <n v="0"/>
    <s v="GARCIA ALVIRA JHONATAN"/>
    <s v="CO1.PCCNTR.9142762"/>
    <n v="93060000"/>
    <m/>
    <m/>
    <m/>
    <m/>
    <m/>
    <m/>
    <n v="9024000"/>
    <n v="9024000"/>
    <m/>
    <n v="8460000"/>
    <n v="8460000"/>
    <m/>
    <m/>
    <m/>
    <m/>
    <m/>
    <m/>
    <m/>
    <m/>
    <m/>
    <m/>
    <m/>
    <m/>
    <m/>
    <m/>
    <m/>
    <m/>
    <m/>
    <m/>
    <m/>
    <m/>
    <m/>
    <m/>
    <m/>
    <m/>
    <n v="93060000"/>
    <n v="17484000"/>
    <n v="17484000"/>
    <n v="75576000"/>
    <n v="0"/>
  </r>
  <r>
    <x v="0"/>
    <x v="8"/>
    <s v="Mejoramiento de la planeación del abastecimiento y confiabilidad del subsector de hidrocarburos a nivel nacional"/>
    <s v="Hidrocarburos"/>
    <s v="Sí"/>
    <s v="Sí"/>
    <n v="21"/>
    <s v="170-14"/>
    <s v="Fortalecer la planificación de la oferta de hidrocarburos."/>
    <s v="Documentos de planeación estratégica del sector hidrocarburos"/>
    <s v="Documento de planeación preliminar."/>
    <n v="80111620"/>
    <s v="C-2103-1900-2-40301B-2103026-02"/>
    <x v="0"/>
    <s v="170-14 Prestar servicios profesionales para apoyar el diseño, desarrollo e implementación de modelos avanzados de simulación, para la integración e interoperabilidad de los planes de abastecimiento y confiabilidad de la Subdirección de Hidrocarburos."/>
    <s v="Enero "/>
    <s v="Enero "/>
    <s v="Enero "/>
    <n v="11.5"/>
    <s v="Meses"/>
    <s v="Contratación directa - Prestación de servicios profesionales "/>
    <s v="Propios - 20 - Ingresos corrientes"/>
    <n v="106623154"/>
    <n v="106623154"/>
    <s v="No"/>
    <s v="N/A"/>
    <s v="Ingrid Fernanda Vásquez Méndez"/>
    <s v="Subdirectora de hidrocarburos"/>
    <n v="6012220601"/>
    <s v="ingrid.vasquez@upme.gov.co"/>
    <n v="106623154"/>
    <n v="0"/>
    <n v="0"/>
    <n v="0"/>
    <n v="0"/>
    <n v="9693014"/>
    <n v="0"/>
    <n v="9693014"/>
    <n v="0"/>
    <n v="9693014"/>
    <n v="0"/>
    <n v="9693014"/>
    <n v="0"/>
    <n v="9693014"/>
    <n v="4846507"/>
    <n v="9693014"/>
    <n v="0"/>
    <n v="9693014"/>
    <n v="0"/>
    <n v="9693014"/>
    <n v="0"/>
    <n v="9693014"/>
    <n v="0"/>
    <n v="24232535"/>
    <n v="111469661"/>
    <n v="111469661"/>
    <n v="-4846507"/>
    <n v="-4846507"/>
    <s v="Prestar servicios profesionales para apoyar el diseño, desarrollo e implementación de modelos avanzados de simulación, para la integración e interoperabilidad de los planes de abastecimiento y confiabilidad de la Subdirección de Hidrocarburos."/>
    <n v="106623154"/>
    <m/>
    <m/>
    <m/>
    <m/>
    <n v="9693014"/>
    <m/>
    <n v="9693014"/>
    <m/>
    <n v="9693014"/>
    <m/>
    <n v="9693014"/>
    <m/>
    <n v="9693014"/>
    <m/>
    <n v="9693014"/>
    <m/>
    <n v="9693014"/>
    <m/>
    <n v="9693014"/>
    <m/>
    <n v="9693014"/>
    <m/>
    <n v="19386028"/>
    <m/>
    <m/>
    <n v="106623154"/>
    <n v="106623154"/>
    <n v="0"/>
    <n v="0"/>
    <n v="21126"/>
    <d v="2026-01-11T00:00:00"/>
    <n v="106623154"/>
    <n v="0"/>
    <n v="30826"/>
    <d v="2026-01-29T00:00:00"/>
    <n v="106623154"/>
    <n v="0"/>
    <n v="0"/>
    <s v="GALVIS PEÑUELA LUIS ALEJANDRO"/>
    <s v="CO1.PCCNTR.9139461"/>
    <n v="106623154"/>
    <m/>
    <m/>
    <m/>
    <m/>
    <m/>
    <m/>
    <n v="10016114.460000001"/>
    <n v="10016114.460000001"/>
    <m/>
    <n v="9693014"/>
    <n v="9693014"/>
    <m/>
    <m/>
    <m/>
    <m/>
    <m/>
    <m/>
    <m/>
    <m/>
    <m/>
    <m/>
    <m/>
    <m/>
    <m/>
    <m/>
    <m/>
    <m/>
    <m/>
    <m/>
    <m/>
    <m/>
    <m/>
    <m/>
    <m/>
    <m/>
    <n v="106623154"/>
    <n v="19709128.460000001"/>
    <n v="19709128.460000001"/>
    <n v="86914025.539999992"/>
    <n v="0"/>
  </r>
  <r>
    <x v="0"/>
    <x v="8"/>
    <s v="Mejoramiento de la planeación del abastecimiento y confiabilidad del subsector de hidrocarburos a nivel nacional"/>
    <s v="Hidrocarburos"/>
    <s v="Sí"/>
    <s v="Sí"/>
    <n v="68"/>
    <s v="170-15"/>
    <s v="Fortalecer la planificación de la oferta de hidrocarburos."/>
    <s v="Documentos de planeación estratégica del sector hidrocarburos"/>
    <s v="Documento de planeación validado."/>
    <n v="80111620"/>
    <s v="C-2103-1900-2-40301B-2103026-02"/>
    <x v="0"/>
    <s v="170-15 Prestar servicios profesionales para apoyar el análisis económico y de costos de infraestuctura, así como las demás actividades relacionadas con la elaboración y desarrollo de los Planes de abastecimiento y confiabilidad a cargo de la Subdirección "/>
    <s v="Enero "/>
    <s v="Enero "/>
    <s v="Enero "/>
    <n v="11.5"/>
    <s v="Meses"/>
    <s v="Contratación directa - Prestación de servicios profesionales "/>
    <s v="Propios - 20 - Ingresos corrientes"/>
    <n v="89700000"/>
    <n v="89700000"/>
    <s v="No"/>
    <s v="N/A"/>
    <s v="Ingrid Fernanda Vásquez Méndez"/>
    <s v="Subdirectora de hidrocarburos"/>
    <n v="6012220601"/>
    <s v="ingrid.vasquez@upme.gov.co"/>
    <n v="85800000"/>
    <n v="0"/>
    <n v="0"/>
    <n v="0"/>
    <n v="0"/>
    <n v="7800000"/>
    <n v="0"/>
    <n v="7800000"/>
    <n v="0"/>
    <n v="7800000"/>
    <n v="0"/>
    <n v="7800000"/>
    <n v="0"/>
    <n v="7800000"/>
    <n v="3900000"/>
    <n v="7800000"/>
    <n v="0"/>
    <n v="7800000"/>
    <n v="0"/>
    <n v="7800000"/>
    <n v="0"/>
    <n v="7800000"/>
    <n v="0"/>
    <n v="19500000"/>
    <n v="89700000"/>
    <n v="89700000"/>
    <n v="0"/>
    <n v="0"/>
    <s v="Prestar servicios profesionales para apoyar el análisis económico y de costos de infraestuctura, así como las demás actividades relacionadas con la elaboración y desarrollo de los Planes de abastecimiento y confiabilidad a cargo de la Subdirección de Hidr"/>
    <n v="85800000"/>
    <m/>
    <m/>
    <m/>
    <m/>
    <n v="7800000"/>
    <m/>
    <n v="7800000"/>
    <m/>
    <n v="7800000"/>
    <m/>
    <n v="7800000"/>
    <m/>
    <n v="7800000"/>
    <n v="3900000"/>
    <n v="7800000"/>
    <m/>
    <n v="7800000"/>
    <m/>
    <n v="7800000"/>
    <m/>
    <n v="7800000"/>
    <m/>
    <n v="19500000"/>
    <m/>
    <m/>
    <n v="89700000"/>
    <n v="89700000"/>
    <n v="0"/>
    <n v="0"/>
    <n v="49826"/>
    <d v="2026-01-20T00:00:00"/>
    <n v="89700000"/>
    <n v="0"/>
    <n v="29826"/>
    <d v="2026-01-28T00:00:00"/>
    <n v="85800000"/>
    <n v="3900000"/>
    <n v="3900000"/>
    <s v="AHUMADA FORIGUA ANDREA PAOLA"/>
    <s v="CO1.PCCNTR.9139808"/>
    <n v="85800000"/>
    <m/>
    <m/>
    <m/>
    <m/>
    <m/>
    <m/>
    <n v="8060000"/>
    <n v="8060000"/>
    <m/>
    <n v="7800000"/>
    <n v="7800000"/>
    <m/>
    <m/>
    <m/>
    <m/>
    <m/>
    <m/>
    <m/>
    <m/>
    <m/>
    <m/>
    <m/>
    <m/>
    <m/>
    <m/>
    <m/>
    <m/>
    <m/>
    <m/>
    <m/>
    <m/>
    <m/>
    <m/>
    <m/>
    <m/>
    <n v="85800000"/>
    <n v="15860000"/>
    <n v="15860000"/>
    <n v="69940000"/>
    <n v="0"/>
  </r>
  <r>
    <x v="0"/>
    <x v="8"/>
    <s v="Mejoramiento de la planeación del abastecimiento y confiabilidad del subsector de hidrocarburos a nivel nacional"/>
    <s v="Hidrocarburos"/>
    <s v="Sí"/>
    <s v="Sí"/>
    <n v="23"/>
    <s v="170-16"/>
    <s v="Fortalecer la planificación de la oferta de hidrocarburos."/>
    <s v="Documentos de planeación estratégica del sector hidrocarburos"/>
    <s v="Documento de planeación validado."/>
    <n v="80111620"/>
    <s v="C-2103-1900-2-40301B-2103026-02"/>
    <x v="0"/>
    <s v="170-16 Prestar servicios profesionales de asesoría orientados a la elaboración, estructuración y desarrollo estratégico de planes, así como a la evaluación de proyectos de infraestructura y al análisis regulatorio en los temas que requieran la Dirección G"/>
    <s v="Enero "/>
    <s v="Enero "/>
    <s v="Enero "/>
    <n v="11.5"/>
    <s v="Meses"/>
    <s v="Contratación directa - Prestación de servicios profesionales "/>
    <s v="Propios - 20 - Ingresos corrientes"/>
    <n v="138000000"/>
    <n v="138000000"/>
    <s v="No"/>
    <s v="N/A"/>
    <s v="Ingrid Fernanda Vásquez Méndez"/>
    <s v="Subdirectora de hidrocarburos"/>
    <n v="6012220601"/>
    <s v="ingrid.vasquez@upme.gov.co"/>
    <n v="0"/>
    <n v="0"/>
    <n v="136000000"/>
    <n v="0"/>
    <n v="0"/>
    <n v="12000000"/>
    <n v="0"/>
    <n v="12000000"/>
    <n v="0"/>
    <n v="12000000"/>
    <n v="0"/>
    <n v="12000000"/>
    <n v="0"/>
    <n v="12000000"/>
    <n v="2000000"/>
    <n v="12000000"/>
    <n v="0"/>
    <n v="12000000"/>
    <n v="0"/>
    <n v="12000000"/>
    <n v="0"/>
    <n v="12000000"/>
    <n v="0"/>
    <n v="30000000"/>
    <n v="138000000"/>
    <n v="138000000"/>
    <n v="0"/>
    <n v="0"/>
    <s v="Prestar servicios profesionales de asesoría orientados a la elaboración, estructuración y desarrollo estratégico de planes, así como a la evaluación de proyectos de infraestructura y al análisis regulatorio en los temas que requieran la Dirección General "/>
    <m/>
    <m/>
    <n v="136000000"/>
    <m/>
    <m/>
    <n v="12000000"/>
    <m/>
    <n v="12000000"/>
    <m/>
    <n v="12000000"/>
    <m/>
    <n v="12000000"/>
    <m/>
    <n v="12000000"/>
    <n v="2000000"/>
    <n v="12000000"/>
    <m/>
    <n v="12000000"/>
    <m/>
    <n v="12000000"/>
    <m/>
    <n v="12000000"/>
    <m/>
    <n v="30000000"/>
    <m/>
    <m/>
    <n v="138000000"/>
    <n v="138000000"/>
    <n v="0"/>
    <n v="0"/>
    <n v="19226"/>
    <d v="2026-01-11T00:00:00"/>
    <n v="130800000"/>
    <n v="7200000"/>
    <n v="38526"/>
    <d v="2026-02-03T00:00:00"/>
    <n v="130800000"/>
    <n v="7200000"/>
    <n v="0"/>
    <s v="PADILLA CAMACHO LUIS MARIA"/>
    <s v="CO1.PCCNTR.9183715"/>
    <m/>
    <m/>
    <m/>
    <n v="136000000"/>
    <m/>
    <m/>
    <m/>
    <n v="10800000"/>
    <n v="10800000"/>
    <n v="-5200000"/>
    <n v="12000000"/>
    <n v="12000000"/>
    <m/>
    <m/>
    <m/>
    <m/>
    <m/>
    <m/>
    <m/>
    <m/>
    <m/>
    <m/>
    <m/>
    <m/>
    <m/>
    <m/>
    <m/>
    <m/>
    <m/>
    <m/>
    <m/>
    <m/>
    <m/>
    <m/>
    <m/>
    <m/>
    <n v="130800000"/>
    <n v="22800000"/>
    <n v="22800000"/>
    <n v="108000000"/>
    <n v="0"/>
  </r>
  <r>
    <x v="0"/>
    <x v="8"/>
    <s v="Mejoramiento de la planeación del abastecimiento y confiabilidad del subsector de hidrocarburos a nivel nacional"/>
    <s v="Hidrocarburos"/>
    <s v="Sí"/>
    <s v="Sí"/>
    <n v="68"/>
    <s v="170-17"/>
    <s v="Fortalecer la planificación de la oferta de hidrocarburos."/>
    <s v="Documentos de planeación estratégica del sector hidrocarburos"/>
    <s v="Documento de planeación validado."/>
    <n v="80111620"/>
    <s v="C-2103-1900-2-40301B-2103026-02"/>
    <x v="0"/>
    <s v="170-17 Prestar servicios profesionales para apoyar la elaboración, desarrollo, análisis de información y demás actividades relacionadas con el Plan Nacional de Sustitución de Leña a cargo de la Subdireccion de Hidrocarburos."/>
    <s v="Enero "/>
    <s v="Enero "/>
    <s v="Enero "/>
    <n v="11.5"/>
    <s v="Meses"/>
    <s v="Contratación directa - Prestación de servicios profesionales "/>
    <s v="Propios - 20 - Ingresos corrientes"/>
    <n v="80500000"/>
    <n v="80500000"/>
    <s v="No"/>
    <s v="N/A"/>
    <s v="Ingrid Fernanda Vásquez Méndez"/>
    <s v="Subdirectora de hidrocarburos"/>
    <n v="6012220601"/>
    <s v="ingrid.vasquez@upme.gov.co"/>
    <n v="0"/>
    <n v="0"/>
    <n v="78166667"/>
    <n v="0"/>
    <n v="0"/>
    <n v="7000000"/>
    <n v="0"/>
    <n v="7000000"/>
    <n v="0"/>
    <n v="7000000"/>
    <n v="0"/>
    <n v="7000000"/>
    <n v="0"/>
    <n v="7000000"/>
    <n v="2333333"/>
    <n v="7000000"/>
    <n v="0"/>
    <n v="7000000"/>
    <n v="0"/>
    <n v="7000000"/>
    <n v="0"/>
    <n v="7000000"/>
    <n v="0"/>
    <n v="17500000"/>
    <n v="80500000"/>
    <n v="80500000"/>
    <n v="0"/>
    <n v="0"/>
    <s v="Prestar servicios profesionales para apoyar la elaboración, desarrollo, análisis de información y demás actividades relacionadas con el Plan Nacional de Sustitución de Leña a cargo de la Subdireccion de Hidrocarburos."/>
    <m/>
    <m/>
    <n v="78166667"/>
    <m/>
    <m/>
    <n v="7000000"/>
    <m/>
    <n v="7000000"/>
    <m/>
    <n v="7000000"/>
    <m/>
    <n v="7000000"/>
    <m/>
    <n v="7000000"/>
    <n v="2333333"/>
    <n v="7000000"/>
    <m/>
    <n v="7000000"/>
    <m/>
    <n v="7000000"/>
    <m/>
    <n v="7000000"/>
    <m/>
    <n v="17500000"/>
    <m/>
    <m/>
    <n v="80500000"/>
    <n v="80500000"/>
    <n v="0"/>
    <n v="0"/>
    <n v="49326"/>
    <d v="2026-01-19T00:00:00"/>
    <n v="80500000"/>
    <n v="0"/>
    <n v="46626"/>
    <d v="2026-02-05T00:00:00"/>
    <n v="78166667"/>
    <n v="2333333"/>
    <n v="2333333"/>
    <s v="RAMIREZ TRIANA LUDY KATHERINE"/>
    <s v="CO1.PCCNTR.9255316"/>
    <m/>
    <m/>
    <m/>
    <n v="78166667"/>
    <m/>
    <m/>
    <m/>
    <n v="5833333"/>
    <n v="5833333"/>
    <m/>
    <n v="7000000"/>
    <n v="7000000"/>
    <m/>
    <m/>
    <m/>
    <m/>
    <m/>
    <m/>
    <m/>
    <m/>
    <m/>
    <m/>
    <m/>
    <m/>
    <m/>
    <m/>
    <m/>
    <m/>
    <m/>
    <m/>
    <m/>
    <m/>
    <m/>
    <m/>
    <m/>
    <m/>
    <n v="78166667"/>
    <n v="12833333"/>
    <n v="12833333"/>
    <n v="65333334"/>
    <n v="0"/>
  </r>
  <r>
    <x v="0"/>
    <x v="8"/>
    <s v="Mejoramiento de la planeación del abastecimiento y confiabilidad del subsector de hidrocarburos a nivel nacional"/>
    <s v="Hidrocarburos"/>
    <s v="Sí"/>
    <s v="Sí"/>
    <n v="68"/>
    <s v="170-18"/>
    <s v="Fortalecer la planificación de la oferta de hidrocarburos."/>
    <s v="Documentos de planeación estratégica del sector hidrocarburos"/>
    <s v="Documento de planeación validado."/>
    <n v="80111620"/>
    <s v="C-2103-1900-2-40301B-2103026-02"/>
    <x v="0"/>
    <s v="170-18 Prestar servicios profesionales para apoyar la elaboración, desarrollo, análisis de información y demás actividades relacionadas con el Plan Indicativo de Bioenergía con el enfoque territorial a cargo de la Subdireccion de Hidrocarburos."/>
    <s v="Enero "/>
    <s v="Enero "/>
    <s v="Enero "/>
    <n v="11"/>
    <s v="Meses"/>
    <s v="Contratación directa - Prestación de servicios profesionales "/>
    <s v="Propios - 20 - Ingresos corrientes"/>
    <n v="77000000"/>
    <n v="77000000"/>
    <s v="No"/>
    <s v="N/A"/>
    <s v="Ingrid Fernanda Vásquez Méndez"/>
    <s v="Subdirectora de hidrocarburos"/>
    <n v="6012220601"/>
    <s v="ingrid.vasquez@upme.gov.co"/>
    <n v="77000000"/>
    <n v="0"/>
    <n v="0"/>
    <n v="0"/>
    <n v="0"/>
    <n v="7000000"/>
    <n v="0"/>
    <n v="7000000"/>
    <n v="0"/>
    <n v="7000000"/>
    <n v="0"/>
    <n v="7000000"/>
    <n v="0"/>
    <n v="7000000"/>
    <n v="0"/>
    <n v="7000000"/>
    <n v="0"/>
    <n v="7000000"/>
    <n v="0"/>
    <n v="7000000"/>
    <n v="0"/>
    <n v="7000000"/>
    <n v="0"/>
    <n v="14000000"/>
    <n v="77000000"/>
    <n v="77000000"/>
    <n v="0"/>
    <n v="0"/>
    <s v="Prestar servicios profesionales para apoyar la elaboración, desarrollo, análisis de información y demás actividades relacionadas con el Plan Indicativo de Bioenergía con el enfoque territorial a cargo de la Subdireccion de Hidrocarburos."/>
    <n v="77000000"/>
    <m/>
    <m/>
    <m/>
    <m/>
    <n v="7000000"/>
    <m/>
    <n v="7000000"/>
    <m/>
    <n v="7000000"/>
    <m/>
    <n v="7000000"/>
    <m/>
    <n v="7000000"/>
    <m/>
    <n v="7000000"/>
    <m/>
    <n v="7000000"/>
    <m/>
    <n v="7000000"/>
    <m/>
    <n v="7000000"/>
    <m/>
    <n v="14000000"/>
    <m/>
    <m/>
    <n v="77000000"/>
    <n v="77000000"/>
    <n v="0"/>
    <n v="0"/>
    <n v="46326"/>
    <d v="2026-01-19T00:00:00"/>
    <n v="77000000"/>
    <n v="0"/>
    <n v="33726"/>
    <d v="2026-01-29T00:00:00"/>
    <n v="77000000"/>
    <n v="0"/>
    <n v="0"/>
    <s v="CASTRO MUR DIANA CAROLINA"/>
    <s v="CO1.PCCNTR.9172108"/>
    <n v="77000000"/>
    <m/>
    <m/>
    <m/>
    <n v="233333"/>
    <n v="233333"/>
    <m/>
    <n v="7000000"/>
    <n v="7000000"/>
    <m/>
    <n v="7000000"/>
    <n v="7000000"/>
    <m/>
    <m/>
    <m/>
    <m/>
    <m/>
    <m/>
    <m/>
    <m/>
    <m/>
    <m/>
    <m/>
    <m/>
    <m/>
    <m/>
    <m/>
    <m/>
    <m/>
    <m/>
    <m/>
    <m/>
    <m/>
    <m/>
    <m/>
    <m/>
    <n v="77000000"/>
    <n v="14233333"/>
    <n v="14233333"/>
    <n v="62766667"/>
    <n v="0"/>
  </r>
  <r>
    <x v="0"/>
    <x v="8"/>
    <s v="Mejoramiento de la planeación del abastecimiento y confiabilidad del subsector de hidrocarburos a nivel nacional"/>
    <s v="Hidrocarburos"/>
    <s v="Sí"/>
    <s v="Sí"/>
    <n v="2"/>
    <s v="170-19"/>
    <s v="Fortalecer la planificación de la oferta de hidrocarburos."/>
    <s v="Documentos de planeación estratégica del sector hidrocarburos"/>
    <s v="Documento de planeación validado."/>
    <n v="80111620"/>
    <s v="C-2103-1900-2-40301B-2103026-02"/>
    <x v="0"/>
    <s v="170-19 Prestar servicios profesionales de asesoría en materia económica y financiera, orientados a la elaboración, análisis y seguimiento de planes, así como al desarrollo y aplicación de lineamientos técnicos en los temas que requieran la Dirección Gener"/>
    <s v="Enero "/>
    <s v="Enero "/>
    <s v="Enero "/>
    <n v="11"/>
    <s v="Meses"/>
    <s v="Contratación directa - Prestación de servicios profesionales "/>
    <s v="Propios - 20 - Ingresos corrientes"/>
    <n v="132000000"/>
    <n v="132000000"/>
    <s v="No"/>
    <s v="N/A"/>
    <s v="Ingrid Fernanda Vásquez Méndez"/>
    <s v="Subdirectora de hidrocarburos"/>
    <n v="6012220601"/>
    <s v="ingrid.vasquez@upme.gov.co"/>
    <n v="132000000"/>
    <n v="0"/>
    <n v="0"/>
    <n v="0"/>
    <n v="0"/>
    <n v="12000000"/>
    <n v="0"/>
    <n v="12000000"/>
    <n v="0"/>
    <n v="12000000"/>
    <n v="0"/>
    <n v="12000000"/>
    <n v="0"/>
    <n v="12000000"/>
    <n v="0"/>
    <n v="12000000"/>
    <n v="0"/>
    <n v="12000000"/>
    <n v="0"/>
    <n v="12000000"/>
    <n v="0"/>
    <n v="12000000"/>
    <n v="0"/>
    <n v="24000000"/>
    <n v="132000000"/>
    <n v="132000000"/>
    <n v="0"/>
    <n v="0"/>
    <s v="Prestar servicios profesionales de asesoría en materia económica y financiera, orientados a la elaboración, análisis y seguimiento de planes, así como al desarrollo y aplicación de lineamientos técnicos en los temas que requieran la Dirección General y la"/>
    <n v="132000000"/>
    <m/>
    <m/>
    <m/>
    <m/>
    <n v="12000000"/>
    <m/>
    <n v="12000000"/>
    <m/>
    <n v="12000000"/>
    <m/>
    <n v="12000000"/>
    <m/>
    <n v="12000000"/>
    <m/>
    <n v="12000000"/>
    <m/>
    <n v="12000000"/>
    <m/>
    <n v="12000000"/>
    <m/>
    <n v="12000000"/>
    <m/>
    <n v="24000000"/>
    <m/>
    <m/>
    <n v="132000000"/>
    <n v="132000000"/>
    <n v="0"/>
    <n v="0"/>
    <n v="18626"/>
    <d v="2026-01-11T00:00:00"/>
    <n v="132000000"/>
    <n v="0"/>
    <n v="31626"/>
    <d v="2026-01-29T00:00:00"/>
    <n v="132000000"/>
    <n v="0"/>
    <n v="0"/>
    <s v="ACEVEDO ACEVEDO ARIEL ALFONSO"/>
    <s v="CO1.PCCNTR.8993780"/>
    <n v="132000000"/>
    <m/>
    <m/>
    <m/>
    <m/>
    <m/>
    <m/>
    <n v="12400000"/>
    <n v="12400000"/>
    <m/>
    <n v="12000000"/>
    <n v="12000000"/>
    <m/>
    <m/>
    <m/>
    <m/>
    <m/>
    <m/>
    <m/>
    <m/>
    <m/>
    <m/>
    <m/>
    <m/>
    <m/>
    <m/>
    <m/>
    <m/>
    <m/>
    <m/>
    <m/>
    <m/>
    <m/>
    <m/>
    <m/>
    <m/>
    <n v="132000000"/>
    <n v="24400000"/>
    <n v="24400000"/>
    <n v="107600000"/>
    <n v="0"/>
  </r>
  <r>
    <x v="0"/>
    <x v="8"/>
    <s v="Mejoramiento de la planeación del abastecimiento y confiabilidad del subsector de hidrocarburos a nivel nacional"/>
    <s v="Hidrocarburos"/>
    <s v="Sí"/>
    <s v="Sí"/>
    <n v="68"/>
    <s v="170-20"/>
    <s v="Fortalecer la planificación de la oferta de hidrocarburos."/>
    <s v="Documentos de planeación estratégica del sector hidrocarburos"/>
    <s v="Documento de planeación validado."/>
    <n v="80111620"/>
    <s v="C-2103-1900-2-40301B-2103026-02"/>
    <x v="0"/>
    <s v="170-20 Prestar servicios profesionales para brindar apoyo jurídico en la ejecución y seguimiento de procesos de convocatorias públicas y demás actividades a cargo de la Subdirección de Hidrocarburos."/>
    <s v="Enero "/>
    <s v="Enero "/>
    <s v="Enero "/>
    <n v="11"/>
    <s v="Meses"/>
    <s v="Contratación directa - Prestación de servicios profesionales "/>
    <s v="Propios - 20 - Ingresos corrientes"/>
    <n v="106623154"/>
    <n v="106623154"/>
    <s v="No"/>
    <s v="N/A"/>
    <s v="Ingrid Fernanda Vásquez Méndez"/>
    <s v="Subdirectora de hidrocarburos"/>
    <n v="6012220601"/>
    <s v="ingrid.vasquez@upme.gov.co"/>
    <n v="106623154"/>
    <n v="0"/>
    <n v="0"/>
    <n v="0"/>
    <n v="0"/>
    <n v="7332000"/>
    <n v="0"/>
    <n v="8460000"/>
    <n v="0"/>
    <n v="8460000"/>
    <n v="0"/>
    <n v="8460000"/>
    <n v="0"/>
    <n v="8460000"/>
    <n v="0"/>
    <n v="8460000"/>
    <n v="0"/>
    <n v="8460000"/>
    <n v="0"/>
    <n v="8460000"/>
    <n v="0"/>
    <n v="8460000"/>
    <n v="0"/>
    <n v="31611154"/>
    <n v="106623154"/>
    <n v="106623154"/>
    <n v="0"/>
    <n v="0"/>
    <s v="Prestar servicios profesionales para brindar apoyo jurídico en la ejecución y seguimiento de procesos de convocatorias públicas y demás actividades a cargo de la Subdirección de Hidrocarburos."/>
    <n v="106623154"/>
    <m/>
    <m/>
    <m/>
    <m/>
    <n v="7332000"/>
    <m/>
    <n v="8460000"/>
    <m/>
    <n v="8460000"/>
    <m/>
    <n v="8460000"/>
    <m/>
    <n v="8460000"/>
    <m/>
    <n v="8460000"/>
    <m/>
    <n v="8460000"/>
    <m/>
    <n v="8460000"/>
    <m/>
    <n v="8460000"/>
    <m/>
    <n v="31611154"/>
    <m/>
    <m/>
    <n v="106623154"/>
    <n v="106623154"/>
    <n v="0"/>
    <n v="0"/>
    <n v="50326"/>
    <d v="2026-01-20T00:00:00"/>
    <n v="106623154"/>
    <n v="0"/>
    <n v="26126"/>
    <d v="2026-01-28T00:00:00"/>
    <n v="106623154"/>
    <n v="0"/>
    <n v="0"/>
    <s v="MATEUS DIAZ JOHANNA"/>
    <s v="CO1.PCCNTR.9121642"/>
    <n v="106623154"/>
    <m/>
    <m/>
    <m/>
    <m/>
    <m/>
    <m/>
    <m/>
    <m/>
    <m/>
    <m/>
    <m/>
    <m/>
    <m/>
    <m/>
    <m/>
    <m/>
    <m/>
    <m/>
    <m/>
    <m/>
    <m/>
    <m/>
    <m/>
    <m/>
    <m/>
    <m/>
    <m/>
    <m/>
    <m/>
    <m/>
    <m/>
    <m/>
    <m/>
    <m/>
    <m/>
    <n v="106623154"/>
    <n v="0"/>
    <n v="0"/>
    <n v="106623154"/>
    <n v="0"/>
  </r>
  <r>
    <x v="0"/>
    <x v="8"/>
    <s v="Mejoramiento de la planeación del abastecimiento y confiabilidad del subsector de hidrocarburos a nivel nacional"/>
    <s v="Hidrocarburos"/>
    <s v="Sí"/>
    <s v="Sí"/>
    <n v="2"/>
    <s v="170-21"/>
    <s v="Fortalecer la planificación de la oferta de hidrocarburos."/>
    <s v="Documentos de planeación estratégica del sector hidrocarburos"/>
    <s v="Documento de planeación validado."/>
    <n v="80111620"/>
    <s v="C-2103-1900-2-40301B-2103026-02"/>
    <x v="0"/>
    <s v="170-21 Prestar servicios profesionales para apoyar la elaboración, desarrollo, análisis de información y demás actividades relacionadas con el Plan Indicativo de GLP a cargo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la elaboración, desarrollo, análisis de información y demás actividades relacionadas con el Plan Indicativo de GLP a cargo de la Subdirección de Hidrocarburos"/>
    <n v="102300000"/>
    <m/>
    <m/>
    <m/>
    <m/>
    <n v="8060000"/>
    <m/>
    <n v="9300000"/>
    <m/>
    <n v="9300000"/>
    <m/>
    <n v="9300000"/>
    <m/>
    <n v="9300000"/>
    <m/>
    <n v="9300000"/>
    <m/>
    <n v="9300000"/>
    <m/>
    <n v="9300000"/>
    <m/>
    <n v="9300000"/>
    <m/>
    <n v="19840000"/>
    <m/>
    <m/>
    <n v="102300000"/>
    <n v="102300000"/>
    <n v="0"/>
    <n v="0"/>
    <n v="49626"/>
    <d v="2026-01-19T00:00:00"/>
    <n v="102300000"/>
    <n v="0"/>
    <n v="30126"/>
    <d v="2026-01-29T00:00:00"/>
    <n v="102300000"/>
    <n v="0"/>
    <n v="0"/>
    <s v="MARIÑO HIGUERA IVONN MARLLERY"/>
    <s v="CO1.PCCNTR.9139913"/>
    <n v="102300000"/>
    <m/>
    <m/>
    <m/>
    <n v="310000"/>
    <n v="310000"/>
    <m/>
    <n v="9300000"/>
    <n v="9300000"/>
    <m/>
    <n v="9300000"/>
    <n v="9300000"/>
    <m/>
    <m/>
    <m/>
    <m/>
    <m/>
    <m/>
    <m/>
    <m/>
    <m/>
    <m/>
    <m/>
    <m/>
    <m/>
    <m/>
    <m/>
    <m/>
    <m/>
    <m/>
    <m/>
    <m/>
    <m/>
    <m/>
    <m/>
    <m/>
    <n v="102300000"/>
    <n v="18910000"/>
    <n v="18910000"/>
    <n v="83390000"/>
    <n v="0"/>
  </r>
  <r>
    <x v="0"/>
    <x v="8"/>
    <s v="Mejoramiento de la planeación del abastecimiento y confiabilidad del subsector de hidrocarburos a nivel nacional"/>
    <s v="Hidrocarburos"/>
    <s v="Sí"/>
    <s v="Sí"/>
    <n v="23"/>
    <s v="170-22"/>
    <s v="Fortalecer la planificación de la oferta de hidrocarburos."/>
    <s v="Documentos de planeación estratégica del sector hidrocarburos"/>
    <s v="Documento de planeación validado."/>
    <n v="80111620"/>
    <s v="C-2103-1900-2-40301B-2103026-02"/>
    <x v="0"/>
    <s v="170-22 Prestar servicios profesionales para apoyar la elaboración, desarrollo, análisis de información y demás actividades relacionadas con el Estudio Técnico para el Plan de Abastecimiento de Gas Natural a cargo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0"/>
    <n v="0"/>
    <n v="102300000"/>
    <n v="0"/>
    <n v="0"/>
    <n v="8060000"/>
    <n v="0"/>
    <n v="9300000"/>
    <n v="0"/>
    <n v="9300000"/>
    <n v="0"/>
    <n v="9300000"/>
    <n v="0"/>
    <n v="9300000"/>
    <n v="0"/>
    <n v="9300000"/>
    <n v="0"/>
    <n v="9300000"/>
    <n v="0"/>
    <n v="9300000"/>
    <n v="0"/>
    <n v="9300000"/>
    <n v="0"/>
    <n v="19840000"/>
    <n v="102300000"/>
    <n v="102300000"/>
    <n v="0"/>
    <n v="0"/>
    <s v="Prestar servicios profesionales para apoyar la elaboración, desarrollo, análisis de información y demás actividades relacionadas con el Estudio Técnico para el Plan de Abastecimiento de Gas Natural a cargo de la Subdirección de Hidrocarburos"/>
    <m/>
    <m/>
    <n v="102300000"/>
    <m/>
    <m/>
    <n v="8060000"/>
    <m/>
    <n v="9300000"/>
    <m/>
    <n v="9300000"/>
    <m/>
    <n v="9300000"/>
    <m/>
    <n v="9300000"/>
    <m/>
    <n v="9300000"/>
    <m/>
    <n v="9300000"/>
    <m/>
    <n v="9300000"/>
    <m/>
    <n v="9300000"/>
    <m/>
    <n v="19840000"/>
    <m/>
    <m/>
    <n v="102300000"/>
    <n v="102300000"/>
    <n v="0"/>
    <n v="0"/>
    <n v="61026"/>
    <d v="2026-01-23T00:00:00"/>
    <n v="99200000"/>
    <n v="3100000"/>
    <n v="55026"/>
    <d v="2026-02-10T00:00:00"/>
    <n v="99200000"/>
    <n v="3100000"/>
    <n v="0"/>
    <s v="SANCHEZ GALVIS LUIS GABRIEL"/>
    <s v="CO1.PCCNTR.9283865"/>
    <m/>
    <m/>
    <m/>
    <n v="102300000"/>
    <m/>
    <m/>
    <m/>
    <n v="6200000"/>
    <n v="6200000"/>
    <n v="-3100000"/>
    <n v="9300000"/>
    <n v="9300000"/>
    <m/>
    <m/>
    <m/>
    <m/>
    <m/>
    <m/>
    <m/>
    <m/>
    <m/>
    <m/>
    <m/>
    <m/>
    <m/>
    <m/>
    <m/>
    <m/>
    <m/>
    <m/>
    <m/>
    <m/>
    <m/>
    <m/>
    <m/>
    <m/>
    <n v="99200000"/>
    <n v="15500000"/>
    <n v="15500000"/>
    <n v="83700000"/>
    <n v="0"/>
  </r>
  <r>
    <x v="0"/>
    <x v="8"/>
    <s v="Mejoramiento de la planeación del abastecimiento y confiabilidad del subsector de hidrocarburos a nivel nacional"/>
    <s v="Hidrocarburos"/>
    <s v="Sí"/>
    <s v="Sí"/>
    <n v="23"/>
    <s v="170-23"/>
    <s v="Fortalecer la planificación de la oferta de hidrocarburos."/>
    <s v="Documentos de planeación estratégica del sector hidrocarburos"/>
    <s v="Documento de planeación validado."/>
    <n v="80111620"/>
    <s v="C-2103-1900-2-40301B-2103026-02"/>
    <x v="0"/>
    <s v="170-23 Prestar servicios profesionales para apoyar el seguimiento y control de los procesos de selección y la evaluación de proyectos de infraestructura, así como, la elaboración de documentos técnicos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el seguimiento y control de los procesos de selección y la evaluación de proyectos de infraestructura, así como, la elaboración de documentos técnicos de la Subdirección de Hidrocarburos"/>
    <n v="102300000"/>
    <m/>
    <m/>
    <m/>
    <m/>
    <n v="8060000"/>
    <m/>
    <n v="9300000"/>
    <m/>
    <n v="9300000"/>
    <m/>
    <n v="9300000"/>
    <m/>
    <n v="9300000"/>
    <m/>
    <n v="9300000"/>
    <m/>
    <n v="9300000"/>
    <m/>
    <n v="9300000"/>
    <m/>
    <n v="9300000"/>
    <m/>
    <n v="19840000"/>
    <m/>
    <m/>
    <n v="102300000"/>
    <n v="102300000"/>
    <n v="0"/>
    <n v="0"/>
    <n v="43626"/>
    <d v="2026-01-17T00:00:00"/>
    <n v="101990000"/>
    <n v="310000"/>
    <n v="35826"/>
    <d v="2026-01-30T00:00:00"/>
    <n v="101990000"/>
    <n v="310000"/>
    <n v="0"/>
    <s v="MENDEZ LOZANO MARIO FERNANDO"/>
    <s v="CO1.PCCNTR.9178679"/>
    <n v="102300000"/>
    <m/>
    <m/>
    <m/>
    <m/>
    <m/>
    <m/>
    <n v="8990000"/>
    <n v="8990000"/>
    <n v="-310000"/>
    <n v="9300000"/>
    <n v="9300000"/>
    <m/>
    <m/>
    <m/>
    <m/>
    <m/>
    <m/>
    <m/>
    <m/>
    <m/>
    <m/>
    <m/>
    <m/>
    <m/>
    <m/>
    <m/>
    <m/>
    <m/>
    <m/>
    <m/>
    <m/>
    <m/>
    <m/>
    <m/>
    <m/>
    <n v="101990000"/>
    <n v="18290000"/>
    <n v="18290000"/>
    <n v="83700000"/>
    <n v="0"/>
  </r>
  <r>
    <x v="0"/>
    <x v="8"/>
    <s v="Mejoramiento de la planeación del abastecimiento y confiabilidad del subsector de hidrocarburos a nivel nacional"/>
    <s v="Hidrocarburos"/>
    <s v="Sí"/>
    <s v="Sí"/>
    <n v="23"/>
    <s v="170-24"/>
    <s v="Fortalecer la planificación de la oferta de hidrocarburos."/>
    <s v="Documentos de planeación estratégica del sector hidrocarburos"/>
    <s v="Documento de planeación validado."/>
    <n v="80111620"/>
    <s v="C-2103-1900-2-40301B-2103026-02"/>
    <x v="0"/>
    <s v="170-24 Prestar los servicios profesionales para apoyar la preparación y divulgación de documentos de planeación, participar en la aplicación de las metodologías de evaluación, análisis económicos, tarifarios y de los requisitos regulatorios aplicables a l"/>
    <s v="Enero "/>
    <s v="Enero "/>
    <s v="Enero "/>
    <n v="11"/>
    <s v="Meses"/>
    <s v="Contratación directa - Prestación de servicios profesionales "/>
    <s v="Propios - 20 - Ingresos corrientes"/>
    <n v="99000000"/>
    <n v="99000000"/>
    <s v="No"/>
    <s v="N/A"/>
    <s v="Ingrid Fernanda Vásquez Méndez"/>
    <s v="Subdirectora de hidrocarburos"/>
    <n v="6012220601"/>
    <s v="ingrid.vasquez@upme.gov.co"/>
    <n v="0"/>
    <n v="0"/>
    <n v="85800000"/>
    <n v="0"/>
    <n v="0"/>
    <n v="9000000"/>
    <n v="0"/>
    <n v="9000000"/>
    <n v="0"/>
    <n v="9000000"/>
    <n v="0"/>
    <n v="9000000"/>
    <n v="0"/>
    <n v="9000000"/>
    <n v="13200000"/>
    <n v="9000000"/>
    <n v="0"/>
    <n v="9000000"/>
    <n v="0"/>
    <n v="9000000"/>
    <n v="0"/>
    <n v="9000000"/>
    <n v="0"/>
    <n v="18000000"/>
    <n v="99000000"/>
    <n v="99000000"/>
    <n v="0"/>
    <n v="0"/>
    <s v="Prestar los servicios profesionales para apoyar la preparación y divulgación de documentos de planeación, participar en la aplicación de las metodologías de evaluación, análisis económicos, tarifarios y de los requisitos regulatorios aplicables a la Subdi"/>
    <m/>
    <m/>
    <n v="85800000"/>
    <m/>
    <m/>
    <n v="9000000"/>
    <m/>
    <n v="9000000"/>
    <m/>
    <n v="9000000"/>
    <m/>
    <n v="9000000"/>
    <m/>
    <n v="9000000"/>
    <n v="13200000"/>
    <n v="9000000"/>
    <m/>
    <n v="9000000"/>
    <m/>
    <n v="9000000"/>
    <m/>
    <n v="9000000"/>
    <m/>
    <n v="18000000"/>
    <m/>
    <m/>
    <n v="99000000"/>
    <n v="99000000"/>
    <n v="0"/>
    <n v="0"/>
    <n v="61326"/>
    <d v="2026-01-23T00:00:00"/>
    <n v="97500000"/>
    <n v="1500000"/>
    <n v="44826"/>
    <d v="2026-02-05T00:00:00"/>
    <n v="97500000"/>
    <n v="1500000"/>
    <n v="0"/>
    <s v="VILLANUEVA MELENDEZ WILLIAM ROY"/>
    <s v="CO1.PCCNTR.9211092"/>
    <m/>
    <m/>
    <m/>
    <n v="99000000"/>
    <m/>
    <m/>
    <m/>
    <m/>
    <m/>
    <n v="-1500000"/>
    <m/>
    <m/>
    <m/>
    <m/>
    <m/>
    <m/>
    <m/>
    <m/>
    <m/>
    <m/>
    <m/>
    <m/>
    <m/>
    <m/>
    <m/>
    <m/>
    <m/>
    <m/>
    <m/>
    <m/>
    <m/>
    <m/>
    <m/>
    <m/>
    <m/>
    <m/>
    <n v="97500000"/>
    <n v="0"/>
    <n v="0"/>
    <n v="97500000"/>
    <n v="0"/>
  </r>
  <r>
    <x v="0"/>
    <x v="8"/>
    <s v="Mejoramiento de la planeación del abastecimiento y confiabilidad del subsector de hidrocarburos a nivel nacional"/>
    <s v="Hidrocarburos"/>
    <s v="Sí"/>
    <s v="Sí"/>
    <n v="2"/>
    <s v="170-25"/>
    <s v="Fortalecer la planificación de la oferta de hidrocarburos."/>
    <s v="Documentos de planeación estratégica del sector hidrocarburos"/>
    <s v="Documento de planeación validado."/>
    <n v="80111620"/>
    <s v="C-2103-1900-2-40301B-2103026-02"/>
    <x v="0"/>
    <s v="170-25 Prestar servicios profesionales para apoyar la estructuración, evaluación y desarrollo de lineamientos técnicos de proyectos de infraestructura de hidrocarburos, en el marco de los procesos de convocatorias públicas y demás actividades a cargo de l"/>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0"/>
    <n v="0"/>
    <n v="102300000"/>
    <n v="0"/>
    <n v="0"/>
    <n v="8060000"/>
    <n v="0"/>
    <n v="9300000"/>
    <n v="0"/>
    <n v="9300000"/>
    <n v="0"/>
    <n v="9300000"/>
    <n v="0"/>
    <n v="9300000"/>
    <n v="0"/>
    <n v="9300000"/>
    <n v="0"/>
    <n v="9300000"/>
    <n v="0"/>
    <n v="9300000"/>
    <n v="0"/>
    <n v="9300000"/>
    <n v="0"/>
    <n v="19840000"/>
    <n v="102300000"/>
    <n v="102300000"/>
    <n v="0"/>
    <n v="0"/>
    <s v="Prestar servicios profesionales para apoyar la estructuración, evaluación y desarrollo de lineamientos técnicos de proyectos de infraestructura de hidrocarburos, en el marco de los procesos de convocatorias públicas y demás actividades a cargo de la Subdi"/>
    <m/>
    <m/>
    <n v="102300000"/>
    <m/>
    <m/>
    <n v="8060000"/>
    <m/>
    <n v="9300000"/>
    <m/>
    <n v="9300000"/>
    <m/>
    <n v="9300000"/>
    <m/>
    <n v="9300000"/>
    <m/>
    <n v="9300000"/>
    <m/>
    <n v="9300000"/>
    <m/>
    <n v="9300000"/>
    <m/>
    <n v="9300000"/>
    <m/>
    <n v="19840000"/>
    <m/>
    <m/>
    <n v="102300000"/>
    <n v="102300000"/>
    <n v="0"/>
    <n v="0"/>
    <n v="52426"/>
    <d v="2026-01-20T00:00:00"/>
    <n v="102300000"/>
    <n v="0"/>
    <n v="40526"/>
    <d v="2026-02-04T00:00:00"/>
    <n v="102300000"/>
    <n v="0"/>
    <n v="0"/>
    <s v="HERAZO MARTINEZ EDGAR JOSE"/>
    <s v="CO1.PCCNTR.9242101"/>
    <m/>
    <m/>
    <m/>
    <n v="102300000"/>
    <m/>
    <m/>
    <m/>
    <n v="8060000"/>
    <n v="8060000"/>
    <m/>
    <n v="9300000"/>
    <n v="9300000"/>
    <m/>
    <m/>
    <m/>
    <m/>
    <m/>
    <m/>
    <m/>
    <m/>
    <m/>
    <m/>
    <m/>
    <m/>
    <m/>
    <m/>
    <m/>
    <m/>
    <m/>
    <m/>
    <m/>
    <m/>
    <m/>
    <m/>
    <m/>
    <m/>
    <n v="102300000"/>
    <n v="17360000"/>
    <n v="17360000"/>
    <n v="84940000"/>
    <n v="0"/>
  </r>
  <r>
    <x v="0"/>
    <x v="8"/>
    <s v="Mejoramiento de la planeación del abastecimiento y confiabilidad del subsector de hidrocarburos a nivel nacional"/>
    <s v="Hidrocarburos"/>
    <s v="Sí"/>
    <s v="Sí"/>
    <n v="2"/>
    <s v="170-26"/>
    <s v="Fortalecer la planificación de la oferta de hidrocarburos."/>
    <s v="Documentos de planeación estratégica del sector hidrocarburos"/>
    <s v="Documento de planeación validado."/>
    <n v="80111620"/>
    <s v="C-2103-1900-2-40301B-2103026-02"/>
    <x v="0"/>
    <s v="170-26 Prestar servicios profesionales para apoyar el diseño, evaluación y análisis de los proyectos de infraestructura de hidrocarburos, así como en la  aplicación de metodologías para la gestión de información técnica en los procesos que adelante la Sub"/>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el diseño, evaluación y análisis de los proyectos de infraestructura de hidrocarburos, así como en la  aplicación de metodologías para la gestión de información técnica en los procesos que adelante la Subdirecci"/>
    <n v="102300000"/>
    <m/>
    <m/>
    <m/>
    <m/>
    <n v="8060000"/>
    <m/>
    <n v="9300000"/>
    <m/>
    <n v="9300000"/>
    <m/>
    <n v="9300000"/>
    <m/>
    <n v="9300000"/>
    <m/>
    <n v="9300000"/>
    <m/>
    <n v="9300000"/>
    <m/>
    <n v="9300000"/>
    <m/>
    <n v="9300000"/>
    <m/>
    <n v="19840000"/>
    <m/>
    <m/>
    <n v="102300000"/>
    <n v="102300000"/>
    <n v="0"/>
    <n v="0"/>
    <n v="19426"/>
    <d v="2026-01-11T00:00:00"/>
    <n v="102300000"/>
    <n v="0"/>
    <n v="29326"/>
    <d v="2026-01-28T00:00:00"/>
    <n v="102300000"/>
    <n v="0"/>
    <n v="0"/>
    <s v="BRICEÑO SANDREA LINO"/>
    <s v="CO1.PCCNTR.9139164"/>
    <n v="102300000"/>
    <m/>
    <m/>
    <m/>
    <m/>
    <m/>
    <m/>
    <m/>
    <m/>
    <m/>
    <m/>
    <m/>
    <m/>
    <m/>
    <m/>
    <m/>
    <m/>
    <m/>
    <m/>
    <m/>
    <m/>
    <m/>
    <m/>
    <m/>
    <m/>
    <m/>
    <m/>
    <m/>
    <m/>
    <m/>
    <m/>
    <m/>
    <m/>
    <m/>
    <m/>
    <m/>
    <n v="102300000"/>
    <n v="0"/>
    <n v="0"/>
    <n v="102300000"/>
    <n v="0"/>
  </r>
  <r>
    <x v="0"/>
    <x v="8"/>
    <s v="Mejoramiento de la planeación del abastecimiento y confiabilidad del subsector de hidrocarburos a nivel nacional"/>
    <s v="Hidrocarburos"/>
    <s v="Sí"/>
    <s v="Sí"/>
    <n v="68"/>
    <s v="170-27"/>
    <s v="Fortalecer la planificación de la oferta de hidrocarburos."/>
    <s v="Documentos de planeación estratégica del sector hidrocarburos"/>
    <s v="Documento de planeación validado."/>
    <n v="80111620"/>
    <s v="C-2103-1900-2-40301B-2103026-02"/>
    <x v="0"/>
    <s v="170-27 Prestar servicios profesionales para apoyar la ejecución de las diferentes actividades relacionadas con el Plan Nacional de Sustitución de Leña y procesos a cargo de la Subdirección de Hidrocarburos."/>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36139950"/>
    <n v="0"/>
    <n v="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Plan Nacional de Sustitución de Leña y procesos a cargo de la Subdirección de Hidrocarburos."/>
    <n v="36139950"/>
    <m/>
    <m/>
    <m/>
    <m/>
    <n v="3285450"/>
    <m/>
    <n v="3285450"/>
    <m/>
    <n v="3285450"/>
    <m/>
    <n v="3285450"/>
    <m/>
    <n v="3285450"/>
    <m/>
    <n v="3285450"/>
    <m/>
    <n v="3285450"/>
    <m/>
    <n v="3285450"/>
    <m/>
    <n v="3285450"/>
    <m/>
    <n v="6570900"/>
    <m/>
    <m/>
    <n v="36139950"/>
    <n v="36139950"/>
    <n v="0"/>
    <n v="0"/>
    <n v="4326"/>
    <d v="2026-01-05T00:00:00"/>
    <n v="36139950"/>
    <n v="0"/>
    <n v="8026"/>
    <d v="2026-01-13T00:00:00"/>
    <n v="36139950"/>
    <n v="0"/>
    <n v="0"/>
    <s v="ALZATE GAMARRA KARINA SIGNEY"/>
    <s v="CO1.PCCNTR.8817289"/>
    <n v="36139950"/>
    <m/>
    <m/>
    <m/>
    <m/>
    <m/>
    <m/>
    <n v="5147205"/>
    <n v="5147205"/>
    <m/>
    <n v="3285450"/>
    <n v="3285450"/>
    <m/>
    <m/>
    <m/>
    <m/>
    <m/>
    <m/>
    <m/>
    <m/>
    <m/>
    <m/>
    <m/>
    <m/>
    <m/>
    <m/>
    <m/>
    <m/>
    <m/>
    <m/>
    <m/>
    <m/>
    <m/>
    <m/>
    <m/>
    <m/>
    <n v="36139950"/>
    <n v="8432655"/>
    <n v="8432655"/>
    <n v="27707295"/>
    <n v="0"/>
  </r>
  <r>
    <x v="0"/>
    <x v="8"/>
    <s v="Mejoramiento de la planeación del abastecimiento y confiabilidad del subsector de hidrocarburos a nivel nacional"/>
    <s v="Hidrocarburos"/>
    <s v="Sí"/>
    <s v="Sí"/>
    <n v="23"/>
    <s v="170-28"/>
    <s v="Fortalecer la planificación de la oferta de hidrocarburos."/>
    <s v="Documentos de planeación estratégica del sector hidrocarburos"/>
    <s v="Documento de planeación validado."/>
    <n v="80111620"/>
    <s v="C-2103-1900-2-40301B-2103026-02"/>
    <x v="0"/>
    <s v="170-28 Prestar servicios profesionales para apoyar la ejecución de las diferentes actividades relacionadas con el Estudio Técnico para el Plan de Abastecimiento de Gas Natural y procesos a cargo de la Subdirección de Hidrocarburos."/>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Estudio Técnico para el Plan de Abastecimiento de Gas Natural y procesos a cargo de la Subdirección de Hidrocarburos."/>
    <m/>
    <m/>
    <n v="36139950"/>
    <m/>
    <m/>
    <n v="3285450"/>
    <m/>
    <n v="3285450"/>
    <m/>
    <n v="3285450"/>
    <m/>
    <n v="3285450"/>
    <m/>
    <n v="3285450"/>
    <m/>
    <n v="3285450"/>
    <m/>
    <n v="3285450"/>
    <m/>
    <n v="3285450"/>
    <m/>
    <n v="3285450"/>
    <m/>
    <n v="6570900"/>
    <m/>
    <m/>
    <n v="36139950"/>
    <n v="36139950"/>
    <n v="0"/>
    <n v="0"/>
    <n v="62926"/>
    <d v="2026-01-23T00:00:00"/>
    <n v="35592375"/>
    <n v="547575"/>
    <n v="49226"/>
    <d v="2026-02-06T00:00:00"/>
    <n v="35592375"/>
    <n v="547575"/>
    <n v="0"/>
    <s v="BARRERA ACOSTA HELIAN ARMANDO"/>
    <s v="CO1.PCCNTR.9259327"/>
    <m/>
    <m/>
    <m/>
    <n v="36139950"/>
    <m/>
    <m/>
    <m/>
    <n v="2737875"/>
    <n v="2737875"/>
    <n v="-547575"/>
    <n v="3285450"/>
    <n v="3285450"/>
    <m/>
    <m/>
    <m/>
    <m/>
    <m/>
    <m/>
    <m/>
    <m/>
    <m/>
    <m/>
    <m/>
    <m/>
    <m/>
    <m/>
    <m/>
    <m/>
    <m/>
    <m/>
    <m/>
    <m/>
    <m/>
    <m/>
    <m/>
    <m/>
    <n v="35592375"/>
    <n v="6023325"/>
    <n v="6023325"/>
    <n v="29569050"/>
    <n v="0"/>
  </r>
  <r>
    <x v="0"/>
    <x v="8"/>
    <s v="Mejoramiento de la planeación del abastecimiento y confiabilidad del subsector de hidrocarburos a nivel nacional"/>
    <s v="Hidrocarburos"/>
    <s v="Sí"/>
    <s v="Sí"/>
    <n v="23"/>
    <s v="170-29"/>
    <s v="Fortalecer la planificación de la oferta de hidrocarburos."/>
    <s v="Documentos de planeación estratégica del sector hidrocarburos"/>
    <s v="Documento de planeación validado."/>
    <n v="80111620"/>
    <s v="C-2103-1900-2-40301B-2103026-02"/>
    <x v="0"/>
    <s v="170-29 Prestar servicios profesionales para apoyar las actividades relacionadas con el desarrollo de modelos y simulación en el marco de los planes indicativos a cargo de la Subdirección de Hidrocarburos, así como de su ejercicio misional."/>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s actividades relacionadas con el desarrollo de modelos y simulación en el marco de los planes indicativos a cargo de la Subdirección de Hidrocarburos, así como de su ejercicio misional."/>
    <m/>
    <m/>
    <n v="36139950"/>
    <m/>
    <m/>
    <n v="3285450"/>
    <m/>
    <n v="3285450"/>
    <m/>
    <n v="3285450"/>
    <m/>
    <n v="3285450"/>
    <m/>
    <n v="3285450"/>
    <m/>
    <n v="3285450"/>
    <m/>
    <n v="3285450"/>
    <m/>
    <n v="3285450"/>
    <m/>
    <n v="3285450"/>
    <m/>
    <n v="6570900"/>
    <m/>
    <m/>
    <n v="36139950"/>
    <n v="36139950"/>
    <n v="0"/>
    <n v="0"/>
    <n v="63026"/>
    <d v="2026-01-23T00:00:00"/>
    <n v="35263830"/>
    <n v="876120"/>
    <n v="48926"/>
    <d v="2026-02-06T00:00:00"/>
    <n v="35263830"/>
    <n v="876120"/>
    <n v="0"/>
    <s v="ZORRILLA GUACA SANTIAGO"/>
    <s v="CO1.PCCNTR. 9272100"/>
    <m/>
    <m/>
    <m/>
    <n v="36139950"/>
    <m/>
    <m/>
    <m/>
    <n v="2409330"/>
    <n v="2409330"/>
    <n v="-876120"/>
    <n v="3285450"/>
    <n v="3285450"/>
    <m/>
    <m/>
    <m/>
    <m/>
    <m/>
    <m/>
    <m/>
    <m/>
    <m/>
    <m/>
    <m/>
    <m/>
    <m/>
    <m/>
    <m/>
    <m/>
    <m/>
    <m/>
    <m/>
    <m/>
    <m/>
    <m/>
    <m/>
    <m/>
    <n v="35263830"/>
    <n v="5694780"/>
    <n v="5694780"/>
    <n v="29569050"/>
    <n v="0"/>
  </r>
  <r>
    <x v="0"/>
    <x v="8"/>
    <s v="Mejoramiento de la planeación del abastecimiento y confiabilidad del subsector de hidrocarburos a nivel nacional"/>
    <s v="Hidrocarburos"/>
    <s v="Sí"/>
    <s v="Sí"/>
    <n v="23"/>
    <s v="170-30"/>
    <s v="Fortalecer la planificación de la oferta de hidrocarburos."/>
    <s v="Documentos de planeación estratégica del sector hidrocarburos"/>
    <s v="Documento de planeación validado."/>
    <n v="80111620"/>
    <s v="C-2103-1900-2-40301B-2103026-02"/>
    <x v="0"/>
    <s v="170-30 Prestar servicios profesionales para apoyar las actividades relacionadas con la incorporación del componente transición energética y sostenibilidad en el marco de los planes indicativos cargo de la Subdirección de Hidrocarburos, así como de su ejer"/>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s actividades relacionadas con la incorporación del componente transición energética y sostenibilidad en el marco de los planes indicativos cargo de la Subdirección de Hidrocarburos, así como de su ejercicio m"/>
    <m/>
    <m/>
    <n v="36139950"/>
    <m/>
    <m/>
    <n v="3285450"/>
    <m/>
    <n v="3285450"/>
    <m/>
    <n v="3285450"/>
    <m/>
    <n v="3285450"/>
    <m/>
    <n v="3285450"/>
    <m/>
    <n v="3285450"/>
    <m/>
    <n v="3285450"/>
    <m/>
    <n v="3285450"/>
    <m/>
    <n v="3285450"/>
    <m/>
    <n v="6570900"/>
    <m/>
    <m/>
    <n v="36139950"/>
    <n v="36139950"/>
    <n v="0"/>
    <n v="0"/>
    <n v="62826"/>
    <d v="2026-01-23T00:00:00"/>
    <n v="35044800"/>
    <n v="1095150"/>
    <n v="54226"/>
    <d v="2026-02-10T00:00:00"/>
    <n v="35044800"/>
    <n v="1095150"/>
    <n v="0"/>
    <s v="RENTERIA RIOS JUAN SEBASTIAN"/>
    <s v="CO1.PCCNTR.9278863"/>
    <m/>
    <m/>
    <m/>
    <n v="36139950"/>
    <m/>
    <m/>
    <m/>
    <n v="2190300"/>
    <n v="2190300"/>
    <n v="-1095150"/>
    <n v="3285450"/>
    <n v="3285450"/>
    <m/>
    <m/>
    <m/>
    <m/>
    <m/>
    <m/>
    <m/>
    <m/>
    <m/>
    <m/>
    <m/>
    <m/>
    <m/>
    <m/>
    <m/>
    <m/>
    <m/>
    <m/>
    <m/>
    <m/>
    <m/>
    <m/>
    <m/>
    <m/>
    <n v="35044800"/>
    <n v="5475750"/>
    <n v="5475750"/>
    <n v="29569050"/>
    <n v="0"/>
  </r>
  <r>
    <x v="0"/>
    <x v="8"/>
    <s v="Mejoramiento de la planeación del abastecimiento y confiabilidad del subsector de hidrocarburos a nivel nacional"/>
    <s v="Hidrocarburos"/>
    <s v="Sí"/>
    <s v="Sí"/>
    <n v="68"/>
    <s v="170-31"/>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1 Prestar servicios profesionales para apoyar las actividades relacionadas con la gestión de la información en el marco de los planes indicativos a cargo de la Subdirección de Hidrocarburos, así como de su ejercicio misional."/>
    <s v="Enero "/>
    <s v="Enero "/>
    <s v="Enero "/>
    <n v="11"/>
    <s v="Meses"/>
    <s v="Contratación directa - Prestación de servicios profesionales "/>
    <s v="Propios - 21 - Otros recursos de tesorería"/>
    <n v="63800000"/>
    <n v="63800000"/>
    <s v="No"/>
    <s v="N/A"/>
    <s v="Ingrid Fernanda Vásquez Méndez"/>
    <s v="Subdirectora de hidrocarburos"/>
    <n v="6012220601"/>
    <s v="ingrid.vasquez@upme.gov.co"/>
    <n v="0"/>
    <n v="0"/>
    <n v="63213150"/>
    <n v="0"/>
    <n v="0"/>
    <n v="5800000"/>
    <n v="0"/>
    <n v="5800000"/>
    <n v="0"/>
    <n v="5800000"/>
    <n v="0"/>
    <n v="5800000"/>
    <n v="0"/>
    <n v="5800000"/>
    <n v="586850"/>
    <n v="5800000"/>
    <n v="0"/>
    <n v="5800000"/>
    <n v="0"/>
    <n v="5800000"/>
    <n v="0"/>
    <n v="5800000"/>
    <n v="0"/>
    <n v="11600000"/>
    <n v="63800000"/>
    <n v="63800000"/>
    <n v="0"/>
    <n v="0"/>
    <s v="Prestar servicios profesionales para apoyar las actividades relacionadas con la gestión de la información en el marco de los planes indicativos a cargo de la Subdirección de Hidrocarburos, así como de su ejercicio misional."/>
    <m/>
    <m/>
    <n v="63213150"/>
    <m/>
    <m/>
    <n v="5800000"/>
    <m/>
    <n v="5800000"/>
    <m/>
    <n v="5800000"/>
    <m/>
    <n v="5800000"/>
    <m/>
    <n v="5800000"/>
    <n v="586850"/>
    <n v="5800000"/>
    <m/>
    <n v="5800000"/>
    <m/>
    <n v="5800000"/>
    <m/>
    <n v="5800000"/>
    <m/>
    <n v="11600000"/>
    <m/>
    <m/>
    <n v="63800000"/>
    <n v="63800000"/>
    <n v="0"/>
    <n v="0"/>
    <n v="63726"/>
    <d v="2026-01-23T00:00:00"/>
    <n v="62638485"/>
    <n v="1161515"/>
    <n v="51226"/>
    <d v="2026-02-09T00:00:00"/>
    <n v="62638485"/>
    <n v="1161515"/>
    <n v="0"/>
    <s v="RODRIGUEZ ORTIZ VICTOR YEFERSON"/>
    <s v="CO1.PCCNTR.9259274"/>
    <m/>
    <m/>
    <m/>
    <n v="63213150"/>
    <m/>
    <m/>
    <m/>
    <n v="5171985"/>
    <n v="5171985"/>
    <n v="-574665"/>
    <n v="5746650"/>
    <n v="5746650"/>
    <m/>
    <m/>
    <m/>
    <m/>
    <m/>
    <m/>
    <m/>
    <m/>
    <m/>
    <m/>
    <m/>
    <m/>
    <m/>
    <m/>
    <m/>
    <m/>
    <m/>
    <m/>
    <m/>
    <m/>
    <m/>
    <m/>
    <m/>
    <m/>
    <n v="62638485"/>
    <n v="10918635"/>
    <n v="10918635"/>
    <n v="51719850"/>
    <n v="0"/>
  </r>
  <r>
    <x v="0"/>
    <x v="8"/>
    <s v="Mejoramiento de la planeación del abastecimiento y confiabilidad del subsector de hidrocarburos a nivel nacional"/>
    <s v="Hidrocarburos"/>
    <s v="Sí"/>
    <s v="Sí"/>
    <n v="68"/>
    <s v="170-32"/>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2 Prestar servicios profesionales para apoyar la ejecución de las actividades relacionadas con los procesos de convocatorias públicas, así como la elaboración de documentos técnicos y asistencia a la gestión de la Subdirección de Hidrocarburos."/>
    <s v="Enero "/>
    <s v="Enero "/>
    <s v="Enero "/>
    <n v="11"/>
    <s v="Meses"/>
    <s v="Contratación directa - Prestación de servicios profesionales "/>
    <s v="Propios - 21 - Otros recursos de tesorería"/>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actividades relacionadas con los procesos de convocatorias públicas, así como la elaboración de documentos técnicos y asistencia a la gestión de la Subdirección de Hidrocarburos."/>
    <m/>
    <m/>
    <n v="36139950"/>
    <m/>
    <m/>
    <n v="3285450"/>
    <m/>
    <n v="3285450"/>
    <m/>
    <n v="3285450"/>
    <m/>
    <n v="3285450"/>
    <m/>
    <n v="3285450"/>
    <m/>
    <n v="3285450"/>
    <m/>
    <n v="3285450"/>
    <m/>
    <n v="3285450"/>
    <m/>
    <n v="3285450"/>
    <m/>
    <n v="6570900"/>
    <m/>
    <m/>
    <n v="36139950"/>
    <n v="36139950"/>
    <n v="0"/>
    <n v="0"/>
    <n v="63526"/>
    <d v="2026-01-23T00:00:00"/>
    <n v="36139950"/>
    <n v="0"/>
    <n v="51626"/>
    <d v="2026-02-09T00:00:00"/>
    <n v="36139950"/>
    <n v="0"/>
    <n v="0"/>
    <s v="CONTRERAS BELTRAN EDUARDO JOSE"/>
    <s v="CO1.PCCNTR. 9272888"/>
    <m/>
    <m/>
    <m/>
    <n v="36139950"/>
    <m/>
    <m/>
    <m/>
    <n v="2299815"/>
    <n v="2299815"/>
    <m/>
    <n v="3285450"/>
    <n v="3285450"/>
    <m/>
    <m/>
    <m/>
    <m/>
    <m/>
    <m/>
    <m/>
    <m/>
    <m/>
    <m/>
    <m/>
    <m/>
    <m/>
    <m/>
    <m/>
    <m/>
    <m/>
    <m/>
    <m/>
    <m/>
    <m/>
    <m/>
    <m/>
    <m/>
    <n v="36139950"/>
    <n v="5585265"/>
    <n v="5585265"/>
    <n v="30554685"/>
    <n v="0"/>
  </r>
  <r>
    <x v="0"/>
    <x v="8"/>
    <s v="Mejoramiento de la planeación del abastecimiento y confiabilidad del subsector de hidrocarburos a nivel nacional"/>
    <s v="Hidrocarburos"/>
    <s v="Sí"/>
    <s v="Sí"/>
    <n v="68"/>
    <s v="170-33"/>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3 Prestar servicios profesionales para apoyar la ejecución de las diferentes actividades relacionadas con el Plan Indicativo de Abastecimiento de Combustibles Líquidos y procesos a cargo de la Subdirección de Hidrocarburos."/>
    <s v="Enero "/>
    <s v="Enero "/>
    <s v="Enero "/>
    <n v="11"/>
    <s v="Meses"/>
    <s v="Contratación directa - Prestación de servicios profesionales "/>
    <s v="Propios - 21 - Otros recursos de tesorería"/>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Plan Indicativo de Abastecimiento de Combustibles Líquidos y procesos a cargo de la Subdirección de Hidrocarburos."/>
    <m/>
    <m/>
    <n v="36139950"/>
    <m/>
    <m/>
    <n v="3285450"/>
    <m/>
    <n v="3285450"/>
    <m/>
    <n v="3285450"/>
    <m/>
    <n v="3285450"/>
    <m/>
    <n v="3285450"/>
    <m/>
    <n v="3285450"/>
    <m/>
    <n v="3285450"/>
    <m/>
    <n v="3285450"/>
    <m/>
    <n v="3285450"/>
    <m/>
    <n v="6570900"/>
    <m/>
    <m/>
    <n v="36139950"/>
    <n v="36139950"/>
    <n v="0"/>
    <n v="0"/>
    <n v="52326"/>
    <d v="2026-01-20T00:00:00"/>
    <n v="36139950"/>
    <n v="0"/>
    <n v="54626"/>
    <d v="2026-02-10T00:00:00"/>
    <n v="36139950"/>
    <n v="0"/>
    <n v="0"/>
    <s v="GENERICO RADIO AFISIONADOS"/>
    <s v="CO1.PCCNTR.9279551"/>
    <m/>
    <m/>
    <m/>
    <n v="36139950"/>
    <m/>
    <m/>
    <m/>
    <n v="2190300"/>
    <n v="2190300"/>
    <m/>
    <n v="3285450"/>
    <n v="3285450"/>
    <m/>
    <m/>
    <m/>
    <m/>
    <m/>
    <m/>
    <m/>
    <m/>
    <m/>
    <m/>
    <m/>
    <m/>
    <m/>
    <m/>
    <m/>
    <m/>
    <m/>
    <m/>
    <m/>
    <m/>
    <m/>
    <m/>
    <m/>
    <m/>
    <n v="36139950"/>
    <n v="5475750"/>
    <n v="5475750"/>
    <n v="30664200"/>
    <n v="0"/>
  </r>
  <r>
    <x v="0"/>
    <x v="8"/>
    <s v="Mejoramiento de la planeación del abastecimiento y confiabilidad del subsector de hidrocarburos a nivel nacional"/>
    <s v="Hidrocarburos"/>
    <s v="Sí"/>
    <s v="Sí"/>
    <n v="23"/>
    <s v="170-34"/>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4 Prestar servicios profesionales para la gestión jurídica en la verificación y cumplimiento de requisitos legales y expedición de actos administrativos, en especial, lo relacionado con el sector hidrocarburos."/>
    <s v="Enero "/>
    <s v="Enero "/>
    <s v="Enero "/>
    <n v="11"/>
    <s v="Meses"/>
    <s v="Contratación directa - Prestación de servicios profesionales "/>
    <s v="Propios - 21 - Otros recursos de tesorería"/>
    <n v="55000000"/>
    <n v="55000000"/>
    <s v="No"/>
    <s v="N/A"/>
    <s v="Ingrid Fernanda Vásquez Méndez"/>
    <s v="Subdirectora de hidrocarburos"/>
    <n v="6012220601"/>
    <s v="ingrid.vasquez@upme.gov.co"/>
    <n v="0"/>
    <n v="0"/>
    <n v="0"/>
    <n v="0"/>
    <n v="0"/>
    <n v="0"/>
    <n v="0"/>
    <n v="0"/>
    <n v="0"/>
    <n v="0"/>
    <n v="0"/>
    <n v="0"/>
    <n v="55000000"/>
    <n v="0"/>
    <n v="0"/>
    <n v="10000000"/>
    <n v="0"/>
    <n v="0"/>
    <n v="0"/>
    <n v="10000000"/>
    <n v="0"/>
    <n v="35000000"/>
    <n v="0"/>
    <n v="0"/>
    <n v="55000000"/>
    <n v="55000000"/>
    <n v="0"/>
    <n v="0"/>
    <s v="Prestar servicios profesionales para la gestión jurídica en la verificación y cumplimiento de requisitos legales y expedición de actos administrativos, en especial, lo relacionado con el sector hidrocarburos."/>
    <m/>
    <m/>
    <m/>
    <m/>
    <m/>
    <m/>
    <m/>
    <m/>
    <m/>
    <m/>
    <m/>
    <m/>
    <n v="55000000"/>
    <m/>
    <m/>
    <n v="10000000"/>
    <m/>
    <m/>
    <m/>
    <n v="10000000"/>
    <m/>
    <n v="35000000"/>
    <m/>
    <m/>
    <m/>
    <m/>
    <n v="55000000"/>
    <n v="55000000"/>
    <n v="0"/>
    <n v="0"/>
    <m/>
    <m/>
    <m/>
    <n v="55000000"/>
    <m/>
    <m/>
    <n v="0"/>
    <n v="55000000"/>
    <n v="0"/>
    <m/>
    <m/>
    <m/>
    <m/>
    <m/>
    <m/>
    <m/>
    <m/>
    <m/>
    <m/>
    <m/>
    <m/>
    <m/>
    <m/>
    <m/>
    <m/>
    <m/>
    <m/>
    <m/>
    <m/>
    <m/>
    <m/>
    <m/>
    <m/>
    <m/>
    <m/>
    <m/>
    <m/>
    <m/>
    <m/>
    <m/>
    <m/>
    <m/>
    <m/>
    <m/>
    <m/>
    <m/>
    <m/>
    <n v="0"/>
    <n v="0"/>
    <n v="0"/>
    <n v="0"/>
    <n v="0"/>
  </r>
  <r>
    <x v="0"/>
    <x v="8"/>
    <s v="Mejoramiento de la planeación del abastecimiento y confiabilidad del subsector de hidrocarburos a nivel nacional"/>
    <s v="Hidrocarburos"/>
    <s v="Sí"/>
    <s v="Sí"/>
    <n v="68"/>
    <s v="170-35"/>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5 Prestar servicios de apoyo a la gestión para el desarrollo de actividades administrativas, operativas y de gestión institucional que le sean asignadas, de conformidad con las necesidades de la Subdirección de Hidrocarburos."/>
    <s v="Enero "/>
    <s v="Enero "/>
    <s v="Enero "/>
    <n v="11"/>
    <s v="Meses"/>
    <s v="Contratación directa - Prestación de servicios profesionales "/>
    <s v="Propios - 20 - Ingresos corrientes"/>
    <n v="21344400"/>
    <n v="21344400"/>
    <s v="No"/>
    <s v="N/A"/>
    <s v="Ingrid Fernanda Vásquez Méndez"/>
    <s v="Subdirectora de hidrocarburos"/>
    <n v="6012220601"/>
    <s v="ingrid.vasquez@upme.gov.co"/>
    <n v="0"/>
    <n v="0"/>
    <n v="21016800"/>
    <n v="0"/>
    <n v="0"/>
    <n v="2023840"/>
    <n v="0"/>
    <n v="2335200"/>
    <n v="0"/>
    <n v="2335200"/>
    <n v="0"/>
    <n v="2335200"/>
    <n v="0"/>
    <n v="2335200"/>
    <n v="327600"/>
    <n v="2335200"/>
    <n v="0"/>
    <n v="2335200"/>
    <n v="0"/>
    <n v="2335200"/>
    <n v="0"/>
    <n v="2335200"/>
    <n v="0"/>
    <n v="638960"/>
    <n v="21344400"/>
    <n v="21344400"/>
    <n v="0"/>
    <n v="0"/>
    <s v="Prestar servicios de apoyo a la gestión para el desarrollo de actividades administrativas, operativas y de gestión institucional que le sean asignadas, de conformidad con las necesidades de la Subdirección de Hidrocarburos."/>
    <m/>
    <m/>
    <n v="21016800"/>
    <m/>
    <m/>
    <n v="2023840"/>
    <m/>
    <n v="2335200"/>
    <m/>
    <n v="2335200"/>
    <m/>
    <n v="2335200"/>
    <m/>
    <n v="2335200"/>
    <n v="327600"/>
    <n v="2335200"/>
    <m/>
    <n v="2335200"/>
    <m/>
    <n v="2335200"/>
    <m/>
    <n v="2335200"/>
    <m/>
    <n v="638960"/>
    <m/>
    <m/>
    <n v="21344400"/>
    <n v="21344400"/>
    <n v="0"/>
    <n v="0"/>
    <n v="5026"/>
    <d v="2026-01-05T00:00:00"/>
    <n v="21344400"/>
    <n v="0"/>
    <n v="43426"/>
    <d v="2026-02-05T00:00:00"/>
    <n v="21016800"/>
    <n v="327600"/>
    <n v="327600"/>
    <s v="MONTALVO QUINTERO GABRIELA"/>
    <s v="CO1.PCCNTR.9232988"/>
    <m/>
    <m/>
    <m/>
    <n v="21016800"/>
    <m/>
    <m/>
    <m/>
    <n v="1946000"/>
    <n v="1946000"/>
    <m/>
    <n v="2335200"/>
    <n v="2335200"/>
    <m/>
    <m/>
    <m/>
    <m/>
    <m/>
    <m/>
    <m/>
    <m/>
    <m/>
    <m/>
    <m/>
    <m/>
    <m/>
    <m/>
    <m/>
    <m/>
    <m/>
    <m/>
    <m/>
    <m/>
    <m/>
    <m/>
    <m/>
    <m/>
    <n v="21016800"/>
    <n v="4281200"/>
    <n v="4281200"/>
    <n v="16735600"/>
    <n v="0"/>
  </r>
  <r>
    <x v="0"/>
    <x v="8"/>
    <s v="Mejoramiento de la planeación del abastecimiento y confiabilidad del subsector de hidrocarburos a nivel nacional"/>
    <s v="Hidrocarburos"/>
    <s v="Sí"/>
    <s v="Sí"/>
    <n v="68"/>
    <s v="170-36"/>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6 Prestar servicios profesionales para la elaboración, trámite y gestión de actuaciones administrativas, la verificación y cumplimiento de requisitos legales y demás actividades que se requieran de conformidad con las necesidades del sector de hidroc"/>
    <s v="Enero "/>
    <s v="Enero "/>
    <s v="Enero "/>
    <n v="11"/>
    <s v="Meses"/>
    <s v="Contratación directa - Prestación de servicios profesionales "/>
    <s v="Propios - 21 - Otros recursos de tesorería"/>
    <n v="55000000"/>
    <n v="55000000"/>
    <s v="No"/>
    <s v="N/A"/>
    <s v="Ingrid Fernanda Vásquez Méndez"/>
    <s v="Subdirectora de hidrocarburos"/>
    <n v="6012220601"/>
    <s v="ingrid.vasquez@upme.gov.co"/>
    <n v="55000000"/>
    <n v="0"/>
    <n v="0"/>
    <n v="0"/>
    <n v="0"/>
    <n v="5000000"/>
    <n v="0"/>
    <n v="5000000"/>
    <n v="0"/>
    <n v="5000000"/>
    <n v="0"/>
    <n v="5000000"/>
    <n v="0"/>
    <n v="5000000"/>
    <n v="0"/>
    <n v="5000000"/>
    <n v="0"/>
    <n v="5000000"/>
    <n v="0"/>
    <n v="5000000"/>
    <n v="0"/>
    <n v="5000000"/>
    <n v="0"/>
    <n v="10000000"/>
    <n v="55000000"/>
    <n v="55000000"/>
    <n v="0"/>
    <n v="0"/>
    <s v="Prestar servicios profesionales para la elaboración, trámite y gestión de actuaciones administrativas, la verificación y cumplimiento de requisitos legales y demás actividades que se requieran de conformidad con las necesidades del sector de hidrocarburos"/>
    <n v="55000000"/>
    <m/>
    <m/>
    <m/>
    <m/>
    <n v="5000000"/>
    <m/>
    <n v="5000000"/>
    <m/>
    <n v="5000000"/>
    <m/>
    <n v="5000000"/>
    <m/>
    <n v="5000000"/>
    <m/>
    <n v="5000000"/>
    <m/>
    <n v="5000000"/>
    <m/>
    <n v="5000000"/>
    <m/>
    <n v="5000000"/>
    <m/>
    <n v="10000000"/>
    <m/>
    <m/>
    <n v="55000000"/>
    <n v="55000000"/>
    <n v="0"/>
    <n v="0"/>
    <n v="5126"/>
    <d v="2026-01-05T00:00:00"/>
    <n v="55000000"/>
    <n v="0"/>
    <n v="17826"/>
    <d v="2026-01-22T00:00:00"/>
    <n v="55000000"/>
    <n v="0"/>
    <n v="0"/>
    <s v="PEREZ MUÑOZ URIEL ANDRES"/>
    <s v="CO1.PCCNTR.8993800"/>
    <n v="55000000"/>
    <m/>
    <m/>
    <m/>
    <m/>
    <m/>
    <m/>
    <n v="6333333"/>
    <n v="6333333"/>
    <m/>
    <n v="5000000"/>
    <n v="5000000"/>
    <m/>
    <m/>
    <m/>
    <m/>
    <m/>
    <m/>
    <m/>
    <m/>
    <m/>
    <m/>
    <m/>
    <m/>
    <m/>
    <m/>
    <m/>
    <m/>
    <m/>
    <m/>
    <m/>
    <m/>
    <m/>
    <m/>
    <m/>
    <m/>
    <n v="55000000"/>
    <n v="11333333"/>
    <n v="11333333"/>
    <n v="43666667"/>
    <n v="0"/>
  </r>
  <r>
    <x v="0"/>
    <x v="8"/>
    <s v="Mejoramiento de la planeación del abastecimiento y confiabilidad del subsector de hidrocarburos a nivel nacional"/>
    <s v="Hidrocarburos"/>
    <s v="Sí"/>
    <s v="Sí"/>
    <n v="23"/>
    <s v="170-37"/>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7 Prestar servicios profesionales para apoyar la ejecución de las actividades relacionadas con los procesos de convocatorias públicas, así como la elaboración de documentos técnicos y asistencia a la gestión de los diferentes planes y proyectos a car"/>
    <s v="Enero "/>
    <s v="Enero "/>
    <s v="Enero "/>
    <n v="11"/>
    <s v="Meses"/>
    <s v="Contratación directa - Prestación de servicios profesionales "/>
    <s v="Propios - 21 - Otros recursos de tesorería"/>
    <n v="81034800"/>
    <n v="81034800"/>
    <s v="No"/>
    <s v="N/A"/>
    <s v="Ingrid Fernanda Vásquez Méndez"/>
    <s v="Subdirectora de hidrocarburos"/>
    <n v="6012220601"/>
    <s v="ingrid.vasquez@upme.gov.co"/>
    <n v="0"/>
    <n v="0"/>
    <n v="81034800"/>
    <n v="0"/>
    <n v="0"/>
    <n v="7366800"/>
    <n v="0"/>
    <n v="7366800"/>
    <n v="0"/>
    <n v="7366800"/>
    <n v="0"/>
    <n v="7366800"/>
    <n v="0"/>
    <n v="7366800"/>
    <n v="0"/>
    <n v="7366800"/>
    <n v="0"/>
    <n v="7366800"/>
    <n v="0"/>
    <n v="7366800"/>
    <n v="0"/>
    <n v="7366800"/>
    <n v="0"/>
    <n v="14733600"/>
    <n v="81034800"/>
    <n v="81034800"/>
    <n v="0"/>
    <n v="0"/>
    <s v="Prestar servicios profesionales para apoyar la ejecución de las actividades relacionadas con los procesos de convocatorias públicas, así como la elaboración de documentos técnicos y asistencia a la gestión de los diferentes planes y proyectos a cargo de l"/>
    <m/>
    <m/>
    <n v="81034800"/>
    <m/>
    <m/>
    <n v="7366800"/>
    <m/>
    <n v="7366800"/>
    <m/>
    <n v="7366800"/>
    <m/>
    <n v="7366800"/>
    <m/>
    <n v="7366800"/>
    <m/>
    <n v="7366800"/>
    <m/>
    <n v="7366800"/>
    <m/>
    <n v="7366800"/>
    <m/>
    <n v="7366800"/>
    <m/>
    <n v="14733600"/>
    <m/>
    <m/>
    <n v="81034800"/>
    <n v="81034800"/>
    <n v="0"/>
    <n v="0"/>
    <n v="58426"/>
    <d v="2026-01-23T00:00:00"/>
    <n v="78579200"/>
    <n v="2455600"/>
    <n v="53426"/>
    <d v="2026-02-10T00:00:00"/>
    <n v="78579200"/>
    <n v="2455600"/>
    <n v="0"/>
    <s v="FACUNDO MENDEZ RAMIRO"/>
    <s v="CO1.PCCNTR.9298170"/>
    <m/>
    <m/>
    <m/>
    <n v="81034800"/>
    <m/>
    <m/>
    <m/>
    <n v="4911200"/>
    <n v="4911200"/>
    <n v="-2455600"/>
    <n v="7366800"/>
    <n v="7366800"/>
    <m/>
    <m/>
    <m/>
    <m/>
    <m/>
    <m/>
    <m/>
    <m/>
    <m/>
    <m/>
    <m/>
    <m/>
    <m/>
    <m/>
    <m/>
    <m/>
    <m/>
    <m/>
    <m/>
    <m/>
    <m/>
    <m/>
    <m/>
    <m/>
    <n v="78579200"/>
    <n v="12278000"/>
    <n v="12278000"/>
    <n v="66301200"/>
    <n v="0"/>
  </r>
  <r>
    <x v="0"/>
    <x v="8"/>
    <s v="Mejoramiento de la planeación del abastecimiento y confiabilidad del subsector de hidrocarburos a nivel nacional"/>
    <s v="Hidrocarburos"/>
    <s v="Sí"/>
    <s v="Sí"/>
    <s v="Radicado 20261110012353"/>
    <s v="170-38"/>
    <s v="Fortalecer la planificación de la oferta de hidrocarburos."/>
    <s v="Documentos de planeación estratégica del sector hidrocarburos"/>
    <s v="Documento de planeación preliminar."/>
    <n v="78111502"/>
    <s v="C-2103-1900-2-40301B-2103026-02"/>
    <x v="3"/>
    <s v="170-38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25527771"/>
    <n v="25527771"/>
    <s v="No"/>
    <s v="N/A"/>
    <s v="Ingrid Fernanda Vásquez Méndez"/>
    <s v="Subdirectora de hidrocarburos"/>
    <n v="6012220601"/>
    <s v="ingrid.vasquez@upme.gov.co"/>
    <n v="0"/>
    <n v="0"/>
    <n v="0"/>
    <n v="0"/>
    <n v="0"/>
    <n v="0"/>
    <n v="0"/>
    <n v="0"/>
    <n v="0"/>
    <n v="0"/>
    <n v="0"/>
    <n v="0"/>
    <n v="0"/>
    <n v="0"/>
    <n v="0"/>
    <n v="0"/>
    <n v="25527771"/>
    <n v="0"/>
    <n v="0"/>
    <n v="2000000"/>
    <n v="0"/>
    <n v="11527771"/>
    <n v="0"/>
    <n v="12000000"/>
    <n v="25527771"/>
    <n v="25527771"/>
    <n v="0"/>
    <n v="0"/>
    <s v="Adquirir los servicios necesarios para garantizar el desplazamiento de servidores públicos y contratistas de la UPME a los eventos y espacios institucionales de planeación minero energética."/>
    <m/>
    <m/>
    <m/>
    <m/>
    <m/>
    <m/>
    <m/>
    <m/>
    <m/>
    <m/>
    <m/>
    <m/>
    <m/>
    <m/>
    <m/>
    <m/>
    <n v="25527771"/>
    <m/>
    <m/>
    <n v="2000000"/>
    <m/>
    <n v="11527771"/>
    <m/>
    <n v="12000000"/>
    <m/>
    <m/>
    <n v="25527771"/>
    <n v="25527771"/>
    <n v="0"/>
    <n v="0"/>
    <m/>
    <m/>
    <m/>
    <n v="25527771"/>
    <m/>
    <m/>
    <n v="0"/>
    <n v="25527771"/>
    <n v="0"/>
    <m/>
    <m/>
    <m/>
    <m/>
    <m/>
    <m/>
    <m/>
    <m/>
    <m/>
    <m/>
    <m/>
    <m/>
    <m/>
    <m/>
    <m/>
    <m/>
    <m/>
    <m/>
    <m/>
    <m/>
    <m/>
    <m/>
    <m/>
    <m/>
    <m/>
    <m/>
    <m/>
    <m/>
    <m/>
    <m/>
    <m/>
    <m/>
    <m/>
    <m/>
    <m/>
    <m/>
    <m/>
    <m/>
    <n v="0"/>
    <n v="0"/>
    <n v="0"/>
    <n v="0"/>
    <n v="0"/>
  </r>
  <r>
    <x v="0"/>
    <x v="8"/>
    <s v="Mejoramiento de la planeación del abastecimiento y confiabilidad del subsector de hidrocarburos a nivel nacional"/>
    <s v="Hidrocarburos"/>
    <s v="Sí"/>
    <s v="Sí"/>
    <s v="Radicado 20261110012353"/>
    <s v="170-39"/>
    <s v="Fortalecer la planificación de la oferta de hidrocarburos."/>
    <s v="Documentos de planeación estratégica del sector hidrocarburos"/>
    <s v="Documento de planeación validado."/>
    <n v="78111502"/>
    <s v="C-2103-1900-2-40301B-2103026-02"/>
    <x v="3"/>
    <s v="170-39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2273520"/>
    <n v="2273520"/>
    <s v="No"/>
    <s v="N/A"/>
    <s v="Ingrid Fernanda Vásquez Méndez"/>
    <s v="Subdirectora de hidrocarburos"/>
    <n v="6012220601"/>
    <s v="ingrid.vasquez@upme.gov.co"/>
    <n v="2273520"/>
    <n v="0"/>
    <n v="0"/>
    <n v="0"/>
    <n v="0"/>
    <n v="0"/>
    <n v="0"/>
    <n v="0"/>
    <n v="0"/>
    <n v="0"/>
    <n v="0"/>
    <n v="0"/>
    <n v="0"/>
    <n v="0"/>
    <n v="0"/>
    <n v="0"/>
    <n v="0"/>
    <n v="0"/>
    <n v="0"/>
    <n v="0"/>
    <n v="0"/>
    <n v="2273520"/>
    <n v="0"/>
    <n v="0"/>
    <n v="2273520"/>
    <n v="2273520"/>
    <n v="0"/>
    <n v="0"/>
    <s v="Adquirir los servicios necesarios para garantizar el desplazamiento de servidores públicos y contratistas de la UPME a los eventos y espacios institucionales de planeación minero energética."/>
    <n v="2273520"/>
    <m/>
    <m/>
    <m/>
    <m/>
    <m/>
    <m/>
    <m/>
    <m/>
    <m/>
    <m/>
    <m/>
    <m/>
    <m/>
    <m/>
    <m/>
    <m/>
    <m/>
    <m/>
    <m/>
    <m/>
    <n v="2273520"/>
    <m/>
    <m/>
    <m/>
    <m/>
    <n v="2273520"/>
    <n v="2273520"/>
    <n v="0"/>
    <n v="0"/>
    <n v="38826"/>
    <d v="2026-01-15T00:00:00"/>
    <n v="2273520"/>
    <n v="0"/>
    <n v="20326"/>
    <d v="2026-01-26T00:00:00"/>
    <n v="2273520"/>
    <n v="0"/>
    <n v="0"/>
    <s v="FESTIVAL TOURS S.A.S"/>
    <s v="CO1.PCCNTR.9020125"/>
    <n v="2273520"/>
    <m/>
    <m/>
    <m/>
    <m/>
    <m/>
    <m/>
    <m/>
    <m/>
    <m/>
    <n v="1767360"/>
    <n v="1767360"/>
    <m/>
    <m/>
    <m/>
    <m/>
    <m/>
    <m/>
    <m/>
    <m/>
    <m/>
    <m/>
    <m/>
    <m/>
    <m/>
    <m/>
    <m/>
    <m/>
    <m/>
    <m/>
    <m/>
    <m/>
    <m/>
    <m/>
    <m/>
    <m/>
    <n v="2273520"/>
    <n v="1767360"/>
    <n v="1767360"/>
    <n v="506160"/>
    <n v="0"/>
  </r>
  <r>
    <x v="0"/>
    <x v="8"/>
    <s v="Mejoramiento de la planeación del abastecimiento y confiabilidad del subsector de hidrocarburos a nivel nacional"/>
    <s v="Hidrocarburos"/>
    <s v="Sí"/>
    <s v="Sí"/>
    <n v="68"/>
    <s v="170-40"/>
    <s v="Fortalecer la planificación de la oferta de hidrocarburos."/>
    <s v="Documentos de planeación estratégica del sector hidrocarburos"/>
    <s v="Documento de planeación preliminar."/>
    <n v="93151509"/>
    <s v="C-2103-1900-2-40301B-2103026-02"/>
    <x v="10"/>
    <s v="170-40 Renovar y prestar mantenimiento de Licencias MATLAB"/>
    <s v="Septiembre"/>
    <s v="Octubre"/>
    <s v="Noviembre"/>
    <n v="12"/>
    <s v="Meses"/>
    <s v="Contratación régimen especial - Régimen especial"/>
    <s v="Propios - 21 - Otros recursos de tesorería"/>
    <n v="45248539"/>
    <n v="45248539"/>
    <s v="No"/>
    <s v="N/A"/>
    <s v="Ingrid Fernanda Vásquez Méndez"/>
    <s v="Subdirectora de hidrocarburos"/>
    <n v="6012220601"/>
    <s v="ingrid.vasquez@upme.gov.co"/>
    <n v="0"/>
    <n v="0"/>
    <n v="0"/>
    <n v="0"/>
    <n v="0"/>
    <n v="0"/>
    <n v="0"/>
    <n v="0"/>
    <n v="0"/>
    <n v="0"/>
    <n v="0"/>
    <n v="0"/>
    <n v="0"/>
    <n v="0"/>
    <n v="0"/>
    <n v="0"/>
    <n v="0"/>
    <n v="0"/>
    <n v="0"/>
    <n v="0"/>
    <n v="45248539"/>
    <n v="0"/>
    <n v="0"/>
    <n v="45248539"/>
    <n v="45248539"/>
    <n v="45248539"/>
    <n v="0"/>
    <n v="0"/>
    <s v="Renovar y prestar mantenimiento de Licencias MATLAB"/>
    <m/>
    <m/>
    <m/>
    <m/>
    <m/>
    <m/>
    <m/>
    <m/>
    <m/>
    <m/>
    <m/>
    <m/>
    <m/>
    <m/>
    <m/>
    <m/>
    <m/>
    <m/>
    <m/>
    <m/>
    <n v="45248539"/>
    <m/>
    <m/>
    <n v="45248539"/>
    <m/>
    <m/>
    <n v="45248539"/>
    <n v="45248539"/>
    <n v="0"/>
    <n v="0"/>
    <m/>
    <m/>
    <m/>
    <n v="45248539"/>
    <m/>
    <m/>
    <n v="0"/>
    <n v="45248539"/>
    <n v="0"/>
    <m/>
    <m/>
    <m/>
    <m/>
    <m/>
    <m/>
    <m/>
    <m/>
    <m/>
    <m/>
    <m/>
    <m/>
    <m/>
    <m/>
    <m/>
    <m/>
    <m/>
    <m/>
    <m/>
    <m/>
    <m/>
    <m/>
    <m/>
    <m/>
    <m/>
    <m/>
    <m/>
    <m/>
    <m/>
    <m/>
    <m/>
    <m/>
    <m/>
    <m/>
    <m/>
    <m/>
    <m/>
    <m/>
    <n v="0"/>
    <n v="0"/>
    <n v="0"/>
    <n v="0"/>
    <n v="0"/>
  </r>
  <r>
    <x v="0"/>
    <x v="8"/>
    <s v="Mejoramiento de la planeación del abastecimiento y confiabilidad del subsector de hidrocarburos a nivel nacional"/>
    <s v="Hidrocarburos"/>
    <s v="Sí"/>
    <s v="Sí"/>
    <n v="23"/>
    <s v="170-41"/>
    <s v="Reducir limitaciones que afecten la expansión de infraestructura de suministro de hidrocarburos en el tiempo."/>
    <s v="Documentos de Lineamientos Técnicos - Para el Desarrollo del Sector Hidrocarburos"/>
    <s v="Documento con la descripción de procesos, métodos y herramientas."/>
    <s v="43201800,43233405,43212201"/>
    <s v="C-2103-1900-2-40301B-2103025-02"/>
    <x v="1"/>
    <s v="170-4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 Régimen especial"/>
    <s v="Propios - 21 - Otros recursos de tesorería"/>
    <n v="36864000"/>
    <n v="36864000"/>
    <s v="No"/>
    <s v="N/A"/>
    <s v="Ingrid Fernanda Vásquez Méndez"/>
    <s v="Subdirectora de hidrocarburos"/>
    <n v="6012220601"/>
    <s v="ingrid.vasquez@upme.gov.co"/>
    <n v="0"/>
    <n v="0"/>
    <n v="0"/>
    <n v="0"/>
    <n v="0"/>
    <n v="0"/>
    <n v="0"/>
    <n v="0"/>
    <n v="0"/>
    <n v="0"/>
    <n v="0"/>
    <n v="0"/>
    <n v="0"/>
    <n v="0"/>
    <n v="0"/>
    <n v="0"/>
    <n v="0"/>
    <n v="0"/>
    <n v="0"/>
    <n v="0"/>
    <n v="36864000"/>
    <n v="0"/>
    <n v="0"/>
    <n v="36864000"/>
    <n v="36864000"/>
    <n v="36864000"/>
    <n v="0"/>
    <n v="0"/>
    <s v="Adquirir el licenciamiento por suscripción para Plataforma de virtualización y almacenamiento en nube incluyendo la adquisición del hardware para Computación y Storage que soporta esta solución de Hiperconvergencia."/>
    <m/>
    <m/>
    <m/>
    <m/>
    <m/>
    <m/>
    <m/>
    <m/>
    <m/>
    <m/>
    <m/>
    <m/>
    <m/>
    <m/>
    <m/>
    <m/>
    <m/>
    <m/>
    <m/>
    <m/>
    <n v="36864000"/>
    <m/>
    <m/>
    <n v="36864000"/>
    <m/>
    <m/>
    <n v="36864000"/>
    <n v="36864000"/>
    <n v="0"/>
    <n v="0"/>
    <m/>
    <m/>
    <m/>
    <n v="36864000"/>
    <m/>
    <m/>
    <n v="0"/>
    <n v="36864000"/>
    <n v="0"/>
    <m/>
    <m/>
    <m/>
    <m/>
    <m/>
    <m/>
    <m/>
    <m/>
    <m/>
    <m/>
    <m/>
    <m/>
    <m/>
    <m/>
    <m/>
    <m/>
    <m/>
    <m/>
    <m/>
    <m/>
    <m/>
    <m/>
    <m/>
    <m/>
    <m/>
    <m/>
    <m/>
    <m/>
    <m/>
    <m/>
    <m/>
    <m/>
    <m/>
    <m/>
    <m/>
    <m/>
    <m/>
    <m/>
    <n v="0"/>
    <n v="0"/>
    <n v="0"/>
    <n v="0"/>
    <n v="0"/>
  </r>
  <r>
    <x v="0"/>
    <x v="8"/>
    <s v="Mejoramiento de la planeación del abastecimiento y confiabilidad del subsector de hidrocarburos a nivel nacional"/>
    <s v="Hidrocarburos"/>
    <s v="Sí"/>
    <s v="Sí"/>
    <s v="Radicado 20261110012353"/>
    <s v="170-42"/>
    <s v="Reducir limitaciones que afecten la expansión de infraestructura de suministro de hidrocarburos en el tiempo."/>
    <s v="Documentos de Lineamientos Técnicos - Para el Desarrollo del Sector Hidrocarburos"/>
    <s v="Documento con la descripción de procesos, métodos y herramientas."/>
    <n v="78111502"/>
    <s v="C-2103-1900-2-40301B-2103025-02"/>
    <x v="3"/>
    <s v="170-42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7165024"/>
    <n v="7165024"/>
    <s v="No"/>
    <s v="N/A"/>
    <s v="Ingrid Fernanda Vásquez Méndez"/>
    <s v="Subdirectora de hidrocarburos"/>
    <n v="6012220601"/>
    <s v="ingrid.vasquez@upme.gov.co"/>
    <n v="7165024"/>
    <n v="0"/>
    <n v="0"/>
    <n v="0"/>
    <n v="0"/>
    <n v="0"/>
    <n v="0"/>
    <n v="0"/>
    <n v="0"/>
    <n v="0"/>
    <n v="0"/>
    <n v="0"/>
    <n v="0"/>
    <n v="0"/>
    <n v="0"/>
    <n v="0"/>
    <n v="0"/>
    <n v="0"/>
    <n v="0"/>
    <n v="7165024"/>
    <n v="0"/>
    <n v="0"/>
    <n v="0"/>
    <n v="0"/>
    <n v="7165024"/>
    <n v="7165024"/>
    <n v="0"/>
    <n v="0"/>
    <s v="Adquirir los servicios necesarios para garantizar el desplazamiento de servidores públicos y contratistas de la UPME a los eventos y espacios institucionales de planeación minero energética."/>
    <n v="7165024"/>
    <m/>
    <m/>
    <m/>
    <m/>
    <m/>
    <m/>
    <m/>
    <m/>
    <m/>
    <m/>
    <m/>
    <m/>
    <m/>
    <m/>
    <m/>
    <m/>
    <m/>
    <m/>
    <n v="7165024"/>
    <m/>
    <m/>
    <m/>
    <m/>
    <m/>
    <m/>
    <n v="7165024"/>
    <n v="7165024"/>
    <n v="0"/>
    <n v="0"/>
    <n v="38826"/>
    <d v="2026-01-15T00:00:00"/>
    <n v="7165024"/>
    <n v="0"/>
    <n v="20326"/>
    <d v="2026-01-26T00:00:00"/>
    <n v="7165024"/>
    <n v="0"/>
    <n v="0"/>
    <s v="FESTIVAL TOURS S.A.S"/>
    <s v="CO1.PCCNTR.9020125"/>
    <n v="7165024"/>
    <m/>
    <m/>
    <m/>
    <m/>
    <m/>
    <m/>
    <m/>
    <m/>
    <m/>
    <m/>
    <m/>
    <m/>
    <m/>
    <m/>
    <m/>
    <m/>
    <m/>
    <m/>
    <m/>
    <m/>
    <m/>
    <m/>
    <m/>
    <m/>
    <m/>
    <m/>
    <m/>
    <m/>
    <m/>
    <m/>
    <m/>
    <m/>
    <m/>
    <m/>
    <m/>
    <n v="7165024"/>
    <n v="0"/>
    <n v="0"/>
    <n v="7165024"/>
    <n v="0"/>
  </r>
  <r>
    <x v="0"/>
    <x v="8"/>
    <s v="Mejoramiento de la planeación del abastecimiento y confiabilidad del subsector de hidrocarburos a nivel nacional"/>
    <s v="Hidrocarburos"/>
    <s v="No"/>
    <s v="Sí"/>
    <n v="68"/>
    <s v="170-43"/>
    <s v="Fortalecer la planificación de la oferta de hidrocarburos."/>
    <s v="Documentos de planeación estratégica del sector hidrocarburos"/>
    <s v="Divulgación"/>
    <s v="N/A"/>
    <s v="C-2103-1900-2-40301B-2103026-02"/>
    <x v="4"/>
    <s v="170-43 Viáticos o gastos de desplazamiento"/>
    <s v="N/A"/>
    <s v="N/A"/>
    <s v="N/A"/>
    <s v="N/A"/>
    <s v="N/A"/>
    <s v="N/A"/>
    <s v="Propios - 21 - Otros recursos de tesorería"/>
    <n v="10720000"/>
    <n v="10720000"/>
    <s v="No"/>
    <s v="N/A"/>
    <s v="Ingrid Fernanda Vásquez Méndez"/>
    <s v="Subdirectora de hidrocarburos"/>
    <n v="6012220601"/>
    <s v="ingrid.vasquez@upme.gov.co"/>
    <n v="0"/>
    <n v="0"/>
    <n v="0"/>
    <n v="0"/>
    <n v="1072000"/>
    <n v="1072000"/>
    <n v="1072000"/>
    <n v="1072000"/>
    <n v="1072000"/>
    <n v="1072000"/>
    <n v="1072000"/>
    <n v="1072000"/>
    <n v="1072000"/>
    <n v="1072000"/>
    <n v="1072000"/>
    <n v="1072000"/>
    <n v="1072000"/>
    <n v="1072000"/>
    <n v="1072000"/>
    <n v="1072000"/>
    <n v="1072000"/>
    <n v="1072000"/>
    <n v="1072000"/>
    <n v="1072000"/>
    <n v="10720000"/>
    <n v="10720000"/>
    <n v="0"/>
    <n v="0"/>
    <s v="Viáticos o gastos de desplazamiento"/>
    <m/>
    <m/>
    <m/>
    <m/>
    <n v="1072000"/>
    <n v="1072000"/>
    <n v="1072000"/>
    <n v="1072000"/>
    <n v="1072000"/>
    <n v="1072000"/>
    <n v="1072000"/>
    <n v="1072000"/>
    <n v="1072000"/>
    <n v="1072000"/>
    <n v="1072000"/>
    <n v="1072000"/>
    <n v="1072000"/>
    <n v="1072000"/>
    <n v="1072000"/>
    <n v="1072000"/>
    <n v="1072000"/>
    <n v="1072000"/>
    <n v="1072000"/>
    <n v="1072000"/>
    <m/>
    <m/>
    <n v="10720000"/>
    <n v="10720000"/>
    <n v="0"/>
    <n v="0"/>
    <n v="70726"/>
    <d v="2026-03-17T00:00:00"/>
    <n v="10720000"/>
    <n v="0"/>
    <m/>
    <m/>
    <n v="0"/>
    <n v="10720000"/>
    <n v="10720000"/>
    <m/>
    <m/>
    <m/>
    <m/>
    <m/>
    <m/>
    <m/>
    <m/>
    <m/>
    <m/>
    <m/>
    <m/>
    <m/>
    <m/>
    <m/>
    <m/>
    <m/>
    <m/>
    <m/>
    <m/>
    <m/>
    <m/>
    <m/>
    <m/>
    <m/>
    <m/>
    <m/>
    <m/>
    <m/>
    <m/>
    <m/>
    <m/>
    <m/>
    <m/>
    <m/>
    <m/>
    <m/>
    <m/>
    <n v="0"/>
    <n v="0"/>
    <n v="0"/>
    <n v="0"/>
    <n v="0"/>
  </r>
  <r>
    <x v="0"/>
    <x v="8"/>
    <s v="Mejoramiento de la planeación del abastecimiento y confiabilidad del subsector de hidrocarburos a nivel nacional"/>
    <s v="Hidrocarburos"/>
    <s v="Sí"/>
    <s v="Sí"/>
    <n v="23"/>
    <s v="170-44"/>
    <s v="Reducir limitaciones que afecten la expansión de infraestructura de suministro de hidrocarburos en el tiempo."/>
    <s v="Documentos de Lineamientos Técnicos - Para el Desarrollo del Sector Hidrocarburos"/>
    <s v="Documento con la descripción de procesos, métodos y herramientas."/>
    <n v="80121601"/>
    <s v="C-2103-1900-2-40301B-2103025-02"/>
    <x v="8"/>
    <s v="170-44 Definición de requisitos mínimos para establecer los parámetros técnicos y criterios de diseño, construcción, operación y mantenimiento de infraestructura de abastecimiento y confiabilidad de combustibles hidrocarburos en Colombia."/>
    <s v="Marzo"/>
    <s v="Abril"/>
    <s v="Mayo"/>
    <n v="7"/>
    <s v="Meses"/>
    <s v="Contratación régimen especial - Régimen especial"/>
    <s v="Propios - 21 - Otros recursos de tesorería"/>
    <n v="718965200"/>
    <n v="718965200"/>
    <s v="No"/>
    <s v="N/A"/>
    <s v="Ingrid Fernanda Vásquez Méndez"/>
    <s v="Subdirectora de hidrocarburos"/>
    <n v="6012220601"/>
    <s v="ingrid.vasquez@upme.gov.co"/>
    <n v="0"/>
    <n v="0"/>
    <n v="0"/>
    <n v="0"/>
    <n v="0"/>
    <n v="0"/>
    <n v="0"/>
    <n v="0"/>
    <n v="0"/>
    <n v="0"/>
    <n v="0"/>
    <n v="0"/>
    <n v="718965200"/>
    <n v="0"/>
    <n v="0"/>
    <n v="200000000"/>
    <n v="0"/>
    <n v="0"/>
    <n v="0"/>
    <n v="318965200"/>
    <n v="0"/>
    <n v="0"/>
    <n v="0"/>
    <n v="200000000"/>
    <n v="718965200"/>
    <n v="718965200"/>
    <n v="0"/>
    <n v="0"/>
    <s v="Definición de requisitos mínimos para establecer los parámetros técnicos y criterios de diseño, construcción, operación y mantenimiento de infraestructura de abastecimiento y confiabilidad de combustibles hidrocarburos en Colombia."/>
    <m/>
    <m/>
    <m/>
    <m/>
    <m/>
    <m/>
    <m/>
    <m/>
    <m/>
    <m/>
    <m/>
    <m/>
    <n v="718965200"/>
    <m/>
    <m/>
    <n v="200000000"/>
    <m/>
    <m/>
    <m/>
    <n v="318965200"/>
    <m/>
    <m/>
    <m/>
    <n v="200000000"/>
    <m/>
    <m/>
    <n v="718965200"/>
    <n v="718965200"/>
    <n v="0"/>
    <n v="0"/>
    <m/>
    <m/>
    <m/>
    <n v="718965200"/>
    <m/>
    <m/>
    <n v="0"/>
    <n v="718965200"/>
    <n v="0"/>
    <m/>
    <m/>
    <m/>
    <m/>
    <m/>
    <m/>
    <m/>
    <m/>
    <m/>
    <m/>
    <m/>
    <m/>
    <m/>
    <m/>
    <m/>
    <m/>
    <m/>
    <m/>
    <m/>
    <m/>
    <m/>
    <m/>
    <m/>
    <m/>
    <m/>
    <m/>
    <m/>
    <m/>
    <m/>
    <m/>
    <m/>
    <m/>
    <m/>
    <m/>
    <m/>
    <m/>
    <m/>
    <m/>
    <n v="0"/>
    <n v="0"/>
    <n v="0"/>
    <n v="0"/>
    <n v="0"/>
  </r>
  <r>
    <x v="0"/>
    <x v="8"/>
    <s v="Mejoramiento de la planeación del abastecimiento y confiabilidad del subsector de hidrocarburos a nivel nacional"/>
    <s v="Hidrocarburos"/>
    <s v="Sí"/>
    <s v="Sí"/>
    <n v="68"/>
    <s v="170-45"/>
    <s v="Reducir limitaciones que afecten la expansión de infraestructura de suministro de hidrocarburos en el tiempo."/>
    <s v="Documentos de Lineamientos Técnicos - Para el Desarrollo del Sector Hidrocarburos"/>
    <s v="Documento con la descripción de procesos, métodos y herramientas."/>
    <n v="80121601"/>
    <s v="C-2103-1900-2-40301B-2103025-02"/>
    <x v="8"/>
    <s v="170-45 Prestar servicios de auditoría externa para los procesos de convocatorias públicas de gas natural que adelante la subdirección de hidrocarburos."/>
    <s v="Enero "/>
    <s v="Febrero"/>
    <s v="Marzo"/>
    <n v="9"/>
    <s v="Meses"/>
    <s v="Contratación directa - Contratos menor cuantía"/>
    <s v="Propios - 21 - Otros recursos de tesorería"/>
    <n v="213351731"/>
    <n v="213351731"/>
    <s v="No"/>
    <s v="N/A"/>
    <s v="Ingrid Fernanda Vásquez Méndez"/>
    <s v="Subdirectora de hidrocarburos"/>
    <n v="6012220601"/>
    <s v="ingrid.vasquez@upme.gov.co"/>
    <n v="0"/>
    <n v="0"/>
    <n v="0"/>
    <n v="0"/>
    <n v="0"/>
    <n v="0"/>
    <n v="0"/>
    <n v="0"/>
    <n v="0"/>
    <n v="0"/>
    <n v="0"/>
    <n v="0"/>
    <n v="213351731"/>
    <n v="0"/>
    <n v="0"/>
    <n v="0"/>
    <n v="0"/>
    <n v="0"/>
    <n v="0"/>
    <n v="0"/>
    <n v="0"/>
    <n v="213351731"/>
    <n v="0"/>
    <n v="0"/>
    <n v="213351731"/>
    <n v="213351731"/>
    <n v="0"/>
    <n v="0"/>
    <s v="Prestar servicios de auditoría externa para los procesos de convocatorias públicas de gas natural que adelante la subdirección de hidrocarburos."/>
    <m/>
    <m/>
    <m/>
    <m/>
    <m/>
    <m/>
    <m/>
    <m/>
    <m/>
    <m/>
    <m/>
    <m/>
    <n v="213351731"/>
    <m/>
    <m/>
    <m/>
    <m/>
    <m/>
    <m/>
    <m/>
    <m/>
    <n v="213351731"/>
    <m/>
    <m/>
    <m/>
    <m/>
    <n v="213351731"/>
    <n v="213351731"/>
    <n v="0"/>
    <n v="0"/>
    <m/>
    <m/>
    <m/>
    <n v="213351731"/>
    <m/>
    <m/>
    <n v="0"/>
    <n v="213351731"/>
    <n v="0"/>
    <m/>
    <m/>
    <m/>
    <m/>
    <m/>
    <m/>
    <m/>
    <m/>
    <m/>
    <m/>
    <m/>
    <m/>
    <m/>
    <m/>
    <m/>
    <m/>
    <m/>
    <m/>
    <m/>
    <m/>
    <m/>
    <m/>
    <m/>
    <m/>
    <m/>
    <m/>
    <m/>
    <m/>
    <m/>
    <m/>
    <m/>
    <m/>
    <m/>
    <m/>
    <m/>
    <m/>
    <m/>
    <m/>
    <n v="0"/>
    <n v="0"/>
    <n v="0"/>
    <n v="0"/>
    <n v="0"/>
  </r>
  <r>
    <x v="0"/>
    <x v="8"/>
    <s v="Mejoramiento de la planeación del abastecimiento y confiabilidad del subsector de hidrocarburos a nivel nacional"/>
    <s v="Hidrocarburos"/>
    <s v="Sí"/>
    <s v="Sí"/>
    <n v="21"/>
    <s v="170-46"/>
    <s v="Reducir limitaciones que afecten la expansión de infraestructura de suministro de hidrocarburos en el tiempo."/>
    <s v="Documentos de Lineamientos Técnicos - Para el Desarrollo del Sector Hidrocarburos"/>
    <s v="Documento con la descripción de procesos, métodos y herramientas."/>
    <s v="43201800,43233405,43212201"/>
    <s v="C-2103-1900-2-40301B-2103025-02"/>
    <x v="10"/>
    <s v="170-46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 Régimen especial"/>
    <s v="Propios - 21 - Otros recursos de tesorería"/>
    <n v="220000000"/>
    <n v="220000000"/>
    <s v="No"/>
    <s v="N/A"/>
    <s v="Ingrid Fernanda Vásquez Méndez"/>
    <s v="Subdirectora de hidrocarburos"/>
    <n v="6012220601"/>
    <s v="ingrid.vasquez@upme.gov.co"/>
    <n v="0"/>
    <n v="0"/>
    <n v="0"/>
    <n v="0"/>
    <n v="0"/>
    <n v="0"/>
    <n v="220000000"/>
    <n v="0"/>
    <n v="0"/>
    <n v="0"/>
    <n v="0"/>
    <n v="220000000"/>
    <n v="0"/>
    <n v="0"/>
    <n v="0"/>
    <n v="0"/>
    <n v="0"/>
    <n v="0"/>
    <n v="0"/>
    <n v="0"/>
    <n v="0"/>
    <n v="0"/>
    <n v="0"/>
    <n v="0"/>
    <n v="220000000"/>
    <n v="220000000"/>
    <n v="0"/>
    <n v="0"/>
    <s v="Adquirir el licenciamiento por suscripción para Plataforma de virtualización y almacenamiento en nube incluyendo la adquisición del hardware para Computación y Storage que soporta esta solución de Hiperconvergencia."/>
    <m/>
    <m/>
    <m/>
    <m/>
    <m/>
    <m/>
    <n v="220000000"/>
    <m/>
    <m/>
    <m/>
    <m/>
    <n v="220000000"/>
    <m/>
    <m/>
    <m/>
    <m/>
    <m/>
    <m/>
    <m/>
    <m/>
    <m/>
    <m/>
    <m/>
    <m/>
    <m/>
    <m/>
    <n v="220000000"/>
    <n v="220000000"/>
    <n v="0"/>
    <n v="0"/>
    <m/>
    <m/>
    <m/>
    <n v="220000000"/>
    <m/>
    <m/>
    <n v="0"/>
    <n v="220000000"/>
    <n v="0"/>
    <m/>
    <m/>
    <m/>
    <m/>
    <m/>
    <m/>
    <m/>
    <m/>
    <m/>
    <m/>
    <m/>
    <m/>
    <m/>
    <m/>
    <m/>
    <m/>
    <m/>
    <m/>
    <m/>
    <m/>
    <m/>
    <m/>
    <m/>
    <m/>
    <m/>
    <m/>
    <m/>
    <m/>
    <m/>
    <m/>
    <m/>
    <m/>
    <m/>
    <m/>
    <m/>
    <m/>
    <m/>
    <m/>
    <n v="0"/>
    <n v="0"/>
    <n v="0"/>
    <n v="0"/>
    <n v="0"/>
  </r>
  <r>
    <x v="0"/>
    <x v="8"/>
    <s v="Mejoramiento de la planeación del abastecimiento y confiabilidad del subsector de hidrocarburos a nivel nacional"/>
    <s v="Hidrocarburos"/>
    <s v="Sí"/>
    <s v="Sí"/>
    <n v="68"/>
    <s v="170-47"/>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4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7222000"/>
    <n v="7222000"/>
    <s v="No"/>
    <s v="N/A"/>
    <s v="Ingrid Fernanda Vásquez Méndez"/>
    <s v="Subdirectora de hidrocarburos"/>
    <n v="6012220601"/>
    <s v="ingrid.vasquez@upme.gov.co"/>
    <n v="0"/>
    <n v="0"/>
    <n v="7222000"/>
    <n v="0"/>
    <n v="0"/>
    <n v="0"/>
    <n v="0"/>
    <n v="0"/>
    <n v="0"/>
    <n v="0"/>
    <n v="0"/>
    <n v="0"/>
    <n v="0"/>
    <n v="0"/>
    <n v="0"/>
    <n v="0"/>
    <n v="0"/>
    <n v="0"/>
    <n v="0"/>
    <n v="0"/>
    <n v="0"/>
    <n v="0"/>
    <n v="0"/>
    <n v="7222000"/>
    <n v="7222000"/>
    <n v="7222000"/>
    <n v="0"/>
    <n v="0"/>
    <s v="Prestar servicios profesionales orientados al fortalecimiento de la Dimensión de Control Interno mediante la ejecución del Plan Anual de Auditorías Internas Independientes, con énfasis en la evaluación de la gestión administrativa de la UPME"/>
    <m/>
    <m/>
    <n v="7222000"/>
    <m/>
    <m/>
    <m/>
    <m/>
    <m/>
    <m/>
    <m/>
    <m/>
    <m/>
    <m/>
    <m/>
    <m/>
    <m/>
    <m/>
    <m/>
    <m/>
    <m/>
    <m/>
    <m/>
    <m/>
    <n v="7222000"/>
    <m/>
    <m/>
    <n v="7222000"/>
    <n v="7222000"/>
    <n v="0"/>
    <n v="0"/>
    <n v="64026"/>
    <d v="2026-01-23T00:00:00"/>
    <n v="7222000"/>
    <n v="0"/>
    <n v="59726"/>
    <d v="2026-02-12T00:00:00"/>
    <n v="7222000"/>
    <n v="0"/>
    <n v="0"/>
    <s v="NUÑEZ GANTIVA NATALIA ELIANA"/>
    <s v="CO1.PCCNTR.9306722"/>
    <m/>
    <m/>
    <m/>
    <n v="7222000"/>
    <m/>
    <m/>
    <m/>
    <m/>
    <m/>
    <m/>
    <m/>
    <m/>
    <m/>
    <m/>
    <m/>
    <m/>
    <m/>
    <m/>
    <m/>
    <m/>
    <m/>
    <m/>
    <m/>
    <m/>
    <m/>
    <m/>
    <m/>
    <m/>
    <m/>
    <m/>
    <m/>
    <m/>
    <m/>
    <m/>
    <m/>
    <m/>
    <n v="7222000"/>
    <n v="0"/>
    <n v="0"/>
    <n v="7222000"/>
    <n v="0"/>
  </r>
  <r>
    <x v="0"/>
    <x v="8"/>
    <s v="Mejoramiento de la planeación del abastecimiento y confiabilidad del subsector de hidrocarburos a nivel nacional"/>
    <s v="Hidrocarburos"/>
    <s v="Sí"/>
    <s v="Sí"/>
    <n v="23"/>
    <s v="170-48"/>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48 Prestar servicios profesionales orientados al fortalecimiento de la Política Institucional de Control Interno  a través de la ejecución del Plan Anual de Auditorías Internas Independientes, con énfasis en la evaluación  de la gestión financiera de "/>
    <s v="Enero "/>
    <s v="Enero "/>
    <s v="Enero "/>
    <n v="11.5"/>
    <s v="Meses"/>
    <s v="Contratación directa - Prestación de servicios profesionales "/>
    <s v="Propios - 21 - Otros recursos de tesorería"/>
    <n v="7222000"/>
    <n v="7222000"/>
    <s v="No"/>
    <s v="N/A"/>
    <s v="Ingrid Fernanda Vásquez Méndez"/>
    <s v="Subdirectora de hidrocarburos"/>
    <n v="6012220601"/>
    <s v="ingrid.vasquez@upme.gov.co"/>
    <n v="0"/>
    <n v="0"/>
    <n v="0"/>
    <n v="0"/>
    <n v="0"/>
    <n v="0"/>
    <n v="0"/>
    <n v="0"/>
    <n v="0"/>
    <n v="0"/>
    <n v="0"/>
    <n v="0"/>
    <n v="7222000"/>
    <n v="0"/>
    <n v="0"/>
    <n v="0"/>
    <n v="0"/>
    <n v="0"/>
    <n v="0"/>
    <n v="2000000"/>
    <n v="0"/>
    <n v="2000000"/>
    <n v="0"/>
    <n v="3222000"/>
    <n v="7222000"/>
    <n v="7222000"/>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7222000"/>
    <m/>
    <m/>
    <m/>
    <m/>
    <m/>
    <m/>
    <n v="2000000"/>
    <m/>
    <n v="2000000"/>
    <m/>
    <n v="3222000"/>
    <m/>
    <m/>
    <n v="7222000"/>
    <n v="7222000"/>
    <n v="0"/>
    <n v="0"/>
    <m/>
    <m/>
    <m/>
    <n v="7222000"/>
    <m/>
    <m/>
    <n v="0"/>
    <n v="7222000"/>
    <n v="0"/>
    <m/>
    <m/>
    <m/>
    <m/>
    <m/>
    <m/>
    <m/>
    <m/>
    <m/>
    <m/>
    <m/>
    <m/>
    <m/>
    <m/>
    <m/>
    <m/>
    <m/>
    <m/>
    <m/>
    <m/>
    <m/>
    <m/>
    <m/>
    <m/>
    <m/>
    <m/>
    <m/>
    <m/>
    <m/>
    <m/>
    <m/>
    <m/>
    <m/>
    <m/>
    <m/>
    <m/>
    <m/>
    <m/>
    <n v="0"/>
    <n v="0"/>
    <n v="0"/>
    <n v="0"/>
    <n v="0"/>
  </r>
  <r>
    <x v="0"/>
    <x v="8"/>
    <s v="Mejoramiento de la planeación del abastecimiento y confiabilidad del subsector de hidrocarburos a nivel nacional"/>
    <s v="Hidrocarburos"/>
    <s v="Sí"/>
    <s v="Sí"/>
    <n v="23"/>
    <s v="170-49"/>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49 Prestar servicios profesionales orientados al fortalecimiento del componente de Información y Comunicación del Modelo Esta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7221999"/>
    <n v="7221999"/>
    <s v="No"/>
    <s v="N/A"/>
    <s v="Ingrid Fernanda Vásquez Méndez"/>
    <s v="Subdirectora de hidrocarburos"/>
    <n v="6012220601"/>
    <s v="ingrid.vasquez@upme.gov.co"/>
    <n v="0"/>
    <n v="0"/>
    <n v="0"/>
    <n v="0"/>
    <n v="0"/>
    <n v="0"/>
    <n v="0"/>
    <n v="0"/>
    <n v="0"/>
    <n v="0"/>
    <n v="0"/>
    <n v="0"/>
    <n v="7221999"/>
    <n v="0"/>
    <n v="0"/>
    <n v="0"/>
    <n v="0"/>
    <n v="0"/>
    <n v="0"/>
    <n v="2000000"/>
    <n v="0"/>
    <n v="2000000"/>
    <n v="0"/>
    <n v="3221999"/>
    <n v="7221999"/>
    <n v="7221999"/>
    <n v="0"/>
    <n v="0"/>
    <s v="Prestar servicios profesionales orientados al fortalecimiento del componente de Información y Comunicación del Modelo Estandar de Control Interno (MECI), a través de la ejecución del Plan Anual de Auditorías Internas Independientes, con énfasis en la eval"/>
    <m/>
    <m/>
    <m/>
    <m/>
    <m/>
    <m/>
    <m/>
    <m/>
    <m/>
    <m/>
    <m/>
    <m/>
    <n v="7221999"/>
    <m/>
    <m/>
    <m/>
    <m/>
    <m/>
    <m/>
    <n v="2000000"/>
    <m/>
    <n v="2000000"/>
    <m/>
    <n v="3221999"/>
    <m/>
    <m/>
    <n v="7221999"/>
    <n v="7221999"/>
    <n v="0"/>
    <n v="0"/>
    <m/>
    <m/>
    <m/>
    <n v="7221999"/>
    <m/>
    <m/>
    <n v="0"/>
    <n v="7221999"/>
    <n v="0"/>
    <m/>
    <m/>
    <m/>
    <m/>
    <m/>
    <m/>
    <m/>
    <m/>
    <m/>
    <m/>
    <m/>
    <m/>
    <m/>
    <m/>
    <m/>
    <m/>
    <m/>
    <m/>
    <m/>
    <m/>
    <m/>
    <m/>
    <m/>
    <m/>
    <m/>
    <m/>
    <m/>
    <m/>
    <m/>
    <m/>
    <m/>
    <m/>
    <m/>
    <m/>
    <m/>
    <m/>
    <m/>
    <m/>
    <n v="0"/>
    <n v="0"/>
    <n v="0"/>
    <n v="0"/>
    <n v="0"/>
  </r>
  <r>
    <x v="0"/>
    <x v="8"/>
    <s v="Mejoramiento de la planeación del abastecimiento y confiabilidad del subsector de hidrocarburos a nivel nacional"/>
    <s v="Hidrocarburos"/>
    <s v="Sí"/>
    <s v="Sí"/>
    <n v="68"/>
    <s v="170-50"/>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50 Prestar servicios profesionales en asuntos jurídicos y judiciales de la Unidad de Planeación Minero Energética."/>
    <s v="Enero "/>
    <s v="Enero "/>
    <s v="Enero "/>
    <n v="11.5"/>
    <s v="Meses"/>
    <s v="Contratación directa - Prestación de servicios profesionales "/>
    <s v="Propios - 21 - Otros recursos de tesorería"/>
    <n v="76627950"/>
    <n v="76627950"/>
    <s v="No"/>
    <s v="N/A"/>
    <s v="Ingrid Fernanda Vásquez Méndez"/>
    <s v="Subdirectora de hidrocarburos"/>
    <n v="6012220601"/>
    <s v="ingrid.vasquez@upme.gov.co"/>
    <n v="73296300"/>
    <n v="0"/>
    <n v="0"/>
    <n v="0"/>
    <n v="0"/>
    <n v="6500000"/>
    <n v="0"/>
    <n v="6500000"/>
    <n v="0"/>
    <n v="6500000"/>
    <n v="0"/>
    <n v="6500000"/>
    <n v="0"/>
    <n v="6500000"/>
    <n v="3331650"/>
    <n v="6500000"/>
    <n v="0"/>
    <n v="6500000"/>
    <n v="0"/>
    <n v="6500000"/>
    <n v="0"/>
    <n v="6500000"/>
    <n v="0"/>
    <n v="18127950"/>
    <n v="76627950"/>
    <n v="76627950"/>
    <n v="0"/>
    <n v="0"/>
    <s v="Prestar servicios profesionales en asuntos jurídicos y judiciales de la Unidad de Planeación Minero Energética."/>
    <n v="73296300"/>
    <m/>
    <m/>
    <m/>
    <m/>
    <n v="6500000"/>
    <m/>
    <n v="6500000"/>
    <m/>
    <n v="6500000"/>
    <m/>
    <n v="6500000"/>
    <m/>
    <n v="6500000"/>
    <n v="3331650"/>
    <n v="6500000"/>
    <m/>
    <n v="6500000"/>
    <m/>
    <n v="6500000"/>
    <m/>
    <n v="6500000"/>
    <m/>
    <n v="18127950"/>
    <m/>
    <m/>
    <n v="76627950"/>
    <n v="76627950"/>
    <n v="0"/>
    <n v="0"/>
    <n v="44926"/>
    <d v="2026-01-17T00:00:00"/>
    <n v="76627950"/>
    <n v="0"/>
    <n v="32826"/>
    <d v="2026-01-29T00:00:00"/>
    <n v="73296300"/>
    <n v="3331650"/>
    <n v="3331650"/>
    <s v="ROJAS POSADA ALEJANDRA"/>
    <s v="CO1.PCCNTR.9143647"/>
    <n v="73296300"/>
    <m/>
    <m/>
    <m/>
    <m/>
    <m/>
    <m/>
    <n v="6663300"/>
    <n v="6663300"/>
    <m/>
    <n v="6885410"/>
    <n v="6885410"/>
    <m/>
    <m/>
    <m/>
    <m/>
    <m/>
    <m/>
    <m/>
    <m/>
    <m/>
    <m/>
    <m/>
    <m/>
    <m/>
    <m/>
    <m/>
    <m/>
    <m/>
    <m/>
    <m/>
    <m/>
    <m/>
    <m/>
    <m/>
    <m/>
    <n v="73296300"/>
    <n v="13548710"/>
    <n v="13548710"/>
    <n v="59747590"/>
    <n v="0"/>
  </r>
  <r>
    <x v="0"/>
    <x v="8"/>
    <s v="Mejoramiento de la planeación del abastecimiento y confiabilidad del subsector de hidrocarburos a nivel nacional"/>
    <s v="Hidrocarburos"/>
    <s v="Sí"/>
    <s v="Sí"/>
    <n v="23"/>
    <s v="170-51"/>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51 Prestar servicios profesionales para la gestión jurídica en la verificación y cumplimiento de asuntos legales de competencia de la UPME, y lo que de ello se derive, en especial, lo relacionado con el sector hidrocarburos y energía."/>
    <s v="Enero "/>
    <s v="Enero "/>
    <s v="Enero "/>
    <n v="11.5"/>
    <s v="Meses"/>
    <s v="Contratación directa - Prestación de servicios profesionales "/>
    <s v="Propios - 21 - Otros recursos de tesorería"/>
    <n v="35200000"/>
    <n v="35200000"/>
    <s v="No"/>
    <s v="N/A"/>
    <s v="Ingrid Fernanda Vásquez Méndez"/>
    <s v="Subdirectora de hidrocarburos"/>
    <n v="6012220601"/>
    <s v="ingrid.vasquez@upme.gov.co"/>
    <n v="0"/>
    <n v="0"/>
    <n v="35200000"/>
    <n v="0"/>
    <n v="0"/>
    <n v="3200000"/>
    <n v="0"/>
    <n v="3200000"/>
    <n v="0"/>
    <n v="3200000"/>
    <n v="0"/>
    <n v="3200000"/>
    <n v="0"/>
    <n v="3200000"/>
    <n v="0"/>
    <n v="3200000"/>
    <n v="0"/>
    <n v="3200000"/>
    <n v="0"/>
    <n v="3200000"/>
    <n v="0"/>
    <n v="3200000"/>
    <n v="0"/>
    <n v="6400000"/>
    <n v="35200000"/>
    <n v="35200000"/>
    <n v="0"/>
    <n v="0"/>
    <s v="Prestar servicios profesionales para la gestión jurídica en la verificación y cumplimiento de asuntos legales de competencia de la UPME, y lo que de ello se derive, en especial, lo relacionado con el sector hidrocarburos y energía."/>
    <m/>
    <m/>
    <n v="35200000"/>
    <m/>
    <m/>
    <n v="3200000"/>
    <m/>
    <n v="3200000"/>
    <m/>
    <n v="3200000"/>
    <m/>
    <n v="3200000"/>
    <m/>
    <n v="3200000"/>
    <m/>
    <n v="3200000"/>
    <m/>
    <n v="3200000"/>
    <m/>
    <n v="3200000"/>
    <m/>
    <n v="3200000"/>
    <m/>
    <n v="6400000"/>
    <m/>
    <m/>
    <n v="35200000"/>
    <n v="35200000"/>
    <n v="0"/>
    <n v="0"/>
    <n v="62326"/>
    <d v="2026-01-23T00:00:00"/>
    <n v="34346666"/>
    <n v="853334"/>
    <n v="47426"/>
    <d v="2026-02-06T00:00:00"/>
    <n v="34346666"/>
    <n v="853334"/>
    <n v="0"/>
    <s v="LOPEZ MONROY KAREN JULIANA"/>
    <s v="CO1.PCCNTR.9279200"/>
    <m/>
    <m/>
    <m/>
    <n v="35200000"/>
    <m/>
    <m/>
    <m/>
    <n v="2346666"/>
    <n v="2346666"/>
    <n v="-853334"/>
    <n v="3200000"/>
    <n v="3200000"/>
    <m/>
    <m/>
    <m/>
    <m/>
    <m/>
    <m/>
    <m/>
    <m/>
    <m/>
    <m/>
    <m/>
    <m/>
    <m/>
    <m/>
    <m/>
    <m/>
    <m/>
    <m/>
    <m/>
    <m/>
    <m/>
    <m/>
    <m/>
    <m/>
    <n v="34346666"/>
    <n v="5546666"/>
    <n v="5546666"/>
    <n v="28800000"/>
    <n v="0"/>
  </r>
  <r>
    <x v="0"/>
    <x v="8"/>
    <s v="Mejoramiento de la planeación del abastecimiento y confiabilidad del subsector de hidrocarburos a nivel nacional"/>
    <s v="Hidrocarburos"/>
    <s v="Sí"/>
    <s v="Sí"/>
    <n v="68"/>
    <s v="170-52"/>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52 Prestar servicios profesionales para apoyar la ejecución de las diferentes actividades relacionadas con la formulación de los planes a cargo de la Subdirección de Hidrocarburos y demás gestiones misionales."/>
    <s v="Enero "/>
    <s v="Enero "/>
    <s v="Enero "/>
    <n v="11.5"/>
    <s v="Meses"/>
    <s v="Contratación directa - Prestación de servicios profesionales "/>
    <s v="Propios - 21 - Otros recursos de tesorería"/>
    <n v="36139950"/>
    <n v="36139950"/>
    <s v="No"/>
    <s v="N/A"/>
    <s v="Ingrid Fernanda Vásquez Méndez"/>
    <s v="Subdirectora de hidrocarburos"/>
    <n v="6012220601"/>
    <s v="ingrid.vasquez@upme.gov.co"/>
    <n v="36139950"/>
    <n v="0"/>
    <n v="0"/>
    <n v="0"/>
    <n v="0"/>
    <n v="3200000"/>
    <n v="0"/>
    <n v="3200000"/>
    <n v="0"/>
    <n v="3200000"/>
    <n v="0"/>
    <n v="3200000"/>
    <n v="0"/>
    <n v="3200000"/>
    <n v="0"/>
    <n v="3200000"/>
    <n v="0"/>
    <n v="3200000"/>
    <n v="0"/>
    <n v="3200000"/>
    <n v="0"/>
    <n v="3200000"/>
    <n v="0"/>
    <n v="7339950"/>
    <n v="36139950"/>
    <n v="36139950"/>
    <n v="0"/>
    <n v="0"/>
    <s v="Prestar servicios profesionales para apoyar la ejecución de las diferentes actividades relacionadas con la formulación de los planes a cargo de la Subdirección de Hidrocarburos y demás gestiones misionales."/>
    <n v="36139950"/>
    <m/>
    <m/>
    <m/>
    <m/>
    <n v="3200000"/>
    <m/>
    <n v="3200000"/>
    <m/>
    <n v="3200000"/>
    <m/>
    <n v="3200000"/>
    <m/>
    <n v="3200000"/>
    <m/>
    <n v="3200000"/>
    <m/>
    <n v="3200000"/>
    <m/>
    <n v="3200000"/>
    <m/>
    <n v="3200000"/>
    <m/>
    <n v="7339950"/>
    <m/>
    <m/>
    <n v="36139950"/>
    <n v="36139950"/>
    <n v="0"/>
    <n v="0"/>
    <n v="4426"/>
    <d v="2026-01-05T00:00:00"/>
    <n v="36139950"/>
    <n v="0"/>
    <n v="7826"/>
    <d v="2026-01-13T00:00:00"/>
    <n v="36139950"/>
    <n v="0"/>
    <n v="0"/>
    <s v="MINOTTA PEREA JOSE THANCY"/>
    <s v="CO1.PCCNTR.8820163"/>
    <n v="36139950"/>
    <m/>
    <m/>
    <m/>
    <n v="1861755"/>
    <n v="1861755"/>
    <m/>
    <n v="3285450"/>
    <n v="3285450"/>
    <m/>
    <n v="3285450"/>
    <n v="3285450"/>
    <m/>
    <m/>
    <m/>
    <m/>
    <m/>
    <m/>
    <m/>
    <m/>
    <m/>
    <m/>
    <m/>
    <m/>
    <m/>
    <m/>
    <m/>
    <m/>
    <m/>
    <m/>
    <m/>
    <m/>
    <m/>
    <m/>
    <m/>
    <m/>
    <n v="36139950"/>
    <n v="8432655"/>
    <n v="8432655"/>
    <n v="27707295"/>
    <n v="0"/>
  </r>
  <r>
    <x v="0"/>
    <x v="8"/>
    <s v="Mejoramiento de la planeación del abastecimiento y confiabilidad del subsector de hidrocarburos a nivel nacional"/>
    <s v="Hidrocarburos"/>
    <s v="Sí"/>
    <s v="Sí"/>
    <s v="Radicado 20261700004963"/>
    <s v="170-53"/>
    <s v="Reducir limitaciones que afecten la expansión de infraestructura de suministro de hidrocarburos en el tiempo."/>
    <s v="Documentos de Lineamientos Técnicos - Para el Desarrollo del Sector Hidrocarburos"/>
    <s v="Documento con la descripción de procesos, métodos y herramientas."/>
    <n v="80141607"/>
    <s v="C-2103-1900-2-40301B-2103025-02"/>
    <x v="2"/>
    <s v="170-53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18000000"/>
    <n v="18000000"/>
    <s v="No"/>
    <s v="N/A"/>
    <s v="Ingrid Fernanda Vásquez Méndez"/>
    <s v="Subdirectora de hidrocarburos"/>
    <n v="6012220601"/>
    <s v="ingrid.vasquez@upme.gov.co"/>
    <n v="18000000"/>
    <n v="0"/>
    <n v="0"/>
    <n v="0"/>
    <n v="0"/>
    <n v="4500000"/>
    <n v="0"/>
    <n v="0"/>
    <n v="0"/>
    <n v="0"/>
    <n v="0"/>
    <n v="4500000"/>
    <n v="0"/>
    <n v="0"/>
    <n v="0"/>
    <n v="0"/>
    <n v="0"/>
    <n v="4500000"/>
    <n v="0"/>
    <n v="0"/>
    <n v="0"/>
    <n v="0"/>
    <n v="0"/>
    <n v="4500000"/>
    <n v="18000000"/>
    <n v="18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n v="18000000"/>
    <m/>
    <m/>
    <m/>
    <m/>
    <n v="4500000"/>
    <m/>
    <m/>
    <m/>
    <m/>
    <m/>
    <n v="4500000"/>
    <m/>
    <m/>
    <m/>
    <m/>
    <m/>
    <n v="4500000"/>
    <m/>
    <m/>
    <m/>
    <m/>
    <m/>
    <n v="4500000"/>
    <m/>
    <m/>
    <n v="18000000"/>
    <n v="18000000"/>
    <n v="0"/>
    <n v="0"/>
    <n v="15126"/>
    <d v="2026-01-09T00:00:00"/>
    <n v="18000000"/>
    <n v="0"/>
    <n v="26226"/>
    <d v="2026-01-28T00:00:00"/>
    <n v="18000000"/>
    <n v="0"/>
    <n v="0"/>
    <s v="M2C ESTRATEGIAS SAS"/>
    <s v="CO1.PCCNTR.9130164"/>
    <n v="18000000"/>
    <m/>
    <m/>
    <m/>
    <m/>
    <m/>
    <m/>
    <m/>
    <m/>
    <m/>
    <m/>
    <m/>
    <m/>
    <m/>
    <m/>
    <m/>
    <m/>
    <m/>
    <m/>
    <m/>
    <m/>
    <m/>
    <m/>
    <m/>
    <m/>
    <m/>
    <m/>
    <m/>
    <m/>
    <m/>
    <m/>
    <m/>
    <m/>
    <m/>
    <m/>
    <m/>
    <n v="18000000"/>
    <n v="0"/>
    <n v="0"/>
    <n v="18000000"/>
    <n v="0"/>
  </r>
  <r>
    <x v="0"/>
    <x v="8"/>
    <s v="Mejoramiento de la planeación del abastecimiento y confiabilidad del subsector de hidrocarburos a nivel nacional"/>
    <s v="Hidrocarburos"/>
    <s v="Sí"/>
    <s v="Sí"/>
    <s v="Radicado 20261110012353"/>
    <s v="170-54"/>
    <s v="Reducir limitaciones que afecten la expansión de infraestructura de suministro de hidrocarburos en el tiempo."/>
    <s v="Documentos de Lineamientos Técnicos - Para el Desarrollo del Sector Hidrocarburos"/>
    <s v="Divulgación"/>
    <n v="78111502"/>
    <s v="C-2103-1900-2-40301B-2103025-02"/>
    <x v="3"/>
    <s v="170-5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6080000"/>
    <n v="16080000"/>
    <s v="No"/>
    <s v="N/A"/>
    <s v="Ingrid Fernanda Vásquez Méndez"/>
    <s v="Subdirectora de hidrocarburos"/>
    <n v="6012220601"/>
    <s v="ingrid.vasquez@upme.gov.co"/>
    <n v="16080000"/>
    <n v="0"/>
    <n v="0"/>
    <n v="0"/>
    <n v="0"/>
    <n v="0"/>
    <n v="0"/>
    <n v="0"/>
    <n v="0"/>
    <n v="0"/>
    <n v="0"/>
    <n v="0"/>
    <n v="0"/>
    <n v="0"/>
    <n v="0"/>
    <n v="0"/>
    <n v="0"/>
    <n v="0"/>
    <n v="0"/>
    <n v="16080000"/>
    <n v="0"/>
    <n v="0"/>
    <n v="0"/>
    <n v="0"/>
    <n v="16080000"/>
    <n v="16080000"/>
    <n v="0"/>
    <n v="0"/>
    <s v="Adquirir los servicios necesarios para garantizar el desplazamiento de servidores públicos y contratistas de la UPME a los eventos y espacios institucionales de planeación minero energética."/>
    <n v="16080000"/>
    <m/>
    <m/>
    <m/>
    <m/>
    <m/>
    <m/>
    <m/>
    <m/>
    <m/>
    <m/>
    <m/>
    <m/>
    <m/>
    <m/>
    <m/>
    <m/>
    <m/>
    <m/>
    <n v="16080000"/>
    <m/>
    <m/>
    <m/>
    <m/>
    <m/>
    <m/>
    <n v="16080000"/>
    <n v="16080000"/>
    <n v="0"/>
    <n v="0"/>
    <n v="38826"/>
    <d v="2026-01-15T00:00:00"/>
    <n v="16080000"/>
    <n v="0"/>
    <n v="20326"/>
    <d v="2026-01-26T00:00:00"/>
    <n v="16080000"/>
    <n v="0"/>
    <n v="0"/>
    <s v="FESTIVAL TOURS S.A.S"/>
    <s v="CO1.PCCNTR.9020125"/>
    <n v="16080000"/>
    <m/>
    <m/>
    <m/>
    <m/>
    <m/>
    <m/>
    <n v="3287554"/>
    <n v="3287554"/>
    <m/>
    <n v="3598049"/>
    <n v="3598049"/>
    <m/>
    <m/>
    <m/>
    <m/>
    <m/>
    <m/>
    <m/>
    <m/>
    <m/>
    <m/>
    <m/>
    <m/>
    <m/>
    <m/>
    <m/>
    <m/>
    <m/>
    <m/>
    <m/>
    <m/>
    <m/>
    <m/>
    <m/>
    <m/>
    <n v="16080000"/>
    <n v="6885603"/>
    <n v="6885603"/>
    <n v="9194397"/>
    <n v="0"/>
  </r>
  <r>
    <x v="0"/>
    <x v="8"/>
    <s v="Mejoramiento de la planeación del abastecimiento y confiabilidad del subsector de hidrocarburos a nivel nacional"/>
    <s v="Hidrocarburos"/>
    <s v="No"/>
    <s v="Sí"/>
    <n v="2"/>
    <s v="170-55"/>
    <s v="Fortalecer la planificación de la oferta de hidrocarburos."/>
    <s v="Documentos de planeación estratégica del sector hidrocarburos"/>
    <s v="Documento de planeación validado."/>
    <s v="N/A"/>
    <s v="C-2103-1900-2-40301B-2103026-02"/>
    <x v="4"/>
    <s v="170-55 Viáticos o gastos de desplazamiento"/>
    <s v="N/A"/>
    <s v="N/A"/>
    <s v="N/A"/>
    <s v="N/A"/>
    <s v="N/A"/>
    <s v="N/A"/>
    <s v="Propios - 20 - Ingresos corrientes"/>
    <n v="9330426"/>
    <n v="9330426"/>
    <s v="No"/>
    <s v="N/A"/>
    <s v="Ingrid Fernanda Vásquez Méndez"/>
    <s v="Subdirectora de hidrocarburos"/>
    <n v="6012220601"/>
    <s v="ingrid.vasquez@upme.gov.co"/>
    <n v="0"/>
    <n v="0"/>
    <n v="0"/>
    <n v="0"/>
    <n v="933000"/>
    <n v="933000"/>
    <n v="933000"/>
    <n v="933000"/>
    <n v="933000"/>
    <n v="933000"/>
    <n v="933000"/>
    <n v="933000"/>
    <n v="933000"/>
    <n v="933000"/>
    <n v="933000"/>
    <n v="933000"/>
    <n v="933000"/>
    <n v="933000"/>
    <n v="933000"/>
    <n v="933000"/>
    <n v="933000"/>
    <n v="933000"/>
    <n v="933426"/>
    <n v="933426"/>
    <n v="9330426"/>
    <n v="9330426"/>
    <n v="0"/>
    <n v="0"/>
    <s v="Viáticos o gastos de desplazamiento"/>
    <m/>
    <m/>
    <m/>
    <m/>
    <n v="933000"/>
    <n v="933000"/>
    <n v="933000"/>
    <n v="933000"/>
    <n v="933000"/>
    <n v="933000"/>
    <n v="933000"/>
    <n v="933000"/>
    <n v="933000"/>
    <n v="933000"/>
    <n v="933000"/>
    <n v="933000"/>
    <n v="933000"/>
    <n v="933000"/>
    <n v="933000"/>
    <n v="933000"/>
    <n v="933000"/>
    <n v="933000"/>
    <n v="933426"/>
    <n v="933426"/>
    <m/>
    <m/>
    <n v="9330426"/>
    <n v="9330426"/>
    <n v="0"/>
    <n v="0"/>
    <n v="70026"/>
    <d v="2026-03-13T00:00:00"/>
    <n v="9330426"/>
    <n v="0"/>
    <m/>
    <m/>
    <n v="0"/>
    <n v="9330426"/>
    <n v="9330426"/>
    <m/>
    <m/>
    <m/>
    <m/>
    <m/>
    <m/>
    <m/>
    <m/>
    <m/>
    <m/>
    <m/>
    <m/>
    <m/>
    <m/>
    <m/>
    <m/>
    <m/>
    <m/>
    <m/>
    <m/>
    <m/>
    <m/>
    <m/>
    <m/>
    <m/>
    <m/>
    <m/>
    <m/>
    <m/>
    <m/>
    <m/>
    <m/>
    <m/>
    <m/>
    <m/>
    <m/>
    <m/>
    <m/>
    <n v="0"/>
    <n v="0"/>
    <n v="0"/>
    <n v="0"/>
    <n v="0"/>
  </r>
  <r>
    <x v="0"/>
    <x v="8"/>
    <s v="Mejoramiento de la planeación del abastecimiento y confiabilidad del subsector de hidrocarburos a nivel nacional"/>
    <s v="Hidrocarburos"/>
    <s v="Sí"/>
    <s v="Sí"/>
    <n v="68"/>
    <s v="170-56"/>
    <s v="Reducir limitaciones que afecten la expansión de infraestructura de suministro de hidrocarburos en el tiempo."/>
    <s v="Documentos de Lineamientos Técnicos - Para el Desarrollo del Sector Hidrocarburos"/>
    <s v="Documento con la descripción de procesos, métodos y herramientas."/>
    <s v="N/A"/>
    <s v="C-2103-1900-2-40301B-2103025-02"/>
    <x v="0"/>
    <s v="170-56 Prestar servicios de apoyo a la gestión para el desarrollo de actividades administrativas, de gestión operativa, de seguimiento y de gestión que le sean asignadas, de conformidad con las necesidades de la Subdirección de Hidrocarburos."/>
    <s v="Enero "/>
    <s v="Enero "/>
    <s v="Enero "/>
    <n v="10"/>
    <s v="Meses"/>
    <s v="Seléccion abreviada - acuerdo marco"/>
    <s v="Propios - 21 - Otros recursos de tesorería"/>
    <n v="71500000"/>
    <n v="71500000"/>
    <s v="No"/>
    <s v="N/A"/>
    <s v="Ingrid Fernanda Vásquez Méndez"/>
    <s v="Subdirectora de hidrocarburos"/>
    <n v="6012220601"/>
    <s v="ingrid.vasquez@upme.gov.co"/>
    <n v="0"/>
    <n v="0"/>
    <n v="55486200"/>
    <n v="0"/>
    <n v="0"/>
    <n v="5044200"/>
    <n v="0"/>
    <n v="5044200"/>
    <n v="0"/>
    <n v="5044200"/>
    <n v="0"/>
    <n v="5044200"/>
    <n v="16013800"/>
    <n v="5044200"/>
    <n v="0"/>
    <n v="5044200"/>
    <n v="0"/>
    <n v="5044200"/>
    <n v="0"/>
    <n v="5044200"/>
    <n v="0"/>
    <n v="5044200"/>
    <n v="0"/>
    <n v="26102200"/>
    <n v="71500000"/>
    <n v="71500000"/>
    <n v="0"/>
    <n v="0"/>
    <s v="Prestar servicios de apoyo a la gestión para el desarrollo de actividades administrativas, de gestión operativa, de seguimiento y de gestión que le sean asignadas, de conformidad con las necesidades de la Subdirección de Hidrocarburos."/>
    <m/>
    <m/>
    <n v="55486200"/>
    <m/>
    <m/>
    <n v="5044200"/>
    <m/>
    <n v="5044200"/>
    <m/>
    <n v="5044200"/>
    <m/>
    <n v="5044200"/>
    <n v="16013800"/>
    <n v="5044200"/>
    <m/>
    <n v="5044200"/>
    <m/>
    <n v="5044200"/>
    <m/>
    <n v="5044200"/>
    <m/>
    <n v="5044200"/>
    <m/>
    <n v="26102200"/>
    <m/>
    <m/>
    <n v="71500000"/>
    <n v="71500000"/>
    <n v="0"/>
    <n v="0"/>
    <n v="58726"/>
    <d v="2026-01-23T00:00:00"/>
    <n v="54141080"/>
    <n v="17358920"/>
    <n v="48526"/>
    <d v="2026-02-06T00:00:00"/>
    <n v="54141080"/>
    <n v="17358920"/>
    <n v="0"/>
    <s v="VARGAS LAGARES CINDY PAOLA"/>
    <s v="CO1.PCCNTR. 9271057"/>
    <m/>
    <m/>
    <m/>
    <n v="55486200"/>
    <m/>
    <m/>
    <m/>
    <n v="3699080"/>
    <n v="3699080"/>
    <n v="-1345120"/>
    <n v="5044200"/>
    <n v="5044200"/>
    <m/>
    <m/>
    <m/>
    <m/>
    <m/>
    <m/>
    <m/>
    <m/>
    <m/>
    <m/>
    <m/>
    <m/>
    <m/>
    <m/>
    <m/>
    <m/>
    <m/>
    <m/>
    <m/>
    <m/>
    <m/>
    <m/>
    <m/>
    <m/>
    <n v="54141080"/>
    <n v="8743280"/>
    <n v="8743280"/>
    <n v="45397800"/>
    <n v="0"/>
  </r>
  <r>
    <x v="0"/>
    <x v="8"/>
    <s v="Mejoramiento de la planeación del abastecimiento y confiabilidad del subsector de hidrocarburos a nivel nacional"/>
    <s v="Hidrocarburos"/>
    <s v="No"/>
    <s v="Sí"/>
    <n v="2"/>
    <s v="170-57"/>
    <s v="Fortalecer la planificación de la oferta de hidrocarburos."/>
    <s v="Documentos de planeación estratégica del sector hidrocarburos"/>
    <s v="Documento de planeación preliminar."/>
    <s v="N/A"/>
    <s v="C-2103-1900-2-40301B-2103026-02"/>
    <x v="4"/>
    <s v="170-57 Viáticos o gastos de desplazamiento"/>
    <s v="N/A"/>
    <s v="N/A"/>
    <s v="N/A"/>
    <s v="N/A"/>
    <s v="N/A"/>
    <s v="N/A"/>
    <s v="Propios - 20 - Ingresos corrientes"/>
    <n v="2106332"/>
    <n v="2106332"/>
    <s v="No"/>
    <s v="N/A"/>
    <s v="Ingrid Fernanda Vásquez Méndez"/>
    <s v="Subdirectora de hidrocarburos"/>
    <n v="6012220601"/>
    <s v="ingrid.vasquez@upme.gov.co"/>
    <n v="0"/>
    <n v="0"/>
    <n v="0"/>
    <n v="0"/>
    <n v="210600"/>
    <n v="210600"/>
    <n v="210600"/>
    <n v="210600"/>
    <n v="210600"/>
    <n v="210600"/>
    <n v="210600"/>
    <n v="210600"/>
    <n v="210600"/>
    <n v="210600"/>
    <n v="210600"/>
    <n v="210600"/>
    <n v="210600"/>
    <n v="210600"/>
    <n v="210600"/>
    <n v="210600"/>
    <n v="210600"/>
    <n v="210600"/>
    <n v="210932"/>
    <n v="210932"/>
    <n v="2106332"/>
    <n v="2106332"/>
    <n v="0"/>
    <n v="0"/>
    <s v="Viáticos o gastos de desplazamiento"/>
    <m/>
    <m/>
    <m/>
    <m/>
    <n v="210600"/>
    <n v="210600"/>
    <n v="210600"/>
    <n v="210600"/>
    <n v="210600"/>
    <n v="210600"/>
    <n v="210600"/>
    <n v="210600"/>
    <n v="210600"/>
    <n v="210600"/>
    <n v="210600"/>
    <n v="210600"/>
    <n v="210600"/>
    <n v="210600"/>
    <n v="210600"/>
    <n v="210600"/>
    <n v="210600"/>
    <n v="210600"/>
    <n v="210932"/>
    <n v="210932"/>
    <m/>
    <m/>
    <n v="2106332"/>
    <n v="2106332"/>
    <n v="0"/>
    <n v="0"/>
    <n v="70726"/>
    <d v="2026-03-17T00:00:00"/>
    <n v="2106332"/>
    <n v="0"/>
    <m/>
    <m/>
    <n v="0"/>
    <n v="2106332"/>
    <n v="2106332"/>
    <m/>
    <m/>
    <m/>
    <m/>
    <m/>
    <m/>
    <m/>
    <m/>
    <m/>
    <m/>
    <m/>
    <m/>
    <m/>
    <m/>
    <m/>
    <m/>
    <m/>
    <m/>
    <m/>
    <m/>
    <m/>
    <m/>
    <m/>
    <m/>
    <m/>
    <m/>
    <m/>
    <m/>
    <m/>
    <m/>
    <m/>
    <m/>
    <m/>
    <m/>
    <m/>
    <m/>
    <m/>
    <m/>
    <n v="0"/>
    <n v="0"/>
    <n v="0"/>
    <n v="0"/>
    <n v="0"/>
  </r>
  <r>
    <x v="0"/>
    <x v="8"/>
    <s v="Mejoramiento de la planeación del abastecimiento y confiabilidad del subsector de hidrocarburos a nivel nacional"/>
    <s v="Hidrocarburos"/>
    <s v="No"/>
    <s v="Sí"/>
    <n v="23"/>
    <s v="170-58"/>
    <s v="Fortalecer la planificación de la oferta de hidrocarburos."/>
    <s v="Documentos de planeación estratégica del sector hidrocarburos"/>
    <s v="Documento de planeación preliminar."/>
    <n v="80121601"/>
    <s v="C-2103-1900-2-40301B-2103026-02"/>
    <x v="8"/>
    <s v="170-58 Definición de requisitos mínimos para establecer los parámetros técnicos y criterios de diseño, construcción, operación y mantenimiento de infraestructura de abastecimiento y confiabilidad de combustibles hidrocarburos en Colombia."/>
    <s v="Marzo"/>
    <s v="Abril"/>
    <s v="Mayo"/>
    <n v="7"/>
    <s v="Meses"/>
    <s v="Contratación régimen especial - Régimen especial"/>
    <s v="Propios - 20 - Ingresos corrientes"/>
    <n v="145670160"/>
    <n v="145670160"/>
    <s v="No"/>
    <s v="N/A"/>
    <s v="Ingrid Fernanda Vásquez Méndez"/>
    <s v="Subdirectora de hidrocarburos"/>
    <n v="6012220601"/>
    <s v="ingrid.vasquez@upme.gov.co"/>
    <n v="0"/>
    <n v="0"/>
    <n v="35000000"/>
    <n v="0"/>
    <n v="0"/>
    <n v="0"/>
    <n v="0"/>
    <n v="0"/>
    <n v="0"/>
    <n v="0"/>
    <n v="0"/>
    <n v="0"/>
    <n v="0"/>
    <n v="0"/>
    <n v="0"/>
    <n v="0"/>
    <n v="0"/>
    <n v="0"/>
    <n v="0"/>
    <n v="0"/>
    <n v="0"/>
    <n v="0"/>
    <n v="0"/>
    <n v="35000000"/>
    <n v="35000000"/>
    <n v="35000000"/>
    <n v="110670160"/>
    <n v="110670160"/>
    <s v="Definición de requisitos mínimos para establecer los parámetros técnicos y criterios de diseño, construcción, operación y mantenimiento de infraestructura de abastecimiento y confiabilidad de combustibles hidrocarburos en Colombia."/>
    <m/>
    <m/>
    <m/>
    <m/>
    <m/>
    <m/>
    <m/>
    <m/>
    <n v="145670160"/>
    <m/>
    <m/>
    <m/>
    <m/>
    <m/>
    <m/>
    <m/>
    <m/>
    <m/>
    <m/>
    <n v="145670160"/>
    <m/>
    <m/>
    <m/>
    <m/>
    <m/>
    <m/>
    <n v="145670160"/>
    <n v="145670160"/>
    <n v="0"/>
    <n v="0"/>
    <n v="65126"/>
    <d v="2026-01-26T00:00:00"/>
    <n v="0"/>
    <n v="145670160"/>
    <m/>
    <m/>
    <n v="0"/>
    <n v="145670160"/>
    <n v="0"/>
    <m/>
    <m/>
    <m/>
    <m/>
    <m/>
    <m/>
    <m/>
    <m/>
    <m/>
    <m/>
    <m/>
    <m/>
    <m/>
    <m/>
    <m/>
    <m/>
    <m/>
    <m/>
    <m/>
    <m/>
    <m/>
    <m/>
    <m/>
    <m/>
    <m/>
    <m/>
    <m/>
    <m/>
    <m/>
    <m/>
    <m/>
    <m/>
    <m/>
    <m/>
    <m/>
    <m/>
    <m/>
    <m/>
    <n v="0"/>
    <n v="0"/>
    <n v="0"/>
    <n v="0"/>
    <n v="0"/>
  </r>
  <r>
    <x v="0"/>
    <x v="8"/>
    <s v="Mejoramiento de la planeación del abastecimiento y confiabilidad del subsector de hidrocarburos a nivel nacional"/>
    <s v="Hidrocarburos"/>
    <s v="No"/>
    <s v="Sí"/>
    <n v="8"/>
    <s v="170-59"/>
    <s v="Fortalecer la planificación de la oferta de hidrocarburos."/>
    <s v="Documentos de planeación estratégica del sector hidrocarburos"/>
    <s v="Documento de planeación preliminar."/>
    <n v="80111620"/>
    <s v="C-2103-1900-2-40301B-2103026-02"/>
    <x v="0"/>
    <s v="170-59 Prestar servicios de apoyo a la gestión para el desarrollo de actividades requeridas en gestión administrativa, documental, correspondencia y demás asuntos administrativos,  de conformidad con las necesidades de la Subdirección de Hidrocarburos."/>
    <s v="Enero "/>
    <s v="Enero "/>
    <s v="Enero "/>
    <n v="11"/>
    <s v="Meses"/>
    <s v="Contratación directa - Prestación de servicios profesionales "/>
    <s v="Propios - 20 - Ingresos corrientes"/>
    <n v="27500000"/>
    <n v="27500000"/>
    <s v="No"/>
    <s v="N/A"/>
    <s v="Ingrid Fernanda Vásquez Méndez"/>
    <s v="Subdirectora de hidrocarburos"/>
    <n v="6012220601"/>
    <s v="ingrid.vasquez@upme.gov.co"/>
    <n v="0"/>
    <n v="0"/>
    <n v="27500000"/>
    <n v="0"/>
    <n v="0"/>
    <n v="2500000"/>
    <n v="0"/>
    <n v="2500000"/>
    <n v="0"/>
    <n v="2500000"/>
    <n v="0"/>
    <n v="2500000"/>
    <n v="0"/>
    <n v="2500000"/>
    <n v="0"/>
    <n v="2500000"/>
    <n v="0"/>
    <n v="2500000"/>
    <n v="0"/>
    <n v="2500000"/>
    <n v="0"/>
    <n v="2500000"/>
    <n v="0"/>
    <n v="5000000"/>
    <n v="27500000"/>
    <n v="27500000"/>
    <n v="0"/>
    <n v="0"/>
    <s v="Prestar servicios de apoyo a la gestión para el desarrollo de actividades requeridas en gestión administrativa, documental, correspondencia y demás asuntos administrativos,  de conformidad con las necesidades de la Subdirección de Hidrocarburos."/>
    <m/>
    <m/>
    <n v="27500000"/>
    <m/>
    <m/>
    <n v="2500000"/>
    <m/>
    <n v="2500000"/>
    <m/>
    <n v="2500000"/>
    <m/>
    <n v="2500000"/>
    <m/>
    <n v="2500000"/>
    <m/>
    <n v="2500000"/>
    <m/>
    <n v="2500000"/>
    <m/>
    <n v="2500000"/>
    <m/>
    <n v="2500000"/>
    <m/>
    <n v="5000000"/>
    <m/>
    <m/>
    <n v="27500000"/>
    <n v="27500000"/>
    <n v="0"/>
    <n v="0"/>
    <n v="65226"/>
    <d v="2026-01-26T00:00:00"/>
    <n v="27500000"/>
    <n v="0"/>
    <n v="55426"/>
    <d v="2026-02-10T00:00:00"/>
    <n v="27500000"/>
    <n v="0"/>
    <n v="0"/>
    <s v="PUENTES BARRERA FREDY ALEXANDER"/>
    <s v="CO1.PCCNTR.9307918"/>
    <m/>
    <m/>
    <m/>
    <n v="27500000"/>
    <m/>
    <m/>
    <m/>
    <n v="1666667"/>
    <n v="1666667"/>
    <m/>
    <n v="2500000"/>
    <n v="2500000"/>
    <m/>
    <m/>
    <m/>
    <m/>
    <m/>
    <m/>
    <m/>
    <m/>
    <m/>
    <m/>
    <m/>
    <m/>
    <m/>
    <m/>
    <m/>
    <m/>
    <m/>
    <m/>
    <m/>
    <m/>
    <m/>
    <m/>
    <m/>
    <m/>
    <n v="27500000"/>
    <n v="4166667"/>
    <n v="4166667"/>
    <n v="23333333"/>
    <n v="0"/>
  </r>
  <r>
    <x v="0"/>
    <x v="9"/>
    <s v="Fortalecimiento de la planeación para el desarrollo minero responsable con los territorios en el marco de la transición energética a nivel nacional"/>
    <s v="Minería"/>
    <s v="Sí"/>
    <s v="Sí"/>
    <n v="68"/>
    <s v="140-1"/>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1 Prestar servicios profesionales para brindar apoyo en la Subdirección de Minería, en el soporte técnico para el análisis de los precios base de los minerales, conforme la metodología establecida."/>
    <s v="Enero "/>
    <s v="Enero "/>
    <s v="Enero "/>
    <n v="1.5"/>
    <s v="Meses"/>
    <s v="Contratación directa - Prestación de servicios profesionales "/>
    <s v="Propios - 21 - Otros recursos de tesorería"/>
    <n v="14250000"/>
    <n v="14250000"/>
    <s v="No"/>
    <s v="N/A"/>
    <s v="Germán Tiberio Ojeda"/>
    <s v="Subdirector de Minería"/>
    <n v="6012220601"/>
    <s v="german.ojeda@upme.gov.co"/>
    <n v="14250000"/>
    <n v="0"/>
    <n v="0"/>
    <n v="5383333"/>
    <n v="0"/>
    <n v="8866667"/>
    <n v="0"/>
    <n v="0"/>
    <n v="0"/>
    <n v="0"/>
    <n v="0"/>
    <n v="0"/>
    <n v="0"/>
    <n v="0"/>
    <n v="0"/>
    <n v="0"/>
    <n v="0"/>
    <n v="0"/>
    <n v="0"/>
    <n v="0"/>
    <n v="0"/>
    <n v="0"/>
    <n v="0"/>
    <n v="0"/>
    <n v="14250000"/>
    <n v="14250000"/>
    <n v="0"/>
    <n v="0"/>
    <s v="Prestar servicios profesionales para brindar apoyo en la Subdirección de Minería, en el soporte técnico para el análisis de los precios base de los minerales, conforme la metodología establecida."/>
    <n v="14250000"/>
    <m/>
    <m/>
    <n v="5383333"/>
    <m/>
    <n v="8866667"/>
    <m/>
    <m/>
    <m/>
    <m/>
    <m/>
    <m/>
    <m/>
    <m/>
    <m/>
    <m/>
    <m/>
    <m/>
    <m/>
    <m/>
    <m/>
    <m/>
    <m/>
    <m/>
    <m/>
    <m/>
    <n v="14250000"/>
    <n v="14250000"/>
    <n v="0"/>
    <n v="0"/>
    <n v="3126"/>
    <d v="2026-01-05T00:00:00"/>
    <n v="14250000"/>
    <n v="0"/>
    <n v="8726"/>
    <d v="2026-01-13T00:00:00"/>
    <n v="14250000"/>
    <n v="0"/>
    <n v="0"/>
    <s v="PIÑEROS GUZMAN ANGIE CAROLINA"/>
    <s v="CO1.PCCNTR.8847048"/>
    <n v="14250000"/>
    <m/>
    <m/>
    <m/>
    <n v="5383333"/>
    <n v="5383333"/>
    <m/>
    <n v="8866667"/>
    <n v="8866667"/>
    <m/>
    <m/>
    <m/>
    <m/>
    <m/>
    <m/>
    <m/>
    <m/>
    <m/>
    <m/>
    <m/>
    <m/>
    <m/>
    <m/>
    <m/>
    <m/>
    <m/>
    <m/>
    <m/>
    <m/>
    <m/>
    <m/>
    <m/>
    <m/>
    <m/>
    <m/>
    <m/>
    <n v="14250000"/>
    <n v="14250000"/>
    <n v="14250000"/>
    <n v="0"/>
    <n v="0"/>
  </r>
  <r>
    <x v="0"/>
    <x v="9"/>
    <s v="Fortalecimiento de la planeación para el desarrollo minero responsable con los territorios en el marco de la transición energética a nivel nacional"/>
    <s v="Minería"/>
    <s v="Sí"/>
    <s v="Sí"/>
    <n v="68"/>
    <s v="140-2"/>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2 Prestar servicios profesionales de apoyo en la Subdirección de Minería, en el soporte técnico para la determinación del precio base de liquidación de regalías, análisis de datos a través de los sistemas de divulgación de información minera."/>
    <s v="Enero "/>
    <s v="Enero "/>
    <s v="Enero "/>
    <n v="11"/>
    <s v="Meses"/>
    <s v="Contratación directa - Prestación de servicios profesionales "/>
    <s v="Propios - 21 - Otros recursos de tesorería"/>
    <n v="30250000"/>
    <n v="30250000"/>
    <s v="No"/>
    <s v="N/A"/>
    <s v="Germán Tiberio Ojeda"/>
    <s v="Subdirector de Minería"/>
    <n v="6012220601"/>
    <s v="german.ojeda@upme.gov.co"/>
    <n v="30250000"/>
    <n v="0"/>
    <n v="0"/>
    <n v="1625085"/>
    <n v="0"/>
    <n v="5416950"/>
    <n v="0"/>
    <n v="5416950"/>
    <n v="0"/>
    <n v="5416950"/>
    <n v="0"/>
    <n v="5416950"/>
    <n v="0"/>
    <n v="5416950"/>
    <n v="0"/>
    <n v="1540165"/>
    <n v="0"/>
    <n v="0"/>
    <n v="0"/>
    <n v="0"/>
    <n v="0"/>
    <n v="0"/>
    <n v="0"/>
    <n v="0"/>
    <n v="30250000"/>
    <n v="30250000"/>
    <n v="0"/>
    <n v="0"/>
    <s v="Prestar servicios profesionales de apoyo en la Subdirección de Minería, en el soporte técnico para la determinación del precio base de liquidación de regalías, análisis de datos a través de los sistemas de divulgación de información minera."/>
    <n v="30250000"/>
    <m/>
    <m/>
    <n v="1625085"/>
    <m/>
    <n v="5416950"/>
    <m/>
    <n v="5416950"/>
    <m/>
    <n v="5416950"/>
    <m/>
    <n v="5416950"/>
    <m/>
    <n v="5416950"/>
    <m/>
    <n v="1540165"/>
    <m/>
    <m/>
    <m/>
    <m/>
    <m/>
    <m/>
    <m/>
    <m/>
    <m/>
    <m/>
    <n v="30250000"/>
    <n v="30250000"/>
    <n v="0"/>
    <n v="0"/>
    <n v="21526"/>
    <d v="2026-01-11T00:00:00"/>
    <n v="30250000"/>
    <n v="0"/>
    <n v="12326"/>
    <d v="2026-01-20T00:00:00"/>
    <n v="30250000"/>
    <n v="0"/>
    <n v="0"/>
    <s v="CASTILLO PEDRAZA MIGUEL ANGEL"/>
    <s v="CO1.PCCNTR.8944748"/>
    <n v="30250000"/>
    <m/>
    <m/>
    <m/>
    <m/>
    <m/>
    <m/>
    <m/>
    <m/>
    <m/>
    <m/>
    <m/>
    <m/>
    <m/>
    <m/>
    <m/>
    <m/>
    <m/>
    <m/>
    <m/>
    <m/>
    <m/>
    <m/>
    <m/>
    <m/>
    <m/>
    <m/>
    <m/>
    <m/>
    <m/>
    <m/>
    <m/>
    <m/>
    <m/>
    <m/>
    <m/>
    <n v="30250000"/>
    <n v="0"/>
    <n v="0"/>
    <n v="30250000"/>
    <n v="0"/>
  </r>
  <r>
    <x v="0"/>
    <x v="9"/>
    <s v="Fortalecimiento de la planeación para el desarrollo minero responsable con los territorios en el marco de la transición energética a nivel nacional"/>
    <s v="Minería"/>
    <s v="Sí"/>
    <s v="Sí"/>
    <n v="17"/>
    <s v="140-3"/>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3 Prestar servicios profesionales orientados a la divulgación, socialización de los procesos y documentos técnicos del sector minero energético, bajo el marco de los objetivos institucionales de la UPME"/>
    <s v="Enero "/>
    <s v="Enero "/>
    <s v="Enero "/>
    <n v="10"/>
    <s v="Meses"/>
    <s v="Contratación directa - Prestación de servicios profesionales "/>
    <s v="Propios - 21 - Otros recursos de tesorería"/>
    <n v="0"/>
    <n v="0"/>
    <s v="No"/>
    <s v="N/A"/>
    <s v="Germán Tiberio Ojeda"/>
    <s v="Subdirector de Minería"/>
    <n v="6012220601"/>
    <s v="german.ojeda@upme.gov.co"/>
    <n v="0"/>
    <n v="0"/>
    <n v="0"/>
    <n v="0"/>
    <n v="0"/>
    <n v="0"/>
    <n v="0"/>
    <n v="0"/>
    <n v="0"/>
    <n v="0"/>
    <n v="0"/>
    <n v="0"/>
    <n v="0"/>
    <n v="0"/>
    <n v="0"/>
    <n v="0"/>
    <n v="0"/>
    <n v="0"/>
    <n v="0"/>
    <n v="0"/>
    <n v="0"/>
    <n v="0"/>
    <n v="20000000"/>
    <n v="20000000"/>
    <n v="20000000"/>
    <n v="20000000"/>
    <n v="-20000000"/>
    <n v="-20000000"/>
    <s v="Prestar servicios profesionales orientados a la divulgación, socialización de los procesos y documentos técnicos del sector minero energético, bajo el marco de los objetivos institucionales de la UPME"/>
    <m/>
    <m/>
    <m/>
    <m/>
    <m/>
    <m/>
    <m/>
    <m/>
    <m/>
    <m/>
    <m/>
    <m/>
    <m/>
    <m/>
    <m/>
    <m/>
    <m/>
    <m/>
    <m/>
    <m/>
    <m/>
    <m/>
    <n v="0"/>
    <n v="0"/>
    <m/>
    <m/>
    <n v="0"/>
    <n v="0"/>
    <n v="0"/>
    <n v="0"/>
    <n v="64526"/>
    <d v="2026-01-24T00:00:00"/>
    <m/>
    <n v="0"/>
    <m/>
    <m/>
    <n v="0"/>
    <n v="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4"/>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4 Prestar servicios ​profesionales de asesoría en los asuntos jurídicos y judiciales de competencia de la UPME, al igual que asesoría en los documentos técnicos, de planeación y servicios de divulgación del sector minero y lo que de ello se derive, en"/>
    <s v="Enero "/>
    <s v="Enero "/>
    <s v="Enero "/>
    <n v="11.5"/>
    <s v="Meses"/>
    <s v="Contratación directa - Prestación de servicios profesionales "/>
    <s v="Propios - 21 - Otros recursos de tesorería"/>
    <n v="19340113"/>
    <n v="19340113"/>
    <s v="No"/>
    <s v="N/A"/>
    <s v="Germán Tiberio Ojeda"/>
    <s v="Subdirector de Minería"/>
    <n v="6012220601"/>
    <s v="german.ojeda@upme.gov.co"/>
    <n v="19340113"/>
    <n v="0"/>
    <n v="0"/>
    <n v="3630000"/>
    <n v="0"/>
    <n v="12100000"/>
    <n v="0"/>
    <n v="3610113"/>
    <n v="0"/>
    <n v="0"/>
    <n v="0"/>
    <n v="0"/>
    <n v="0"/>
    <n v="0"/>
    <n v="0"/>
    <n v="0"/>
    <n v="0"/>
    <n v="0"/>
    <n v="0"/>
    <n v="0"/>
    <n v="0"/>
    <n v="0"/>
    <n v="0"/>
    <n v="0"/>
    <n v="19340113"/>
    <n v="19340113"/>
    <n v="0"/>
    <n v="0"/>
    <s v="Prestar servicios ​profesionales de asesoría en los asuntos jurídicos y judiciales de competencia de la UPME, al igual que asesoría en los documentos técnicos, de planeación y servicios de divulgación del sector minero y lo que de ello se derive, en el ma"/>
    <n v="19340113"/>
    <m/>
    <m/>
    <n v="3630000"/>
    <m/>
    <n v="12100000"/>
    <m/>
    <n v="3610113"/>
    <m/>
    <m/>
    <m/>
    <m/>
    <m/>
    <m/>
    <m/>
    <m/>
    <m/>
    <m/>
    <m/>
    <m/>
    <m/>
    <m/>
    <m/>
    <m/>
    <m/>
    <m/>
    <n v="19340113"/>
    <n v="19340113"/>
    <n v="0"/>
    <n v="0"/>
    <n v="3626"/>
    <d v="2026-01-05T00:00:00"/>
    <n v="19340113"/>
    <n v="0"/>
    <n v="14326"/>
    <d v="2026-01-21T00:00:00"/>
    <n v="19340113"/>
    <n v="0"/>
    <n v="0"/>
    <s v="TOVAR PERILLA CAMILO ANDRES"/>
    <s v="CO1.PCCNTR.8926095"/>
    <n v="19340113"/>
    <m/>
    <m/>
    <m/>
    <m/>
    <m/>
    <m/>
    <m/>
    <m/>
    <m/>
    <m/>
    <m/>
    <m/>
    <m/>
    <m/>
    <m/>
    <m/>
    <m/>
    <m/>
    <m/>
    <m/>
    <m/>
    <m/>
    <m/>
    <m/>
    <m/>
    <m/>
    <m/>
    <m/>
    <m/>
    <m/>
    <m/>
    <m/>
    <m/>
    <m/>
    <m/>
    <n v="19340113"/>
    <n v="0"/>
    <n v="0"/>
    <n v="19340113"/>
    <n v="0"/>
  </r>
  <r>
    <x v="0"/>
    <x v="9"/>
    <s v="Fortalecimiento de la planeación para el desarrollo minero responsable con los territorios en el marco de la transición energética a nivel nacional"/>
    <s v="Minería"/>
    <s v="Sí"/>
    <s v="Sí"/>
    <n v="17"/>
    <s v="140-5"/>
    <s v="Fortalecer la gestión integral de la información de la planeación minera."/>
    <s v="Servicio de Divulgación del Sector Minero Energético"/>
    <s v="Apropiar Insumos para el análisis de Mercado Nacional e internacional de minerales y sus encadenamientos productivos."/>
    <n v="80141607"/>
    <s v="C-2106-1900-12-40302A-2106019-02"/>
    <x v="2"/>
    <s v="140-5 Prestación de los servicios de apoyo logístico para el desarrollo de la estrategia de comunicación y participación con actores nacionales y territoriales, así como para otros espacios interinstitucionales en el marco de la misionalidad de la entidad"/>
    <s v="Enero "/>
    <s v="Enero "/>
    <s v="Enero "/>
    <n v="11"/>
    <s v="Meses"/>
    <s v="Contratación directa"/>
    <s v="Propios - 21 - Otros recursos de tesorería"/>
    <n v="22400000"/>
    <n v="22400000"/>
    <s v="No"/>
    <s v="N/A"/>
    <s v="Germán Tiberio Ojeda"/>
    <s v="Subdirector de Minería"/>
    <n v="6012220601"/>
    <s v="german.ojeda@upme.gov.co"/>
    <n v="0"/>
    <n v="0"/>
    <n v="0"/>
    <n v="0"/>
    <n v="0"/>
    <n v="0"/>
    <n v="0"/>
    <n v="0"/>
    <n v="0"/>
    <n v="0"/>
    <n v="0"/>
    <n v="0"/>
    <n v="0"/>
    <n v="0"/>
    <n v="0"/>
    <n v="0"/>
    <n v="0"/>
    <n v="0"/>
    <n v="0"/>
    <n v="0"/>
    <n v="0"/>
    <n v="0"/>
    <n v="22400000"/>
    <n v="22400000"/>
    <n v="22400000"/>
    <n v="224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22400000"/>
    <n v="22400000"/>
    <m/>
    <m/>
    <n v="22400000"/>
    <n v="22400000"/>
    <n v="0"/>
    <n v="0"/>
    <n v="66326"/>
    <d v="2026-01-20T00:00:00"/>
    <m/>
    <n v="22400000"/>
    <m/>
    <m/>
    <n v="0"/>
    <n v="224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6"/>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6 Prestar servicios profesionales para apoyar a la Subdirección de Minería en asuntos administrativos que contribuyan a la divulgación de la información a través del Sistema de Información Minero Colombiano (SIMCO), así como al soporte misional requer"/>
    <s v="Enero "/>
    <s v="Enero "/>
    <s v="Enero "/>
    <n v="11"/>
    <s v="Meses"/>
    <s v="Contratación directa - Prestación de servicios profesionales "/>
    <s v="Propios - 21 - Otros recursos de tesorería"/>
    <n v="2600000"/>
    <n v="2600000"/>
    <s v="No"/>
    <s v="N/A"/>
    <s v="Germán Tiberio Ojeda"/>
    <s v="Subdirector de Minería"/>
    <n v="6012220601"/>
    <s v="german.ojeda@upme.gov.co"/>
    <n v="2600000"/>
    <n v="0"/>
    <n v="0"/>
    <n v="1200000"/>
    <n v="0"/>
    <n v="1400000"/>
    <n v="0"/>
    <n v="0"/>
    <n v="0"/>
    <n v="0"/>
    <n v="0"/>
    <n v="0"/>
    <n v="0"/>
    <n v="0"/>
    <n v="0"/>
    <n v="0"/>
    <n v="0"/>
    <n v="0"/>
    <n v="0"/>
    <n v="0"/>
    <n v="0"/>
    <n v="0"/>
    <n v="0"/>
    <n v="0"/>
    <n v="2600000"/>
    <n v="26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600000"/>
    <m/>
    <m/>
    <n v="1200000"/>
    <m/>
    <n v="1400000"/>
    <m/>
    <m/>
    <m/>
    <m/>
    <m/>
    <m/>
    <m/>
    <m/>
    <m/>
    <m/>
    <m/>
    <m/>
    <m/>
    <m/>
    <m/>
    <m/>
    <m/>
    <m/>
    <m/>
    <m/>
    <n v="2600000"/>
    <n v="2600000"/>
    <n v="0"/>
    <n v="0"/>
    <n v="3926"/>
    <d v="2026-01-05T00:00:00"/>
    <n v="2600000"/>
    <n v="0"/>
    <n v="15426"/>
    <d v="2026-01-21T00:00:00"/>
    <n v="2600000"/>
    <n v="0"/>
    <n v="0"/>
    <s v="PICO TARRIBA JORDY DAVID"/>
    <s v="CO1.PCCNTR.8943624"/>
    <n v="2600000"/>
    <m/>
    <m/>
    <m/>
    <m/>
    <m/>
    <m/>
    <m/>
    <m/>
    <m/>
    <m/>
    <m/>
    <m/>
    <m/>
    <m/>
    <m/>
    <m/>
    <m/>
    <m/>
    <m/>
    <m/>
    <m/>
    <m/>
    <m/>
    <m/>
    <m/>
    <m/>
    <m/>
    <m/>
    <m/>
    <m/>
    <m/>
    <m/>
    <m/>
    <m/>
    <m/>
    <n v="2600000"/>
    <n v="0"/>
    <n v="0"/>
    <n v="2600000"/>
    <n v="0"/>
  </r>
  <r>
    <x v="0"/>
    <x v="9"/>
    <s v="Fortalecimiento de la planeación para el desarrollo minero responsable con los territorios en el marco de la transición energética a nivel nacional"/>
    <s v="Minería"/>
    <s v="Sí"/>
    <s v="Sí"/>
    <n v="68"/>
    <s v="140-7"/>
    <s v="Fortalecer la gestión integral de la información de la planeación minera."/>
    <s v="Servicio de Divulgación del Sector Minero Energético"/>
    <s v="Apropiar Insumos para el análisis de Mercado Nacional e internacional de minerales y sus encadenamientos productivos."/>
    <n v="80101507"/>
    <s v="C-2106-1900-12-40302A-2106019-02"/>
    <x v="8"/>
    <s v="140-7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100303787"/>
    <n v="100303787"/>
    <s v="No"/>
    <s v="N/A"/>
    <s v="Germán Tiberio Ojeda"/>
    <s v="Subdirector de Minería"/>
    <n v="6012220601"/>
    <s v="german.ojeda@upme.gov.co"/>
    <n v="0"/>
    <n v="0"/>
    <n v="0"/>
    <n v="0"/>
    <n v="0"/>
    <n v="0"/>
    <n v="0"/>
    <n v="0"/>
    <n v="0"/>
    <n v="0"/>
    <n v="0"/>
    <n v="0"/>
    <n v="100303787"/>
    <n v="0"/>
    <n v="0"/>
    <n v="0"/>
    <n v="0"/>
    <n v="100303787"/>
    <n v="0"/>
    <n v="0"/>
    <n v="0"/>
    <n v="0"/>
    <n v="0"/>
    <n v="0"/>
    <n v="100303787"/>
    <n v="100303787"/>
    <n v="0"/>
    <n v="0"/>
    <s v="Desarrollo de nuevos indicadores, analítica y tableros para el SIMCO basados en información sectorial agregando valor a la divulgación de las estadísticas del sector minero"/>
    <m/>
    <m/>
    <m/>
    <m/>
    <m/>
    <m/>
    <m/>
    <m/>
    <m/>
    <m/>
    <m/>
    <m/>
    <n v="100303787"/>
    <m/>
    <m/>
    <m/>
    <m/>
    <n v="100303787"/>
    <m/>
    <m/>
    <m/>
    <m/>
    <m/>
    <m/>
    <m/>
    <m/>
    <n v="100303787"/>
    <n v="100303787"/>
    <n v="0"/>
    <n v="0"/>
    <m/>
    <m/>
    <m/>
    <n v="100303787"/>
    <m/>
    <m/>
    <n v="0"/>
    <n v="100303787"/>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s v="Rad. 20261400038423"/>
    <s v="140-8"/>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x v="9"/>
    <s v="140-8 Prestar los servicios de suscripción ONLINE a Fast Markets MB"/>
    <s v="Febrero"/>
    <s v="Marzo"/>
    <s v="Abril"/>
    <s v="N/A"/>
    <s v="Meses"/>
    <s v="Contratación directa"/>
    <s v="Propios - 21 - Otros recursos de tesorería"/>
    <n v="300000000"/>
    <n v="300000000"/>
    <s v="No"/>
    <s v="N/A"/>
    <s v="Germán Tiberio Ojeda"/>
    <s v="Subdirector de Minería"/>
    <n v="6012220601"/>
    <s v="german.ojeda@upme.gov.co"/>
    <n v="0"/>
    <n v="0"/>
    <n v="0"/>
    <n v="0"/>
    <n v="0"/>
    <n v="0"/>
    <n v="0"/>
    <n v="0"/>
    <n v="0"/>
    <n v="0"/>
    <n v="300000000"/>
    <n v="0"/>
    <n v="0"/>
    <n v="0"/>
    <n v="0"/>
    <n v="300000000"/>
    <n v="0"/>
    <n v="0"/>
    <n v="0"/>
    <n v="0"/>
    <n v="0"/>
    <n v="0"/>
    <n v="0"/>
    <n v="0"/>
    <n v="300000000"/>
    <n v="300000000"/>
    <n v="0"/>
    <n v="0"/>
    <s v="Prestar los servicios de suscripción ONLINE a Fast Markets MB"/>
    <m/>
    <m/>
    <m/>
    <m/>
    <m/>
    <m/>
    <m/>
    <m/>
    <m/>
    <m/>
    <n v="300000000"/>
    <m/>
    <m/>
    <m/>
    <m/>
    <n v="300000000"/>
    <m/>
    <m/>
    <m/>
    <m/>
    <m/>
    <m/>
    <m/>
    <m/>
    <m/>
    <m/>
    <n v="300000000"/>
    <n v="300000000"/>
    <n v="0"/>
    <n v="0"/>
    <n v="69326"/>
    <d v="2026-03-04T00:00:00"/>
    <n v="218356417"/>
    <n v="81643583"/>
    <n v="67126"/>
    <d v="2026-03-31T00:00:00"/>
    <n v="218353200"/>
    <n v="81646800"/>
    <n v="3217"/>
    <s v="EUROMONEY GLOBAL LTD"/>
    <s v="AO-2025-001"/>
    <m/>
    <m/>
    <m/>
    <m/>
    <m/>
    <m/>
    <n v="218353200"/>
    <m/>
    <m/>
    <m/>
    <m/>
    <m/>
    <m/>
    <m/>
    <m/>
    <m/>
    <m/>
    <m/>
    <m/>
    <m/>
    <m/>
    <m/>
    <m/>
    <m/>
    <m/>
    <m/>
    <m/>
    <m/>
    <m/>
    <m/>
    <m/>
    <m/>
    <m/>
    <m/>
    <m/>
    <m/>
    <n v="218353200"/>
    <n v="0"/>
    <n v="0"/>
    <n v="218353200"/>
    <n v="0"/>
  </r>
  <r>
    <x v="0"/>
    <x v="9"/>
    <s v="Fortalecimiento de la planeación para el desarrollo minero responsable con los territorios en el marco de la transición energética a nivel nacional"/>
    <s v="Minería"/>
    <s v="Sí"/>
    <s v="Sí"/>
    <s v="Rad. 20261400038423"/>
    <s v="140-9"/>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x v="9"/>
    <s v="140-9 Realizar la renovación de la suscripción online de ARGUS MEDIA."/>
    <s v="Febrero"/>
    <s v="Marzo"/>
    <s v="Abril"/>
    <s v="N/A"/>
    <s v="Meses"/>
    <s v="Contratación directa"/>
    <s v="Propios - 21 - Otros recursos de tesorería"/>
    <n v="450000000"/>
    <n v="450000000"/>
    <s v="No"/>
    <s v="N/A"/>
    <s v="Germán Tiberio Ojeda"/>
    <s v="Subdirector de Minería"/>
    <n v="6012220601"/>
    <s v="german.ojeda@upme.gov.co"/>
    <n v="0"/>
    <n v="0"/>
    <n v="0"/>
    <n v="0"/>
    <n v="0"/>
    <n v="0"/>
    <n v="450000000"/>
    <n v="0"/>
    <n v="0"/>
    <n v="0"/>
    <n v="0"/>
    <n v="450000000"/>
    <n v="0"/>
    <n v="0"/>
    <n v="0"/>
    <n v="0"/>
    <n v="0"/>
    <n v="0"/>
    <n v="0"/>
    <n v="0"/>
    <n v="0"/>
    <n v="0"/>
    <n v="0"/>
    <n v="0"/>
    <n v="450000000"/>
    <n v="450000000"/>
    <n v="0"/>
    <n v="0"/>
    <s v="Realizar la renovación de la suscripción online de ARGUS MEDIA."/>
    <m/>
    <m/>
    <m/>
    <m/>
    <m/>
    <m/>
    <n v="450000000"/>
    <m/>
    <m/>
    <m/>
    <m/>
    <n v="450000000"/>
    <m/>
    <m/>
    <m/>
    <m/>
    <m/>
    <m/>
    <m/>
    <m/>
    <m/>
    <m/>
    <m/>
    <m/>
    <m/>
    <m/>
    <n v="450000000"/>
    <n v="450000000"/>
    <n v="0"/>
    <n v="0"/>
    <n v="69626"/>
    <d v="2026-03-05T00:00:00"/>
    <n v="376833620"/>
    <n v="73166380"/>
    <n v="67026"/>
    <d v="2026-03-31T00:00:00"/>
    <n v="376820939"/>
    <n v="73179061"/>
    <n v="12681"/>
    <s v="ARGUS MEDIA INC"/>
    <s v="AO-2025-002"/>
    <m/>
    <m/>
    <m/>
    <m/>
    <m/>
    <m/>
    <n v="376820939"/>
    <m/>
    <m/>
    <m/>
    <m/>
    <m/>
    <m/>
    <m/>
    <m/>
    <m/>
    <m/>
    <m/>
    <m/>
    <m/>
    <m/>
    <m/>
    <m/>
    <m/>
    <m/>
    <m/>
    <m/>
    <m/>
    <m/>
    <m/>
    <m/>
    <m/>
    <m/>
    <m/>
    <m/>
    <m/>
    <n v="376820939"/>
    <n v="0"/>
    <n v="0"/>
    <n v="376820939"/>
    <n v="0"/>
  </r>
  <r>
    <x v="0"/>
    <x v="9"/>
    <s v="Fortalecimiento de la planeación para el desarrollo minero responsable con los territorios en el marco de la transición energética a nivel nacional"/>
    <s v="Minería"/>
    <s v="Sí"/>
    <s v="Sí"/>
    <s v="Rad. 20261400038423"/>
    <s v="140-10"/>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x v="9"/>
    <s v="140-10 Renovación de la suscripción ONLINE de Baltic Exchange."/>
    <s v="Septiembre"/>
    <s v="Octubre"/>
    <s v="Noviembre"/>
    <s v="N/A"/>
    <s v="Meses"/>
    <s v="Contratación directa"/>
    <s v="Propios - 21 - Otros recursos de tesorería"/>
    <n v="50000000"/>
    <n v="50000000"/>
    <s v="No"/>
    <s v="N/A"/>
    <s v="Germán Tiberio Ojeda"/>
    <s v="Subdirector de Minería"/>
    <n v="6012220601"/>
    <s v="german.ojeda@upme.gov.co"/>
    <n v="0"/>
    <n v="0"/>
    <n v="0"/>
    <n v="0"/>
    <n v="0"/>
    <n v="0"/>
    <n v="0"/>
    <n v="0"/>
    <n v="0"/>
    <n v="0"/>
    <n v="0"/>
    <n v="0"/>
    <n v="0"/>
    <n v="0"/>
    <n v="0"/>
    <n v="0"/>
    <n v="0"/>
    <n v="0"/>
    <n v="0"/>
    <n v="0"/>
    <n v="50000000"/>
    <n v="0"/>
    <n v="0"/>
    <n v="50000000"/>
    <n v="50000000"/>
    <n v="50000000"/>
    <n v="0"/>
    <n v="0"/>
    <s v="Renovación de la suscripción ONLINE de Baltic Exchange."/>
    <m/>
    <m/>
    <m/>
    <m/>
    <m/>
    <m/>
    <m/>
    <m/>
    <m/>
    <m/>
    <m/>
    <m/>
    <m/>
    <m/>
    <m/>
    <m/>
    <m/>
    <m/>
    <m/>
    <m/>
    <n v="50000000"/>
    <m/>
    <m/>
    <n v="50000000"/>
    <m/>
    <m/>
    <n v="50000000"/>
    <n v="50000000"/>
    <n v="0"/>
    <n v="0"/>
    <m/>
    <m/>
    <m/>
    <n v="50000000"/>
    <m/>
    <m/>
    <n v="0"/>
    <n v="50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23"/>
    <s v="140-11"/>
    <s v="Fortalecer la gestión integral de la información de la planeación minera."/>
    <s v="Servicio de Divulgación del Sector Minero Energético"/>
    <s v="Apropiar Insumos para el análisis de Mercado Nacional e internacional de minerales y sus encadenamientos productivos."/>
    <s v="43201800;43233405;43212201"/>
    <s v="C-2106-1900-12-40302A-2106019-02"/>
    <x v="1"/>
    <s v="140-1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20000000"/>
    <n v="120000000"/>
    <s v="No"/>
    <s v="N/A"/>
    <s v="Germán Tiberio Ojeda"/>
    <s v="Subdirector de Minería"/>
    <n v="6012220601"/>
    <s v="german.ojeda@upme.gov.co"/>
    <n v="0"/>
    <n v="0"/>
    <n v="0"/>
    <n v="0"/>
    <n v="0"/>
    <n v="0"/>
    <n v="120000000"/>
    <n v="0"/>
    <n v="0"/>
    <n v="0"/>
    <n v="0"/>
    <n v="120000000"/>
    <n v="0"/>
    <n v="0"/>
    <n v="0"/>
    <n v="0"/>
    <n v="0"/>
    <n v="0"/>
    <n v="0"/>
    <n v="0"/>
    <n v="0"/>
    <n v="0"/>
    <n v="0"/>
    <n v="0"/>
    <n v="120000000"/>
    <n v="120000000"/>
    <n v="0"/>
    <n v="0"/>
    <s v="Adquirir el licenciamiento por suscripción para Plataforma de virtualización y almacenamiento en nube incluyendo la adquisición del hardware para Computación y Storage que soporta esta solución de Hiperconvergencia."/>
    <m/>
    <m/>
    <m/>
    <m/>
    <m/>
    <m/>
    <n v="120000000"/>
    <m/>
    <m/>
    <m/>
    <m/>
    <n v="120000000"/>
    <m/>
    <m/>
    <m/>
    <m/>
    <m/>
    <m/>
    <m/>
    <m/>
    <m/>
    <m/>
    <m/>
    <m/>
    <m/>
    <m/>
    <n v="120000000"/>
    <n v="120000000"/>
    <n v="0"/>
    <n v="0"/>
    <m/>
    <m/>
    <m/>
    <n v="120000000"/>
    <m/>
    <m/>
    <n v="0"/>
    <n v="120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12"/>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12 Prestar servicios profesionales de apoyo a la Subdirección de Minería para la elaboración de informes asociados a aspectos técnicos, estudios y divulgación de la información del sector minero."/>
    <s v="Enero "/>
    <s v="Enero "/>
    <s v="Enero "/>
    <n v="11"/>
    <s v="Meses"/>
    <s v="Contratación directa - Prestación de servicios profesionales "/>
    <s v="Propios - 21 - Otros recursos de tesorería"/>
    <n v="5950000"/>
    <n v="5950000"/>
    <s v="No"/>
    <s v="N/A"/>
    <s v="Germán Tiberio Ojeda"/>
    <s v="Subdirector de Minería"/>
    <n v="6012220601"/>
    <s v="german.ojeda@upme.gov.co"/>
    <n v="5950000"/>
    <n v="0"/>
    <n v="0"/>
    <n v="0"/>
    <n v="0"/>
    <n v="4950000"/>
    <n v="0"/>
    <n v="1000000"/>
    <n v="0"/>
    <n v="0"/>
    <n v="0"/>
    <n v="0"/>
    <n v="0"/>
    <n v="0"/>
    <n v="0"/>
    <n v="0"/>
    <n v="0"/>
    <n v="0"/>
    <n v="0"/>
    <n v="0"/>
    <n v="0"/>
    <n v="0"/>
    <n v="0"/>
    <n v="0"/>
    <n v="5950000"/>
    <n v="5950000"/>
    <n v="0"/>
    <n v="0"/>
    <s v="Prestar servicios profesionales de apoyo a la Subdirección de Minería para la elaboración de informes asociados a aspectos técnicos, estudios y divulgación de la información del sector minero."/>
    <n v="5950000"/>
    <m/>
    <m/>
    <m/>
    <m/>
    <n v="4950000"/>
    <m/>
    <n v="1000000"/>
    <m/>
    <m/>
    <m/>
    <m/>
    <m/>
    <m/>
    <m/>
    <m/>
    <m/>
    <m/>
    <m/>
    <m/>
    <m/>
    <m/>
    <m/>
    <m/>
    <m/>
    <m/>
    <n v="5950000"/>
    <n v="5950000"/>
    <n v="0"/>
    <n v="0"/>
    <n v="33126"/>
    <d v="2026-01-15T00:00:00"/>
    <n v="5950000"/>
    <n v="0"/>
    <n v="35426"/>
    <d v="2026-01-30T00:00:00"/>
    <n v="5950000"/>
    <n v="0"/>
    <n v="0"/>
    <s v="RANGEL MAYORGA LIBIA PASTORA"/>
    <s v="CO1.PCCNTR.9197584"/>
    <n v="5950000"/>
    <m/>
    <m/>
    <m/>
    <m/>
    <m/>
    <m/>
    <n v="2750000"/>
    <n v="2750000"/>
    <m/>
    <n v="3200000"/>
    <n v="3200000"/>
    <m/>
    <m/>
    <m/>
    <m/>
    <m/>
    <m/>
    <m/>
    <m/>
    <m/>
    <m/>
    <m/>
    <m/>
    <m/>
    <m/>
    <m/>
    <m/>
    <m/>
    <m/>
    <m/>
    <m/>
    <m/>
    <m/>
    <m/>
    <m/>
    <n v="5950000"/>
    <n v="5950000"/>
    <n v="5950000"/>
    <n v="0"/>
    <n v="0"/>
  </r>
  <r>
    <x v="0"/>
    <x v="9"/>
    <s v="Fortalecimiento de la planeación para el desarrollo minero responsable con los territorios en el marco de la transición energética a nivel nacional"/>
    <s v="Minería"/>
    <s v="Sí"/>
    <s v="Sí"/>
    <n v="17"/>
    <s v="140-13"/>
    <s v="Fortalecer la gestión integral de la información de la planeación minera."/>
    <s v="Servicio de Divulgación del Sector Minero Energético"/>
    <s v="Apropiar insumos para el análisis de Mercado Internacional de minerales y sus tendencias a largo plazo."/>
    <n v="80141607"/>
    <s v="C-2106-1900-12-40302A-2106019-02"/>
    <x v="2"/>
    <s v="140-13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22800000"/>
    <n v="22800000"/>
    <s v="No"/>
    <s v="N/A"/>
    <s v="Germán Tiberio Ojeda"/>
    <s v="Subdirector de Minería"/>
    <n v="6012220601"/>
    <s v="german.ojeda@upme.gov.co"/>
    <n v="0"/>
    <n v="0"/>
    <n v="0"/>
    <n v="0"/>
    <n v="0"/>
    <n v="0"/>
    <n v="0"/>
    <n v="0"/>
    <n v="0"/>
    <n v="0"/>
    <n v="0"/>
    <n v="0"/>
    <n v="0"/>
    <n v="0"/>
    <n v="0"/>
    <n v="0"/>
    <n v="0"/>
    <n v="0"/>
    <n v="0"/>
    <n v="0"/>
    <n v="0"/>
    <n v="0"/>
    <n v="22800000"/>
    <n v="22800000"/>
    <n v="22800000"/>
    <n v="228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22800000"/>
    <n v="22800000"/>
    <m/>
    <m/>
    <n v="22800000"/>
    <n v="22800000"/>
    <n v="0"/>
    <n v="0"/>
    <n v="66326"/>
    <d v="2026-01-20T00:00:00"/>
    <m/>
    <n v="22800000"/>
    <m/>
    <m/>
    <n v="0"/>
    <n v="228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14"/>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x v="0"/>
    <s v="140-14 Prestar servicios profesionales de apoyo a la Subdirección de Minería en los aspectos técnicos asociados al cumplimiento de su misionalidad, así como en el acompañamiento en las actividades de divulgación, planeación e investigación del sector mine"/>
    <s v="Enero "/>
    <s v="Enero "/>
    <s v="Enero "/>
    <n v="11"/>
    <s v="Meses"/>
    <s v="Contratación directa - Prestación de servicios profesionales "/>
    <s v="Propios - 21 - Otros recursos de tesorería"/>
    <n v="12388961"/>
    <n v="12388961"/>
    <s v="No"/>
    <s v="N/A"/>
    <s v="Germán Tiberio Ojeda"/>
    <s v="Subdirector de Minería"/>
    <n v="6012220601"/>
    <s v="german.ojeda@upme.gov.co"/>
    <n v="12388961"/>
    <n v="0"/>
    <n v="0"/>
    <n v="5666667"/>
    <n v="0"/>
    <n v="6722294"/>
    <n v="0"/>
    <n v="0"/>
    <n v="0"/>
    <n v="0"/>
    <n v="0"/>
    <n v="0"/>
    <n v="0"/>
    <n v="0"/>
    <n v="0"/>
    <n v="0"/>
    <n v="0"/>
    <n v="0"/>
    <n v="0"/>
    <n v="0"/>
    <n v="0"/>
    <n v="0"/>
    <n v="0"/>
    <n v="0"/>
    <n v="12388961"/>
    <n v="12388961"/>
    <n v="0"/>
    <n v="0"/>
    <s v="Prestar servicios profesionales de apoyo a la Subdirección de Minería en los aspectos técnicos asociados al cumplimiento de su misionalidad, así como en el acompañamiento en las actividades de divulgación, planeación e investigación del sector minero."/>
    <n v="12388961"/>
    <m/>
    <m/>
    <n v="5666667"/>
    <m/>
    <n v="6722294"/>
    <m/>
    <m/>
    <m/>
    <m/>
    <m/>
    <m/>
    <m/>
    <m/>
    <m/>
    <m/>
    <m/>
    <m/>
    <m/>
    <m/>
    <m/>
    <m/>
    <m/>
    <m/>
    <m/>
    <m/>
    <n v="12388961"/>
    <n v="12388961"/>
    <n v="0"/>
    <n v="0"/>
    <n v="4026"/>
    <d v="2026-01-05T00:00:00"/>
    <n v="12388961"/>
    <n v="0"/>
    <n v="8826"/>
    <d v="2026-01-13T00:00:00"/>
    <n v="12388961"/>
    <n v="0"/>
    <n v="0"/>
    <s v="MORENO LOMBANA LUISA FERNANDA"/>
    <s v="CO1.PCCNTR.8847108"/>
    <n v="12388961"/>
    <m/>
    <m/>
    <m/>
    <m/>
    <m/>
    <m/>
    <n v="6722295"/>
    <n v="6722295"/>
    <m/>
    <m/>
    <m/>
    <m/>
    <m/>
    <m/>
    <m/>
    <m/>
    <m/>
    <m/>
    <m/>
    <m/>
    <m/>
    <m/>
    <m/>
    <m/>
    <m/>
    <m/>
    <m/>
    <m/>
    <m/>
    <m/>
    <m/>
    <m/>
    <m/>
    <m/>
    <m/>
    <n v="12388961"/>
    <n v="6722295"/>
    <n v="6722295"/>
    <n v="5666666"/>
    <n v="0"/>
  </r>
  <r>
    <x v="0"/>
    <x v="9"/>
    <s v="Fortalecimiento de la planeación para el desarrollo minero responsable con los territorios en el marco de la transición energética a nivel nacional"/>
    <s v="Minería"/>
    <s v="Sí"/>
    <s v="Sí"/>
    <n v="68"/>
    <s v="140-15"/>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x v="0"/>
    <s v="140-15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1 - Otros recursos de tesorería"/>
    <n v="53775813"/>
    <n v="53775813"/>
    <s v="No"/>
    <s v="N/A"/>
    <s v="Germán Tiberio Ojeda"/>
    <s v="Subdirector de Minería"/>
    <n v="6012220601"/>
    <s v="german.ojeda@upme.gov.co"/>
    <n v="53775813"/>
    <n v="0"/>
    <n v="0"/>
    <n v="3300000"/>
    <n v="0"/>
    <n v="11000000"/>
    <n v="0"/>
    <n v="11000000"/>
    <n v="0"/>
    <n v="11000000"/>
    <n v="0"/>
    <n v="11000000"/>
    <n v="0"/>
    <n v="6475813"/>
    <n v="0"/>
    <n v="0"/>
    <n v="0"/>
    <n v="0"/>
    <n v="0"/>
    <n v="0"/>
    <n v="0"/>
    <n v="0"/>
    <n v="0"/>
    <n v="0"/>
    <n v="53775813"/>
    <n v="53775813"/>
    <n v="0"/>
    <n v="0"/>
    <s v="Prestar servicios profesionales de apoyo a la Subdirección de Minería en los asuntos relacionados con el cumplimiento de su misionalidad, así como en el acompañamiento en las actividades de divulgación, planeación e investigación del sector minero."/>
    <n v="53775813"/>
    <m/>
    <m/>
    <n v="3300000"/>
    <m/>
    <n v="11000000"/>
    <m/>
    <n v="11000000"/>
    <m/>
    <n v="11000000"/>
    <m/>
    <n v="11000000"/>
    <m/>
    <n v="6475813"/>
    <m/>
    <m/>
    <m/>
    <m/>
    <m/>
    <m/>
    <m/>
    <m/>
    <m/>
    <m/>
    <m/>
    <m/>
    <n v="53775813"/>
    <n v="53775813"/>
    <n v="0"/>
    <n v="0"/>
    <n v="4626"/>
    <d v="2026-01-05T00:00:00"/>
    <n v="53775813"/>
    <n v="0"/>
    <n v="13226"/>
    <d v="2026-01-20T00:00:00"/>
    <n v="53775813"/>
    <n v="0"/>
    <n v="0"/>
    <s v="HERNANDEZ MARIN CRISTHIAN OCTAVIO"/>
    <s v="CO1.PCCNTR.8960645"/>
    <n v="53775813"/>
    <m/>
    <m/>
    <m/>
    <n v="3666667"/>
    <n v="3666667"/>
    <m/>
    <n v="11000000"/>
    <n v="11000000"/>
    <m/>
    <n v="11000000"/>
    <n v="11000000"/>
    <m/>
    <m/>
    <m/>
    <m/>
    <m/>
    <m/>
    <m/>
    <m/>
    <m/>
    <m/>
    <m/>
    <m/>
    <m/>
    <m/>
    <m/>
    <m/>
    <m/>
    <m/>
    <m/>
    <m/>
    <m/>
    <m/>
    <m/>
    <m/>
    <n v="53775813"/>
    <n v="25666667"/>
    <n v="25666667"/>
    <n v="28109146"/>
    <n v="0"/>
  </r>
  <r>
    <x v="0"/>
    <x v="9"/>
    <s v="Fortalecimiento de la planeación para el desarrollo minero responsable con los territorios en el marco de la transición energética a nivel nacional"/>
    <s v="Minería"/>
    <s v="Sí"/>
    <s v="Sí"/>
    <n v="68"/>
    <s v="140-16"/>
    <s v="Fortalecer la gestión integral de la información de la planeación minera."/>
    <s v="Servicio de Divulgación del Sector Minero Energético"/>
    <s v="Apropiar insumos para el análisis de Mercado Internacional de minerales y sus tendencias a largo plazo."/>
    <n v="80101507"/>
    <s v="C-2106-1900-12-40302A-2106019-02"/>
    <x v="8"/>
    <s v="140-16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129631439"/>
    <n v="129631439"/>
    <s v="No"/>
    <s v="N/A"/>
    <s v="Germán Tiberio Ojeda"/>
    <s v="Subdirector de Minería"/>
    <n v="6012220601"/>
    <s v="german.ojeda@upme.gov.co"/>
    <n v="0"/>
    <n v="0"/>
    <n v="0"/>
    <n v="0"/>
    <n v="0"/>
    <n v="0"/>
    <n v="0"/>
    <n v="0"/>
    <n v="0"/>
    <n v="0"/>
    <n v="0"/>
    <n v="0"/>
    <n v="129631439"/>
    <n v="0"/>
    <n v="0"/>
    <n v="0"/>
    <n v="0"/>
    <n v="25238702"/>
    <n v="0"/>
    <n v="0"/>
    <n v="0"/>
    <n v="104392737"/>
    <n v="0"/>
    <n v="0"/>
    <n v="129631439"/>
    <n v="129631439"/>
    <n v="0"/>
    <n v="0"/>
    <s v="Desarrollo de nuevos indicadores, analítica y tableros para el SIMCO basados en información sectorial agregando valor a la divulgación de las estadísticas del sector minero"/>
    <m/>
    <m/>
    <m/>
    <m/>
    <m/>
    <m/>
    <m/>
    <m/>
    <m/>
    <m/>
    <m/>
    <m/>
    <n v="129631439"/>
    <m/>
    <m/>
    <m/>
    <m/>
    <n v="25238702"/>
    <m/>
    <m/>
    <m/>
    <n v="104392737"/>
    <m/>
    <m/>
    <m/>
    <m/>
    <n v="129631439"/>
    <n v="129631439"/>
    <n v="0"/>
    <n v="0"/>
    <m/>
    <m/>
    <m/>
    <n v="129631439"/>
    <m/>
    <m/>
    <n v="0"/>
    <n v="129631439"/>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17"/>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x v="0"/>
    <s v="140-17 Prestar servicios profesionales para apoyar a la Subdirección de Minería en asuntos administrativos que contribuyan a la divulgación de la información a través del Sistema de Información Minero Colombiano (SIMCO), así como al soporte misional reque"/>
    <s v="Enero "/>
    <s v="Enero "/>
    <s v="Enero "/>
    <n v="11"/>
    <s v="Meses"/>
    <s v="Contratación directa - Prestación de servicios profesionales "/>
    <s v="Propios - 21 - Otros recursos de tesorería"/>
    <n v="21900000"/>
    <n v="21900000"/>
    <s v="No"/>
    <s v="N/A"/>
    <s v="Germán Tiberio Ojeda"/>
    <s v="Subdirector de Minería"/>
    <n v="6012220601"/>
    <s v="german.ojeda@upme.gov.co"/>
    <n v="21900000"/>
    <n v="0"/>
    <n v="0"/>
    <n v="0"/>
    <n v="0"/>
    <n v="3100000"/>
    <n v="0"/>
    <n v="4500000"/>
    <n v="0"/>
    <n v="4500000"/>
    <n v="0"/>
    <n v="4500000"/>
    <n v="0"/>
    <n v="4500000"/>
    <n v="0"/>
    <n v="800000"/>
    <n v="0"/>
    <n v="0"/>
    <n v="0"/>
    <n v="0"/>
    <n v="0"/>
    <n v="0"/>
    <n v="0"/>
    <n v="0"/>
    <n v="21900000"/>
    <n v="219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1900000"/>
    <m/>
    <m/>
    <m/>
    <m/>
    <n v="3100000"/>
    <m/>
    <n v="4500000"/>
    <m/>
    <n v="4500000"/>
    <m/>
    <n v="4500000"/>
    <m/>
    <n v="4500000"/>
    <m/>
    <n v="800000"/>
    <m/>
    <m/>
    <m/>
    <m/>
    <m/>
    <m/>
    <m/>
    <m/>
    <m/>
    <m/>
    <n v="21900000"/>
    <n v="21900000"/>
    <n v="0"/>
    <n v="0"/>
    <n v="3926"/>
    <d v="2026-01-05T00:00:00"/>
    <n v="21900000"/>
    <n v="0"/>
    <n v="15426"/>
    <d v="2026-01-21T00:00:00"/>
    <n v="21900000"/>
    <n v="0"/>
    <n v="0"/>
    <s v="PICO TARRIBA JORDY DAVID"/>
    <s v="CO1.PCCNTR.8943624"/>
    <n v="21900000"/>
    <m/>
    <m/>
    <m/>
    <m/>
    <m/>
    <m/>
    <n v="4500000"/>
    <n v="4500000"/>
    <m/>
    <n v="4500000"/>
    <n v="4500000"/>
    <m/>
    <m/>
    <m/>
    <m/>
    <m/>
    <m/>
    <m/>
    <m/>
    <m/>
    <m/>
    <m/>
    <m/>
    <m/>
    <m/>
    <m/>
    <m/>
    <m/>
    <m/>
    <m/>
    <m/>
    <m/>
    <m/>
    <m/>
    <m/>
    <n v="21900000"/>
    <n v="9000000"/>
    <n v="9000000"/>
    <n v="12900000"/>
    <n v="0"/>
  </r>
  <r>
    <x v="0"/>
    <x v="9"/>
    <s v="Fortalecimiento de la planeación para el desarrollo minero responsable con los territorios en el marco de la transición energética a nivel nacional"/>
    <s v="Minería"/>
    <s v="Sí"/>
    <s v="Sí"/>
    <n v="68"/>
    <s v="140-18"/>
    <s v="Fortalecer la gestión integral de la información de la planeación minera."/>
    <s v="Servicio de Divulgación del Sector Minero Energético"/>
    <s v="Desarrollar herramientas para el análisis, proyección y divulgación de la información minera."/>
    <n v="80101507"/>
    <s v="C-2106-1900-12-40302A-2106019-02"/>
    <x v="8"/>
    <s v="140-18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79750000"/>
    <n v="79750000"/>
    <s v="No"/>
    <s v="N/A"/>
    <s v="Germán Tiberio Ojeda"/>
    <s v="Subdirector de Minería"/>
    <n v="6012220601"/>
    <s v="german.ojeda@upme.gov.co"/>
    <n v="0"/>
    <n v="0"/>
    <n v="0"/>
    <n v="0"/>
    <n v="0"/>
    <n v="0"/>
    <n v="0"/>
    <n v="0"/>
    <n v="0"/>
    <n v="0"/>
    <n v="0"/>
    <n v="0"/>
    <n v="79750000"/>
    <n v="0"/>
    <n v="0"/>
    <n v="0"/>
    <n v="0"/>
    <n v="0"/>
    <n v="0"/>
    <n v="0"/>
    <n v="0"/>
    <n v="50477404"/>
    <n v="0"/>
    <n v="29272596"/>
    <n v="79750000"/>
    <n v="79750000"/>
    <n v="0"/>
    <n v="0"/>
    <s v="Desarrollo de nuevos indicadores, analítica y tableros para el SIMCO basados en información sectorial agregando valor a la divulgación de las estadísticas del sector minero"/>
    <m/>
    <m/>
    <m/>
    <m/>
    <m/>
    <m/>
    <m/>
    <m/>
    <m/>
    <m/>
    <m/>
    <m/>
    <n v="79750000"/>
    <m/>
    <m/>
    <m/>
    <m/>
    <m/>
    <m/>
    <m/>
    <m/>
    <n v="50477404"/>
    <m/>
    <n v="29272596"/>
    <m/>
    <m/>
    <n v="79750000"/>
    <n v="79750000"/>
    <n v="0"/>
    <n v="0"/>
    <m/>
    <m/>
    <m/>
    <n v="79750000"/>
    <m/>
    <m/>
    <n v="0"/>
    <n v="7975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19"/>
    <s v="Fortalecer la gestión integral de la información de la planeación minera."/>
    <s v="Servicio de Divulgación del Sector Minero Energético"/>
    <s v="Desarrollar herramientas para el análisis, proyección y divulgación de la información minera."/>
    <n v="80111620"/>
    <s v="C-2106-1900-12-40302A-2106019-02"/>
    <x v="0"/>
    <s v="140-19 Prestar servicios profesionales de apoyo a la Subdirección de Minería, en la visibilización de la industria minera a través de los sistemas de divulgación de información minera y la entrega de conocimiento al sector."/>
    <s v="Enero "/>
    <s v="Enero "/>
    <s v="Enero "/>
    <n v="11"/>
    <s v="Meses"/>
    <s v="Contratación directa - Prestación de servicios profesionales "/>
    <s v="Propios - 21 - Otros recursos de tesorería"/>
    <n v="10250000"/>
    <n v="10250000"/>
    <s v="No"/>
    <s v="N/A"/>
    <s v="Germán Tiberio Ojeda"/>
    <s v="Subdirector de Minería"/>
    <n v="6012220601"/>
    <s v="german.ojeda@upme.gov.co"/>
    <n v="10250000"/>
    <n v="0"/>
    <n v="0"/>
    <n v="1444520"/>
    <n v="0"/>
    <n v="5416950"/>
    <n v="0"/>
    <n v="3388530"/>
    <n v="0"/>
    <n v="0"/>
    <n v="0"/>
    <n v="0"/>
    <n v="0"/>
    <n v="0"/>
    <n v="0"/>
    <n v="0"/>
    <n v="0"/>
    <n v="0"/>
    <n v="0"/>
    <n v="0"/>
    <n v="0"/>
    <n v="0"/>
    <n v="0"/>
    <n v="0"/>
    <n v="10250000"/>
    <n v="10250000"/>
    <n v="0"/>
    <n v="0"/>
    <s v="Prestar servicios profesionales de apoyo a la Subdirección de Minería, en la visibilización de la industria minera a través de los sistemas de divulgación de información minera y la entrega de conocimiento al sector."/>
    <n v="10250000"/>
    <m/>
    <m/>
    <n v="1444520"/>
    <m/>
    <n v="5416950"/>
    <m/>
    <n v="3388530"/>
    <m/>
    <m/>
    <m/>
    <m/>
    <m/>
    <m/>
    <m/>
    <m/>
    <m/>
    <m/>
    <m/>
    <m/>
    <m/>
    <m/>
    <m/>
    <m/>
    <m/>
    <m/>
    <n v="10250000"/>
    <n v="10250000"/>
    <n v="0"/>
    <n v="0"/>
    <n v="18726"/>
    <d v="2026-01-11T00:00:00"/>
    <n v="10250000"/>
    <n v="0"/>
    <n v="14926"/>
    <d v="2026-01-21T00:00:00"/>
    <n v="10250000"/>
    <n v="0"/>
    <n v="0"/>
    <s v="RODRIGUEZ PEDRAZA KAREN MAYELI"/>
    <s v="??"/>
    <n v="10250000"/>
    <m/>
    <m/>
    <m/>
    <m/>
    <m/>
    <m/>
    <n v="5416950"/>
    <n v="5416950"/>
    <m/>
    <m/>
    <m/>
    <m/>
    <m/>
    <m/>
    <m/>
    <m/>
    <m/>
    <m/>
    <m/>
    <m/>
    <m/>
    <m/>
    <m/>
    <m/>
    <m/>
    <m/>
    <m/>
    <m/>
    <m/>
    <m/>
    <m/>
    <m/>
    <m/>
    <m/>
    <m/>
    <n v="10250000"/>
    <n v="5416950"/>
    <n v="5416950"/>
    <n v="4833050"/>
    <n v="0"/>
  </r>
  <r>
    <x v="0"/>
    <x v="9"/>
    <s v="Fortalecimiento de la planeación para el desarrollo minero responsable con los territorios en el marco de la transición energética a nivel nacional"/>
    <s v="Minería"/>
    <s v="Sí"/>
    <s v="Sí"/>
    <n v="17"/>
    <s v="140-20"/>
    <s v="Ampliar el conocimiento de los encadenamientos productivos asociados a la actividad minera por parte de los actores del sector."/>
    <s v="Documentos de Investigación"/>
    <s v="Resultados análisis de información."/>
    <n v="81121503"/>
    <s v="C-2106-1900-12-40302A-2106002-02"/>
    <x v="6"/>
    <s v="140-20  Elaborar los balances oferta utilización de productos mineros y la cuenta de producción y generación del ingreso en versión provisional para la operación estadística cuenta satélite de minería - CSM, en el marco del modelo genérico del proceso est"/>
    <s v="Enero "/>
    <s v="Enero "/>
    <s v="Enero "/>
    <n v="5"/>
    <s v="Meses"/>
    <s v="Contratación directa - Contratos interadministrativos"/>
    <s v="Propios - 21 - Otros recursos de tesorería"/>
    <n v="24750000"/>
    <n v="24750000"/>
    <s v="No"/>
    <s v="N/A"/>
    <s v="Germán Tiberio Ojeda"/>
    <s v="Subdirector de Minería"/>
    <n v="6012220601"/>
    <s v="german.ojeda@upme.gov.co"/>
    <n v="0"/>
    <n v="0"/>
    <n v="0"/>
    <n v="0"/>
    <n v="0"/>
    <n v="0"/>
    <n v="0"/>
    <n v="0"/>
    <n v="0"/>
    <n v="0"/>
    <n v="0"/>
    <n v="0"/>
    <n v="0"/>
    <n v="0"/>
    <n v="0"/>
    <n v="0"/>
    <n v="0"/>
    <n v="0"/>
    <n v="0"/>
    <n v="0"/>
    <n v="0"/>
    <n v="0"/>
    <n v="24750000"/>
    <n v="24750000"/>
    <n v="24750000"/>
    <n v="24750000"/>
    <n v="0"/>
    <n v="0"/>
    <s v=" Elaborar los balances oferta utilización de productos mineros y la cuenta de producción y generación del ingreso en versión provisional para la operación estadística cuenta satélite de minería - CSM, en el marco del modelo genérico del proceso estadístic"/>
    <m/>
    <m/>
    <m/>
    <m/>
    <m/>
    <m/>
    <m/>
    <m/>
    <m/>
    <m/>
    <m/>
    <m/>
    <m/>
    <m/>
    <m/>
    <m/>
    <m/>
    <m/>
    <m/>
    <m/>
    <m/>
    <m/>
    <n v="24750000"/>
    <n v="24750000"/>
    <m/>
    <m/>
    <n v="24750000"/>
    <n v="24750000"/>
    <n v="0"/>
    <n v="0"/>
    <n v="68626"/>
    <d v="2026-01-30T00:00:00"/>
    <m/>
    <n v="24750000"/>
    <m/>
    <m/>
    <n v="0"/>
    <n v="2475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s v="Radicado 20261400019863"/>
    <s v="140-21"/>
    <s v="Ampliar el conocimiento de los encadenamientos productivos asociados a la actividad minera por parte de los actores del sector."/>
    <s v="Documentos de Investigación"/>
    <s v="Resultados análisis de información."/>
    <n v="80111620"/>
    <s v="C-2106-1900-12-40302A-2106002-02"/>
    <x v="0"/>
    <s v="140-21 Prestar servicios profesionales para brindar apoyo en la Subdirección de Minería, en la elaboración de estudios técnicos asociados a la actividad minera y documentos de investigación."/>
    <s v="Enero "/>
    <s v="Enero "/>
    <s v="Enero "/>
    <n v="8"/>
    <s v="Meses"/>
    <s v="Contratación directa - Prestación de servicios profesionales "/>
    <s v="Propios - 21 - Otros recursos de tesorería"/>
    <n v="8600000"/>
    <n v="8600000"/>
    <s v="No"/>
    <s v="N/A"/>
    <s v="Germán Tiberio Ojeda"/>
    <s v="Subdirector de Minería"/>
    <n v="6012220601"/>
    <s v="german.ojeda@upme.gov.co"/>
    <n v="0"/>
    <n v="0"/>
    <n v="8600000"/>
    <n v="0"/>
    <n v="0"/>
    <n v="4837500"/>
    <n v="0"/>
    <n v="3762500"/>
    <n v="0"/>
    <n v="0"/>
    <n v="0"/>
    <n v="0"/>
    <n v="0"/>
    <n v="0"/>
    <n v="0"/>
    <n v="0"/>
    <n v="0"/>
    <n v="0"/>
    <n v="0"/>
    <n v="0"/>
    <n v="0"/>
    <n v="0"/>
    <n v="0"/>
    <n v="0"/>
    <n v="8600000"/>
    <n v="8600000"/>
    <n v="0"/>
    <n v="0"/>
    <s v="Prestar servicios profesionales para brindar apoyo en la Subdirección de Minería, en la elaboración de estudios técnicos asociados a la actividad minera y documentos de investigación."/>
    <m/>
    <m/>
    <n v="8600000"/>
    <m/>
    <m/>
    <n v="4837500"/>
    <m/>
    <n v="3762500"/>
    <m/>
    <m/>
    <m/>
    <m/>
    <m/>
    <m/>
    <m/>
    <m/>
    <m/>
    <m/>
    <m/>
    <m/>
    <m/>
    <m/>
    <m/>
    <m/>
    <m/>
    <m/>
    <n v="8600000"/>
    <n v="8600000"/>
    <n v="0"/>
    <n v="0"/>
    <n v="46826"/>
    <d v="2026-01-19T00:00:00"/>
    <n v="8600000"/>
    <n v="0"/>
    <n v="37026"/>
    <d v="2026-02-02T00:00:00"/>
    <n v="8600000"/>
    <n v="0"/>
    <n v="0"/>
    <s v="CORREALES ROJAS LUCIO ALFREDO"/>
    <s v="CO1.PCCNTR.9158755"/>
    <m/>
    <m/>
    <m/>
    <n v="8600000"/>
    <m/>
    <m/>
    <m/>
    <m/>
    <m/>
    <m/>
    <m/>
    <m/>
    <m/>
    <m/>
    <m/>
    <m/>
    <m/>
    <m/>
    <m/>
    <m/>
    <m/>
    <m/>
    <m/>
    <m/>
    <m/>
    <m/>
    <m/>
    <m/>
    <m/>
    <m/>
    <m/>
    <m/>
    <m/>
    <m/>
    <m/>
    <m/>
    <n v="8600000"/>
    <n v="0"/>
    <n v="0"/>
    <n v="8600000"/>
    <n v="0"/>
  </r>
  <r>
    <x v="0"/>
    <x v="9"/>
    <s v="Fortalecimiento de la planeación para el desarrollo minero responsable con los territorios en el marco de la transición energética a nivel nacional"/>
    <s v="Minería"/>
    <s v="Sí"/>
    <s v="Sí"/>
    <n v="68"/>
    <s v="140-22"/>
    <s v="Ampliar el conocimiento de los encadenamientos productivos asociados a la actividad minera por parte de los actores del sector."/>
    <s v="Documentos de Investigación"/>
    <s v="Resultados análisis de información."/>
    <n v="80111620"/>
    <s v="C-2106-1900-12-40302A-2106002-02"/>
    <x v="0"/>
    <s v="140-22 Prestar servicios profesionales para apoyar a la Subdirección de Minería mediante la generación de análisis técnicos y sociales que contribuyan a la elaboración de documentos de investigación y variables interseccionales."/>
    <s v="Enero "/>
    <s v="Enero "/>
    <s v="Enero "/>
    <n v="10"/>
    <s v="Meses"/>
    <s v="Contratación directa - Prestación de servicios profesionales "/>
    <s v="Propios - 21 - Otros recursos de tesorería"/>
    <n v="23000000"/>
    <n v="23000000"/>
    <s v="No"/>
    <s v="N/A"/>
    <s v="Germán Tiberio Ojeda"/>
    <s v="Subdirector de Minería"/>
    <n v="6012220601"/>
    <s v="german.ojeda@upme.gov.co"/>
    <n v="23000000"/>
    <n v="0"/>
    <n v="0"/>
    <n v="213333"/>
    <n v="0"/>
    <n v="3200000"/>
    <n v="0"/>
    <n v="3200000"/>
    <n v="0"/>
    <n v="3200000"/>
    <n v="0"/>
    <n v="3200000"/>
    <n v="0"/>
    <n v="3200000"/>
    <n v="0"/>
    <n v="3200000"/>
    <n v="0"/>
    <n v="3200000"/>
    <n v="0"/>
    <n v="386667"/>
    <n v="0"/>
    <n v="0"/>
    <n v="0"/>
    <n v="0"/>
    <n v="23000000"/>
    <n v="23000000"/>
    <n v="0"/>
    <n v="0"/>
    <s v="Prestar servicios profesionales para apoyar a la Subdirección de Minería mediante la generación de análisis técnicos y sociales que contribuyan a la elaboración de documentos de investigación y variables interseccionales."/>
    <n v="23000000"/>
    <m/>
    <m/>
    <n v="213333"/>
    <m/>
    <n v="3200000"/>
    <m/>
    <n v="3200000"/>
    <m/>
    <n v="3200000"/>
    <m/>
    <n v="3200000"/>
    <m/>
    <n v="3200000"/>
    <m/>
    <n v="3200000"/>
    <m/>
    <n v="3200000"/>
    <m/>
    <n v="386667"/>
    <m/>
    <m/>
    <m/>
    <m/>
    <m/>
    <m/>
    <n v="23000000"/>
    <n v="23000000"/>
    <n v="0"/>
    <n v="0"/>
    <n v="47026"/>
    <d v="2026-01-19T00:00:00"/>
    <n v="23000000"/>
    <n v="0"/>
    <n v="23626"/>
    <d v="2026-01-27T00:00:00"/>
    <n v="23000000"/>
    <n v="0"/>
    <n v="0"/>
    <s v="ROJAS ROJAS ALVARO ANDRES"/>
    <s v="CO1.PCCNTR.9085139"/>
    <n v="23000000"/>
    <m/>
    <m/>
    <m/>
    <n v="320000"/>
    <n v="320000"/>
    <m/>
    <n v="3200000"/>
    <n v="3200000"/>
    <m/>
    <m/>
    <m/>
    <m/>
    <m/>
    <m/>
    <m/>
    <m/>
    <m/>
    <m/>
    <m/>
    <m/>
    <m/>
    <m/>
    <m/>
    <m/>
    <m/>
    <m/>
    <m/>
    <m/>
    <m/>
    <m/>
    <m/>
    <m/>
    <m/>
    <m/>
    <m/>
    <n v="23000000"/>
    <n v="3520000"/>
    <n v="3520000"/>
    <n v="19480000"/>
    <n v="0"/>
  </r>
  <r>
    <x v="0"/>
    <x v="9"/>
    <s v="Fortalecimiento de la planeación para el desarrollo minero responsable con los territorios en el marco de la transición energética a nivel nacional"/>
    <s v="Minería"/>
    <s v="Sí"/>
    <s v="Sí"/>
    <n v="68"/>
    <s v="140-23"/>
    <s v="Ampliar el conocimiento de los encadenamientos productivos asociados a la actividad minera por parte de los actores del sector."/>
    <s v="Documentos de Investigación"/>
    <s v="Resultados análisis de información."/>
    <n v="80111620"/>
    <s v="C-2106-1900-12-40302A-2106002-02"/>
    <x v="0"/>
    <s v="140-23 Prestar servicios profesionales de apoyo jurídico para acompañar las gestiones necesarias orientadas al cumplimiento de las actividades de la Subdirección de Minería, así como para apoyar la elaboración de documentos de investigación."/>
    <s v="Enero "/>
    <s v="Enero "/>
    <s v="Enero "/>
    <n v="11"/>
    <s v="Meses"/>
    <s v="Contratación directa - Prestación de servicios profesionales "/>
    <s v="Propios - 21 - Otros recursos de tesorería"/>
    <n v="71500000"/>
    <n v="71500000"/>
    <s v="No"/>
    <s v="N/A"/>
    <s v="Germán Tiberio Ojeda"/>
    <s v="Subdirector de Minería"/>
    <n v="6012220601"/>
    <s v="german.ojeda@upme.gov.co"/>
    <n v="0"/>
    <n v="0"/>
    <n v="71500000"/>
    <n v="0"/>
    <n v="0"/>
    <n v="5850000"/>
    <n v="0"/>
    <n v="6500000"/>
    <n v="0"/>
    <n v="6500000"/>
    <n v="0"/>
    <n v="6500000"/>
    <n v="0"/>
    <n v="6500000"/>
    <n v="0"/>
    <n v="6500000"/>
    <n v="0"/>
    <n v="6500000"/>
    <n v="0"/>
    <n v="6500000"/>
    <n v="0"/>
    <n v="6500000"/>
    <n v="0"/>
    <n v="13650000"/>
    <n v="71500000"/>
    <n v="71500000"/>
    <n v="0"/>
    <n v="0"/>
    <s v="Prestar servicios profesionales de apoyo jurídico para acompañar las gestiones necesarias orientadas al cumplimiento de las actividades de la Subdirección de Minería, así como para apoyar la elaboración de documentos de investigación."/>
    <m/>
    <m/>
    <n v="71500000"/>
    <m/>
    <m/>
    <n v="5850000"/>
    <m/>
    <n v="6500000"/>
    <m/>
    <n v="6500000"/>
    <m/>
    <n v="6500000"/>
    <m/>
    <n v="6500000"/>
    <m/>
    <n v="6500000"/>
    <m/>
    <n v="6500000"/>
    <m/>
    <n v="6500000"/>
    <m/>
    <n v="6500000"/>
    <m/>
    <n v="13650000"/>
    <m/>
    <m/>
    <n v="71500000"/>
    <n v="71500000"/>
    <n v="0"/>
    <n v="0"/>
    <n v="47126"/>
    <d v="2026-01-19T00:00:00"/>
    <n v="71500000"/>
    <n v="0"/>
    <n v="37926"/>
    <d v="2026-02-02T00:00:00"/>
    <n v="71500000"/>
    <n v="0"/>
    <n v="0"/>
    <s v="NAVARRO MENDIVELSO JULIAN FELIPE"/>
    <s v="CO1.PCCNTR.9139480"/>
    <m/>
    <m/>
    <m/>
    <n v="71500000"/>
    <m/>
    <m/>
    <m/>
    <n v="6066667"/>
    <n v="6066667"/>
    <m/>
    <n v="6500000"/>
    <n v="6500000"/>
    <m/>
    <m/>
    <m/>
    <m/>
    <m/>
    <m/>
    <m/>
    <m/>
    <m/>
    <m/>
    <m/>
    <m/>
    <m/>
    <m/>
    <m/>
    <m/>
    <m/>
    <m/>
    <m/>
    <m/>
    <m/>
    <m/>
    <m/>
    <m/>
    <n v="71500000"/>
    <n v="12566667"/>
    <n v="12566667"/>
    <n v="58933333"/>
    <n v="0"/>
  </r>
  <r>
    <x v="0"/>
    <x v="9"/>
    <s v="Fortalecimiento de la planeación para el desarrollo minero responsable con los territorios en el marco de la transición energética a nivel nacional"/>
    <s v="Minería"/>
    <s v="Sí"/>
    <s v="Sí"/>
    <n v="68"/>
    <s v="140-24"/>
    <s v="Ampliar el conocimiento de los encadenamientos productivos asociados a la actividad minera por parte de los actores del sector."/>
    <s v="Documentos de Investigación"/>
    <s v="Resultados análisis de información."/>
    <n v="80111620"/>
    <s v="C-2106-1900-12-40302A-2106002-02"/>
    <x v="0"/>
    <s v="140-24 Prestar servicios profesionales de apoyo en la Subdirección de Minería, en el soporte técnico para la determinación del precio base de liquidación de regalías, análisis de datos a través de los sistemas de divulgación de información minera."/>
    <s v="Enero "/>
    <s v="Enero "/>
    <s v="Enero "/>
    <n v="11"/>
    <s v="Meses"/>
    <s v="Contratación directa - Prestación de servicios profesionales "/>
    <s v="Propios - 21 - Otros recursos de tesorería"/>
    <n v="30250000"/>
    <n v="30250000"/>
    <s v="No"/>
    <s v="N/A"/>
    <s v="Germán Tiberio Ojeda"/>
    <s v="Subdirector de Minería"/>
    <n v="6012220601"/>
    <s v="german.ojeda@upme.gov.co"/>
    <n v="29336450"/>
    <n v="0"/>
    <n v="0"/>
    <n v="0"/>
    <n v="0"/>
    <n v="0"/>
    <n v="0"/>
    <n v="0"/>
    <n v="0"/>
    <n v="0"/>
    <n v="0"/>
    <n v="0"/>
    <n v="0"/>
    <n v="0"/>
    <n v="0"/>
    <n v="3876785"/>
    <n v="0"/>
    <n v="5416950"/>
    <n v="0"/>
    <n v="5416950"/>
    <n v="0"/>
    <n v="5416950"/>
    <n v="913550"/>
    <n v="10122365"/>
    <n v="30250000"/>
    <n v="30250000"/>
    <n v="0"/>
    <n v="0"/>
    <s v="Prestar servicios profesionales de apoyo en la Subdirección de Minería, en el soporte técnico para la determinación del precio base de liquidación de regalías, análisis de datos a través de los sistemas de divulgación de información minera."/>
    <n v="29336450"/>
    <m/>
    <m/>
    <m/>
    <m/>
    <m/>
    <m/>
    <m/>
    <m/>
    <m/>
    <m/>
    <m/>
    <m/>
    <m/>
    <m/>
    <n v="3876785"/>
    <m/>
    <n v="5416950"/>
    <m/>
    <n v="5416950"/>
    <m/>
    <n v="5416950"/>
    <n v="913550"/>
    <n v="10122365"/>
    <m/>
    <m/>
    <n v="30250000"/>
    <n v="30250000"/>
    <n v="0"/>
    <n v="0"/>
    <n v="21526"/>
    <d v="2026-01-11T00:00:00"/>
    <n v="29336450"/>
    <n v="913550"/>
    <n v="12326"/>
    <d v="2026-01-20T00:00:00"/>
    <n v="29336450"/>
    <n v="913550"/>
    <n v="0"/>
    <s v="CASTILLO PEDRAZA MIGUEL ANGEL"/>
    <s v="CO1.PCCNTR.8944748"/>
    <n v="29336450"/>
    <m/>
    <m/>
    <m/>
    <n v="1805650"/>
    <n v="1805650"/>
    <m/>
    <n v="5416950"/>
    <n v="5416950"/>
    <m/>
    <n v="5416950"/>
    <n v="5416950"/>
    <m/>
    <m/>
    <m/>
    <m/>
    <m/>
    <m/>
    <m/>
    <m/>
    <m/>
    <m/>
    <m/>
    <m/>
    <m/>
    <m/>
    <m/>
    <m/>
    <m/>
    <m/>
    <m/>
    <m/>
    <m/>
    <m/>
    <m/>
    <m/>
    <n v="29336450"/>
    <n v="12639550"/>
    <n v="12639550"/>
    <n v="16696900"/>
    <n v="0"/>
  </r>
  <r>
    <x v="0"/>
    <x v="9"/>
    <s v="Fortalecimiento de la planeación para el desarrollo minero responsable con los territorios en el marco de la transición energética a nivel nacional"/>
    <s v="Minería"/>
    <s v="Sí"/>
    <s v="Sí"/>
    <n v="68"/>
    <s v="140-25"/>
    <s v="Ampliar el conocimiento de los encadenamientos productivos asociados a la actividad minera por parte de los actores del sector."/>
    <s v="Documentos de Investigación"/>
    <s v="Resultados análisis de información."/>
    <n v="80111620"/>
    <s v="C-2106-1900-12-40302A-2106002-02"/>
    <x v="0"/>
    <s v="140-25 Prestar servicios profesionales de apoyo a la Subdirección de Minería, en la visibilización de la industria minera a través de los sistemas de divulgación de información minera y la entrega de conocimiento al sector."/>
    <s v="Enero "/>
    <s v="Enero "/>
    <s v="Enero "/>
    <n v="11"/>
    <s v="Meses"/>
    <s v="Contratación directa - Prestación de servicios profesionales "/>
    <s v="Propios - 21 - Otros recursos de tesorería"/>
    <n v="50250000"/>
    <n v="50250000"/>
    <s v="No"/>
    <s v="N/A"/>
    <s v="Germán Tiberio Ojeda"/>
    <s v="Subdirector de Minería"/>
    <n v="6012220601"/>
    <s v="german.ojeda@upme.gov.co"/>
    <n v="49336450"/>
    <n v="0"/>
    <n v="0"/>
    <n v="0"/>
    <n v="0"/>
    <n v="0"/>
    <n v="0"/>
    <n v="2028420"/>
    <n v="0"/>
    <n v="5416950"/>
    <n v="0"/>
    <n v="5416950"/>
    <n v="0"/>
    <n v="5416950"/>
    <n v="0"/>
    <n v="5416950"/>
    <n v="0"/>
    <n v="5416950"/>
    <n v="0"/>
    <n v="5416950"/>
    <n v="0"/>
    <n v="5416950"/>
    <n v="913550"/>
    <n v="10302930"/>
    <n v="50250000"/>
    <n v="50250000"/>
    <n v="0"/>
    <n v="0"/>
    <s v="Prestar servicios profesionales de apoyo a la Subdirección de Minería, en la visibilización de la industria minera a través de los sistemas de divulgación de información minera y la entrega de conocimiento al sector."/>
    <n v="49336450"/>
    <m/>
    <m/>
    <m/>
    <m/>
    <m/>
    <m/>
    <n v="2028420"/>
    <m/>
    <n v="5416950"/>
    <m/>
    <n v="5416950"/>
    <m/>
    <n v="5416950"/>
    <m/>
    <n v="5416950"/>
    <m/>
    <n v="5416950"/>
    <m/>
    <n v="5416950"/>
    <m/>
    <n v="5416950"/>
    <n v="913550"/>
    <n v="10302930"/>
    <m/>
    <m/>
    <n v="50250000"/>
    <n v="50250000"/>
    <n v="0"/>
    <n v="0"/>
    <n v="18726"/>
    <d v="2026-01-11T00:00:00"/>
    <n v="49336450"/>
    <n v="913550"/>
    <n v="14926"/>
    <d v="2026-01-21T00:00:00"/>
    <n v="49336450"/>
    <n v="913550"/>
    <n v="0"/>
    <s v="RODRIGUEZ PEDRAZA KAREN MAYELI"/>
    <s v="??"/>
    <n v="49336450"/>
    <m/>
    <m/>
    <m/>
    <n v="1625085"/>
    <n v="1625085"/>
    <m/>
    <m/>
    <m/>
    <m/>
    <n v="5416950"/>
    <n v="5416950"/>
    <m/>
    <m/>
    <m/>
    <m/>
    <m/>
    <m/>
    <m/>
    <m/>
    <m/>
    <m/>
    <m/>
    <m/>
    <m/>
    <m/>
    <m/>
    <m/>
    <m/>
    <m/>
    <m/>
    <m/>
    <m/>
    <m/>
    <m/>
    <m/>
    <n v="49336450"/>
    <n v="7042035"/>
    <n v="7042035"/>
    <n v="42294415"/>
    <n v="0"/>
  </r>
  <r>
    <x v="0"/>
    <x v="9"/>
    <s v="Fortalecimiento de la planeación para el desarrollo minero responsable con los territorios en el marco de la transición energética a nivel nacional"/>
    <s v="Minería"/>
    <s v="Sí"/>
    <s v="Sí"/>
    <n v="68"/>
    <s v="140-26"/>
    <s v="Ampliar el conocimiento de los encadenamientos productivos asociados a la actividad minera por parte de los actores del sector."/>
    <s v="Documentos de Investigación"/>
    <s v="Resultados análisis de información."/>
    <n v="80111620"/>
    <s v="C-2106-1900-12-40302A-2106002-02"/>
    <x v="0"/>
    <s v="140-26 Prestar servicios profesionales a la Subdirección de Minería para apoyar la implementación de mejoras funcionales y operativas del Sistema de Información Minero Colombiano (SIMCO), así como el diseño y desarrollo de modelos geoespaciales mediante S"/>
    <s v="Enero "/>
    <s v="Enero "/>
    <s v="Enero "/>
    <n v="11"/>
    <s v="Meses"/>
    <s v="Contratación directa - Prestación de servicios profesionales "/>
    <s v="Propios - 21 - Otros recursos de tesorería"/>
    <n v="89715113"/>
    <n v="89715113"/>
    <s v="No"/>
    <s v="N/A"/>
    <s v="Germán Tiberio Ojeda"/>
    <s v="Subdirector de Minería"/>
    <n v="6012220601"/>
    <s v="german.ojeda@upme.gov.co"/>
    <n v="89715113"/>
    <n v="0"/>
    <n v="0"/>
    <n v="3150000"/>
    <n v="0"/>
    <n v="10500000"/>
    <n v="0"/>
    <n v="10500000"/>
    <n v="0"/>
    <n v="10500000"/>
    <n v="0"/>
    <n v="10500000"/>
    <n v="0"/>
    <n v="10500000"/>
    <n v="0"/>
    <n v="10500000"/>
    <n v="0"/>
    <n v="10500000"/>
    <n v="0"/>
    <n v="10500000"/>
    <n v="0"/>
    <n v="2565113"/>
    <n v="0"/>
    <n v="0"/>
    <n v="89715113"/>
    <n v="89715113"/>
    <n v="0"/>
    <n v="0"/>
    <s v="Prestar servicios profesionales a la Subdirección de Minería para apoyar la implementación de mejoras funcionales y operativas del Sistema de Información Minero Colombiano (SIMCO), así como el diseño y desarrollo de modelos geoespaciales mediante Sistemas"/>
    <n v="89715113"/>
    <m/>
    <m/>
    <n v="3150000"/>
    <m/>
    <n v="10500000"/>
    <m/>
    <n v="10500000"/>
    <m/>
    <n v="10500000"/>
    <m/>
    <n v="10500000"/>
    <m/>
    <n v="10500000"/>
    <m/>
    <n v="10500000"/>
    <m/>
    <n v="10500000"/>
    <m/>
    <n v="10500000"/>
    <m/>
    <n v="2565113"/>
    <m/>
    <m/>
    <m/>
    <m/>
    <n v="89715113"/>
    <n v="89715113"/>
    <n v="0"/>
    <n v="0"/>
    <n v="3526"/>
    <d v="2026-01-05T00:00:00"/>
    <n v="89715113"/>
    <n v="0"/>
    <n v="12126"/>
    <d v="2026-01-20T00:00:00"/>
    <n v="89715113"/>
    <n v="0"/>
    <n v="0"/>
    <s v="PEÑA SOLANO LUIS GIOVANNY"/>
    <s v="CO1.PCCNTR 8965898"/>
    <n v="89715113"/>
    <m/>
    <m/>
    <m/>
    <n v="3500000"/>
    <n v="3500000"/>
    <m/>
    <n v="10500000"/>
    <n v="10500000"/>
    <m/>
    <n v="10500000"/>
    <n v="10500000"/>
    <m/>
    <m/>
    <m/>
    <m/>
    <m/>
    <m/>
    <m/>
    <m/>
    <m/>
    <m/>
    <m/>
    <m/>
    <m/>
    <m/>
    <m/>
    <m/>
    <m/>
    <m/>
    <m/>
    <m/>
    <m/>
    <m/>
    <m/>
    <m/>
    <n v="89715113"/>
    <n v="24500000"/>
    <n v="24500000"/>
    <n v="65215113"/>
    <n v="0"/>
  </r>
  <r>
    <x v="0"/>
    <x v="9"/>
    <s v="Fortalecimiento de la planeación para el desarrollo minero responsable con los territorios en el marco de la transición energética a nivel nacional"/>
    <s v="Minería"/>
    <s v="Sí"/>
    <s v="Sí"/>
    <n v="68"/>
    <s v="140-27"/>
    <s v="Ampliar el conocimiento de los encadenamientos productivos asociados a la actividad minera por parte de los actores del sector."/>
    <s v="Documentos de Investigación"/>
    <s v="Resultados análisis de información."/>
    <n v="43232605"/>
    <s v="C-2106-1900-12-40302A-2106002-02"/>
    <x v="10"/>
    <s v="140-27 Actualizar y renovar el licenciamiento ESRI."/>
    <s v="Junio"/>
    <s v="Junio"/>
    <s v="Junio"/>
    <n v="6"/>
    <s v="Meses"/>
    <s v="Seléccion abreviada - acuerdo marco"/>
    <s v="Propios - 21 - Otros recursos de tesorería"/>
    <n v="30000000"/>
    <n v="30000000"/>
    <s v="No"/>
    <s v="N/A"/>
    <s v="Germán Tiberio Ojeda"/>
    <s v="Subdirector de Minería"/>
    <n v="6012220601"/>
    <s v="german.ojeda@upme.gov.co"/>
    <n v="0"/>
    <n v="0"/>
    <n v="0"/>
    <n v="0"/>
    <n v="0"/>
    <n v="0"/>
    <n v="0"/>
    <n v="0"/>
    <n v="0"/>
    <n v="0"/>
    <n v="0"/>
    <n v="0"/>
    <n v="30000000"/>
    <n v="0"/>
    <n v="0"/>
    <n v="0"/>
    <n v="0"/>
    <n v="0"/>
    <n v="0"/>
    <n v="0"/>
    <n v="0"/>
    <n v="0"/>
    <n v="0"/>
    <n v="30000000"/>
    <n v="30000000"/>
    <n v="30000000"/>
    <n v="0"/>
    <n v="0"/>
    <s v="Actualizar y renovar el licenciamiento ESRI."/>
    <m/>
    <m/>
    <m/>
    <m/>
    <m/>
    <m/>
    <m/>
    <m/>
    <m/>
    <m/>
    <m/>
    <m/>
    <n v="30000000"/>
    <m/>
    <m/>
    <m/>
    <m/>
    <m/>
    <m/>
    <m/>
    <m/>
    <m/>
    <m/>
    <n v="30000000"/>
    <m/>
    <m/>
    <n v="30000000"/>
    <n v="30000000"/>
    <n v="0"/>
    <n v="0"/>
    <m/>
    <m/>
    <m/>
    <n v="30000000"/>
    <m/>
    <m/>
    <n v="0"/>
    <n v="30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28"/>
    <s v="Ampliar el conocimiento de los encadenamientos productivos asociados a la actividad minera por parte de los actores del sector."/>
    <s v="Documentos de Investigación"/>
    <s v="Resultados análisis de información."/>
    <n v="80111620"/>
    <s v="C-2106-1900-12-40302A-2106002-02"/>
    <x v="0"/>
    <s v="140-28 Prestar servicios profesionales para apoyar a la Subdirección de Minería en la incorporación de aspectos técnicos y sociales que contribuyan al fortalecimiento de la investigación del sector minero."/>
    <s v="Enero "/>
    <s v="Enero "/>
    <s v="Enero "/>
    <n v="11"/>
    <s v="Meses"/>
    <s v="Contratación directa - Prestación de servicios profesionales "/>
    <s v="Propios - 21 - Otros recursos de tesorería"/>
    <n v="10500000"/>
    <n v="10500000"/>
    <s v="No"/>
    <s v="N/A"/>
    <s v="Germán Tiberio Ojeda"/>
    <s v="Subdirector de Minería"/>
    <n v="6012220601"/>
    <s v="german.ojeda@upme.gov.co"/>
    <n v="10500000"/>
    <n v="0"/>
    <n v="0"/>
    <n v="960000"/>
    <n v="0"/>
    <n v="3200000"/>
    <n v="0"/>
    <n v="3200000"/>
    <n v="0"/>
    <n v="3140000"/>
    <n v="0"/>
    <n v="0"/>
    <n v="0"/>
    <n v="0"/>
    <n v="0"/>
    <n v="0"/>
    <n v="0"/>
    <n v="0"/>
    <n v="0"/>
    <n v="0"/>
    <n v="0"/>
    <n v="0"/>
    <n v="0"/>
    <n v="0"/>
    <n v="10500000"/>
    <n v="10500000"/>
    <n v="0"/>
    <n v="0"/>
    <s v="Prestar servicios profesionales para apoyar a la Subdirección de Minería en la incorporación de aspectos técnicos y sociales que contribuyan al fortalecimiento de la investigación del sector minero."/>
    <n v="10500000"/>
    <m/>
    <m/>
    <n v="960000"/>
    <m/>
    <n v="3200000"/>
    <m/>
    <n v="3200000"/>
    <m/>
    <n v="3140000"/>
    <m/>
    <m/>
    <m/>
    <m/>
    <m/>
    <m/>
    <m/>
    <m/>
    <m/>
    <m/>
    <m/>
    <m/>
    <m/>
    <m/>
    <m/>
    <m/>
    <n v="10500000"/>
    <n v="10500000"/>
    <n v="0"/>
    <n v="0"/>
    <n v="3826"/>
    <d v="2026-01-05T00:00:00"/>
    <n v="10500000"/>
    <n v="0"/>
    <n v="13426"/>
    <d v="2026-01-20T00:00:00"/>
    <n v="10500000"/>
    <n v="0"/>
    <n v="0"/>
    <s v="SIERRA CARREÑO JESSICA TATHIANA"/>
    <s v="CO1.PCCNTR.8958706"/>
    <n v="10500000"/>
    <m/>
    <m/>
    <m/>
    <n v="1066667"/>
    <n v="1066667"/>
    <m/>
    <n v="3200000"/>
    <n v="3200000"/>
    <m/>
    <n v="3200000"/>
    <n v="3200000"/>
    <m/>
    <m/>
    <m/>
    <m/>
    <m/>
    <m/>
    <m/>
    <m/>
    <m/>
    <m/>
    <m/>
    <m/>
    <m/>
    <m/>
    <m/>
    <m/>
    <m/>
    <m/>
    <m/>
    <m/>
    <m/>
    <m/>
    <m/>
    <m/>
    <n v="10500000"/>
    <n v="7466667"/>
    <n v="7466667"/>
    <n v="3033333"/>
    <n v="0"/>
  </r>
  <r>
    <x v="0"/>
    <x v="9"/>
    <s v="Fortalecimiento de la planeación para el desarrollo minero responsable con los territorios en el marco de la transición energética a nivel nacional"/>
    <s v="Minería"/>
    <s v="Sí"/>
    <s v="Sí"/>
    <n v="68"/>
    <s v="140-29"/>
    <s v="Ampliar el conocimiento de los encadenamientos productivos asociados a la actividad minera por parte de los actores del sector."/>
    <s v="Documentos de Investigación"/>
    <s v="Resultados análisis de información."/>
    <n v="80111620"/>
    <s v="C-2106-1900-12-40302A-2106002-02"/>
    <x v="0"/>
    <s v="140-29 Prestar servicios profesionales de apoyo a la Subdirección de Minería en los aspectos técnicos asociados al cumplimiento de su misionalidad, así como en el acompañamiento en las actividades de planeación e investigación del sector minero."/>
    <s v="Enero "/>
    <s v="Enero "/>
    <s v="Enero "/>
    <n v="11"/>
    <s v="Meses"/>
    <s v="Contratación directa - Prestación de servicios profesionales "/>
    <s v="Propios - 21 - Otros recursos de tesorería"/>
    <n v="19925198"/>
    <n v="19925198"/>
    <s v="No"/>
    <s v="N/A"/>
    <s v="Germán Tiberio Ojeda"/>
    <s v="Subdirector de Minería"/>
    <n v="6012220601"/>
    <s v="german.ojeda@upme.gov.co"/>
    <n v="19925198"/>
    <n v="0"/>
    <n v="0"/>
    <n v="740000"/>
    <n v="0"/>
    <n v="7400000"/>
    <n v="0"/>
    <n v="7400000"/>
    <n v="0"/>
    <n v="4385198"/>
    <n v="0"/>
    <n v="0"/>
    <n v="0"/>
    <n v="0"/>
    <n v="0"/>
    <n v="0"/>
    <n v="0"/>
    <n v="0"/>
    <n v="0"/>
    <n v="0"/>
    <n v="0"/>
    <n v="0"/>
    <n v="0"/>
    <n v="0"/>
    <n v="19925198"/>
    <n v="19925198"/>
    <n v="0"/>
    <n v="0"/>
    <s v="Prestar servicios profesionales de apoyo a la Subdirección de Minería en los aspectos técnicos asociados al cumplimiento de su misionalidad, así como en el acompañamiento en las actividades de planeación e investigación del sector minero."/>
    <n v="19925198"/>
    <m/>
    <m/>
    <n v="740000"/>
    <m/>
    <n v="7400000"/>
    <m/>
    <n v="7400000"/>
    <m/>
    <n v="4385198"/>
    <m/>
    <m/>
    <m/>
    <m/>
    <m/>
    <m/>
    <m/>
    <m/>
    <m/>
    <m/>
    <m/>
    <m/>
    <m/>
    <m/>
    <m/>
    <m/>
    <n v="19925198"/>
    <n v="19925198"/>
    <n v="0"/>
    <n v="0"/>
    <n v="21426"/>
    <d v="2026-01-11T00:00:00"/>
    <n v="19925198"/>
    <n v="0"/>
    <n v="20526"/>
    <d v="2026-01-26T00:00:00"/>
    <n v="19925198"/>
    <n v="0"/>
    <n v="0"/>
    <s v="LONDOÑO PALACINO CATALINA"/>
    <s v="CO1.PCCNTR.9037106"/>
    <n v="19925198"/>
    <m/>
    <m/>
    <m/>
    <m/>
    <m/>
    <m/>
    <n v="7646667"/>
    <n v="7646667"/>
    <m/>
    <n v="7400000"/>
    <n v="7400000"/>
    <m/>
    <m/>
    <m/>
    <m/>
    <m/>
    <m/>
    <m/>
    <m/>
    <m/>
    <m/>
    <m/>
    <m/>
    <m/>
    <m/>
    <m/>
    <m/>
    <m/>
    <m/>
    <m/>
    <m/>
    <m/>
    <m/>
    <m/>
    <m/>
    <n v="19925198"/>
    <n v="15046667"/>
    <n v="15046667"/>
    <n v="4878531"/>
    <n v="0"/>
  </r>
  <r>
    <x v="0"/>
    <x v="9"/>
    <s v="Fortalecimiento de la planeación para el desarrollo minero responsable con los territorios en el marco de la transición energética a nivel nacional"/>
    <s v="Minería"/>
    <s v="No"/>
    <s v="Sí"/>
    <n v="68"/>
    <s v="140-30"/>
    <s v="Ampliar el conocimiento de los encadenamientos productivos asociados a la actividad minera por parte de los actores del sector."/>
    <s v="Documentos de Investigación"/>
    <s v="Resultados análisis de información."/>
    <s v="N/A"/>
    <s v="C-2106-1900-12-40302A-2106002-02"/>
    <x v="4"/>
    <s v="140-30 Viáticos o gastos de desplazamiento"/>
    <s v="N/A"/>
    <s v="N/A"/>
    <s v="N/A"/>
    <s v="N/A"/>
    <s v="N/A"/>
    <s v="N/A"/>
    <s v="Propios - 21 - Otros recursos de tesorería"/>
    <n v="19393571"/>
    <n v="19393571"/>
    <s v="No"/>
    <s v="N/A"/>
    <s v="Germán Tiberio Ojeda"/>
    <s v="Subdirector de Minería"/>
    <n v="6012220601"/>
    <s v="german.ojeda@upme.gov.co"/>
    <n v="0"/>
    <n v="0"/>
    <n v="0"/>
    <n v="0"/>
    <n v="1939357"/>
    <n v="1939357"/>
    <n v="1939357"/>
    <n v="1939357"/>
    <n v="1939357"/>
    <n v="1939357"/>
    <n v="1939357"/>
    <n v="1939357"/>
    <n v="1939357"/>
    <n v="1939357"/>
    <n v="1939357"/>
    <n v="1939357"/>
    <n v="1939357"/>
    <n v="1939357"/>
    <n v="1939357"/>
    <n v="1939357"/>
    <n v="1939358"/>
    <n v="1939358"/>
    <n v="1939357"/>
    <n v="1939357"/>
    <n v="19393571"/>
    <n v="19393571"/>
    <n v="0"/>
    <n v="0"/>
    <s v="Viáticos o gastos de desplazamiento"/>
    <m/>
    <m/>
    <m/>
    <m/>
    <n v="1939357"/>
    <n v="1939357"/>
    <n v="1939357"/>
    <n v="1939357"/>
    <n v="1939357"/>
    <n v="1939357"/>
    <n v="1939357"/>
    <n v="1939357"/>
    <n v="1939357"/>
    <n v="1939357"/>
    <n v="1939357"/>
    <n v="1939357"/>
    <n v="1939357"/>
    <n v="1939357"/>
    <n v="1939357"/>
    <n v="1939357"/>
    <n v="1939358"/>
    <n v="1939358"/>
    <n v="1939357"/>
    <n v="1939357"/>
    <m/>
    <m/>
    <n v="19393571"/>
    <n v="19393571"/>
    <n v="0"/>
    <n v="0"/>
    <n v="55326"/>
    <d v="2026-01-22T00:00:00"/>
    <n v="19393571"/>
    <n v="0"/>
    <m/>
    <m/>
    <n v="0"/>
    <n v="19393571"/>
    <n v="19393571"/>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No"/>
    <s v="Sí"/>
    <n v="68"/>
    <s v="140-31"/>
    <s v="Ampliar el conocimiento de los encadenamientos productivos asociados a la actividad minera por parte de los actores del sector."/>
    <s v="Documentos de Investigación"/>
    <s v="Resultados análisis de información."/>
    <s v="N/A"/>
    <s v="C-2106-1900-12-40302A-2106002-02"/>
    <x v="4"/>
    <s v="140-31 Viáticos o gastos de desplazamiento"/>
    <s v="N/A"/>
    <s v="N/A"/>
    <s v="N/A"/>
    <s v="N/A"/>
    <s v="N/A"/>
    <s v="N/A"/>
    <s v="Propios - 20 - Ingresos corrientes"/>
    <n v="5606429"/>
    <n v="5606429"/>
    <s v="No"/>
    <s v="N/A"/>
    <s v="Germán Tiberio Ojeda"/>
    <s v="Subdirector de Minería"/>
    <n v="6012220601"/>
    <s v="german.ojeda@upme.gov.co"/>
    <n v="0"/>
    <n v="0"/>
    <n v="0"/>
    <n v="0"/>
    <n v="560642"/>
    <n v="560642"/>
    <n v="560642"/>
    <n v="560642"/>
    <n v="560642"/>
    <n v="560642"/>
    <n v="560642"/>
    <n v="560642"/>
    <n v="560642"/>
    <n v="560642"/>
    <n v="560642"/>
    <n v="560642"/>
    <n v="560642"/>
    <n v="560642"/>
    <n v="560642"/>
    <n v="560642"/>
    <n v="560651"/>
    <n v="560651"/>
    <n v="560642"/>
    <n v="560642"/>
    <n v="5606429"/>
    <n v="5606429"/>
    <n v="0"/>
    <n v="0"/>
    <s v="Viáticos o gastos de desplazamiento"/>
    <m/>
    <m/>
    <m/>
    <m/>
    <n v="560642"/>
    <n v="560642"/>
    <n v="560642"/>
    <n v="560642"/>
    <n v="560642"/>
    <n v="560642"/>
    <n v="560642"/>
    <n v="560642"/>
    <n v="560642"/>
    <n v="560642"/>
    <n v="560642"/>
    <n v="560642"/>
    <n v="560642"/>
    <n v="560642"/>
    <n v="560642"/>
    <n v="560642"/>
    <n v="560651"/>
    <n v="560651"/>
    <n v="560642"/>
    <n v="560642"/>
    <m/>
    <m/>
    <n v="5606429"/>
    <n v="5606429"/>
    <n v="0"/>
    <n v="0"/>
    <n v="55326"/>
    <d v="2026-01-22T00:00:00"/>
    <n v="5606429"/>
    <n v="0"/>
    <s v="55726,62426,62626,63426,63526,63626"/>
    <s v="10/02/2026,10/03/2026,17/03/2026"/>
    <n v="3079029"/>
    <n v="2527400"/>
    <n v="2527400"/>
    <s v="OJEDA PEDRAZA GERMAN TIBERIO,POVEDA FORERO GERMAN ANDRES,OBANDO VARGAS MARIA CAROLINA,POVEDA FORERO GERMAN ANDRES_x000a_"/>
    <m/>
    <m/>
    <m/>
    <m/>
    <n v="1530263"/>
    <n v="1530263"/>
    <n v="1530263"/>
    <n v="1548766"/>
    <n v="1548766"/>
    <n v="1548766"/>
    <m/>
    <n v="2672367"/>
    <n v="2672367"/>
    <m/>
    <m/>
    <m/>
    <m/>
    <m/>
    <m/>
    <m/>
    <m/>
    <m/>
    <m/>
    <m/>
    <m/>
    <m/>
    <m/>
    <m/>
    <m/>
    <m/>
    <m/>
    <m/>
    <m/>
    <m/>
    <m/>
    <m/>
    <m/>
    <n v="3079029"/>
    <n v="5751396"/>
    <n v="5751396"/>
    <n v="-2672367"/>
    <n v="0"/>
  </r>
  <r>
    <x v="0"/>
    <x v="9"/>
    <s v="Fortalecimiento de la planeación para el desarrollo minero responsable con los territorios en el marco de la transición energética a nivel nacional"/>
    <s v="Minería"/>
    <s v="Sí"/>
    <s v="Sí"/>
    <n v="68"/>
    <s v="140-32"/>
    <s v="Ampliar el conocimiento de los encadenamientos productivos asociados a la actividad minera por parte de los actores del sector."/>
    <s v="Documentos de Investigación"/>
    <s v="Resultados análisis de información."/>
    <n v="80111620"/>
    <s v="C-2106-1900-12-40302A-2106002-02"/>
    <x v="0"/>
    <s v="140-32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1 - Otros recursos de tesorería"/>
    <n v="21890389"/>
    <n v="21890389"/>
    <s v="No"/>
    <s v="N/A"/>
    <s v="Germán Tiberio Ojeda"/>
    <s v="Subdirector de Minería"/>
    <n v="6012220601"/>
    <s v="german.ojeda@upme.gov.co"/>
    <n v="21890389"/>
    <n v="0"/>
    <n v="0"/>
    <n v="0"/>
    <n v="0"/>
    <n v="3200000"/>
    <n v="0"/>
    <n v="3200000"/>
    <n v="0"/>
    <n v="3200000"/>
    <n v="0"/>
    <n v="3200000"/>
    <n v="0"/>
    <n v="3200000"/>
    <n v="0"/>
    <n v="3200000"/>
    <n v="0"/>
    <n v="2690389"/>
    <n v="0"/>
    <n v="0"/>
    <n v="0"/>
    <n v="0"/>
    <n v="0"/>
    <n v="0"/>
    <n v="21890389"/>
    <n v="21890389"/>
    <n v="0"/>
    <n v="0"/>
    <s v="Prestar servicios profesionales de apoyo a la Subdirección de Minería para la gestión de datos y el desarrollo de modelos asociados al sector minero, desde un enfoque técnico y de investigación que contribuya al análisis y fortalecimiento del sector"/>
    <n v="21890389"/>
    <m/>
    <m/>
    <m/>
    <m/>
    <n v="3200000"/>
    <m/>
    <n v="3200000"/>
    <m/>
    <n v="3200000"/>
    <m/>
    <n v="3200000"/>
    <m/>
    <n v="3200000"/>
    <m/>
    <n v="3200000"/>
    <m/>
    <n v="2690389"/>
    <m/>
    <m/>
    <m/>
    <m/>
    <m/>
    <m/>
    <m/>
    <m/>
    <n v="21890389"/>
    <n v="21890389"/>
    <n v="0"/>
    <n v="0"/>
    <n v="35626"/>
    <d v="2026-01-15T00:00:00"/>
    <n v="21890389"/>
    <n v="0"/>
    <n v="28826"/>
    <d v="2026-01-28T00:00:00"/>
    <n v="21890389"/>
    <n v="0"/>
    <n v="0"/>
    <s v="SEPULVEDA AMADO JUAN SEBASTIAN"/>
    <s v="CO1.PCCNTR.9129820"/>
    <n v="21890389"/>
    <m/>
    <m/>
    <m/>
    <n v="213332"/>
    <n v="213332"/>
    <m/>
    <n v="3200000"/>
    <n v="3200000"/>
    <m/>
    <n v="3200000"/>
    <n v="3200000"/>
    <m/>
    <m/>
    <m/>
    <m/>
    <m/>
    <m/>
    <m/>
    <m/>
    <m/>
    <m/>
    <m/>
    <m/>
    <m/>
    <m/>
    <m/>
    <m/>
    <m/>
    <m/>
    <m/>
    <m/>
    <m/>
    <m/>
    <m/>
    <m/>
    <n v="21890389"/>
    <n v="6613332"/>
    <n v="6613332"/>
    <n v="15277057"/>
    <n v="0"/>
  </r>
  <r>
    <x v="0"/>
    <x v="9"/>
    <s v="Fortalecimiento de la planeación para el desarrollo minero responsable con los territorios en el marco de la transición energética a nivel nacional"/>
    <s v="Minería"/>
    <s v="Sí"/>
    <s v="Sí"/>
    <n v="68"/>
    <s v="140-33"/>
    <s v="Ampliar el conocimiento de los encadenamientos productivos asociados a la actividad minera por parte de los actores del sector."/>
    <s v="Documentos de Investigación"/>
    <s v="Documento con el diseño metodológico."/>
    <n v="80111620"/>
    <s v="C-2106-1900-12-40302A-2106002-02"/>
    <x v="0"/>
    <s v="140-33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50349187"/>
    <n v="50349187"/>
    <s v="No"/>
    <s v="N/A"/>
    <s v="Germán Tiberio Ojeda"/>
    <s v="Subdirector de Minería"/>
    <n v="6012220601"/>
    <s v="german.ojeda@upme.gov.co"/>
    <n v="50349187"/>
    <n v="0"/>
    <n v="0"/>
    <n v="0"/>
    <n v="0"/>
    <n v="0"/>
    <n v="0"/>
    <n v="0"/>
    <n v="0"/>
    <n v="0"/>
    <n v="0"/>
    <n v="0"/>
    <n v="0"/>
    <n v="4524187"/>
    <n v="0"/>
    <n v="11000000"/>
    <n v="0"/>
    <n v="11000000"/>
    <n v="0"/>
    <n v="11000000"/>
    <n v="0"/>
    <n v="11000000"/>
    <n v="0"/>
    <n v="1825000"/>
    <n v="50349187"/>
    <n v="50349187"/>
    <n v="0"/>
    <n v="0"/>
    <s v="Prestar servicios profesionales de apoyo a la Subdirección de Minería en los asuntos relacionados con el cumplimiento de su misionalidad, así como en el acompañamiento en las actividades de divulgación, planeación e investigación del sector minero."/>
    <n v="50349187"/>
    <m/>
    <m/>
    <m/>
    <m/>
    <m/>
    <m/>
    <m/>
    <m/>
    <m/>
    <m/>
    <m/>
    <m/>
    <n v="4524187"/>
    <m/>
    <n v="11000000"/>
    <m/>
    <n v="11000000"/>
    <m/>
    <n v="11000000"/>
    <m/>
    <n v="11000000"/>
    <m/>
    <n v="1825000"/>
    <m/>
    <m/>
    <n v="50349187"/>
    <n v="50349187"/>
    <n v="0"/>
    <n v="0"/>
    <n v="4626"/>
    <d v="2026-01-05T00:00:00"/>
    <n v="50349187"/>
    <n v="0"/>
    <n v="13226"/>
    <d v="2026-01-20T00:00:00"/>
    <n v="50349187"/>
    <n v="0"/>
    <n v="0"/>
    <s v="HERNANDEZ MARIN CRISTHIAN OCTAVIO"/>
    <s v="CO1.PCCNTR.8960645"/>
    <n v="50349187"/>
    <m/>
    <m/>
    <m/>
    <m/>
    <m/>
    <m/>
    <m/>
    <m/>
    <m/>
    <m/>
    <m/>
    <m/>
    <m/>
    <m/>
    <m/>
    <m/>
    <m/>
    <m/>
    <m/>
    <m/>
    <m/>
    <m/>
    <m/>
    <m/>
    <m/>
    <m/>
    <m/>
    <m/>
    <m/>
    <m/>
    <m/>
    <m/>
    <m/>
    <m/>
    <m/>
    <n v="50349187"/>
    <n v="0"/>
    <n v="0"/>
    <n v="50349187"/>
    <n v="0"/>
  </r>
  <r>
    <x v="0"/>
    <x v="9"/>
    <s v="Fortalecimiento de la planeación para el desarrollo minero responsable con los territorios en el marco de la transición energética a nivel nacional"/>
    <s v="Minería"/>
    <s v="Sí"/>
    <s v="Sí"/>
    <n v="68"/>
    <s v="140-34"/>
    <s v="Ampliar el conocimiento de los encadenamientos productivos asociados a la actividad minera por parte de los actores del sector."/>
    <s v="Documentos de Investigación"/>
    <s v="Documento con el diseño metodológico."/>
    <n v="80111620"/>
    <s v="C-2106-1900-12-40302A-2106002-02"/>
    <x v="0"/>
    <s v="140-34 Prestar servicios profesionales para apoyar a la Subdirección de Minería en asuntos administrativos y financieros, así como en la elaboración y apoyo a documentos técnicos y de investigación de la Subdirección."/>
    <s v="Enero "/>
    <s v="Enero "/>
    <s v="Enero "/>
    <n v="11"/>
    <s v="Meses"/>
    <s v="Contratación directa - Prestación de servicios profesionales "/>
    <s v="Propios - 20 - Ingresos corrientes"/>
    <n v="38400000"/>
    <n v="38400000"/>
    <s v="No"/>
    <s v="N/A"/>
    <s v="Germán Tiberio Ojeda"/>
    <s v="Subdirector de Minería"/>
    <n v="6012220601"/>
    <s v="german.ojeda@upme.gov.co"/>
    <n v="38400000"/>
    <n v="0"/>
    <n v="0"/>
    <n v="0"/>
    <n v="0"/>
    <n v="4500000"/>
    <n v="0"/>
    <n v="5000000"/>
    <n v="0"/>
    <n v="5000000"/>
    <n v="0"/>
    <n v="5000000"/>
    <n v="0"/>
    <n v="5000000"/>
    <n v="0"/>
    <n v="5000000"/>
    <n v="0"/>
    <n v="5000000"/>
    <n v="0"/>
    <n v="3900000"/>
    <n v="0"/>
    <n v="0"/>
    <n v="0"/>
    <n v="0"/>
    <n v="38400000"/>
    <n v="38400000"/>
    <n v="0"/>
    <n v="0"/>
    <s v="Prestar servicios profesionales para apoyar a la Subdirección de Minería en asuntos administrativos y financieros, así como en la elaboración y apoyo a documentos técnicos y de investigación de la Subdirección."/>
    <n v="38400000"/>
    <m/>
    <m/>
    <m/>
    <m/>
    <n v="4500000"/>
    <m/>
    <n v="5000000"/>
    <m/>
    <n v="5000000"/>
    <m/>
    <n v="5000000"/>
    <m/>
    <n v="5000000"/>
    <m/>
    <n v="5000000"/>
    <m/>
    <n v="5000000"/>
    <m/>
    <n v="3900000"/>
    <m/>
    <m/>
    <m/>
    <m/>
    <m/>
    <m/>
    <n v="38400000"/>
    <n v="38400000"/>
    <n v="0"/>
    <n v="0"/>
    <n v="39526"/>
    <d v="2026-01-15T00:00:00"/>
    <n v="38400000"/>
    <n v="0"/>
    <n v="35526"/>
    <d v="2026-01-30T00:00:00"/>
    <n v="38400000"/>
    <n v="0"/>
    <n v="0"/>
    <s v="ARRIETA MARTINEZ YISSETH VIVIANA"/>
    <s v="CO1.PCCNTR.9176351"/>
    <n v="38400000"/>
    <m/>
    <m/>
    <m/>
    <m/>
    <m/>
    <m/>
    <n v="4833333"/>
    <n v="4833333"/>
    <m/>
    <n v="5000000"/>
    <n v="5000000"/>
    <m/>
    <m/>
    <m/>
    <m/>
    <m/>
    <m/>
    <m/>
    <m/>
    <m/>
    <m/>
    <m/>
    <m/>
    <m/>
    <m/>
    <m/>
    <m/>
    <m/>
    <m/>
    <m/>
    <m/>
    <m/>
    <m/>
    <m/>
    <m/>
    <n v="38400000"/>
    <n v="9833333"/>
    <n v="9833333"/>
    <n v="28566667"/>
    <n v="0"/>
  </r>
  <r>
    <x v="0"/>
    <x v="9"/>
    <s v="Fortalecimiento de la planeación para el desarrollo minero responsable con los territorios en el marco de la transición energética a nivel nacional"/>
    <s v="Minería"/>
    <s v="Sí"/>
    <s v="Sí"/>
    <n v="17"/>
    <s v="140-35"/>
    <s v="Ampliar el conocimiento de los encadenamientos productivos asociados a la actividad minera por parte de los actores del sector."/>
    <s v="Documentos de Investigación"/>
    <s v="Documento con el diseño metodológico."/>
    <n v="81121503"/>
    <s v="C-2106-1900-12-40302A-2106002-02"/>
    <x v="6"/>
    <s v="140-35  Elaborar los balances oferta utilización de productos mineros y la cuenta de producción y generación del ingreso en versión provisional para la operación estadística cuenta satélite de minería - CSM, en el marco del modelo genérico del proceso est"/>
    <s v="Enero "/>
    <s v="Enero "/>
    <s v="Enero "/>
    <n v="5"/>
    <s v="Meses"/>
    <s v="Contratación directa - Contratos interadministrativos"/>
    <s v="Propios - 20 - Ingresos corrientes"/>
    <n v="7250000"/>
    <n v="7250000"/>
    <s v="No"/>
    <s v="N/A"/>
    <s v="Germán Tiberio Ojeda"/>
    <s v="Subdirector de Minería"/>
    <n v="6012220601"/>
    <s v="german.ojeda@upme.gov.co"/>
    <n v="0"/>
    <n v="0"/>
    <n v="0"/>
    <n v="0"/>
    <n v="0"/>
    <n v="0"/>
    <n v="0"/>
    <n v="0"/>
    <n v="0"/>
    <n v="0"/>
    <n v="0"/>
    <n v="0"/>
    <n v="0"/>
    <n v="0"/>
    <n v="0"/>
    <n v="0"/>
    <n v="0"/>
    <n v="0"/>
    <n v="0"/>
    <n v="0"/>
    <n v="0"/>
    <n v="0"/>
    <n v="7250000"/>
    <n v="7250000"/>
    <n v="7250000"/>
    <n v="7250000"/>
    <n v="0"/>
    <n v="0"/>
    <s v=" Elaborar los balances oferta utilización de productos mineros y la cuenta de producción y generación del ingreso en versión provisional para la operación estadística cuenta satélite de minería - CSM, en el marco del modelo genérico del proceso estadístic"/>
    <m/>
    <m/>
    <m/>
    <m/>
    <m/>
    <m/>
    <m/>
    <m/>
    <m/>
    <m/>
    <m/>
    <m/>
    <m/>
    <m/>
    <m/>
    <m/>
    <m/>
    <m/>
    <m/>
    <m/>
    <m/>
    <m/>
    <n v="7250000"/>
    <n v="7250000"/>
    <m/>
    <m/>
    <n v="7250000"/>
    <n v="7250000"/>
    <n v="0"/>
    <n v="0"/>
    <m/>
    <m/>
    <m/>
    <n v="7250000"/>
    <m/>
    <m/>
    <n v="0"/>
    <n v="725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36"/>
    <s v="Ampliar el conocimiento de los encadenamientos productivos asociados a la actividad minera por parte de los actores del sector."/>
    <s v="Documentos de Investigación"/>
    <s v="Documento con el diseño metodológico."/>
    <n v="80111620"/>
    <s v="C-2106-1900-12-40302A-2106002-02"/>
    <x v="0"/>
    <s v="140-36 Prestar servicios profesionales para apoyar a la Subdirección de Minería mediante la generación de análisis técnicos y sociales que contribuyan a la elaboración de documentos de investigación y variables interseccionales."/>
    <s v="Enero "/>
    <s v="Enero "/>
    <s v="Enero "/>
    <n v="10"/>
    <s v="Meses"/>
    <s v="Contratación directa - Prestación de servicios profesionales "/>
    <s v="Propios - 20 - Ingresos corrientes"/>
    <n v="9000000"/>
    <n v="9000000"/>
    <s v="No"/>
    <s v="N/A"/>
    <s v="Germán Tiberio Ojeda"/>
    <s v="Subdirector de Minería"/>
    <n v="6012220601"/>
    <s v="german.ojeda@upme.gov.co"/>
    <n v="9000000"/>
    <n v="0"/>
    <n v="0"/>
    <n v="0"/>
    <n v="0"/>
    <n v="0"/>
    <n v="0"/>
    <n v="0"/>
    <n v="0"/>
    <n v="0"/>
    <n v="0"/>
    <n v="0"/>
    <n v="0"/>
    <n v="0"/>
    <n v="0"/>
    <n v="0"/>
    <n v="0"/>
    <n v="0"/>
    <n v="0"/>
    <n v="2813333"/>
    <n v="0"/>
    <n v="3200000"/>
    <n v="0"/>
    <n v="2986667"/>
    <n v="9000000"/>
    <n v="9000000"/>
    <n v="0"/>
    <n v="0"/>
    <s v="Prestar servicios profesionales para apoyar a la Subdirección de Minería mediante la generación de análisis técnicos y sociales que contribuyan a la elaboración de documentos de investigación y variables interseccionales."/>
    <n v="9000000"/>
    <m/>
    <m/>
    <m/>
    <m/>
    <m/>
    <m/>
    <m/>
    <m/>
    <m/>
    <m/>
    <m/>
    <m/>
    <m/>
    <m/>
    <m/>
    <m/>
    <m/>
    <m/>
    <n v="2813333"/>
    <m/>
    <n v="3200000"/>
    <m/>
    <n v="2986667"/>
    <m/>
    <m/>
    <n v="9000000"/>
    <n v="9000000"/>
    <n v="0"/>
    <n v="0"/>
    <n v="47026"/>
    <d v="2026-01-19T00:00:00"/>
    <n v="9000000"/>
    <n v="0"/>
    <n v="23626"/>
    <d v="2026-01-27T00:00:00"/>
    <n v="9000000"/>
    <n v="0"/>
    <n v="0"/>
    <s v="ROJAS ROJAS ALVARO ANDRES"/>
    <s v="CO1.PCCNTR.9085139"/>
    <n v="9000000"/>
    <m/>
    <m/>
    <m/>
    <m/>
    <m/>
    <m/>
    <m/>
    <m/>
    <m/>
    <n v="3200000"/>
    <n v="3200000"/>
    <m/>
    <m/>
    <m/>
    <m/>
    <m/>
    <m/>
    <m/>
    <m/>
    <m/>
    <m/>
    <m/>
    <m/>
    <m/>
    <m/>
    <m/>
    <m/>
    <m/>
    <m/>
    <m/>
    <m/>
    <m/>
    <m/>
    <m/>
    <m/>
    <n v="9000000"/>
    <n v="3200000"/>
    <n v="3200000"/>
    <n v="5800000"/>
    <n v="0"/>
  </r>
  <r>
    <x v="0"/>
    <x v="9"/>
    <s v="Fortalecimiento de la planeación para el desarrollo minero responsable con los territorios en el marco de la transición energética a nivel nacional"/>
    <s v="Minería"/>
    <s v="Sí"/>
    <s v="Sí"/>
    <n v="68"/>
    <s v="140-37"/>
    <s v="Ampliar el conocimiento de los encadenamientos productivos asociados a la actividad minera por parte de los actores del sector."/>
    <s v="Documentos de Investigación"/>
    <s v="Documento con el diseño metodológico."/>
    <n v="80111620"/>
    <s v="C-2106-1900-12-40302A-2106002-02"/>
    <x v="0"/>
    <s v="140-37 Prestar servicios profesionales para apoyar a la Subdirección de Minería en la realización de análisis económicos, de mercado, prospectivos y de encadenamientos productivos, orientados a la elaboración, seguimiento y evaluación de los instrumentos "/>
    <s v="Enero "/>
    <s v="Enero "/>
    <s v="Enero "/>
    <n v="11"/>
    <s v="Meses"/>
    <s v="Contratación directa - Prestación de servicios profesionales "/>
    <s v="Propios - 20 - Ingresos corrientes"/>
    <n v="41840424"/>
    <n v="41840424"/>
    <s v="No"/>
    <s v="N/A"/>
    <s v="Germán Tiberio Ojeda"/>
    <s v="Subdirector de Minería"/>
    <n v="6012220601"/>
    <s v="german.ojeda@upme.gov.co"/>
    <n v="41840424"/>
    <n v="0"/>
    <n v="0"/>
    <n v="750000"/>
    <n v="0"/>
    <n v="7500000"/>
    <n v="0"/>
    <n v="7500000"/>
    <n v="0"/>
    <n v="7500000"/>
    <n v="0"/>
    <n v="7500000"/>
    <n v="0"/>
    <n v="7500000"/>
    <n v="0"/>
    <n v="3590424"/>
    <n v="0"/>
    <n v="0"/>
    <n v="0"/>
    <n v="0"/>
    <n v="0"/>
    <n v="0"/>
    <n v="0"/>
    <n v="0"/>
    <n v="41840424"/>
    <n v="41840424"/>
    <n v="0"/>
    <n v="0"/>
    <s v="Prestar servicios profesionales para apoyar a la Subdirección de Minería en la realización de análisis económicos, de mercado, prospectivos y de encadenamientos productivos, orientados a la elaboración, seguimiento y evaluación de los instrumentos de plan"/>
    <n v="41840424"/>
    <m/>
    <m/>
    <n v="750000"/>
    <m/>
    <n v="7500000"/>
    <m/>
    <n v="7500000"/>
    <m/>
    <n v="7500000"/>
    <m/>
    <n v="7500000"/>
    <m/>
    <n v="7500000"/>
    <m/>
    <n v="3590424"/>
    <m/>
    <m/>
    <m/>
    <m/>
    <m/>
    <m/>
    <m/>
    <m/>
    <m/>
    <m/>
    <n v="41840424"/>
    <n v="41840424"/>
    <n v="0"/>
    <n v="0"/>
    <n v="24726"/>
    <d v="2026-01-13T00:00:00"/>
    <n v="41840424"/>
    <n v="0"/>
    <n v="21326"/>
    <d v="2026-01-26T00:00:00"/>
    <n v="41840424"/>
    <n v="0"/>
    <n v="0"/>
    <s v="ACHURY RODRIGUEZ CAMILO ENRIQUE"/>
    <s v="CO1.PCCNTR.9060975"/>
    <n v="41840424"/>
    <m/>
    <m/>
    <m/>
    <m/>
    <m/>
    <m/>
    <n v="8500000"/>
    <n v="8500000"/>
    <m/>
    <n v="7500000"/>
    <n v="7500000"/>
    <m/>
    <m/>
    <m/>
    <m/>
    <m/>
    <m/>
    <m/>
    <m/>
    <m/>
    <m/>
    <m/>
    <m/>
    <m/>
    <m/>
    <m/>
    <m/>
    <m/>
    <m/>
    <m/>
    <m/>
    <m/>
    <m/>
    <m/>
    <m/>
    <n v="41840424"/>
    <n v="16000000"/>
    <n v="16000000"/>
    <n v="25840424"/>
    <n v="0"/>
  </r>
  <r>
    <x v="0"/>
    <x v="9"/>
    <s v="Fortalecimiento de la planeación para el desarrollo minero responsable con los territorios en el marco de la transición energética a nivel nacional"/>
    <s v="Minería"/>
    <s v="Sí"/>
    <s v="Sí"/>
    <n v="68"/>
    <s v="140-38"/>
    <s v="Ampliar el conocimiento de los encadenamientos productivos asociados a la actividad minera por parte de los actores del sector."/>
    <s v="Documentos de Investigación"/>
    <s v="Documento con el diseño metodológico."/>
    <n v="80111620"/>
    <s v="C-2106-1900-12-40302A-2106002-02"/>
    <x v="0"/>
    <s v="140-38 Prestar servicios profesionales para brindar apoyo en la Subdirección de Minería, para el análisis de datos técnicos para documentos de investigación que contribuyan a los estudios y análisis de datos del sector minero colombiano."/>
    <s v="Enero "/>
    <s v="Enero "/>
    <s v="Enero "/>
    <n v="11"/>
    <s v="Meses"/>
    <s v="Contratación directa - Prestación de servicios profesionales "/>
    <s v="Propios - 20 - Ingresos corrientes"/>
    <n v="66000000"/>
    <n v="66000000"/>
    <s v="No"/>
    <s v="N/A"/>
    <s v="Germán Tiberio Ojeda"/>
    <s v="Subdirector de Minería"/>
    <n v="6012220601"/>
    <s v="german.ojeda@upme.gov.co"/>
    <n v="66000000"/>
    <n v="0"/>
    <n v="0"/>
    <n v="0"/>
    <n v="0"/>
    <n v="6000000"/>
    <n v="0"/>
    <n v="6000000"/>
    <n v="0"/>
    <n v="6000000"/>
    <n v="0"/>
    <n v="6000000"/>
    <n v="0"/>
    <n v="6000000"/>
    <n v="0"/>
    <n v="6000000"/>
    <n v="0"/>
    <n v="6000000"/>
    <n v="0"/>
    <n v="6000000"/>
    <n v="0"/>
    <n v="6000000"/>
    <n v="0"/>
    <n v="12000000"/>
    <n v="66000000"/>
    <n v="66000000"/>
    <n v="0"/>
    <n v="0"/>
    <s v="Prestar servicios profesionales para brindar apoyo en la Subdirección de Minería, para el análisis de datos técnicos para documentos de investigación que contribuyan a los estudios y análisis de datos del sector minero colombiano."/>
    <n v="66000000"/>
    <m/>
    <m/>
    <m/>
    <m/>
    <n v="6000000"/>
    <m/>
    <n v="6000000"/>
    <m/>
    <n v="6000000"/>
    <m/>
    <n v="6000000"/>
    <m/>
    <n v="6000000"/>
    <m/>
    <n v="6000000"/>
    <m/>
    <n v="6000000"/>
    <m/>
    <n v="6000000"/>
    <m/>
    <n v="6000000"/>
    <m/>
    <n v="12000000"/>
    <m/>
    <m/>
    <n v="66000000"/>
    <n v="66000000"/>
    <n v="0"/>
    <n v="0"/>
    <n v="18826"/>
    <d v="2026-01-11T00:00:00"/>
    <n v="66000000"/>
    <n v="0"/>
    <n v="28626"/>
    <d v="2026-01-28T00:00:00"/>
    <n v="66000000"/>
    <n v="0"/>
    <n v="0"/>
    <s v="CACERES REMOLINA LUDWING FERNEY"/>
    <s v="CO1.PCCNTR. 9132553"/>
    <n v="66000000"/>
    <m/>
    <m/>
    <m/>
    <m/>
    <m/>
    <m/>
    <n v="6400000"/>
    <n v="6400000"/>
    <m/>
    <n v="6000000"/>
    <n v="6000000"/>
    <m/>
    <m/>
    <m/>
    <m/>
    <m/>
    <m/>
    <m/>
    <m/>
    <m/>
    <m/>
    <m/>
    <m/>
    <m/>
    <m/>
    <m/>
    <m/>
    <m/>
    <m/>
    <m/>
    <m/>
    <m/>
    <m/>
    <m/>
    <m/>
    <n v="66000000"/>
    <n v="12400000"/>
    <n v="12400000"/>
    <n v="53600000"/>
    <n v="0"/>
  </r>
  <r>
    <x v="0"/>
    <x v="9"/>
    <s v="Fortalecimiento de la planeación para el desarrollo minero responsable con los territorios en el marco de la transición energética a nivel nacional"/>
    <s v="Minería"/>
    <s v="Sí"/>
    <s v="Sí"/>
    <n v="17"/>
    <s v="140-39"/>
    <s v="Ampliar el conocimiento de los encadenamientos productivos asociados a la actividad minera por parte de los actores del sector."/>
    <s v="Documentos de Investigación"/>
    <s v="Documento con el diseño metodológico."/>
    <n v="80111620"/>
    <s v="C-2106-1900-12-40302A-2106002-02"/>
    <x v="0"/>
    <s v="140-39 Prestar servicios profesionales para apoyar a la Subdirección de Minería en el análisis y la gestión de datos que contribuyan a la formulación de los instrumentos de planeación, variables interseccionales para la elaboración de documentos de invest"/>
    <s v="Enero "/>
    <s v="Enero "/>
    <s v="Enero "/>
    <n v="10"/>
    <s v="Meses"/>
    <s v="Contratación directa - Prestación de servicios profesionales "/>
    <s v="Propios - 20 - Ingresos corrientes"/>
    <n v="0"/>
    <n v="0"/>
    <s v="No"/>
    <s v="N/A"/>
    <s v="Germán Tiberio Ojeda"/>
    <s v="Subdirector de Minería"/>
    <n v="6012220601"/>
    <s v="german.ojeda@upme.gov.co"/>
    <n v="0"/>
    <n v="0"/>
    <n v="0"/>
    <n v="0"/>
    <n v="0"/>
    <n v="0"/>
    <n v="0"/>
    <n v="0"/>
    <n v="0"/>
    <n v="0"/>
    <n v="0"/>
    <n v="0"/>
    <n v="0"/>
    <n v="0"/>
    <n v="0"/>
    <n v="0"/>
    <n v="0"/>
    <n v="0"/>
    <n v="0"/>
    <n v="0"/>
    <n v="0"/>
    <n v="0"/>
    <n v="54000000"/>
    <n v="54000000"/>
    <n v="54000000"/>
    <n v="54000000"/>
    <n v="-54000000"/>
    <n v="-54000000"/>
    <s v="Prestar servicios profesionales para apoyar a la Subdirección de Minería en el análisis y la gestión de datos que contribuyan a la formulación de los instrumentos de planeación, variables interseccionales para la elaboración de documentos de investigación"/>
    <m/>
    <m/>
    <m/>
    <m/>
    <m/>
    <m/>
    <m/>
    <m/>
    <m/>
    <m/>
    <m/>
    <m/>
    <m/>
    <m/>
    <m/>
    <m/>
    <m/>
    <m/>
    <m/>
    <m/>
    <m/>
    <m/>
    <n v="0"/>
    <n v="0"/>
    <m/>
    <m/>
    <n v="0"/>
    <n v="0"/>
    <n v="0"/>
    <n v="0"/>
    <n v="56726"/>
    <d v="2026-01-22T00:00:00"/>
    <m/>
    <n v="0"/>
    <m/>
    <m/>
    <n v="0"/>
    <n v="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40"/>
    <s v="Ampliar el conocimiento de los encadenamientos productivos asociados a la actividad minera por parte de los actores del sector."/>
    <s v="Documentos de Investigación"/>
    <s v="Documento con el diseño metodológico."/>
    <n v="80111620"/>
    <s v="C-2106-1900-12-40302A-2106002-02"/>
    <x v="0"/>
    <s v="140-4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6009896"/>
    <n v="6009896"/>
    <s v="No"/>
    <s v="N/A"/>
    <s v="Germán Tiberio Ojeda"/>
    <s v="Subdirector de Minería"/>
    <n v="6012220601"/>
    <s v="german.ojeda@upme.gov.co"/>
    <n v="0"/>
    <n v="0"/>
    <n v="6009896"/>
    <n v="0"/>
    <n v="0"/>
    <n v="0"/>
    <n v="0"/>
    <n v="0"/>
    <n v="0"/>
    <n v="0"/>
    <n v="0"/>
    <n v="0"/>
    <n v="0"/>
    <n v="5558398"/>
    <n v="0"/>
    <n v="451498"/>
    <n v="0"/>
    <n v="0"/>
    <n v="0"/>
    <n v="0"/>
    <n v="0"/>
    <n v="0"/>
    <n v="0"/>
    <n v="0"/>
    <n v="6009896"/>
    <n v="6009896"/>
    <n v="0"/>
    <n v="0"/>
    <s v="Prestar servicios profesionales orientados al fortalecimiento de la Dimensión de Control Interno mediante la ejecución del Plan Anual de Auditorías Internas Independientes, con énfasis en la evaluación de la gestión administrativa de la UPME."/>
    <m/>
    <m/>
    <n v="6009896"/>
    <m/>
    <m/>
    <m/>
    <m/>
    <m/>
    <m/>
    <m/>
    <m/>
    <m/>
    <m/>
    <n v="5558398"/>
    <m/>
    <n v="451498"/>
    <m/>
    <m/>
    <m/>
    <m/>
    <m/>
    <m/>
    <m/>
    <m/>
    <m/>
    <m/>
    <n v="6009896"/>
    <n v="6009896"/>
    <n v="0"/>
    <n v="0"/>
    <n v="64026"/>
    <d v="2026-01-23T00:00:00"/>
    <n v="6009896"/>
    <n v="0"/>
    <n v="59726"/>
    <d v="2026-02-12T00:00:00"/>
    <n v="6009896"/>
    <n v="0"/>
    <n v="0"/>
    <s v="NUÑEZ GANTIVA NATALIA ELIANA"/>
    <s v="CO1.PCCNTR.9306722"/>
    <m/>
    <m/>
    <m/>
    <n v="6009896"/>
    <m/>
    <m/>
    <m/>
    <m/>
    <m/>
    <m/>
    <m/>
    <m/>
    <m/>
    <m/>
    <m/>
    <m/>
    <m/>
    <m/>
    <m/>
    <m/>
    <m/>
    <m/>
    <m/>
    <m/>
    <m/>
    <m/>
    <m/>
    <m/>
    <m/>
    <m/>
    <m/>
    <m/>
    <m/>
    <m/>
    <m/>
    <m/>
    <n v="6009896"/>
    <n v="0"/>
    <n v="0"/>
    <n v="6009896"/>
    <n v="0"/>
  </r>
  <r>
    <x v="0"/>
    <x v="9"/>
    <s v="Fortalecimiento de la planeación para el desarrollo minero responsable con los territorios en el marco de la transición energética a nivel nacional"/>
    <s v="Minería"/>
    <s v="Sí"/>
    <s v="Sí"/>
    <n v="68"/>
    <s v="140-41"/>
    <s v="Ampliar el conocimiento de los encadenamientos productivos asociados a la actividad minera por parte de los actores del sector."/>
    <s v="Documentos de Investigación"/>
    <s v="Documento con el diseño metodológico."/>
    <n v="80111620"/>
    <s v="C-2106-1900-12-40302A-2106002-02"/>
    <x v="0"/>
    <s v="140-41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6009896"/>
    <n v="6009896"/>
    <s v="No"/>
    <s v="N/A"/>
    <s v="Germán Tiberio Ojeda"/>
    <s v="Subdirector de Minería"/>
    <n v="6012220601"/>
    <s v="german.ojeda@upme.gov.co"/>
    <n v="0"/>
    <n v="0"/>
    <n v="0"/>
    <n v="0"/>
    <n v="0"/>
    <n v="0"/>
    <n v="0"/>
    <n v="0"/>
    <n v="0"/>
    <n v="0"/>
    <n v="0"/>
    <n v="0"/>
    <n v="6009896"/>
    <n v="0"/>
    <n v="0"/>
    <n v="0"/>
    <n v="0"/>
    <n v="0"/>
    <n v="0"/>
    <n v="2000000"/>
    <n v="0"/>
    <n v="2000000"/>
    <n v="0"/>
    <n v="2009896"/>
    <n v="6009896"/>
    <n v="6009896"/>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009896"/>
    <m/>
    <m/>
    <m/>
    <m/>
    <m/>
    <m/>
    <n v="2000000"/>
    <m/>
    <n v="2000000"/>
    <m/>
    <n v="2009896"/>
    <m/>
    <m/>
    <n v="6009896"/>
    <n v="6009896"/>
    <n v="0"/>
    <n v="0"/>
    <m/>
    <m/>
    <m/>
    <n v="6009896"/>
    <m/>
    <m/>
    <n v="0"/>
    <n v="6009896"/>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42"/>
    <s v="Ampliar el conocimiento de los encadenamientos productivos asociados a la actividad minera por parte de los actores del sector."/>
    <s v="Documentos de Investigación"/>
    <s v="Documento con el diseño metodológico."/>
    <n v="80111620"/>
    <s v="C-2106-1900-12-40302A-2106002-02"/>
    <x v="0"/>
    <s v="140-42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6009897"/>
    <n v="6009897"/>
    <s v="No"/>
    <s v="N/A"/>
    <s v="Germán Tiberio Ojeda"/>
    <s v="Subdirector de Minería"/>
    <n v="6012220601"/>
    <s v="german.ojeda@upme.gov.co"/>
    <n v="0"/>
    <n v="0"/>
    <n v="0"/>
    <n v="0"/>
    <n v="0"/>
    <n v="0"/>
    <n v="0"/>
    <n v="0"/>
    <n v="0"/>
    <n v="0"/>
    <n v="0"/>
    <n v="0"/>
    <n v="6009897"/>
    <n v="0"/>
    <n v="0"/>
    <n v="0"/>
    <n v="0"/>
    <n v="0"/>
    <n v="0"/>
    <n v="2000000"/>
    <n v="0"/>
    <n v="2000000"/>
    <n v="0"/>
    <n v="2009897"/>
    <n v="6009897"/>
    <n v="6009897"/>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009897"/>
    <m/>
    <m/>
    <m/>
    <m/>
    <m/>
    <m/>
    <n v="2000000"/>
    <m/>
    <n v="2000000"/>
    <m/>
    <n v="2009897"/>
    <m/>
    <m/>
    <n v="6009897"/>
    <n v="6009897"/>
    <n v="0"/>
    <n v="0"/>
    <m/>
    <m/>
    <m/>
    <n v="6009897"/>
    <m/>
    <m/>
    <n v="0"/>
    <n v="6009897"/>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1"/>
    <s v="140-43"/>
    <s v="Ampliar el conocimiento de los encadenamientos productivos asociados a la actividad minera por parte de los actores del sector."/>
    <s v="Documentos de Investigación"/>
    <s v="Documento con el diseño metodológico."/>
    <n v="80111620"/>
    <s v="C-2106-1900-12-40302A-2106002-02"/>
    <x v="0"/>
    <s v="140-43 Prestar servicios profesionales para la proyección y/o revisión jurídica de los documentos de tipo legal producto de las actuaciones administrativas de competencia de la UPME, y lo que de ello se derive, en el marco de la gestión institucional de l"/>
    <s v="Enero "/>
    <s v="Enero "/>
    <s v="Enero "/>
    <n v="11"/>
    <s v="Meses"/>
    <s v="Contratación directa - Prestación de servicios profesionales "/>
    <s v="Propios - 20 - Ingresos corrientes"/>
    <n v="47850000"/>
    <n v="47850000"/>
    <s v="No"/>
    <s v="N/A"/>
    <s v="Germán Tiberio Ojeda"/>
    <s v="Subdirector de Minería"/>
    <n v="6012220601"/>
    <s v="german.ojeda@upme.gov.co"/>
    <n v="47850000"/>
    <n v="0"/>
    <n v="0"/>
    <n v="0"/>
    <n v="0"/>
    <n v="8700000"/>
    <n v="0"/>
    <n v="8700000"/>
    <n v="0"/>
    <n v="8700000"/>
    <n v="0"/>
    <n v="8700000"/>
    <n v="0"/>
    <n v="8700000"/>
    <n v="0"/>
    <n v="4350000"/>
    <n v="0"/>
    <n v="0"/>
    <n v="0"/>
    <n v="0"/>
    <n v="0"/>
    <n v="0"/>
    <n v="0"/>
    <n v="0"/>
    <n v="47850000"/>
    <n v="47850000"/>
    <n v="0"/>
    <n v="0"/>
    <s v="Prestar servicios profesionales para la proyección y/o revisión jurídica de los documentos de tipo legal producto de las actuaciones administrativas de competencia de la UPME, y lo que de ello se derive, en el marco de la gestión institucional de la Entid"/>
    <n v="47850000"/>
    <m/>
    <m/>
    <m/>
    <m/>
    <n v="8700000"/>
    <m/>
    <n v="8700000"/>
    <m/>
    <n v="8700000"/>
    <m/>
    <n v="8700000"/>
    <m/>
    <n v="8700000"/>
    <m/>
    <n v="4350000"/>
    <m/>
    <m/>
    <m/>
    <m/>
    <m/>
    <m/>
    <m/>
    <m/>
    <m/>
    <m/>
    <n v="47850000"/>
    <n v="47850000"/>
    <n v="0"/>
    <n v="0"/>
    <n v="14026"/>
    <d v="2026-01-09T00:00:00"/>
    <n v="47850000"/>
    <n v="0"/>
    <n v="24926"/>
    <d v="2026-01-28T00:00:00"/>
    <n v="47850000"/>
    <n v="0"/>
    <n v="0"/>
    <s v="MONROY CADAVID HECTOR GUSTAVO"/>
    <s v="CO1.PCCNTR.9044345"/>
    <n v="47850000"/>
    <m/>
    <m/>
    <m/>
    <n v="580000"/>
    <n v="580000"/>
    <m/>
    <n v="8700000"/>
    <n v="8700000"/>
    <m/>
    <n v="8700000"/>
    <n v="8700000"/>
    <m/>
    <m/>
    <m/>
    <m/>
    <m/>
    <m/>
    <m/>
    <m/>
    <m/>
    <m/>
    <m/>
    <m/>
    <m/>
    <m/>
    <m/>
    <m/>
    <m/>
    <m/>
    <m/>
    <m/>
    <m/>
    <m/>
    <m/>
    <m/>
    <n v="47850000"/>
    <n v="17980000"/>
    <n v="17980000"/>
    <n v="29870000"/>
    <n v="0"/>
  </r>
  <r>
    <x v="0"/>
    <x v="9"/>
    <s v="Fortalecimiento de la planeación para el desarrollo minero responsable con los territorios en el marco de la transición energética a nivel nacional"/>
    <s v="Minería"/>
    <s v="Sí"/>
    <s v="Sí"/>
    <n v="2"/>
    <s v="140-44"/>
    <s v="Ampliar el conocimiento de los encadenamientos productivos asociados a la actividad minera por parte de los actores del sector."/>
    <s v="Documentos de Investigación"/>
    <s v="Documento con el diseño metodológico."/>
    <n v="80111620"/>
    <s v="C-2106-1900-12-40302A-2106002-02"/>
    <x v="0"/>
    <s v="140-44  Prestar servicios ​profesionales en asuntos jurídicos relacionados con los procesos ​y procedimientos de competencia de la Subdirección de Minería, en el marco de la gestión institucional de la Entidad."/>
    <s v="Enero "/>
    <s v="Enero "/>
    <s v="Enero "/>
    <n v="11"/>
    <s v="Meses"/>
    <s v="Contratación directa - Prestación de servicios profesionales "/>
    <s v="Propios - 20 - Ingresos corrientes"/>
    <n v="27500000"/>
    <n v="27500000"/>
    <s v="No"/>
    <s v="N/A"/>
    <s v="Germán Tiberio Ojeda"/>
    <s v="Subdirector de Minería"/>
    <n v="6012220601"/>
    <s v="german.ojeda@upme.gov.co"/>
    <n v="27500000"/>
    <n v="0"/>
    <n v="0"/>
    <n v="0"/>
    <n v="0"/>
    <n v="5000000"/>
    <n v="0"/>
    <n v="5000000"/>
    <n v="0"/>
    <n v="5000000"/>
    <n v="0"/>
    <n v="5000000"/>
    <n v="0"/>
    <n v="5000000"/>
    <n v="0"/>
    <n v="2500000"/>
    <n v="0"/>
    <n v="0"/>
    <n v="0"/>
    <n v="0"/>
    <n v="0"/>
    <n v="0"/>
    <n v="0"/>
    <n v="0"/>
    <n v="27500000"/>
    <n v="27500000"/>
    <n v="0"/>
    <n v="0"/>
    <s v=" Prestar servicios ​profesionales en asuntos jurídicos relacionados con los procesos ​y procedimientos de competencia de la Subdirección de Minería, en el marco de la gestión institucional de la Entidad."/>
    <n v="27500000"/>
    <m/>
    <m/>
    <m/>
    <m/>
    <n v="5000000"/>
    <m/>
    <n v="5000000"/>
    <m/>
    <n v="5000000"/>
    <m/>
    <n v="5000000"/>
    <m/>
    <n v="5000000"/>
    <m/>
    <n v="2500000"/>
    <m/>
    <m/>
    <m/>
    <m/>
    <m/>
    <m/>
    <m/>
    <m/>
    <m/>
    <m/>
    <n v="27500000"/>
    <n v="27500000"/>
    <n v="0"/>
    <n v="0"/>
    <n v="39126"/>
    <d v="2026-01-15T00:00:00"/>
    <n v="27500000"/>
    <n v="0"/>
    <n v="27526"/>
    <d v="2026-01-28T00:00:00"/>
    <n v="27500000"/>
    <n v="0"/>
    <n v="0"/>
    <s v="FUENTES LOZANO CARLOS EDUARDO"/>
    <s v="CO1.PCCNTR.9129388"/>
    <n v="27500000"/>
    <m/>
    <m/>
    <m/>
    <m/>
    <m/>
    <m/>
    <n v="5333333"/>
    <n v="5333333"/>
    <m/>
    <n v="5000000"/>
    <n v="5000000"/>
    <m/>
    <m/>
    <m/>
    <m/>
    <m/>
    <m/>
    <m/>
    <m/>
    <m/>
    <m/>
    <m/>
    <m/>
    <m/>
    <m/>
    <m/>
    <m/>
    <m/>
    <m/>
    <m/>
    <m/>
    <m/>
    <m/>
    <m/>
    <m/>
    <n v="27500000"/>
    <n v="10333333"/>
    <n v="10333333"/>
    <n v="17166667"/>
    <n v="0"/>
  </r>
  <r>
    <x v="0"/>
    <x v="9"/>
    <s v="Fortalecimiento de la planeación para el desarrollo minero responsable con los territorios en el marco de la transición energética a nivel nacional"/>
    <s v="Minería"/>
    <s v="Sí"/>
    <s v="Sí"/>
    <s v="Radicado 20261400019863"/>
    <s v="140-45"/>
    <s v="Ampliar el conocimiento de los encadenamientos productivos asociados a la actividad minera por parte de los actores del sector."/>
    <s v="Documentos de Investigación"/>
    <s v="Documento con el diseño metodológico."/>
    <n v="80111620"/>
    <s v="C-2106-1900-12-40302A-2106002-02"/>
    <x v="0"/>
    <s v="140-45 Prestar servicios profesionales para brindar apoyo en la Subdirección de Minería, en la elaboración de estudios técnicos asociados a la actividad minera y documentos de investigación."/>
    <s v="Enero "/>
    <s v="Enero "/>
    <s v="Enero "/>
    <n v="8"/>
    <s v="Meses"/>
    <s v="Contratación directa - Prestación de servicios profesionales "/>
    <s v="Propios - 20 - Ingresos corrientes"/>
    <n v="34400000"/>
    <n v="34400000"/>
    <s v="No"/>
    <s v="N/A"/>
    <s v="Germán Tiberio Ojeda"/>
    <s v="Subdirector de Minería"/>
    <n v="6012220601"/>
    <s v="german.ojeda@upme.gov.co"/>
    <n v="0"/>
    <n v="0"/>
    <n v="34400000"/>
    <n v="0"/>
    <n v="0"/>
    <n v="0"/>
    <n v="0"/>
    <n v="1612500"/>
    <n v="0"/>
    <n v="5375000"/>
    <n v="0"/>
    <n v="5375000"/>
    <n v="0"/>
    <n v="5375000"/>
    <n v="0"/>
    <n v="5375000"/>
    <n v="0"/>
    <n v="5375000"/>
    <n v="0"/>
    <n v="5912500"/>
    <n v="0"/>
    <n v="0"/>
    <n v="0"/>
    <n v="0"/>
    <n v="34400000"/>
    <n v="34400000"/>
    <n v="0"/>
    <n v="0"/>
    <s v="Prestar servicios profesionales para brindar apoyo en la Subdirección de Minería, en la elaboración de estudios técnicos asociados a la actividad minera y documentos de investigación."/>
    <m/>
    <m/>
    <n v="34400000"/>
    <m/>
    <m/>
    <m/>
    <m/>
    <n v="1612500"/>
    <m/>
    <n v="5375000"/>
    <m/>
    <n v="5375000"/>
    <m/>
    <n v="5375000"/>
    <m/>
    <n v="5375000"/>
    <m/>
    <n v="5375000"/>
    <m/>
    <n v="5912500"/>
    <m/>
    <m/>
    <m/>
    <m/>
    <m/>
    <m/>
    <n v="34400000"/>
    <n v="34400000"/>
    <n v="0"/>
    <n v="0"/>
    <n v="46826"/>
    <d v="2026-01-19T00:00:00"/>
    <n v="34400000"/>
    <n v="0"/>
    <n v="37026"/>
    <d v="2026-02-02T00:00:00"/>
    <n v="34400000"/>
    <n v="0"/>
    <n v="0"/>
    <s v="CORREALES ROJAS LUCIO ALFREDO"/>
    <s v="CO1.PCCNTR.9158755"/>
    <m/>
    <m/>
    <m/>
    <n v="34400000"/>
    <m/>
    <m/>
    <m/>
    <m/>
    <m/>
    <m/>
    <n v="10391667"/>
    <n v="10391667"/>
    <m/>
    <m/>
    <m/>
    <m/>
    <m/>
    <m/>
    <m/>
    <m/>
    <m/>
    <m/>
    <m/>
    <m/>
    <m/>
    <m/>
    <m/>
    <m/>
    <m/>
    <m/>
    <m/>
    <m/>
    <m/>
    <m/>
    <m/>
    <m/>
    <n v="34400000"/>
    <n v="10391667"/>
    <n v="10391667"/>
    <n v="24008333"/>
    <n v="0"/>
  </r>
  <r>
    <x v="0"/>
    <x v="9"/>
    <s v="Fortalecimiento de la planeación para el desarrollo minero responsable con los territorios en el marco de la transición energética a nivel nacional"/>
    <s v="Minería"/>
    <s v="Sí"/>
    <s v="Sí"/>
    <n v="2"/>
    <s v="140-46"/>
    <s v="Ampliar el conocimiento de los encadenamientos productivos asociados a la actividad minera por parte de los actores del sector."/>
    <s v="Documentos de Planeación"/>
    <s v="Diagnóstico"/>
    <n v="80111620"/>
    <s v="C-2106-1900-12-40302A-2106003-02"/>
    <x v="0"/>
    <s v="140-46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31200000"/>
    <n v="31200000"/>
    <s v="No"/>
    <s v="N/A"/>
    <s v="Germán Tiberio Ojeda"/>
    <s v="Subdirector de Minería"/>
    <n v="6012220601"/>
    <s v="german.ojeda@upme.gov.co"/>
    <n v="31200000"/>
    <n v="0"/>
    <n v="0"/>
    <n v="750000"/>
    <n v="0"/>
    <n v="7500000"/>
    <n v="0"/>
    <n v="7500000"/>
    <n v="0"/>
    <n v="7500000"/>
    <n v="0"/>
    <n v="7500000"/>
    <n v="0"/>
    <n v="450000"/>
    <n v="0"/>
    <n v="0"/>
    <n v="0"/>
    <n v="0"/>
    <n v="0"/>
    <n v="0"/>
    <n v="0"/>
    <n v="0"/>
    <n v="0"/>
    <n v="0"/>
    <n v="31200000"/>
    <n v="31200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31200000"/>
    <m/>
    <m/>
    <n v="750000"/>
    <m/>
    <n v="7500000"/>
    <m/>
    <n v="7500000"/>
    <m/>
    <n v="7500000"/>
    <m/>
    <n v="7500000"/>
    <m/>
    <n v="450000"/>
    <m/>
    <m/>
    <m/>
    <m/>
    <m/>
    <m/>
    <m/>
    <m/>
    <m/>
    <m/>
    <m/>
    <m/>
    <n v="31200000"/>
    <n v="31200000"/>
    <n v="0"/>
    <n v="0"/>
    <n v="21226"/>
    <d v="2026-01-11T00:00:00"/>
    <n v="31200000"/>
    <n v="0"/>
    <n v="20126"/>
    <d v="2026-01-26T00:00:00"/>
    <n v="31200000"/>
    <n v="0"/>
    <n v="0"/>
    <s v="NEGRETE FLORES JOVANA"/>
    <s v=".CO1.PCCNTR.8997355"/>
    <n v="31200000"/>
    <m/>
    <m/>
    <m/>
    <m/>
    <m/>
    <m/>
    <n v="7500000"/>
    <n v="7500000"/>
    <m/>
    <n v="7500000"/>
    <n v="7500000"/>
    <m/>
    <m/>
    <m/>
    <m/>
    <m/>
    <m/>
    <m/>
    <m/>
    <m/>
    <m/>
    <m/>
    <m/>
    <m/>
    <m/>
    <m/>
    <m/>
    <m/>
    <m/>
    <m/>
    <m/>
    <m/>
    <m/>
    <m/>
    <m/>
    <n v="31200000"/>
    <n v="15000000"/>
    <n v="15000000"/>
    <n v="16200000"/>
    <n v="0"/>
  </r>
  <r>
    <x v="0"/>
    <x v="9"/>
    <s v="Fortalecimiento de la planeación para el desarrollo minero responsable con los territorios en el marco de la transición energética a nivel nacional"/>
    <s v="Minería"/>
    <s v="Sí"/>
    <s v="Sí"/>
    <n v="17"/>
    <s v="140-47"/>
    <s v="Ampliar el conocimiento de los encadenamientos productivos asociados a la actividad minera por parte de los actores del sector."/>
    <s v="Documentos de Planeación"/>
    <s v="Diagnóstico"/>
    <n v="80111620"/>
    <s v="C-2106-1900-12-40302A-2106003-02"/>
    <x v="0"/>
    <s v="140-47 Prestar servicios profesionales para apoyar a la Subdirección de Minería en la realización de análisis económicos, orientados a la elaboración, seguimiento y evaluación de los instrumentos de planeación del sector minero, así como en la generación "/>
    <s v="Enero "/>
    <s v="Enero "/>
    <s v="Enero "/>
    <n v="6"/>
    <s v="Meses"/>
    <s v="Contratación directa - Prestación de servicios profesionales "/>
    <s v="Propios - 20 - Ingresos corrientes"/>
    <n v="15800000"/>
    <n v="15800000"/>
    <s v="No"/>
    <s v="N/A"/>
    <s v="Germán Tiberio Ojeda"/>
    <s v="Subdirector de Minería"/>
    <n v="6012220601"/>
    <s v="german.ojeda@upme.gov.co"/>
    <n v="0"/>
    <n v="0"/>
    <n v="0"/>
    <n v="0"/>
    <n v="0"/>
    <n v="0"/>
    <n v="0"/>
    <n v="0"/>
    <n v="0"/>
    <n v="0"/>
    <n v="0"/>
    <n v="0"/>
    <n v="0"/>
    <n v="0"/>
    <n v="0"/>
    <n v="0"/>
    <n v="0"/>
    <n v="0"/>
    <n v="0"/>
    <n v="0"/>
    <n v="0"/>
    <n v="0"/>
    <n v="33000000"/>
    <n v="33000000"/>
    <n v="33000000"/>
    <n v="33000000"/>
    <n v="-17200000"/>
    <n v="-17200000"/>
    <s v="Prestar servicios profesionales para apoyar a la Subdirección de Minería en la realización de análisis económicos, orientados a la elaboración, seguimiento y evaluación de los instrumentos de planeación del sector minero, así como en la generación de insu"/>
    <n v="0"/>
    <n v="0"/>
    <n v="0"/>
    <n v="0"/>
    <n v="0"/>
    <n v="0"/>
    <n v="3100000"/>
    <n v="3100000"/>
    <n v="3100000"/>
    <n v="3100000"/>
    <n v="3100000"/>
    <n v="3100000"/>
    <n v="3100000"/>
    <n v="3100000"/>
    <n v="3400000"/>
    <n v="3400000"/>
    <n v="0"/>
    <n v="0"/>
    <n v="0"/>
    <n v="0"/>
    <n v="0"/>
    <n v="0"/>
    <n v="0"/>
    <n v="0"/>
    <m/>
    <m/>
    <n v="15800000"/>
    <n v="15800000"/>
    <n v="0"/>
    <n v="0"/>
    <n v="68726"/>
    <d v="2026-01-30T00:00:00"/>
    <m/>
    <n v="15800000"/>
    <m/>
    <m/>
    <n v="0"/>
    <n v="158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No"/>
    <s v="Sí"/>
    <n v="23"/>
    <s v="140-48"/>
    <s v="Ampliar el conocimiento de los encadenamientos productivos asociados a la actividad minera por parte de los actores del sector."/>
    <s v="Documentos de Planeación"/>
    <s v="Diagnóstico"/>
    <s v="N/A"/>
    <s v="C-2106-1900-12-40302A-2106003-02"/>
    <x v="4"/>
    <s v="140-48 Viáticos o gastos de desplazamiento"/>
    <s v="N/A"/>
    <s v="N/A"/>
    <s v="N/A"/>
    <s v="N/A"/>
    <s v="N/A"/>
    <s v="N/A"/>
    <s v="Propios - 20 - Ingresos corrientes"/>
    <n v="75700000"/>
    <n v="75700000"/>
    <s v="No"/>
    <s v="N/A"/>
    <s v="Germán Tiberio Ojeda"/>
    <s v="Subdirector de Minería"/>
    <n v="6012220601"/>
    <s v="german.ojeda@upme.gov.co"/>
    <n v="0"/>
    <n v="0"/>
    <n v="6000000"/>
    <n v="6000000"/>
    <n v="6000000"/>
    <n v="6000000"/>
    <n v="6000000"/>
    <n v="6000000"/>
    <n v="6000000"/>
    <n v="6000000"/>
    <n v="5000000"/>
    <n v="5000000"/>
    <n v="5000000"/>
    <n v="5000000"/>
    <n v="5000000"/>
    <n v="5000000"/>
    <n v="5000000"/>
    <n v="5000000"/>
    <n v="5000000"/>
    <n v="5000000"/>
    <n v="4500000"/>
    <n v="4500000"/>
    <n v="5000000"/>
    <n v="5000000"/>
    <n v="58500000"/>
    <n v="58500000"/>
    <n v="17200000"/>
    <n v="17200000"/>
    <s v="Viáticos o gastos de desplazamiento"/>
    <n v="0"/>
    <n v="0"/>
    <n v="6000000"/>
    <n v="6000000"/>
    <n v="8000000"/>
    <n v="8000000"/>
    <n v="8000000"/>
    <n v="8000000"/>
    <n v="8000000"/>
    <n v="8000000"/>
    <n v="7000000"/>
    <n v="7000000"/>
    <n v="7000000"/>
    <n v="7000000"/>
    <n v="7000000"/>
    <n v="7000000"/>
    <n v="7000000"/>
    <n v="7000000"/>
    <n v="7000000"/>
    <n v="7000000"/>
    <n v="5500000"/>
    <n v="5500000"/>
    <n v="5200000"/>
    <n v="5200000"/>
    <m/>
    <m/>
    <n v="75700000"/>
    <n v="75700000"/>
    <n v="0"/>
    <n v="0"/>
    <n v="55326.556259999998"/>
    <d v="2026-01-22T00:00:00"/>
    <n v="58500000"/>
    <n v="17200000"/>
    <s v="63425,63526,63626,63926,64026,6412,64226,68126,66426,66526,66626,71126,71226"/>
    <s v="12/03/2026,10/04/2026"/>
    <n v="16004377"/>
    <n v="59695623"/>
    <n v="42495623"/>
    <s v="OBANDO VARGAS MARIA CAROLINA,POVEDA FORERO GERMAN ANDRES,OJEDA PEDRAZA GERMAN TIBERIO,OBANDO VARGAS MARIA CAROLINA,POVEDA FORERO GERMAN ANDRES,ALVAREZ MEJIA JUAN GUILLERMO,OJEDA PEDRAZA GERMAN TIBERIO,POVEDA FORERO GERMAN ANDRES_x000a_"/>
    <m/>
    <m/>
    <m/>
    <m/>
    <m/>
    <m/>
    <m/>
    <n v="12685826"/>
    <n v="10173872"/>
    <n v="10173872"/>
    <n v="3318551"/>
    <n v="3158138"/>
    <n v="3158138"/>
    <m/>
    <m/>
    <m/>
    <m/>
    <m/>
    <m/>
    <m/>
    <m/>
    <m/>
    <m/>
    <m/>
    <m/>
    <m/>
    <m/>
    <m/>
    <m/>
    <m/>
    <m/>
    <m/>
    <m/>
    <m/>
    <m/>
    <m/>
    <m/>
    <n v="16004377"/>
    <n v="13332010"/>
    <n v="13332010"/>
    <n v="2672367"/>
    <n v="0"/>
  </r>
  <r>
    <x v="0"/>
    <x v="9"/>
    <s v="Fortalecimiento de la planeación para el desarrollo minero responsable con los territorios en el marco de la transición energética a nivel nacional"/>
    <s v="Minería"/>
    <s v="Sí"/>
    <s v="Sí"/>
    <s v="Radicado 20261400002193"/>
    <s v="140-49"/>
    <s v="Ampliar el conocimiento de los encadenamientos productivos asociados a la actividad minera por parte de los actores del sector."/>
    <s v="Documentos de Planeación"/>
    <s v="Diagnóstico"/>
    <n v="78111502"/>
    <s v="C-2106-1900-12-40302A-2106003-02"/>
    <x v="3"/>
    <s v="140-49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2000000"/>
    <n v="52000000"/>
    <s v="No"/>
    <s v="N/A"/>
    <s v="Germán Tiberio Ojeda"/>
    <s v="Subdirector de Minería"/>
    <n v="6012220601"/>
    <s v="german.ojeda@upme.gov.co"/>
    <n v="0"/>
    <n v="0"/>
    <n v="0"/>
    <n v="0"/>
    <n v="0"/>
    <n v="0"/>
    <n v="0"/>
    <n v="0"/>
    <n v="0"/>
    <n v="0"/>
    <n v="0"/>
    <n v="0"/>
    <n v="0"/>
    <n v="0"/>
    <n v="0"/>
    <n v="0"/>
    <n v="52000000"/>
    <n v="0"/>
    <n v="0"/>
    <n v="7428571"/>
    <n v="0"/>
    <n v="7428571"/>
    <n v="0"/>
    <n v="37142858"/>
    <n v="52000000"/>
    <n v="52000000"/>
    <n v="0"/>
    <n v="0"/>
    <s v="Adquirir los servicios necesarios para garantizar el desplazamiento de servidores públicos y contratistas de la UPME a los eventos y espacios institucionales de planeación minero energética."/>
    <m/>
    <m/>
    <m/>
    <m/>
    <m/>
    <m/>
    <m/>
    <m/>
    <m/>
    <m/>
    <m/>
    <m/>
    <m/>
    <m/>
    <m/>
    <m/>
    <n v="52000000"/>
    <m/>
    <m/>
    <n v="7428571"/>
    <m/>
    <n v="7428571"/>
    <m/>
    <n v="37142858"/>
    <m/>
    <m/>
    <n v="52000000"/>
    <n v="52000000"/>
    <n v="0"/>
    <n v="0"/>
    <m/>
    <m/>
    <m/>
    <n v="52000000"/>
    <m/>
    <m/>
    <n v="0"/>
    <n v="52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50"/>
    <s v="Ampliar el conocimiento de los encadenamientos productivos asociados a la actividad minera por parte de los actores del sector."/>
    <s v="Documentos de Planeación"/>
    <s v="Documento de planeación preliminar."/>
    <n v="80111620"/>
    <s v="C-2106-1900-12-40302A-2106003-02"/>
    <x v="0"/>
    <s v="140-50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11750000"/>
    <n v="11750000"/>
    <s v="No"/>
    <s v="N/A"/>
    <s v="Germán Tiberio Ojeda"/>
    <s v="Subdirector de Minería"/>
    <n v="6012220601"/>
    <s v="german.ojeda@upme.gov.co"/>
    <n v="11750000"/>
    <n v="0"/>
    <n v="0"/>
    <n v="0"/>
    <n v="0"/>
    <n v="0"/>
    <n v="0"/>
    <n v="0"/>
    <n v="0"/>
    <n v="0"/>
    <n v="0"/>
    <n v="0"/>
    <n v="0"/>
    <n v="0"/>
    <n v="0"/>
    <n v="0"/>
    <n v="0"/>
    <n v="0"/>
    <n v="0"/>
    <n v="0"/>
    <n v="0"/>
    <n v="0"/>
    <n v="0"/>
    <n v="11750000"/>
    <n v="11750000"/>
    <n v="11750000"/>
    <n v="0"/>
    <n v="0"/>
    <s v="Prestar servicios profesionales de apoyo a la Subdirección de Minería en los asuntos relacionados con el cumplimiento de su misionalidad, así como en el acompañamiento en las actividades de divulgación, planeación e investigación del sector minero."/>
    <n v="11750000"/>
    <m/>
    <m/>
    <m/>
    <m/>
    <m/>
    <m/>
    <m/>
    <m/>
    <m/>
    <m/>
    <m/>
    <m/>
    <m/>
    <m/>
    <m/>
    <m/>
    <m/>
    <m/>
    <m/>
    <m/>
    <m/>
    <m/>
    <n v="11750000"/>
    <m/>
    <m/>
    <n v="11750000"/>
    <n v="11750000"/>
    <n v="0"/>
    <n v="0"/>
    <n v="4626"/>
    <d v="2026-01-05T00:00:00"/>
    <n v="11750000"/>
    <n v="0"/>
    <n v="13226"/>
    <d v="2026-01-20T00:00:00"/>
    <n v="11750000"/>
    <n v="0"/>
    <n v="0"/>
    <s v="HERNANDEZ MARIN CRISTHIAN OCTAVIO"/>
    <s v="CO1.PCCNTR.8960645"/>
    <n v="11750000"/>
    <m/>
    <m/>
    <m/>
    <m/>
    <m/>
    <m/>
    <m/>
    <m/>
    <m/>
    <m/>
    <m/>
    <m/>
    <m/>
    <m/>
    <m/>
    <m/>
    <m/>
    <m/>
    <m/>
    <m/>
    <m/>
    <m/>
    <m/>
    <m/>
    <m/>
    <m/>
    <m/>
    <m/>
    <m/>
    <m/>
    <m/>
    <m/>
    <m/>
    <m/>
    <m/>
    <n v="11750000"/>
    <n v="0"/>
    <n v="0"/>
    <n v="11750000"/>
    <n v="0"/>
  </r>
  <r>
    <x v="0"/>
    <x v="9"/>
    <s v="Fortalecimiento de la planeación para el desarrollo minero responsable con los territorios en el marco de la transición energética a nivel nacional"/>
    <s v="Minería"/>
    <s v="Sí"/>
    <s v="Sí"/>
    <n v="68"/>
    <s v="140-51"/>
    <s v="Ampliar el conocimiento de los encadenamientos productivos asociados a la actividad minera por parte de los actores del sector."/>
    <s v="Documentos de Planeación"/>
    <s v="Documento de planeación preliminar."/>
    <n v="80111620"/>
    <s v="C-2106-1900-12-40302A-2106003-02"/>
    <x v="0"/>
    <s v="140-51 Prestar servicios profesionales para brindar apoyo a la subdirección de minería para el modelamiento del sector minero colombiano a través de las herramientas como dinámica de sistemas y Python, como soporte a los documentos técnicos y de planeació"/>
    <s v="Enero "/>
    <s v="Enero "/>
    <s v="Enero "/>
    <n v="11"/>
    <s v="Meses"/>
    <s v="Contratación directa - Prestación de servicios profesionales "/>
    <s v="Propios - 20 - Ingresos corrientes"/>
    <n v="36250000"/>
    <n v="36250000"/>
    <s v="No"/>
    <s v="N/A"/>
    <s v="Germán Tiberio Ojeda"/>
    <s v="Subdirector de Minería"/>
    <n v="6012220601"/>
    <s v="german.ojeda@upme.gov.co"/>
    <n v="36250000"/>
    <n v="0"/>
    <n v="0"/>
    <n v="750000"/>
    <n v="0"/>
    <n v="7500000"/>
    <n v="0"/>
    <n v="7500000"/>
    <n v="0"/>
    <n v="7500000"/>
    <n v="0"/>
    <n v="7500000"/>
    <n v="0"/>
    <n v="5500000"/>
    <n v="0"/>
    <n v="0"/>
    <n v="0"/>
    <n v="0"/>
    <n v="0"/>
    <n v="0"/>
    <n v="0"/>
    <n v="0"/>
    <n v="0"/>
    <n v="0"/>
    <n v="36250000"/>
    <n v="36250000"/>
    <n v="0"/>
    <n v="0"/>
    <s v="Prestar servicios profesionales para brindar apoyo a la subdirección de minería para el modelamiento del sector minero colombiano a través de las herramientas como dinámica de sistemas y Python, como soporte a los documentos técnicos y de planeación miner"/>
    <n v="36250000"/>
    <m/>
    <m/>
    <n v="750000"/>
    <m/>
    <n v="7500000"/>
    <m/>
    <n v="7500000"/>
    <m/>
    <n v="7500000"/>
    <m/>
    <n v="7500000"/>
    <m/>
    <n v="5500000"/>
    <m/>
    <m/>
    <m/>
    <m/>
    <m/>
    <m/>
    <m/>
    <m/>
    <m/>
    <m/>
    <m/>
    <m/>
    <n v="36250000"/>
    <n v="36250000"/>
    <n v="0"/>
    <n v="0"/>
    <n v="40726"/>
    <d v="2026-01-16T00:00:00"/>
    <n v="36250000"/>
    <n v="0"/>
    <n v="21026"/>
    <d v="2026-01-26T00:00:00"/>
    <n v="36250000"/>
    <n v="0"/>
    <n v="0"/>
    <s v="AVILA CHOCONTA HAROL ANDREY"/>
    <s v="CO1.PCCNTR.9060266"/>
    <n v="36250000"/>
    <m/>
    <m/>
    <m/>
    <n v="1000000"/>
    <n v="1000000"/>
    <m/>
    <n v="7500000"/>
    <n v="7500000"/>
    <m/>
    <n v="7500000"/>
    <n v="7500000"/>
    <m/>
    <m/>
    <m/>
    <m/>
    <m/>
    <m/>
    <m/>
    <m/>
    <m/>
    <m/>
    <m/>
    <m/>
    <m/>
    <m/>
    <m/>
    <m/>
    <m/>
    <m/>
    <m/>
    <m/>
    <m/>
    <m/>
    <m/>
    <m/>
    <n v="36250000"/>
    <n v="16000000"/>
    <n v="16000000"/>
    <n v="20250000"/>
    <n v="0"/>
  </r>
  <r>
    <x v="0"/>
    <x v="9"/>
    <s v="Fortalecimiento de la planeación para el desarrollo minero responsable con los territorios en el marco de la transición energética a nivel nacional"/>
    <s v="Minería"/>
    <s v="Sí"/>
    <s v="Sí"/>
    <n v="68"/>
    <s v="140-52"/>
    <s v="Ampliar el conocimiento de los encadenamientos productivos asociados a la actividad minera por parte de los actores del sector."/>
    <s v="Documentos de Planeación"/>
    <s v="Documento de planeación preliminar."/>
    <n v="80111620"/>
    <s v="C-2106-1900-12-40302A-2106003-02"/>
    <x v="0"/>
    <s v="140-52 Prestar servicios ​profesionales de asesoría en los asuntos jurídicos y judiciales de competencia de la UPME, al igual que asesoría en los documentos técnicos, de planeación y servicios de divulgación del sector minero y lo que de ello se derive, e"/>
    <s v="Enero "/>
    <s v="Enero "/>
    <s v="Enero "/>
    <n v="11.5"/>
    <s v="Meses"/>
    <s v="Contratación directa - Prestación de servicios profesionales "/>
    <s v="Propios - 20 - Ingresos corrientes"/>
    <n v="68534887"/>
    <n v="68534887"/>
    <s v="No"/>
    <s v="N/A"/>
    <s v="Germán Tiberio Ojeda"/>
    <s v="Subdirector de Minería"/>
    <n v="6012220601"/>
    <s v="german.ojeda@upme.gov.co"/>
    <n v="68534887"/>
    <n v="0"/>
    <n v="0"/>
    <n v="0"/>
    <n v="0"/>
    <n v="0"/>
    <n v="0"/>
    <n v="8489887"/>
    <n v="0"/>
    <n v="12100000"/>
    <n v="0"/>
    <n v="12100000"/>
    <n v="0"/>
    <n v="12100000"/>
    <n v="0"/>
    <n v="12100000"/>
    <n v="0"/>
    <n v="11645000"/>
    <n v="0"/>
    <n v="0"/>
    <n v="0"/>
    <n v="0"/>
    <n v="0"/>
    <n v="0"/>
    <n v="68534887"/>
    <n v="68534887"/>
    <n v="0"/>
    <n v="0"/>
    <s v="Prestar servicios ​profesionales de asesoría en los asuntos jurídicos y judiciales de competencia de la UPME, al igual que asesoría en los documentos técnicos, de planeación y servicios de divulgación del sector minero y lo que de ello se derive, en el ma"/>
    <n v="68534887"/>
    <m/>
    <m/>
    <m/>
    <m/>
    <m/>
    <m/>
    <n v="8489887"/>
    <m/>
    <n v="12100000"/>
    <m/>
    <n v="12100000"/>
    <m/>
    <n v="12100000"/>
    <m/>
    <n v="12100000"/>
    <m/>
    <n v="11645000"/>
    <m/>
    <m/>
    <m/>
    <m/>
    <m/>
    <m/>
    <m/>
    <m/>
    <n v="68534887"/>
    <n v="68534887"/>
    <n v="0"/>
    <n v="0"/>
    <n v="3626"/>
    <d v="2026-01-05T00:00:00"/>
    <n v="68534887"/>
    <n v="0"/>
    <n v="14326"/>
    <d v="2026-01-21T00:00:00"/>
    <n v="68534887"/>
    <n v="0"/>
    <n v="0"/>
    <s v="TOVAR PERILLA CAMILO ANDRES"/>
    <s v="CO1.PCCNTR.8926095"/>
    <n v="68534887"/>
    <m/>
    <m/>
    <m/>
    <n v="3630000"/>
    <n v="3630000"/>
    <m/>
    <n v="12100000"/>
    <n v="12100000"/>
    <m/>
    <n v="12100000"/>
    <n v="12100000"/>
    <m/>
    <m/>
    <m/>
    <m/>
    <m/>
    <m/>
    <m/>
    <m/>
    <m/>
    <m/>
    <m/>
    <m/>
    <m/>
    <m/>
    <m/>
    <m/>
    <m/>
    <m/>
    <m/>
    <m/>
    <m/>
    <m/>
    <m/>
    <m/>
    <n v="68534887"/>
    <n v="27830000"/>
    <n v="27830000"/>
    <n v="40704887"/>
    <n v="0"/>
  </r>
  <r>
    <x v="0"/>
    <x v="9"/>
    <s v="Fortalecimiento de la planeación para el desarrollo minero responsable con los territorios en el marco de la transición energética a nivel nacional"/>
    <s v="Minería"/>
    <s v="Sí"/>
    <s v="Sí"/>
    <n v="2"/>
    <s v="140-53"/>
    <s v="Ampliar el conocimiento de los encadenamientos productivos asociados a la actividad minera por parte de los actores del sector."/>
    <s v="Documentos de Planeación"/>
    <s v="Documento de planeación preliminar."/>
    <n v="80111620"/>
    <s v="C-2106-1900-12-40302A-2106003-02"/>
    <x v="0"/>
    <s v="140-53 Prestar servicios profesionales para apoyar a la Subdirección de Minería en la articulación, funcionamiento y coordinación de los procesos de planeación del sector minero, mediante la elaboración de documentos técnicos, la evaluación de los planes "/>
    <s v="Enero "/>
    <s v="Enero "/>
    <s v="Enero "/>
    <n v="11"/>
    <s v="Meses"/>
    <s v="Contratación directa - Prestación de servicios profesionales "/>
    <s v="Propios - 20 - Ingresos corrientes"/>
    <n v="54715113"/>
    <n v="54715113"/>
    <s v="No"/>
    <s v="N/A"/>
    <s v="Germán Tiberio Ojeda"/>
    <s v="Subdirector de Minería"/>
    <n v="6012220601"/>
    <s v="german.ojeda@upme.gov.co"/>
    <n v="54715113"/>
    <n v="0"/>
    <n v="0"/>
    <n v="2700000"/>
    <n v="0"/>
    <n v="9000000"/>
    <n v="0"/>
    <n v="9000000"/>
    <n v="0"/>
    <n v="9000000"/>
    <n v="0"/>
    <n v="9000000"/>
    <n v="0"/>
    <n v="9000000"/>
    <n v="0"/>
    <n v="7015113"/>
    <n v="0"/>
    <n v="0"/>
    <n v="0"/>
    <n v="0"/>
    <n v="0"/>
    <n v="0"/>
    <n v="0"/>
    <n v="0"/>
    <n v="54715113"/>
    <n v="54715113"/>
    <n v="0"/>
    <n v="0"/>
    <s v="Prestar servicios profesionales para apoyar a la Subdirección de Minería en la articulación, funcionamiento y coordinación de los procesos de planeación del sector minero, mediante la elaboración de documentos técnicos, la evaluación de los planes subsect"/>
    <n v="54715113"/>
    <m/>
    <m/>
    <n v="2700000"/>
    <m/>
    <n v="9000000"/>
    <m/>
    <n v="9000000"/>
    <m/>
    <n v="9000000"/>
    <m/>
    <n v="9000000"/>
    <m/>
    <n v="9000000"/>
    <m/>
    <n v="7015113"/>
    <m/>
    <m/>
    <m/>
    <m/>
    <m/>
    <m/>
    <m/>
    <m/>
    <m/>
    <m/>
    <n v="54715113"/>
    <n v="54715113"/>
    <n v="0"/>
    <n v="0"/>
    <n v="21626"/>
    <d v="2026-01-11T00:00:00"/>
    <n v="54715113"/>
    <n v="0"/>
    <n v="12726"/>
    <d v="2026-01-20T00:00:00"/>
    <n v="54715113"/>
    <n v="0"/>
    <n v="0"/>
    <s v="SANTAMARIA ARAGON JULIAN ESTEBAN"/>
    <s v="CO1.PCCNTR.8938523"/>
    <n v="54715113"/>
    <m/>
    <m/>
    <m/>
    <n v="3000000"/>
    <n v="3000000"/>
    <m/>
    <n v="9000000"/>
    <n v="9000000"/>
    <m/>
    <n v="9000000"/>
    <n v="9000000"/>
    <m/>
    <m/>
    <m/>
    <m/>
    <m/>
    <m/>
    <m/>
    <m/>
    <m/>
    <m/>
    <m/>
    <m/>
    <m/>
    <m/>
    <m/>
    <m/>
    <m/>
    <m/>
    <m/>
    <m/>
    <m/>
    <m/>
    <m/>
    <m/>
    <n v="54715113"/>
    <n v="21000000"/>
    <n v="21000000"/>
    <n v="33715113"/>
    <n v="0"/>
  </r>
  <r>
    <x v="0"/>
    <x v="9"/>
    <s v="Fortalecimiento de la planeación para el desarrollo minero responsable con los territorios en el marco de la transición energética a nivel nacional"/>
    <s v="Minería"/>
    <s v="Sí"/>
    <s v="Sí"/>
    <n v="68"/>
    <s v="140-54"/>
    <s v="Ampliar el conocimiento de los encadenamientos productivos asociados a la actividad minera por parte de los actores del sector."/>
    <s v="Documentos de Planeación"/>
    <s v="Documento de planeación preliminar."/>
    <n v="80111620"/>
    <s v="C-2106-1900-12-40302A-2106003-02"/>
    <x v="8"/>
    <s v="140-54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0 - Ingresos corrientes"/>
    <n v="9780518"/>
    <n v="9780518"/>
    <s v="No"/>
    <s v="N/A"/>
    <s v="Germán Tiberio Ojeda"/>
    <s v="Subdirector de Minería"/>
    <n v="6012220601"/>
    <s v="german.ojeda@upme.gov.co"/>
    <n v="0"/>
    <n v="0"/>
    <n v="0"/>
    <n v="0"/>
    <n v="0"/>
    <n v="0"/>
    <n v="0"/>
    <n v="0"/>
    <n v="0"/>
    <n v="0"/>
    <n v="0"/>
    <n v="0"/>
    <n v="9780518"/>
    <n v="0"/>
    <n v="0"/>
    <n v="0"/>
    <n v="0"/>
    <n v="0"/>
    <n v="0"/>
    <n v="0"/>
    <n v="0"/>
    <n v="0"/>
    <n v="0"/>
    <n v="9780518"/>
    <n v="9780518"/>
    <n v="9780518"/>
    <n v="0"/>
    <n v="0"/>
    <s v="Desarrollo de nuevos indicadores, analítica y tableros para el SIMCO basados en información sectorial agregando valor a la divulgación de las estadísticas del sector minero"/>
    <m/>
    <m/>
    <m/>
    <m/>
    <m/>
    <m/>
    <m/>
    <m/>
    <m/>
    <m/>
    <m/>
    <m/>
    <n v="9780518"/>
    <m/>
    <m/>
    <m/>
    <m/>
    <m/>
    <m/>
    <m/>
    <m/>
    <m/>
    <m/>
    <n v="9780518"/>
    <m/>
    <m/>
    <n v="9780518"/>
    <n v="9780518"/>
    <n v="0"/>
    <n v="0"/>
    <m/>
    <m/>
    <m/>
    <n v="9780518"/>
    <m/>
    <m/>
    <n v="0"/>
    <n v="9780518"/>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55"/>
    <s v="Ampliar el conocimiento de los encadenamientos productivos asociados a la actividad minera por parte de los actores del sector."/>
    <s v="Documentos de Planeación"/>
    <s v="Documento de planeación validado."/>
    <n v="80111620"/>
    <s v="C-2106-1900-12-40302A-2106003-02"/>
    <x v="0"/>
    <s v="140-55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5125000"/>
    <n v="5125000"/>
    <s v="No"/>
    <s v="N/A"/>
    <s v="Germán Tiberio Ojeda"/>
    <s v="Subdirector de Minería"/>
    <n v="6012220601"/>
    <s v="german.ojeda@upme.gov.co"/>
    <n v="5125000"/>
    <n v="0"/>
    <n v="0"/>
    <n v="0"/>
    <n v="0"/>
    <n v="0"/>
    <n v="0"/>
    <n v="0"/>
    <n v="0"/>
    <n v="0"/>
    <n v="0"/>
    <n v="0"/>
    <n v="0"/>
    <n v="0"/>
    <n v="0"/>
    <n v="0"/>
    <n v="0"/>
    <n v="0"/>
    <n v="0"/>
    <n v="0"/>
    <n v="0"/>
    <n v="0"/>
    <n v="0"/>
    <n v="5125000"/>
    <n v="5125000"/>
    <n v="5125000"/>
    <n v="0"/>
    <n v="0"/>
    <s v="Prestar servicios profesionales de apoyo a la Subdirección de Minería en los asuntos relacionados con el cumplimiento de su misionalidad, así como en el acompañamiento en las actividades de divulgación, planeación e investigación del sector minero."/>
    <n v="5125000"/>
    <m/>
    <m/>
    <m/>
    <m/>
    <m/>
    <m/>
    <m/>
    <m/>
    <m/>
    <m/>
    <m/>
    <m/>
    <m/>
    <m/>
    <m/>
    <m/>
    <m/>
    <m/>
    <m/>
    <m/>
    <m/>
    <m/>
    <n v="5125000"/>
    <m/>
    <m/>
    <n v="5125000"/>
    <n v="5125000"/>
    <n v="0"/>
    <n v="0"/>
    <n v="4626"/>
    <d v="2026-01-05T00:00:00"/>
    <n v="5125000"/>
    <n v="0"/>
    <n v="13226"/>
    <d v="2026-01-20T00:00:00"/>
    <n v="5125000"/>
    <n v="0"/>
    <n v="0"/>
    <s v="HERNANDEZ MARIN CRISTHIAN OCTAVIO"/>
    <s v="CO1.PCCNTR.8960645"/>
    <n v="5125000"/>
    <m/>
    <m/>
    <m/>
    <m/>
    <m/>
    <m/>
    <m/>
    <m/>
    <m/>
    <m/>
    <m/>
    <m/>
    <m/>
    <m/>
    <m/>
    <m/>
    <m/>
    <m/>
    <m/>
    <m/>
    <m/>
    <m/>
    <m/>
    <m/>
    <m/>
    <m/>
    <m/>
    <m/>
    <m/>
    <m/>
    <m/>
    <m/>
    <m/>
    <m/>
    <m/>
    <n v="5125000"/>
    <n v="0"/>
    <n v="0"/>
    <n v="5125000"/>
    <n v="0"/>
  </r>
  <r>
    <x v="0"/>
    <x v="9"/>
    <s v="Fortalecimiento de la planeación para el desarrollo minero responsable con los territorios en el marco de la transición energética a nivel nacional"/>
    <s v="Minería"/>
    <s v="Sí"/>
    <s v="Sí"/>
    <n v="68"/>
    <s v="140-56"/>
    <s v="Ampliar el conocimiento de los encadenamientos productivos asociados a la actividad minera por parte de los actores del sector."/>
    <s v="Documentos de Planeación"/>
    <s v="Documento de planeación validado."/>
    <n v="80111620"/>
    <s v="C-2106-1900-12-40302A-2106003-02"/>
    <x v="0"/>
    <s v="140-56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1675000"/>
    <n v="1675000"/>
    <s v="No"/>
    <s v="N/A"/>
    <s v="Germán Tiberio Ojeda"/>
    <s v="Subdirector de Minería"/>
    <n v="6012220601"/>
    <s v="german.ojeda@upme.gov.co"/>
    <n v="1675000"/>
    <n v="0"/>
    <n v="0"/>
    <n v="0"/>
    <n v="0"/>
    <n v="0"/>
    <n v="0"/>
    <n v="0"/>
    <n v="0"/>
    <n v="0"/>
    <n v="0"/>
    <n v="0"/>
    <n v="0"/>
    <n v="1675000"/>
    <n v="0"/>
    <n v="0"/>
    <n v="0"/>
    <n v="0"/>
    <n v="0"/>
    <n v="0"/>
    <n v="0"/>
    <n v="0"/>
    <n v="0"/>
    <n v="0"/>
    <n v="1675000"/>
    <n v="1675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1675000"/>
    <m/>
    <m/>
    <m/>
    <m/>
    <m/>
    <m/>
    <m/>
    <m/>
    <m/>
    <m/>
    <m/>
    <m/>
    <n v="1675000"/>
    <m/>
    <m/>
    <m/>
    <m/>
    <m/>
    <m/>
    <m/>
    <m/>
    <m/>
    <m/>
    <m/>
    <m/>
    <n v="1675000"/>
    <n v="1675000"/>
    <n v="0"/>
    <n v="0"/>
    <n v="21226"/>
    <d v="2026-01-11T00:00:00"/>
    <n v="1675000"/>
    <n v="0"/>
    <n v="20126"/>
    <d v="2026-01-26T00:00:00"/>
    <n v="1675000"/>
    <n v="0"/>
    <n v="0"/>
    <s v="NEGRETE FLORES JOVANA"/>
    <s v=".CO1.PCCNTR.8997355"/>
    <n v="1675000"/>
    <m/>
    <m/>
    <m/>
    <n v="1000000"/>
    <n v="1000000"/>
    <m/>
    <m/>
    <m/>
    <m/>
    <m/>
    <m/>
    <m/>
    <m/>
    <m/>
    <m/>
    <m/>
    <m/>
    <m/>
    <m/>
    <m/>
    <m/>
    <m/>
    <m/>
    <m/>
    <m/>
    <m/>
    <m/>
    <m/>
    <m/>
    <m/>
    <m/>
    <m/>
    <m/>
    <m/>
    <m/>
    <n v="1675000"/>
    <n v="1000000"/>
    <n v="1000000"/>
    <n v="675000"/>
    <n v="0"/>
  </r>
  <r>
    <x v="0"/>
    <x v="9"/>
    <s v="Fortalecimiento de la planeación para el desarrollo minero responsable con los territorios en el marco de la transición energética a nivel nacional"/>
    <s v="Minería"/>
    <s v="Sí"/>
    <s v="Sí"/>
    <n v="68"/>
    <s v="140-57"/>
    <s v="Ampliar el conocimiento de los encadenamientos productivos asociados a la actividad minera por parte de los actores del sector."/>
    <s v="Documentos de Planeación"/>
    <s v="Documento de planeación validado."/>
    <n v="80111620"/>
    <s v="C-2106-1900-12-40302A-2106003-02"/>
    <x v="0"/>
    <s v="140-57 Prestar servicios profesionales para apoyar las actividades relacionadas con el seguimiento financiero del proyecto de inversión y de planeación de la Subdirección de Minería"/>
    <s v="Enero "/>
    <s v="Enero "/>
    <s v="Enero "/>
    <n v="11"/>
    <s v="Meses"/>
    <s v="Contratación directa - Prestación de servicios profesionales "/>
    <s v="Propios - 20 - Ingresos corrientes"/>
    <n v="30250000"/>
    <n v="30250000"/>
    <s v="No"/>
    <s v="N/A"/>
    <s v="Germán Tiberio Ojeda"/>
    <s v="Subdirector de Minería"/>
    <n v="6012220601"/>
    <s v="german.ojeda@upme.gov.co"/>
    <n v="30250000"/>
    <n v="0"/>
    <n v="0"/>
    <n v="1625085"/>
    <n v="0"/>
    <n v="5416950"/>
    <n v="0"/>
    <n v="5416950"/>
    <n v="0"/>
    <n v="5416950"/>
    <n v="0"/>
    <n v="5416950"/>
    <n v="0"/>
    <n v="5416950"/>
    <n v="0"/>
    <n v="1540165"/>
    <n v="0"/>
    <n v="0"/>
    <n v="0"/>
    <n v="0"/>
    <n v="0"/>
    <n v="0"/>
    <n v="0"/>
    <n v="0"/>
    <n v="30250000"/>
    <n v="30250000"/>
    <n v="0"/>
    <n v="0"/>
    <s v="Prestar servicios profesionales para apoyar las actividades relacionadas con el seguimiento financiero del proyecto de inversión y de planeación de la Subdirección de Minería"/>
    <n v="30250000"/>
    <m/>
    <m/>
    <n v="1625085"/>
    <m/>
    <n v="5416950"/>
    <m/>
    <n v="5416950"/>
    <m/>
    <n v="5416950"/>
    <m/>
    <n v="5416950"/>
    <m/>
    <n v="5416950"/>
    <m/>
    <n v="1540165"/>
    <m/>
    <m/>
    <m/>
    <m/>
    <m/>
    <m/>
    <m/>
    <m/>
    <m/>
    <m/>
    <n v="30250000"/>
    <n v="30250000"/>
    <n v="0"/>
    <n v="0"/>
    <n v="21726"/>
    <d v="2026-01-11T00:00:00"/>
    <n v="30250000"/>
    <n v="0"/>
    <n v="12526"/>
    <d v="2026-01-20T00:00:00"/>
    <n v="30250000"/>
    <n v="0"/>
    <n v="0"/>
    <s v="MANOSALVA BALLESTEROS JUAN SEBASTIAN"/>
    <s v="CO1.PCCNTR.8942368"/>
    <n v="30250000"/>
    <m/>
    <m/>
    <m/>
    <m/>
    <m/>
    <m/>
    <n v="7222600"/>
    <n v="7222600"/>
    <m/>
    <n v="5416950"/>
    <n v="5416950"/>
    <m/>
    <m/>
    <m/>
    <m/>
    <m/>
    <m/>
    <m/>
    <m/>
    <m/>
    <m/>
    <m/>
    <m/>
    <m/>
    <m/>
    <m/>
    <m/>
    <m/>
    <m/>
    <m/>
    <m/>
    <m/>
    <m/>
    <m/>
    <m/>
    <n v="30250000"/>
    <n v="12639550"/>
    <n v="12639550"/>
    <n v="17610450"/>
    <n v="0"/>
  </r>
  <r>
    <x v="0"/>
    <x v="9"/>
    <s v="Fortalecimiento de la planeación para el desarrollo minero responsable con los territorios en el marco de la transición energética a nivel nacional"/>
    <s v="Minería"/>
    <s v="Sí"/>
    <s v="Sí"/>
    <n v="68"/>
    <s v="140-58"/>
    <s v="Ampliar el conocimiento de los encadenamientos productivos asociados a la actividad minera por parte de los actores del sector."/>
    <s v="Documentos de Planeación"/>
    <s v="Documento de planeación validado."/>
    <n v="80101507"/>
    <s v="C-2106-1900-12-40302A-2106003-02"/>
    <x v="8"/>
    <s v="140-58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0 - Ingresos corrientes"/>
    <n v="102219482"/>
    <n v="102219482"/>
    <s v="No"/>
    <s v="N/A"/>
    <s v="Germán Tiberio Ojeda"/>
    <s v="Subdirector de Minería"/>
    <n v="6012220601"/>
    <s v="german.ojeda@upme.gov.co"/>
    <n v="0"/>
    <n v="0"/>
    <n v="0"/>
    <n v="0"/>
    <n v="0"/>
    <n v="0"/>
    <n v="0"/>
    <n v="0"/>
    <n v="0"/>
    <n v="0"/>
    <n v="0"/>
    <n v="0"/>
    <n v="102219482"/>
    <n v="0"/>
    <n v="0"/>
    <n v="0"/>
    <n v="0"/>
    <n v="0"/>
    <n v="0"/>
    <n v="0"/>
    <n v="0"/>
    <n v="0"/>
    <n v="0"/>
    <n v="102219482"/>
    <n v="102219482"/>
    <n v="102219482"/>
    <n v="0"/>
    <n v="0"/>
    <s v="Desarrollo de nuevos indicadores, analítica y tableros para el SIMCO basados en información sectorial agregando valor a la divulgación de las estadísticas del sector minero"/>
    <m/>
    <m/>
    <m/>
    <m/>
    <m/>
    <m/>
    <m/>
    <m/>
    <m/>
    <m/>
    <m/>
    <m/>
    <n v="102219482"/>
    <m/>
    <m/>
    <m/>
    <m/>
    <m/>
    <m/>
    <m/>
    <m/>
    <m/>
    <m/>
    <n v="102219482"/>
    <m/>
    <m/>
    <n v="102219482"/>
    <n v="102219482"/>
    <n v="0"/>
    <n v="0"/>
    <m/>
    <m/>
    <m/>
    <n v="102219482"/>
    <m/>
    <m/>
    <n v="0"/>
    <n v="102219482"/>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59"/>
    <s v="Fortalecer la articulación de las entidades del sector en la formulación, ejecución y seguimiento de la planeación minera."/>
    <s v="Documentos de Lineamientos Técnicos"/>
    <s v="Plan de trabajo."/>
    <n v="80111620"/>
    <s v="C-2106-1900-12-40302A-2106010-02"/>
    <x v="0"/>
    <s v="140-59 Prestar servicios profesionales de apoyo a la Subdirección de Minería en los aspectos técnicos asociados al cumplimiento de su misionalidad, así como en el acompañamiento en las actividades de divulgación, planeación e investigación del sector mine"/>
    <s v="Enero "/>
    <s v="Enero "/>
    <s v="Enero "/>
    <n v="11"/>
    <s v="Meses"/>
    <s v="Contratación directa - Prestación de servicios profesionales "/>
    <s v="Propios - 20 - Ingresos corrientes"/>
    <n v="97611039"/>
    <n v="97611039"/>
    <s v="No"/>
    <s v="N/A"/>
    <s v="Germán Tiberio Ojeda"/>
    <s v="Subdirector de Minería"/>
    <n v="6012220601"/>
    <s v="german.ojeda@upme.gov.co"/>
    <n v="97611039"/>
    <n v="0"/>
    <n v="0"/>
    <n v="0"/>
    <n v="0"/>
    <n v="3277705"/>
    <n v="0"/>
    <n v="10000000"/>
    <n v="0"/>
    <n v="10000000"/>
    <n v="0"/>
    <n v="10000000"/>
    <n v="0"/>
    <n v="10000000"/>
    <n v="0"/>
    <n v="10000000"/>
    <n v="0"/>
    <n v="10000000"/>
    <n v="0"/>
    <n v="10000000"/>
    <n v="0"/>
    <n v="10000000"/>
    <n v="0"/>
    <n v="14333334"/>
    <n v="97611039"/>
    <n v="97611039"/>
    <n v="0"/>
    <n v="0"/>
    <s v="Prestar servicios profesionales de apoyo a la Subdirección de Minería en los aspectos técnicos asociados al cumplimiento de su misionalidad, así como en el acompañamiento en las actividades de divulgación, planeación e investigación del sector minero."/>
    <n v="97611039"/>
    <m/>
    <m/>
    <m/>
    <m/>
    <n v="3277705"/>
    <m/>
    <n v="10000000"/>
    <m/>
    <n v="10000000"/>
    <m/>
    <n v="10000000"/>
    <m/>
    <n v="10000000"/>
    <m/>
    <n v="10000000"/>
    <m/>
    <n v="10000000"/>
    <m/>
    <n v="10000000"/>
    <m/>
    <n v="10000000"/>
    <m/>
    <n v="14333334"/>
    <m/>
    <m/>
    <n v="97611039"/>
    <n v="97611039"/>
    <n v="0"/>
    <n v="0"/>
    <n v="4026"/>
    <d v="2026-01-05T00:00:00"/>
    <n v="97611039"/>
    <n v="0"/>
    <n v="8826"/>
    <d v="2026-01-13T00:00:00"/>
    <n v="97611039"/>
    <n v="0"/>
    <n v="0"/>
    <s v="MORENO LOMBANA LUISA FERNANDA"/>
    <s v="CO1.PCCNTR.8847108"/>
    <n v="97611039"/>
    <m/>
    <m/>
    <m/>
    <n v="5666667"/>
    <n v="5666667"/>
    <m/>
    <n v="3277705"/>
    <n v="3277705"/>
    <m/>
    <n v="10000000"/>
    <n v="10000000"/>
    <m/>
    <m/>
    <m/>
    <m/>
    <m/>
    <m/>
    <m/>
    <m/>
    <m/>
    <m/>
    <m/>
    <m/>
    <m/>
    <m/>
    <m/>
    <m/>
    <m/>
    <m/>
    <m/>
    <m/>
    <m/>
    <m/>
    <m/>
    <m/>
    <n v="97611039"/>
    <n v="18944372"/>
    <n v="18944372"/>
    <n v="78666667"/>
    <n v="0"/>
  </r>
  <r>
    <x v="0"/>
    <x v="9"/>
    <s v="Fortalecimiento de la planeación para el desarrollo minero responsable con los territorios en el marco de la transición energética a nivel nacional"/>
    <s v="Minería"/>
    <s v="Sí"/>
    <s v="Sí"/>
    <n v="68"/>
    <s v="140-60"/>
    <s v="Fortalecer la articulación de las entidades del sector en la formulación, ejecución y seguimiento de la planeación minera."/>
    <s v="Documentos de Lineamientos Técnicos"/>
    <s v="Plan de trabajo."/>
    <n v="80111620"/>
    <s v="C-2106-1900-12-40302A-2106010-02"/>
    <x v="0"/>
    <s v="140-60 Prestar servicios profesionales de apoyo a la Subdirección de Minería para la elaboración de informes asociados a aspectos técnicos, estudios y divulgación de la información del sector minero."/>
    <s v="Enero "/>
    <s v="Enero "/>
    <s v="Enero "/>
    <n v="11"/>
    <s v="Meses"/>
    <s v="Contratación directa - Prestación de servicios profesionales "/>
    <s v="Propios - 20 - Ingresos corrientes"/>
    <n v="54550000"/>
    <n v="54550000"/>
    <s v="No"/>
    <s v="N/A"/>
    <s v="Germán Tiberio Ojeda"/>
    <s v="Subdirector de Minería"/>
    <n v="6012220601"/>
    <s v="german.ojeda@upme.gov.co"/>
    <n v="54550000"/>
    <n v="0"/>
    <n v="0"/>
    <n v="0"/>
    <n v="0"/>
    <n v="0"/>
    <n v="0"/>
    <n v="4500000"/>
    <n v="0"/>
    <n v="5500000"/>
    <n v="0"/>
    <n v="5500000"/>
    <n v="0"/>
    <n v="5500000"/>
    <n v="0"/>
    <n v="5500000"/>
    <n v="0"/>
    <n v="5500000"/>
    <n v="0"/>
    <n v="5500000"/>
    <n v="0"/>
    <n v="5500000"/>
    <n v="0"/>
    <n v="11550000"/>
    <n v="54550000"/>
    <n v="54550000"/>
    <n v="0"/>
    <n v="0"/>
    <s v="Prestar servicios profesionales de apoyo a la Subdirección de Minería para la elaboración de informes asociados a aspectos técnicos, estudios y divulgación de la información del sector minero."/>
    <n v="54550000"/>
    <m/>
    <m/>
    <m/>
    <m/>
    <m/>
    <m/>
    <n v="4500000"/>
    <m/>
    <n v="5500000"/>
    <m/>
    <n v="5500000"/>
    <m/>
    <n v="5500000"/>
    <m/>
    <n v="5500000"/>
    <m/>
    <n v="5500000"/>
    <m/>
    <n v="5500000"/>
    <m/>
    <n v="5500000"/>
    <m/>
    <n v="11550000"/>
    <m/>
    <m/>
    <n v="54550000"/>
    <n v="54550000"/>
    <n v="0"/>
    <n v="0"/>
    <n v="33126"/>
    <d v="2026-01-15T00:00:00"/>
    <n v="51800000"/>
    <n v="2750000"/>
    <n v="35426"/>
    <d v="2026-01-30T00:00:00"/>
    <n v="51800000"/>
    <n v="2750000"/>
    <n v="0"/>
    <s v="RANGEL MAYORGA LIBIA PASTORA"/>
    <s v="CO1.PCCNTR.9197584"/>
    <n v="54550000"/>
    <m/>
    <m/>
    <m/>
    <m/>
    <m/>
    <n v="-2750000"/>
    <m/>
    <m/>
    <m/>
    <n v="2300000"/>
    <n v="2300000"/>
    <m/>
    <m/>
    <m/>
    <m/>
    <m/>
    <m/>
    <m/>
    <m/>
    <m/>
    <m/>
    <m/>
    <m/>
    <m/>
    <m/>
    <m/>
    <m/>
    <m/>
    <m/>
    <m/>
    <m/>
    <m/>
    <m/>
    <m/>
    <m/>
    <n v="51800000"/>
    <n v="2300000"/>
    <n v="2300000"/>
    <n v="49500000"/>
    <n v="0"/>
  </r>
  <r>
    <x v="0"/>
    <x v="9"/>
    <s v="Fortalecimiento de la planeación para el desarrollo minero responsable con los territorios en el marco de la transición energética a nivel nacional"/>
    <s v="Minería"/>
    <s v="Sí"/>
    <s v="Sí"/>
    <n v="68"/>
    <s v="140-61"/>
    <s v="Fortalecer la articulación de las entidades del sector en la formulación, ejecución y seguimiento de la planeación minera."/>
    <s v="Documentos de Lineamientos Técnicos"/>
    <s v="Plan de trabajo."/>
    <n v="80111620"/>
    <s v="C-2106-1900-12-40302A-2106010-02"/>
    <x v="0"/>
    <s v="140-61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0 - Ingresos corrientes"/>
    <n v="6484611"/>
    <n v="6484611"/>
    <s v="No"/>
    <s v="N/A"/>
    <s v="Germán Tiberio Ojeda"/>
    <s v="Subdirector de Minería"/>
    <n v="6012220601"/>
    <s v="german.ojeda@upme.gov.co"/>
    <n v="6484611"/>
    <n v="0"/>
    <n v="0"/>
    <n v="0"/>
    <n v="0"/>
    <n v="0"/>
    <n v="0"/>
    <n v="0"/>
    <n v="0"/>
    <n v="0"/>
    <n v="0"/>
    <n v="0"/>
    <n v="0"/>
    <n v="0"/>
    <n v="0"/>
    <n v="0"/>
    <n v="0"/>
    <n v="509611"/>
    <n v="0"/>
    <n v="3200000"/>
    <n v="0"/>
    <n v="2775000"/>
    <n v="0"/>
    <n v="0"/>
    <n v="6484611"/>
    <n v="6484611"/>
    <n v="0"/>
    <n v="0"/>
    <s v="Prestar servicios profesionales de apoyo a la Subdirección de Minería para la gestión de datos y el desarrollo de modelos asociados al sector minero, desde un enfoque técnico y de investigación que contribuya al análisis y fortalecimiento del sector"/>
    <n v="6484611"/>
    <m/>
    <m/>
    <m/>
    <m/>
    <m/>
    <m/>
    <m/>
    <m/>
    <m/>
    <m/>
    <m/>
    <m/>
    <m/>
    <m/>
    <m/>
    <m/>
    <n v="509611"/>
    <m/>
    <n v="3200000"/>
    <m/>
    <n v="2775000"/>
    <m/>
    <m/>
    <m/>
    <m/>
    <n v="6484611"/>
    <n v="6484611"/>
    <n v="0"/>
    <n v="0"/>
    <n v="35626"/>
    <d v="2026-01-15T00:00:00"/>
    <n v="6484611"/>
    <n v="0"/>
    <n v="28826"/>
    <d v="2026-01-28T00:00:00"/>
    <n v="6484611"/>
    <n v="0"/>
    <n v="0"/>
    <s v="SEPULVEDA AMADO JUAN SEBASTIAN"/>
    <s v="CO1.PCCNTR.9129820"/>
    <n v="6484611"/>
    <m/>
    <m/>
    <m/>
    <m/>
    <m/>
    <m/>
    <m/>
    <m/>
    <m/>
    <m/>
    <m/>
    <m/>
    <m/>
    <m/>
    <m/>
    <m/>
    <m/>
    <m/>
    <m/>
    <m/>
    <m/>
    <m/>
    <m/>
    <m/>
    <m/>
    <m/>
    <m/>
    <m/>
    <m/>
    <m/>
    <m/>
    <m/>
    <m/>
    <m/>
    <m/>
    <n v="6484611"/>
    <n v="0"/>
    <n v="0"/>
    <n v="6484611"/>
    <n v="0"/>
  </r>
  <r>
    <x v="0"/>
    <x v="9"/>
    <s v="Fortalecimiento de la planeación para el desarrollo minero responsable con los territorios en el marco de la transición energética a nivel nacional"/>
    <s v="Minería"/>
    <s v="Sí"/>
    <s v="Sí"/>
    <n v="68"/>
    <s v="140-62"/>
    <s v="Fortalecer la articulación de las entidades del sector en la formulación, ejecución y seguimiento de la planeación minera."/>
    <s v="Documentos de Lineamientos Técnicos"/>
    <s v="Plan de trabajo."/>
    <n v="80111620"/>
    <s v="C-2106-1900-12-40302A-2106010-02"/>
    <x v="0"/>
    <s v="140-62 Prestar servicios profesionales para apoyar a la Subdirección de Minería en la realización de análisis económicos, de mercado, prospectivos y de encadenamientos productivos, orientados a la elaboración, seguimiento y evaluación de los instrumentos "/>
    <s v="Enero "/>
    <s v="Enero "/>
    <s v="Enero "/>
    <n v="11"/>
    <s v="Meses"/>
    <s v="Contratación directa - Prestación de servicios profesionales "/>
    <s v="Propios - 20 - Ingresos corrientes"/>
    <n v="40659576"/>
    <n v="40659576"/>
    <s v="No"/>
    <s v="N/A"/>
    <s v="Germán Tiberio Ojeda"/>
    <s v="Subdirector de Minería"/>
    <n v="6012220601"/>
    <s v="german.ojeda@upme.gov.co"/>
    <n v="40659576"/>
    <n v="0"/>
    <n v="0"/>
    <n v="0"/>
    <n v="0"/>
    <n v="0"/>
    <n v="0"/>
    <n v="0"/>
    <n v="0"/>
    <n v="0"/>
    <n v="0"/>
    <n v="0"/>
    <n v="0"/>
    <n v="0"/>
    <n v="0"/>
    <n v="3909576"/>
    <n v="0"/>
    <n v="7500000"/>
    <n v="0"/>
    <n v="7500000"/>
    <n v="0"/>
    <n v="7500000"/>
    <n v="0"/>
    <n v="14250000"/>
    <n v="40659576"/>
    <n v="40659576"/>
    <n v="0"/>
    <n v="0"/>
    <s v="Prestar servicios profesionales para apoyar a la Subdirección de Minería en la realización de análisis económicos, de mercado, prospectivos y de encadenamientos productivos, orientados a la elaboración, seguimiento y evaluación de los instrumentos de plan"/>
    <n v="40659576"/>
    <m/>
    <m/>
    <m/>
    <m/>
    <m/>
    <m/>
    <m/>
    <m/>
    <m/>
    <m/>
    <m/>
    <m/>
    <m/>
    <m/>
    <n v="3909576"/>
    <m/>
    <n v="7500000"/>
    <m/>
    <n v="7500000"/>
    <m/>
    <n v="7500000"/>
    <m/>
    <n v="14250000"/>
    <m/>
    <m/>
    <n v="40659576"/>
    <n v="40659576"/>
    <n v="0"/>
    <n v="0"/>
    <n v="24726"/>
    <d v="2026-01-13T00:00:00"/>
    <n v="40659576"/>
    <n v="0"/>
    <n v="21326"/>
    <d v="2026-01-26T00:00:00"/>
    <n v="40659576"/>
    <n v="0"/>
    <n v="0"/>
    <s v="ACHURY RODRIGUEZ CAMILO ENRIQUE"/>
    <s v="CO1.PCCNTR.9060975"/>
    <n v="40659576"/>
    <m/>
    <m/>
    <m/>
    <m/>
    <m/>
    <m/>
    <m/>
    <m/>
    <m/>
    <m/>
    <m/>
    <m/>
    <m/>
    <m/>
    <m/>
    <m/>
    <m/>
    <m/>
    <m/>
    <m/>
    <m/>
    <m/>
    <m/>
    <m/>
    <m/>
    <m/>
    <m/>
    <m/>
    <m/>
    <m/>
    <m/>
    <m/>
    <m/>
    <m/>
    <m/>
    <n v="40659576"/>
    <n v="0"/>
    <n v="0"/>
    <n v="40659576"/>
    <n v="0"/>
  </r>
  <r>
    <x v="0"/>
    <x v="9"/>
    <s v="Fortalecimiento de la planeación para el desarrollo minero responsable con los territorios en el marco de la transición energética a nivel nacional"/>
    <s v="Minería"/>
    <s v="Sí"/>
    <s v="Sí"/>
    <n v="17"/>
    <s v="140-63"/>
    <s v="Fortalecer la articulación de las entidades del sector en la formulación, ejecución y seguimiento de la planeación minera."/>
    <s v="Documentos de Lineamientos Técnicos"/>
    <s v="Plan de trabajo."/>
    <s v="N/A"/>
    <s v="C-2106-1900-12-40302A-2106010-02"/>
    <x v="4"/>
    <s v="140-63 Viáticos o gastos de desplazamiento"/>
    <s v="Enero "/>
    <s v="Enero "/>
    <s v="Enero "/>
    <s v="N/A"/>
    <s v="Meses"/>
    <s v="N/A"/>
    <s v="Propios - 20 - Ingresos corrientes"/>
    <n v="2200000"/>
    <n v="2200000"/>
    <s v="No"/>
    <s v="N/A"/>
    <s v="Germán Tiberio Ojeda"/>
    <s v="Subdirector de Minería"/>
    <n v="6012220601"/>
    <s v="german.ojeda@upme.gov.co"/>
    <n v="0"/>
    <n v="0"/>
    <n v="0"/>
    <n v="0"/>
    <n v="0"/>
    <n v="0"/>
    <n v="0"/>
    <n v="0"/>
    <n v="0"/>
    <n v="0"/>
    <n v="0"/>
    <n v="0"/>
    <n v="0"/>
    <n v="0"/>
    <n v="0"/>
    <n v="0"/>
    <n v="0"/>
    <n v="0"/>
    <n v="0"/>
    <n v="0"/>
    <n v="0"/>
    <n v="0"/>
    <n v="2200000"/>
    <n v="2200000"/>
    <n v="2200000"/>
    <n v="2200000"/>
    <n v="0"/>
    <n v="0"/>
    <s v="Viáticos o gastos de desplazamiento"/>
    <m/>
    <m/>
    <m/>
    <m/>
    <m/>
    <m/>
    <m/>
    <m/>
    <m/>
    <m/>
    <m/>
    <m/>
    <m/>
    <m/>
    <m/>
    <m/>
    <m/>
    <m/>
    <m/>
    <m/>
    <m/>
    <m/>
    <n v="2200000"/>
    <n v="2200000"/>
    <m/>
    <m/>
    <n v="2200000"/>
    <n v="2200000"/>
    <n v="0"/>
    <n v="0"/>
    <m/>
    <m/>
    <m/>
    <n v="2200000"/>
    <m/>
    <m/>
    <n v="0"/>
    <n v="22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64"/>
    <s v="Fortalecer la articulación de las entidades del sector en la formulación, ejecución y seguimiento de la planeación minera."/>
    <s v="Documentos de Lineamientos Técnicos"/>
    <s v="Plan de trabajo."/>
    <n v="80111620"/>
    <s v="C-2106-1900-12-40302A-2106010-02"/>
    <x v="0"/>
    <s v="140-64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49625000"/>
    <n v="49625000"/>
    <s v="No"/>
    <s v="N/A"/>
    <s v="Germán Tiberio Ojeda"/>
    <s v="Subdirector de Minería"/>
    <n v="6012220601"/>
    <s v="german.ojeda@upme.gov.co"/>
    <n v="49625000"/>
    <n v="0"/>
    <n v="0"/>
    <n v="0"/>
    <n v="0"/>
    <n v="0"/>
    <n v="0"/>
    <n v="0"/>
    <n v="0"/>
    <n v="0"/>
    <n v="0"/>
    <n v="0"/>
    <n v="0"/>
    <n v="5375000"/>
    <n v="0"/>
    <n v="7500000"/>
    <n v="0"/>
    <n v="7500000"/>
    <n v="0"/>
    <n v="7500000"/>
    <n v="0"/>
    <n v="7500000"/>
    <n v="0"/>
    <n v="14250000"/>
    <n v="49625000"/>
    <n v="49625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49625000"/>
    <m/>
    <m/>
    <m/>
    <m/>
    <m/>
    <m/>
    <m/>
    <m/>
    <m/>
    <m/>
    <m/>
    <m/>
    <n v="5375000"/>
    <m/>
    <n v="7500000"/>
    <m/>
    <n v="7500000"/>
    <m/>
    <n v="7500000"/>
    <m/>
    <n v="7500000"/>
    <m/>
    <n v="14250000"/>
    <m/>
    <m/>
    <n v="49625000"/>
    <n v="49625000"/>
    <n v="0"/>
    <n v="0"/>
    <n v="21226"/>
    <d v="2026-01-11T00:00:00"/>
    <n v="49625000"/>
    <n v="0"/>
    <n v="20126"/>
    <d v="2026-01-26T00:00:00"/>
    <n v="49625000"/>
    <n v="0"/>
    <n v="0"/>
    <s v="NEGRETE FLORES JOVANA"/>
    <s v=".CO1.PCCNTR.8997355"/>
    <n v="49625000"/>
    <m/>
    <m/>
    <m/>
    <m/>
    <m/>
    <m/>
    <m/>
    <m/>
    <m/>
    <m/>
    <m/>
    <m/>
    <m/>
    <m/>
    <m/>
    <m/>
    <m/>
    <m/>
    <m/>
    <m/>
    <m/>
    <m/>
    <m/>
    <m/>
    <m/>
    <m/>
    <m/>
    <m/>
    <m/>
    <m/>
    <m/>
    <m/>
    <m/>
    <m/>
    <m/>
    <n v="49625000"/>
    <n v="0"/>
    <n v="0"/>
    <n v="49625000"/>
    <n v="0"/>
  </r>
  <r>
    <x v="0"/>
    <x v="9"/>
    <s v="Fortalecimiento de la planeación para el desarrollo minero responsable con los territorios en el marco de la transición energética a nivel nacional"/>
    <s v="Minería"/>
    <s v="Sí"/>
    <s v="Sí"/>
    <n v="68"/>
    <s v="140-65"/>
    <s v="Fortalecer la articulación de las entidades del sector en la formulación, ejecución y seguimiento de la planeación minera."/>
    <s v="Documentos de Lineamientos Técnicos"/>
    <s v="Plan de trabajo."/>
    <n v="80111620"/>
    <s v="C-2106-1900-12-40302A-2106010-02"/>
    <x v="0"/>
    <s v="140-65 Prestar servicios profesionales para brindar apoyo a la subdirección de minería para el modelamiento del sector minero colombiano a través de las herramientas como dinámica de sistemas y Python, como soporte a los documentos técnicos y de planeació"/>
    <s v="Enero "/>
    <s v="Enero "/>
    <s v="Enero "/>
    <n v="11"/>
    <s v="Meses"/>
    <s v="Contratación directa - Prestación de servicios profesionales "/>
    <s v="Propios - 20 - Ingresos corrientes"/>
    <n v="46250000"/>
    <n v="46250000"/>
    <s v="No"/>
    <s v="N/A"/>
    <s v="Germán Tiberio Ojeda"/>
    <s v="Subdirector de Minería"/>
    <n v="6012220601"/>
    <s v="german.ojeda@upme.gov.co"/>
    <n v="46250000"/>
    <n v="0"/>
    <n v="0"/>
    <n v="0"/>
    <n v="0"/>
    <n v="0"/>
    <n v="0"/>
    <n v="0"/>
    <n v="0"/>
    <n v="0"/>
    <n v="0"/>
    <n v="0"/>
    <n v="0"/>
    <n v="2000000"/>
    <n v="0"/>
    <n v="7500000"/>
    <n v="0"/>
    <n v="7500000"/>
    <n v="0"/>
    <n v="7500000"/>
    <n v="0"/>
    <n v="7500000"/>
    <n v="0"/>
    <n v="14250000"/>
    <n v="46250000"/>
    <n v="46250000"/>
    <n v="0"/>
    <n v="0"/>
    <s v="Prestar servicios profesionales para brindar apoyo a la subdirección de minería para el modelamiento del sector minero colombiano a través de las herramientas como dinámica de sistemas y Python, como soporte a los documentos técnicos y de planeación miner"/>
    <n v="46250000"/>
    <m/>
    <m/>
    <m/>
    <m/>
    <m/>
    <m/>
    <m/>
    <m/>
    <m/>
    <m/>
    <m/>
    <m/>
    <n v="2000000"/>
    <m/>
    <n v="7500000"/>
    <m/>
    <n v="7500000"/>
    <m/>
    <n v="7500000"/>
    <m/>
    <n v="7500000"/>
    <m/>
    <n v="14250000"/>
    <m/>
    <m/>
    <n v="46250000"/>
    <n v="46250000"/>
    <n v="0"/>
    <n v="0"/>
    <n v="40726"/>
    <d v="2026-01-16T00:00:00"/>
    <n v="46250000"/>
    <n v="0"/>
    <n v="21026"/>
    <d v="2026-01-26T00:00:00"/>
    <n v="46250000"/>
    <s v="&lt;"/>
    <n v="0"/>
    <s v="AVILA CHOCONTA HAROL ANDREY"/>
    <s v="CO1.PCCNTR.9060266"/>
    <n v="46250000"/>
    <m/>
    <m/>
    <m/>
    <m/>
    <m/>
    <m/>
    <m/>
    <m/>
    <m/>
    <m/>
    <m/>
    <m/>
    <m/>
    <m/>
    <m/>
    <m/>
    <m/>
    <m/>
    <m/>
    <m/>
    <m/>
    <m/>
    <m/>
    <m/>
    <m/>
    <m/>
    <m/>
    <m/>
    <m/>
    <m/>
    <m/>
    <m/>
    <m/>
    <m/>
    <m/>
    <n v="46250000"/>
    <n v="0"/>
    <n v="0"/>
    <n v="46250000"/>
    <n v="0"/>
  </r>
  <r>
    <x v="0"/>
    <x v="9"/>
    <s v="Fortalecimiento de la planeación para el desarrollo minero responsable con los territorios en el marco de la transición energética a nivel nacional"/>
    <s v="Minería"/>
    <s v="Sí"/>
    <s v="Sí"/>
    <n v="68"/>
    <s v="140-66"/>
    <s v="Fortalecer la articulación de las entidades del sector en la formulación, ejecución y seguimiento de la planeación minera."/>
    <s v="Documentos de Lineamientos Técnicos"/>
    <s v="Plan de trabajo."/>
    <n v="80111620"/>
    <s v="C-2106-1900-12-40302A-2106010-02"/>
    <x v="0"/>
    <s v="140-66 Prestar servicios profesionales para apoyar las actividades relacionadas con el seguimiento financiero del proyecto de inversión y de planeación de la Subdirección de Minería"/>
    <s v="Enero "/>
    <s v="Enero "/>
    <s v="Enero "/>
    <n v="11"/>
    <s v="Meses"/>
    <s v="Contratación directa - Prestación de servicios profesionales "/>
    <s v="Propios - 20 - Ingresos corrientes"/>
    <n v="30250000"/>
    <n v="30250000"/>
    <s v="No"/>
    <s v="N/A"/>
    <s v="Germán Tiberio Ojeda"/>
    <s v="Subdirector de Minería"/>
    <n v="6012220601"/>
    <s v="german.ojeda@upme.gov.co"/>
    <n v="29336450"/>
    <n v="0"/>
    <n v="0"/>
    <n v="0"/>
    <n v="0"/>
    <n v="0"/>
    <n v="0"/>
    <n v="0"/>
    <n v="0"/>
    <n v="0"/>
    <n v="0"/>
    <n v="0"/>
    <n v="0"/>
    <n v="0"/>
    <n v="0"/>
    <n v="3876785"/>
    <n v="0"/>
    <n v="5416950"/>
    <n v="0"/>
    <n v="5416950"/>
    <n v="0"/>
    <n v="5416950"/>
    <n v="913550"/>
    <n v="10122365"/>
    <n v="30250000"/>
    <n v="30250000"/>
    <n v="0"/>
    <n v="0"/>
    <s v="Prestar servicios profesionales para apoyar las actividades relacionadas con el seguimiento financiero del proyecto de inversión y de planeación de la Subdirección de Minería"/>
    <n v="29336450"/>
    <m/>
    <m/>
    <m/>
    <m/>
    <m/>
    <m/>
    <m/>
    <m/>
    <m/>
    <m/>
    <m/>
    <m/>
    <m/>
    <m/>
    <n v="3876785"/>
    <m/>
    <n v="5416950"/>
    <m/>
    <n v="5416950"/>
    <m/>
    <n v="5416950"/>
    <n v="913550"/>
    <n v="10122365"/>
    <m/>
    <m/>
    <n v="30250000"/>
    <n v="30250000"/>
    <n v="0"/>
    <n v="0"/>
    <n v="21726"/>
    <d v="2026-01-11T00:00:00"/>
    <n v="29336450"/>
    <n v="913550"/>
    <n v="12526"/>
    <d v="2026-01-20T00:00:00"/>
    <n v="29336450"/>
    <n v="913550"/>
    <n v="0"/>
    <s v="MANOSALVA BALLESTEROS JUAN SEBASTIAN"/>
    <s v="CO1.PCCNTR.8942368"/>
    <n v="29336450"/>
    <m/>
    <m/>
    <m/>
    <m/>
    <m/>
    <m/>
    <m/>
    <m/>
    <m/>
    <m/>
    <m/>
    <m/>
    <m/>
    <m/>
    <m/>
    <m/>
    <m/>
    <m/>
    <m/>
    <m/>
    <m/>
    <m/>
    <m/>
    <m/>
    <m/>
    <m/>
    <m/>
    <m/>
    <m/>
    <m/>
    <m/>
    <m/>
    <m/>
    <m/>
    <m/>
    <n v="29336450"/>
    <n v="0"/>
    <n v="0"/>
    <n v="29336450"/>
    <n v="0"/>
  </r>
  <r>
    <x v="0"/>
    <x v="9"/>
    <s v="Fortalecimiento de la planeación para el desarrollo minero responsable con los territorios en el marco de la transición energética a nivel nacional"/>
    <s v="Minería"/>
    <s v="Sí"/>
    <s v="Sí"/>
    <n v="1"/>
    <s v="140-67"/>
    <s v="Fortalecer la articulación de las entidades del sector en la formulación, ejecución y seguimiento de la planeación minera."/>
    <s v="Documentos de Lineamientos Técnicos"/>
    <s v="Plan de trabajo."/>
    <n v="80111620"/>
    <s v="C-2106-1900-12-40302A-2106010-02"/>
    <x v="0"/>
    <s v="140-67 Prestar servicios profesionales para apoyar a la Subdirección de Minería en la articulación, funcionamiento y coordinación de los procesos de planeación del sector minero, mediante la elaboración de documentos técnicos, la evaluación de los planes "/>
    <s v="Enero "/>
    <s v="Enero "/>
    <s v="Enero "/>
    <n v="11"/>
    <s v="Meses"/>
    <s v="Contratación directa - Prestación de servicios profesionales "/>
    <s v="Propios - 20 - Ingresos corrientes"/>
    <n v="44284887"/>
    <n v="44284887"/>
    <s v="No"/>
    <s v="N/A"/>
    <s v="Germán Tiberio Ojeda"/>
    <s v="Subdirector de Minería"/>
    <n v="6012220601"/>
    <s v="german.ojeda@upme.gov.co"/>
    <n v="44284887"/>
    <n v="0"/>
    <n v="0"/>
    <n v="0"/>
    <n v="0"/>
    <n v="0"/>
    <n v="0"/>
    <n v="0"/>
    <n v="0"/>
    <n v="0"/>
    <n v="0"/>
    <n v="0"/>
    <n v="0"/>
    <n v="0"/>
    <n v="0"/>
    <n v="1984887"/>
    <n v="0"/>
    <n v="9000000"/>
    <n v="0"/>
    <n v="9000000"/>
    <n v="0"/>
    <n v="9000000"/>
    <n v="0"/>
    <n v="15300000"/>
    <n v="44284887"/>
    <n v="44284887"/>
    <n v="0"/>
    <n v="0"/>
    <s v="Prestar servicios profesionales para apoyar a la Subdirección de Minería en la articulación, funcionamiento y coordinación de los procesos de planeación del sector minero, mediante la elaboración de documentos técnicos, la evaluación de los planes subsect"/>
    <n v="44284887"/>
    <m/>
    <m/>
    <m/>
    <m/>
    <m/>
    <m/>
    <m/>
    <m/>
    <m/>
    <m/>
    <m/>
    <m/>
    <m/>
    <m/>
    <n v="1984887"/>
    <m/>
    <n v="9000000"/>
    <m/>
    <n v="9000000"/>
    <m/>
    <n v="9000000"/>
    <m/>
    <n v="15300000"/>
    <m/>
    <m/>
    <n v="44284887"/>
    <n v="44284887"/>
    <n v="0"/>
    <n v="0"/>
    <n v="21626"/>
    <d v="2026-01-11T00:00:00"/>
    <n v="44284887"/>
    <n v="0"/>
    <n v="12726"/>
    <d v="2026-01-20T00:00:00"/>
    <n v="44284887"/>
    <n v="0"/>
    <n v="0"/>
    <s v="SANTAMARIA ARAGON JULIAN ESTEBAN"/>
    <s v="CO1.PCCNTR.8938523"/>
    <n v="44284887"/>
    <m/>
    <m/>
    <m/>
    <m/>
    <m/>
    <m/>
    <m/>
    <m/>
    <m/>
    <m/>
    <m/>
    <m/>
    <m/>
    <m/>
    <m/>
    <m/>
    <m/>
    <m/>
    <m/>
    <m/>
    <m/>
    <m/>
    <m/>
    <m/>
    <m/>
    <m/>
    <m/>
    <m/>
    <m/>
    <m/>
    <m/>
    <m/>
    <m/>
    <m/>
    <m/>
    <n v="44284887"/>
    <n v="0"/>
    <n v="0"/>
    <n v="44284887"/>
    <n v="0"/>
  </r>
  <r>
    <x v="0"/>
    <x v="9"/>
    <s v="Fortalecimiento de la planeación para el desarrollo minero responsable con los territorios en el marco de la transición energética a nivel nacional"/>
    <s v="Minería"/>
    <s v="Sí"/>
    <s v="Sí"/>
    <n v="68"/>
    <s v="140-68"/>
    <s v="Fortalecer la articulación de las entidades del sector en la formulación, ejecución y seguimiento de la planeación minera."/>
    <s v="Documentos de Lineamientos Técnicos"/>
    <s v="Plan de trabajo."/>
    <n v="80111620"/>
    <s v="C-2106-1900-12-40302A-2106010-02"/>
    <x v="0"/>
    <s v="140-68 Prestar servicios profesionales a la Subdirección de Minería para apoyar la implementación de mejoras funcionales y operativas del Sistema de Información Minero Colombiano (SIMCO), así como el diseño y desarrollo de modelos geoespaciales mediante S"/>
    <s v="Enero "/>
    <s v="Enero "/>
    <s v="Enero "/>
    <n v="11"/>
    <s v="Meses"/>
    <s v="Contratación directa - Prestación de servicios profesionales "/>
    <s v="Propios - 20 - Ingresos corrientes"/>
    <n v="25784887"/>
    <n v="25784887"/>
    <s v="No"/>
    <s v="N/A"/>
    <s v="Germán Tiberio Ojeda"/>
    <s v="Subdirector de Minería"/>
    <n v="6012220601"/>
    <s v="german.ojeda@upme.gov.co"/>
    <n v="25784887"/>
    <n v="0"/>
    <n v="0"/>
    <n v="0"/>
    <n v="0"/>
    <n v="0"/>
    <n v="0"/>
    <n v="0"/>
    <n v="0"/>
    <n v="0"/>
    <n v="0"/>
    <n v="0"/>
    <n v="0"/>
    <n v="0"/>
    <n v="0"/>
    <n v="0"/>
    <n v="0"/>
    <n v="0"/>
    <n v="0"/>
    <n v="0"/>
    <n v="0"/>
    <n v="7934887"/>
    <n v="0"/>
    <n v="17850000"/>
    <n v="25784887"/>
    <n v="25784887"/>
    <n v="0"/>
    <n v="0"/>
    <s v="Prestar servicios profesionales a la Subdirección de Minería para apoyar la implementación de mejoras funcionales y operativas del Sistema de Información Minero Colombiano (SIMCO), así como el diseño y desarrollo de modelos geoespaciales mediante Sistemas"/>
    <n v="25784887"/>
    <m/>
    <m/>
    <m/>
    <m/>
    <m/>
    <m/>
    <m/>
    <m/>
    <m/>
    <m/>
    <m/>
    <m/>
    <m/>
    <m/>
    <m/>
    <m/>
    <m/>
    <m/>
    <m/>
    <m/>
    <n v="7934887"/>
    <m/>
    <n v="17850000"/>
    <m/>
    <m/>
    <n v="25784887"/>
    <n v="25784887"/>
    <n v="0"/>
    <n v="0"/>
    <n v="3526"/>
    <d v="2026-01-05T00:00:00"/>
    <n v="25784887"/>
    <n v="0"/>
    <n v="12126"/>
    <d v="2026-01-20T00:00:00"/>
    <n v="25784887"/>
    <n v="0"/>
    <n v="0"/>
    <s v="PEÑA SOLANO LUIS GIOVANNY"/>
    <s v="CO1.PCCNTR 8965898"/>
    <n v="25784887"/>
    <m/>
    <m/>
    <m/>
    <m/>
    <m/>
    <m/>
    <m/>
    <m/>
    <m/>
    <m/>
    <m/>
    <m/>
    <m/>
    <m/>
    <m/>
    <m/>
    <m/>
    <m/>
    <m/>
    <m/>
    <m/>
    <m/>
    <m/>
    <m/>
    <m/>
    <m/>
    <m/>
    <m/>
    <m/>
    <m/>
    <m/>
    <m/>
    <m/>
    <m/>
    <m/>
    <n v="25784887"/>
    <n v="0"/>
    <n v="0"/>
    <n v="25784887"/>
    <n v="0"/>
  </r>
  <r>
    <x v="0"/>
    <x v="9"/>
    <s v="Fortalecimiento de la planeación para el desarrollo minero responsable con los territorios en el marco de la transición energética a nivel nacional"/>
    <s v="Minería"/>
    <s v="Sí"/>
    <s v="Sí"/>
    <n v="23"/>
    <s v="140-69"/>
    <s v="Fortalecer la articulación de las entidades del sector en la formulación, ejecución y seguimiento de la planeación minera."/>
    <s v="Documentos de Lineamientos Técnicos"/>
    <s v="Plan de trabajo."/>
    <s v="N/A"/>
    <s v="C-2106-1900-12-40302A-2106010-02"/>
    <x v="4"/>
    <s v="140-69 Viáticos o gastos de desplazamiento"/>
    <s v="Enero "/>
    <s v="Enero "/>
    <s v="Enero "/>
    <s v="N/A"/>
    <s v="Meses"/>
    <s v="N/A"/>
    <s v="Propios - 20 - Ingresos corrientes"/>
    <n v="47300000"/>
    <n v="47300000"/>
    <s v="No"/>
    <s v="N/A"/>
    <s v="Germán Tiberio Ojeda"/>
    <s v="Subdirector de Minería"/>
    <n v="6012220601"/>
    <s v="german.ojeda@upme.gov.co"/>
    <n v="0"/>
    <n v="0"/>
    <n v="0"/>
    <n v="0"/>
    <n v="0"/>
    <n v="0"/>
    <n v="0"/>
    <n v="0"/>
    <n v="0"/>
    <n v="0"/>
    <n v="0"/>
    <n v="0"/>
    <n v="0"/>
    <n v="0"/>
    <n v="0"/>
    <n v="0"/>
    <n v="0"/>
    <n v="0"/>
    <n v="0"/>
    <n v="0"/>
    <n v="0"/>
    <n v="0"/>
    <n v="47300000"/>
    <n v="47300000"/>
    <n v="47300000"/>
    <n v="47300000"/>
    <n v="0"/>
    <n v="0"/>
    <s v="Viáticos o gastos de desplazamiento"/>
    <m/>
    <m/>
    <m/>
    <m/>
    <m/>
    <m/>
    <m/>
    <m/>
    <m/>
    <m/>
    <m/>
    <m/>
    <m/>
    <m/>
    <m/>
    <m/>
    <m/>
    <m/>
    <m/>
    <m/>
    <m/>
    <m/>
    <n v="47300000"/>
    <n v="47300000"/>
    <m/>
    <m/>
    <n v="47300000"/>
    <n v="47300000"/>
    <n v="0"/>
    <n v="0"/>
    <n v="66226"/>
    <d v="2026-01-29T00:00:00"/>
    <m/>
    <n v="47300000"/>
    <m/>
    <m/>
    <n v="0"/>
    <n v="473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1"/>
    <s v="140-70"/>
    <s v="Fortalecer la articulación de las entidades del sector en la formulación, ejecución y seguimiento de la planeación minera."/>
    <s v="Documentos de Lineamientos Técnicos"/>
    <s v="Plan de trabajo."/>
    <n v="81121503"/>
    <s v="C-2106-1900-12-40302A-2106010-02"/>
    <x v="6"/>
    <s v="140-70 Elaborar los balances oferta utilización de 34 productos mineros y la cuenta de producción y generación del ingreso de 10 actividades económicas mineras CIIU Rev. 4 A.C. para 2023 y 2024 en versión provisional para la operación estadística cuenta s"/>
    <s v="Mayo"/>
    <s v="Junio"/>
    <s v="Julio"/>
    <n v="5"/>
    <s v="Meses"/>
    <s v="Contratación directa - Contratos interadministrativos "/>
    <s v="Propios - 20 - Ingresos corrientes"/>
    <n v="46000000"/>
    <n v="46000000"/>
    <s v="No"/>
    <s v="N/A"/>
    <s v="Germán Tiberio Ojeda"/>
    <s v="Subdirector de Minería"/>
    <n v="6012220601"/>
    <s v="german.ojeda@upme.gov.co"/>
    <n v="0"/>
    <n v="0"/>
    <n v="0"/>
    <n v="0"/>
    <n v="0"/>
    <n v="0"/>
    <n v="0"/>
    <n v="0"/>
    <n v="0"/>
    <n v="0"/>
    <n v="0"/>
    <n v="0"/>
    <n v="46000000"/>
    <n v="0"/>
    <n v="0"/>
    <n v="0"/>
    <n v="0"/>
    <n v="27333333"/>
    <n v="0"/>
    <n v="0"/>
    <n v="0"/>
    <n v="18666667"/>
    <n v="0"/>
    <n v="0"/>
    <n v="46000000"/>
    <n v="46000000"/>
    <n v="0"/>
    <n v="0"/>
    <s v="Elaborar los balances oferta utilización de 34 productos mineros y la cuenta de producción y generación del ingreso de 10 actividades económicas mineras CIIU Rev. 4 A.C. para 2023 y 2024 en versión provisional para la operación estadística cuenta satélite"/>
    <m/>
    <m/>
    <m/>
    <m/>
    <m/>
    <m/>
    <m/>
    <m/>
    <m/>
    <m/>
    <m/>
    <m/>
    <n v="46000000"/>
    <m/>
    <m/>
    <m/>
    <m/>
    <n v="27333333"/>
    <m/>
    <m/>
    <m/>
    <n v="18666667"/>
    <m/>
    <m/>
    <m/>
    <m/>
    <n v="46000000"/>
    <n v="46000000"/>
    <n v="0"/>
    <n v="0"/>
    <m/>
    <m/>
    <m/>
    <n v="46000000"/>
    <m/>
    <m/>
    <n v="0"/>
    <n v="46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71"/>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1 Prestar servicios profesionales de apoyo a la Subdirección de Minería en la organización y gestión de la información asociada a los estudios técnicos del sector minero."/>
    <s v="Enero "/>
    <s v="Enero "/>
    <s v="Enero "/>
    <n v="11"/>
    <s v="Meses"/>
    <s v="Contratación directa - Prestación de servicios profesionales "/>
    <s v="Propios - 20 - Ingresos corrientes"/>
    <n v="35200000"/>
    <n v="35200000"/>
    <s v="No"/>
    <s v="N/A"/>
    <s v="Germán Tiberio Ojeda"/>
    <s v="Subdirector de Minería"/>
    <n v="6012220601"/>
    <s v="german.ojeda@upme.gov.co"/>
    <n v="35200000"/>
    <n v="0"/>
    <n v="0"/>
    <n v="233000"/>
    <n v="0"/>
    <n v="3200000"/>
    <n v="0"/>
    <n v="3200000"/>
    <n v="0"/>
    <n v="3200000"/>
    <n v="0"/>
    <n v="3200000"/>
    <n v="0"/>
    <n v="3200000"/>
    <n v="0"/>
    <n v="3200000"/>
    <n v="0"/>
    <n v="3200000"/>
    <n v="0"/>
    <n v="3200000"/>
    <n v="0"/>
    <n v="3200000"/>
    <n v="0"/>
    <n v="6167000"/>
    <n v="35200000"/>
    <n v="35200000"/>
    <n v="0"/>
    <n v="0"/>
    <s v="Prestar servicios profesionales de apoyo a la Subdirección de Minería en la organización y gestión de la información asociada a los estudios técnicos del sector minero."/>
    <n v="35200000"/>
    <m/>
    <m/>
    <n v="233000"/>
    <m/>
    <n v="3200000"/>
    <m/>
    <n v="3200000"/>
    <m/>
    <n v="3200000"/>
    <m/>
    <n v="3200000"/>
    <m/>
    <n v="3200000"/>
    <m/>
    <n v="3200000"/>
    <m/>
    <n v="3200000"/>
    <m/>
    <n v="3200000"/>
    <m/>
    <n v="3200000"/>
    <m/>
    <n v="6167000"/>
    <m/>
    <m/>
    <n v="35200000"/>
    <n v="35200000"/>
    <n v="0"/>
    <n v="0"/>
    <n v="39026"/>
    <d v="2026-01-15T00:00:00"/>
    <n v="35200000"/>
    <n v="0"/>
    <n v="23226"/>
    <d v="2026-01-27T00:00:00"/>
    <n v="35200000"/>
    <n v="0"/>
    <n v="0"/>
    <s v="SUAREZ PEÑALOZA JHON ALEXIS"/>
    <s v="CO1.PCCNTR.9083174"/>
    <n v="35200000"/>
    <m/>
    <m/>
    <m/>
    <n v="320000"/>
    <n v="320000"/>
    <m/>
    <n v="3200000"/>
    <n v="3200000"/>
    <m/>
    <n v="3200000"/>
    <n v="3200000"/>
    <m/>
    <m/>
    <m/>
    <m/>
    <m/>
    <m/>
    <m/>
    <m/>
    <m/>
    <m/>
    <m/>
    <m/>
    <m/>
    <m/>
    <m/>
    <m/>
    <m/>
    <m/>
    <m/>
    <m/>
    <m/>
    <m/>
    <m/>
    <m/>
    <n v="35200000"/>
    <n v="6720000"/>
    <n v="6720000"/>
    <n v="28480000"/>
    <n v="0"/>
  </r>
  <r>
    <x v="0"/>
    <x v="9"/>
    <s v="Fortalecimiento de la planeación para el desarrollo minero responsable con los territorios en el marco de la transición energética a nivel nacional"/>
    <s v="Minería"/>
    <s v="Sí"/>
    <s v="Sí"/>
    <n v="68"/>
    <s v="140-72"/>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2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0 - Ingresos corrientes"/>
    <n v="6825000"/>
    <n v="6825000"/>
    <s v="No"/>
    <s v="N/A"/>
    <s v="Germán Tiberio Ojeda"/>
    <s v="Subdirector de Minería"/>
    <n v="6012220601"/>
    <s v="german.ojeda@upme.gov.co"/>
    <n v="6825000"/>
    <n v="0"/>
    <n v="0"/>
    <n v="0"/>
    <n v="0"/>
    <n v="0"/>
    <n v="0"/>
    <n v="0"/>
    <n v="0"/>
    <n v="0"/>
    <n v="0"/>
    <n v="0"/>
    <n v="0"/>
    <n v="0"/>
    <n v="0"/>
    <n v="0"/>
    <n v="0"/>
    <n v="0"/>
    <n v="0"/>
    <n v="0"/>
    <n v="0"/>
    <n v="425000"/>
    <n v="0"/>
    <n v="6400000"/>
    <n v="6825000"/>
    <n v="6825000"/>
    <n v="0"/>
    <n v="0"/>
    <s v="Prestar servicios profesionales de apoyo a la Subdirección de Minería para la gestión de datos y el desarrollo de modelos asociados al sector minero, desde un enfoque técnico y de investigación que contribuya al análisis y fortalecimiento del sector"/>
    <n v="6825000"/>
    <m/>
    <m/>
    <m/>
    <m/>
    <m/>
    <m/>
    <m/>
    <m/>
    <m/>
    <m/>
    <m/>
    <m/>
    <m/>
    <m/>
    <m/>
    <m/>
    <m/>
    <m/>
    <m/>
    <m/>
    <n v="425000"/>
    <m/>
    <n v="6400000"/>
    <m/>
    <m/>
    <n v="6825000"/>
    <n v="6825000"/>
    <n v="0"/>
    <n v="0"/>
    <n v="35626"/>
    <d v="2026-01-15T00:00:00"/>
    <n v="6825000"/>
    <n v="0"/>
    <n v="28826"/>
    <d v="2026-01-28T00:00:00"/>
    <n v="6825000"/>
    <n v="0"/>
    <n v="0"/>
    <s v="SEPULVEDA AMADO JUAN SEBASTIAN"/>
    <s v="CO1.PCCNTR.9129820"/>
    <n v="6825000"/>
    <m/>
    <m/>
    <m/>
    <m/>
    <m/>
    <m/>
    <m/>
    <m/>
    <m/>
    <m/>
    <m/>
    <m/>
    <m/>
    <m/>
    <m/>
    <m/>
    <m/>
    <m/>
    <m/>
    <m/>
    <m/>
    <m/>
    <m/>
    <m/>
    <m/>
    <m/>
    <m/>
    <m/>
    <m/>
    <m/>
    <m/>
    <m/>
    <m/>
    <m/>
    <m/>
    <n v="6825000"/>
    <n v="0"/>
    <n v="0"/>
    <n v="6825000"/>
    <n v="0"/>
  </r>
  <r>
    <x v="0"/>
    <x v="9"/>
    <s v="Fortalecimiento de la planeación para el desarrollo minero responsable con los territorios en el marco de la transición energética a nivel nacional"/>
    <s v="Minería"/>
    <s v="Sí"/>
    <s v="Sí"/>
    <n v="68"/>
    <s v="140-73"/>
    <s v="Fortalecer la articulación de las entidades del sector en la formulación, ejecución y seguimiento de la planeación minera."/>
    <s v="Documentos de Lineamientos Técnicos"/>
    <s v="Documento con la descripción de procesos, métodos y herramientas."/>
    <n v="81121503"/>
    <s v="C-2106-1900-12-40302A-2106010-02"/>
    <x v="6"/>
    <s v="140-73 Elaborar los balances oferta utilización de 34 productos mineros y la cuenta de producción y generación del ingreso de 10 actividades económicas mineras CIIU Rev. 4 A.C. para 2023 y 2024 en versión provisional para la operación estadística cuenta s"/>
    <s v="Mayo"/>
    <s v="Junio"/>
    <s v="Julio"/>
    <n v="5"/>
    <s v="Meses"/>
    <s v="Contratación directa - Contratos interadministrativos "/>
    <s v="Propios - 20 - Ingresos corrientes"/>
    <n v="36000000"/>
    <n v="36000000"/>
    <s v="No"/>
    <s v="N/A"/>
    <s v="Germán Tiberio Ojeda"/>
    <s v="Subdirector de Minería"/>
    <n v="6012220601"/>
    <s v="german.ojeda@upme.gov.co"/>
    <n v="0"/>
    <n v="0"/>
    <n v="0"/>
    <n v="0"/>
    <n v="0"/>
    <n v="0"/>
    <n v="0"/>
    <n v="0"/>
    <n v="0"/>
    <n v="0"/>
    <n v="0"/>
    <n v="0"/>
    <n v="36000000"/>
    <n v="0"/>
    <n v="0"/>
    <n v="0"/>
    <n v="0"/>
    <n v="0"/>
    <n v="0"/>
    <n v="0"/>
    <n v="0"/>
    <n v="0"/>
    <n v="0"/>
    <n v="36000000"/>
    <n v="36000000"/>
    <n v="36000000"/>
    <n v="0"/>
    <n v="0"/>
    <s v="Elaborar los balances oferta utilización de 34 productos mineros y la cuenta de producción y generación del ingreso de 10 actividades económicas mineras CIIU Rev. 4 A.C. para 2023 y 2024 en versión provisional para la operación estadística cuenta satélite"/>
    <m/>
    <m/>
    <m/>
    <m/>
    <m/>
    <m/>
    <m/>
    <m/>
    <m/>
    <m/>
    <m/>
    <m/>
    <n v="36000000"/>
    <m/>
    <m/>
    <m/>
    <m/>
    <m/>
    <m/>
    <m/>
    <m/>
    <m/>
    <m/>
    <n v="36000000"/>
    <m/>
    <m/>
    <n v="36000000"/>
    <n v="36000000"/>
    <n v="0"/>
    <n v="0"/>
    <m/>
    <m/>
    <m/>
    <n v="36000000"/>
    <m/>
    <m/>
    <n v="0"/>
    <n v="36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74"/>
    <s v="Fortalecer la articulación de las entidades del sector en la formulación, ejecución y seguimiento de la planeación minera."/>
    <s v="Documentos de Lineamientos Técnicos"/>
    <s v="Documento con la descripción de procesos, métodos y herramientas."/>
    <n v="80101507"/>
    <s v="C-2106-1900-12-40302A-2106010-02"/>
    <x v="8"/>
    <s v="140-74 Desarrollo de nuevos indicadores, analítica y tableros para el SIMCO basados en información sectorial agregando valor a la divulgación de las estadísticas del sector minero"/>
    <s v="Mayo"/>
    <s v="Junio"/>
    <s v="Julio"/>
    <n v="5"/>
    <s v="Meses"/>
    <s v="Contratación directa - Contratos interadministrativos "/>
    <s v="Propios - 20 - Ingresos corrientes"/>
    <n v="42925198"/>
    <n v="42925198"/>
    <s v="No"/>
    <s v="N/A"/>
    <s v="Germán Tiberio Ojeda"/>
    <s v="Subdirector de Minería"/>
    <n v="6012220601"/>
    <s v="german.ojeda@upme.gov.co"/>
    <n v="0"/>
    <n v="0"/>
    <n v="0"/>
    <n v="0"/>
    <n v="0"/>
    <n v="0"/>
    <n v="0"/>
    <n v="0"/>
    <n v="0"/>
    <n v="0"/>
    <n v="0"/>
    <n v="0"/>
    <n v="42925198"/>
    <n v="0"/>
    <n v="0"/>
    <n v="0"/>
    <n v="0"/>
    <n v="0"/>
    <n v="0"/>
    <n v="0"/>
    <n v="0"/>
    <n v="0"/>
    <n v="0"/>
    <n v="42925198"/>
    <n v="42925198"/>
    <n v="42925198"/>
    <n v="0"/>
    <n v="0"/>
    <s v="Desarrollo de nuevos indicadores, analítica y tableros para el SIMCO basados en información sectorial agregando valor a la divulgación de las estadísticas del sector minero"/>
    <m/>
    <m/>
    <m/>
    <m/>
    <m/>
    <m/>
    <m/>
    <m/>
    <m/>
    <m/>
    <m/>
    <m/>
    <n v="42925198"/>
    <m/>
    <m/>
    <m/>
    <m/>
    <m/>
    <m/>
    <m/>
    <m/>
    <m/>
    <m/>
    <n v="42925198"/>
    <m/>
    <m/>
    <n v="42925198"/>
    <n v="42925198"/>
    <n v="0"/>
    <n v="0"/>
    <m/>
    <m/>
    <m/>
    <n v="42925198"/>
    <m/>
    <m/>
    <n v="0"/>
    <n v="42925198"/>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1"/>
    <s v="140-75"/>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5 Prestar servicios profesionales de apoyo a la Subdirección de Minería en los aspectos técnicos asociados al cumplimiento de su misionalidad, así como en el acompañamiento en las actividades de planeación e investigación del sector minero."/>
    <s v="Enero "/>
    <s v="Enero "/>
    <s v="Enero "/>
    <n v="11"/>
    <s v="Meses"/>
    <s v="Contratación directa - Prestación de servicios profesionales "/>
    <s v="Propios - 20 - Ingresos corrientes"/>
    <n v="61474802"/>
    <n v="61474802"/>
    <s v="No"/>
    <s v="N/A"/>
    <s v="Germán Tiberio Ojeda"/>
    <s v="Subdirector de Minería"/>
    <n v="2220601"/>
    <s v="german.ojeda@upme.gov.co"/>
    <n v="61474802"/>
    <n v="0"/>
    <n v="0"/>
    <n v="0"/>
    <n v="0"/>
    <n v="0"/>
    <n v="0"/>
    <n v="0"/>
    <n v="0"/>
    <n v="3014802"/>
    <n v="0"/>
    <n v="7400000"/>
    <n v="0"/>
    <n v="7400000"/>
    <n v="0"/>
    <n v="7400000"/>
    <n v="0"/>
    <n v="7400000"/>
    <n v="0"/>
    <n v="7400000"/>
    <n v="0"/>
    <n v="7400000"/>
    <n v="0"/>
    <n v="14060000"/>
    <n v="61474802"/>
    <n v="61474802"/>
    <n v="0"/>
    <n v="0"/>
    <s v="Prestar servicios profesionales de apoyo a la Subdirección de Minería en los aspectos técnicos asociados al cumplimiento de su misionalidad, así como en el acompañamiento en las actividades de planeación e investigación del sector minero."/>
    <n v="61474802"/>
    <m/>
    <m/>
    <m/>
    <m/>
    <m/>
    <m/>
    <m/>
    <m/>
    <n v="3014802"/>
    <m/>
    <n v="7400000"/>
    <m/>
    <n v="7400000"/>
    <m/>
    <n v="7400000"/>
    <m/>
    <n v="7400000"/>
    <m/>
    <n v="7400000"/>
    <m/>
    <n v="7400000"/>
    <m/>
    <n v="14060000"/>
    <m/>
    <m/>
    <n v="61474802"/>
    <n v="61474802"/>
    <n v="0"/>
    <n v="0"/>
    <n v="21426"/>
    <d v="2026-01-11T00:00:00"/>
    <n v="61474802"/>
    <n v="0"/>
    <n v="20526"/>
    <d v="2026-01-26T00:00:00"/>
    <n v="61474802"/>
    <n v="0"/>
    <n v="0"/>
    <s v="LONDOÑO PALACINO CATALINA"/>
    <s v="CO1.PCCNTR.9037106"/>
    <n v="61474802"/>
    <m/>
    <m/>
    <m/>
    <m/>
    <m/>
    <m/>
    <m/>
    <m/>
    <m/>
    <m/>
    <m/>
    <m/>
    <m/>
    <m/>
    <m/>
    <m/>
    <m/>
    <m/>
    <m/>
    <m/>
    <m/>
    <m/>
    <m/>
    <m/>
    <m/>
    <m/>
    <m/>
    <m/>
    <m/>
    <m/>
    <m/>
    <m/>
    <m/>
    <m/>
    <m/>
    <n v="61474802"/>
    <n v="0"/>
    <n v="0"/>
    <n v="61474802"/>
    <n v="0"/>
  </r>
  <r>
    <x v="0"/>
    <x v="9"/>
    <s v="Fortalecimiento de la planeación para el desarrollo minero responsable con los territorios en el marco de la transición energética a nivel nacional"/>
    <s v="Minería"/>
    <s v="Sí"/>
    <s v="Sí"/>
    <n v="68"/>
    <s v="140-76"/>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6 Prestar servicios profesionales para apoyar a la Subdirección de Minería en asuntos administrativos y financieros, así como en la elaboración y apoyo a documentos técnicos y de investigación de la Subdirección."/>
    <s v="Enero "/>
    <s v="Enero "/>
    <s v="Enero "/>
    <n v="11"/>
    <s v="Meses"/>
    <s v="Contratación directa - Prestación de servicios profesionales "/>
    <s v="Propios - 20 - Ingresos corrientes"/>
    <n v="16600000"/>
    <n v="16600000"/>
    <s v="No"/>
    <s v="N/A"/>
    <s v="Germán Tiberio Ojeda"/>
    <s v="Subdirector de Minería"/>
    <n v="6012220601"/>
    <s v="german.ojeda@upme.gov.co"/>
    <n v="16600000"/>
    <n v="0"/>
    <n v="0"/>
    <n v="0"/>
    <n v="0"/>
    <n v="0"/>
    <n v="0"/>
    <n v="0"/>
    <n v="0"/>
    <n v="0"/>
    <n v="0"/>
    <n v="0"/>
    <n v="0"/>
    <n v="0"/>
    <n v="0"/>
    <n v="0"/>
    <n v="0"/>
    <n v="0"/>
    <n v="0"/>
    <n v="1100000"/>
    <n v="0"/>
    <n v="5000000"/>
    <n v="0"/>
    <n v="10500000"/>
    <n v="16600000"/>
    <n v="16600000"/>
    <n v="0"/>
    <n v="0"/>
    <s v="Prestar servicios profesionales para apoyar a la Subdirección de Minería en asuntos administrativos y financieros, así como en la elaboración y apoyo a documentos técnicos y de investigación de la Subdirección."/>
    <n v="16600000"/>
    <m/>
    <m/>
    <m/>
    <m/>
    <m/>
    <m/>
    <m/>
    <m/>
    <m/>
    <m/>
    <m/>
    <m/>
    <m/>
    <m/>
    <m/>
    <m/>
    <m/>
    <m/>
    <n v="1100000"/>
    <m/>
    <n v="5000000"/>
    <m/>
    <n v="10500000"/>
    <m/>
    <m/>
    <n v="16600000"/>
    <n v="16600000"/>
    <n v="0"/>
    <n v="0"/>
    <n v="39526"/>
    <d v="2026-01-15T00:00:00"/>
    <n v="16433333"/>
    <n v="166667"/>
    <n v="35526"/>
    <d v="2026-01-30T00:00:00"/>
    <n v="16433333"/>
    <n v="166667"/>
    <n v="0"/>
    <s v="ARRIETA MARTINEZ YISSETH VIVIANA"/>
    <s v="CO1.PCCNTR.9176351"/>
    <n v="16600000"/>
    <m/>
    <m/>
    <m/>
    <m/>
    <m/>
    <n v="-166667"/>
    <m/>
    <m/>
    <m/>
    <m/>
    <m/>
    <m/>
    <m/>
    <m/>
    <m/>
    <m/>
    <m/>
    <m/>
    <m/>
    <m/>
    <m/>
    <m/>
    <m/>
    <m/>
    <m/>
    <m/>
    <m/>
    <m/>
    <m/>
    <m/>
    <m/>
    <m/>
    <m/>
    <m/>
    <m/>
    <n v="16433333"/>
    <n v="0"/>
    <n v="0"/>
    <n v="16433333"/>
    <n v="0"/>
  </r>
  <r>
    <x v="0"/>
    <x v="9"/>
    <s v="Fortalecimiento de la planeación para el desarrollo minero responsable con los territorios en el marco de la transición energética a nivel nacional"/>
    <s v="Minería"/>
    <s v="Sí"/>
    <s v="Sí"/>
    <n v="68"/>
    <s v="140-77"/>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7 Prestar servicios ​profesionales de asesoría en los asuntos jurídicos y judiciales de competencia de la UPME, al igual que asesoría en los documentos técnicos, de planeación y servicios de divulgación del sector minero y lo que de ello se derive, e"/>
    <s v="Enero "/>
    <s v="Enero "/>
    <s v="Enero "/>
    <n v="11.5"/>
    <s v="Meses"/>
    <s v="Contratación directa - Prestación de servicios profesionales "/>
    <s v="Propios - 20 - Ingresos corrientes"/>
    <n v="51275000"/>
    <n v="51275000"/>
    <s v="No"/>
    <s v="N/A"/>
    <s v="Germán Tiberio Ojeda"/>
    <s v="Subdirector de Minería"/>
    <n v="6012220601"/>
    <s v="german.ojeda@upme.gov.co"/>
    <n v="51275000"/>
    <n v="0"/>
    <n v="0"/>
    <n v="0"/>
    <n v="0"/>
    <n v="0"/>
    <n v="0"/>
    <n v="0"/>
    <n v="0"/>
    <n v="0"/>
    <n v="0"/>
    <n v="0"/>
    <n v="0"/>
    <n v="0"/>
    <n v="0"/>
    <n v="0"/>
    <n v="0"/>
    <n v="455000"/>
    <n v="0"/>
    <n v="12100000"/>
    <n v="0"/>
    <n v="12100000"/>
    <n v="0"/>
    <n v="26620000"/>
    <n v="51275000"/>
    <n v="51275000"/>
    <n v="0"/>
    <n v="0"/>
    <s v="Prestar servicios ​profesionales de asesoría en los asuntos jurídicos y judiciales de competencia de la UPME, al igual que asesoría en los documentos técnicos, de planeación y servicios de divulgación del sector minero y lo que de ello se derive, en el ma"/>
    <n v="51275000"/>
    <m/>
    <m/>
    <m/>
    <m/>
    <m/>
    <m/>
    <m/>
    <m/>
    <m/>
    <m/>
    <m/>
    <m/>
    <m/>
    <m/>
    <m/>
    <m/>
    <n v="455000"/>
    <m/>
    <n v="12100000"/>
    <m/>
    <n v="12100000"/>
    <m/>
    <n v="26620000"/>
    <m/>
    <m/>
    <n v="51275000"/>
    <n v="51275000"/>
    <n v="0"/>
    <n v="0"/>
    <n v="3626"/>
    <d v="2026-01-05T00:00:00"/>
    <n v="51275000"/>
    <n v="0"/>
    <n v="14326"/>
    <d v="2026-01-21T00:00:00"/>
    <n v="51275000"/>
    <n v="0"/>
    <n v="0"/>
    <s v="TOVAR PERILLA CAMILO ANDRES"/>
    <s v="CO1.PCCNTR.8926095"/>
    <n v="51275000"/>
    <m/>
    <m/>
    <m/>
    <m/>
    <m/>
    <m/>
    <m/>
    <m/>
    <m/>
    <m/>
    <m/>
    <m/>
    <m/>
    <m/>
    <m/>
    <m/>
    <m/>
    <m/>
    <m/>
    <m/>
    <m/>
    <m/>
    <m/>
    <m/>
    <m/>
    <m/>
    <m/>
    <m/>
    <m/>
    <m/>
    <m/>
    <m/>
    <m/>
    <m/>
    <m/>
    <n v="51275000"/>
    <n v="0"/>
    <n v="0"/>
    <n v="51275000"/>
    <n v="0"/>
  </r>
  <r>
    <x v="0"/>
    <x v="9"/>
    <s v="Fortalecimiento de la planeación para el desarrollo minero responsable con los territorios en el marco de la transición energética a nivel nacional"/>
    <s v="Minería"/>
    <s v="Sí"/>
    <s v="Sí"/>
    <n v="68"/>
    <s v="140-78"/>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8 Prestar Servicios profesionales en el apoyo a la subdirección de minería en temas normativos, jurídicos para los instrumentos de planeación y documentos técnicos de la subdirección."/>
    <s v="Enero "/>
    <s v="Enero "/>
    <s v="Enero "/>
    <n v="10"/>
    <s v="Meses"/>
    <s v="Contratación directa - Prestación de servicios profesionales "/>
    <s v="Propios - 20 - Ingresos corrientes"/>
    <n v="70000000"/>
    <n v="70000000"/>
    <s v="No"/>
    <s v="N/A"/>
    <s v="Germán Tiberio Ojeda"/>
    <s v="Subdirector de Minería"/>
    <n v="6012220601"/>
    <s v="german.ojeda@upme.gov.co"/>
    <n v="0"/>
    <n v="0"/>
    <n v="70000000"/>
    <n v="0"/>
    <n v="0"/>
    <n v="5133333"/>
    <n v="0"/>
    <n v="7000000"/>
    <n v="0"/>
    <n v="7000000"/>
    <n v="0"/>
    <n v="7000000"/>
    <n v="0"/>
    <n v="7000000"/>
    <n v="0"/>
    <n v="7000000"/>
    <n v="0"/>
    <n v="7000000"/>
    <n v="0"/>
    <n v="7000000"/>
    <n v="0"/>
    <n v="7000000"/>
    <n v="0"/>
    <n v="8866667"/>
    <n v="70000000"/>
    <n v="70000000"/>
    <n v="0"/>
    <n v="0"/>
    <s v="Prestar Servicios profesionales en el apoyo a la subdirección de minería en temas normativos, jurídicos para los instrumentos de planeación y documentos técnicos de la subdirección."/>
    <m/>
    <m/>
    <n v="70000000"/>
    <m/>
    <m/>
    <n v="5133333"/>
    <m/>
    <n v="7000000"/>
    <m/>
    <n v="7000000"/>
    <m/>
    <n v="7000000"/>
    <m/>
    <n v="7000000"/>
    <m/>
    <n v="7000000"/>
    <m/>
    <n v="7000000"/>
    <m/>
    <n v="7000000"/>
    <m/>
    <n v="7000000"/>
    <m/>
    <n v="8866667"/>
    <m/>
    <m/>
    <n v="70000000"/>
    <n v="70000000"/>
    <n v="0"/>
    <n v="0"/>
    <n v="4126"/>
    <d v="2026-01-05T00:00:00"/>
    <n v="70000000"/>
    <n v="0"/>
    <n v="48826"/>
    <d v="2026-02-06T00:00:00"/>
    <n v="70000000"/>
    <n v="0"/>
    <n v="0"/>
    <s v="QUESADA SALGADO CARLOS ALBERTO"/>
    <s v=".CO1.PCCNTR 9271728"/>
    <m/>
    <m/>
    <m/>
    <n v="70000000"/>
    <m/>
    <m/>
    <m/>
    <n v="5133333"/>
    <n v="5133333"/>
    <m/>
    <n v="7000000"/>
    <n v="7000000"/>
    <m/>
    <m/>
    <m/>
    <m/>
    <m/>
    <m/>
    <m/>
    <m/>
    <m/>
    <m/>
    <m/>
    <m/>
    <m/>
    <m/>
    <m/>
    <m/>
    <m/>
    <m/>
    <m/>
    <m/>
    <m/>
    <m/>
    <m/>
    <m/>
    <n v="70000000"/>
    <n v="12133333"/>
    <n v="12133333"/>
    <n v="57866667"/>
    <n v="0"/>
  </r>
  <r>
    <x v="0"/>
    <x v="9"/>
    <s v="Fortalecimiento de la planeación para el desarrollo minero responsable con los territorios en el marco de la transición energética a nivel nacional"/>
    <s v="Minería"/>
    <s v="Sí"/>
    <s v="Sí"/>
    <n v="17"/>
    <s v="140-79"/>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9 Prestar servicios profesionales orientados a la divulgación, socialización de los procesos y documentos técnicos del sector minero energético, bajo el marco de los objetivos institucionales de la UPME"/>
    <s v="Enero "/>
    <s v="Enero "/>
    <s v="Enero "/>
    <n v="10"/>
    <s v="Meses"/>
    <s v="Contratación directa - Prestación de servicios profesionales "/>
    <s v="Propios - 20 - Ingresos corrientes"/>
    <n v="0"/>
    <n v="0"/>
    <s v="No"/>
    <s v="N/A"/>
    <s v="Germán Tiberio Ojeda"/>
    <s v="Subdirector de Minería"/>
    <n v="6012220601"/>
    <s v="german.ojeda@upme.gov.co"/>
    <n v="0"/>
    <n v="0"/>
    <n v="0"/>
    <n v="0"/>
    <n v="0"/>
    <n v="0"/>
    <n v="0"/>
    <n v="0"/>
    <n v="0"/>
    <n v="0"/>
    <n v="0"/>
    <n v="0"/>
    <n v="0"/>
    <n v="0"/>
    <n v="0"/>
    <n v="0"/>
    <n v="0"/>
    <n v="0"/>
    <n v="0"/>
    <n v="0"/>
    <n v="0"/>
    <n v="0"/>
    <n v="30000000"/>
    <n v="30000000"/>
    <n v="30000000"/>
    <n v="30000000"/>
    <n v="-30000000"/>
    <n v="-30000000"/>
    <s v="Prestar servicios profesionales orientados a la divulgación, socialización de los procesos y documentos técnicos del sector minero energético, bajo el marco de los objetivos institucionales de la UPME"/>
    <m/>
    <m/>
    <m/>
    <m/>
    <m/>
    <m/>
    <m/>
    <m/>
    <m/>
    <m/>
    <m/>
    <m/>
    <m/>
    <m/>
    <m/>
    <m/>
    <m/>
    <m/>
    <m/>
    <m/>
    <m/>
    <m/>
    <n v="0"/>
    <n v="0"/>
    <m/>
    <m/>
    <n v="0"/>
    <n v="0"/>
    <n v="0"/>
    <n v="0"/>
    <n v="64526"/>
    <d v="2026-01-24T00:00:00"/>
    <m/>
    <n v="0"/>
    <m/>
    <m/>
    <n v="0"/>
    <n v="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68"/>
    <s v="140-80"/>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0 Prestar servicios profesionales para la proyección y/o revisión jurídica de los documentos de tipo legal producto de las actuaciones administrativas de competencia de la UPME, y lo que de ello se derive, en el marco de la gestión institucional de l"/>
    <s v="Enero "/>
    <s v="Enero "/>
    <s v="Enero "/>
    <n v="11"/>
    <s v="Meses"/>
    <s v="Contratación directa - Prestación de servicios profesionales "/>
    <s v="Propios - 20 - Ingresos corrientes"/>
    <n v="47850000"/>
    <n v="47850000"/>
    <s v="No"/>
    <s v="N/A"/>
    <s v="Germán Tiberio Ojeda"/>
    <s v="Subdirector de Minería"/>
    <n v="6012220601"/>
    <s v="german.ojeda@upme.gov.co"/>
    <n v="47850000"/>
    <n v="0"/>
    <n v="0"/>
    <n v="0"/>
    <n v="0"/>
    <n v="0"/>
    <n v="0"/>
    <n v="0"/>
    <n v="0"/>
    <n v="0"/>
    <n v="0"/>
    <n v="0"/>
    <n v="0"/>
    <n v="0"/>
    <n v="0"/>
    <n v="4350000"/>
    <n v="0"/>
    <n v="8700000"/>
    <n v="0"/>
    <n v="8700000"/>
    <n v="0"/>
    <n v="8700000"/>
    <n v="0"/>
    <n v="17400000"/>
    <n v="47850000"/>
    <n v="47850000"/>
    <n v="0"/>
    <n v="0"/>
    <s v="Prestar servicios profesionales para la proyección y/o revisión jurídica de los documentos de tipo legal producto de las actuaciones administrativas de competencia de la UPME, y lo que de ello se derive, en el marco de la gestión institucional de la Entid"/>
    <n v="47850000"/>
    <m/>
    <m/>
    <m/>
    <m/>
    <m/>
    <m/>
    <m/>
    <m/>
    <m/>
    <m/>
    <m/>
    <m/>
    <m/>
    <m/>
    <n v="4350000"/>
    <m/>
    <n v="8700000"/>
    <m/>
    <n v="8700000"/>
    <m/>
    <n v="8700000"/>
    <m/>
    <n v="17400000"/>
    <m/>
    <m/>
    <n v="47850000"/>
    <n v="47850000"/>
    <n v="0"/>
    <n v="0"/>
    <n v="14026"/>
    <d v="2026-01-09T00:00:00"/>
    <n v="47850000"/>
    <n v="0"/>
    <n v="24926"/>
    <d v="2026-01-28T00:00:00"/>
    <n v="47850000"/>
    <n v="0"/>
    <n v="0"/>
    <s v="MONROY CADAVID HECTOR GUSTAVO"/>
    <s v="CO1.PCCNTR.9044345"/>
    <n v="47850000"/>
    <m/>
    <m/>
    <m/>
    <m/>
    <m/>
    <m/>
    <m/>
    <m/>
    <m/>
    <m/>
    <m/>
    <m/>
    <m/>
    <m/>
    <m/>
    <m/>
    <m/>
    <m/>
    <m/>
    <m/>
    <m/>
    <m/>
    <m/>
    <m/>
    <m/>
    <m/>
    <m/>
    <m/>
    <m/>
    <m/>
    <m/>
    <m/>
    <m/>
    <m/>
    <m/>
    <n v="47850000"/>
    <n v="0"/>
    <n v="0"/>
    <n v="47850000"/>
    <n v="0"/>
  </r>
  <r>
    <x v="0"/>
    <x v="9"/>
    <s v="Fortalecimiento de la planeación para el desarrollo minero responsable con los territorios en el marco de la transición energética a nivel nacional"/>
    <s v="Minería"/>
    <s v="Sí"/>
    <s v="Sí"/>
    <n v="2"/>
    <s v="140-81"/>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1  Prestar servicios ​profesionales en asuntos jurídicos relacionados con los procesos ​y procedimientos de competencia de la Subdirección de Minería, en el marco de la gestión institucional de la Entidad."/>
    <s v="Enero "/>
    <s v="Enero "/>
    <s v="Enero "/>
    <n v="11"/>
    <s v="Meses"/>
    <s v="Contratación directa - Prestación de servicios profesionales "/>
    <s v="Propios - 20 - Ingresos corrientes"/>
    <n v="27500000"/>
    <n v="27500000"/>
    <s v="No"/>
    <s v="N/A"/>
    <s v="Germán Tiberio Ojeda"/>
    <s v="Subdirector de Minería"/>
    <n v="6012220601"/>
    <s v="german.ojeda@upme.gov.co"/>
    <n v="27500000"/>
    <n v="0"/>
    <n v="0"/>
    <n v="0"/>
    <n v="0"/>
    <n v="0"/>
    <n v="0"/>
    <n v="0"/>
    <n v="0"/>
    <n v="0"/>
    <n v="0"/>
    <n v="0"/>
    <n v="0"/>
    <n v="0"/>
    <n v="0"/>
    <n v="5000000"/>
    <n v="0"/>
    <n v="5000000"/>
    <n v="0"/>
    <n v="5000000"/>
    <n v="0"/>
    <n v="5000000"/>
    <n v="0"/>
    <n v="7500000"/>
    <n v="27500000"/>
    <n v="27500000"/>
    <n v="0"/>
    <n v="0"/>
    <s v=" Prestar servicios ​profesionales en asuntos jurídicos relacionados con los procesos ​y procedimientos de competencia de la Subdirección de Minería, en el marco de la gestión institucional de la Entidad."/>
    <n v="27500000"/>
    <m/>
    <m/>
    <m/>
    <m/>
    <m/>
    <m/>
    <m/>
    <m/>
    <m/>
    <m/>
    <m/>
    <m/>
    <m/>
    <m/>
    <n v="5000000"/>
    <m/>
    <n v="5000000"/>
    <m/>
    <n v="5000000"/>
    <m/>
    <n v="5000000"/>
    <m/>
    <n v="7500000"/>
    <m/>
    <m/>
    <n v="27500000"/>
    <n v="27500000"/>
    <n v="0"/>
    <n v="0"/>
    <n v="39126"/>
    <d v="2026-01-15T00:00:00"/>
    <n v="27500000"/>
    <n v="0"/>
    <n v="27526"/>
    <d v="2026-01-28T00:00:00"/>
    <n v="27500000"/>
    <n v="0"/>
    <n v="0"/>
    <s v="FUENTES LOZANO CARLOS EDUARDO"/>
    <s v="CO1.PCCNTR.9129388"/>
    <n v="27500000"/>
    <m/>
    <m/>
    <m/>
    <m/>
    <m/>
    <m/>
    <m/>
    <m/>
    <m/>
    <m/>
    <m/>
    <m/>
    <m/>
    <m/>
    <m/>
    <m/>
    <m/>
    <m/>
    <m/>
    <m/>
    <m/>
    <m/>
    <m/>
    <m/>
    <m/>
    <m/>
    <m/>
    <m/>
    <m/>
    <m/>
    <m/>
    <m/>
    <m/>
    <m/>
    <m/>
    <n v="27500000"/>
    <n v="0"/>
    <n v="0"/>
    <n v="27500000"/>
    <n v="0"/>
  </r>
  <r>
    <x v="0"/>
    <x v="9"/>
    <s v="Fortalecimiento de la planeación para el desarrollo minero responsable con los territorios en el marco de la transición energética a nivel nacional"/>
    <s v="Minería"/>
    <s v="Sí"/>
    <s v="Sí"/>
    <n v="68"/>
    <s v="140-82"/>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2 Prestar servicios profesionales para apoyar a la Subdirección de Minería en la incorporación de aspectos técnicos y sociales que contribuyan al fortalecimiento de la investigación del sector minero."/>
    <s v="Enero "/>
    <s v="Enero "/>
    <s v="Enero "/>
    <n v="11"/>
    <s v="Meses"/>
    <s v="Contratación directa - Prestación de servicios profesionales "/>
    <s v="Propios - 20 - Ingresos corrientes"/>
    <n v="24700000"/>
    <n v="24700000"/>
    <s v="No"/>
    <s v="N/A"/>
    <s v="Germán Tiberio Ojeda"/>
    <s v="Subdirector de Minería"/>
    <n v="6012220601"/>
    <s v="german.ojeda@upme.gov.co"/>
    <n v="24700000"/>
    <n v="0"/>
    <n v="0"/>
    <n v="0"/>
    <n v="0"/>
    <n v="0"/>
    <n v="0"/>
    <n v="0"/>
    <n v="0"/>
    <n v="60000"/>
    <n v="0"/>
    <n v="3200000"/>
    <n v="0"/>
    <n v="3200000"/>
    <n v="0"/>
    <n v="3200000"/>
    <n v="0"/>
    <n v="3200000"/>
    <n v="0"/>
    <n v="3200000"/>
    <n v="0"/>
    <n v="3200000"/>
    <n v="0"/>
    <n v="5440000"/>
    <n v="24700000"/>
    <n v="24700000"/>
    <n v="0"/>
    <n v="0"/>
    <s v="Prestar servicios profesionales para apoyar a la Subdirección de Minería en la incorporación de aspectos técnicos y sociales que contribuyan al fortalecimiento de la investigación del sector minero."/>
    <n v="24700000"/>
    <m/>
    <m/>
    <m/>
    <m/>
    <m/>
    <m/>
    <m/>
    <m/>
    <n v="60000"/>
    <m/>
    <n v="3200000"/>
    <m/>
    <n v="3200000"/>
    <m/>
    <n v="3200000"/>
    <m/>
    <n v="3200000"/>
    <m/>
    <n v="3200000"/>
    <m/>
    <n v="3200000"/>
    <m/>
    <n v="5440000"/>
    <m/>
    <m/>
    <n v="24700000"/>
    <n v="24700000"/>
    <n v="0"/>
    <n v="0"/>
    <n v="3826"/>
    <d v="2026-01-05T00:00:00"/>
    <n v="24700000"/>
    <n v="0"/>
    <n v="13426"/>
    <d v="2026-01-20T00:00:00"/>
    <n v="24700000"/>
    <n v="0"/>
    <n v="0"/>
    <s v="SIERRA CARREÑO JESSICA TATHIANA"/>
    <s v="CO1.PCCNTR.8958706"/>
    <n v="24700000"/>
    <m/>
    <m/>
    <m/>
    <m/>
    <m/>
    <m/>
    <m/>
    <m/>
    <m/>
    <m/>
    <m/>
    <m/>
    <m/>
    <m/>
    <m/>
    <m/>
    <m/>
    <m/>
    <m/>
    <m/>
    <m/>
    <m/>
    <m/>
    <m/>
    <m/>
    <m/>
    <m/>
    <m/>
    <m/>
    <m/>
    <m/>
    <m/>
    <m/>
    <m/>
    <m/>
    <n v="24700000"/>
    <n v="0"/>
    <n v="0"/>
    <n v="24700000"/>
    <n v="0"/>
  </r>
  <r>
    <x v="0"/>
    <x v="9"/>
    <s v="Fortalecimiento de la planeación para el desarrollo minero responsable con los territorios en el marco de la transición energética a nivel nacional"/>
    <s v="Minería"/>
    <s v="Sí"/>
    <s v="Sí"/>
    <s v="Radicado 20261400002193"/>
    <s v="140-83"/>
    <s v="Fortalecer la articulación de las entidades del sector en la formulación, ejecución y seguimiento de la planeación minera."/>
    <s v="Documentos de Lineamientos Técnicos"/>
    <s v="Documento con la descripción de procesos, métodos y herramientas."/>
    <n v="78111502"/>
    <s v="C-2106-1900-12-40302A-2106010-02"/>
    <x v="3"/>
    <s v="140-83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78000000"/>
    <n v="78000000"/>
    <s v="No"/>
    <s v="N/A"/>
    <s v="Germán Tiberio Ojeda"/>
    <s v="Subdirector de Minería"/>
    <n v="6012220601"/>
    <s v="german.ojeda@upme.gov.co"/>
    <n v="78000000"/>
    <n v="0"/>
    <n v="0"/>
    <n v="0"/>
    <n v="0"/>
    <n v="7800000"/>
    <n v="0"/>
    <n v="7800000"/>
    <n v="0"/>
    <n v="7800000"/>
    <n v="0"/>
    <n v="7800000"/>
    <n v="0"/>
    <n v="7800000"/>
    <n v="0"/>
    <n v="7800000"/>
    <n v="0"/>
    <n v="7800000"/>
    <n v="0"/>
    <n v="7800000"/>
    <n v="0"/>
    <n v="7800000"/>
    <n v="0"/>
    <n v="7800000"/>
    <n v="78000000"/>
    <n v="78000000"/>
    <n v="0"/>
    <n v="0"/>
    <s v="Adquirir los servicios necesarios para garantizar el desplazamiento de servidores públicos y contratistas de la UPME a los eventos y espacios institucionales de planeación minero energética."/>
    <n v="78000000"/>
    <m/>
    <m/>
    <m/>
    <m/>
    <n v="7800000"/>
    <m/>
    <n v="7800000"/>
    <m/>
    <n v="7800000"/>
    <m/>
    <n v="7800000"/>
    <m/>
    <n v="7800000"/>
    <m/>
    <n v="7800000"/>
    <m/>
    <n v="7800000"/>
    <m/>
    <n v="7800000"/>
    <m/>
    <n v="7800000"/>
    <m/>
    <n v="7800000"/>
    <m/>
    <m/>
    <n v="78000000"/>
    <n v="78000000"/>
    <n v="0"/>
    <n v="0"/>
    <n v="38826"/>
    <d v="2026-01-15T00:00:00"/>
    <n v="78000000"/>
    <n v="0"/>
    <n v="20326"/>
    <d v="2026-01-26T00:00:00"/>
    <n v="78000000"/>
    <n v="0"/>
    <n v="0"/>
    <s v="FESTIVAL TOURS S.A.S"/>
    <s v="CO1.PCCNTR.9020125"/>
    <n v="78000000"/>
    <m/>
    <m/>
    <m/>
    <m/>
    <m/>
    <m/>
    <m/>
    <m/>
    <m/>
    <n v="13632143"/>
    <n v="13632143"/>
    <m/>
    <m/>
    <m/>
    <m/>
    <m/>
    <m/>
    <m/>
    <m/>
    <m/>
    <m/>
    <m/>
    <m/>
    <m/>
    <m/>
    <m/>
    <m/>
    <m/>
    <m/>
    <m/>
    <m/>
    <m/>
    <m/>
    <m/>
    <m/>
    <n v="78000000"/>
    <n v="13632143"/>
    <n v="13632143"/>
    <n v="64367857"/>
    <n v="0"/>
  </r>
  <r>
    <x v="0"/>
    <x v="9"/>
    <s v="Fortalecimiento de la planeación para el desarrollo minero responsable con los territorios en el marco de la transición energética a nivel nacional"/>
    <s v="Minería"/>
    <s v="No"/>
    <s v="Sí"/>
    <n v="68"/>
    <s v="140-84"/>
    <s v="Fortalecer la articulación de las entidades del sector en la formulación, ejecución y seguimiento de la planeación minera."/>
    <s v="Documentos de Lineamientos Técnicos"/>
    <s v="Documento con la descripción de procesos, métodos y herramientas."/>
    <s v="N/A"/>
    <s v="C-2106-1900-12-40302A-2106010-02"/>
    <x v="4"/>
    <s v="140-84 Viáticos o gastos de desplazamiento"/>
    <s v="N/A"/>
    <s v="N/A"/>
    <s v="N/A"/>
    <s v="N/A"/>
    <s v="N/A"/>
    <s v="N/A"/>
    <s v="Propios - 20 - Ingresos corrientes"/>
    <n v="75000000"/>
    <n v="75000000"/>
    <s v="No"/>
    <s v="N/A"/>
    <s v="Germán Tiberio Ojeda"/>
    <s v="Subdirector de Minería"/>
    <n v="6012220601"/>
    <s v="german.ojeda@upme.gov.co"/>
    <n v="1623918"/>
    <n v="0"/>
    <n v="3500000"/>
    <n v="3500000"/>
    <n v="3500000"/>
    <n v="3500000"/>
    <n v="3500000"/>
    <n v="3500000"/>
    <n v="3500000"/>
    <n v="3500000"/>
    <n v="3500000"/>
    <n v="3500000"/>
    <n v="10750000"/>
    <n v="10750000"/>
    <n v="10750000"/>
    <n v="10750000"/>
    <n v="10750000"/>
    <n v="10750000"/>
    <n v="10750000"/>
    <n v="10750000"/>
    <n v="10750000"/>
    <n v="10750000"/>
    <n v="2126082"/>
    <n v="3750000"/>
    <n v="75000000"/>
    <n v="75000000"/>
    <n v="0"/>
    <n v="0"/>
    <s v="Viáticos o gastos de desplazamiento"/>
    <n v="1623918"/>
    <m/>
    <n v="3500000"/>
    <n v="3500000"/>
    <n v="3500000"/>
    <n v="3500000"/>
    <n v="3500000"/>
    <n v="3500000"/>
    <n v="3500000"/>
    <n v="3500000"/>
    <n v="3500000"/>
    <n v="3500000"/>
    <n v="10750000"/>
    <n v="10750000"/>
    <n v="10750000"/>
    <n v="10750000"/>
    <n v="10750000"/>
    <n v="10750000"/>
    <n v="10750000"/>
    <n v="10750000"/>
    <n v="10750000"/>
    <n v="10750000"/>
    <n v="2126082"/>
    <n v="3750000"/>
    <m/>
    <m/>
    <n v="75000000"/>
    <n v="75000000"/>
    <n v="0"/>
    <n v="0"/>
    <n v="55326"/>
    <d v="2026-01-22T00:00:00"/>
    <n v="75000000"/>
    <n v="0"/>
    <n v="19526.196260000001"/>
    <d v="2026-01-24T00:00:00"/>
    <n v="1623918"/>
    <n v="73376082"/>
    <n v="73376082"/>
    <s v="POVEDA FORERO GERMAN ANDRES,OJEDA PEDRAZA GERMAN TIBERIO_x000a_"/>
    <m/>
    <n v="1623918"/>
    <m/>
    <m/>
    <m/>
    <n v="1623918"/>
    <n v="1623918"/>
    <m/>
    <m/>
    <m/>
    <m/>
    <m/>
    <m/>
    <m/>
    <m/>
    <m/>
    <m/>
    <m/>
    <m/>
    <m/>
    <m/>
    <m/>
    <m/>
    <m/>
    <m/>
    <m/>
    <m/>
    <m/>
    <m/>
    <m/>
    <m/>
    <m/>
    <m/>
    <m/>
    <m/>
    <m/>
    <m/>
    <n v="1623918"/>
    <n v="1623918"/>
    <n v="1623918"/>
    <n v="0"/>
    <n v="0"/>
  </r>
  <r>
    <x v="0"/>
    <x v="9"/>
    <s v="Fortalecimiento de la planeación para el desarrollo minero responsable con los territorios en el marco de la transición energética a nivel nacional"/>
    <s v="Minería"/>
    <s v="Sí"/>
    <s v="Sí"/>
    <n v="68"/>
    <s v="140-85"/>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5 Prestar servicios profesionales para apoyar a la Subdirección de Minería en asuntos administrativos que contribuyan a la divulgación de la información a través del Sistema de Información Minero Colombiano (SIMCO), así como al soporte misional reque"/>
    <s v="Enero "/>
    <s v="Enero "/>
    <s v="Enero "/>
    <n v="11"/>
    <s v="Meses"/>
    <s v="Contratación directa - Prestación de servicios profesionales "/>
    <s v="Propios - 20 - Ingresos corrientes"/>
    <n v="25000000"/>
    <n v="25000000"/>
    <s v="No"/>
    <s v="N/A"/>
    <s v="Germán Tiberio Ojeda"/>
    <s v="Subdirector de Minería"/>
    <n v="6012220601"/>
    <s v="german.ojeda@upme.gov.co"/>
    <n v="25000000"/>
    <n v="0"/>
    <n v="0"/>
    <n v="0"/>
    <n v="0"/>
    <n v="0"/>
    <n v="0"/>
    <n v="0"/>
    <n v="0"/>
    <n v="0"/>
    <n v="0"/>
    <n v="0"/>
    <n v="0"/>
    <n v="0"/>
    <n v="0"/>
    <n v="3700000"/>
    <n v="0"/>
    <n v="4500000"/>
    <n v="0"/>
    <n v="4500000"/>
    <n v="0"/>
    <n v="4500000"/>
    <n v="0"/>
    <n v="7800000"/>
    <n v="25000000"/>
    <n v="250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5000000"/>
    <m/>
    <m/>
    <m/>
    <m/>
    <m/>
    <m/>
    <m/>
    <m/>
    <m/>
    <m/>
    <m/>
    <m/>
    <m/>
    <m/>
    <n v="3700000"/>
    <m/>
    <n v="4500000"/>
    <m/>
    <n v="4500000"/>
    <m/>
    <n v="4500000"/>
    <m/>
    <n v="7800000"/>
    <m/>
    <m/>
    <n v="25000000"/>
    <n v="25000000"/>
    <n v="0"/>
    <n v="0"/>
    <n v="3926"/>
    <d v="2026-01-05T00:00:00"/>
    <n v="25000000"/>
    <n v="0"/>
    <n v="15426"/>
    <d v="2026-01-21T00:00:00"/>
    <n v="25000000"/>
    <n v="0"/>
    <n v="0"/>
    <s v="PICO TARRIBA JORDY DAVID"/>
    <s v="CO1.PCCNTR.8943624"/>
    <n v="25000000"/>
    <m/>
    <m/>
    <m/>
    <n v="1350000"/>
    <n v="1350000"/>
    <m/>
    <m/>
    <m/>
    <m/>
    <m/>
    <m/>
    <m/>
    <m/>
    <m/>
    <m/>
    <m/>
    <m/>
    <m/>
    <m/>
    <m/>
    <m/>
    <m/>
    <m/>
    <m/>
    <m/>
    <m/>
    <m/>
    <m/>
    <m/>
    <m/>
    <m/>
    <m/>
    <m/>
    <m/>
    <m/>
    <n v="25000000"/>
    <n v="1350000"/>
    <n v="1350000"/>
    <n v="23650000"/>
    <n v="0"/>
  </r>
  <r>
    <x v="0"/>
    <x v="9"/>
    <s v="Fortalecimiento de la planeación para el desarrollo minero responsable con los territorios en el marco de la transición energética a nivel nacional"/>
    <s v="Minería"/>
    <s v="Sí"/>
    <s v="Sí"/>
    <s v="Radicado 20261400003283"/>
    <s v="140-86"/>
    <s v="Fortalecer la articulación de las entidades del sector en la formulación, ejecución y seguimiento de la planeación minera."/>
    <s v="Documentos de Lineamientos Técnicos"/>
    <s v="Documento con la descripción de procesos, métodos y herramientas."/>
    <n v="55101519"/>
    <s v="C-2106-1900-12-40302A-2106010-02"/>
    <x v="11"/>
    <s v="140-86 Prestar el servicio de publicación en el diario oficial de los actos administrativos de carácter general emitidos por la UPME."/>
    <s v="Enero "/>
    <s v="Enero "/>
    <s v="Enero "/>
    <n v="11"/>
    <s v="Meses"/>
    <s v="Contratación directa - Contratos menor cuantía"/>
    <s v="Propios - 20 - Ingresos corrientes"/>
    <n v="25000000"/>
    <n v="25000000"/>
    <s v="No"/>
    <s v="N/A"/>
    <s v="Germán Tiberio Ojeda"/>
    <s v="Subdirector de Minería"/>
    <n v="6012220601"/>
    <s v="german.ojeda@upme.gov.co"/>
    <n v="25000000"/>
    <n v="0"/>
    <n v="0"/>
    <n v="1000000"/>
    <n v="0"/>
    <n v="0"/>
    <n v="0"/>
    <n v="6000000"/>
    <n v="0"/>
    <n v="0"/>
    <n v="0"/>
    <n v="0"/>
    <n v="0"/>
    <n v="6000000"/>
    <n v="0"/>
    <n v="0"/>
    <n v="0"/>
    <n v="0"/>
    <n v="0"/>
    <n v="6000000"/>
    <n v="0"/>
    <n v="0"/>
    <n v="0"/>
    <n v="6000000"/>
    <n v="25000000"/>
    <n v="25000000"/>
    <n v="0"/>
    <n v="0"/>
    <s v="Prestar el servicio de publicación en el diario oficial de los actos administrativos de carácter general emitidos por la UPME."/>
    <n v="25000000"/>
    <m/>
    <m/>
    <n v="1000000"/>
    <m/>
    <m/>
    <m/>
    <n v="6000000"/>
    <m/>
    <m/>
    <m/>
    <m/>
    <m/>
    <n v="6000000"/>
    <m/>
    <m/>
    <m/>
    <m/>
    <m/>
    <n v="6000000"/>
    <m/>
    <m/>
    <m/>
    <n v="6000000"/>
    <m/>
    <m/>
    <n v="25000000"/>
    <n v="25000000"/>
    <n v="0"/>
    <n v="0"/>
    <n v="14626"/>
    <d v="2026-01-09T00:00:00"/>
    <n v="25000000"/>
    <n v="0"/>
    <n v="18026"/>
    <d v="2026-01-23T00:00:00"/>
    <n v="25000000"/>
    <n v="0"/>
    <n v="0"/>
    <s v="IMPRENTA NACIONAL DE COLOMBIA"/>
    <s v="CO1.PCCNTR.8993966"/>
    <n v="25000000"/>
    <m/>
    <m/>
    <m/>
    <m/>
    <m/>
    <m/>
    <m/>
    <m/>
    <m/>
    <n v="8289300"/>
    <n v="8289300"/>
    <m/>
    <m/>
    <m/>
    <m/>
    <m/>
    <m/>
    <m/>
    <m/>
    <m/>
    <m/>
    <m/>
    <m/>
    <m/>
    <m/>
    <m/>
    <m/>
    <m/>
    <m/>
    <m/>
    <m/>
    <m/>
    <m/>
    <m/>
    <m/>
    <n v="25000000"/>
    <n v="8289300"/>
    <n v="8289300"/>
    <n v="16710700"/>
    <n v="0"/>
  </r>
  <r>
    <x v="0"/>
    <x v="9"/>
    <s v="Fortalecimiento de la planeación para el desarrollo minero responsable con los territorios en el marco de la transición energética a nivel nacional"/>
    <s v="Minería"/>
    <s v="Sí"/>
    <s v="Sí"/>
    <n v="68"/>
    <s v="140-87"/>
    <s v="Fortalecer la articulación de las entidades del sector en la formulación, ejecución y seguimiento de la planeación minera."/>
    <s v="Documentos de Lineamientos Técnicos"/>
    <s v="Documento con la descripción de procesos, métodos y herramientas."/>
    <n v="80111713"/>
    <s v="C-2106-1900-12-40302A-2106010-02"/>
    <x v="10"/>
    <s v="140-87 Adquirir el licenciamiento de las herramientas colaborativas en nube para la UPME"/>
    <s v="Agosto"/>
    <s v="Agosto"/>
    <s v="Septiembre"/>
    <n v="4"/>
    <s v="Meses"/>
    <s v="Seléccion abreviada - acuerdo marco"/>
    <s v="Propios - 20 - Ingresos corrientes"/>
    <n v="16050000"/>
    <n v="16050000"/>
    <s v="No"/>
    <s v="N/A"/>
    <s v="Germán Tiberio Ojeda"/>
    <s v="Subdirector de Minería"/>
    <n v="6012220601"/>
    <s v="german.ojeda@upme.gov.co"/>
    <n v="0"/>
    <n v="0"/>
    <n v="0"/>
    <n v="0"/>
    <n v="0"/>
    <n v="0"/>
    <n v="0"/>
    <n v="0"/>
    <n v="0"/>
    <n v="0"/>
    <n v="0"/>
    <n v="0"/>
    <n v="0"/>
    <n v="0"/>
    <n v="0"/>
    <n v="0"/>
    <n v="0"/>
    <n v="0"/>
    <n v="16050000"/>
    <n v="0"/>
    <n v="0"/>
    <n v="0"/>
    <n v="0"/>
    <n v="16050000"/>
    <n v="16050000"/>
    <n v="16050000"/>
    <n v="0"/>
    <n v="0"/>
    <s v="Adquirir el licenciamiento de las herramientas colaborativas en nube para la UPME"/>
    <m/>
    <m/>
    <m/>
    <m/>
    <m/>
    <m/>
    <m/>
    <m/>
    <m/>
    <m/>
    <m/>
    <m/>
    <m/>
    <m/>
    <m/>
    <m/>
    <m/>
    <m/>
    <n v="16050000"/>
    <m/>
    <m/>
    <m/>
    <m/>
    <n v="16050000"/>
    <m/>
    <m/>
    <n v="16050000"/>
    <n v="16050000"/>
    <n v="0"/>
    <n v="0"/>
    <m/>
    <m/>
    <m/>
    <n v="16050000"/>
    <m/>
    <m/>
    <n v="0"/>
    <n v="1605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í"/>
    <s v="Sí"/>
    <n v="1"/>
    <s v="140-88"/>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8 Prestar servicios profesionales para apoyar en la identificación y análisis de variables para planes subsectoriales, mediante la recopilación, organización y documentación de información socioambiental que contribuya a la planificación sostenible d"/>
    <s v="Enero "/>
    <s v="Enero "/>
    <s v="Enero "/>
    <n v="11"/>
    <s v="Meses"/>
    <s v="Contratación directa - Prestación de servicios profesionales "/>
    <s v="Propios - 20 - Ingresos corrientes"/>
    <n v="28600000"/>
    <n v="28600000"/>
    <s v="No"/>
    <s v="N/A"/>
    <s v="Germán Tiberio Ojeda"/>
    <s v="Subdirector de Minería"/>
    <n v="2220601"/>
    <s v="german.ojeda@upme.gov.co"/>
    <n v="28600000"/>
    <n v="0"/>
    <n v="0"/>
    <n v="0"/>
    <n v="0"/>
    <n v="3600000"/>
    <n v="0"/>
    <n v="3600000"/>
    <n v="0"/>
    <n v="3600000"/>
    <n v="0"/>
    <n v="3600000"/>
    <n v="0"/>
    <n v="3600000"/>
    <n v="0"/>
    <n v="3600000"/>
    <n v="0"/>
    <n v="3600000"/>
    <n v="0"/>
    <n v="3400000"/>
    <n v="0"/>
    <n v="0"/>
    <n v="0"/>
    <n v="0"/>
    <n v="28600000"/>
    <n v="28600000"/>
    <n v="0"/>
    <n v="0"/>
    <s v="Prestar servicios profesionales para apoyar en la identificación y análisis de variables para planes subsectoriales, mediante la recopilación, organización y documentación de información socioambiental que contribuya a la planificación sostenible de la UP"/>
    <n v="28600000"/>
    <m/>
    <m/>
    <m/>
    <m/>
    <n v="3600000"/>
    <m/>
    <n v="3600000"/>
    <m/>
    <n v="3600000"/>
    <m/>
    <n v="3600000"/>
    <m/>
    <n v="3600000"/>
    <m/>
    <n v="3600000"/>
    <m/>
    <n v="3600000"/>
    <m/>
    <n v="3400000"/>
    <m/>
    <m/>
    <m/>
    <m/>
    <m/>
    <m/>
    <n v="28600000"/>
    <n v="28600000"/>
    <n v="0"/>
    <n v="0"/>
    <n v="21326"/>
    <d v="2026-01-11T00:00:00"/>
    <n v="28600000"/>
    <n v="0"/>
    <n v="29426"/>
    <d v="2026-01-28T00:00:00"/>
    <n v="28600000"/>
    <n v="0"/>
    <n v="0"/>
    <s v="FERNANDEZ CARMONA ERICK ALEXANDER"/>
    <s v="CO1.PCCNTR. 9132142"/>
    <n v="28600000"/>
    <m/>
    <m/>
    <m/>
    <n v="240000"/>
    <n v="240000"/>
    <m/>
    <m/>
    <m/>
    <m/>
    <n v="3600000"/>
    <n v="3600000"/>
    <m/>
    <m/>
    <m/>
    <m/>
    <m/>
    <m/>
    <m/>
    <m/>
    <m/>
    <m/>
    <m/>
    <m/>
    <m/>
    <m/>
    <m/>
    <m/>
    <m/>
    <m/>
    <m/>
    <m/>
    <m/>
    <m/>
    <m/>
    <m/>
    <n v="28600000"/>
    <n v="3840000"/>
    <n v="3840000"/>
    <n v="24760000"/>
    <n v="0"/>
  </r>
  <r>
    <x v="0"/>
    <x v="9"/>
    <s v="Fortalecimiento de la planeación para el desarrollo minero responsable con los territorios en el marco de la transición energética a nivel nacional"/>
    <s v="Minería"/>
    <s v="Sí"/>
    <s v="Sí"/>
    <n v="3"/>
    <s v="140-89"/>
    <s v="Fortalecer la articulación de las entidades del sector en la formulación, ejecución y seguimiento de la planeación minera."/>
    <s v="Documentos de Lineamientos Técnicos"/>
    <s v="Plan de trabajo."/>
    <n v="80111620"/>
    <s v="C-2106-1900-12-40302A-2106010-02"/>
    <x v="0"/>
    <s v="140-89  Prestar servicios profesionales para apoyar en la identificación y análisis de variables para planes subsectoriales, mediante la recopilación, organización y documentación de información socioambiental que contribuya a la planificación sostenible "/>
    <s v="Enero "/>
    <s v="Enero "/>
    <s v="Enero "/>
    <n v="11"/>
    <s v="Meses"/>
    <s v="Contratación directa - Prestación de servicios profesionales "/>
    <s v="Propios - 20 - Ingresos corrientes"/>
    <n v="11000000"/>
    <n v="11000000"/>
    <s v="No"/>
    <s v="N/A"/>
    <s v="Germán Tiberio Ojeda"/>
    <s v="Subdirector de Minería"/>
    <n v="2220601"/>
    <s v="german.ojeda@upme.gov.co"/>
    <n v="11000000"/>
    <n v="0"/>
    <n v="0"/>
    <n v="0"/>
    <n v="0"/>
    <n v="0"/>
    <n v="0"/>
    <n v="0"/>
    <n v="0"/>
    <n v="0"/>
    <n v="0"/>
    <n v="0"/>
    <n v="0"/>
    <n v="0"/>
    <n v="0"/>
    <n v="0"/>
    <n v="0"/>
    <n v="0"/>
    <n v="0"/>
    <n v="200000"/>
    <n v="0"/>
    <n v="3600000"/>
    <n v="0"/>
    <n v="7200000"/>
    <n v="11000000"/>
    <n v="11000000"/>
    <n v="0"/>
    <n v="0"/>
    <s v=" Prestar servicios profesionales para apoyar en la identificación y análisis de variables para planes subsectoriales, mediante la recopilación, organización y documentación de información socioambiental que contribuya a la planificación sostenible de la U"/>
    <n v="11000000"/>
    <m/>
    <m/>
    <m/>
    <m/>
    <m/>
    <m/>
    <m/>
    <m/>
    <m/>
    <m/>
    <m/>
    <m/>
    <m/>
    <m/>
    <m/>
    <m/>
    <m/>
    <m/>
    <n v="200000"/>
    <m/>
    <n v="3600000"/>
    <m/>
    <n v="7200000"/>
    <m/>
    <m/>
    <n v="11000000"/>
    <n v="11000000"/>
    <n v="0"/>
    <n v="0"/>
    <n v="21326"/>
    <d v="2026-01-11T00:00:00"/>
    <n v="11000000"/>
    <n v="0"/>
    <n v="29426"/>
    <d v="2026-01-28T00:00:00"/>
    <n v="11000000"/>
    <n v="0"/>
    <n v="0"/>
    <s v="FERNANDEZ CARMONA ERICK ALEXANDER"/>
    <m/>
    <n v="11000000"/>
    <m/>
    <m/>
    <m/>
    <m/>
    <m/>
    <m/>
    <n v="3600000"/>
    <n v="3600000"/>
    <m/>
    <m/>
    <m/>
    <m/>
    <m/>
    <m/>
    <m/>
    <m/>
    <m/>
    <m/>
    <m/>
    <m/>
    <m/>
    <m/>
    <m/>
    <m/>
    <m/>
    <m/>
    <m/>
    <m/>
    <m/>
    <m/>
    <m/>
    <m/>
    <m/>
    <m/>
    <m/>
    <n v="11000000"/>
    <n v="3600000"/>
    <n v="3600000"/>
    <n v="7400000"/>
    <n v="0"/>
  </r>
  <r>
    <x v="0"/>
    <x v="9"/>
    <s v="Fortalecimiento de la planeación para el desarrollo minero responsable con los territorios en el marco de la transición energética a nivel nacional"/>
    <s v="Minería"/>
    <s v="No"/>
    <s v="Sí"/>
    <n v="2"/>
    <s v="140-90"/>
    <s v="Ampliar el conocimiento de los encadenamientos productivos asociados a la actividad minera por parte de los actores del sector."/>
    <s v="Documentos de Planeación"/>
    <s v="Documento de planeación preliminar."/>
    <s v="NA"/>
    <s v="C-2106-1900-12-40302A-2106003-02"/>
    <x v="4"/>
    <s v="140-90 Viáticos o gastos de desplazamiento"/>
    <s v="N/A"/>
    <s v="N/A"/>
    <s v="N/A"/>
    <s v="N/A"/>
    <s v="N/A"/>
    <s v="N/A"/>
    <s v="Propios - 20 - Ingresos corrientes"/>
    <n v="5000000"/>
    <n v="5000000"/>
    <s v="No"/>
    <s v="N/A"/>
    <s v="Germán Tiberio Ojeda"/>
    <s v="Subdirector de Minería"/>
    <n v="2220601"/>
    <s v="german.ojeda@upme.gov.co"/>
    <n v="0"/>
    <n v="0"/>
    <n v="0"/>
    <n v="0"/>
    <n v="0"/>
    <n v="0"/>
    <n v="2500000"/>
    <n v="2500000"/>
    <n v="2500000"/>
    <n v="2500000"/>
    <n v="0"/>
    <n v="0"/>
    <n v="0"/>
    <n v="0"/>
    <n v="0"/>
    <n v="0"/>
    <n v="0"/>
    <n v="0"/>
    <n v="0"/>
    <n v="0"/>
    <n v="0"/>
    <n v="0"/>
    <n v="0"/>
    <n v="0"/>
    <n v="5000000"/>
    <n v="5000000"/>
    <n v="0"/>
    <n v="0"/>
    <s v="Viáticos o gastos de desplazamiento"/>
    <m/>
    <m/>
    <m/>
    <m/>
    <m/>
    <m/>
    <n v="2500000"/>
    <n v="2500000"/>
    <n v="2500000"/>
    <n v="2500000"/>
    <m/>
    <m/>
    <m/>
    <m/>
    <m/>
    <m/>
    <m/>
    <m/>
    <m/>
    <m/>
    <m/>
    <m/>
    <m/>
    <m/>
    <m/>
    <m/>
    <n v="5000000"/>
    <n v="5000000"/>
    <n v="0"/>
    <n v="0"/>
    <n v="55626"/>
    <d v="2026-01-22T00:00:00"/>
    <n v="5000000"/>
    <n v="0"/>
    <s v="67226,69126,69326"/>
    <s v="01/04/2026,14/04/2026"/>
    <n v="3057099"/>
    <n v="1942901"/>
    <n v="1942901"/>
    <s v="MANOSALVA BALLESTEROS JUAN SEBASTIAN"/>
    <n v="202601100002235"/>
    <m/>
    <m/>
    <m/>
    <m/>
    <m/>
    <m/>
    <m/>
    <m/>
    <m/>
    <n v="3057099"/>
    <m/>
    <m/>
    <m/>
    <m/>
    <m/>
    <m/>
    <m/>
    <m/>
    <m/>
    <m/>
    <m/>
    <m/>
    <m/>
    <m/>
    <m/>
    <m/>
    <m/>
    <m/>
    <m/>
    <m/>
    <m/>
    <m/>
    <m/>
    <m/>
    <m/>
    <m/>
    <n v="3057099"/>
    <n v="0"/>
    <n v="0"/>
    <n v="3057099"/>
    <n v="0"/>
  </r>
  <r>
    <x v="0"/>
    <x v="9"/>
    <s v="Fortalecimiento de la planeación para el desarrollo minero responsable con los territorios en el marco de la transición energética a nivel nacional"/>
    <s v="Minería"/>
    <s v="Si"/>
    <s v="Sí"/>
    <n v="17"/>
    <s v="140-91"/>
    <s v="Fortalecer la gestión integral de la información de la planeación minera."/>
    <s v="Servicio de Divulgación del Sector Minero Energético"/>
    <s v="Apropiar insumos para el análisis de Mercado Internacional de minerales y sus tendencias a largo plazo."/>
    <n v="80141607"/>
    <s v="C-2106-1900-12-40302A-2106019-02"/>
    <x v="2"/>
    <s v="140-91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1000000"/>
    <n v="1000000"/>
    <s v="No"/>
    <s v="N/A"/>
    <s v="Germán Tiberio Ojeda"/>
    <s v="Subdirector de Minería"/>
    <n v="2220601"/>
    <s v="german.ojeda@upme.gov.co"/>
    <n v="0"/>
    <n v="0"/>
    <n v="0"/>
    <n v="0"/>
    <n v="0"/>
    <n v="0"/>
    <n v="0"/>
    <n v="0"/>
    <n v="0"/>
    <n v="0"/>
    <n v="0"/>
    <n v="0"/>
    <n v="0"/>
    <n v="0"/>
    <n v="0"/>
    <n v="0"/>
    <n v="0"/>
    <n v="0"/>
    <n v="0"/>
    <n v="0"/>
    <n v="0"/>
    <n v="0"/>
    <n v="1000000"/>
    <n v="1000000"/>
    <n v="1000000"/>
    <n v="1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1000000"/>
    <n v="1000000"/>
    <m/>
    <m/>
    <n v="1000000"/>
    <n v="1000000"/>
    <n v="0"/>
    <n v="0"/>
    <m/>
    <m/>
    <m/>
    <n v="1000000"/>
    <m/>
    <m/>
    <n v="0"/>
    <n v="1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i"/>
    <s v="Sí"/>
    <n v="17"/>
    <s v="140-92"/>
    <s v="Fortalecer la gestión integral de la información de la planeación minera."/>
    <s v="Servicio de Divulgación del Sector Minero Energético"/>
    <s v="Apropiar Insumos para el análisis de Mercado Nacional e internacional de minerales y sus encadenamientos productivos."/>
    <n v="80141607"/>
    <s v="C-2106-1900-12-40302A-2106019-02"/>
    <x v="2"/>
    <s v="140-92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 Contratación directa."/>
    <s v="Propios - 21 - Otros recursos de tesorería"/>
    <n v="20000000"/>
    <n v="20000000"/>
    <s v="No"/>
    <s v="N/A"/>
    <s v="Germán Tiberio Ojeda"/>
    <s v="Subdirector de Minería"/>
    <n v="2220601"/>
    <s v="german.ojeda@upme.gov.co"/>
    <m/>
    <m/>
    <m/>
    <m/>
    <m/>
    <m/>
    <m/>
    <m/>
    <m/>
    <m/>
    <m/>
    <m/>
    <m/>
    <m/>
    <m/>
    <m/>
    <m/>
    <m/>
    <m/>
    <m/>
    <m/>
    <m/>
    <m/>
    <m/>
    <n v="0"/>
    <n v="0"/>
    <n v="20000000"/>
    <n v="20000000"/>
    <s v="Prestación de los servicios de apoyo logístico para el desarrollo de la estrategia de comunicación y participación con actores nacionales y territoriales, así como para otros espacios interinstitucionales en el marco de la misionalidad de la entidad y el "/>
    <n v="0"/>
    <n v="0"/>
    <n v="0"/>
    <n v="0"/>
    <n v="0"/>
    <n v="0"/>
    <n v="20000000"/>
    <n v="0"/>
    <n v="0"/>
    <n v="0"/>
    <n v="0"/>
    <n v="0"/>
    <n v="0"/>
    <n v="0"/>
    <n v="0"/>
    <n v="0"/>
    <n v="0"/>
    <n v="0"/>
    <n v="0"/>
    <n v="0"/>
    <n v="0"/>
    <n v="0"/>
    <n v="0"/>
    <n v="20000000"/>
    <m/>
    <m/>
    <n v="20000000"/>
    <n v="20000000"/>
    <n v="0"/>
    <n v="0"/>
    <m/>
    <m/>
    <m/>
    <n v="20000000"/>
    <m/>
    <m/>
    <n v="0"/>
    <n v="20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i"/>
    <s v="Sí"/>
    <n v="17"/>
    <s v="140-93"/>
    <s v="Fortalecer la articulación de las entidades del sector en la formulación, ejecución y seguimiento de la planeación minera."/>
    <s v="Documentos de Lineamientos Técnicos"/>
    <s v="Documento con la descripción de procesos, métodos y herramientas."/>
    <s v="N/A"/>
    <s v="C-2106-1900-12-40302A-2106010-02"/>
    <x v="4"/>
    <s v="140-93 Viáticos o gastos de desplazamiento"/>
    <s v="N/A"/>
    <s v="N/A"/>
    <s v="N/A"/>
    <s v="N/A"/>
    <s v="N/A"/>
    <s v="N/A"/>
    <s v="Propios - 20 - Ingresos corrientes"/>
    <n v="30000000"/>
    <n v="30000000"/>
    <s v="No"/>
    <s v="N/A"/>
    <s v="Germán Tiberio Ojeda"/>
    <s v="Subdirector de Minería"/>
    <n v="2220601"/>
    <s v="german.ojeda@upme.gov.co"/>
    <m/>
    <m/>
    <m/>
    <m/>
    <m/>
    <m/>
    <m/>
    <m/>
    <m/>
    <m/>
    <m/>
    <m/>
    <m/>
    <m/>
    <m/>
    <m/>
    <m/>
    <m/>
    <m/>
    <m/>
    <m/>
    <m/>
    <m/>
    <m/>
    <n v="0"/>
    <n v="0"/>
    <n v="30000000"/>
    <n v="30000000"/>
    <m/>
    <n v="0"/>
    <n v="0"/>
    <n v="2500000"/>
    <n v="2500000"/>
    <n v="2500000"/>
    <n v="2500000"/>
    <n v="2500000"/>
    <n v="2500000"/>
    <n v="2500000"/>
    <n v="2500000"/>
    <n v="5000000"/>
    <n v="5000000"/>
    <n v="2500000"/>
    <n v="2500000"/>
    <n v="2500000"/>
    <n v="2500000"/>
    <n v="2500000"/>
    <n v="2500000"/>
    <n v="2500000"/>
    <n v="2500000"/>
    <n v="2500000"/>
    <n v="2500000"/>
    <n v="2500000"/>
    <n v="2500000"/>
    <m/>
    <m/>
    <n v="30000000"/>
    <n v="30000000"/>
    <n v="0"/>
    <n v="0"/>
    <m/>
    <m/>
    <m/>
    <n v="30000000"/>
    <m/>
    <m/>
    <n v="0"/>
    <n v="30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i"/>
    <s v="Sí"/>
    <n v="17"/>
    <s v="140-94"/>
    <s v="Ampliar el conocimiento de los encadenamientos productivos asociados a la actividad minera por parte de los actores del sector."/>
    <s v="Documentos de Investigación"/>
    <s v="Documento con el diseño metodológico."/>
    <s v="N/A"/>
    <s v="C-2106-1900-12-40302A-2106002-02"/>
    <x v="4"/>
    <s v="140-94 Viáticos o gastos de desplazamiento"/>
    <s v="N/A"/>
    <s v="N/A"/>
    <s v="N/A"/>
    <s v="N/A"/>
    <s v="N/A"/>
    <s v="N/A"/>
    <s v="Propios - 20 - Ingresos corrientes"/>
    <n v="7250000"/>
    <n v="7250000"/>
    <s v="No"/>
    <s v="N/A"/>
    <s v="Germán Tiberio Ojeda"/>
    <s v="Subdirector de Minería"/>
    <n v="2220601"/>
    <s v="german.ojeda@upme.gov.co"/>
    <m/>
    <m/>
    <m/>
    <m/>
    <m/>
    <m/>
    <m/>
    <m/>
    <m/>
    <m/>
    <m/>
    <m/>
    <m/>
    <m/>
    <m/>
    <m/>
    <m/>
    <m/>
    <m/>
    <m/>
    <m/>
    <m/>
    <m/>
    <m/>
    <n v="0"/>
    <n v="0"/>
    <n v="7250000"/>
    <n v="7250000"/>
    <m/>
    <n v="0"/>
    <n v="0"/>
    <n v="0"/>
    <n v="0"/>
    <n v="0"/>
    <n v="0"/>
    <n v="0"/>
    <n v="0"/>
    <n v="0"/>
    <n v="0"/>
    <n v="1000000"/>
    <n v="1000000"/>
    <n v="1000000"/>
    <n v="1000000"/>
    <n v="1000000"/>
    <n v="1000000"/>
    <n v="1000000"/>
    <n v="1000000"/>
    <n v="1000000"/>
    <n v="1000000"/>
    <n v="1000000"/>
    <n v="1000000"/>
    <n v="1250000"/>
    <n v="1250000"/>
    <m/>
    <m/>
    <n v="7250000"/>
    <n v="7250000"/>
    <n v="0"/>
    <n v="0"/>
    <m/>
    <m/>
    <m/>
    <n v="7250000"/>
    <m/>
    <m/>
    <n v="0"/>
    <n v="725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i"/>
    <s v="Sí"/>
    <n v="17"/>
    <s v="140-95"/>
    <s v="Ampliar el conocimiento de los encadenamientos productivos asociados a la actividad minera por parte de los actores del sector."/>
    <s v="Documentos de Investigación"/>
    <s v="Documento con el diseño metodológico."/>
    <n v="81121503"/>
    <s v="C-2106-1900-12-40302A-2106002-02"/>
    <x v="6"/>
    <s v="140-95  Elaborar los balances oferta utilización de productos mineros y la cuenta de producción y generación del ingreso en versión provisional para la operación estadística cuenta satélite de minería - CSM, en el marco del modelo genérico del proceso est"/>
    <s v="Junio"/>
    <s v="Julio"/>
    <s v="Agosto"/>
    <n v="5"/>
    <s v="Meses"/>
    <s v=" Contratación directa - Contratos interadministrativos"/>
    <s v="Propios - 20 - Ingresos corrientes"/>
    <n v="6000000"/>
    <n v="6000000"/>
    <s v="No"/>
    <s v="N/A"/>
    <s v="Germán Tiberio Ojeda"/>
    <s v="Subdirector de Minería"/>
    <n v="2220601"/>
    <s v="german.ojeda@upme.gov.co"/>
    <m/>
    <m/>
    <m/>
    <m/>
    <m/>
    <m/>
    <m/>
    <m/>
    <m/>
    <m/>
    <m/>
    <m/>
    <m/>
    <m/>
    <m/>
    <m/>
    <m/>
    <m/>
    <m/>
    <m/>
    <m/>
    <m/>
    <m/>
    <m/>
    <n v="0"/>
    <n v="0"/>
    <n v="6000000"/>
    <n v="6000000"/>
    <m/>
    <n v="0"/>
    <n v="0"/>
    <n v="0"/>
    <n v="0"/>
    <n v="0"/>
    <n v="0"/>
    <n v="0"/>
    <n v="0"/>
    <n v="0"/>
    <n v="0"/>
    <n v="0"/>
    <n v="0"/>
    <n v="6000000"/>
    <n v="0"/>
    <n v="0"/>
    <n v="0"/>
    <n v="0"/>
    <n v="6000000"/>
    <n v="0"/>
    <n v="0"/>
    <n v="0"/>
    <n v="0"/>
    <n v="0"/>
    <n v="0"/>
    <m/>
    <m/>
    <n v="6000000"/>
    <n v="6000000"/>
    <n v="0"/>
    <n v="0"/>
    <m/>
    <m/>
    <m/>
    <n v="6000000"/>
    <m/>
    <m/>
    <n v="0"/>
    <n v="60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i"/>
    <s v="Sí"/>
    <n v="17"/>
    <s v="140-96"/>
    <s v="Ampliar el conocimiento de los encadenamientos productivos asociados a la actividad minera por parte de los actores del sector."/>
    <s v="Documentos de Investigación"/>
    <s v="Documento con el diseño metodológico."/>
    <s v="N/A"/>
    <s v="C-2106-1900-12-40302A-2106002-02"/>
    <x v="4"/>
    <s v="140-96 Viáticos o gastos de desplazamiento"/>
    <s v="N/A"/>
    <s v="N/A"/>
    <s v="N/A"/>
    <s v="N/A"/>
    <s v="N/A"/>
    <s v="N/A"/>
    <s v="Propios - 20 - Ingresos corrientes"/>
    <n v="20800000"/>
    <n v="20800000"/>
    <s v="No"/>
    <s v="N/A"/>
    <s v="Germán Tiberio Ojeda"/>
    <s v="Subdirector de Minería"/>
    <n v="2220601"/>
    <s v="german.ojeda@upme.gov.co"/>
    <m/>
    <m/>
    <m/>
    <m/>
    <m/>
    <m/>
    <m/>
    <m/>
    <m/>
    <m/>
    <m/>
    <m/>
    <m/>
    <m/>
    <m/>
    <m/>
    <m/>
    <m/>
    <m/>
    <m/>
    <m/>
    <m/>
    <m/>
    <m/>
    <n v="0"/>
    <n v="0"/>
    <n v="20800000"/>
    <n v="20800000"/>
    <m/>
    <n v="0"/>
    <n v="0"/>
    <n v="0"/>
    <n v="0"/>
    <n v="0"/>
    <n v="0"/>
    <n v="1000000"/>
    <n v="1000000"/>
    <n v="1000000"/>
    <n v="1000000"/>
    <n v="1000000"/>
    <n v="1000000"/>
    <n v="1000000"/>
    <n v="1000000"/>
    <n v="1000000"/>
    <n v="1000000"/>
    <n v="1000000"/>
    <n v="1000000"/>
    <n v="1000000"/>
    <n v="1000000"/>
    <n v="1000000"/>
    <n v="1000000"/>
    <n v="12800000"/>
    <n v="12800000"/>
    <m/>
    <m/>
    <n v="20800000"/>
    <n v="20800000"/>
    <n v="0"/>
    <n v="0"/>
    <m/>
    <m/>
    <m/>
    <n v="20800000"/>
    <m/>
    <m/>
    <n v="0"/>
    <n v="20800000"/>
    <n v="0"/>
    <m/>
    <m/>
    <m/>
    <m/>
    <m/>
    <m/>
    <m/>
    <m/>
    <m/>
    <m/>
    <m/>
    <m/>
    <m/>
    <m/>
    <m/>
    <m/>
    <m/>
    <m/>
    <m/>
    <m/>
    <m/>
    <m/>
    <m/>
    <m/>
    <m/>
    <m/>
    <m/>
    <m/>
    <m/>
    <m/>
    <m/>
    <m/>
    <m/>
    <m/>
    <m/>
    <m/>
    <m/>
    <m/>
    <n v="0"/>
    <n v="0"/>
    <n v="0"/>
    <n v="0"/>
    <n v="0"/>
  </r>
  <r>
    <x v="0"/>
    <x v="9"/>
    <s v="Fortalecimiento de la planeación para el desarrollo minero responsable con los territorios en el marco de la transición energética a nivel nacional"/>
    <s v="Minería"/>
    <s v="Si"/>
    <s v="Sí"/>
    <n v="17"/>
    <s v="140-97"/>
    <s v="Ampliar el conocimiento de los encadenamientos productivos asociados a la actividad minera por parte de los actores del sector."/>
    <s v="Documentos de Investigación"/>
    <s v="Documento con el diseño metodológico."/>
    <n v="78111502"/>
    <s v="C-2106-1900-12-40302A-2106002-02"/>
    <x v="3"/>
    <s v="140-97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9950000"/>
    <n v="19950000"/>
    <s v="No"/>
    <s v="N/A"/>
    <s v="Germán Tiberio Ojeda"/>
    <s v="Subdirector de Minería"/>
    <n v="2220601"/>
    <s v="german.ojeda@upme.gov.co"/>
    <m/>
    <m/>
    <m/>
    <m/>
    <m/>
    <m/>
    <m/>
    <m/>
    <m/>
    <m/>
    <m/>
    <m/>
    <m/>
    <m/>
    <m/>
    <m/>
    <m/>
    <m/>
    <m/>
    <m/>
    <m/>
    <m/>
    <m/>
    <m/>
    <n v="0"/>
    <n v="0"/>
    <n v="19950000"/>
    <n v="19950000"/>
    <m/>
    <m/>
    <m/>
    <m/>
    <m/>
    <m/>
    <m/>
    <m/>
    <m/>
    <m/>
    <m/>
    <m/>
    <m/>
    <m/>
    <m/>
    <m/>
    <m/>
    <m/>
    <m/>
    <m/>
    <m/>
    <m/>
    <m/>
    <m/>
    <m/>
    <m/>
    <m/>
    <n v="0"/>
    <n v="0"/>
    <n v="19950000"/>
    <n v="19950000"/>
    <m/>
    <m/>
    <m/>
    <n v="19950000"/>
    <m/>
    <m/>
    <n v="0"/>
    <n v="19950000"/>
    <n v="0"/>
    <m/>
    <m/>
    <m/>
    <m/>
    <m/>
    <m/>
    <m/>
    <m/>
    <m/>
    <m/>
    <m/>
    <m/>
    <m/>
    <m/>
    <m/>
    <m/>
    <m/>
    <m/>
    <m/>
    <m/>
    <m/>
    <m/>
    <m/>
    <m/>
    <m/>
    <m/>
    <m/>
    <m/>
    <m/>
    <m/>
    <m/>
    <m/>
    <m/>
    <m/>
    <m/>
    <m/>
    <m/>
    <m/>
    <n v="0"/>
    <n v="0"/>
    <n v="0"/>
    <n v="0"/>
    <n v="0"/>
  </r>
  <r>
    <x v="1"/>
    <x v="4"/>
    <s v="N/A"/>
    <s v="N/A"/>
    <s v="Sí"/>
    <s v="Sí"/>
    <n v="19"/>
    <s v="111-1"/>
    <s v="N.A"/>
    <s v="N.A"/>
    <s v="N.A"/>
    <s v="72101511"/>
    <s v="A-02-02-02-008-007"/>
    <x v="12"/>
    <s v="111-1 Prestar servicios de mantenimiento preventivo, correctivo y de emergencia a los equipos de aire acondicionado ubicados en la sede administrativa de la Upme."/>
    <s v="Enero "/>
    <s v="Enero "/>
    <s v="Enero "/>
    <n v="12"/>
    <s v="Meses"/>
    <s v="Contratación directa - Contratos menor cuantía"/>
    <s v="Propios - 20 - Ingresos corrientes"/>
    <n v="7379736"/>
    <n v="7379736"/>
    <s v="No"/>
    <s v="N/A"/>
    <s v="Jenny Patricia Peña Rozo"/>
    <s v="Coordinador GIT Gestión Administrativa y Servicio al Ciudadano"/>
    <n v="6012220601"/>
    <s v="jenny.pena@upme.gov.co"/>
    <m/>
    <m/>
    <m/>
    <m/>
    <m/>
    <m/>
    <m/>
    <m/>
    <m/>
    <m/>
    <m/>
    <m/>
    <m/>
    <m/>
    <m/>
    <m/>
    <m/>
    <m/>
    <m/>
    <m/>
    <m/>
    <m/>
    <m/>
    <m/>
    <m/>
    <m/>
    <m/>
    <m/>
    <s v="Prestar servicios de mantenimiento preventivo, correctivo y de emergencia a los equipos de aire acondicionado ubicados en la sede administrativa de la Upme."/>
    <m/>
    <m/>
    <m/>
    <m/>
    <m/>
    <m/>
    <m/>
    <n v="1925000"/>
    <m/>
    <m/>
    <m/>
    <n v="1925000"/>
    <m/>
    <m/>
    <m/>
    <m/>
    <m/>
    <n v="1925000"/>
    <m/>
    <m/>
    <m/>
    <m/>
    <m/>
    <n v="1925000"/>
    <m/>
    <m/>
    <n v="0"/>
    <n v="7700000"/>
    <n v="7379736"/>
    <n v="-320264"/>
    <m/>
    <m/>
    <m/>
    <n v="7379736"/>
    <m/>
    <m/>
    <n v="0"/>
    <n v="7379736"/>
    <n v="0"/>
    <m/>
    <m/>
    <m/>
    <m/>
    <m/>
    <m/>
    <m/>
    <m/>
    <m/>
    <m/>
    <m/>
    <m/>
    <m/>
    <m/>
    <m/>
    <m/>
    <m/>
    <m/>
    <m/>
    <m/>
    <m/>
    <m/>
    <m/>
    <m/>
    <m/>
    <m/>
    <m/>
    <m/>
    <m/>
    <m/>
    <m/>
    <m/>
    <m/>
    <m/>
    <m/>
    <m/>
    <m/>
    <m/>
    <n v="0"/>
    <n v="0"/>
    <n v="0"/>
    <n v="0"/>
    <n v="0"/>
  </r>
  <r>
    <x v="1"/>
    <x v="4"/>
    <s v="N/A"/>
    <s v="N/A"/>
    <s v="Sí"/>
    <s v="Sí"/>
    <n v="68"/>
    <s v="111-10"/>
    <s v="N.A"/>
    <s v="N.A"/>
    <s v="N.A"/>
    <s v="84131607;84131500"/>
    <s v="A-02-02-02-007-001"/>
    <x v="11"/>
    <s v="111-10 Adquirir el servicio de seguro obligatorio de accidente de tránsito &quot;SOAT&quot; para los dos vehículos oficiales de la Upme."/>
    <s v="Octubre"/>
    <s v="Octubre"/>
    <s v="Noviembre"/>
    <n v="1"/>
    <s v="Meses"/>
    <s v="Contratación directa - Contratos menor cuantía"/>
    <s v="Propios - 20 - Ingresos corrientes"/>
    <n v="2600000"/>
    <n v="2600000"/>
    <s v="No"/>
    <s v="N/A"/>
    <s v="Jenny Patricia Peña Rozo"/>
    <s v="Coordinador GIT Gestión Administrativa y Servicio al Ciudadano"/>
    <n v="6012220601"/>
    <s v="jenny.pena@upme.gov.co"/>
    <m/>
    <m/>
    <m/>
    <m/>
    <m/>
    <m/>
    <m/>
    <m/>
    <m/>
    <m/>
    <m/>
    <m/>
    <m/>
    <m/>
    <m/>
    <m/>
    <m/>
    <m/>
    <m/>
    <m/>
    <m/>
    <m/>
    <m/>
    <m/>
    <m/>
    <m/>
    <m/>
    <m/>
    <s v="Adquirir el servicio de seguro obligatorio de accidente de tránsito &quot;SOAT&quot; para los dos vehículos oficiales de la Upme."/>
    <m/>
    <m/>
    <m/>
    <m/>
    <m/>
    <m/>
    <m/>
    <m/>
    <m/>
    <m/>
    <m/>
    <m/>
    <m/>
    <m/>
    <m/>
    <m/>
    <m/>
    <m/>
    <m/>
    <m/>
    <m/>
    <m/>
    <n v="2600000"/>
    <n v="2600000"/>
    <m/>
    <m/>
    <n v="2600000"/>
    <n v="2600000"/>
    <n v="0"/>
    <n v="0"/>
    <m/>
    <m/>
    <m/>
    <n v="2600000"/>
    <m/>
    <m/>
    <n v="0"/>
    <n v="2600000"/>
    <n v="0"/>
    <m/>
    <m/>
    <m/>
    <m/>
    <m/>
    <m/>
    <m/>
    <m/>
    <m/>
    <m/>
    <m/>
    <m/>
    <m/>
    <m/>
    <m/>
    <m/>
    <m/>
    <m/>
    <m/>
    <m/>
    <m/>
    <m/>
    <m/>
    <m/>
    <m/>
    <m/>
    <m/>
    <m/>
    <m/>
    <m/>
    <m/>
    <m/>
    <m/>
    <m/>
    <m/>
    <m/>
    <m/>
    <m/>
    <n v="0"/>
    <n v="0"/>
    <n v="0"/>
    <n v="0"/>
    <n v="0"/>
  </r>
  <r>
    <x v="1"/>
    <x v="4"/>
    <s v="N/A"/>
    <s v="N/A"/>
    <s v="Sí"/>
    <s v="Sí"/>
    <n v="68"/>
    <s v="111-11"/>
    <s v="N.A"/>
    <s v="N.A"/>
    <s v="N.A"/>
    <s v="15101506"/>
    <s v="A-02-02-01-003-003"/>
    <x v="11"/>
    <s v="111-11 Suministrar la gasolina requerida a los vehículos oficiales de propiedad de la Upme."/>
    <s v="Enero "/>
    <s v="Enero "/>
    <s v="Enero "/>
    <n v="12"/>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Suministrar la gasolina requerida a los vehículos oficiales de propiedad de la Upme."/>
    <m/>
    <m/>
    <m/>
    <n v="900000"/>
    <m/>
    <n v="900000"/>
    <m/>
    <n v="900000"/>
    <m/>
    <n v="900000"/>
    <m/>
    <n v="900000"/>
    <m/>
    <n v="900000"/>
    <m/>
    <n v="900000"/>
    <m/>
    <n v="900000"/>
    <m/>
    <n v="900000"/>
    <m/>
    <n v="900000"/>
    <m/>
    <n v="1000000"/>
    <m/>
    <m/>
    <n v="0"/>
    <n v="10000000"/>
    <n v="10000000"/>
    <n v="0"/>
    <m/>
    <m/>
    <n v="10000000"/>
    <n v="0"/>
    <m/>
    <m/>
    <n v="0"/>
    <n v="10000000"/>
    <n v="10000000"/>
    <m/>
    <m/>
    <m/>
    <m/>
    <m/>
    <m/>
    <m/>
    <m/>
    <m/>
    <m/>
    <m/>
    <m/>
    <m/>
    <m/>
    <m/>
    <m/>
    <m/>
    <m/>
    <m/>
    <m/>
    <m/>
    <m/>
    <m/>
    <m/>
    <m/>
    <m/>
    <m/>
    <m/>
    <m/>
    <m/>
    <m/>
    <m/>
    <m/>
    <m/>
    <m/>
    <m/>
    <m/>
    <m/>
    <n v="0"/>
    <n v="0"/>
    <n v="0"/>
    <n v="0"/>
    <n v="0"/>
  </r>
  <r>
    <x v="1"/>
    <x v="4"/>
    <s v="N/A"/>
    <s v="N/A"/>
    <s v="Sí"/>
    <s v="Sí"/>
    <n v="68"/>
    <s v="111-12"/>
    <s v="N.A"/>
    <s v="N.A"/>
    <s v="N.A"/>
    <s v="80111707"/>
    <s v="A-02-02-01-002-008"/>
    <x v="11"/>
    <s v="111-12 Suministrar el calzado y vestido de labor para la dotación de los servidores de la UPME para la vigencia 2026 mediante la entrega de tarjetas electrónicas canjeables."/>
    <s v="Enero "/>
    <s v="Enero "/>
    <s v="Enero "/>
    <n v="12"/>
    <s v="Meses"/>
    <s v="Contratación directa - Contratos menor cuantía"/>
    <s v="Propios - 20 - Ingresos corrientes"/>
    <n v="9300000"/>
    <n v="9300000"/>
    <s v="No"/>
    <s v="N/A"/>
    <s v="Jenny Patricia Peña Rozo"/>
    <s v="Coordinador GIT Gestión Administrativa y Servicio al Ciudadano"/>
    <n v="6012220601"/>
    <s v="jenny.pena@upme.gov.co"/>
    <m/>
    <m/>
    <m/>
    <m/>
    <m/>
    <m/>
    <m/>
    <m/>
    <m/>
    <m/>
    <m/>
    <m/>
    <m/>
    <m/>
    <m/>
    <m/>
    <m/>
    <m/>
    <m/>
    <m/>
    <m/>
    <m/>
    <m/>
    <m/>
    <m/>
    <m/>
    <m/>
    <m/>
    <s v="Suministrar el calzado y vestido de labor para la dotación de los servidores de la UPME para la vigencia 2026 mediante la entrega de tarjetas electrónicas canjeables."/>
    <m/>
    <m/>
    <m/>
    <m/>
    <m/>
    <m/>
    <m/>
    <n v="3100000"/>
    <m/>
    <m/>
    <m/>
    <m/>
    <m/>
    <m/>
    <m/>
    <n v="3100000"/>
    <m/>
    <m/>
    <m/>
    <m/>
    <m/>
    <m/>
    <m/>
    <n v="3100000"/>
    <m/>
    <m/>
    <n v="0"/>
    <n v="9300000"/>
    <n v="9300000"/>
    <n v="0"/>
    <n v="51926"/>
    <d v="2026-01-20T00:00:00"/>
    <n v="9300000"/>
    <n v="0"/>
    <m/>
    <m/>
    <n v="0"/>
    <n v="9300000"/>
    <n v="9300000"/>
    <m/>
    <m/>
    <m/>
    <m/>
    <m/>
    <m/>
    <m/>
    <m/>
    <m/>
    <m/>
    <m/>
    <m/>
    <m/>
    <m/>
    <m/>
    <m/>
    <m/>
    <m/>
    <m/>
    <m/>
    <m/>
    <m/>
    <m/>
    <m/>
    <m/>
    <m/>
    <m/>
    <m/>
    <m/>
    <m/>
    <m/>
    <m/>
    <m/>
    <m/>
    <m/>
    <m/>
    <m/>
    <m/>
    <n v="0"/>
    <n v="0"/>
    <n v="0"/>
    <n v="0"/>
    <n v="0"/>
  </r>
  <r>
    <x v="1"/>
    <x v="4"/>
    <s v="N/A"/>
    <s v="N/A"/>
    <s v="Sí"/>
    <s v="Sí"/>
    <n v="68"/>
    <s v="111-13"/>
    <s v="N.A"/>
    <s v="N.A"/>
    <s v="N.A"/>
    <s v="44121600"/>
    <s v="A-02-02-01-003-002 "/>
    <x v="11"/>
    <s v="111-13 Adquirir elementos de oficina y papelería requeridos por los servidores de la Upme."/>
    <s v="Julio"/>
    <s v="Junio"/>
    <s v="Agosto"/>
    <n v="1"/>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Adquirir elementos de oficina y papelería requeridos por los servidores de la Upme."/>
    <m/>
    <m/>
    <m/>
    <m/>
    <m/>
    <m/>
    <m/>
    <m/>
    <m/>
    <m/>
    <m/>
    <m/>
    <m/>
    <m/>
    <m/>
    <m/>
    <m/>
    <n v="10000000"/>
    <m/>
    <m/>
    <m/>
    <m/>
    <m/>
    <m/>
    <m/>
    <m/>
    <n v="0"/>
    <n v="10000000"/>
    <n v="10000000"/>
    <n v="0"/>
    <m/>
    <m/>
    <m/>
    <n v="10000000"/>
    <m/>
    <m/>
    <n v="0"/>
    <n v="10000000"/>
    <n v="0"/>
    <m/>
    <m/>
    <m/>
    <m/>
    <m/>
    <m/>
    <m/>
    <m/>
    <m/>
    <m/>
    <m/>
    <m/>
    <m/>
    <m/>
    <m/>
    <m/>
    <m/>
    <m/>
    <m/>
    <m/>
    <m/>
    <m/>
    <m/>
    <m/>
    <m/>
    <m/>
    <m/>
    <m/>
    <m/>
    <m/>
    <m/>
    <m/>
    <m/>
    <m/>
    <m/>
    <m/>
    <m/>
    <m/>
    <n v="0"/>
    <n v="0"/>
    <n v="0"/>
    <n v="0"/>
    <n v="0"/>
  </r>
  <r>
    <x v="1"/>
    <x v="4"/>
    <s v="N/A"/>
    <s v="N/A"/>
    <s v="Sí"/>
    <s v="Sí"/>
    <n v="12"/>
    <s v="111-14"/>
    <s v="N.A"/>
    <s v="N.A"/>
    <s v="N.A"/>
    <s v="80131500"/>
    <s v="A-02-02-02-009-007"/>
    <x v="13"/>
    <s v="111-14 Prestar el servicio de arrendamiento para la administración integral del archivo central de la Upme y su respectivo bodegaje."/>
    <s v="Junio"/>
    <s v="Junio"/>
    <s v="Julio"/>
    <n v="12"/>
    <s v="Meses"/>
    <s v="Contratación directa - Contratos menor cuantía"/>
    <s v="Propios - 20 - Ingresos corrientes"/>
    <n v="29198590"/>
    <n v="29198590"/>
    <s v="No"/>
    <s v="N/A"/>
    <s v="Jenny Patricia Peña Rozo"/>
    <s v="Coordinador GIT Gestión Administrativa y Servicio al Ciudadano"/>
    <n v="6012220601"/>
    <s v="jenny.pena@upme.gov.co"/>
    <m/>
    <m/>
    <m/>
    <m/>
    <m/>
    <m/>
    <m/>
    <m/>
    <m/>
    <m/>
    <m/>
    <m/>
    <m/>
    <m/>
    <m/>
    <m/>
    <m/>
    <m/>
    <m/>
    <m/>
    <m/>
    <m/>
    <m/>
    <m/>
    <m/>
    <m/>
    <m/>
    <m/>
    <s v="Prestar el servicio de arrendamiento para la administración integral del archivo central de la Upme y su respectivo bodegaje."/>
    <m/>
    <m/>
    <m/>
    <m/>
    <m/>
    <m/>
    <m/>
    <m/>
    <m/>
    <m/>
    <m/>
    <m/>
    <n v="60000000"/>
    <n v="10000000"/>
    <m/>
    <n v="10000000"/>
    <m/>
    <n v="10000000"/>
    <m/>
    <n v="10000000"/>
    <m/>
    <n v="10000000"/>
    <m/>
    <n v="10000000"/>
    <m/>
    <m/>
    <n v="60000000"/>
    <n v="60000000"/>
    <n v="-30801410"/>
    <n v="-30801410"/>
    <m/>
    <m/>
    <m/>
    <n v="29198590"/>
    <m/>
    <m/>
    <n v="0"/>
    <n v="29198590"/>
    <n v="0"/>
    <m/>
    <m/>
    <m/>
    <m/>
    <m/>
    <m/>
    <m/>
    <m/>
    <m/>
    <m/>
    <m/>
    <m/>
    <m/>
    <m/>
    <m/>
    <m/>
    <m/>
    <m/>
    <m/>
    <m/>
    <m/>
    <m/>
    <m/>
    <m/>
    <m/>
    <m/>
    <m/>
    <m/>
    <m/>
    <m/>
    <m/>
    <m/>
    <m/>
    <m/>
    <m/>
    <m/>
    <m/>
    <m/>
    <n v="0"/>
    <n v="0"/>
    <n v="0"/>
    <n v="0"/>
    <n v="0"/>
  </r>
  <r>
    <x v="1"/>
    <x v="4"/>
    <s v="N/A"/>
    <s v="N/A"/>
    <s v="Sí"/>
    <s v="Sí"/>
    <n v="68"/>
    <s v="111-15"/>
    <s v="N.A"/>
    <s v="N.A"/>
    <s v="N.A"/>
    <s v="55101519"/>
    <s v="A-02-02-02-008-009"/>
    <x v="11"/>
    <s v="111-15 Prestar el servicio de publicación en el diario oficial de los actos administrativos de carácter general emitidos por la UPME."/>
    <s v="Junio"/>
    <s v="Junio"/>
    <s v="Agosto"/>
    <n v="5"/>
    <s v="Meses"/>
    <s v="Contratación directa - Contratos menor cuantía"/>
    <s v="Propios - 20 - Ingresos corrientes"/>
    <n v="20000000"/>
    <n v="20000000"/>
    <s v="No"/>
    <s v="N/A"/>
    <s v="Jenny Patricia Peña Rozo"/>
    <s v="Coordinador GIT Gestión Administrativa y Servicio al Ciudadano"/>
    <n v="6012220601"/>
    <s v="jenny.pena@upme.gov.co"/>
    <m/>
    <m/>
    <m/>
    <m/>
    <m/>
    <m/>
    <m/>
    <m/>
    <m/>
    <m/>
    <m/>
    <m/>
    <m/>
    <m/>
    <m/>
    <m/>
    <m/>
    <m/>
    <m/>
    <m/>
    <m/>
    <m/>
    <m/>
    <m/>
    <m/>
    <m/>
    <m/>
    <m/>
    <s v="Prestar el servicio de publicación en el diario oficial de los actos administrativos de carácter general emitidos por la UPME."/>
    <m/>
    <m/>
    <m/>
    <m/>
    <m/>
    <m/>
    <m/>
    <m/>
    <m/>
    <m/>
    <m/>
    <m/>
    <m/>
    <m/>
    <m/>
    <n v="4000000"/>
    <m/>
    <n v="4000000"/>
    <m/>
    <n v="4000000"/>
    <m/>
    <n v="4000000"/>
    <m/>
    <n v="4000000"/>
    <m/>
    <m/>
    <n v="0"/>
    <n v="20000000"/>
    <n v="20000000"/>
    <n v="0"/>
    <n v="14626"/>
    <d v="2026-01-09T00:00:00"/>
    <n v="20000000"/>
    <n v="0"/>
    <m/>
    <m/>
    <n v="0"/>
    <n v="20000000"/>
    <n v="20000000"/>
    <m/>
    <m/>
    <m/>
    <m/>
    <m/>
    <m/>
    <m/>
    <m/>
    <m/>
    <m/>
    <m/>
    <m/>
    <m/>
    <m/>
    <m/>
    <m/>
    <m/>
    <m/>
    <m/>
    <m/>
    <m/>
    <m/>
    <m/>
    <m/>
    <m/>
    <m/>
    <m/>
    <m/>
    <m/>
    <m/>
    <m/>
    <m/>
    <m/>
    <m/>
    <m/>
    <m/>
    <m/>
    <m/>
    <n v="0"/>
    <n v="0"/>
    <n v="0"/>
    <n v="0"/>
    <n v="0"/>
  </r>
  <r>
    <x v="1"/>
    <x v="4"/>
    <s v="N/A"/>
    <s v="N/A"/>
    <s v="Sí"/>
    <s v="Sí"/>
    <n v="19"/>
    <s v="111-16"/>
    <s v="N.A"/>
    <s v="N.A"/>
    <s v="N.A"/>
    <s v="80111620"/>
    <s v="A-02-02-02-008-003"/>
    <x v="0"/>
    <s v="111-16 Brindar apoyo en los procesos administrativos, documentales y de servicio al ciudadano en el marco de la Modernización de Procesos de la Entidad UPME"/>
    <s v="Enero "/>
    <s v="Enero "/>
    <s v="Enero "/>
    <s v="11.5"/>
    <s v="Meses"/>
    <s v="Contratación directa - Contratos menor cuantía"/>
    <s v="Propios - 20 - Ingresos corrientes"/>
    <n v="42900000"/>
    <n v="42900000"/>
    <s v="No"/>
    <s v="N/A"/>
    <s v="Jenny Patricia Peña Rozo"/>
    <s v="Coordinador GIT Gestión Administrativa y Servicio al Ciudadano"/>
    <n v="6012220601"/>
    <s v="jenny.pena@upme.gov.co"/>
    <m/>
    <m/>
    <m/>
    <m/>
    <m/>
    <m/>
    <m/>
    <m/>
    <m/>
    <m/>
    <m/>
    <m/>
    <m/>
    <m/>
    <m/>
    <m/>
    <m/>
    <m/>
    <m/>
    <m/>
    <m/>
    <m/>
    <m/>
    <m/>
    <m/>
    <m/>
    <m/>
    <m/>
    <s v="Brindar apoyo en los procesos administrativos, documentales y de servicio al ciudadano en el marco de la Modernización de Procesos de la Entidad UPME"/>
    <m/>
    <m/>
    <m/>
    <n v="1950000"/>
    <m/>
    <n v="3900000"/>
    <m/>
    <n v="3900000"/>
    <m/>
    <n v="3900000"/>
    <m/>
    <n v="3900000"/>
    <m/>
    <n v="3900000"/>
    <m/>
    <n v="3900000"/>
    <m/>
    <n v="3900000"/>
    <m/>
    <n v="3900000"/>
    <m/>
    <n v="3900000"/>
    <m/>
    <n v="7800000"/>
    <m/>
    <m/>
    <n v="0"/>
    <n v="44850000"/>
    <n v="42900000"/>
    <n v="-1950000"/>
    <n v="38326"/>
    <d v="2026-01-15T00:00:00"/>
    <n v="44850000"/>
    <n v="-1950000"/>
    <n v="26626"/>
    <d v="2026-01-28T00:00:00"/>
    <n v="42900000"/>
    <n v="0"/>
    <n v="1950000"/>
    <s v="MOLINA MEZA TATIANA MARCELA"/>
    <s v="CO1.PCCNTR.9117461"/>
    <n v="42900000"/>
    <m/>
    <m/>
    <m/>
    <m/>
    <m/>
    <m/>
    <m/>
    <m/>
    <m/>
    <m/>
    <m/>
    <m/>
    <m/>
    <m/>
    <m/>
    <m/>
    <m/>
    <m/>
    <m/>
    <m/>
    <m/>
    <m/>
    <m/>
    <m/>
    <m/>
    <m/>
    <m/>
    <m/>
    <m/>
    <m/>
    <m/>
    <m/>
    <m/>
    <m/>
    <m/>
    <n v="42900000"/>
    <n v="0"/>
    <n v="0"/>
    <n v="42900000"/>
    <n v="0"/>
  </r>
  <r>
    <x v="1"/>
    <x v="4"/>
    <s v="N/A"/>
    <s v="N/A"/>
    <s v="Sí"/>
    <s v="Sí"/>
    <n v="68"/>
    <s v="111-17"/>
    <s v="N.A"/>
    <s v="N.A"/>
    <s v="N.A"/>
    <s v="80111620"/>
    <s v="A-02-02-02-008-003"/>
    <x v="0"/>
    <s v="111-17 Prestar servicios profesionales en el apoyo a la supervisión de contratos, control de pagos y seguimiento a la ejecución del PAA y correcto funcionamiento de bienes y servicios requeridos de la UPME."/>
    <s v="Enero "/>
    <s v="Enero "/>
    <s v="Enero "/>
    <n v="6"/>
    <s v="Meses"/>
    <s v="Contratación directa - Prestación de servicios profesionales "/>
    <s v="Propios - 20 - Ingresos corrientes"/>
    <n v="36000000"/>
    <n v="36000000"/>
    <s v="No"/>
    <s v="N/A"/>
    <s v="Jenny Patricia Peña Rozo"/>
    <s v="Coordinador GIT Gestión Administrativa y Servicio al Ciudadano"/>
    <n v="6012220601"/>
    <s v="jenny.pena@upme.gov.co"/>
    <m/>
    <m/>
    <m/>
    <m/>
    <m/>
    <m/>
    <m/>
    <m/>
    <m/>
    <m/>
    <m/>
    <m/>
    <m/>
    <m/>
    <m/>
    <m/>
    <m/>
    <m/>
    <m/>
    <m/>
    <m/>
    <m/>
    <m/>
    <m/>
    <m/>
    <m/>
    <m/>
    <m/>
    <s v="Prestar servicios profesionales en el apoyo a la supervisión de contratos, control de pagos y seguimiento a la ejecución del PAA y correcto funcionamiento de bienes y servicios requeridos de la UPME."/>
    <m/>
    <m/>
    <m/>
    <n v="3000000"/>
    <m/>
    <n v="6000000"/>
    <m/>
    <n v="6000000"/>
    <m/>
    <n v="6000000"/>
    <m/>
    <n v="6000000"/>
    <m/>
    <n v="6000000"/>
    <m/>
    <n v="3000000"/>
    <m/>
    <m/>
    <m/>
    <m/>
    <m/>
    <m/>
    <m/>
    <m/>
    <m/>
    <m/>
    <n v="0"/>
    <n v="36000000"/>
    <n v="36000000"/>
    <n v="0"/>
    <m/>
    <m/>
    <m/>
    <n v="36000000"/>
    <m/>
    <m/>
    <n v="0"/>
    <n v="36000000"/>
    <n v="0"/>
    <m/>
    <m/>
    <m/>
    <m/>
    <m/>
    <m/>
    <m/>
    <m/>
    <m/>
    <m/>
    <m/>
    <m/>
    <m/>
    <m/>
    <m/>
    <m/>
    <m/>
    <m/>
    <m/>
    <m/>
    <m/>
    <m/>
    <m/>
    <m/>
    <m/>
    <m/>
    <m/>
    <m/>
    <m/>
    <m/>
    <m/>
    <m/>
    <m/>
    <m/>
    <m/>
    <m/>
    <m/>
    <m/>
    <n v="0"/>
    <n v="0"/>
    <n v="0"/>
    <n v="0"/>
    <n v="0"/>
  </r>
  <r>
    <x v="1"/>
    <x v="4"/>
    <s v="N/A"/>
    <s v="N/A"/>
    <s v="Sí"/>
    <s v="Sí"/>
    <n v="68"/>
    <s v="111-18"/>
    <s v="N.A"/>
    <s v="N.A"/>
    <s v="N.A"/>
    <s v="80111620"/>
    <s v="A-02-02-02-008-003"/>
    <x v="0"/>
    <s v="111-18 Prestar servicios profesionales en la interventoría de la tercera fase de adecuaciones a la infraestructura de la sede administrativa de la Upme."/>
    <s v="Julio"/>
    <s v="Julio"/>
    <s v="Agosto"/>
    <n v="5"/>
    <s v="Meses"/>
    <s v="Contratación directa - Prestación de servicios profesionales "/>
    <s v="Propios - 20 - Ingresos corrientes"/>
    <n v="26000000"/>
    <n v="26000000"/>
    <s v="No"/>
    <s v="N/A"/>
    <s v="Jenny Patricia Peña Rozo"/>
    <s v="Coordinador GIT Gestión Administrativa y Servicio al Ciudadano"/>
    <n v="6012220601"/>
    <s v="jenny.pena@upme.gov.co"/>
    <m/>
    <m/>
    <m/>
    <m/>
    <m/>
    <m/>
    <m/>
    <m/>
    <m/>
    <m/>
    <m/>
    <m/>
    <m/>
    <m/>
    <m/>
    <m/>
    <m/>
    <m/>
    <m/>
    <m/>
    <m/>
    <m/>
    <m/>
    <m/>
    <m/>
    <m/>
    <m/>
    <m/>
    <s v="Prestar servicios profesionales en la interventoría de la tercera fase de adecuaciones a la infraestructura de la sede administrativa de la Upme."/>
    <m/>
    <m/>
    <m/>
    <m/>
    <m/>
    <m/>
    <m/>
    <m/>
    <m/>
    <n v="6500000"/>
    <m/>
    <n v="6500000"/>
    <m/>
    <n v="6500000"/>
    <m/>
    <n v="6500000"/>
    <m/>
    <m/>
    <m/>
    <m/>
    <m/>
    <m/>
    <m/>
    <m/>
    <m/>
    <m/>
    <n v="0"/>
    <n v="26000000"/>
    <n v="26000000"/>
    <n v="0"/>
    <m/>
    <m/>
    <m/>
    <n v="26000000"/>
    <m/>
    <m/>
    <n v="0"/>
    <n v="26000000"/>
    <n v="0"/>
    <m/>
    <m/>
    <m/>
    <m/>
    <m/>
    <m/>
    <m/>
    <m/>
    <m/>
    <m/>
    <m/>
    <m/>
    <m/>
    <m/>
    <m/>
    <m/>
    <m/>
    <m/>
    <m/>
    <m/>
    <m/>
    <m/>
    <m/>
    <m/>
    <m/>
    <m/>
    <m/>
    <m/>
    <m/>
    <m/>
    <m/>
    <m/>
    <m/>
    <m/>
    <m/>
    <m/>
    <m/>
    <m/>
    <n v="0"/>
    <n v="0"/>
    <n v="0"/>
    <n v="0"/>
    <n v="0"/>
  </r>
  <r>
    <x v="1"/>
    <x v="4"/>
    <s v="N/A"/>
    <s v="N/A"/>
    <s v="Sí"/>
    <s v="Sí"/>
    <n v="68"/>
    <s v="111-19"/>
    <s v="N.A"/>
    <s v="N.A"/>
    <s v="N.A"/>
    <s v="80111620"/>
    <s v="A-02-02-02-008-003"/>
    <x v="0"/>
    <s v="111-19 Prestar los servicios profesionales para apoyar las actividades relacionadas con la gestión administrativa de la Secretaría General de la UPME."/>
    <s v="Enero "/>
    <s v="Enero "/>
    <s v="Enero "/>
    <n v="6"/>
    <s v="Meses"/>
    <s v="Contratación directa - Prestación de servicios profesionales "/>
    <s v="Propios - 20 - Ingresos corrientes"/>
    <n v="36000000"/>
    <n v="36000000"/>
    <s v="No"/>
    <s v="N/A"/>
    <s v="Jenny Patricia Peña Rozo"/>
    <s v="Coordinador GIT Gestión Administrativa y Servicio al Ciudadano"/>
    <n v="6012220601"/>
    <s v="jenny.pena@upme.gov.co"/>
    <m/>
    <m/>
    <m/>
    <m/>
    <m/>
    <m/>
    <m/>
    <m/>
    <m/>
    <m/>
    <m/>
    <m/>
    <m/>
    <m/>
    <m/>
    <m/>
    <m/>
    <m/>
    <m/>
    <m/>
    <m/>
    <m/>
    <m/>
    <m/>
    <m/>
    <m/>
    <m/>
    <m/>
    <s v="Prestar los servicios profesionales para apoyar las actividades relacionadas con la gestión administrativa de la Secretaría General de la UPME."/>
    <m/>
    <m/>
    <m/>
    <n v="3000000"/>
    <m/>
    <n v="6000000"/>
    <m/>
    <n v="6000000"/>
    <m/>
    <n v="6000000"/>
    <m/>
    <n v="6000000"/>
    <m/>
    <n v="6000000"/>
    <m/>
    <n v="3000000"/>
    <m/>
    <m/>
    <m/>
    <m/>
    <m/>
    <m/>
    <m/>
    <m/>
    <m/>
    <m/>
    <n v="0"/>
    <n v="36000000"/>
    <n v="36000000"/>
    <n v="0"/>
    <n v="9626"/>
    <d v="2026-01-07T00:00:00"/>
    <n v="36000000"/>
    <n v="0"/>
    <n v="37326"/>
    <d v="2026-02-02T00:00:00"/>
    <n v="36000000"/>
    <n v="0"/>
    <n v="0"/>
    <s v="REAL SALINAS EDMA MARITZA"/>
    <s v="CO1.PCCNTR.9182871"/>
    <m/>
    <m/>
    <m/>
    <n v="36000000"/>
    <m/>
    <m/>
    <m/>
    <m/>
    <m/>
    <m/>
    <m/>
    <m/>
    <m/>
    <m/>
    <m/>
    <m/>
    <m/>
    <m/>
    <m/>
    <m/>
    <m/>
    <m/>
    <m/>
    <m/>
    <m/>
    <m/>
    <m/>
    <m/>
    <m/>
    <m/>
    <m/>
    <m/>
    <m/>
    <m/>
    <m/>
    <m/>
    <n v="36000000"/>
    <n v="0"/>
    <n v="0"/>
    <n v="36000000"/>
    <n v="0"/>
  </r>
  <r>
    <x v="1"/>
    <x v="4"/>
    <s v="N/A"/>
    <s v="N/A"/>
    <s v="Sí"/>
    <s v="Sí"/>
    <n v="19"/>
    <s v="111-2"/>
    <s v="N.A"/>
    <s v="N.A"/>
    <s v="N.A"/>
    <s v="72101509"/>
    <s v="A-02-02-02-008-007"/>
    <x v="12"/>
    <s v="111-2 Prestar servicios de mantenimiento preventivo y correctivo en el sistema de protección de red contraincendios en las instalaciones de la UPME."/>
    <s v="Enero "/>
    <s v="Enero "/>
    <s v="Enero "/>
    <n v="12"/>
    <s v="Meses"/>
    <s v="Contratación directa - Contratos menor cuantía"/>
    <s v="Propios - 20 - Ingresos corrientes"/>
    <n v="21745650"/>
    <n v="21745650"/>
    <s v="No"/>
    <s v="N/A"/>
    <s v="Jenny Patricia Peña Rozo"/>
    <s v="Coordinador GIT Gestión Administrativa y Servicio al Ciudadano"/>
    <n v="6012220601"/>
    <s v="jenny.pena@upme.gov.co"/>
    <m/>
    <m/>
    <m/>
    <m/>
    <m/>
    <m/>
    <m/>
    <m/>
    <m/>
    <m/>
    <m/>
    <m/>
    <m/>
    <m/>
    <m/>
    <m/>
    <m/>
    <m/>
    <m/>
    <m/>
    <m/>
    <m/>
    <m/>
    <m/>
    <m/>
    <m/>
    <m/>
    <m/>
    <s v="Prestar servicios de mantenimiento preventivo y correctivo en el sistema de protección de red contraincendios en las instalaciones de la UPME."/>
    <m/>
    <m/>
    <m/>
    <m/>
    <m/>
    <m/>
    <m/>
    <n v="7566667"/>
    <m/>
    <m/>
    <m/>
    <m/>
    <m/>
    <m/>
    <m/>
    <n v="7566667"/>
    <m/>
    <m/>
    <m/>
    <m/>
    <m/>
    <n v="7566666"/>
    <m/>
    <m/>
    <m/>
    <m/>
    <n v="0"/>
    <n v="22700000"/>
    <n v="21745650"/>
    <n v="-954350"/>
    <n v="16226"/>
    <d v="2026-01-09T00:00:00"/>
    <n v="22700000"/>
    <n v="-954350"/>
    <m/>
    <m/>
    <n v="0"/>
    <n v="21745650"/>
    <n v="22700000"/>
    <m/>
    <m/>
    <m/>
    <m/>
    <m/>
    <m/>
    <m/>
    <m/>
    <m/>
    <m/>
    <m/>
    <m/>
    <m/>
    <m/>
    <m/>
    <m/>
    <m/>
    <m/>
    <m/>
    <m/>
    <m/>
    <m/>
    <m/>
    <m/>
    <m/>
    <m/>
    <m/>
    <m/>
    <m/>
    <m/>
    <m/>
    <m/>
    <m/>
    <m/>
    <m/>
    <m/>
    <m/>
    <m/>
    <n v="0"/>
    <n v="0"/>
    <n v="0"/>
    <n v="0"/>
    <n v="0"/>
  </r>
  <r>
    <x v="1"/>
    <x v="4"/>
    <s v="N/A"/>
    <s v="N/A"/>
    <s v="Sí"/>
    <s v="Sí"/>
    <n v="19"/>
    <s v="111-20"/>
    <s v="N.A"/>
    <s v="N.A"/>
    <s v="N.A"/>
    <s v="80111620"/>
    <s v="A-02-02-02-008-002"/>
    <x v="0"/>
    <s v="111-20 Prestar servicios profesionales para apoyar la sustanciación y revisión de actos administrativos, respuestas a derechos de petición, conceptos y circulares adelantadas en la Secretaría General de la UPME."/>
    <s v="Enero "/>
    <s v="Enero "/>
    <s v="Enero "/>
    <s v="11.5"/>
    <s v="Meses"/>
    <s v="Contratación directa - Prestación de servicios profesionales "/>
    <s v="Propios - 20 - Ingresos corrientes"/>
    <n v="60500000"/>
    <n v="60500000"/>
    <s v="No"/>
    <s v="N/A"/>
    <s v="Jenny Patricia Peña Rozo"/>
    <s v="Coordinador GIT Gestión Administrativa y Servicio al Ciudadano"/>
    <n v="6012220601"/>
    <s v="jenny.pena@upme.gov.co"/>
    <m/>
    <m/>
    <m/>
    <m/>
    <m/>
    <m/>
    <m/>
    <m/>
    <m/>
    <m/>
    <m/>
    <m/>
    <m/>
    <m/>
    <m/>
    <m/>
    <m/>
    <m/>
    <m/>
    <m/>
    <m/>
    <m/>
    <m/>
    <m/>
    <m/>
    <m/>
    <m/>
    <m/>
    <s v="Prestar servicios profesionales para apoyar la sustanciación y revisión de actos administrativos, respuestas a derechos de petición, conceptos y circulares adelantadas en la Secretaría General de la UPME."/>
    <m/>
    <m/>
    <m/>
    <n v="2750000"/>
    <m/>
    <n v="5500000"/>
    <m/>
    <n v="5500000"/>
    <m/>
    <n v="5500000"/>
    <m/>
    <n v="5500000"/>
    <m/>
    <n v="5500000"/>
    <m/>
    <n v="5500000"/>
    <m/>
    <n v="5500000"/>
    <m/>
    <n v="5500000"/>
    <m/>
    <n v="5500000"/>
    <m/>
    <n v="11000000"/>
    <m/>
    <m/>
    <n v="0"/>
    <n v="63250000"/>
    <n v="60500000"/>
    <n v="-2750000"/>
    <n v="39326"/>
    <d v="2026-01-16T00:00:00"/>
    <n v="63250000"/>
    <n v="-2750000"/>
    <m/>
    <m/>
    <n v="0"/>
    <n v="60500000"/>
    <n v="63250000"/>
    <m/>
    <m/>
    <m/>
    <m/>
    <m/>
    <m/>
    <m/>
    <m/>
    <m/>
    <m/>
    <m/>
    <m/>
    <m/>
    <m/>
    <m/>
    <m/>
    <m/>
    <m/>
    <m/>
    <m/>
    <m/>
    <m/>
    <m/>
    <m/>
    <m/>
    <m/>
    <m/>
    <m/>
    <m/>
    <m/>
    <m/>
    <m/>
    <m/>
    <m/>
    <m/>
    <m/>
    <m/>
    <m/>
    <n v="0"/>
    <n v="0"/>
    <n v="0"/>
    <n v="0"/>
    <n v="0"/>
  </r>
  <r>
    <x v="1"/>
    <x v="4"/>
    <s v="N/A"/>
    <s v="N/A"/>
    <s v="Sí"/>
    <s v="Sí"/>
    <n v="68"/>
    <s v="111-21"/>
    <s v="N.A"/>
    <s v="N.A"/>
    <s v="N.A"/>
    <s v="84131501;84131607;84131514;84131500;84131603"/>
    <s v="A-02-02-02-007-001"/>
    <x v="11"/>
    <s v="111-21 Prestar servicios de intermediación y asesoría en la formulación y manejo de los programas de seguros para la Upme."/>
    <s v="Enero "/>
    <s v="Enero "/>
    <s v="Enero "/>
    <n v="12"/>
    <s v="Meses"/>
    <s v="Contratación régimen especial (con ofertas)  - Régimen especial"/>
    <s v="Propios - 20 - Ingresos corrientes"/>
    <n v="0"/>
    <n v="0"/>
    <s v="No"/>
    <s v="N/A"/>
    <s v="Jenny Patricia Peña Rozo"/>
    <s v="Coordinador GIT Gestión Administrativa y Servicio al Ciudadano"/>
    <n v="6012220601"/>
    <s v="jenny.pena@upme.gov.co"/>
    <m/>
    <m/>
    <m/>
    <m/>
    <m/>
    <m/>
    <m/>
    <m/>
    <m/>
    <m/>
    <m/>
    <m/>
    <m/>
    <m/>
    <m/>
    <m/>
    <m/>
    <m/>
    <m/>
    <m/>
    <m/>
    <m/>
    <m/>
    <m/>
    <m/>
    <m/>
    <m/>
    <m/>
    <s v="Prestar servicios de intermediación y asesoría en la formulación y manejo de los programas de seguros para la Upme."/>
    <m/>
    <m/>
    <m/>
    <m/>
    <m/>
    <m/>
    <m/>
    <m/>
    <m/>
    <m/>
    <m/>
    <m/>
    <m/>
    <m/>
    <m/>
    <m/>
    <m/>
    <m/>
    <m/>
    <m/>
    <m/>
    <m/>
    <m/>
    <m/>
    <m/>
    <m/>
    <n v="0"/>
    <n v="0"/>
    <n v="0"/>
    <n v="0"/>
    <m/>
    <m/>
    <m/>
    <n v="0"/>
    <m/>
    <m/>
    <n v="0"/>
    <n v="0"/>
    <n v="0"/>
    <m/>
    <m/>
    <m/>
    <m/>
    <m/>
    <m/>
    <m/>
    <m/>
    <m/>
    <m/>
    <m/>
    <m/>
    <m/>
    <m/>
    <m/>
    <m/>
    <m/>
    <m/>
    <m/>
    <m/>
    <m/>
    <m/>
    <m/>
    <m/>
    <m/>
    <m/>
    <m/>
    <m/>
    <m/>
    <m/>
    <m/>
    <m/>
    <m/>
    <m/>
    <m/>
    <m/>
    <m/>
    <m/>
    <n v="0"/>
    <n v="0"/>
    <n v="0"/>
    <n v="0"/>
    <n v="0"/>
  </r>
  <r>
    <x v="1"/>
    <x v="4"/>
    <s v="N/A"/>
    <s v="N/A"/>
    <s v="Sí"/>
    <s v="Sí"/>
    <n v="68"/>
    <s v="111-22"/>
    <s v="N.A"/>
    <s v="N.A"/>
    <s v="N.A"/>
    <s v="84131501;84131607;84131514;84131500;84131603"/>
    <s v="A-02-02-02-007-001"/>
    <x v="11"/>
    <s v="111-22 Adquirir las pólizas de seguros que amparen los bienes muebles, inmuebles e intereses patrimoniales asegurables de propiedad de la Upme y de aquellos por los que sea o llegase a ser legalmente responsable a nivel nacional."/>
    <s v="Febrero"/>
    <s v="Febrero"/>
    <s v="Febrero"/>
    <n v="12"/>
    <s v="Meses"/>
    <s v="Contratación directa - Contratos menor cuantía"/>
    <s v="Propios - 20 - Ingresos corrientes"/>
    <n v="310000000"/>
    <n v="310000000"/>
    <s v="No"/>
    <s v="N/A"/>
    <s v="Jenny Patricia Peña Rozo"/>
    <s v="Coordinador GIT Gestión Administrativa y Servicio al Ciudadano"/>
    <n v="6012220601"/>
    <s v="jenny.pena@upme.gov.co"/>
    <m/>
    <m/>
    <m/>
    <m/>
    <m/>
    <m/>
    <m/>
    <m/>
    <m/>
    <m/>
    <m/>
    <m/>
    <m/>
    <m/>
    <m/>
    <m/>
    <m/>
    <m/>
    <m/>
    <m/>
    <m/>
    <m/>
    <m/>
    <m/>
    <m/>
    <m/>
    <m/>
    <m/>
    <s v="Adquirir las pólizas de seguros que amparen los bienes muebles, inmuebles e intereses patrimoniales asegurables de propiedad de la Upme y de aquellos por los que sea o llegase a ser legalmente responsable a nivel nacional."/>
    <m/>
    <m/>
    <m/>
    <m/>
    <m/>
    <m/>
    <m/>
    <m/>
    <m/>
    <n v="310000000"/>
    <m/>
    <m/>
    <m/>
    <m/>
    <m/>
    <m/>
    <m/>
    <m/>
    <m/>
    <m/>
    <m/>
    <m/>
    <m/>
    <m/>
    <m/>
    <m/>
    <n v="0"/>
    <n v="310000000"/>
    <n v="310000000"/>
    <n v="0"/>
    <m/>
    <m/>
    <m/>
    <n v="310000000"/>
    <m/>
    <m/>
    <n v="0"/>
    <n v="310000000"/>
    <n v="0"/>
    <m/>
    <m/>
    <m/>
    <m/>
    <m/>
    <m/>
    <m/>
    <m/>
    <m/>
    <m/>
    <m/>
    <m/>
    <m/>
    <m/>
    <m/>
    <m/>
    <m/>
    <m/>
    <m/>
    <m/>
    <m/>
    <m/>
    <m/>
    <m/>
    <m/>
    <m/>
    <m/>
    <m/>
    <m/>
    <m/>
    <m/>
    <m/>
    <m/>
    <m/>
    <m/>
    <m/>
    <m/>
    <m/>
    <n v="0"/>
    <n v="0"/>
    <n v="0"/>
    <n v="0"/>
    <n v="0"/>
  </r>
  <r>
    <x v="1"/>
    <x v="4"/>
    <s v="N/A"/>
    <s v="N/A"/>
    <s v="Sí"/>
    <s v="Sí"/>
    <n v="6"/>
    <s v="111-23"/>
    <s v="N.A"/>
    <s v="N.A"/>
    <s v="N.A"/>
    <s v="78102203;78102206"/>
    <s v="A-02-02-02-006-008"/>
    <x v="11"/>
    <s v="111-23 Prestar los servicios de correo certificado electrónico, mensajería motorizada y especializada a nivel urbano, nacional e internacional, incluyendo la actividad de notificaciones judiciales de los actos administrativos de la UPME, garantizando el c"/>
    <s v="Enero "/>
    <s v="Enero "/>
    <s v="Enero "/>
    <n v="12"/>
    <s v="Meses"/>
    <s v="Contratación directa - Contratos menor cuantía"/>
    <s v="Propios - 20 - Ingresos corrientes"/>
    <n v="0"/>
    <n v="0"/>
    <s v="No"/>
    <s v="N/A"/>
    <s v="Jenny Patricia Peña Rozo"/>
    <s v="Coordinador GIT Gestión Administrativa y Servicio al Ciudadano"/>
    <n v="6012220601"/>
    <s v="jenny.pena@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0"/>
    <n v="0"/>
    <n v="0"/>
    <n v="0"/>
    <n v="0"/>
    <n v="0"/>
    <n v="0"/>
    <n v="0"/>
    <n v="0"/>
    <n v="0"/>
    <n v="0"/>
    <n v="0"/>
    <n v="0"/>
    <n v="0"/>
    <n v="0"/>
    <n v="0"/>
    <n v="0"/>
    <n v="0"/>
    <n v="0"/>
    <n v="0"/>
    <n v="0"/>
    <m/>
    <m/>
    <n v="0"/>
    <n v="0"/>
    <n v="0"/>
    <n v="0"/>
    <m/>
    <m/>
    <m/>
    <n v="0"/>
    <m/>
    <m/>
    <n v="0"/>
    <n v="0"/>
    <n v="0"/>
    <m/>
    <m/>
    <m/>
    <m/>
    <m/>
    <m/>
    <m/>
    <m/>
    <m/>
    <m/>
    <m/>
    <m/>
    <m/>
    <m/>
    <m/>
    <m/>
    <m/>
    <m/>
    <m/>
    <m/>
    <m/>
    <m/>
    <m/>
    <m/>
    <m/>
    <m/>
    <m/>
    <m/>
    <m/>
    <m/>
    <m/>
    <m/>
    <m/>
    <m/>
    <m/>
    <m/>
    <m/>
    <m/>
    <n v="0"/>
    <n v="0"/>
    <n v="0"/>
    <n v="0"/>
    <n v="0"/>
  </r>
  <r>
    <x v="1"/>
    <x v="4"/>
    <s v="N/A"/>
    <s v="N/A"/>
    <s v="Sí"/>
    <s v="Sí"/>
    <n v="68"/>
    <s v="111-24"/>
    <s v="N.A"/>
    <s v="N.A"/>
    <s v="N.A"/>
    <n v="92101501"/>
    <s v="A-02-02-02-008-005 "/>
    <x v="11"/>
    <s v="111-24 Prestar el servicio integral de recepción, seguridad privada y vigilancia en la sede de la Upme."/>
    <s v="Mayo"/>
    <s v="Mayo"/>
    <s v="Agosto"/>
    <n v="5"/>
    <s v="Meses"/>
    <s v="Contratación directa - Contratos menor cuantía"/>
    <s v="Propios - 20 - Ingresos corrientes"/>
    <n v="48200000"/>
    <n v="48200000"/>
    <s v="No"/>
    <s v="N/A"/>
    <s v="Jenny Patricia Peña Rozo"/>
    <s v="Coordinador GIT Gestión Administrativa y Servicio al Ciudadano"/>
    <n v="6012220601"/>
    <s v="jenny.pena@upme.gov.co"/>
    <m/>
    <m/>
    <m/>
    <m/>
    <m/>
    <m/>
    <m/>
    <m/>
    <m/>
    <m/>
    <m/>
    <m/>
    <m/>
    <m/>
    <m/>
    <m/>
    <m/>
    <m/>
    <m/>
    <m/>
    <m/>
    <m/>
    <m/>
    <m/>
    <m/>
    <m/>
    <m/>
    <m/>
    <s v="Prestar el servicio integral de recepción, seguridad privada y vigilancia en la sede de la Upme."/>
    <m/>
    <m/>
    <m/>
    <m/>
    <m/>
    <m/>
    <m/>
    <m/>
    <m/>
    <m/>
    <m/>
    <m/>
    <m/>
    <m/>
    <m/>
    <n v="9640000"/>
    <m/>
    <n v="9640000"/>
    <m/>
    <n v="9640000"/>
    <m/>
    <n v="9640000"/>
    <m/>
    <n v="9640000"/>
    <m/>
    <m/>
    <n v="0"/>
    <n v="48200000"/>
    <n v="48200000"/>
    <n v="0"/>
    <n v="126"/>
    <d v="2026-01-04T00:00:00"/>
    <n v="23555648"/>
    <n v="24644352"/>
    <n v="126"/>
    <d v="2026-01-04T00:00:00"/>
    <n v="23555648"/>
    <n v="24644352"/>
    <n v="0"/>
    <s v="LENKOR SEGURIDAD LTDA"/>
    <s v="CO1.PCCNTR.6572443"/>
    <n v="23555648"/>
    <m/>
    <m/>
    <m/>
    <m/>
    <m/>
    <m/>
    <m/>
    <m/>
    <m/>
    <m/>
    <m/>
    <m/>
    <m/>
    <m/>
    <m/>
    <m/>
    <m/>
    <m/>
    <m/>
    <m/>
    <m/>
    <m/>
    <m/>
    <m/>
    <m/>
    <m/>
    <m/>
    <m/>
    <m/>
    <m/>
    <m/>
    <m/>
    <m/>
    <m/>
    <m/>
    <n v="23555648"/>
    <n v="0"/>
    <n v="0"/>
    <n v="23555648"/>
    <n v="0"/>
  </r>
  <r>
    <x v="1"/>
    <x v="4"/>
    <s v="N/A"/>
    <s v="N/A"/>
    <s v="Sí"/>
    <s v="Sí"/>
    <n v="10"/>
    <s v="111-25"/>
    <s v="N.A"/>
    <s v="N.A"/>
    <s v="N.A"/>
    <s v="72121103"/>
    <s v="A-02-02-02-008-007 "/>
    <x v="11"/>
    <s v="111-25 Adelantar la tercera fase de las adecuaciones a la infraestructura de la sede administrativa de la Upme."/>
    <s v="Julio"/>
    <s v="Julio"/>
    <s v="Agosto"/>
    <n v="5"/>
    <s v="Meses"/>
    <s v="Contratación directa  - único oferente"/>
    <s v="Propios - 20 - Ingresos corrientes"/>
    <n v="281036348"/>
    <n v="281036348"/>
    <s v="No"/>
    <s v="N/A"/>
    <s v="Jenny Patricia Peña Rozo"/>
    <s v="Coordinador GIT Gestión Administrativa y Servicio al Ciudadano"/>
    <n v="6012220601"/>
    <s v="jenny.pena@upme.gov.co"/>
    <m/>
    <m/>
    <m/>
    <m/>
    <m/>
    <m/>
    <m/>
    <m/>
    <m/>
    <m/>
    <m/>
    <m/>
    <m/>
    <m/>
    <m/>
    <m/>
    <m/>
    <m/>
    <m/>
    <m/>
    <m/>
    <m/>
    <m/>
    <m/>
    <m/>
    <m/>
    <m/>
    <m/>
    <s v="Adelantar la tercera fase de las adecuaciones a la infraestructura de la sede administrativa de la Upme."/>
    <m/>
    <m/>
    <n v="0"/>
    <n v="0"/>
    <n v="0"/>
    <n v="0"/>
    <n v="0"/>
    <n v="0"/>
    <n v="0"/>
    <n v="0"/>
    <n v="0"/>
    <n v="0"/>
    <n v="0"/>
    <n v="0"/>
    <n v="281036348"/>
    <n v="0"/>
    <n v="0"/>
    <n v="56207270"/>
    <n v="0"/>
    <n v="56207270"/>
    <n v="0"/>
    <n v="56207270"/>
    <n v="0"/>
    <n v="112414538"/>
    <m/>
    <m/>
    <n v="281036348"/>
    <n v="281036348"/>
    <n v="0"/>
    <n v="0"/>
    <m/>
    <m/>
    <m/>
    <n v="281036348"/>
    <m/>
    <m/>
    <n v="0"/>
    <n v="281036348"/>
    <n v="0"/>
    <m/>
    <m/>
    <m/>
    <m/>
    <m/>
    <m/>
    <m/>
    <m/>
    <m/>
    <m/>
    <m/>
    <m/>
    <m/>
    <m/>
    <m/>
    <m/>
    <m/>
    <m/>
    <m/>
    <m/>
    <m/>
    <m/>
    <m/>
    <m/>
    <m/>
    <m/>
    <m/>
    <m/>
    <m/>
    <m/>
    <m/>
    <m/>
    <m/>
    <m/>
    <m/>
    <m/>
    <m/>
    <m/>
    <n v="0"/>
    <n v="0"/>
    <n v="0"/>
    <n v="0"/>
    <n v="0"/>
  </r>
  <r>
    <x v="1"/>
    <x v="4"/>
    <s v="N/A"/>
    <s v="N/A"/>
    <s v="Sí"/>
    <s v="Sí"/>
    <n v="68"/>
    <s v="111-26"/>
    <s v="N.A"/>
    <s v="N.A"/>
    <s v="N.A"/>
    <s v="90101700;76111500"/>
    <s v="A-02-02-02-008-005 "/>
    <x v="11"/>
    <s v="111-26 Prestar el servicio integral de aseo y cafetería para la Upme incluidos los insumos básicos de aseo y cafetería requeridos."/>
    <s v="Mayo"/>
    <s v="Mayo"/>
    <s v="Agosto"/>
    <n v="5"/>
    <s v="Meses"/>
    <s v="Selección abreviada - acuerdo marco"/>
    <s v="Propios - 20 - Ingresos corrientes"/>
    <n v="133000000"/>
    <n v="133000000"/>
    <s v="No"/>
    <s v="N/A"/>
    <s v="Jenny Patricia Peña Rozo"/>
    <s v="Coordinador GIT Gestión Administrativa y Servicio al Ciudadano"/>
    <n v="6012220601"/>
    <s v="jenny.pena@upme.gov.co"/>
    <m/>
    <m/>
    <m/>
    <m/>
    <m/>
    <m/>
    <m/>
    <m/>
    <m/>
    <m/>
    <m/>
    <m/>
    <m/>
    <m/>
    <m/>
    <m/>
    <m/>
    <m/>
    <m/>
    <m/>
    <m/>
    <m/>
    <m/>
    <m/>
    <m/>
    <m/>
    <m/>
    <m/>
    <s v="Prestar el servicio integral de aseo y cafetería para la Upme incluidos los insumos básicos de aseo y cafetería requeridos."/>
    <m/>
    <m/>
    <m/>
    <m/>
    <m/>
    <m/>
    <m/>
    <m/>
    <m/>
    <m/>
    <m/>
    <m/>
    <m/>
    <m/>
    <m/>
    <n v="26600000"/>
    <m/>
    <n v="26600000"/>
    <m/>
    <n v="26600000"/>
    <m/>
    <n v="26600000"/>
    <m/>
    <n v="26600000"/>
    <m/>
    <m/>
    <n v="0"/>
    <n v="133000000"/>
    <n v="133000000"/>
    <n v="0"/>
    <n v="226"/>
    <d v="2026-01-04T00:00:00"/>
    <n v="133821897"/>
    <n v="-821897"/>
    <n v="226"/>
    <d v="2026-01-04T00:00:00"/>
    <n v="133821897"/>
    <n v="-821897"/>
    <n v="0"/>
    <s v="SERVIASEO S A"/>
    <n v="132180"/>
    <n v="133821897"/>
    <m/>
    <m/>
    <m/>
    <m/>
    <m/>
    <m/>
    <m/>
    <m/>
    <m/>
    <m/>
    <m/>
    <m/>
    <m/>
    <m/>
    <m/>
    <m/>
    <m/>
    <m/>
    <m/>
    <m/>
    <m/>
    <m/>
    <m/>
    <m/>
    <m/>
    <m/>
    <m/>
    <m/>
    <m/>
    <m/>
    <m/>
    <m/>
    <m/>
    <m/>
    <m/>
    <n v="133821897"/>
    <n v="0"/>
    <n v="0"/>
    <n v="133821897"/>
    <n v="0"/>
  </r>
  <r>
    <x v="1"/>
    <x v="4"/>
    <s v="N/A"/>
    <s v="N/A"/>
    <s v="Sí"/>
    <s v="Sí"/>
    <n v="68"/>
    <s v="111-27"/>
    <s v="N.A"/>
    <s v="N.A"/>
    <s v="N.A"/>
    <s v="42172001"/>
    <s v="A-02-02-01-003-005"/>
    <x v="11"/>
    <s v="111-27 Adquirir los insumos y elementos necesarios para dotar los botiquines de las brigadas de emergencia y comprar los elementos de bioseguridad para los servidores públicos de la Upme."/>
    <s v="Agosto"/>
    <s v="Agosto"/>
    <s v="Agosto"/>
    <n v="5"/>
    <s v="Meses"/>
    <s v="Contratación directa - Contratos menor cuantía"/>
    <s v="Propios - 20 - Ingresos corrientes"/>
    <n v="4500000"/>
    <n v="4500000"/>
    <s v="No"/>
    <s v="N/A"/>
    <s v="Liliana Castillo"/>
    <s v="Coordinadora GIT Gestión del Talento Humano"/>
    <n v="6012220601"/>
    <s v="liliana.castillo@upme.gov.co"/>
    <m/>
    <m/>
    <m/>
    <m/>
    <m/>
    <m/>
    <m/>
    <m/>
    <m/>
    <m/>
    <m/>
    <m/>
    <m/>
    <m/>
    <m/>
    <m/>
    <m/>
    <m/>
    <m/>
    <m/>
    <m/>
    <m/>
    <m/>
    <m/>
    <m/>
    <m/>
    <m/>
    <m/>
    <s v="Adquirir los insumos y elementos necesarios para dotar los botiquines de las brigadas de emergencia y comprar los elementos de bioseguridad para los servidores públicos de la Upme."/>
    <m/>
    <m/>
    <m/>
    <m/>
    <m/>
    <m/>
    <m/>
    <m/>
    <m/>
    <m/>
    <m/>
    <m/>
    <m/>
    <m/>
    <m/>
    <m/>
    <m/>
    <n v="1500000"/>
    <m/>
    <n v="1500000"/>
    <m/>
    <n v="1500000"/>
    <m/>
    <m/>
    <m/>
    <m/>
    <n v="0"/>
    <n v="4500000"/>
    <n v="4500000"/>
    <n v="0"/>
    <n v="51626"/>
    <d v="2026-01-20T00:00:00"/>
    <n v="4500000"/>
    <n v="0"/>
    <m/>
    <m/>
    <n v="0"/>
    <n v="4500000"/>
    <n v="4500000"/>
    <m/>
    <m/>
    <m/>
    <m/>
    <m/>
    <m/>
    <m/>
    <m/>
    <m/>
    <m/>
    <m/>
    <m/>
    <m/>
    <m/>
    <m/>
    <m/>
    <m/>
    <m/>
    <m/>
    <m/>
    <m/>
    <m/>
    <m/>
    <m/>
    <m/>
    <m/>
    <m/>
    <m/>
    <m/>
    <m/>
    <m/>
    <m/>
    <m/>
    <m/>
    <m/>
    <m/>
    <m/>
    <m/>
    <n v="0"/>
    <n v="0"/>
    <n v="0"/>
    <n v="0"/>
    <n v="0"/>
  </r>
  <r>
    <x v="1"/>
    <x v="4"/>
    <s v="N/A"/>
    <s v="N/A"/>
    <s v="Sí"/>
    <s v="Sí"/>
    <n v="68"/>
    <s v="111-28"/>
    <s v="N.A"/>
    <s v="N.A"/>
    <s v="N.A"/>
    <s v="85101503"/>
    <s v="A-02-02-02-009-003"/>
    <x v="11"/>
    <s v="111-28 Prestar los servicios requeridos para gestionar los exámenes médicos periódicos ocupacionales de la vigencia 2026 para los servidores públicos de la Upme."/>
    <s v="Septiembre"/>
    <s v="Septiembre"/>
    <s v="Septiembre"/>
    <n v="4"/>
    <s v="Meses"/>
    <s v="Contratación directa - Contratos menor cuantía"/>
    <s v="Propios - 20 - Ingresos corrientes"/>
    <n v="45000000"/>
    <n v="45000000"/>
    <s v="No"/>
    <s v="N/A"/>
    <s v="Liliana Castillo"/>
    <s v="Coordinadora GIT Gestión del Talento Humano"/>
    <n v="6012220601"/>
    <s v="liliana.castillo@upme.gov.co"/>
    <m/>
    <m/>
    <m/>
    <m/>
    <m/>
    <m/>
    <m/>
    <m/>
    <m/>
    <m/>
    <m/>
    <m/>
    <m/>
    <m/>
    <m/>
    <m/>
    <m/>
    <m/>
    <m/>
    <m/>
    <m/>
    <m/>
    <m/>
    <m/>
    <m/>
    <m/>
    <m/>
    <m/>
    <s v="Prestar los servicios requeridos para gestionar los exámenes médicos periódicos ocupacionales de la vigencia 2026 para los servidores públicos de la Upme."/>
    <m/>
    <m/>
    <m/>
    <m/>
    <m/>
    <m/>
    <m/>
    <m/>
    <m/>
    <m/>
    <m/>
    <m/>
    <m/>
    <m/>
    <m/>
    <m/>
    <m/>
    <m/>
    <m/>
    <n v="15000000"/>
    <m/>
    <n v="15000000"/>
    <m/>
    <n v="15000000"/>
    <m/>
    <m/>
    <n v="0"/>
    <n v="45000000"/>
    <n v="45000000"/>
    <n v="0"/>
    <n v="45126"/>
    <d v="2026-01-17T00:00:00"/>
    <n v="45000000"/>
    <n v="0"/>
    <m/>
    <m/>
    <n v="0"/>
    <n v="45000000"/>
    <n v="45000000"/>
    <m/>
    <m/>
    <m/>
    <m/>
    <m/>
    <m/>
    <m/>
    <m/>
    <m/>
    <m/>
    <m/>
    <m/>
    <m/>
    <m/>
    <m/>
    <m/>
    <m/>
    <m/>
    <m/>
    <m/>
    <m/>
    <m/>
    <m/>
    <m/>
    <m/>
    <m/>
    <m/>
    <m/>
    <m/>
    <m/>
    <m/>
    <m/>
    <m/>
    <m/>
    <m/>
    <m/>
    <m/>
    <m/>
    <n v="0"/>
    <n v="0"/>
    <n v="0"/>
    <n v="0"/>
    <n v="0"/>
  </r>
  <r>
    <x v="1"/>
    <x v="4"/>
    <s v="N/A"/>
    <s v="N/A"/>
    <s v="Sí"/>
    <s v="Sí"/>
    <n v="68"/>
    <s v="111-29"/>
    <s v="N.A"/>
    <s v="N.A"/>
    <s v="N.A"/>
    <s v="85122201"/>
    <s v="A-02-02-02-009-003"/>
    <x v="11"/>
    <s v="111-29 Prestar los servicios requeridos para gestionar los exámenes médicos de vinculación y desvinculación de los funcionarios de la Upme."/>
    <s v="Enero "/>
    <s v="Enero "/>
    <s v="Enero "/>
    <n v="12"/>
    <s v="Meses"/>
    <s v="Contratación directa - Contratos menor cuantía"/>
    <s v="Propios - 20 - Ingresos corrientes"/>
    <n v="20000000"/>
    <n v="20000000"/>
    <s v="No"/>
    <s v="N/A"/>
    <s v="Liliana Castillo"/>
    <s v="Coordinadora GIT Gestión del Talento Humano"/>
    <n v="6012220601"/>
    <s v="liliana.castillo@upme.gov.co"/>
    <m/>
    <m/>
    <m/>
    <m/>
    <m/>
    <m/>
    <m/>
    <m/>
    <m/>
    <m/>
    <m/>
    <m/>
    <m/>
    <m/>
    <m/>
    <m/>
    <m/>
    <m/>
    <m/>
    <m/>
    <m/>
    <m/>
    <m/>
    <m/>
    <m/>
    <m/>
    <m/>
    <m/>
    <s v="Prestar los servicios requeridos para gestionar los exámenes médicos de vinculación y desvinculación de los funcionarios de la Upme."/>
    <m/>
    <m/>
    <m/>
    <m/>
    <m/>
    <m/>
    <m/>
    <n v="4000000"/>
    <m/>
    <m/>
    <m/>
    <n v="4000000"/>
    <m/>
    <m/>
    <m/>
    <n v="4000000"/>
    <m/>
    <m/>
    <m/>
    <n v="4000000"/>
    <m/>
    <m/>
    <m/>
    <n v="4000000"/>
    <m/>
    <m/>
    <n v="0"/>
    <n v="20000000"/>
    <n v="20000000"/>
    <n v="0"/>
    <m/>
    <m/>
    <m/>
    <n v="20000000"/>
    <m/>
    <m/>
    <n v="0"/>
    <n v="20000000"/>
    <n v="0"/>
    <m/>
    <m/>
    <m/>
    <m/>
    <m/>
    <m/>
    <m/>
    <m/>
    <m/>
    <m/>
    <m/>
    <m/>
    <m/>
    <m/>
    <m/>
    <m/>
    <m/>
    <m/>
    <m/>
    <m/>
    <m/>
    <m/>
    <m/>
    <m/>
    <m/>
    <m/>
    <m/>
    <m/>
    <m/>
    <m/>
    <m/>
    <m/>
    <m/>
    <m/>
    <m/>
    <m/>
    <m/>
    <m/>
    <n v="0"/>
    <n v="0"/>
    <n v="0"/>
    <n v="0"/>
    <n v="0"/>
  </r>
  <r>
    <x v="1"/>
    <x v="4"/>
    <s v="N/A"/>
    <s v="N/A"/>
    <s v="Sí"/>
    <s v="Sí"/>
    <n v="68"/>
    <s v="111-3"/>
    <s v="N.A"/>
    <s v="N.A"/>
    <s v="N.A"/>
    <s v="78181507"/>
    <s v="A-02-02-02-008-007"/>
    <x v="12"/>
    <s v="111-3 Prestar servicios de mantenimiento preventivo y correctivo para los dos vehículos oficiales de propiedad de la Upme."/>
    <s v="Enero "/>
    <s v="Enero "/>
    <s v="Enero "/>
    <n v="12"/>
    <s v="Meses"/>
    <s v="Contratación directa - Contratos menor cuantía"/>
    <s v="Propios - 20 - Ingresos corrientes"/>
    <n v="27300000"/>
    <n v="27300000"/>
    <s v="No"/>
    <s v="N/A"/>
    <s v="Jenny Patricia Peña Rozo"/>
    <s v="Coordinador GIT Gestión Administrativa y Servicio al Ciudadano"/>
    <n v="6012220601"/>
    <s v="jenny.pena@upme.gov.co"/>
    <m/>
    <m/>
    <m/>
    <m/>
    <m/>
    <m/>
    <m/>
    <m/>
    <m/>
    <m/>
    <m/>
    <m/>
    <m/>
    <m/>
    <m/>
    <m/>
    <m/>
    <m/>
    <m/>
    <m/>
    <m/>
    <m/>
    <m/>
    <m/>
    <m/>
    <m/>
    <m/>
    <m/>
    <s v="Prestar servicios de mantenimiento preventivo y correctivo para los dos vehículos oficiales de propiedad de la Upme."/>
    <m/>
    <m/>
    <m/>
    <m/>
    <m/>
    <m/>
    <m/>
    <m/>
    <m/>
    <m/>
    <m/>
    <m/>
    <m/>
    <n v="9000000"/>
    <m/>
    <m/>
    <m/>
    <n v="9000000"/>
    <m/>
    <m/>
    <m/>
    <m/>
    <m/>
    <n v="9300000"/>
    <m/>
    <m/>
    <n v="0"/>
    <n v="27300000"/>
    <n v="27300000"/>
    <n v="0"/>
    <n v="67226"/>
    <d v="2026-01-29T00:00:00"/>
    <n v="3230350"/>
    <n v="24069650"/>
    <m/>
    <m/>
    <n v="0"/>
    <n v="27300000"/>
    <n v="3230350"/>
    <m/>
    <m/>
    <m/>
    <m/>
    <m/>
    <m/>
    <m/>
    <m/>
    <m/>
    <m/>
    <m/>
    <m/>
    <m/>
    <m/>
    <m/>
    <m/>
    <m/>
    <m/>
    <m/>
    <m/>
    <m/>
    <m/>
    <m/>
    <m/>
    <m/>
    <m/>
    <m/>
    <m/>
    <m/>
    <m/>
    <m/>
    <m/>
    <m/>
    <m/>
    <m/>
    <m/>
    <m/>
    <m/>
    <n v="0"/>
    <n v="0"/>
    <n v="0"/>
    <n v="0"/>
    <n v="0"/>
  </r>
  <r>
    <x v="1"/>
    <x v="4"/>
    <s v="N/A"/>
    <s v="N/A"/>
    <s v="Sí"/>
    <s v="Sí"/>
    <s v="Radicado 20261130017173"/>
    <s v="111-30"/>
    <s v="N.A"/>
    <s v="N.A"/>
    <s v="N.A"/>
    <n v="80111620"/>
    <s v="A-02-02-02-009-002"/>
    <x v="11"/>
    <s v="111-30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2"/>
    <s v="Meses"/>
    <s v="Contratación directa - Contratos menor cuantía"/>
    <s v="Propios - 20 - Ingresos corrientes"/>
    <n v="196528500"/>
    <n v="196528500"/>
    <s v="No"/>
    <s v="N/A"/>
    <s v="Liliana Castillo"/>
    <s v="Coordinadora GIT Gestión del Talento Humano"/>
    <n v="6012220601"/>
    <s v="liliana.castillo@upme.gov.co"/>
    <m/>
    <m/>
    <m/>
    <m/>
    <m/>
    <m/>
    <m/>
    <m/>
    <m/>
    <m/>
    <m/>
    <m/>
    <m/>
    <m/>
    <m/>
    <m/>
    <m/>
    <m/>
    <m/>
    <m/>
    <m/>
    <m/>
    <m/>
    <m/>
    <m/>
    <m/>
    <m/>
    <m/>
    <s v="Contratar los servicios profesionales requeridos para gestionar el desarrollo de actividades formativas y de actualización en el marco del Plan Institucional de Capacitación (PIC) de la vigencia 2026, dirigido a las servidoras/es públicos de la Upme."/>
    <m/>
    <m/>
    <m/>
    <m/>
    <m/>
    <m/>
    <m/>
    <m/>
    <m/>
    <m/>
    <m/>
    <m/>
    <m/>
    <n v="32754750"/>
    <m/>
    <n v="32754750"/>
    <m/>
    <n v="32754750"/>
    <m/>
    <n v="32754750"/>
    <m/>
    <n v="32754750"/>
    <m/>
    <n v="32754750"/>
    <m/>
    <m/>
    <n v="0"/>
    <n v="196528500"/>
    <n v="196528500"/>
    <n v="0"/>
    <n v="51726"/>
    <d v="2026-01-20T00:00:00"/>
    <n v="196528500"/>
    <n v="0"/>
    <m/>
    <m/>
    <n v="0"/>
    <n v="196528500"/>
    <n v="196528500"/>
    <m/>
    <m/>
    <m/>
    <m/>
    <m/>
    <m/>
    <m/>
    <m/>
    <m/>
    <m/>
    <m/>
    <m/>
    <m/>
    <m/>
    <m/>
    <m/>
    <m/>
    <m/>
    <m/>
    <m/>
    <m/>
    <m/>
    <m/>
    <m/>
    <m/>
    <m/>
    <m/>
    <m/>
    <m/>
    <m/>
    <m/>
    <m/>
    <m/>
    <m/>
    <m/>
    <m/>
    <m/>
    <m/>
    <n v="0"/>
    <n v="0"/>
    <n v="0"/>
    <n v="0"/>
    <n v="0"/>
  </r>
  <r>
    <x v="1"/>
    <x v="4"/>
    <s v="N/A"/>
    <s v="N/A"/>
    <s v="Sí"/>
    <s v="Sí"/>
    <n v="68"/>
    <s v="111-31"/>
    <s v="N.A"/>
    <s v="N.A"/>
    <s v="N.A"/>
    <s v="85101508"/>
    <s v="A-02-02-02-009-003"/>
    <x v="11"/>
    <s v="111-31 Prestar servicios profesionales de área protegida (SAP) para las personas que se encuentren en las instalaciones de la Upme en caso de presentarse una emergencia y/o urgencia como parte del Plan de Emergencia de la Entidad."/>
    <s v="Agosto"/>
    <s v="Agosto"/>
    <s v="Agosto"/>
    <n v="5"/>
    <s v="Meses"/>
    <s v="Contratación directa - Contratos menor cuantía"/>
    <s v="Propios - 20 - Ingresos corrientes"/>
    <n v="6500000"/>
    <n v="6500000"/>
    <s v="No"/>
    <s v="N/A"/>
    <s v="Liliana Castillo"/>
    <s v="Coordinadora GIT Gestión del Talento Humano"/>
    <n v="6012220601"/>
    <s v="liliana.castillo@upme.gov.co"/>
    <m/>
    <m/>
    <m/>
    <m/>
    <m/>
    <m/>
    <m/>
    <m/>
    <m/>
    <m/>
    <m/>
    <m/>
    <m/>
    <m/>
    <m/>
    <m/>
    <m/>
    <m/>
    <m/>
    <m/>
    <m/>
    <m/>
    <m/>
    <m/>
    <m/>
    <m/>
    <m/>
    <m/>
    <s v="Prestar servicios profesionales de área protegida (SAP) para las personas que se encuentren en las instalaciones de la Upme en caso de presentarse una emergencia y/o urgencia como parte del Plan de Emergencia de la Entidad."/>
    <m/>
    <m/>
    <m/>
    <m/>
    <m/>
    <m/>
    <m/>
    <m/>
    <m/>
    <m/>
    <m/>
    <m/>
    <m/>
    <m/>
    <m/>
    <m/>
    <m/>
    <n v="1625000"/>
    <m/>
    <n v="1625000"/>
    <m/>
    <n v="1625000"/>
    <m/>
    <n v="1625000"/>
    <m/>
    <m/>
    <n v="0"/>
    <n v="6500000"/>
    <n v="6500000"/>
    <n v="0"/>
    <n v="46726"/>
    <d v="2026-01-19T00:00:00"/>
    <n v="6500000"/>
    <n v="0"/>
    <m/>
    <m/>
    <n v="0"/>
    <n v="6500000"/>
    <n v="6500000"/>
    <m/>
    <m/>
    <m/>
    <m/>
    <m/>
    <m/>
    <m/>
    <m/>
    <m/>
    <m/>
    <m/>
    <m/>
    <m/>
    <m/>
    <m/>
    <m/>
    <m/>
    <m/>
    <m/>
    <m/>
    <m/>
    <m/>
    <m/>
    <m/>
    <m/>
    <m/>
    <m/>
    <m/>
    <m/>
    <m/>
    <m/>
    <m/>
    <m/>
    <m/>
    <m/>
    <m/>
    <m/>
    <m/>
    <n v="0"/>
    <n v="0"/>
    <n v="0"/>
    <n v="0"/>
    <n v="0"/>
  </r>
  <r>
    <x v="1"/>
    <x v="4"/>
    <s v="N/A"/>
    <s v="N/A"/>
    <s v="Sí"/>
    <s v="Sí"/>
    <n v="19"/>
    <s v="111-32"/>
    <s v="N.A"/>
    <s v="N.A"/>
    <s v="N.A"/>
    <n v="93141506"/>
    <s v="A-02-02-02-009-006"/>
    <x v="11"/>
    <s v="111-32 Prestar los servicios logísticos en la organización y ejecución de las actividades programadas en el Plan de bienestar social, estímulos e incentivos para los servidores de la Upme y sus familias durante la vigencia 2026."/>
    <s v="Enero "/>
    <s v="Enero "/>
    <s v="Enero "/>
    <n v="12"/>
    <s v="Meses"/>
    <s v="Contratación directa - Prestación de servicios profesionales "/>
    <s v="Propios - 20 - Ingresos corrientes"/>
    <n v="277094836"/>
    <n v="277094836"/>
    <s v="No"/>
    <s v="N/A"/>
    <s v="Liliana Castillo"/>
    <s v="Coordinadora GIT Gestión del Talento Humano"/>
    <n v="6012220601"/>
    <s v="liliana.castillo@upme.gov.co"/>
    <m/>
    <m/>
    <m/>
    <m/>
    <m/>
    <m/>
    <m/>
    <m/>
    <m/>
    <m/>
    <m/>
    <m/>
    <m/>
    <m/>
    <m/>
    <m/>
    <m/>
    <m/>
    <m/>
    <m/>
    <m/>
    <m/>
    <m/>
    <m/>
    <m/>
    <m/>
    <m/>
    <m/>
    <s v="Prestar los servicios logísticos en la organización y ejecución de las actividades programadas en el Plan de bienestar social, estímulos e incentivos para los servidores de la Upme y sus familias durante la vigencia 2026."/>
    <m/>
    <m/>
    <m/>
    <m/>
    <m/>
    <m/>
    <m/>
    <m/>
    <m/>
    <m/>
    <m/>
    <m/>
    <m/>
    <m/>
    <m/>
    <m/>
    <m/>
    <n v="69273710"/>
    <m/>
    <n v="69273710"/>
    <m/>
    <n v="69273710"/>
    <m/>
    <n v="69273710"/>
    <m/>
    <m/>
    <n v="0"/>
    <n v="277094840"/>
    <n v="277094836"/>
    <n v="-4"/>
    <n v="58926"/>
    <d v="2026-01-23T00:00:00"/>
    <n v="277094840"/>
    <n v="-4"/>
    <m/>
    <m/>
    <n v="0"/>
    <n v="277094836"/>
    <n v="277094840"/>
    <m/>
    <m/>
    <m/>
    <m/>
    <m/>
    <m/>
    <m/>
    <m/>
    <m/>
    <m/>
    <m/>
    <m/>
    <m/>
    <m/>
    <m/>
    <m/>
    <m/>
    <m/>
    <m/>
    <m/>
    <m/>
    <m/>
    <m/>
    <m/>
    <m/>
    <m/>
    <m/>
    <m/>
    <m/>
    <m/>
    <m/>
    <m/>
    <m/>
    <m/>
    <m/>
    <m/>
    <m/>
    <m/>
    <n v="0"/>
    <n v="0"/>
    <n v="0"/>
    <n v="0"/>
    <n v="0"/>
  </r>
  <r>
    <x v="1"/>
    <x v="4"/>
    <s v="N/A"/>
    <s v="N/A"/>
    <s v="Sí"/>
    <s v="Sí"/>
    <n v="13"/>
    <s v="111-33"/>
    <s v="N.A"/>
    <s v="N.A"/>
    <s v="N.A"/>
    <n v="80111620"/>
    <s v="A-02-02-02-009-002"/>
    <x v="11"/>
    <s v="111-33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2"/>
    <s v="Meses"/>
    <s v="Contratación directa"/>
    <s v="Propios - 20 - Ingresos corrientes"/>
    <n v="15000000"/>
    <n v="15000000"/>
    <s v="No"/>
    <s v="N/A"/>
    <s v="Liliana Castillo"/>
    <s v="Coordinadora GIT Gestión del Talento Humano"/>
    <n v="6012220601"/>
    <s v="liliana.castillo@upme.gov.co"/>
    <m/>
    <m/>
    <m/>
    <m/>
    <m/>
    <m/>
    <m/>
    <m/>
    <m/>
    <m/>
    <m/>
    <m/>
    <m/>
    <m/>
    <m/>
    <m/>
    <m/>
    <m/>
    <m/>
    <m/>
    <m/>
    <m/>
    <m/>
    <m/>
    <m/>
    <m/>
    <m/>
    <m/>
    <s v="Contratar los servicios profesionales requeridos para gestionar el desarrollo de actividades formativas y de actualización en el marco del Plan Institucional de Capacitación (PIC) de la vigencia 2026, dirigido a las servidoras/es públicos de la UPME"/>
    <m/>
    <m/>
    <m/>
    <m/>
    <m/>
    <m/>
    <m/>
    <m/>
    <m/>
    <n v="15000000"/>
    <m/>
    <m/>
    <m/>
    <m/>
    <m/>
    <m/>
    <m/>
    <m/>
    <m/>
    <m/>
    <m/>
    <m/>
    <m/>
    <m/>
    <m/>
    <m/>
    <n v="0"/>
    <n v="15000000"/>
    <n v="15000000"/>
    <n v="0"/>
    <n v="69226"/>
    <d v="2026-02-27T00:00:00"/>
    <n v="15000000"/>
    <n v="0"/>
    <m/>
    <m/>
    <n v="0"/>
    <n v="15000000"/>
    <n v="15000000"/>
    <m/>
    <m/>
    <m/>
    <m/>
    <m/>
    <m/>
    <m/>
    <m/>
    <m/>
    <m/>
    <m/>
    <m/>
    <m/>
    <m/>
    <m/>
    <m/>
    <m/>
    <m/>
    <m/>
    <m/>
    <m/>
    <m/>
    <m/>
    <m/>
    <m/>
    <m/>
    <m/>
    <m/>
    <m/>
    <m/>
    <m/>
    <m/>
    <m/>
    <m/>
    <m/>
    <m/>
    <m/>
    <m/>
    <n v="0"/>
    <n v="0"/>
    <n v="0"/>
    <n v="0"/>
    <n v="0"/>
  </r>
  <r>
    <x v="1"/>
    <x v="4"/>
    <s v="N/A"/>
    <s v="N/A"/>
    <s v="Sí"/>
    <s v="Sí"/>
    <n v="19"/>
    <s v="111-34"/>
    <s v="N.A"/>
    <s v="N.A"/>
    <s v="N.A"/>
    <s v="80111620"/>
    <s v="A-02-02-02-008-003"/>
    <x v="0"/>
    <s v="111-34 Prestar los servicios profesionales al Grupo Interno de Trabajo de Gestión Administrativa y Servicio al Ciudadano en el levantamiento, verificación, consolidación, análisis de información y procesos administrativos a cargo"/>
    <s v="Enero "/>
    <s v="Enero "/>
    <s v="Enero "/>
    <s v="11.5"/>
    <s v="Meses"/>
    <s v="Contratación directa - Prestación de servicios profesionales "/>
    <s v="Propios - 20 - Ingresos corrientes"/>
    <n v="55289850"/>
    <n v="55289850"/>
    <s v="No"/>
    <s v="N/A"/>
    <s v="Jenny Patricia Peña Rozo"/>
    <s v="Coordinador GIT Gestión Administrativa y Servicio al Ciudadano"/>
    <n v="6012220601"/>
    <s v="jenny.pena@upme.gov.co"/>
    <m/>
    <m/>
    <m/>
    <m/>
    <m/>
    <m/>
    <m/>
    <m/>
    <m/>
    <m/>
    <m/>
    <m/>
    <m/>
    <m/>
    <m/>
    <m/>
    <m/>
    <m/>
    <m/>
    <m/>
    <m/>
    <m/>
    <m/>
    <m/>
    <m/>
    <m/>
    <m/>
    <m/>
    <s v="Prestar los servicios profesionales al Grupo Interno de Trabajo de Gestión Administrativa y Servicio al Ciudadano en el levantamiento, verificación, consolidación, análisis de información y procesos administrativos a cargo"/>
    <m/>
    <m/>
    <m/>
    <n v="2750000"/>
    <m/>
    <n v="5500000"/>
    <m/>
    <n v="5500000"/>
    <m/>
    <n v="5500000"/>
    <m/>
    <n v="5500000"/>
    <m/>
    <n v="5500000"/>
    <m/>
    <n v="5500000"/>
    <m/>
    <n v="5500000"/>
    <m/>
    <n v="5500000"/>
    <m/>
    <n v="5500000"/>
    <m/>
    <n v="11000000"/>
    <m/>
    <m/>
    <n v="0"/>
    <n v="63250000"/>
    <n v="55289850"/>
    <n v="-7960150"/>
    <n v="41426"/>
    <d v="2026-01-16T00:00:00"/>
    <n v="63250000"/>
    <n v="-7960150"/>
    <m/>
    <m/>
    <n v="0"/>
    <n v="55289850"/>
    <n v="63250000"/>
    <m/>
    <m/>
    <m/>
    <m/>
    <m/>
    <m/>
    <m/>
    <m/>
    <m/>
    <m/>
    <m/>
    <m/>
    <m/>
    <m/>
    <m/>
    <m/>
    <m/>
    <m/>
    <m/>
    <m/>
    <m/>
    <m/>
    <m/>
    <m/>
    <m/>
    <m/>
    <m/>
    <m/>
    <m/>
    <m/>
    <m/>
    <m/>
    <m/>
    <m/>
    <m/>
    <m/>
    <m/>
    <m/>
    <n v="0"/>
    <n v="0"/>
    <n v="0"/>
    <n v="0"/>
    <n v="0"/>
  </r>
  <r>
    <x v="1"/>
    <x v="4"/>
    <s v="N/A"/>
    <s v="N/A"/>
    <s v="Sí"/>
    <s v="Sí"/>
    <n v="6"/>
    <s v="111-35"/>
    <s v="N.A"/>
    <s v="N.A"/>
    <s v="N.A"/>
    <s v="80111620"/>
    <s v="A-02-02-02-008-002"/>
    <x v="0"/>
    <s v="111-35 Prestar servicios profesionales orientados a fortalecer la apropiación, comprensión y adecuada aplicación del proceso contable de la entidad"/>
    <s v="Enero "/>
    <s v="Enero "/>
    <s v="Enero "/>
    <n v="6"/>
    <s v="Meses"/>
    <s v="Contratación directa - Prestación de servicios profesionales "/>
    <s v="Propios - 20 - Ingresos corrientes"/>
    <n v="36000000"/>
    <n v="36000000"/>
    <s v="No"/>
    <s v="N/A"/>
    <s v="Hollman Corredor"/>
    <s v="Coordinador GIT Financiero"/>
    <n v="6012220601"/>
    <s v="hollmen.corredor@upme.gov.co"/>
    <m/>
    <m/>
    <m/>
    <m/>
    <m/>
    <m/>
    <m/>
    <m/>
    <m/>
    <m/>
    <m/>
    <m/>
    <m/>
    <m/>
    <m/>
    <m/>
    <m/>
    <m/>
    <m/>
    <m/>
    <m/>
    <m/>
    <m/>
    <m/>
    <m/>
    <m/>
    <m/>
    <m/>
    <s v="Prestar servicios profesionales orientados a fortalecer la apropiación, comprensión y adecuada aplicación del proceso contable de la entidad"/>
    <m/>
    <m/>
    <m/>
    <n v="3000000"/>
    <m/>
    <n v="6000000"/>
    <m/>
    <n v="6000000"/>
    <m/>
    <n v="6000000"/>
    <m/>
    <n v="6000000"/>
    <m/>
    <n v="6000000"/>
    <m/>
    <n v="3000000"/>
    <m/>
    <m/>
    <m/>
    <m/>
    <m/>
    <m/>
    <m/>
    <m/>
    <m/>
    <m/>
    <n v="0"/>
    <n v="36000000"/>
    <n v="36000000"/>
    <n v="0"/>
    <n v="54726"/>
    <d v="2026-01-22T00:00:00"/>
    <n v="36000000"/>
    <n v="0"/>
    <m/>
    <m/>
    <n v="0"/>
    <n v="36000000"/>
    <n v="36000000"/>
    <m/>
    <m/>
    <m/>
    <m/>
    <m/>
    <m/>
    <m/>
    <m/>
    <m/>
    <m/>
    <m/>
    <m/>
    <m/>
    <m/>
    <m/>
    <m/>
    <m/>
    <m/>
    <m/>
    <m/>
    <m/>
    <m/>
    <m/>
    <m/>
    <m/>
    <m/>
    <m/>
    <m/>
    <m/>
    <m/>
    <m/>
    <m/>
    <m/>
    <m/>
    <m/>
    <m/>
    <m/>
    <m/>
    <n v="0"/>
    <n v="0"/>
    <n v="0"/>
    <n v="0"/>
    <n v="0"/>
  </r>
  <r>
    <x v="1"/>
    <x v="4"/>
    <s v="N/A"/>
    <s v="N/A"/>
    <s v="Sí"/>
    <s v="Sí"/>
    <n v="19"/>
    <s v="111-36"/>
    <s v="N.A"/>
    <s v="N.A"/>
    <s v="N.A"/>
    <n v="72151514"/>
    <s v="A-02-02-02-008-007"/>
    <x v="12"/>
    <s v="111-36 Prestar el servicio de mantenimiento preventivo y correctivo que garantice el correcto funcionamiento de las UPS de propiedad de la Upme."/>
    <s v="Enero "/>
    <s v="Enero "/>
    <s v="Enero "/>
    <n v="12"/>
    <s v="Meses"/>
    <s v="Contratación directa - Contratos menor cuantía"/>
    <s v="Propios - 20 - Ingresos corrientes"/>
    <n v="19036348"/>
    <n v="19036348"/>
    <s v="No"/>
    <s v="N/A"/>
    <s v="Jenny Patricia Peña Rozo"/>
    <s v="Coordinador GIT Gestión Administrativa y Servicio al Ciudadano"/>
    <n v="6012220601"/>
    <s v="jenny.pena@upme.gov.co"/>
    <m/>
    <m/>
    <m/>
    <m/>
    <m/>
    <m/>
    <m/>
    <m/>
    <m/>
    <m/>
    <m/>
    <m/>
    <m/>
    <m/>
    <m/>
    <m/>
    <m/>
    <m/>
    <m/>
    <m/>
    <m/>
    <m/>
    <m/>
    <m/>
    <m/>
    <m/>
    <m/>
    <m/>
    <s v="Prestar el servicio de mantenimiento preventivo y correctivo que garantice el correcto funcionamiento de las UPS de propiedad de la Upme."/>
    <m/>
    <m/>
    <m/>
    <m/>
    <m/>
    <m/>
    <m/>
    <m/>
    <m/>
    <m/>
    <m/>
    <m/>
    <m/>
    <m/>
    <m/>
    <n v="5000000"/>
    <m/>
    <n v="5000000"/>
    <m/>
    <n v="5000000"/>
    <m/>
    <m/>
    <m/>
    <n v="5000000"/>
    <m/>
    <m/>
    <n v="0"/>
    <n v="20000000"/>
    <n v="19036348"/>
    <n v="-963652"/>
    <n v="20226"/>
    <d v="2026-01-11T00:00:00"/>
    <n v="20000000"/>
    <n v="-963652"/>
    <m/>
    <m/>
    <n v="0"/>
    <n v="19036348"/>
    <n v="20000000"/>
    <m/>
    <m/>
    <m/>
    <m/>
    <m/>
    <m/>
    <m/>
    <m/>
    <m/>
    <m/>
    <m/>
    <m/>
    <m/>
    <m/>
    <m/>
    <m/>
    <m/>
    <m/>
    <m/>
    <m/>
    <m/>
    <m/>
    <m/>
    <m/>
    <m/>
    <m/>
    <m/>
    <m/>
    <m/>
    <m/>
    <m/>
    <m/>
    <m/>
    <m/>
    <m/>
    <m/>
    <m/>
    <m/>
    <n v="0"/>
    <n v="0"/>
    <n v="0"/>
    <n v="0"/>
    <n v="0"/>
  </r>
  <r>
    <x v="1"/>
    <x v="4"/>
    <s v="N/A"/>
    <s v="N/A"/>
    <s v="Sí"/>
    <s v="Sí"/>
    <n v="10"/>
    <s v="111-37"/>
    <s v="N.A"/>
    <s v="N.A"/>
    <s v="N.A"/>
    <s v="41111970"/>
    <s v="A-02-02-02-008-007"/>
    <x v="12"/>
    <s v="111-37 Prestar el servicio de mantenimiento preventivo y correctivo del sistema de monitoreo ambiental instalado en el centro de cómputo de la Upme."/>
    <s v="Enero "/>
    <s v="Enero "/>
    <s v="Enero "/>
    <n v="12"/>
    <s v="Meses"/>
    <s v="Contratación directa - Contratos menor cuantía"/>
    <s v="Propios - 20 - Ingresos corrientes"/>
    <n v="3963652"/>
    <n v="3963652"/>
    <s v="No"/>
    <s v="N/A"/>
    <s v="Jenny Patricia Peña Rozo"/>
    <s v="Coordinador GIT Gestión Administrativa y Servicio al Ciudadano"/>
    <n v="6012220601"/>
    <s v="jenny.pena@upme.gov.co"/>
    <m/>
    <m/>
    <m/>
    <m/>
    <m/>
    <m/>
    <m/>
    <m/>
    <m/>
    <m/>
    <m/>
    <m/>
    <m/>
    <m/>
    <m/>
    <m/>
    <m/>
    <m/>
    <m/>
    <m/>
    <m/>
    <m/>
    <m/>
    <m/>
    <m/>
    <m/>
    <m/>
    <m/>
    <s v="Prestar el servicio de mantenimiento preventivo y correctivo del sistema de monitoreo ambiental instalado en el centro de cómputo de la Upme."/>
    <m/>
    <m/>
    <n v="0"/>
    <n v="0"/>
    <n v="0"/>
    <n v="3963652"/>
    <n v="0"/>
    <n v="0"/>
    <n v="0"/>
    <n v="0"/>
    <n v="0"/>
    <n v="0"/>
    <n v="0"/>
    <n v="0"/>
    <n v="0"/>
    <n v="0"/>
    <n v="0"/>
    <n v="0"/>
    <n v="0"/>
    <n v="0"/>
    <n v="0"/>
    <n v="0"/>
    <n v="0"/>
    <n v="0"/>
    <m/>
    <m/>
    <n v="0"/>
    <n v="3963652"/>
    <n v="3963652"/>
    <n v="0"/>
    <n v="53626"/>
    <d v="2026-01-21T00:00:00"/>
    <n v="3963652"/>
    <n v="0"/>
    <m/>
    <m/>
    <n v="0"/>
    <n v="3963652"/>
    <n v="3963652"/>
    <m/>
    <m/>
    <m/>
    <m/>
    <m/>
    <m/>
    <m/>
    <m/>
    <m/>
    <m/>
    <m/>
    <m/>
    <m/>
    <m/>
    <m/>
    <m/>
    <m/>
    <m/>
    <m/>
    <m/>
    <m/>
    <m/>
    <m/>
    <m/>
    <m/>
    <m/>
    <m/>
    <m/>
    <m/>
    <m/>
    <m/>
    <m/>
    <m/>
    <m/>
    <m/>
    <m/>
    <m/>
    <m/>
    <n v="0"/>
    <n v="0"/>
    <n v="0"/>
    <n v="0"/>
    <n v="0"/>
  </r>
  <r>
    <x v="1"/>
    <x v="4"/>
    <s v="N/A"/>
    <s v="N/A"/>
    <s v="Sí"/>
    <s v="Sí"/>
    <n v="19"/>
    <s v="111-38"/>
    <s v="N.A"/>
    <s v="N.A"/>
    <s v="N.A"/>
    <n v="81112101"/>
    <s v="A-02-02-02-008-004"/>
    <x v="11"/>
    <s v="111-38 Prestar el servicio de internet dedicado en la Upme."/>
    <s v="Abril"/>
    <s v="Mayo"/>
    <s v="Junio "/>
    <n v="6"/>
    <s v="Meses"/>
    <s v="Selección abreviada - acuerdo marco"/>
    <s v="Propios - 20 - Ingresos corrientes"/>
    <n v="78228577"/>
    <n v="78228577"/>
    <s v="No"/>
    <s v="N/A"/>
    <s v="Jenny Patricia Peña Rozo"/>
    <s v="Coordinador GIT Gestión Administrativa y Servicio al Ciudadano"/>
    <n v="6012220601"/>
    <s v="jenny.pena@upme.gov.co"/>
    <m/>
    <m/>
    <m/>
    <m/>
    <m/>
    <m/>
    <m/>
    <m/>
    <m/>
    <m/>
    <m/>
    <m/>
    <m/>
    <m/>
    <m/>
    <m/>
    <m/>
    <m/>
    <m/>
    <m/>
    <m/>
    <m/>
    <m/>
    <m/>
    <m/>
    <m/>
    <m/>
    <m/>
    <s v="Prestar el servicio de internet dedicado en la Upme."/>
    <m/>
    <m/>
    <m/>
    <m/>
    <m/>
    <m/>
    <m/>
    <m/>
    <m/>
    <m/>
    <m/>
    <m/>
    <m/>
    <n v="6000000"/>
    <m/>
    <n v="6000000"/>
    <m/>
    <n v="6000000"/>
    <m/>
    <n v="6000000"/>
    <m/>
    <n v="6000000"/>
    <m/>
    <n v="20000000"/>
    <m/>
    <m/>
    <n v="0"/>
    <n v="50000000"/>
    <n v="78228577"/>
    <n v="28228577"/>
    <n v="426"/>
    <d v="2026-01-05T00:00:00"/>
    <n v="7130509.96"/>
    <n v="71098067.040000007"/>
    <m/>
    <m/>
    <n v="0"/>
    <n v="78228577"/>
    <n v="7130509.96"/>
    <m/>
    <m/>
    <m/>
    <m/>
    <m/>
    <m/>
    <m/>
    <m/>
    <m/>
    <m/>
    <m/>
    <m/>
    <m/>
    <m/>
    <m/>
    <m/>
    <m/>
    <m/>
    <m/>
    <m/>
    <m/>
    <m/>
    <m/>
    <m/>
    <m/>
    <m/>
    <m/>
    <m/>
    <m/>
    <m/>
    <m/>
    <m/>
    <m/>
    <m/>
    <m/>
    <m/>
    <m/>
    <m/>
    <n v="0"/>
    <n v="0"/>
    <n v="0"/>
    <n v="0"/>
    <n v="0"/>
  </r>
  <r>
    <x v="1"/>
    <x v="4"/>
    <s v="N/A"/>
    <s v="N/A"/>
    <s v="Sí"/>
    <s v="Sí"/>
    <n v="19"/>
    <s v="111-39"/>
    <s v="N.A"/>
    <s v="N.A"/>
    <s v="N.A"/>
    <s v="80111620"/>
    <s v="A-02-02-02-008-003"/>
    <x v="0"/>
    <s v="111-39 Prestar servicios profesionales para brindar apoyo en la presentación de informes, seguimiento plan estratégico institucional, plan anual de adquisiciones y apoyo en documentos especialmente en la Secretaría General y en la Subdirección de Minería"/>
    <s v="Enero "/>
    <s v="Enero "/>
    <s v="Enero "/>
    <s v="11.5"/>
    <s v="Meses"/>
    <s v="Contratación directa - Prestación de servicios profesionales "/>
    <s v="Propios - 20 - Ingresos corrientes"/>
    <n v="77000000"/>
    <n v="77000000"/>
    <s v="No"/>
    <s v="N/A"/>
    <s v="German Ojeda"/>
    <s v="Subdirector de Minería"/>
    <n v="6012220601"/>
    <s v="german.ojeda@upme.gov.co"/>
    <m/>
    <m/>
    <m/>
    <m/>
    <m/>
    <m/>
    <m/>
    <m/>
    <m/>
    <m/>
    <m/>
    <m/>
    <m/>
    <m/>
    <m/>
    <m/>
    <m/>
    <m/>
    <m/>
    <m/>
    <m/>
    <m/>
    <m/>
    <m/>
    <m/>
    <m/>
    <m/>
    <m/>
    <s v="Prestar servicios profesionales para brindar apoyo en la presentación de informes, seguimiento plan estratégico institucional, plan anual de adquisiciones y apoyo en documentos especialmente en la Secretaría General y en la Subdirección de Minería"/>
    <m/>
    <m/>
    <m/>
    <n v="3500000"/>
    <m/>
    <n v="7000000"/>
    <m/>
    <n v="7000000"/>
    <m/>
    <n v="7000000"/>
    <m/>
    <n v="7000000"/>
    <m/>
    <n v="7000000"/>
    <m/>
    <n v="7000000"/>
    <m/>
    <n v="7000000"/>
    <m/>
    <n v="7000000"/>
    <m/>
    <n v="7000000"/>
    <m/>
    <n v="14000000"/>
    <m/>
    <m/>
    <n v="0"/>
    <n v="80500000"/>
    <n v="77000000"/>
    <n v="-3500000"/>
    <n v="47526"/>
    <d v="2026-01-19T00:00:00"/>
    <n v="80500000"/>
    <n v="-3500000"/>
    <m/>
    <m/>
    <n v="0"/>
    <n v="77000000"/>
    <n v="80500000"/>
    <m/>
    <m/>
    <m/>
    <m/>
    <m/>
    <m/>
    <m/>
    <m/>
    <m/>
    <m/>
    <m/>
    <m/>
    <m/>
    <m/>
    <m/>
    <m/>
    <m/>
    <m/>
    <m/>
    <m/>
    <m/>
    <m/>
    <m/>
    <m/>
    <m/>
    <m/>
    <m/>
    <m/>
    <m/>
    <m/>
    <m/>
    <m/>
    <m/>
    <m/>
    <m/>
    <m/>
    <m/>
    <m/>
    <n v="0"/>
    <n v="0"/>
    <n v="0"/>
    <n v="0"/>
    <n v="0"/>
  </r>
  <r>
    <x v="1"/>
    <x v="4"/>
    <s v="N/A"/>
    <s v="N/A"/>
    <s v="Sí"/>
    <s v="Sí"/>
    <n v="68"/>
    <s v="111-4"/>
    <s v="N.A"/>
    <s v="N.A"/>
    <s v="N.A"/>
    <s v="46191601"/>
    <s v="A-02-02-02-008-007"/>
    <x v="12"/>
    <s v="111-4 Prestar servicios de recarga y mantenimiento de extintores de la Upme."/>
    <s v="Septiembre"/>
    <s v="Octubre"/>
    <s v="Octubre"/>
    <n v="1"/>
    <s v="Meses"/>
    <s v="Contratación directa - Contratos menor cuantía"/>
    <s v="Propios - 20 - Ingresos corrientes"/>
    <n v="3700000"/>
    <n v="3700000"/>
    <s v="No"/>
    <s v="N/A"/>
    <s v="Jenny Patricia Peña Rozo"/>
    <s v="Coordinador GIT Gestión Administrativa y Servicio al Ciudadano"/>
    <n v="6012220601"/>
    <s v="jenny.pena@upme.gov.co"/>
    <m/>
    <m/>
    <m/>
    <m/>
    <m/>
    <m/>
    <m/>
    <m/>
    <m/>
    <m/>
    <m/>
    <m/>
    <m/>
    <m/>
    <m/>
    <m/>
    <m/>
    <m/>
    <m/>
    <m/>
    <m/>
    <m/>
    <m/>
    <m/>
    <m/>
    <m/>
    <m/>
    <m/>
    <s v="Prestar servicios de recarga y mantenimiento de extintores de la Upme."/>
    <m/>
    <m/>
    <m/>
    <m/>
    <m/>
    <m/>
    <m/>
    <m/>
    <m/>
    <m/>
    <m/>
    <m/>
    <m/>
    <m/>
    <m/>
    <m/>
    <m/>
    <m/>
    <m/>
    <m/>
    <m/>
    <n v="3700000"/>
    <m/>
    <m/>
    <m/>
    <m/>
    <n v="0"/>
    <n v="3700000"/>
    <n v="3700000"/>
    <n v="0"/>
    <m/>
    <m/>
    <m/>
    <n v="3700000"/>
    <m/>
    <m/>
    <n v="0"/>
    <n v="3700000"/>
    <n v="0"/>
    <m/>
    <m/>
    <m/>
    <m/>
    <m/>
    <m/>
    <m/>
    <m/>
    <m/>
    <m/>
    <m/>
    <m/>
    <m/>
    <m/>
    <m/>
    <m/>
    <m/>
    <m/>
    <m/>
    <m/>
    <m/>
    <m/>
    <m/>
    <m/>
    <m/>
    <m/>
    <m/>
    <m/>
    <m/>
    <m/>
    <m/>
    <m/>
    <m/>
    <m/>
    <m/>
    <m/>
    <m/>
    <m/>
    <n v="0"/>
    <n v="0"/>
    <n v="0"/>
    <n v="0"/>
    <n v="0"/>
  </r>
  <r>
    <x v="1"/>
    <x v="4"/>
    <s v="N/A"/>
    <s v="N/A"/>
    <s v="Sí"/>
    <s v="Sí"/>
    <n v="68"/>
    <s v="111-40"/>
    <s v="N.A"/>
    <s v="N.A"/>
    <s v="N.A"/>
    <s v="80111620"/>
    <s v="A-02-02-02-008-003"/>
    <x v="0"/>
    <s v="111-40 Prestar servicios profesionales de asesoría estratégica a la Secretaría General de la Unidad de Planeación Minero Energética UPME, orientados al fortalecimiento de la gestión pública y la gestión del talento humano, mediante la formulación de linea"/>
    <s v="Enero "/>
    <s v="Enero "/>
    <s v="Enero "/>
    <s v="11.5"/>
    <s v="Meses"/>
    <s v="Contratación directa - Prestación de servicios profesionales "/>
    <s v="Propios - 20 - Ingresos corrientes"/>
    <n v="156400000"/>
    <n v="156400000"/>
    <s v="No"/>
    <s v="N/A"/>
    <s v="Katherin Pérez"/>
    <s v="Coordinador GIT Talento Humano"/>
    <n v="6012220601"/>
    <s v="katherin.perez@upme.gov.co"/>
    <m/>
    <m/>
    <m/>
    <m/>
    <m/>
    <m/>
    <m/>
    <m/>
    <m/>
    <m/>
    <m/>
    <m/>
    <m/>
    <m/>
    <m/>
    <m/>
    <m/>
    <m/>
    <m/>
    <m/>
    <m/>
    <m/>
    <m/>
    <m/>
    <m/>
    <m/>
    <m/>
    <m/>
    <s v="Prestar servicios profesionales de asesoría estratégica a la Secretaría General de la Unidad de Planeación Minero Energética UPME, orientados al fortalecimiento de la gestión pública y la gestión del talento humano, mediante la formulación de lineamientos"/>
    <m/>
    <m/>
    <m/>
    <n v="6800000"/>
    <m/>
    <n v="13600000"/>
    <m/>
    <n v="13600000"/>
    <m/>
    <n v="13600000"/>
    <m/>
    <n v="13600000"/>
    <m/>
    <n v="13600000"/>
    <m/>
    <n v="13600000"/>
    <m/>
    <n v="13600000"/>
    <m/>
    <n v="13600000"/>
    <m/>
    <n v="13600000"/>
    <m/>
    <n v="27200000"/>
    <m/>
    <m/>
    <n v="0"/>
    <n v="156400000"/>
    <n v="156400000"/>
    <n v="0"/>
    <n v="17226"/>
    <d v="2026-01-09T00:00:00"/>
    <n v="156400000"/>
    <n v="0"/>
    <m/>
    <m/>
    <n v="0"/>
    <n v="156400000"/>
    <n v="156400000"/>
    <m/>
    <m/>
    <m/>
    <m/>
    <m/>
    <m/>
    <m/>
    <m/>
    <m/>
    <m/>
    <m/>
    <m/>
    <m/>
    <m/>
    <m/>
    <m/>
    <m/>
    <m/>
    <m/>
    <m/>
    <m/>
    <m/>
    <m/>
    <m/>
    <m/>
    <m/>
    <m/>
    <m/>
    <m/>
    <m/>
    <m/>
    <m/>
    <m/>
    <m/>
    <m/>
    <m/>
    <m/>
    <m/>
    <n v="0"/>
    <n v="0"/>
    <n v="0"/>
    <n v="0"/>
    <n v="0"/>
  </r>
  <r>
    <x v="1"/>
    <x v="4"/>
    <s v="N/A"/>
    <s v="N/A"/>
    <s v="Sí"/>
    <s v="Sí"/>
    <n v="19"/>
    <s v="111-41"/>
    <s v="N.A"/>
    <s v="N.A"/>
    <s v="N.A"/>
    <s v="80111620"/>
    <s v="A-02-02-02-008-003"/>
    <x v="0"/>
    <s v="111-41 Brindar el servicio de apoyo en todo lo relacionado con la gestión administrativa, la gestión documental, el manejo de la correspondencia y requeridos por la Unidad de Planeación Minero-Energética - UPME"/>
    <s v="Enero "/>
    <s v="Enero "/>
    <s v="Enero "/>
    <s v="11.5"/>
    <s v="Meses"/>
    <s v="Contratación directa - Contratos menor cuantía"/>
    <s v="Propios - 20 - Ingresos corrientes"/>
    <n v="21016800"/>
    <n v="21016800"/>
    <s v="No"/>
    <s v="N/A"/>
    <s v="Jenny Patricia Peña Rozo"/>
    <s v="Coordinador GIT Gestión Administrativa y Servicio al Ciudadano"/>
    <n v="6012220601"/>
    <s v="jenny.pena@upme.gov.co"/>
    <m/>
    <m/>
    <m/>
    <m/>
    <m/>
    <m/>
    <m/>
    <m/>
    <m/>
    <m/>
    <m/>
    <m/>
    <m/>
    <m/>
    <m/>
    <m/>
    <m/>
    <m/>
    <m/>
    <m/>
    <m/>
    <m/>
    <m/>
    <m/>
    <m/>
    <m/>
    <m/>
    <m/>
    <s v="Brindar el servicio de apoyo en todo lo relacionado con la gestión administrativa, la gestión documental, el manejo de la correspondencia y requeridos por la Unidad de Planeación Minero-Energética - UPME"/>
    <m/>
    <m/>
    <m/>
    <n v="950000"/>
    <m/>
    <n v="1900000"/>
    <m/>
    <n v="1900000"/>
    <m/>
    <n v="1900000"/>
    <m/>
    <n v="1900000"/>
    <m/>
    <n v="1900000"/>
    <m/>
    <n v="1900000"/>
    <m/>
    <n v="1900000"/>
    <m/>
    <n v="1900000"/>
    <m/>
    <n v="1900000"/>
    <m/>
    <n v="3800000"/>
    <m/>
    <m/>
    <n v="0"/>
    <n v="21850000"/>
    <n v="21016800"/>
    <n v="-833200"/>
    <n v="42826"/>
    <d v="2026-01-16T00:00:00"/>
    <n v="21850000"/>
    <n v="-833200"/>
    <m/>
    <m/>
    <n v="0"/>
    <n v="21016800"/>
    <n v="21850000"/>
    <m/>
    <m/>
    <m/>
    <m/>
    <m/>
    <m/>
    <m/>
    <m/>
    <m/>
    <m/>
    <m/>
    <m/>
    <m/>
    <m/>
    <m/>
    <m/>
    <m/>
    <m/>
    <m/>
    <m/>
    <m/>
    <m/>
    <m/>
    <m/>
    <m/>
    <m/>
    <m/>
    <m/>
    <m/>
    <m/>
    <m/>
    <m/>
    <m/>
    <m/>
    <m/>
    <m/>
    <m/>
    <m/>
    <n v="0"/>
    <n v="0"/>
    <n v="0"/>
    <n v="0"/>
    <n v="0"/>
  </r>
  <r>
    <x v="1"/>
    <x v="4"/>
    <s v="N/A"/>
    <s v="N/A"/>
    <s v="Sí"/>
    <s v="Sí"/>
    <n v="6"/>
    <s v="111-42"/>
    <s v="N.A"/>
    <s v="N.A"/>
    <s v="N.A"/>
    <s v="78102203;78102206"/>
    <s v="A-02-02-02-006-008"/>
    <x v="0"/>
    <s v="111-42 Prestar los servicios de correo certificado electrónico, mensajería motorizada y especializada a nivel urbano, nacional e internacional, incluyendo la actividad de notificaciones judiciales de los actos administrativos de la UPME, garantizando el c"/>
    <s v="Enero "/>
    <s v="Enero "/>
    <s v="Enero "/>
    <n v="12"/>
    <s v="Meses"/>
    <s v="Contratación directa - Contratos menor cuantía"/>
    <s v="Propios - 20 - Ingresos corrientes"/>
    <n v="82300000"/>
    <n v="82300000"/>
    <s v="No"/>
    <s v="N/A"/>
    <s v="Jenny Patricia Peña Rozo"/>
    <s v="Coordinador GIT Gestión Administrativa y Servicio al Ciudadano"/>
    <n v="6012220601"/>
    <s v="jenny.pena@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6858333"/>
    <n v="0"/>
    <n v="6858333"/>
    <n v="0"/>
    <n v="6858333"/>
    <n v="0"/>
    <n v="6858333"/>
    <n v="0"/>
    <n v="6858333"/>
    <n v="0"/>
    <n v="6858333"/>
    <n v="0"/>
    <n v="6858333"/>
    <n v="0"/>
    <n v="6858333"/>
    <n v="0"/>
    <n v="6858333"/>
    <n v="0"/>
    <n v="6858333"/>
    <n v="0"/>
    <n v="13716670"/>
    <m/>
    <m/>
    <n v="0"/>
    <n v="82300000"/>
    <n v="82300000"/>
    <n v="0"/>
    <n v="54126"/>
    <d v="2026-01-21T00:00:00"/>
    <n v="82300000"/>
    <n v="0"/>
    <m/>
    <m/>
    <n v="0"/>
    <n v="82300000"/>
    <n v="82300000"/>
    <m/>
    <m/>
    <m/>
    <m/>
    <m/>
    <m/>
    <m/>
    <m/>
    <m/>
    <m/>
    <m/>
    <m/>
    <m/>
    <m/>
    <m/>
    <m/>
    <m/>
    <m/>
    <m/>
    <m/>
    <m/>
    <m/>
    <m/>
    <m/>
    <m/>
    <m/>
    <m/>
    <m/>
    <m/>
    <m/>
    <m/>
    <m/>
    <m/>
    <m/>
    <m/>
    <m/>
    <m/>
    <m/>
    <n v="0"/>
    <n v="0"/>
    <n v="0"/>
    <n v="0"/>
    <n v="0"/>
  </r>
  <r>
    <x v="1"/>
    <x v="4"/>
    <s v="N/A"/>
    <s v="N/A"/>
    <s v="Sí"/>
    <s v="Sí"/>
    <n v="12"/>
    <s v="111-43"/>
    <s v="N.A"/>
    <s v="N.A"/>
    <s v="N.A"/>
    <n v="80131500"/>
    <s v="A-02-02-02-009-007"/>
    <x v="13"/>
    <s v="111-43 Prestar el servicio de arrendamiento para bodegaje y administración integral del archivo central de la UPME"/>
    <s v="Enero "/>
    <s v="Enero "/>
    <s v="Enero "/>
    <n v="7"/>
    <s v="Meses"/>
    <s v="Contratación directa "/>
    <s v="Propios - 20 - Ingresos corrientes"/>
    <n v="90801410"/>
    <n v="90801410"/>
    <s v="No"/>
    <s v="N/A"/>
    <s v="Jenny Patricia Peña Rozo"/>
    <s v="Coordinador GIT Gestión Administrativa y Servicio al Ciudadano"/>
    <n v="6012220601"/>
    <s v="jenny.pena@upme.gov.co"/>
    <m/>
    <m/>
    <m/>
    <m/>
    <m/>
    <m/>
    <m/>
    <m/>
    <m/>
    <m/>
    <m/>
    <m/>
    <m/>
    <m/>
    <m/>
    <m/>
    <m/>
    <m/>
    <m/>
    <m/>
    <m/>
    <m/>
    <m/>
    <m/>
    <m/>
    <m/>
    <m/>
    <m/>
    <s v="Prestar el servicio de arrendamiento para bodegaje y administración integral del archivo central de la UPME"/>
    <m/>
    <m/>
    <m/>
    <m/>
    <m/>
    <m/>
    <m/>
    <m/>
    <m/>
    <m/>
    <m/>
    <m/>
    <m/>
    <m/>
    <m/>
    <m/>
    <m/>
    <m/>
    <m/>
    <m/>
    <m/>
    <m/>
    <m/>
    <m/>
    <m/>
    <m/>
    <n v="0"/>
    <n v="0"/>
    <n v="90801410"/>
    <n v="90801410"/>
    <n v="2026"/>
    <d v="2026-01-05T00:00:00"/>
    <n v="90801410"/>
    <n v="0"/>
    <m/>
    <m/>
    <n v="0"/>
    <n v="90801410"/>
    <n v="90801410"/>
    <m/>
    <m/>
    <m/>
    <m/>
    <m/>
    <m/>
    <m/>
    <m/>
    <m/>
    <m/>
    <m/>
    <m/>
    <m/>
    <m/>
    <m/>
    <m/>
    <m/>
    <m/>
    <m/>
    <m/>
    <m/>
    <m/>
    <m/>
    <m/>
    <m/>
    <m/>
    <m/>
    <m/>
    <m/>
    <m/>
    <m/>
    <m/>
    <m/>
    <m/>
    <m/>
    <m/>
    <m/>
    <m/>
    <n v="0"/>
    <n v="0"/>
    <n v="0"/>
    <n v="0"/>
    <n v="0"/>
  </r>
  <r>
    <x v="1"/>
    <x v="4"/>
    <s v="N/A"/>
    <s v="N/A"/>
    <s v="Sí"/>
    <s v="Sí"/>
    <n v="19"/>
    <s v="111-44"/>
    <s v="N.A"/>
    <s v="N.A"/>
    <s v="N.A"/>
    <s v="N/A"/>
    <s v="A-02-02-02-008-005"/>
    <x v="11"/>
    <s v="111-44 Prestar el servicio de vigilancia, seguridad privada y recepción para la sede administrativa de la Unidad de Planeación Minero Energética. UPME._x0009__x0009__x0009__x0009__x0009_"/>
    <s v="Enero "/>
    <s v="Enero "/>
    <s v="Enero "/>
    <n v="7"/>
    <s v="Meses"/>
    <s v="Contratación directa "/>
    <s v="Propios - 20 - Ingresos corrientes"/>
    <n v="41173443"/>
    <n v="41173443"/>
    <s v="No"/>
    <s v="N/A"/>
    <s v="Jenny Patricia Peña Rozo"/>
    <s v="Coordinador GIT Gestión Administrativa y Servicio al Ciudadano"/>
    <n v="6012220601"/>
    <s v="jenny.pena@upme.gov.co"/>
    <m/>
    <m/>
    <m/>
    <m/>
    <m/>
    <m/>
    <m/>
    <m/>
    <m/>
    <m/>
    <m/>
    <m/>
    <m/>
    <m/>
    <m/>
    <m/>
    <m/>
    <m/>
    <m/>
    <m/>
    <m/>
    <m/>
    <m/>
    <m/>
    <m/>
    <m/>
    <m/>
    <m/>
    <m/>
    <m/>
    <m/>
    <m/>
    <m/>
    <m/>
    <m/>
    <m/>
    <m/>
    <m/>
    <m/>
    <m/>
    <m/>
    <m/>
    <m/>
    <m/>
    <m/>
    <m/>
    <m/>
    <m/>
    <m/>
    <m/>
    <m/>
    <m/>
    <m/>
    <m/>
    <m/>
    <m/>
    <m/>
    <m/>
    <m/>
    <m/>
    <m/>
    <m/>
    <n v="41173443"/>
    <m/>
    <m/>
    <n v="0"/>
    <n v="41173443"/>
    <n v="0"/>
    <m/>
    <m/>
    <m/>
    <m/>
    <m/>
    <m/>
    <m/>
    <m/>
    <m/>
    <m/>
    <m/>
    <m/>
    <m/>
    <m/>
    <m/>
    <m/>
    <m/>
    <m/>
    <m/>
    <m/>
    <m/>
    <m/>
    <m/>
    <m/>
    <m/>
    <m/>
    <m/>
    <m/>
    <m/>
    <m/>
    <m/>
    <m/>
    <m/>
    <m/>
    <m/>
    <m/>
    <m/>
    <m/>
    <n v="0"/>
    <n v="0"/>
    <n v="0"/>
    <n v="0"/>
    <n v="0"/>
  </r>
  <r>
    <x v="1"/>
    <x v="4"/>
    <s v="N/A"/>
    <s v="N/A"/>
    <s v="Sí"/>
    <s v="Sí"/>
    <n v="19"/>
    <s v="111-45"/>
    <s v="N.A"/>
    <s v="N.A"/>
    <s v="N.A"/>
    <s v="N/A"/>
    <s v="A-02-02-02-008-005"/>
    <x v="11"/>
    <s v="111-45 Contratar la prestación del servicio integral de Aseo y Cafetería incluídos los insumos básicos de Aseo y Cafetería para la sede de la Unidad de Planeación Minero Energética-UPME._x0009__x0009__x0009__x0009__x0009_"/>
    <s v="Enero "/>
    <s v="Enero "/>
    <s v="Enero "/>
    <n v="7"/>
    <s v="Meses"/>
    <s v="Selección abreviada - acuerdo marco"/>
    <s v="Propios - 20 - Ingresos corrientes"/>
    <n v="133821897"/>
    <n v="133821897"/>
    <s v="No"/>
    <s v="N/A"/>
    <s v="Jenny Patricia Peña Rozo"/>
    <s v="Coordinador GIT Gestión Administrativa y Servicio al Ciudadano"/>
    <n v="6012220601"/>
    <s v="jenny.pena@upme.gov.co"/>
    <m/>
    <m/>
    <m/>
    <m/>
    <m/>
    <m/>
    <m/>
    <m/>
    <m/>
    <m/>
    <m/>
    <m/>
    <m/>
    <m/>
    <m/>
    <m/>
    <m/>
    <m/>
    <m/>
    <m/>
    <m/>
    <m/>
    <m/>
    <m/>
    <m/>
    <m/>
    <m/>
    <m/>
    <m/>
    <m/>
    <m/>
    <m/>
    <m/>
    <m/>
    <m/>
    <m/>
    <m/>
    <m/>
    <m/>
    <m/>
    <m/>
    <m/>
    <m/>
    <m/>
    <m/>
    <m/>
    <m/>
    <m/>
    <m/>
    <m/>
    <m/>
    <m/>
    <m/>
    <m/>
    <m/>
    <m/>
    <m/>
    <m/>
    <m/>
    <m/>
    <m/>
    <m/>
    <n v="133821897"/>
    <m/>
    <m/>
    <n v="0"/>
    <n v="133821897"/>
    <n v="0"/>
    <m/>
    <m/>
    <m/>
    <m/>
    <m/>
    <m/>
    <m/>
    <m/>
    <m/>
    <m/>
    <m/>
    <m/>
    <m/>
    <m/>
    <m/>
    <m/>
    <m/>
    <m/>
    <m/>
    <m/>
    <m/>
    <m/>
    <m/>
    <m/>
    <m/>
    <m/>
    <m/>
    <m/>
    <m/>
    <m/>
    <m/>
    <m/>
    <m/>
    <m/>
    <m/>
    <m/>
    <m/>
    <m/>
    <n v="0"/>
    <n v="0"/>
    <n v="0"/>
    <n v="0"/>
    <n v="0"/>
  </r>
  <r>
    <x v="1"/>
    <x v="4"/>
    <s v="N/A"/>
    <s v="N/A"/>
    <s v="Sí"/>
    <s v="Sí"/>
    <n v="68"/>
    <s v="111-5"/>
    <s v="N.A"/>
    <s v="N.A"/>
    <s v="N.A"/>
    <s v="44103125;81101707"/>
    <s v="A-02-02-02-008-007"/>
    <x v="12"/>
    <s v="111-5 Prestar servicios de mantenimiento preventivo y correctivo incluidos los repuestos requeridos para las impresoras, escáneres y fotocopiadoras de propiedad de la Upme."/>
    <s v="Enero "/>
    <s v="Enero "/>
    <s v="Enero "/>
    <n v="12"/>
    <s v="Meses"/>
    <s v="Contratación directa - Contratos menor cuantía"/>
    <s v="Propios - 20 - Ingresos corrientes"/>
    <n v="5000000"/>
    <n v="5000000"/>
    <s v="No"/>
    <s v="N/A"/>
    <s v="Jenny Patricia Peña Rozo"/>
    <s v="Coordinador GIT Gestión Administrativa y Servicio al Ciudadano"/>
    <n v="6012220601"/>
    <s v="jenny.pena@upme.gov.co"/>
    <m/>
    <m/>
    <m/>
    <m/>
    <m/>
    <m/>
    <m/>
    <m/>
    <m/>
    <m/>
    <m/>
    <m/>
    <m/>
    <m/>
    <m/>
    <m/>
    <m/>
    <m/>
    <m/>
    <m/>
    <m/>
    <m/>
    <m/>
    <m/>
    <m/>
    <m/>
    <m/>
    <m/>
    <s v="Prestar servicios de mantenimiento preventivo y correctivo incluidos los repuestos requeridos para las impresoras, escáneres y fotocopiadoras de propiedad de la Upme."/>
    <m/>
    <m/>
    <m/>
    <m/>
    <m/>
    <m/>
    <m/>
    <m/>
    <m/>
    <n v="5000000"/>
    <m/>
    <m/>
    <m/>
    <m/>
    <m/>
    <m/>
    <m/>
    <m/>
    <m/>
    <m/>
    <m/>
    <m/>
    <m/>
    <m/>
    <m/>
    <m/>
    <n v="0"/>
    <n v="5000000"/>
    <n v="5000000"/>
    <n v="0"/>
    <n v="57726"/>
    <d v="2026-01-23T00:00:00"/>
    <n v="5000000"/>
    <n v="0"/>
    <m/>
    <m/>
    <n v="0"/>
    <n v="5000000"/>
    <n v="5000000"/>
    <m/>
    <m/>
    <m/>
    <m/>
    <m/>
    <m/>
    <m/>
    <m/>
    <m/>
    <m/>
    <m/>
    <m/>
    <m/>
    <m/>
    <m/>
    <m/>
    <m/>
    <m/>
    <m/>
    <m/>
    <m/>
    <m/>
    <m/>
    <m/>
    <m/>
    <m/>
    <m/>
    <m/>
    <m/>
    <m/>
    <m/>
    <m/>
    <m/>
    <m/>
    <m/>
    <m/>
    <m/>
    <m/>
    <n v="0"/>
    <n v="0"/>
    <n v="0"/>
    <n v="0"/>
    <n v="0"/>
  </r>
  <r>
    <x v="1"/>
    <x v="4"/>
    <s v="N/A"/>
    <s v="N/A"/>
    <s v="Sí"/>
    <s v="Sí"/>
    <n v="68"/>
    <s v="111-6"/>
    <s v="N.A"/>
    <s v="N.A"/>
    <s v="N.A"/>
    <s v="72151704"/>
    <s v="A-02-02-02-008-007"/>
    <x v="12"/>
    <s v="111-6 Prestar servicios de mantenimiento preventivo y correctivo del sistema de cámaras de video -CCTV instalados en la Sede de la Upme."/>
    <s v="Enero "/>
    <s v="Enero "/>
    <s v="Enero "/>
    <n v="12"/>
    <s v="Meses"/>
    <s v="Contratación directa - Contratos menor cuantía"/>
    <s v="Propios - 20 - Ingresos corrientes"/>
    <n v="4000000"/>
    <n v="4000000"/>
    <s v="No"/>
    <s v="N/A"/>
    <s v="Jenny Patricia Peña Rozo"/>
    <s v="Coordinador GIT Gestión Administrativa y Servicio al Ciudadano"/>
    <n v="6012220601"/>
    <s v="jenny.pena@upme.gov.co"/>
    <m/>
    <m/>
    <m/>
    <m/>
    <m/>
    <m/>
    <m/>
    <m/>
    <m/>
    <m/>
    <m/>
    <m/>
    <m/>
    <m/>
    <m/>
    <m/>
    <m/>
    <m/>
    <m/>
    <m/>
    <m/>
    <m/>
    <m/>
    <m/>
    <m/>
    <m/>
    <m/>
    <m/>
    <s v="Prestar servicios de mantenimiento preventivo y correctivo del sistema de cámaras de video -CCTV instalados en la Sede de la Upme."/>
    <m/>
    <m/>
    <m/>
    <m/>
    <m/>
    <m/>
    <m/>
    <n v="2000000"/>
    <m/>
    <m/>
    <m/>
    <m/>
    <m/>
    <m/>
    <m/>
    <n v="2000000"/>
    <m/>
    <m/>
    <m/>
    <m/>
    <m/>
    <m/>
    <m/>
    <m/>
    <m/>
    <m/>
    <n v="0"/>
    <n v="4000000"/>
    <n v="4000000"/>
    <n v="0"/>
    <n v="51826"/>
    <d v="2026-01-20T00:00:00"/>
    <n v="4000000"/>
    <n v="0"/>
    <m/>
    <m/>
    <n v="0"/>
    <n v="4000000"/>
    <n v="4000000"/>
    <m/>
    <m/>
    <m/>
    <m/>
    <m/>
    <m/>
    <m/>
    <m/>
    <m/>
    <m/>
    <m/>
    <m/>
    <m/>
    <m/>
    <m/>
    <m/>
    <m/>
    <m/>
    <m/>
    <m/>
    <m/>
    <m/>
    <m/>
    <m/>
    <m/>
    <m/>
    <m/>
    <m/>
    <m/>
    <m/>
    <m/>
    <m/>
    <m/>
    <m/>
    <m/>
    <m/>
    <m/>
    <m/>
    <n v="0"/>
    <n v="0"/>
    <n v="0"/>
    <n v="0"/>
    <n v="0"/>
  </r>
  <r>
    <x v="1"/>
    <x v="4"/>
    <s v="N/A"/>
    <s v="N/A"/>
    <s v="Sí"/>
    <s v="Sí"/>
    <n v="19"/>
    <s v="111-7"/>
    <s v="N.A"/>
    <s v="N.A"/>
    <s v="N.A"/>
    <s v="72102900"/>
    <s v="A-02-02-02-008-007"/>
    <x v="12"/>
    <s v="111-7 Prestar servicios de arreglos locativos requeridos en la Sede de la Upme."/>
    <s v="Enero "/>
    <s v="Enero "/>
    <s v="Enero "/>
    <n v="12"/>
    <s v="Meses"/>
    <s v="Contratación directa - Contratos menor cuantía"/>
    <s v="Propios - 20 - Ingresos corrientes"/>
    <n v="29811401"/>
    <n v="29811401"/>
    <s v="No"/>
    <s v="N/A"/>
    <s v="Jenny Patricia Peña Rozo"/>
    <s v="Coordinador GIT Gestión Administrativa y Servicio al Ciudadano"/>
    <n v="6012220601"/>
    <s v="jenny.pena@upme.gov.co"/>
    <m/>
    <m/>
    <m/>
    <m/>
    <m/>
    <m/>
    <m/>
    <m/>
    <m/>
    <m/>
    <m/>
    <m/>
    <m/>
    <m/>
    <m/>
    <m/>
    <m/>
    <m/>
    <m/>
    <m/>
    <m/>
    <m/>
    <m/>
    <m/>
    <m/>
    <m/>
    <m/>
    <m/>
    <s v="Prestar servicios de arreglos locativos requeridos en la Sede de la Upme."/>
    <m/>
    <m/>
    <m/>
    <m/>
    <m/>
    <m/>
    <m/>
    <m/>
    <m/>
    <n v="10875000"/>
    <m/>
    <m/>
    <m/>
    <n v="10875000"/>
    <m/>
    <m/>
    <m/>
    <n v="10875000"/>
    <m/>
    <m/>
    <m/>
    <n v="10875000"/>
    <m/>
    <m/>
    <m/>
    <m/>
    <n v="0"/>
    <n v="43500000"/>
    <n v="29811401"/>
    <n v="-13688599"/>
    <n v="45026"/>
    <d v="2026-01-17T00:00:00"/>
    <n v="43500000"/>
    <n v="-13688599"/>
    <m/>
    <m/>
    <n v="0"/>
    <n v="29811401"/>
    <n v="43500000"/>
    <m/>
    <m/>
    <m/>
    <m/>
    <m/>
    <m/>
    <m/>
    <m/>
    <m/>
    <m/>
    <m/>
    <m/>
    <m/>
    <m/>
    <m/>
    <m/>
    <m/>
    <m/>
    <m/>
    <m/>
    <m/>
    <m/>
    <m/>
    <m/>
    <m/>
    <m/>
    <m/>
    <m/>
    <m/>
    <m/>
    <m/>
    <m/>
    <m/>
    <m/>
    <m/>
    <m/>
    <m/>
    <m/>
    <n v="0"/>
    <n v="0"/>
    <n v="0"/>
    <n v="0"/>
    <n v="0"/>
  </r>
  <r>
    <x v="1"/>
    <x v="4"/>
    <s v="N/A"/>
    <s v="N/A"/>
    <s v="Sí"/>
    <s v="Sí"/>
    <n v="68"/>
    <s v="111-8"/>
    <s v="N.A"/>
    <s v="N.A"/>
    <s v="N.A"/>
    <s v="44103100"/>
    <s v="A-02-02-01-003-002 "/>
    <x v="11"/>
    <s v="111-8 Adquirir elementos requeridos para impresoras y/o fotocopiadoras (Toners) de la Upme."/>
    <s v="Julio"/>
    <s v="Junio"/>
    <s v="Agosto"/>
    <n v="1"/>
    <s v="Meses"/>
    <s v="Contratación directa - Contratos menor cuantía"/>
    <s v="Propios - 20 - Ingresos corrientes"/>
    <n v="7000000"/>
    <n v="7000000"/>
    <s v="No"/>
    <s v="N/A"/>
    <s v="Jenny Patricia Peña Rozo"/>
    <s v="Coordinador GIT Gestión Administrativa y Servicio al Ciudadano"/>
    <n v="6012220601"/>
    <s v="jenny.pena@upme.gov.co"/>
    <m/>
    <m/>
    <m/>
    <m/>
    <m/>
    <m/>
    <m/>
    <m/>
    <m/>
    <m/>
    <m/>
    <m/>
    <m/>
    <m/>
    <m/>
    <m/>
    <m/>
    <m/>
    <m/>
    <m/>
    <m/>
    <m/>
    <m/>
    <m/>
    <m/>
    <m/>
    <m/>
    <m/>
    <s v="Adquirir elementos requeridos para impresoras y/o fotocopiadoras (Toners) de la Upme."/>
    <m/>
    <m/>
    <m/>
    <m/>
    <m/>
    <m/>
    <m/>
    <m/>
    <m/>
    <m/>
    <m/>
    <m/>
    <m/>
    <m/>
    <m/>
    <m/>
    <m/>
    <n v="7000000"/>
    <m/>
    <m/>
    <m/>
    <m/>
    <m/>
    <m/>
    <m/>
    <m/>
    <n v="0"/>
    <n v="7000000"/>
    <n v="7000000"/>
    <n v="0"/>
    <m/>
    <m/>
    <m/>
    <n v="7000000"/>
    <m/>
    <m/>
    <n v="0"/>
    <n v="7000000"/>
    <n v="0"/>
    <m/>
    <m/>
    <m/>
    <m/>
    <m/>
    <m/>
    <m/>
    <m/>
    <m/>
    <m/>
    <m/>
    <m/>
    <m/>
    <m/>
    <m/>
    <m/>
    <m/>
    <m/>
    <m/>
    <m/>
    <m/>
    <m/>
    <m/>
    <m/>
    <m/>
    <m/>
    <m/>
    <m/>
    <m/>
    <m/>
    <m/>
    <m/>
    <m/>
    <m/>
    <m/>
    <m/>
    <m/>
    <m/>
    <n v="0"/>
    <n v="0"/>
    <n v="0"/>
    <n v="0"/>
    <n v="0"/>
  </r>
  <r>
    <x v="1"/>
    <x v="4"/>
    <s v="N/A"/>
    <s v="N/A"/>
    <s v="Sí"/>
    <s v="Sí"/>
    <n v="68"/>
    <s v="111-9"/>
    <s v="N.A"/>
    <s v="N.A"/>
    <s v="N.A"/>
    <s v="90101604"/>
    <s v="A-02-02-02-006-003"/>
    <x v="11"/>
    <s v="111-9 Prestar apoyo logístico para atender las reuniones del Consejo Directivo de la Upme o las que determine la Dirección general para apoyar actividades del sector en la vigencia 2026."/>
    <s v="Enero "/>
    <s v="Enero "/>
    <s v="Enero "/>
    <n v="12"/>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Prestar apoyo logístico para atender las reuniones del Consejo Directivo de la Upme o las que determine la Dirección general para apoyar actividades del sector en la vigencia 2026."/>
    <m/>
    <m/>
    <m/>
    <m/>
    <m/>
    <n v="1000000"/>
    <m/>
    <n v="1000000"/>
    <m/>
    <n v="1000000"/>
    <m/>
    <n v="1000000"/>
    <m/>
    <n v="1000000"/>
    <m/>
    <n v="1000000"/>
    <m/>
    <n v="1000000"/>
    <m/>
    <n v="1000000"/>
    <m/>
    <n v="1000000"/>
    <m/>
    <n v="1000000"/>
    <m/>
    <m/>
    <n v="0"/>
    <n v="10000000"/>
    <n v="10000000"/>
    <n v="0"/>
    <n v="62126"/>
    <d v="2026-01-23T00:00:00"/>
    <n v="10000000"/>
    <n v="0"/>
    <m/>
    <m/>
    <n v="0"/>
    <n v="10000000"/>
    <n v="10000000"/>
    <m/>
    <m/>
    <m/>
    <m/>
    <m/>
    <m/>
    <m/>
    <m/>
    <m/>
    <m/>
    <m/>
    <m/>
    <m/>
    <m/>
    <m/>
    <m/>
    <m/>
    <m/>
    <m/>
    <m/>
    <m/>
    <m/>
    <m/>
    <m/>
    <m/>
    <m/>
    <m/>
    <m/>
    <m/>
    <m/>
    <m/>
    <m/>
    <m/>
    <m/>
    <m/>
    <m/>
    <m/>
    <m/>
    <n v="0"/>
    <n v="0"/>
    <n v="0"/>
    <n v="0"/>
    <n v="0"/>
  </r>
  <r>
    <x v="1"/>
    <x v="5"/>
    <s v="N/A"/>
    <s v="N/A"/>
    <s v="Sí"/>
    <s v="Sí"/>
    <n v="68"/>
    <s v="161-1"/>
    <s v="N.A"/>
    <s v="N.A"/>
    <s v="N.A"/>
    <n v="80111620"/>
    <s v="A-05-01-02-008-002"/>
    <x v="0"/>
    <s v="161-1 Prestar servicios profesionales para la gestión de requerimientos contractuales y demás actividades administrativas requeridas por la Subdirección de Demanda."/>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de requerimientos contractuales y demás actividades administrativas requeridas por la Subdirección de Demanda."/>
    <m/>
    <m/>
    <m/>
    <n v="3000000"/>
    <m/>
    <n v="6000000"/>
    <m/>
    <n v="6000000"/>
    <m/>
    <n v="6000000"/>
    <m/>
    <n v="6000000"/>
    <m/>
    <n v="6000000"/>
    <m/>
    <n v="6000000"/>
    <m/>
    <n v="6000000"/>
    <m/>
    <n v="6000000"/>
    <m/>
    <n v="6000000"/>
    <m/>
    <n v="12000000"/>
    <m/>
    <m/>
    <n v="0"/>
    <n v="69000000"/>
    <n v="69000000"/>
    <n v="0"/>
    <n v="10026"/>
    <d v="2026-01-06T00:00:00"/>
    <n v="69000000"/>
    <n v="0"/>
    <m/>
    <m/>
    <n v="0"/>
    <n v="69000000"/>
    <n v="69000000"/>
    <m/>
    <m/>
    <m/>
    <m/>
    <m/>
    <m/>
    <m/>
    <m/>
    <m/>
    <m/>
    <m/>
    <m/>
    <m/>
    <m/>
    <m/>
    <m/>
    <m/>
    <m/>
    <m/>
    <m/>
    <m/>
    <m/>
    <m/>
    <m/>
    <m/>
    <m/>
    <m/>
    <m/>
    <m/>
    <m/>
    <m/>
    <m/>
    <m/>
    <m/>
    <m/>
    <m/>
    <m/>
    <m/>
    <n v="0"/>
    <n v="0"/>
    <n v="0"/>
    <n v="0"/>
    <n v="0"/>
  </r>
  <r>
    <x v="1"/>
    <x v="5"/>
    <s v="N/A"/>
    <s v="N/A"/>
    <s v="Sí"/>
    <s v="Sí"/>
    <n v="9"/>
    <s v="161-10"/>
    <s v="N.A"/>
    <s v="N.A"/>
    <s v="N.A"/>
    <n v="80111620"/>
    <s v="A-05-01-02-008-003"/>
    <x v="0"/>
    <s v="161-10 Prestar servicios profesionales para la evaluación y análisis de la información de los proyectos de Gestión Eficiente de la Energía, así como para la elaboración,  consolidación y análisis de reportes de implementación de las medidas de eficiencia "/>
    <s v="Enero "/>
    <s v="Enero "/>
    <s v="Enero "/>
    <n v="5"/>
    <s v="Meses"/>
    <s v="Contratación directa - Prestación de servicios profesionales "/>
    <s v="Propios - 20 - Ingresos corrientes"/>
    <n v="43500000"/>
    <n v="43500000"/>
    <s v="No"/>
    <s v="N/A"/>
    <s v="Johanna Castellanos"/>
    <s v="Subdirectora de Demanda"/>
    <n v="6012220601"/>
    <s v="johanna.castellanos@upme.gov.co"/>
    <m/>
    <m/>
    <m/>
    <m/>
    <m/>
    <m/>
    <m/>
    <m/>
    <m/>
    <m/>
    <m/>
    <m/>
    <m/>
    <m/>
    <m/>
    <m/>
    <m/>
    <m/>
    <m/>
    <m/>
    <m/>
    <m/>
    <m/>
    <m/>
    <m/>
    <m/>
    <m/>
    <m/>
    <s v="Prestar servicios profesionales para la evaluación y análisis de la información de los proyectos de Gestión Eficiente de la Energía, así como para la elaboración,  consolidación y análisis de reportes de implementación de las medidas de eficiencia energét"/>
    <m/>
    <m/>
    <m/>
    <n v="-52200000"/>
    <m/>
    <n v="8700000"/>
    <m/>
    <n v="8700000"/>
    <m/>
    <n v="8700000"/>
    <m/>
    <n v="8700000"/>
    <m/>
    <n v="8700000"/>
    <m/>
    <n v="8700000"/>
    <m/>
    <n v="8700000"/>
    <m/>
    <n v="8700000"/>
    <m/>
    <n v="8700000"/>
    <m/>
    <n v="17400000"/>
    <m/>
    <m/>
    <n v="0"/>
    <n v="43500000"/>
    <n v="43500000"/>
    <n v="0"/>
    <n v="67526"/>
    <d v="2026-01-30T00:00:00"/>
    <n v="30000000"/>
    <n v="13500000"/>
    <m/>
    <m/>
    <n v="0"/>
    <n v="43500000"/>
    <n v="30000000"/>
    <m/>
    <m/>
    <m/>
    <m/>
    <m/>
    <m/>
    <m/>
    <m/>
    <m/>
    <m/>
    <m/>
    <m/>
    <m/>
    <m/>
    <m/>
    <m/>
    <m/>
    <m/>
    <m/>
    <m/>
    <m/>
    <m/>
    <m/>
    <m/>
    <m/>
    <m/>
    <m/>
    <m/>
    <m/>
    <m/>
    <m/>
    <m/>
    <m/>
    <m/>
    <m/>
    <m/>
    <m/>
    <m/>
    <n v="0"/>
    <n v="0"/>
    <n v="0"/>
    <n v="0"/>
    <n v="0"/>
  </r>
  <r>
    <x v="1"/>
    <x v="5"/>
    <s v="N/A"/>
    <s v="N/A"/>
    <s v="Sí"/>
    <s v="Sí"/>
    <n v="68"/>
    <s v="161-100"/>
    <s v="N.A"/>
    <s v="N.A"/>
    <s v="N.A"/>
    <n v="80111620"/>
    <s v="A-05-01-02-008-003"/>
    <x v="0"/>
    <s v="161-100 Prestar servicios profesionales orientados al fortalecimiento del componente de Información y Comunicación del Modelo Estandar de Control Interno (MECI), a través de la ejecución del Plan Anual de Auditorías Internas Independientes, con énfasis en"/>
    <s v="Enero "/>
    <s v="Enero "/>
    <s v="Enero "/>
    <n v="11.5"/>
    <s v="Meses"/>
    <s v="Contratación directa - Prestación de servicios profesionales "/>
    <s v="Propios - 20 - Ingresos corrientes"/>
    <n v="7581655"/>
    <n v="7581655"/>
    <s v="No"/>
    <s v="N/A"/>
    <s v="Johanna Castellanos"/>
    <s v="Subdirectora de Demanda"/>
    <n v="6012220601"/>
    <s v="johanna.castellanos@upme.gov.co"/>
    <m/>
    <m/>
    <m/>
    <m/>
    <m/>
    <m/>
    <m/>
    <m/>
    <m/>
    <m/>
    <m/>
    <m/>
    <m/>
    <m/>
    <m/>
    <m/>
    <m/>
    <m/>
    <m/>
    <m/>
    <m/>
    <m/>
    <m/>
    <m/>
    <m/>
    <m/>
    <m/>
    <m/>
    <s v="Prestar servicios profesionales orientados al fortalecimiento del componente de Información y Comunicación del Modelo Estandar de Control Interno (MECI), a través de la ejecución del Plan Anual de Auditorías Internas Independientes, con énfasis en la eval"/>
    <m/>
    <m/>
    <m/>
    <m/>
    <m/>
    <m/>
    <m/>
    <m/>
    <m/>
    <m/>
    <m/>
    <m/>
    <n v="7581655"/>
    <m/>
    <m/>
    <m/>
    <m/>
    <m/>
    <m/>
    <n v="3000000"/>
    <m/>
    <n v="3000000"/>
    <m/>
    <n v="1581655"/>
    <m/>
    <m/>
    <n v="7581655"/>
    <n v="7581655"/>
    <n v="0"/>
    <n v="0"/>
    <m/>
    <m/>
    <m/>
    <n v="7581655"/>
    <m/>
    <m/>
    <n v="0"/>
    <n v="7581655"/>
    <n v="0"/>
    <m/>
    <m/>
    <m/>
    <m/>
    <m/>
    <m/>
    <m/>
    <m/>
    <m/>
    <m/>
    <m/>
    <m/>
    <m/>
    <m/>
    <m/>
    <m/>
    <m/>
    <m/>
    <m/>
    <m/>
    <m/>
    <m/>
    <m/>
    <m/>
    <m/>
    <m/>
    <m/>
    <m/>
    <m/>
    <m/>
    <m/>
    <m/>
    <m/>
    <m/>
    <m/>
    <m/>
    <m/>
    <m/>
    <n v="0"/>
    <n v="0"/>
    <n v="0"/>
    <n v="0"/>
    <n v="0"/>
  </r>
  <r>
    <x v="1"/>
    <x v="5"/>
    <s v="N/A"/>
    <s v="N/A"/>
    <s v="Sí"/>
    <s v="Sí"/>
    <n v="68"/>
    <s v="161-101"/>
    <s v="N.A"/>
    <s v="N.A"/>
    <s v="N.A"/>
    <n v="80111620"/>
    <s v="A-05-01-02-008-003"/>
    <x v="0"/>
    <s v="161-101 Prestar servicios profesionales para apoyar la gestión de la comunicación institucional de la UPME, mediante la elaboración, implementación y seguimiento de estrategias de comunicación interna y externa, gestión de medios y opinión pública, desarr"/>
    <s v="Enero "/>
    <s v="Enero "/>
    <s v="Enero "/>
    <n v="11.4"/>
    <s v="Meses"/>
    <s v="Contratación directa - Prestación de servicios profesionales "/>
    <s v="Propios - 20 - Ingresos corrientes"/>
    <n v="114000000"/>
    <n v="114000000"/>
    <s v="No"/>
    <s v="N/A"/>
    <s v="Johanna Castellanos"/>
    <s v="Subdirectora de Demanda"/>
    <n v="6012220602"/>
    <s v="johanna.castellanos@upme.gov.co"/>
    <m/>
    <m/>
    <m/>
    <m/>
    <m/>
    <m/>
    <m/>
    <m/>
    <m/>
    <m/>
    <m/>
    <m/>
    <m/>
    <m/>
    <m/>
    <m/>
    <m/>
    <m/>
    <m/>
    <m/>
    <m/>
    <m/>
    <m/>
    <m/>
    <m/>
    <m/>
    <m/>
    <m/>
    <s v="Prestar servicios profesionales para apoyar la gestión de la comunicación institucional de la UPME, mediante la elaboración, implementación y seguimiento de estrategias de comunicación interna y externa, gestión de medios y opinión pública, desarrollo de "/>
    <m/>
    <m/>
    <m/>
    <n v="4000000"/>
    <m/>
    <n v="10000000"/>
    <m/>
    <n v="10000000"/>
    <m/>
    <n v="10000000"/>
    <m/>
    <n v="10000000"/>
    <m/>
    <n v="10000000"/>
    <m/>
    <n v="10000000"/>
    <m/>
    <n v="10000000"/>
    <m/>
    <n v="10000000"/>
    <m/>
    <n v="10000000"/>
    <m/>
    <n v="20000000"/>
    <m/>
    <m/>
    <n v="0"/>
    <n v="114000000"/>
    <n v="114000000"/>
    <n v="0"/>
    <n v="18026"/>
    <d v="2026-01-10T00:00:00"/>
    <n v="114000000"/>
    <n v="0"/>
    <m/>
    <m/>
    <n v="0"/>
    <n v="114000000"/>
    <n v="114000000"/>
    <m/>
    <m/>
    <m/>
    <m/>
    <m/>
    <m/>
    <m/>
    <m/>
    <m/>
    <m/>
    <m/>
    <m/>
    <m/>
    <m/>
    <m/>
    <m/>
    <m/>
    <m/>
    <m/>
    <m/>
    <m/>
    <m/>
    <m/>
    <m/>
    <m/>
    <m/>
    <m/>
    <m/>
    <m/>
    <m/>
    <m/>
    <m/>
    <m/>
    <m/>
    <m/>
    <m/>
    <m/>
    <m/>
    <n v="0"/>
    <n v="0"/>
    <n v="0"/>
    <n v="0"/>
    <n v="0"/>
  </r>
  <r>
    <x v="1"/>
    <x v="5"/>
    <s v="N/A"/>
    <s v="N/A"/>
    <s v="Sí"/>
    <s v="Sí"/>
    <n v="68"/>
    <s v="161-102"/>
    <s v="N.A"/>
    <s v="N.A"/>
    <s v="N.A"/>
    <n v="80111620"/>
    <s v="A-05-01-02-008-003"/>
    <x v="0"/>
    <s v="161-102 Prestación de servicios profesionales de estructuración gráfica de documentos, diseño digital, presentaciones de diversa índole que sean requeridos por el área de comunicaciones"/>
    <s v="Enero "/>
    <s v="Enero "/>
    <s v="Enero "/>
    <n v="11.5"/>
    <s v="Meses"/>
    <s v="Contratación directa - Prestación de servicios profesionales "/>
    <s v="Propios - 20 - Ingresos corrientes"/>
    <n v="92000000"/>
    <n v="92000000"/>
    <s v="No"/>
    <s v="N/A"/>
    <s v="Johanna Castellanos"/>
    <s v="Subdirectora de Demanda"/>
    <n v="6012220603"/>
    <s v="johanna.castellanos@upme.gov.co"/>
    <m/>
    <m/>
    <m/>
    <m/>
    <m/>
    <m/>
    <m/>
    <m/>
    <m/>
    <m/>
    <m/>
    <m/>
    <m/>
    <m/>
    <m/>
    <m/>
    <m/>
    <m/>
    <m/>
    <m/>
    <m/>
    <m/>
    <m/>
    <m/>
    <m/>
    <m/>
    <m/>
    <m/>
    <s v="Prestación de servicios profesionales de estructuración gráfica de documentos, diseño digital, presentaciones de diversa índole que sean requeridos por el área de comunicaciones"/>
    <m/>
    <m/>
    <m/>
    <n v="4000000"/>
    <m/>
    <n v="8000000"/>
    <m/>
    <n v="8000000"/>
    <m/>
    <n v="8000000"/>
    <m/>
    <n v="8000000"/>
    <m/>
    <n v="8000000"/>
    <m/>
    <n v="8000000"/>
    <m/>
    <n v="8000000"/>
    <m/>
    <n v="8000000"/>
    <m/>
    <n v="8000000"/>
    <m/>
    <n v="16000000"/>
    <m/>
    <m/>
    <n v="0"/>
    <n v="92000000"/>
    <n v="92000000"/>
    <n v="0"/>
    <n v="17526"/>
    <d v="2026-01-10T00:00:00"/>
    <n v="92000000"/>
    <n v="0"/>
    <m/>
    <m/>
    <n v="0"/>
    <n v="92000000"/>
    <n v="92000000"/>
    <m/>
    <m/>
    <m/>
    <m/>
    <m/>
    <m/>
    <m/>
    <m/>
    <m/>
    <m/>
    <m/>
    <m/>
    <m/>
    <m/>
    <m/>
    <m/>
    <m/>
    <m/>
    <m/>
    <m/>
    <m/>
    <m/>
    <m/>
    <m/>
    <m/>
    <m/>
    <m/>
    <m/>
    <m/>
    <m/>
    <m/>
    <m/>
    <m/>
    <m/>
    <m/>
    <m/>
    <m/>
    <m/>
    <n v="0"/>
    <n v="0"/>
    <n v="0"/>
    <n v="0"/>
    <n v="0"/>
  </r>
  <r>
    <x v="1"/>
    <x v="5"/>
    <s v="N/A"/>
    <s v="N/A"/>
    <s v="Sí"/>
    <s v="Sí"/>
    <n v="68"/>
    <s v="161-103"/>
    <s v="N.A"/>
    <s v="N.A"/>
    <s v="N.A"/>
    <n v="80111620"/>
    <s v="A-05-01-02-008-003"/>
    <x v="0"/>
    <s v="161-103 Prestar servicios profesionales para la creación de contenido, divulgación y socialización de los proyectos, planes y gestión de la UPME."/>
    <s v="Enero "/>
    <s v="Enero "/>
    <s v="Enero "/>
    <n v="11.5"/>
    <s v="Meses"/>
    <s v="Contratación directa - Prestación de servicios profesionales "/>
    <s v="Propios - 20 - Ingresos corrientes"/>
    <n v="92000000"/>
    <n v="92000000"/>
    <s v="No"/>
    <s v="N/A"/>
    <s v="Johanna Castellanos"/>
    <s v="Subdirectora de Demanda"/>
    <n v="6012220604"/>
    <s v="johanna.castellanos@upme.gov.co"/>
    <m/>
    <m/>
    <m/>
    <m/>
    <m/>
    <m/>
    <m/>
    <m/>
    <m/>
    <m/>
    <m/>
    <m/>
    <m/>
    <m/>
    <m/>
    <m/>
    <m/>
    <m/>
    <m/>
    <m/>
    <m/>
    <m/>
    <m/>
    <m/>
    <m/>
    <m/>
    <m/>
    <m/>
    <s v="Prestar servicios profesionales para la creación de contenido, divulgación y socialización de los proyectos, planes y gestión de la UPME."/>
    <m/>
    <m/>
    <m/>
    <n v="4000000"/>
    <m/>
    <n v="8000000"/>
    <m/>
    <n v="8000000"/>
    <m/>
    <n v="8000000"/>
    <m/>
    <n v="8000000"/>
    <m/>
    <n v="8000000"/>
    <m/>
    <n v="8000000"/>
    <m/>
    <n v="8000000"/>
    <m/>
    <n v="8000000"/>
    <m/>
    <n v="8000000"/>
    <m/>
    <n v="16000000"/>
    <m/>
    <m/>
    <n v="0"/>
    <n v="92000000"/>
    <n v="92000000"/>
    <n v="0"/>
    <n v="12326"/>
    <d v="2026-01-08T00:00:00"/>
    <n v="90400000"/>
    <n v="1600000"/>
    <m/>
    <m/>
    <n v="0"/>
    <n v="92000000"/>
    <n v="90400000"/>
    <m/>
    <m/>
    <m/>
    <m/>
    <m/>
    <m/>
    <m/>
    <m/>
    <m/>
    <m/>
    <m/>
    <m/>
    <m/>
    <m/>
    <m/>
    <m/>
    <m/>
    <m/>
    <m/>
    <m/>
    <m/>
    <m/>
    <m/>
    <m/>
    <m/>
    <m/>
    <m/>
    <m/>
    <m/>
    <m/>
    <m/>
    <m/>
    <m/>
    <m/>
    <m/>
    <m/>
    <m/>
    <m/>
    <n v="0"/>
    <n v="0"/>
    <n v="0"/>
    <n v="0"/>
    <n v="0"/>
  </r>
  <r>
    <x v="1"/>
    <x v="5"/>
    <s v="N/A"/>
    <s v="N/A"/>
    <s v="Sí"/>
    <s v="Sí"/>
    <n v="1"/>
    <s v="161-104"/>
    <s v="N.A"/>
    <s v="N.A"/>
    <s v="N.A"/>
    <n v="80111620"/>
    <s v="A-05-01-02-008-003"/>
    <x v="0"/>
    <s v="161-104 Prestar servicios de apoyo a la gestión para la UPME en la creación de contenidos audiovisuales destinados a los diferentes canales de comunicación de la entidad, en atención a sus necesidades institucionales."/>
    <s v="Enero "/>
    <s v="Enero "/>
    <s v="Enero "/>
    <n v="11.5"/>
    <s v="Meses"/>
    <s v="Contratación directa - Prestación de servicios profesionales "/>
    <s v="Propios - 20 - Ingresos corrientes"/>
    <n v="57500000"/>
    <n v="57500000"/>
    <s v="No"/>
    <s v="N/A"/>
    <s v="Johanna Castellanos"/>
    <s v="Subdirectora de Demanda"/>
    <n v="6012220605"/>
    <s v="johanna.castellanos@upme.gov.co"/>
    <m/>
    <m/>
    <m/>
    <m/>
    <m/>
    <m/>
    <m/>
    <m/>
    <m/>
    <m/>
    <m/>
    <m/>
    <m/>
    <m/>
    <m/>
    <m/>
    <m/>
    <m/>
    <m/>
    <m/>
    <m/>
    <m/>
    <m/>
    <m/>
    <m/>
    <m/>
    <m/>
    <m/>
    <s v="Prestar servicios de apoyo a la gestión para la UPME en la creación de contenidos audiovisuales destinados a los diferentes canales de comunicación de la entidad, en atención a sus necesidades institucionales."/>
    <m/>
    <m/>
    <m/>
    <n v="2500000"/>
    <m/>
    <n v="5000000"/>
    <m/>
    <n v="5000000"/>
    <m/>
    <n v="5000000"/>
    <m/>
    <n v="5000000"/>
    <m/>
    <n v="5000000"/>
    <m/>
    <n v="5000000"/>
    <m/>
    <n v="5000000"/>
    <m/>
    <n v="5000000"/>
    <m/>
    <n v="5000000"/>
    <m/>
    <n v="10000000"/>
    <m/>
    <m/>
    <n v="0"/>
    <n v="57500000"/>
    <n v="57500000"/>
    <n v="0"/>
    <n v="16926"/>
    <d v="2026-01-09T00:00:00"/>
    <n v="57500000"/>
    <n v="0"/>
    <m/>
    <m/>
    <n v="0"/>
    <n v="57500000"/>
    <n v="57500000"/>
    <m/>
    <m/>
    <m/>
    <m/>
    <m/>
    <m/>
    <m/>
    <m/>
    <m/>
    <m/>
    <m/>
    <m/>
    <m/>
    <m/>
    <m/>
    <m/>
    <m/>
    <m/>
    <m/>
    <m/>
    <m/>
    <m/>
    <m/>
    <m/>
    <m/>
    <m/>
    <m/>
    <m/>
    <m/>
    <m/>
    <m/>
    <m/>
    <m/>
    <m/>
    <m/>
    <m/>
    <m/>
    <m/>
    <n v="0"/>
    <n v="0"/>
    <n v="0"/>
    <n v="0"/>
    <n v="0"/>
  </r>
  <r>
    <x v="1"/>
    <x v="5"/>
    <s v="N/A"/>
    <s v="N/A"/>
    <s v="Sí"/>
    <s v="Sí"/>
    <n v="68"/>
    <s v="161-105"/>
    <s v="N.A"/>
    <s v="N.A"/>
    <s v="N.A"/>
    <n v="80111620"/>
    <s v="A-05-01-02-008-003"/>
    <x v="0"/>
    <s v="161-105 Prestación de servicios de apoyo a la gestión para contribuir en la realización de contenido multimedia y la consolidación del banco de contenido para los portales interactivos en desarrollo de la entidad"/>
    <s v="Enero "/>
    <s v="Enero "/>
    <s v="Enero "/>
    <n v="11.4"/>
    <s v="Meses"/>
    <s v="Contratación directa - Prestación de servicios profesionales "/>
    <s v="Propios - 20 - Ingresos corrientes"/>
    <n v="57000000"/>
    <n v="57000000"/>
    <s v="No"/>
    <s v="N/A"/>
    <s v="Johanna Castellanos"/>
    <s v="Subdirectora de Demanda"/>
    <n v="6012220606"/>
    <s v="johanna.castellanos@upme.gov.co"/>
    <m/>
    <m/>
    <m/>
    <m/>
    <m/>
    <m/>
    <m/>
    <m/>
    <m/>
    <m/>
    <m/>
    <m/>
    <m/>
    <m/>
    <m/>
    <m/>
    <m/>
    <m/>
    <m/>
    <m/>
    <m/>
    <m/>
    <m/>
    <m/>
    <m/>
    <m/>
    <m/>
    <m/>
    <s v="Prestación de servicios de apoyo a la gestión para contribuir en la realización de contenido multimedia y la consolidación del banco de contenido para los portales interactivos en desarrollo de la entidad"/>
    <m/>
    <m/>
    <m/>
    <n v="2000000"/>
    <m/>
    <n v="5000000"/>
    <m/>
    <n v="5000000"/>
    <m/>
    <n v="5000000"/>
    <m/>
    <n v="5000000"/>
    <m/>
    <n v="5000000"/>
    <m/>
    <n v="5000000"/>
    <m/>
    <n v="5000000"/>
    <m/>
    <n v="5000000"/>
    <m/>
    <n v="5000000"/>
    <m/>
    <n v="10000000"/>
    <m/>
    <m/>
    <n v="0"/>
    <n v="57000000"/>
    <n v="57000000"/>
    <n v="0"/>
    <n v="12726"/>
    <d v="2026-01-08T00:00:00"/>
    <n v="55666667"/>
    <n v="1333333"/>
    <m/>
    <m/>
    <n v="0"/>
    <n v="57000000"/>
    <n v="55666667"/>
    <m/>
    <m/>
    <m/>
    <m/>
    <m/>
    <m/>
    <m/>
    <m/>
    <m/>
    <m/>
    <m/>
    <m/>
    <m/>
    <m/>
    <m/>
    <m/>
    <m/>
    <m/>
    <m/>
    <m/>
    <m/>
    <m/>
    <m/>
    <m/>
    <m/>
    <m/>
    <m/>
    <m/>
    <m/>
    <m/>
    <m/>
    <m/>
    <m/>
    <m/>
    <m/>
    <m/>
    <m/>
    <m/>
    <n v="0"/>
    <n v="0"/>
    <n v="0"/>
    <n v="0"/>
    <n v="0"/>
  </r>
  <r>
    <x v="1"/>
    <x v="5"/>
    <s v="N/A"/>
    <s v="N/A"/>
    <s v="Sí"/>
    <s v="Sí"/>
    <n v="68"/>
    <s v="161-106"/>
    <s v="N.A"/>
    <s v="N.A"/>
    <s v="N.A"/>
    <n v="80111620"/>
    <s v="A-05-01-02-008-003"/>
    <x v="0"/>
    <s v="161-106 Prestar servicios profesionales para la gestión y fortalecimiento de la presencia digital, mediante la elaboración de contenido y su divulgación para la implementación de estrategias de comunicación digital, campañas de posicionamiento institucio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y fortalecimiento de la presencia digital, mediante la elaboración de contenido y su divulgación para la implementación de estrategias de comunicación digital, campañas de posicionamiento institucional y adm"/>
    <m/>
    <m/>
    <m/>
    <n v="3000000"/>
    <m/>
    <n v="6000000"/>
    <m/>
    <n v="6000000"/>
    <m/>
    <n v="6000000"/>
    <m/>
    <n v="6000000"/>
    <m/>
    <n v="6000000"/>
    <m/>
    <n v="6000000"/>
    <m/>
    <n v="6000000"/>
    <m/>
    <n v="6000000"/>
    <m/>
    <n v="6000000"/>
    <m/>
    <n v="12000000"/>
    <m/>
    <m/>
    <n v="0"/>
    <n v="69000000"/>
    <n v="69000000"/>
    <n v="0"/>
    <m/>
    <m/>
    <m/>
    <n v="69000000"/>
    <m/>
    <m/>
    <n v="0"/>
    <n v="69000000"/>
    <n v="0"/>
    <m/>
    <m/>
    <m/>
    <m/>
    <m/>
    <m/>
    <m/>
    <m/>
    <m/>
    <m/>
    <m/>
    <m/>
    <m/>
    <m/>
    <m/>
    <m/>
    <m/>
    <m/>
    <m/>
    <m/>
    <m/>
    <m/>
    <m/>
    <m/>
    <m/>
    <m/>
    <m/>
    <m/>
    <m/>
    <m/>
    <m/>
    <m/>
    <m/>
    <m/>
    <m/>
    <m/>
    <m/>
    <m/>
    <n v="0"/>
    <n v="0"/>
    <n v="0"/>
    <n v="0"/>
    <n v="0"/>
  </r>
  <r>
    <x v="1"/>
    <x v="5"/>
    <s v="N/A"/>
    <s v="N/A"/>
    <s v="Sí"/>
    <s v="Sí"/>
    <n v="68"/>
    <s v="161-107"/>
    <s v="N.A"/>
    <s v="N.A"/>
    <s v="N.A"/>
    <n v="80111620"/>
    <s v="A-05-01-02-008-003"/>
    <x v="0"/>
    <s v="161-107 Prestar servicios profesionales de apoyo al área de comunicaciones en el diseño, desarrollo y producción de materiales audiovisuales, animaciones, piezas gráficas y contenidos digitales, orientados a fortalecer la identidad visual institucional y "/>
    <s v="Enero "/>
    <s v="Enero "/>
    <s v="Enero "/>
    <n v="11.5"/>
    <s v="Meses"/>
    <s v="Contratación directa - Prestación de servicios profesionales "/>
    <s v="Propios - 20 - Ingresos corrientes"/>
    <n v="74750000"/>
    <n v="74750000"/>
    <s v="No"/>
    <s v="N/A"/>
    <s v="Johanna Castellanos"/>
    <s v="Subdirectora de Demanda"/>
    <n v="6012220601"/>
    <s v="johanna.castellanos@upme.gov.co"/>
    <m/>
    <m/>
    <m/>
    <m/>
    <m/>
    <m/>
    <m/>
    <m/>
    <m/>
    <m/>
    <m/>
    <m/>
    <m/>
    <m/>
    <m/>
    <m/>
    <m/>
    <m/>
    <m/>
    <m/>
    <m/>
    <m/>
    <m/>
    <m/>
    <m/>
    <m/>
    <m/>
    <m/>
    <s v="Prestar servicios profesionales de apoyo al área de comunicaciones en el diseño, desarrollo y producción de materiales audiovisuales, animaciones, piezas gráficas y contenidos digitales, orientados a fortalecer la identidad visual institucional y la divul"/>
    <m/>
    <m/>
    <m/>
    <n v="3250000"/>
    <m/>
    <n v="6500000"/>
    <m/>
    <n v="6500000"/>
    <m/>
    <n v="6500000"/>
    <m/>
    <n v="6500000"/>
    <m/>
    <n v="6500000"/>
    <m/>
    <n v="6500000"/>
    <m/>
    <n v="6500000"/>
    <m/>
    <n v="6500000"/>
    <m/>
    <n v="6500000"/>
    <m/>
    <n v="13000000"/>
    <m/>
    <m/>
    <n v="0"/>
    <n v="74750000"/>
    <n v="74750000"/>
    <n v="0"/>
    <m/>
    <m/>
    <m/>
    <n v="74750000"/>
    <m/>
    <m/>
    <n v="0"/>
    <n v="74750000"/>
    <n v="0"/>
    <m/>
    <m/>
    <m/>
    <m/>
    <m/>
    <m/>
    <m/>
    <m/>
    <m/>
    <m/>
    <m/>
    <m/>
    <m/>
    <m/>
    <m/>
    <m/>
    <m/>
    <m/>
    <m/>
    <m/>
    <m/>
    <m/>
    <m/>
    <m/>
    <m/>
    <m/>
    <m/>
    <m/>
    <m/>
    <m/>
    <m/>
    <m/>
    <m/>
    <m/>
    <m/>
    <m/>
    <m/>
    <m/>
    <n v="0"/>
    <n v="0"/>
    <n v="0"/>
    <n v="0"/>
    <n v="0"/>
  </r>
  <r>
    <x v="1"/>
    <x v="5"/>
    <s v="N/A"/>
    <s v="N/A"/>
    <s v="Sí"/>
    <s v="Sí"/>
    <n v="68"/>
    <s v="161-108"/>
    <s v="N.A"/>
    <s v="N.A"/>
    <s v="N.A"/>
    <n v="80111620"/>
    <s v="A-05-01-02-008-003"/>
    <x v="0"/>
    <s v="161-108 Prestar los servicios profesionales para la formulación, actualización y seguimiento a la ejecución presupuestal, procesos contractuales, planes institucionales y proyectos de inversión de la Unidad de Planeación Minero Energética asignados, así c"/>
    <s v="Julio"/>
    <s v="Julio"/>
    <s v="Julio"/>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los servicios profesionales para la formulación, actualización y seguimiento a la ejecución presupuestal, procesos contractuales, planes institucionales y proyectos de inversión de la Unidad de Planeación Minero Energética asignados, así como los "/>
    <m/>
    <m/>
    <m/>
    <m/>
    <m/>
    <m/>
    <m/>
    <m/>
    <m/>
    <m/>
    <m/>
    <m/>
    <n v="55000000"/>
    <m/>
    <m/>
    <m/>
    <m/>
    <n v="11000000"/>
    <m/>
    <n v="11000000"/>
    <m/>
    <n v="11000000"/>
    <m/>
    <n v="22000000"/>
    <m/>
    <m/>
    <n v="55000000"/>
    <n v="55000000"/>
    <n v="0"/>
    <n v="0"/>
    <m/>
    <m/>
    <m/>
    <n v="55000000"/>
    <m/>
    <m/>
    <n v="0"/>
    <n v="55000000"/>
    <n v="0"/>
    <m/>
    <m/>
    <m/>
    <m/>
    <m/>
    <m/>
    <m/>
    <m/>
    <m/>
    <m/>
    <m/>
    <m/>
    <m/>
    <m/>
    <m/>
    <m/>
    <m/>
    <m/>
    <m/>
    <m/>
    <m/>
    <m/>
    <m/>
    <m/>
    <m/>
    <m/>
    <m/>
    <m/>
    <m/>
    <m/>
    <m/>
    <m/>
    <m/>
    <m/>
    <m/>
    <m/>
    <m/>
    <m/>
    <n v="0"/>
    <n v="0"/>
    <n v="0"/>
    <n v="0"/>
    <n v="0"/>
  </r>
  <r>
    <x v="1"/>
    <x v="5"/>
    <s v="N/A"/>
    <s v="N/A"/>
    <s v="Sí"/>
    <s v="Sí"/>
    <n v="68"/>
    <s v="161-109"/>
    <s v="N.A"/>
    <s v="N.A"/>
    <s v="N.A"/>
    <n v="80111620"/>
    <s v="A-05-01-02-008-003"/>
    <x v="0"/>
    <s v="161-109 Prestar servicios profesionales en la ejecución y seguimiento a las acciones de cooperación relacionadas con la implementación y la actualización de la Estrategia Institucional de Cooperación Internacional de la UPME."/>
    <s v="Enero "/>
    <s v="Enero "/>
    <s v="Enero "/>
    <n v="11.5"/>
    <s v="Meses"/>
    <s v="Contratación directa - Prestación de servicios profesionales "/>
    <s v="Propios - 20 - Ingresos corrientes"/>
    <n v="92000000"/>
    <n v="92000000"/>
    <s v="No"/>
    <s v="N/A"/>
    <s v="Johanna Castellanos"/>
    <s v="Subdirectora de Demanda"/>
    <n v="6012220601"/>
    <s v="johanna.castellanos@upme.gov.co"/>
    <m/>
    <m/>
    <m/>
    <m/>
    <m/>
    <m/>
    <m/>
    <m/>
    <m/>
    <m/>
    <m/>
    <m/>
    <m/>
    <m/>
    <m/>
    <m/>
    <m/>
    <m/>
    <m/>
    <m/>
    <m/>
    <m/>
    <m/>
    <m/>
    <m/>
    <m/>
    <m/>
    <m/>
    <s v="Prestar servicios profesionales en la ejecución y seguimiento a las acciones de cooperación relacionadas con la implementación y la actualización de la Estrategia Institucional de Cooperación Internacional de la UPME."/>
    <m/>
    <m/>
    <m/>
    <n v="4000000"/>
    <m/>
    <n v="8000000"/>
    <m/>
    <n v="8000000"/>
    <m/>
    <n v="8000000"/>
    <m/>
    <n v="8000000"/>
    <m/>
    <n v="8000000"/>
    <m/>
    <n v="8000000"/>
    <m/>
    <n v="8000000"/>
    <m/>
    <n v="8000000"/>
    <m/>
    <n v="8000000"/>
    <m/>
    <n v="16000000"/>
    <m/>
    <m/>
    <n v="0"/>
    <n v="92000000"/>
    <n v="92000000"/>
    <n v="0"/>
    <n v="56426"/>
    <d v="2026-01-22T00:00:00"/>
    <n v="88000000"/>
    <n v="4000000"/>
    <m/>
    <m/>
    <n v="0"/>
    <n v="92000000"/>
    <n v="88000000"/>
    <m/>
    <m/>
    <m/>
    <m/>
    <m/>
    <m/>
    <m/>
    <m/>
    <m/>
    <m/>
    <m/>
    <m/>
    <m/>
    <m/>
    <m/>
    <m/>
    <m/>
    <m/>
    <m/>
    <m/>
    <m/>
    <m/>
    <m/>
    <m/>
    <m/>
    <m/>
    <m/>
    <m/>
    <m/>
    <m/>
    <m/>
    <m/>
    <m/>
    <m/>
    <m/>
    <m/>
    <m/>
    <m/>
    <n v="0"/>
    <n v="0"/>
    <n v="0"/>
    <n v="0"/>
    <n v="0"/>
  </r>
  <r>
    <x v="1"/>
    <x v="5"/>
    <s v="N/A"/>
    <s v="N/A"/>
    <s v="Sí"/>
    <s v="Sí"/>
    <n v="68"/>
    <s v="161-11"/>
    <s v="N.A"/>
    <s v="N.A"/>
    <s v="N.A"/>
    <n v="80111620"/>
    <s v="A-05-01-02-008-003"/>
    <x v="0"/>
    <s v="161-11 Prestar servicios profesionales en pedagogía, para apoyar en el diseño, planeación y ejecución de procesos de capacitación interna y externa, así como en la elaboración y actualización de materiales pedagógicos y recursos didácticos asociados al tr"/>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servicios profesionales en pedagogía, para apoyar en el diseño, planeación y ejecución de procesos de capacitación interna y externa, así como en la elaboración y actualización de materiales pedagógicos y recursos didácticos asociados al trámite d"/>
    <m/>
    <m/>
    <m/>
    <n v="657000"/>
    <m/>
    <n v="3285000"/>
    <m/>
    <n v="3285000"/>
    <m/>
    <n v="3285000"/>
    <m/>
    <n v="3285000"/>
    <m/>
    <n v="3285000"/>
    <m/>
    <n v="3285000"/>
    <m/>
    <n v="3285000"/>
    <m/>
    <n v="3285000"/>
    <m/>
    <n v="3285000"/>
    <m/>
    <n v="6570000"/>
    <m/>
    <m/>
    <n v="0"/>
    <n v="36792000"/>
    <n v="36792000"/>
    <n v="0"/>
    <n v="16626"/>
    <d v="2026-01-09T00:00:00"/>
    <n v="36792000"/>
    <n v="0"/>
    <n v="9026"/>
    <d v="2026-01-14T00:00:00"/>
    <n v="36792000"/>
    <n v="0"/>
    <n v="0"/>
    <s v="KARINE PUERTA"/>
    <m/>
    <n v="36792000"/>
    <m/>
    <m/>
    <m/>
    <m/>
    <m/>
    <m/>
    <m/>
    <m/>
    <m/>
    <m/>
    <m/>
    <m/>
    <m/>
    <m/>
    <m/>
    <m/>
    <m/>
    <m/>
    <m/>
    <m/>
    <m/>
    <m/>
    <m/>
    <m/>
    <m/>
    <m/>
    <m/>
    <m/>
    <m/>
    <m/>
    <m/>
    <m/>
    <m/>
    <m/>
    <m/>
    <n v="36792000"/>
    <n v="0"/>
    <n v="0"/>
    <n v="36792000"/>
    <n v="0"/>
  </r>
  <r>
    <x v="1"/>
    <x v="5"/>
    <s v="N/A"/>
    <s v="N/A"/>
    <s v="Sí"/>
    <s v="Sí"/>
    <n v="68"/>
    <s v="161-110"/>
    <s v="N.A"/>
    <s v="N.A"/>
    <s v="N.A"/>
    <n v="80111620"/>
    <s v="A-05-01-02-008-002"/>
    <x v="0"/>
    <s v="161-110 Prestar los servicios profesionales para el acompañamiento y seguimiento jurídico a las etapas pre contractual, contractual y pos contractual, así como, reporte de información"/>
    <s v="Julio"/>
    <s v="Julio"/>
    <s v="Julio"/>
    <n v="5"/>
    <s v="Meses"/>
    <s v="Contratación directa - Prestación de servicios profesionales "/>
    <s v="Propios - 20 - Ingresos corrientes"/>
    <n v="44431815"/>
    <n v="44431815"/>
    <s v="No"/>
    <s v="N/A"/>
    <s v="Edith Chávez"/>
    <s v="Coordinador GIT Contractual"/>
    <n v="6012220601"/>
    <s v="edith.chavez@upme.gov.co"/>
    <m/>
    <m/>
    <m/>
    <m/>
    <m/>
    <m/>
    <m/>
    <m/>
    <m/>
    <m/>
    <m/>
    <m/>
    <m/>
    <m/>
    <m/>
    <m/>
    <m/>
    <m/>
    <m/>
    <m/>
    <m/>
    <m/>
    <m/>
    <m/>
    <m/>
    <m/>
    <m/>
    <m/>
    <s v="Prestar los servicios profesionales para el acompañamiento y seguimiento jurídico a las etapas pre contractual, contractual y pos contractual, así como, reporte de información"/>
    <m/>
    <m/>
    <m/>
    <m/>
    <m/>
    <m/>
    <m/>
    <m/>
    <m/>
    <m/>
    <m/>
    <m/>
    <n v="44431815"/>
    <m/>
    <m/>
    <m/>
    <m/>
    <n v="8886363"/>
    <m/>
    <n v="8886363"/>
    <m/>
    <n v="8886363"/>
    <m/>
    <n v="17772726"/>
    <m/>
    <m/>
    <n v="44431815"/>
    <n v="44431815"/>
    <n v="0"/>
    <n v="0"/>
    <m/>
    <m/>
    <m/>
    <n v="44431815"/>
    <m/>
    <m/>
    <n v="0"/>
    <n v="44431815"/>
    <n v="0"/>
    <m/>
    <m/>
    <m/>
    <m/>
    <m/>
    <m/>
    <m/>
    <m/>
    <m/>
    <m/>
    <m/>
    <m/>
    <m/>
    <m/>
    <m/>
    <m/>
    <m/>
    <m/>
    <m/>
    <m/>
    <m/>
    <m/>
    <m/>
    <m/>
    <m/>
    <m/>
    <m/>
    <m/>
    <m/>
    <m/>
    <m/>
    <m/>
    <m/>
    <m/>
    <m/>
    <m/>
    <m/>
    <m/>
    <n v="0"/>
    <n v="0"/>
    <n v="0"/>
    <n v="0"/>
    <n v="0"/>
  </r>
  <r>
    <x v="1"/>
    <x v="5"/>
    <s v="N/A"/>
    <s v="N/A"/>
    <s v="Sí"/>
    <s v="Sí"/>
    <n v="9"/>
    <s v="161-111"/>
    <s v="N.A"/>
    <s v="N.A"/>
    <s v="N.A"/>
    <n v="80111620"/>
    <s v="A-05-01-02-008-002"/>
    <x v="0"/>
    <s v="161-111 Prestar servicios profesionales para la gestión de las fases contractuales de la entidad, con especial énfasis en los asuntos relativos a la Subdirección de Demanda, en asocio con el GIT de Gestión Contractual."/>
    <s v="Enero "/>
    <s v="Enero "/>
    <s v="Enero "/>
    <n v="11.5"/>
    <s v="Meses"/>
    <s v="Contratación directa - Prestación de servicios profesionales "/>
    <s v="Propios - 20 - Ingresos corrientes"/>
    <n v="36000000"/>
    <n v="36000000"/>
    <s v="No"/>
    <s v="N/A"/>
    <s v="Edith Chávez"/>
    <s v="Coordinador GIT Contractual"/>
    <n v="6012220601"/>
    <s v="edith.chavez@upme.gov.co"/>
    <m/>
    <m/>
    <m/>
    <m/>
    <m/>
    <m/>
    <m/>
    <m/>
    <m/>
    <m/>
    <m/>
    <m/>
    <m/>
    <m/>
    <m/>
    <m/>
    <m/>
    <m/>
    <m/>
    <m/>
    <m/>
    <m/>
    <m/>
    <m/>
    <m/>
    <m/>
    <m/>
    <m/>
    <s v="Prestar servicios profesionales para la gestión de las fases contractuales de la entidad, con especial énfasis en los asuntos relativos a la Subdirección de Demanda, en asocio con el GIT de Gestión Contractual."/>
    <m/>
    <m/>
    <m/>
    <n v="3500000"/>
    <m/>
    <n v="7000000"/>
    <m/>
    <n v="7000000"/>
    <m/>
    <n v="7000000"/>
    <m/>
    <n v="7000000"/>
    <m/>
    <n v="7000000"/>
    <m/>
    <n v="7000000"/>
    <m/>
    <n v="7000000"/>
    <m/>
    <n v="7000000"/>
    <m/>
    <n v="7000000"/>
    <m/>
    <n v="14000000"/>
    <m/>
    <m/>
    <n v="0"/>
    <n v="80500000"/>
    <n v="36000000"/>
    <n v="-44500000"/>
    <n v="12626"/>
    <d v="2026-01-08T00:00:00"/>
    <n v="36000000"/>
    <n v="0"/>
    <m/>
    <m/>
    <n v="0"/>
    <n v="36000000"/>
    <n v="36000000"/>
    <m/>
    <m/>
    <m/>
    <m/>
    <m/>
    <m/>
    <m/>
    <m/>
    <m/>
    <m/>
    <m/>
    <m/>
    <m/>
    <m/>
    <m/>
    <m/>
    <m/>
    <m/>
    <m/>
    <m/>
    <m/>
    <m/>
    <m/>
    <m/>
    <m/>
    <m/>
    <m/>
    <m/>
    <m/>
    <m/>
    <m/>
    <m/>
    <m/>
    <m/>
    <m/>
    <m/>
    <m/>
    <m/>
    <n v="0"/>
    <n v="0"/>
    <n v="0"/>
    <n v="0"/>
    <n v="0"/>
  </r>
  <r>
    <x v="1"/>
    <x v="5"/>
    <s v="N/A"/>
    <s v="N/A"/>
    <s v="Sí"/>
    <s v="Sí"/>
    <n v="68"/>
    <s v="161-112"/>
    <s v="N.A"/>
    <s v="N.A"/>
    <s v="N.A"/>
    <n v="80111620"/>
    <s v="A-05-01-02-008-002"/>
    <x v="0"/>
    <s v="161-112 Prestar servicios profesionales para apoyar los procesos contractuales de la entidad en sus diferentes etapas, así como mantener actualizados los expedientes contractuales, bases de datos y sistemas de gestión documental del GIT de Gestión Contrac"/>
    <s v="Enero "/>
    <s v="Enero "/>
    <s v="Enero "/>
    <n v="11.5"/>
    <s v="Meses"/>
    <s v="Contratación directa - Prestación de servicios profesionales "/>
    <s v="Propios - 20 - Ingresos corrientes"/>
    <n v="66010000"/>
    <n v="66010000"/>
    <s v="No"/>
    <s v="N/A"/>
    <s v="Edith Chávez"/>
    <s v="Coordinador GIT Contractual"/>
    <n v="6012220601"/>
    <s v="edith.chavez@upme.gov.co"/>
    <m/>
    <m/>
    <m/>
    <m/>
    <m/>
    <m/>
    <m/>
    <m/>
    <m/>
    <m/>
    <m/>
    <m/>
    <m/>
    <m/>
    <m/>
    <m/>
    <m/>
    <m/>
    <m/>
    <m/>
    <m/>
    <m/>
    <m/>
    <m/>
    <m/>
    <m/>
    <m/>
    <m/>
    <s v="Prestar servicios profesionales para apoyar los procesos contractuales de la entidad en sus diferentes etapas, así como mantener actualizados los expedientes contractuales, bases de datos y sistemas de gestión documental del GIT de Gestión Contractual"/>
    <m/>
    <m/>
    <m/>
    <n v="2870000"/>
    <m/>
    <n v="5740000"/>
    <m/>
    <n v="5740000"/>
    <m/>
    <n v="5740000"/>
    <m/>
    <n v="5740000"/>
    <m/>
    <n v="5740000"/>
    <m/>
    <n v="5740000"/>
    <m/>
    <n v="5740000"/>
    <m/>
    <n v="5740000"/>
    <m/>
    <n v="5740000"/>
    <m/>
    <n v="11480000"/>
    <m/>
    <m/>
    <n v="0"/>
    <n v="66010000"/>
    <n v="66010000"/>
    <n v="0"/>
    <n v="8626"/>
    <d v="2026-01-06T00:00:00"/>
    <n v="66010000"/>
    <n v="0"/>
    <m/>
    <m/>
    <n v="0"/>
    <n v="66010000"/>
    <n v="66010000"/>
    <m/>
    <m/>
    <m/>
    <m/>
    <m/>
    <m/>
    <m/>
    <m/>
    <m/>
    <m/>
    <m/>
    <m/>
    <m/>
    <m/>
    <m/>
    <m/>
    <m/>
    <m/>
    <m/>
    <m/>
    <m/>
    <m/>
    <m/>
    <m/>
    <m/>
    <m/>
    <m/>
    <m/>
    <m/>
    <m/>
    <m/>
    <m/>
    <m/>
    <m/>
    <m/>
    <m/>
    <m/>
    <m/>
    <n v="0"/>
    <n v="0"/>
    <n v="0"/>
    <n v="0"/>
    <n v="0"/>
  </r>
  <r>
    <x v="1"/>
    <x v="5"/>
    <s v="N/A"/>
    <s v="N/A"/>
    <s v="Sí"/>
    <s v="Sí"/>
    <n v="68"/>
    <s v="161-113"/>
    <s v="N.A"/>
    <s v="N.A"/>
    <s v="N.A"/>
    <n v="80111620"/>
    <s v="A-05-01-02-008-003"/>
    <x v="0"/>
    <s v="161-113 Prestar el servicio de apoyo en todo lo relacionado con los asuntos de correspondencia de los trámites relacionados con los certificados de proyectos de Fuentes no Convencionales de Energía y Gestión Eficiente de la Energía y demás asuntos de la E"/>
    <s v="Enero "/>
    <s v="Enero "/>
    <s v="Enero "/>
    <n v="6"/>
    <s v="Meses"/>
    <s v="Contratación directa - Prestación de servicios profesionales "/>
    <s v="Propios - 20 - Ingresos corrientes"/>
    <n v="21689335"/>
    <n v="21689335"/>
    <s v="No"/>
    <s v="N/A"/>
    <s v="Jenny Peña"/>
    <s v="Coordinador GIT Administrativa"/>
    <n v="6012220601"/>
    <s v="jenny.pena@upme.gov.co"/>
    <m/>
    <m/>
    <m/>
    <m/>
    <m/>
    <m/>
    <m/>
    <m/>
    <m/>
    <m/>
    <m/>
    <m/>
    <m/>
    <m/>
    <m/>
    <m/>
    <m/>
    <m/>
    <m/>
    <m/>
    <m/>
    <m/>
    <m/>
    <m/>
    <m/>
    <m/>
    <m/>
    <m/>
    <s v="Prestar el servicio de apoyo en todo lo relacionado con los asuntos de correspondencia de los trámites relacionados con los certificados de proyectos de Fuentes no Convencionales de Energía y Gestión Eficiente de la Energía y demás asuntos de la Entidad"/>
    <m/>
    <m/>
    <m/>
    <n v="1807445"/>
    <m/>
    <n v="3614889"/>
    <m/>
    <n v="3614889"/>
    <m/>
    <n v="3614889"/>
    <m/>
    <n v="3614889"/>
    <m/>
    <n v="3614889"/>
    <m/>
    <n v="1807445"/>
    <m/>
    <m/>
    <m/>
    <m/>
    <m/>
    <m/>
    <m/>
    <m/>
    <m/>
    <m/>
    <n v="0"/>
    <n v="21689335"/>
    <n v="21689335"/>
    <n v="0"/>
    <n v="37126"/>
    <d v="2026-01-15T00:00:00"/>
    <n v="21689335"/>
    <n v="0"/>
    <m/>
    <m/>
    <n v="0"/>
    <n v="21689335"/>
    <n v="21689335"/>
    <m/>
    <m/>
    <m/>
    <m/>
    <m/>
    <m/>
    <m/>
    <m/>
    <m/>
    <m/>
    <m/>
    <m/>
    <m/>
    <m/>
    <m/>
    <m/>
    <m/>
    <m/>
    <m/>
    <m/>
    <m/>
    <m/>
    <m/>
    <m/>
    <m/>
    <m/>
    <m/>
    <m/>
    <m/>
    <m/>
    <m/>
    <m/>
    <m/>
    <m/>
    <m/>
    <m/>
    <m/>
    <m/>
    <n v="0"/>
    <n v="0"/>
    <n v="0"/>
    <n v="0"/>
    <n v="0"/>
  </r>
  <r>
    <x v="1"/>
    <x v="5"/>
    <s v="N/A"/>
    <s v="N/A"/>
    <s v="Sí"/>
    <s v="Sí"/>
    <n v="68"/>
    <s v="161-114"/>
    <s v="N.A"/>
    <s v="N.A"/>
    <s v="N.A"/>
    <n v="80111620"/>
    <s v="A-05-01-02-008-003"/>
    <x v="0"/>
    <s v="161-114 Prestar los servicios profesionales para apoyar y tramitar las actividades asociadas con el proceso de atención al ciudadano y la política de participación ciudadana y los planes institucionales de la UPME.s de Energía y Gestión Eficiente de la En"/>
    <s v="Enero "/>
    <s v="Enero "/>
    <s v="Enero "/>
    <n v="11.5"/>
    <s v="Meses"/>
    <s v="Contratación directa - Prestación de servicios profesionales "/>
    <s v="Propios - 20 - Ingresos corrientes"/>
    <n v="47428088"/>
    <n v="47428088"/>
    <s v="No"/>
    <s v="N/A"/>
    <s v="Jenny Peña"/>
    <s v="Coordinador GIT Administrativa"/>
    <n v="6012220601"/>
    <s v="jenny.pena@upme.gov.co"/>
    <m/>
    <m/>
    <m/>
    <m/>
    <m/>
    <m/>
    <m/>
    <m/>
    <m/>
    <m/>
    <m/>
    <m/>
    <m/>
    <m/>
    <m/>
    <m/>
    <m/>
    <m/>
    <m/>
    <m/>
    <m/>
    <m/>
    <m/>
    <m/>
    <m/>
    <m/>
    <m/>
    <m/>
    <s v="Prestar los servicios profesionales para apoyar y tramitar las actividades asociadas con el proceso de atención al ciudadano y la política de participación ciudadana y los planes institucionales de la UPME.s de Energía y Gestión Eficiente de la Energía y "/>
    <m/>
    <m/>
    <m/>
    <n v="2062091"/>
    <m/>
    <n v="4124181"/>
    <m/>
    <n v="4124181"/>
    <m/>
    <n v="4124181"/>
    <m/>
    <n v="4124181"/>
    <m/>
    <n v="4124181"/>
    <m/>
    <n v="4124181"/>
    <m/>
    <n v="4124181"/>
    <m/>
    <n v="4124181"/>
    <m/>
    <n v="4124181"/>
    <m/>
    <n v="8248368"/>
    <m/>
    <m/>
    <n v="0"/>
    <n v="47428088"/>
    <n v="47428088"/>
    <n v="0"/>
    <n v="47726"/>
    <d v="2026-01-19T00:00:00"/>
    <n v="47428088"/>
    <n v="0"/>
    <m/>
    <m/>
    <n v="0"/>
    <n v="47428088"/>
    <n v="47428088"/>
    <m/>
    <m/>
    <m/>
    <m/>
    <m/>
    <m/>
    <m/>
    <m/>
    <m/>
    <m/>
    <m/>
    <m/>
    <m/>
    <m/>
    <m/>
    <m/>
    <m/>
    <m/>
    <m/>
    <m/>
    <m/>
    <m/>
    <m/>
    <m/>
    <m/>
    <m/>
    <m/>
    <m/>
    <m/>
    <m/>
    <m/>
    <m/>
    <m/>
    <m/>
    <m/>
    <m/>
    <m/>
    <m/>
    <n v="0"/>
    <n v="0"/>
    <n v="0"/>
    <n v="0"/>
    <n v="0"/>
  </r>
  <r>
    <x v="1"/>
    <x v="5"/>
    <s v="N/A"/>
    <s v="N/A"/>
    <s v="Sí"/>
    <s v="Sí"/>
    <n v="5"/>
    <s v="161-115"/>
    <s v="N.A"/>
    <s v="N.A"/>
    <s v="N.A"/>
    <n v="80111620"/>
    <s v="A-05-01-02-008-003"/>
    <x v="0"/>
    <s v="161-115 Prestar los servicios profesionales Para el desarrollo de actividades relacionadas con el seguimiento  analisis y control a la ejecucion presupuestal, Plan anualizado de caja y a los procesos tesorales de la entidad"/>
    <s v="Enero "/>
    <s v="Enero "/>
    <s v="Enero "/>
    <n v="11.5"/>
    <s v="Meses"/>
    <s v="Contratación directa - Prestación de servicios profesionales "/>
    <s v="Propios - 20 - Ingresos corrientes"/>
    <n v="31304750"/>
    <n v="31304750"/>
    <s v="No"/>
    <s v="N/A"/>
    <s v="Hollman Corredor"/>
    <s v="Coordinador GIT Financiero"/>
    <n v="6012220601"/>
    <s v="hollman.corredor@upme.gov.co"/>
    <m/>
    <m/>
    <m/>
    <m/>
    <m/>
    <m/>
    <m/>
    <m/>
    <m/>
    <m/>
    <m/>
    <m/>
    <m/>
    <m/>
    <m/>
    <m/>
    <m/>
    <m/>
    <m/>
    <m/>
    <m/>
    <m/>
    <m/>
    <m/>
    <m/>
    <m/>
    <m/>
    <m/>
    <s v="Prestar los servicios profesionales Para el desarrollo de actividades relacionadas con el seguimiento  analisis y control a la ejecucion presupuestal, Plan anualizado de caja y a los procesos tesorales de la entidad"/>
    <m/>
    <m/>
    <n v="0"/>
    <n v="1361078"/>
    <n v="0"/>
    <n v="2722152"/>
    <n v="0"/>
    <n v="2722152"/>
    <n v="0"/>
    <n v="2722152"/>
    <n v="0"/>
    <n v="2722152"/>
    <n v="0"/>
    <n v="2722152"/>
    <n v="0"/>
    <n v="2722152"/>
    <n v="0"/>
    <n v="2722152"/>
    <n v="0"/>
    <n v="2722152"/>
    <n v="0"/>
    <n v="2722152"/>
    <n v="0"/>
    <n v="5444304"/>
    <m/>
    <m/>
    <n v="0"/>
    <n v="31304750"/>
    <n v="31304750"/>
    <n v="0"/>
    <n v="49226"/>
    <d v="2026-01-19T00:00:00"/>
    <n v="31304750"/>
    <n v="0"/>
    <m/>
    <m/>
    <n v="0"/>
    <n v="31304750"/>
    <n v="31304750"/>
    <m/>
    <m/>
    <m/>
    <m/>
    <m/>
    <m/>
    <m/>
    <m/>
    <m/>
    <m/>
    <m/>
    <m/>
    <m/>
    <m/>
    <m/>
    <m/>
    <m/>
    <m/>
    <m/>
    <m/>
    <m/>
    <m/>
    <m/>
    <m/>
    <m/>
    <m/>
    <m/>
    <m/>
    <m/>
    <m/>
    <m/>
    <m/>
    <m/>
    <m/>
    <m/>
    <m/>
    <m/>
    <m/>
    <n v="0"/>
    <n v="0"/>
    <n v="0"/>
    <n v="0"/>
    <n v="0"/>
  </r>
  <r>
    <x v="1"/>
    <x v="5"/>
    <s v="N/A"/>
    <s v="N/A"/>
    <s v="Sí"/>
    <s v="Sí"/>
    <n v="68"/>
    <s v="161-116"/>
    <s v="N.A"/>
    <s v="N.A"/>
    <s v="N.A"/>
    <n v="80111620"/>
    <s v="A-05-01-02-008-003"/>
    <x v="0"/>
    <s v="161-116 Prestar los servicios profesionales para el desarrollo de actividades relacionadas con la gestión y el seguimiento presupuestal en el marco del direccionamiento estratégico de la Entidad."/>
    <s v="Enero "/>
    <s v="Enero "/>
    <s v="Enero "/>
    <n v="11.5"/>
    <s v="Meses"/>
    <s v="Contratación directa - Prestación de servicios profesionales "/>
    <s v="Propios - 20 - Ingresos corrientes"/>
    <n v="83911360"/>
    <n v="83911360"/>
    <s v="No"/>
    <s v="N/A"/>
    <s v="Hollman Corredor"/>
    <s v="Coordinador GIT Financiero"/>
    <n v="6012220601"/>
    <s v="hollman.corredor@upme.gov.co"/>
    <m/>
    <m/>
    <m/>
    <m/>
    <m/>
    <m/>
    <m/>
    <m/>
    <m/>
    <m/>
    <m/>
    <m/>
    <m/>
    <m/>
    <m/>
    <m/>
    <m/>
    <m/>
    <m/>
    <m/>
    <m/>
    <m/>
    <m/>
    <m/>
    <m/>
    <m/>
    <m/>
    <m/>
    <s v="Prestar los servicios profesionales para el desarrollo de actividades relacionadas con la gestión y el seguimiento presupuestal en el marco del direccionamiento estratégico de la Entidad."/>
    <m/>
    <m/>
    <m/>
    <n v="3648320"/>
    <m/>
    <n v="7296640"/>
    <m/>
    <n v="7296640"/>
    <m/>
    <n v="7296640"/>
    <m/>
    <n v="7296640"/>
    <m/>
    <n v="7296640"/>
    <m/>
    <n v="7296640"/>
    <m/>
    <n v="7296640"/>
    <m/>
    <n v="7296640"/>
    <m/>
    <n v="7296640"/>
    <m/>
    <n v="14593280"/>
    <m/>
    <m/>
    <n v="0"/>
    <n v="83911360"/>
    <n v="83911360"/>
    <n v="0"/>
    <n v="3026"/>
    <d v="2026-01-05T00:00:00"/>
    <n v="83911360"/>
    <n v="0"/>
    <m/>
    <m/>
    <n v="0"/>
    <n v="83911360"/>
    <n v="83911360"/>
    <m/>
    <m/>
    <m/>
    <m/>
    <m/>
    <m/>
    <m/>
    <m/>
    <m/>
    <m/>
    <m/>
    <m/>
    <m/>
    <m/>
    <m/>
    <m/>
    <m/>
    <m/>
    <m/>
    <m/>
    <m/>
    <m/>
    <m/>
    <m/>
    <m/>
    <m/>
    <m/>
    <m/>
    <m/>
    <m/>
    <m/>
    <m/>
    <m/>
    <m/>
    <m/>
    <m/>
    <m/>
    <m/>
    <n v="0"/>
    <n v="0"/>
    <n v="0"/>
    <n v="0"/>
    <n v="0"/>
  </r>
  <r>
    <x v="1"/>
    <x v="5"/>
    <s v="N/A"/>
    <s v="N/A"/>
    <s v="Sí"/>
    <s v="Sí"/>
    <n v="68"/>
    <s v="161-117"/>
    <s v="N.A"/>
    <s v="N.A"/>
    <s v="N.A"/>
    <n v="80111620"/>
    <s v="A-05-01-02-008-003"/>
    <x v="0"/>
    <s v="161-117 Prestar los servicios profesionales para el apoyo administrativo relacionados con el contrato de la fiducia mercantil, gestión de tesorería y contable a cargo de GIT de gestión financiera."/>
    <s v="Enero "/>
    <s v="Enero "/>
    <s v="Enero "/>
    <n v="6"/>
    <s v="Meses"/>
    <s v="Contratación directa - Prestación de servicios profesionales "/>
    <s v="Propios - 20 - Ingresos corrientes"/>
    <n v="19524960"/>
    <n v="19524960"/>
    <s v="No"/>
    <s v="N/A"/>
    <s v="Hollman Corredor"/>
    <s v="Coordinador GIT Financiero"/>
    <n v="6012220601"/>
    <s v="hollman.corredor@upme.gov.co"/>
    <m/>
    <m/>
    <m/>
    <m/>
    <m/>
    <m/>
    <m/>
    <m/>
    <m/>
    <m/>
    <m/>
    <m/>
    <m/>
    <m/>
    <m/>
    <m/>
    <m/>
    <m/>
    <m/>
    <m/>
    <m/>
    <m/>
    <m/>
    <m/>
    <m/>
    <m/>
    <m/>
    <m/>
    <s v="Prestar los servicios profesionales para el apoyo administrativo relacionados con el contrato de la fiducia mercantil, gestión de tesorería y contable a cargo de GIT de gestión financiera."/>
    <m/>
    <m/>
    <m/>
    <n v="1627080"/>
    <m/>
    <n v="3254160"/>
    <m/>
    <n v="3254160"/>
    <m/>
    <n v="3254160"/>
    <m/>
    <n v="3254160"/>
    <m/>
    <n v="3254160"/>
    <m/>
    <n v="1627080"/>
    <m/>
    <m/>
    <m/>
    <m/>
    <m/>
    <m/>
    <m/>
    <m/>
    <m/>
    <m/>
    <n v="0"/>
    <n v="19524960"/>
    <n v="19524960"/>
    <n v="0"/>
    <n v="30026"/>
    <d v="2026-01-14T00:00:00"/>
    <n v="19524960"/>
    <n v="0"/>
    <m/>
    <m/>
    <n v="0"/>
    <n v="19524960"/>
    <n v="19524960"/>
    <m/>
    <m/>
    <m/>
    <m/>
    <m/>
    <m/>
    <m/>
    <m/>
    <m/>
    <m/>
    <m/>
    <m/>
    <m/>
    <m/>
    <m/>
    <m/>
    <m/>
    <m/>
    <m/>
    <m/>
    <m/>
    <m/>
    <m/>
    <m/>
    <m/>
    <m/>
    <m/>
    <m/>
    <m/>
    <m/>
    <m/>
    <m/>
    <m/>
    <m/>
    <m/>
    <m/>
    <m/>
    <m/>
    <n v="0"/>
    <n v="0"/>
    <n v="0"/>
    <n v="0"/>
    <n v="0"/>
  </r>
  <r>
    <x v="1"/>
    <x v="5"/>
    <s v="N/A"/>
    <s v="N/A"/>
    <s v="Sí"/>
    <s v="Sí"/>
    <n v="68"/>
    <s v="161-118"/>
    <s v="N.A"/>
    <s v="N.A"/>
    <s v="N.A"/>
    <n v="80111620"/>
    <s v="A-05-01-02-008-002"/>
    <x v="0"/>
    <s v="161-118 Prestar los servicios profesionales para el desarrollo de actividades relacionadas con la gestión tributaria de la entidad a cargo del Grupo Interno de Trabajo de Gestión Financiera de la Secretaría General, todo de conformidad con lo señalado en "/>
    <s v="Enero "/>
    <s v="Enero "/>
    <s v="Enero "/>
    <n v="11.5"/>
    <s v="Meses"/>
    <s v="Contratación directa - Prestación de servicios profesionales "/>
    <s v="Propios - 20 - Ingresos corrientes"/>
    <n v="84718200"/>
    <n v="84718200"/>
    <s v="No"/>
    <s v="N/A"/>
    <s v="Hollman Corredor"/>
    <s v="Coordinador GIT Financiero"/>
    <n v="6012220601"/>
    <s v="hollman.corredor@upme.gov.co"/>
    <m/>
    <m/>
    <m/>
    <m/>
    <m/>
    <m/>
    <m/>
    <m/>
    <m/>
    <m/>
    <m/>
    <m/>
    <m/>
    <m/>
    <m/>
    <m/>
    <m/>
    <m/>
    <m/>
    <m/>
    <m/>
    <m/>
    <m/>
    <m/>
    <m/>
    <m/>
    <m/>
    <m/>
    <s v="Prestar los servicios profesionales para el desarrollo de actividades relacionadas con la gestión tributaria de la entidad a cargo del Grupo Interno de Trabajo de Gestión Financiera de la Secretaría General, todo de conformidad con lo señalado en los estu"/>
    <m/>
    <m/>
    <m/>
    <n v="3683400"/>
    <m/>
    <n v="7366800"/>
    <m/>
    <n v="7366800"/>
    <m/>
    <n v="7366800"/>
    <m/>
    <n v="7366800"/>
    <m/>
    <n v="7366800"/>
    <m/>
    <n v="7366800"/>
    <m/>
    <n v="7366800"/>
    <m/>
    <n v="7366800"/>
    <m/>
    <n v="7366800"/>
    <m/>
    <n v="14733600"/>
    <m/>
    <m/>
    <n v="0"/>
    <n v="84718200"/>
    <n v="84718200"/>
    <n v="0"/>
    <n v="30226"/>
    <d v="2026-01-14T00:00:00"/>
    <n v="84718200"/>
    <n v="0"/>
    <m/>
    <m/>
    <n v="0"/>
    <n v="84718200"/>
    <n v="84718200"/>
    <m/>
    <m/>
    <m/>
    <m/>
    <m/>
    <m/>
    <m/>
    <m/>
    <m/>
    <m/>
    <m/>
    <m/>
    <m/>
    <m/>
    <m/>
    <m/>
    <m/>
    <m/>
    <m/>
    <m/>
    <m/>
    <m/>
    <m/>
    <m/>
    <m/>
    <m/>
    <m/>
    <m/>
    <m/>
    <m/>
    <m/>
    <m/>
    <m/>
    <m/>
    <m/>
    <m/>
    <m/>
    <m/>
    <n v="0"/>
    <n v="0"/>
    <n v="0"/>
    <n v="0"/>
    <n v="0"/>
  </r>
  <r>
    <x v="1"/>
    <x v="5"/>
    <s v="N/A"/>
    <s v="N/A"/>
    <s v="Sí"/>
    <s v="Sí"/>
    <n v="10"/>
    <s v="161-119"/>
    <s v="N.A"/>
    <s v="N.A"/>
    <s v="N.A"/>
    <n v="80111620"/>
    <s v="A-05-01-02-008-003"/>
    <x v="0"/>
    <s v="161-119 Prestación de servicios profesionales para la creación desde la experiencia académica, de estrategias de información que trasciendan a la ciudadanía en el conocimiento de la misionalidad de la UPME"/>
    <s v="Enero "/>
    <s v="Enero "/>
    <s v="Enero "/>
    <n v="10"/>
    <s v="Meses"/>
    <s v="Contratación directa - Prestación de servicios profesionales "/>
    <s v="Propios - 20 - Ingresos corrientes"/>
    <n v="33000000"/>
    <n v="33000000"/>
    <s v="No"/>
    <s v="N/A"/>
    <s v="Hollman Corredor"/>
    <s v="Coordinador GIT Financiero"/>
    <n v="6012220601"/>
    <s v="hollman.corredor@upme.gov.co"/>
    <m/>
    <m/>
    <m/>
    <m/>
    <m/>
    <m/>
    <m/>
    <m/>
    <m/>
    <m/>
    <m/>
    <m/>
    <m/>
    <m/>
    <m/>
    <m/>
    <m/>
    <m/>
    <m/>
    <m/>
    <m/>
    <m/>
    <m/>
    <m/>
    <m/>
    <m/>
    <m/>
    <m/>
    <s v="Prestación de servicios profesionales para la creación desde la experiencia académica, de estrategias de información que trasciendan a la ciudadanía en el conocimiento de la misionalidad de la UPME"/>
    <m/>
    <m/>
    <n v="0"/>
    <n v="0"/>
    <n v="0"/>
    <n v="3300000"/>
    <n v="0"/>
    <n v="3300000"/>
    <n v="0"/>
    <n v="3300000"/>
    <n v="0"/>
    <n v="3300000"/>
    <n v="0"/>
    <n v="3300000"/>
    <n v="0"/>
    <n v="3300000"/>
    <n v="0"/>
    <n v="3300000"/>
    <n v="0"/>
    <n v="3300000"/>
    <n v="0"/>
    <n v="3300000"/>
    <n v="0"/>
    <n v="3300000"/>
    <m/>
    <m/>
    <n v="0"/>
    <n v="33000000"/>
    <n v="33000000"/>
    <n v="0"/>
    <n v="68026"/>
    <d v="2026-01-30T00:00:00"/>
    <n v="33000000"/>
    <n v="0"/>
    <m/>
    <m/>
    <n v="0"/>
    <n v="33000000"/>
    <n v="33000000"/>
    <m/>
    <m/>
    <m/>
    <m/>
    <m/>
    <m/>
    <m/>
    <m/>
    <m/>
    <m/>
    <m/>
    <m/>
    <m/>
    <m/>
    <m/>
    <m/>
    <m/>
    <m/>
    <m/>
    <m/>
    <m/>
    <m/>
    <m/>
    <m/>
    <m/>
    <m/>
    <m/>
    <m/>
    <m/>
    <m/>
    <m/>
    <m/>
    <m/>
    <m/>
    <m/>
    <m/>
    <m/>
    <m/>
    <n v="0"/>
    <n v="0"/>
    <n v="0"/>
    <n v="0"/>
    <n v="0"/>
  </r>
  <r>
    <x v="1"/>
    <x v="5"/>
    <s v="N/A"/>
    <s v="N/A"/>
    <s v="Sí"/>
    <s v="Sí"/>
    <n v="6"/>
    <s v="161-12"/>
    <s v="N.A"/>
    <s v="N.A"/>
    <s v="N.A"/>
    <n v="80111620"/>
    <s v="A-05-01-02-008-003"/>
    <x v="0"/>
    <s v="161-12 Prestar los servicios profesionales para la asistencia técnica y atención al ciudadano, así como la evaluación de los requerimientos asociados al trámite de Incentivos Tributarios."/>
    <s v="Enero "/>
    <s v="Enero "/>
    <s v="Enero "/>
    <n v="3.4"/>
    <s v="Meses"/>
    <s v="Contratación directa - Prestación de servicios profesionales "/>
    <s v="Propios - 20 - Ingresos corrientes"/>
    <n v="11425000"/>
    <n v="11425000"/>
    <s v="No"/>
    <s v="N/A"/>
    <s v="Johanna Castellanos"/>
    <s v="Subdirectora de Demanda"/>
    <n v="6012220601"/>
    <s v="johanna.castellanos@upme.gov.co"/>
    <m/>
    <m/>
    <m/>
    <m/>
    <m/>
    <m/>
    <m/>
    <m/>
    <m/>
    <m/>
    <m/>
    <m/>
    <m/>
    <m/>
    <m/>
    <m/>
    <m/>
    <m/>
    <m/>
    <m/>
    <m/>
    <m/>
    <m/>
    <m/>
    <m/>
    <m/>
    <m/>
    <m/>
    <s v="Prestar los servicios profesionales para la asistencia técnica y atención al ciudadano, así como la evaluación de los requerimientos asociados al trámite de Incentivos Tributarios."/>
    <m/>
    <m/>
    <n v="0"/>
    <n v="-24710000"/>
    <n v="0"/>
    <n v="3285000"/>
    <n v="0"/>
    <n v="3285000"/>
    <n v="0"/>
    <n v="3285000"/>
    <n v="0"/>
    <n v="3285000"/>
    <n v="0"/>
    <n v="3285000"/>
    <n v="0"/>
    <n v="3285000"/>
    <n v="0"/>
    <n v="3285000"/>
    <n v="0"/>
    <n v="3285000"/>
    <n v="0"/>
    <n v="3285000"/>
    <n v="0"/>
    <n v="6570000"/>
    <m/>
    <m/>
    <n v="0"/>
    <n v="11425000"/>
    <n v="11425000"/>
    <n v="0"/>
    <m/>
    <m/>
    <m/>
    <n v="11425000"/>
    <n v="3726"/>
    <d v="2026-01-09T00:00:00"/>
    <n v="0"/>
    <n v="11425000"/>
    <n v="0"/>
    <s v="MARIN PINZON NICOLAS AUGUSTO"/>
    <s v="CO1.PCCNTR. 7366311"/>
    <m/>
    <m/>
    <m/>
    <m/>
    <m/>
    <m/>
    <m/>
    <m/>
    <m/>
    <m/>
    <m/>
    <m/>
    <m/>
    <m/>
    <m/>
    <m/>
    <m/>
    <m/>
    <m/>
    <m/>
    <m/>
    <m/>
    <m/>
    <m/>
    <m/>
    <m/>
    <m/>
    <m/>
    <m/>
    <m/>
    <m/>
    <m/>
    <m/>
    <m/>
    <m/>
    <m/>
    <n v="0"/>
    <n v="0"/>
    <n v="0"/>
    <n v="0"/>
    <n v="0"/>
  </r>
  <r>
    <x v="1"/>
    <x v="5"/>
    <s v="N/A"/>
    <s v="N/A"/>
    <s v="Sí"/>
    <s v="Sí"/>
    <n v="68"/>
    <s v="161-120"/>
    <s v="N.A"/>
    <s v="N.A"/>
    <s v="N.A"/>
    <n v="80111620"/>
    <s v="A-05-01-02-008-003"/>
    <x v="0"/>
    <s v="161-120 Prestar los servicios profesionales para la gestión en la ejecución de los ingresos y gastos de comercialización y producción, apoyo en el seguimiento técnico, administrativo y financiero al cumplimiento del objeto del contrato de la fiducia merca"/>
    <s v="Enero "/>
    <s v="Enero "/>
    <s v="Enero "/>
    <n v="6.5"/>
    <s v="Meses"/>
    <s v="Contratación directa - Prestación de servicios profesionales "/>
    <s v="Propios - 20 - Ingresos corrientes"/>
    <n v="40472250"/>
    <n v="40472250"/>
    <s v="No"/>
    <s v="N/A"/>
    <s v="Hollman Corredor"/>
    <s v="Coordinador GIT Financiero"/>
    <n v="6012220601"/>
    <s v="hollman.corredor@upme.gov.co"/>
    <m/>
    <m/>
    <m/>
    <m/>
    <m/>
    <m/>
    <m/>
    <m/>
    <m/>
    <m/>
    <m/>
    <m/>
    <m/>
    <m/>
    <m/>
    <m/>
    <m/>
    <m/>
    <m/>
    <m/>
    <m/>
    <m/>
    <m/>
    <m/>
    <m/>
    <m/>
    <m/>
    <m/>
    <s v="Prestar los servicios profesionales para la gestión en la ejecución de los ingresos y gastos de comercialización y producción, apoyo en el seguimiento técnico, administrativo y financiero al cumplimiento del objeto del contrato de la fiducia mercantil y a"/>
    <m/>
    <m/>
    <m/>
    <n v="3113250"/>
    <m/>
    <n v="6226500"/>
    <m/>
    <n v="6226500"/>
    <m/>
    <n v="6226500"/>
    <m/>
    <n v="6226500"/>
    <m/>
    <n v="6226500"/>
    <m/>
    <n v="6226500"/>
    <m/>
    <m/>
    <m/>
    <m/>
    <m/>
    <m/>
    <m/>
    <m/>
    <m/>
    <m/>
    <n v="0"/>
    <n v="40472250"/>
    <n v="40472250"/>
    <n v="0"/>
    <n v="20026"/>
    <d v="2026-01-11T00:00:00"/>
    <n v="40472250"/>
    <n v="0"/>
    <m/>
    <m/>
    <n v="0"/>
    <n v="40472250"/>
    <n v="40472250"/>
    <m/>
    <m/>
    <m/>
    <m/>
    <m/>
    <m/>
    <m/>
    <m/>
    <m/>
    <m/>
    <m/>
    <m/>
    <m/>
    <m/>
    <m/>
    <m/>
    <m/>
    <m/>
    <m/>
    <m/>
    <m/>
    <m/>
    <m/>
    <m/>
    <m/>
    <m/>
    <m/>
    <m/>
    <m/>
    <m/>
    <m/>
    <m/>
    <m/>
    <m/>
    <m/>
    <m/>
    <m/>
    <m/>
    <n v="0"/>
    <n v="0"/>
    <n v="0"/>
    <n v="0"/>
    <n v="0"/>
  </r>
  <r>
    <x v="1"/>
    <x v="5"/>
    <s v="N/A"/>
    <s v="N/A"/>
    <s v="Sí"/>
    <s v="Sí"/>
    <n v="68"/>
    <s v="161-121"/>
    <s v="N.A"/>
    <s v="N.A"/>
    <s v="N.A"/>
    <s v="84111701;84101501"/>
    <s v="A-05-01-02-007-001"/>
    <x v="0"/>
    <s v="161-121 Constituir una Fiducia Mercantil, a través del cual se recibirán y administrarán los recursos provenientes de los terceros que utilicen o soliciten servicios técnicos o de planeación y asesoría a la Unidad de Planeación Minero Energética - UPME."/>
    <s v="Enero "/>
    <s v="Enero "/>
    <s v="Enero "/>
    <n v="12"/>
    <s v="Meses"/>
    <s v="Contratación directa - Prestación de servicios profesionales "/>
    <s v="Propios - 20 - Ingresos corrientes"/>
    <n v="67081020"/>
    <n v="67081020"/>
    <s v="No"/>
    <s v="N/A"/>
    <s v="Hollman Corredor"/>
    <s v="Coordinador GIT Financiero"/>
    <n v="6012220601"/>
    <s v="hollman.corredor@upme.gov.co"/>
    <m/>
    <m/>
    <m/>
    <m/>
    <m/>
    <m/>
    <m/>
    <m/>
    <m/>
    <m/>
    <m/>
    <m/>
    <m/>
    <m/>
    <m/>
    <m/>
    <m/>
    <m/>
    <m/>
    <m/>
    <m/>
    <m/>
    <m/>
    <m/>
    <m/>
    <m/>
    <m/>
    <m/>
    <s v="Constituir una Fiducia Mercantil, a través del cual se recibirán y administrarán los recursos provenientes de los terceros que utilicen o soliciten servicios técnicos o de planeación y asesoría a la Unidad de Planeación Minero Energética - UPME."/>
    <m/>
    <m/>
    <m/>
    <n v="5590085"/>
    <m/>
    <n v="5590085"/>
    <m/>
    <n v="5590085"/>
    <m/>
    <n v="5590085"/>
    <m/>
    <n v="5590085"/>
    <m/>
    <n v="5590085"/>
    <m/>
    <n v="5590085"/>
    <m/>
    <n v="5590085"/>
    <m/>
    <n v="5590085"/>
    <m/>
    <n v="5590085"/>
    <m/>
    <n v="5590085"/>
    <m/>
    <m/>
    <n v="0"/>
    <n v="61490935"/>
    <n v="67081020"/>
    <n v="5590085"/>
    <n v="326"/>
    <d v="2026-01-04T00:00:00"/>
    <n v="31423049"/>
    <n v="35657971"/>
    <m/>
    <m/>
    <n v="0"/>
    <n v="67081020"/>
    <n v="31423049"/>
    <m/>
    <m/>
    <m/>
    <m/>
    <m/>
    <m/>
    <m/>
    <m/>
    <m/>
    <m/>
    <m/>
    <m/>
    <m/>
    <m/>
    <m/>
    <m/>
    <m/>
    <m/>
    <m/>
    <m/>
    <m/>
    <m/>
    <m/>
    <m/>
    <m/>
    <m/>
    <m/>
    <m/>
    <m/>
    <m/>
    <m/>
    <m/>
    <m/>
    <m/>
    <m/>
    <m/>
    <m/>
    <m/>
    <n v="0"/>
    <n v="0"/>
    <n v="0"/>
    <n v="0"/>
    <n v="0"/>
  </r>
  <r>
    <x v="1"/>
    <x v="5"/>
    <s v="N/A"/>
    <s v="N/A"/>
    <s v="Sí"/>
    <s v="Sí"/>
    <n v="68"/>
    <s v="161-122"/>
    <s v="N.A"/>
    <s v="N.A"/>
    <s v="N.A"/>
    <n v="80111620"/>
    <s v="A-05-01-02-008-002"/>
    <x v="0"/>
    <s v="161-122 Prestar servicios profesionales,  para el desarrollo de actividades relacionadas con el seguimiento, análisis y control de la gestión contable  de la Unidad de Planeación Minero Energética – UPME"/>
    <s v="Enero "/>
    <s v="Enero "/>
    <s v="Enero "/>
    <n v="11.5"/>
    <s v="Meses"/>
    <s v="Contratación directa - Prestación de servicios profesionales "/>
    <s v="Propios - 20 - Ingresos corrientes"/>
    <n v="36800000"/>
    <n v="36800000"/>
    <s v="No"/>
    <s v="N/A"/>
    <s v="Hollman Corredor"/>
    <s v="Coordinador GIT Financiero"/>
    <n v="6012220601"/>
    <s v="hollman.corredor@upme.gov.co"/>
    <m/>
    <m/>
    <m/>
    <m/>
    <m/>
    <m/>
    <m/>
    <m/>
    <m/>
    <m/>
    <m/>
    <m/>
    <m/>
    <m/>
    <m/>
    <m/>
    <m/>
    <m/>
    <m/>
    <m/>
    <m/>
    <m/>
    <m/>
    <m/>
    <m/>
    <m/>
    <m/>
    <m/>
    <s v="Prestar servicios profesionales,  para el desarrollo de actividades relacionadas con el seguimiento, análisis y control de la gestión contable  de la Unidad de Planeación Minero Energética – UPME"/>
    <m/>
    <m/>
    <m/>
    <n v="1600000"/>
    <m/>
    <n v="3200000"/>
    <m/>
    <n v="3200000"/>
    <m/>
    <n v="3200000"/>
    <m/>
    <n v="3200000"/>
    <m/>
    <n v="3200000"/>
    <m/>
    <n v="3200000"/>
    <m/>
    <n v="3200000"/>
    <m/>
    <n v="3200000"/>
    <m/>
    <n v="3200000"/>
    <m/>
    <n v="6400000"/>
    <m/>
    <m/>
    <n v="0"/>
    <n v="36800000"/>
    <n v="36800000"/>
    <n v="0"/>
    <n v="47326"/>
    <d v="2026-01-19T00:00:00"/>
    <n v="35200000"/>
    <n v="1600000"/>
    <m/>
    <m/>
    <n v="0"/>
    <n v="36800000"/>
    <n v="35200000"/>
    <m/>
    <m/>
    <m/>
    <m/>
    <m/>
    <m/>
    <m/>
    <m/>
    <m/>
    <m/>
    <m/>
    <m/>
    <m/>
    <m/>
    <m/>
    <m/>
    <m/>
    <m/>
    <m/>
    <m/>
    <m/>
    <m/>
    <m/>
    <m/>
    <m/>
    <m/>
    <m/>
    <m/>
    <m/>
    <m/>
    <m/>
    <m/>
    <m/>
    <m/>
    <m/>
    <m/>
    <m/>
    <m/>
    <n v="0"/>
    <n v="0"/>
    <n v="0"/>
    <n v="0"/>
    <n v="0"/>
  </r>
  <r>
    <x v="1"/>
    <x v="5"/>
    <s v="N/A"/>
    <s v="N/A"/>
    <s v="Sí"/>
    <s v="Sí"/>
    <n v="68"/>
    <s v="161-123"/>
    <s v="N.A"/>
    <s v="N.A"/>
    <s v="N.A"/>
    <n v="80111620"/>
    <s v="A-05-01-02-008-002"/>
    <x v="0"/>
    <s v="161-123 Prestar servicios profesionales para el desarrollo de los tramites contractuales requeridos y la proyección de las respuestas a las PQRS de la entidad, en especial las relacionadas con el tramite de Incentivos Tributarios."/>
    <s v="Enero "/>
    <s v="Enero "/>
    <s v="Enero "/>
    <n v="11.5"/>
    <s v="Meses"/>
    <s v="Contratación directa - Prestación de servicios profesionales "/>
    <s v="Propios - 20 - Ingresos corrientes"/>
    <n v="57500000"/>
    <n v="57500000"/>
    <s v="No"/>
    <s v="N/A"/>
    <s v="Edith Chávez"/>
    <s v="Coordinador GIT Contractual"/>
    <n v="6012220601"/>
    <s v="edith.chavez@upme.gov.co"/>
    <m/>
    <m/>
    <m/>
    <m/>
    <m/>
    <m/>
    <m/>
    <m/>
    <m/>
    <m/>
    <m/>
    <m/>
    <m/>
    <m/>
    <m/>
    <m/>
    <m/>
    <m/>
    <m/>
    <m/>
    <m/>
    <m/>
    <m/>
    <m/>
    <m/>
    <m/>
    <m/>
    <m/>
    <s v="Prestar servicios profesionales para el desarrollo de los tramites contractuales requeridos y la proyección de las respuestas a las PQRS de la entidad, en especial las relacionadas con el tramite de Incentivos Tributarios."/>
    <m/>
    <m/>
    <m/>
    <n v="2500000"/>
    <m/>
    <n v="5000000"/>
    <m/>
    <n v="5000000"/>
    <m/>
    <n v="5000000"/>
    <m/>
    <n v="5000000"/>
    <m/>
    <n v="5000000"/>
    <m/>
    <n v="5000000"/>
    <m/>
    <n v="5000000"/>
    <m/>
    <n v="5000000"/>
    <m/>
    <n v="5000000"/>
    <m/>
    <n v="10000000"/>
    <m/>
    <m/>
    <n v="0"/>
    <n v="57500000"/>
    <n v="57500000"/>
    <n v="0"/>
    <n v="4226"/>
    <d v="2026-01-05T00:00:00"/>
    <n v="55424250"/>
    <n v="2075750"/>
    <m/>
    <m/>
    <n v="0"/>
    <n v="57500000"/>
    <n v="55424250"/>
    <m/>
    <m/>
    <m/>
    <m/>
    <m/>
    <m/>
    <m/>
    <m/>
    <m/>
    <m/>
    <m/>
    <m/>
    <m/>
    <m/>
    <m/>
    <m/>
    <m/>
    <m/>
    <m/>
    <m/>
    <m/>
    <m/>
    <m/>
    <m/>
    <m/>
    <m/>
    <m/>
    <m/>
    <m/>
    <m/>
    <m/>
    <m/>
    <m/>
    <m/>
    <m/>
    <m/>
    <m/>
    <m/>
    <n v="0"/>
    <n v="0"/>
    <n v="0"/>
    <n v="0"/>
    <n v="0"/>
  </r>
  <r>
    <x v="1"/>
    <x v="5"/>
    <s v="N/A"/>
    <s v="N/A"/>
    <s v="Sí"/>
    <s v="Sí"/>
    <n v="68"/>
    <s v="161-124"/>
    <s v="N.A"/>
    <s v="N.A"/>
    <s v="N.A"/>
    <n v="80111620"/>
    <s v="A-05-01-02-008-002"/>
    <x v="0"/>
    <s v="161-124 Prestar apoyo técnico operativo en los procesos de registro, verificación y organización de la información contable, presupuestal y financiera de la entidad, conforme a la normatividad vigente del sector público, contribuyendo al correcto manejo d"/>
    <s v="Enero "/>
    <s v="Enero "/>
    <s v="Enero "/>
    <n v="11.5"/>
    <s v="Meses"/>
    <s v="Contratación directa - Prestación de servicios profesionales "/>
    <s v="Propios - 20 - Ingresos corrientes"/>
    <n v="34500000"/>
    <n v="34500000"/>
    <s v="No"/>
    <s v="N/A"/>
    <s v="Hollman Corredor"/>
    <s v="Coordinador GIT Financiero"/>
    <n v="6012220601"/>
    <s v="katherin.perez@upme.gov.co"/>
    <m/>
    <m/>
    <m/>
    <m/>
    <m/>
    <m/>
    <m/>
    <m/>
    <m/>
    <m/>
    <m/>
    <m/>
    <m/>
    <m/>
    <m/>
    <m/>
    <m/>
    <m/>
    <m/>
    <m/>
    <m/>
    <m/>
    <m/>
    <m/>
    <m/>
    <m/>
    <m/>
    <m/>
    <s v="Prestar apoyo técnico operativo en los procesos de registro, verificación y organización de la información contable, presupuestal y financiera de la entidad, conforme a la normatividad vigente del sector público, contribuyendo al correcto manejo de los re"/>
    <m/>
    <m/>
    <m/>
    <n v="1500000"/>
    <m/>
    <n v="3000000"/>
    <m/>
    <n v="3000000"/>
    <m/>
    <n v="3000000"/>
    <m/>
    <n v="3000000"/>
    <m/>
    <n v="3000000"/>
    <m/>
    <n v="3000000"/>
    <m/>
    <n v="3000000"/>
    <m/>
    <n v="3000000"/>
    <m/>
    <n v="3000000"/>
    <m/>
    <n v="6000000"/>
    <m/>
    <m/>
    <n v="0"/>
    <n v="34500000"/>
    <n v="34500000"/>
    <n v="0"/>
    <n v="30426"/>
    <d v="2026-01-14T00:00:00"/>
    <n v="34500000"/>
    <n v="0"/>
    <m/>
    <m/>
    <n v="0"/>
    <n v="34500000"/>
    <n v="34500000"/>
    <m/>
    <m/>
    <m/>
    <m/>
    <m/>
    <m/>
    <m/>
    <m/>
    <m/>
    <m/>
    <m/>
    <m/>
    <m/>
    <m/>
    <m/>
    <m/>
    <m/>
    <m/>
    <m/>
    <m/>
    <m/>
    <m/>
    <m/>
    <m/>
    <m/>
    <m/>
    <m/>
    <m/>
    <m/>
    <m/>
    <m/>
    <m/>
    <m/>
    <m/>
    <m/>
    <m/>
    <m/>
    <m/>
    <n v="0"/>
    <n v="0"/>
    <n v="0"/>
    <n v="0"/>
    <n v="0"/>
  </r>
  <r>
    <x v="1"/>
    <x v="5"/>
    <s v="N/A"/>
    <s v="N/A"/>
    <s v="Sí"/>
    <s v="Sí"/>
    <n v="7"/>
    <s v="161-125"/>
    <s v="N.A"/>
    <s v="N.A"/>
    <s v="N.A"/>
    <n v="80111620"/>
    <s v="A-05-01-02-008-002"/>
    <x v="0"/>
    <s v="161-125 Prestar servicios de apoyo en las actividades de registro, clasificación, depuración, verificación y archivo de la información contable de la entidad, de conformidad con la normatividad contable del sector público y los procedimientos internos, co"/>
    <s v="Enero "/>
    <s v="Enero "/>
    <s v="Enero "/>
    <n v="11"/>
    <s v="Meses"/>
    <s v="Contratación directa - Prestación de servicios profesionales "/>
    <s v="Propios - 20 - Ingresos corrientes"/>
    <n v="36800000"/>
    <n v="36800000"/>
    <s v="No"/>
    <s v="N/A"/>
    <s v="Hollman Corredor"/>
    <s v="Coordinador GIT Financiero"/>
    <n v="6012220601"/>
    <s v="katherin.perez@upme.gov.co"/>
    <m/>
    <m/>
    <m/>
    <m/>
    <m/>
    <m/>
    <m/>
    <m/>
    <m/>
    <m/>
    <m/>
    <m/>
    <m/>
    <m/>
    <m/>
    <m/>
    <m/>
    <m/>
    <m/>
    <m/>
    <m/>
    <m/>
    <m/>
    <m/>
    <m/>
    <m/>
    <m/>
    <m/>
    <s v="Prestar servicios de apoyo en las actividades de registro, clasificación, depuración, verificación y archivo de la información contable de la entidad, de conformidad con la normatividad contable del sector público y los procedimientos internos, contribuye"/>
    <m/>
    <m/>
    <n v="0"/>
    <n v="3345450"/>
    <n v="0"/>
    <n v="3345450"/>
    <n v="0"/>
    <n v="3345450"/>
    <n v="0"/>
    <n v="3345450"/>
    <n v="0"/>
    <n v="3345450"/>
    <n v="0"/>
    <n v="3345450"/>
    <n v="0"/>
    <n v="3345450"/>
    <n v="0"/>
    <n v="3345450"/>
    <n v="0"/>
    <n v="3345450"/>
    <n v="0"/>
    <n v="3345450"/>
    <n v="0"/>
    <n v="3345500"/>
    <m/>
    <m/>
    <n v="0"/>
    <n v="36800000"/>
    <n v="36800000"/>
    <n v="0"/>
    <n v="30726"/>
    <d v="2026-01-14T00:00:00"/>
    <n v="36800000"/>
    <n v="0"/>
    <m/>
    <m/>
    <n v="0"/>
    <n v="36800000"/>
    <n v="36800000"/>
    <m/>
    <m/>
    <m/>
    <m/>
    <m/>
    <m/>
    <m/>
    <m/>
    <m/>
    <m/>
    <m/>
    <m/>
    <m/>
    <m/>
    <m/>
    <m/>
    <m/>
    <m/>
    <m/>
    <m/>
    <m/>
    <m/>
    <m/>
    <m/>
    <m/>
    <m/>
    <m/>
    <m/>
    <m/>
    <m/>
    <m/>
    <m/>
    <m/>
    <m/>
    <m/>
    <m/>
    <m/>
    <m/>
    <n v="0"/>
    <n v="0"/>
    <n v="0"/>
    <n v="0"/>
    <n v="0"/>
  </r>
  <r>
    <x v="1"/>
    <x v="5"/>
    <s v="N/A"/>
    <s v="N/A"/>
    <s v="Sí"/>
    <s v="Sí"/>
    <n v="1"/>
    <s v="161-126"/>
    <s v="N.A"/>
    <s v="N.A"/>
    <s v="N.A"/>
    <n v="80111620"/>
    <s v="A-05-01-02-008-003"/>
    <x v="0"/>
    <s v="161-126 Prestar servicios profesionales en la formulación, análisis, seguimiento y evaluación de políticas, planes, programas y procesos institucionales, mediante el acompañamiento a las dependencias, la emisión de conceptos y recomendaciones administrati"/>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en la formulación, análisis, seguimiento y evaluación de políticas, planes, programas y procesos institucionales, mediante el acompañamiento a las dependencias, la emisión de conceptos y recomendaciones administrativas, la "/>
    <m/>
    <m/>
    <m/>
    <n v="2000000"/>
    <m/>
    <n v="5000000"/>
    <m/>
    <n v="5000000"/>
    <m/>
    <n v="5000000"/>
    <m/>
    <n v="5000000"/>
    <m/>
    <n v="5000000"/>
    <m/>
    <n v="5000000"/>
    <m/>
    <n v="5000000"/>
    <m/>
    <n v="5000000"/>
    <m/>
    <n v="5000000"/>
    <m/>
    <n v="10000000"/>
    <m/>
    <m/>
    <n v="0"/>
    <n v="57000000"/>
    <n v="57000000"/>
    <n v="0"/>
    <n v="17626"/>
    <d v="2026-01-10T00:00:00"/>
    <n v="57000000"/>
    <n v="0"/>
    <n v="11026"/>
    <d v="2026-01-17T00:00:00"/>
    <n v="56000000"/>
    <n v="1000000"/>
    <n v="1000000"/>
    <s v="QUINTERO TABARES JUAN PABLO"/>
    <s v="CO1.PCCNTR.8891350"/>
    <n v="56000000"/>
    <m/>
    <m/>
    <m/>
    <m/>
    <m/>
    <m/>
    <m/>
    <m/>
    <m/>
    <m/>
    <m/>
    <m/>
    <m/>
    <m/>
    <m/>
    <m/>
    <m/>
    <m/>
    <m/>
    <m/>
    <m/>
    <m/>
    <m/>
    <m/>
    <m/>
    <m/>
    <m/>
    <m/>
    <m/>
    <m/>
    <m/>
    <m/>
    <m/>
    <m/>
    <m/>
    <n v="56000000"/>
    <n v="0"/>
    <n v="0"/>
    <n v="56000000"/>
    <n v="0"/>
  </r>
  <r>
    <x v="1"/>
    <x v="5"/>
    <s v="N/A"/>
    <s v="N/A"/>
    <s v="Sí"/>
    <s v="Sí"/>
    <n v="1"/>
    <s v="161-127"/>
    <s v="N.A"/>
    <s v="N.A"/>
    <s v="N.A"/>
    <s v="43211500;43211515"/>
    <s v="A-05-01-02-008-003"/>
    <x v="0"/>
    <s v="161-127 Adquisición de equipos de cómputo"/>
    <s v="Marzo"/>
    <s v="Marzo"/>
    <s v="Abril"/>
    <n v="8"/>
    <s v="Meses"/>
    <s v="Seléccion abreviada - acuerdo marco"/>
    <s v="Propios - 20 - Ingresos corrientes"/>
    <n v="918168"/>
    <n v="918168"/>
    <s v="No"/>
    <s v="N/A"/>
    <s v="Johanna Castellanos"/>
    <s v="Subdirectora de Demanda"/>
    <n v="6012220601"/>
    <s v="johanna.castellanos@upme.gov.co"/>
    <m/>
    <m/>
    <m/>
    <m/>
    <m/>
    <m/>
    <m/>
    <m/>
    <m/>
    <m/>
    <m/>
    <m/>
    <m/>
    <m/>
    <m/>
    <m/>
    <m/>
    <m/>
    <m/>
    <m/>
    <m/>
    <m/>
    <m/>
    <m/>
    <m/>
    <m/>
    <m/>
    <m/>
    <s v="Adquisición de equipos de cómputo"/>
    <m/>
    <m/>
    <m/>
    <m/>
    <m/>
    <m/>
    <m/>
    <m/>
    <m/>
    <m/>
    <n v="918168"/>
    <m/>
    <m/>
    <n v="918168"/>
    <m/>
    <m/>
    <m/>
    <m/>
    <m/>
    <m/>
    <m/>
    <m/>
    <m/>
    <m/>
    <m/>
    <m/>
    <n v="918168"/>
    <n v="918168"/>
    <n v="0"/>
    <n v="0"/>
    <m/>
    <m/>
    <m/>
    <n v="918168"/>
    <m/>
    <m/>
    <n v="0"/>
    <n v="918168"/>
    <n v="0"/>
    <m/>
    <m/>
    <m/>
    <m/>
    <m/>
    <m/>
    <m/>
    <m/>
    <m/>
    <m/>
    <m/>
    <m/>
    <m/>
    <m/>
    <m/>
    <m/>
    <m/>
    <m/>
    <m/>
    <m/>
    <m/>
    <m/>
    <m/>
    <m/>
    <m/>
    <m/>
    <m/>
    <m/>
    <m/>
    <m/>
    <m/>
    <m/>
    <m/>
    <m/>
    <m/>
    <m/>
    <m/>
    <m/>
    <n v="0"/>
    <n v="0"/>
    <n v="0"/>
    <n v="0"/>
    <n v="0"/>
  </r>
  <r>
    <x v="1"/>
    <x v="5"/>
    <s v="N/A"/>
    <s v="N/A"/>
    <s v="No"/>
    <s v="Sí"/>
    <n v="68"/>
    <s v="161-128"/>
    <s v="N.A"/>
    <s v="N.A"/>
    <s v="N.A"/>
    <s v="N/A"/>
    <s v="A-05-01-02-007-001"/>
    <x v="14"/>
    <s v="161-128 GMF (4x1000)"/>
    <s v="N/A"/>
    <s v="N/A"/>
    <s v="N/A"/>
    <s v="N/A"/>
    <s v="N/A"/>
    <s v="N/A"/>
    <s v="Propios - 20 - Ingresos corrientes"/>
    <n v="33000000"/>
    <n v="33000000"/>
    <s v="No"/>
    <s v="N/A"/>
    <s v="Johanna Castellanos"/>
    <s v="Subdirectora de Demanda"/>
    <n v="6012220601"/>
    <s v="johanna.castellanos@upme.gov.co"/>
    <m/>
    <m/>
    <m/>
    <m/>
    <m/>
    <m/>
    <m/>
    <m/>
    <m/>
    <m/>
    <m/>
    <m/>
    <m/>
    <m/>
    <m/>
    <m/>
    <m/>
    <m/>
    <m/>
    <m/>
    <m/>
    <m/>
    <m/>
    <m/>
    <m/>
    <m/>
    <m/>
    <m/>
    <s v="GMF (4x1000)"/>
    <m/>
    <m/>
    <m/>
    <n v="2750000"/>
    <m/>
    <n v="2750000"/>
    <m/>
    <n v="2750000"/>
    <m/>
    <n v="2750000"/>
    <m/>
    <n v="2750000"/>
    <m/>
    <n v="2750000"/>
    <m/>
    <n v="2750000"/>
    <m/>
    <n v="2750000"/>
    <m/>
    <n v="2750000"/>
    <m/>
    <n v="2750000"/>
    <m/>
    <n v="5500000"/>
    <m/>
    <m/>
    <n v="0"/>
    <n v="33000000"/>
    <n v="33000000"/>
    <n v="0"/>
    <m/>
    <m/>
    <m/>
    <n v="33000000"/>
    <m/>
    <m/>
    <n v="0"/>
    <n v="33000000"/>
    <n v="0"/>
    <m/>
    <m/>
    <m/>
    <m/>
    <m/>
    <m/>
    <m/>
    <m/>
    <m/>
    <m/>
    <m/>
    <m/>
    <m/>
    <m/>
    <m/>
    <m/>
    <m/>
    <m/>
    <m/>
    <m/>
    <m/>
    <m/>
    <m/>
    <m/>
    <m/>
    <m/>
    <m/>
    <m/>
    <m/>
    <m/>
    <m/>
    <m/>
    <m/>
    <m/>
    <m/>
    <m/>
    <m/>
    <m/>
    <n v="0"/>
    <n v="0"/>
    <n v="0"/>
    <n v="0"/>
    <n v="0"/>
  </r>
  <r>
    <x v="1"/>
    <x v="5"/>
    <s v="N/A"/>
    <s v="N/A"/>
    <s v="Sí"/>
    <s v="Sí"/>
    <n v="6"/>
    <s v="161-129"/>
    <s v="N.A"/>
    <s v="N.A"/>
    <s v="N.A"/>
    <s v="78102203;78102206"/>
    <s v="A-05-01-02-006-008"/>
    <x v="11"/>
    <s v="161-129 Prestar los servicios de correo certificado electrónico, mensajería motorizada y especializada a nivel urbano, nacional e internacional, incluyendo la actividad de notificaciones judiciales de los actos administrativos de la UPME, garantizando el "/>
    <s v="Enero "/>
    <s v="Enero "/>
    <s v="Enero "/>
    <n v="12"/>
    <s v="Meses"/>
    <s v="Contratación directa - Contratos menor cuantía"/>
    <s v="Propios - 20 - Ingresos corrientes"/>
    <n v="0"/>
    <n v="0"/>
    <s v="No"/>
    <s v="N/A"/>
    <s v="Johanna Castellanos"/>
    <s v="Subdirectora de Demanda"/>
    <n v="6012220601"/>
    <s v="johanna.castellanos@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m/>
    <m/>
    <m/>
    <n v="0"/>
    <m/>
    <n v="0"/>
    <m/>
    <n v="0"/>
    <m/>
    <n v="0"/>
    <m/>
    <n v="0"/>
    <m/>
    <n v="0"/>
    <m/>
    <n v="0"/>
    <m/>
    <n v="0"/>
    <m/>
    <n v="0"/>
    <m/>
    <n v="0"/>
    <m/>
    <m/>
    <n v="0"/>
    <n v="0"/>
    <n v="0"/>
    <n v="0"/>
    <m/>
    <m/>
    <m/>
    <n v="0"/>
    <m/>
    <m/>
    <n v="0"/>
    <n v="0"/>
    <n v="0"/>
    <m/>
    <m/>
    <m/>
    <m/>
    <m/>
    <m/>
    <m/>
    <m/>
    <m/>
    <m/>
    <m/>
    <m/>
    <m/>
    <m/>
    <m/>
    <m/>
    <m/>
    <m/>
    <m/>
    <m/>
    <m/>
    <m/>
    <m/>
    <m/>
    <m/>
    <m/>
    <m/>
    <m/>
    <m/>
    <m/>
    <m/>
    <m/>
    <m/>
    <m/>
    <m/>
    <m/>
    <m/>
    <m/>
    <n v="0"/>
    <n v="0"/>
    <n v="0"/>
    <n v="0"/>
    <n v="0"/>
  </r>
  <r>
    <x v="1"/>
    <x v="5"/>
    <s v="N/A"/>
    <s v="N/A"/>
    <s v="Sí"/>
    <s v="Sí"/>
    <n v="68"/>
    <s v="161-13"/>
    <s v="N.A"/>
    <s v="N.A"/>
    <s v="N.A"/>
    <n v="80111620"/>
    <s v="A-05-01-02-008-003"/>
    <x v="0"/>
    <s v="161-13 Prestar los servicios profesionales para la asistencia técnica y atención al ciudadano, así como la evaluación de los requerimientos asociados al trámite de Incentivos Tributarios."/>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los servicios profesionales para la asistencia técnica y atención al ciudadano, así como la evaluación de los requerimientos asociados al trámite de Incentivos Tributarios."/>
    <m/>
    <m/>
    <m/>
    <n v="1642500"/>
    <m/>
    <n v="3285000"/>
    <m/>
    <n v="3285000"/>
    <m/>
    <n v="3285000"/>
    <m/>
    <n v="3285000"/>
    <m/>
    <n v="3285000"/>
    <m/>
    <n v="3285000"/>
    <m/>
    <n v="3285000"/>
    <m/>
    <n v="3285000"/>
    <m/>
    <n v="3285000"/>
    <m/>
    <n v="6570000"/>
    <m/>
    <m/>
    <n v="0"/>
    <n v="37777500"/>
    <n v="37777500"/>
    <n v="0"/>
    <n v="41526"/>
    <d v="2026-01-16T00:00:00"/>
    <n v="37777500"/>
    <n v="0"/>
    <n v="44726"/>
    <d v="2026-02-05T00:00:00"/>
    <n v="36135000"/>
    <n v="1642500"/>
    <n v="1642500"/>
    <s v="HURTADO TARAZONA MAIRA ALEJANDRA"/>
    <s v="CO1.PCCNTR.9224759"/>
    <m/>
    <m/>
    <m/>
    <n v="36135000"/>
    <m/>
    <m/>
    <m/>
    <m/>
    <m/>
    <m/>
    <m/>
    <m/>
    <m/>
    <m/>
    <m/>
    <m/>
    <m/>
    <m/>
    <m/>
    <m/>
    <m/>
    <m/>
    <m/>
    <m/>
    <m/>
    <m/>
    <m/>
    <m/>
    <m/>
    <m/>
    <m/>
    <m/>
    <m/>
    <m/>
    <m/>
    <m/>
    <n v="36135000"/>
    <n v="0"/>
    <n v="0"/>
    <n v="36135000"/>
    <n v="0"/>
  </r>
  <r>
    <x v="1"/>
    <x v="5"/>
    <s v="N/A"/>
    <s v="N/A"/>
    <s v="Sí"/>
    <s v="Sí"/>
    <n v="3"/>
    <s v="161-130"/>
    <s v="N.A"/>
    <s v="N.A"/>
    <s v="N.A"/>
    <n v="80111620"/>
    <s v="A-05-01-02-008-002"/>
    <x v="0"/>
    <s v="161-130 Prestar servicios profesionales para apoyar la identificación, análisis y evaluación de potenciales, metas y medidas de eficiencia energética, así como para la evaluación y análisis de la información asociada a proyectos de Fuentes No Convencional"/>
    <s v="Enero "/>
    <s v="Enero "/>
    <s v="Enero "/>
    <n v="11.4"/>
    <s v="Meses"/>
    <s v="Contratación directa - Prestación de servicios profesionales "/>
    <s v="Propios - 20 - Ingresos corrientes"/>
    <n v="71550000"/>
    <n v="71550000"/>
    <s v="No"/>
    <s v="N/A"/>
    <s v="Johanna Castellanos"/>
    <s v="Subdirectora de Demanda"/>
    <n v="6012220601"/>
    <s v="johanna.castellanos@upme.gov.co"/>
    <m/>
    <m/>
    <m/>
    <m/>
    <m/>
    <m/>
    <m/>
    <m/>
    <m/>
    <m/>
    <m/>
    <m/>
    <m/>
    <m/>
    <m/>
    <m/>
    <m/>
    <m/>
    <m/>
    <m/>
    <m/>
    <m/>
    <m/>
    <m/>
    <m/>
    <m/>
    <m/>
    <m/>
    <s v="Prestar servicios profesionales para apoyar la identificación, análisis y evaluación de potenciales, metas y medidas de eficiencia energética, así como para la evaluación y análisis de la información asociada a proyectos de Fuentes No Convencionales de En"/>
    <m/>
    <m/>
    <m/>
    <n v="2510524"/>
    <m/>
    <n v="6276316"/>
    <m/>
    <n v="6276316"/>
    <m/>
    <n v="6276316"/>
    <m/>
    <n v="6276316"/>
    <m/>
    <n v="6276316"/>
    <m/>
    <n v="6276316"/>
    <m/>
    <n v="6276316"/>
    <m/>
    <n v="6276316"/>
    <m/>
    <n v="6276316"/>
    <m/>
    <n v="12552632"/>
    <m/>
    <m/>
    <n v="0"/>
    <n v="71550000"/>
    <n v="71550000"/>
    <n v="0"/>
    <m/>
    <m/>
    <m/>
    <n v="71550000"/>
    <m/>
    <m/>
    <n v="0"/>
    <n v="71550000"/>
    <n v="0"/>
    <m/>
    <m/>
    <m/>
    <m/>
    <m/>
    <m/>
    <m/>
    <m/>
    <m/>
    <m/>
    <m/>
    <m/>
    <m/>
    <m/>
    <m/>
    <m/>
    <m/>
    <m/>
    <m/>
    <m/>
    <m/>
    <m/>
    <m/>
    <m/>
    <m/>
    <m/>
    <m/>
    <m/>
    <m/>
    <m/>
    <m/>
    <m/>
    <m/>
    <m/>
    <m/>
    <m/>
    <m/>
    <m/>
    <n v="0"/>
    <n v="0"/>
    <n v="0"/>
    <n v="0"/>
    <n v="0"/>
  </r>
  <r>
    <x v="1"/>
    <x v="5"/>
    <s v="N/A"/>
    <s v="N/A"/>
    <s v="Sí"/>
    <s v="Sí"/>
    <n v="7"/>
    <s v="161-131"/>
    <s v="N.A"/>
    <s v="N.A"/>
    <s v="N.A"/>
    <n v="80111620"/>
    <s v="A-05-01-02-008-003"/>
    <x v="0"/>
    <s v="161-131 Prestar servicios de apoyo a la gestión en el desarrollo del Plan Nacional de Bioenergía y la elaboración de documentos de planeación, en el marco de la Transición Energética Justa"/>
    <s v="Enero "/>
    <s v="Enero "/>
    <s v="Enero "/>
    <n v="11.4"/>
    <s v="Meses"/>
    <s v="Contratación directa - Prestación de servicios profesionales "/>
    <s v="Propios - 20 - Ingresos corrientes"/>
    <n v="28500000"/>
    <n v="28500000"/>
    <s v="No"/>
    <s v="N/A"/>
    <s v="Johanna Castellanos"/>
    <s v="Subdirectora de Demanda"/>
    <n v="6012220601"/>
    <s v="johanna.castellanos@upme.gov.co"/>
    <m/>
    <m/>
    <m/>
    <m/>
    <m/>
    <m/>
    <m/>
    <m/>
    <m/>
    <m/>
    <m/>
    <m/>
    <m/>
    <m/>
    <m/>
    <m/>
    <m/>
    <m/>
    <m/>
    <m/>
    <m/>
    <m/>
    <m/>
    <m/>
    <m/>
    <m/>
    <m/>
    <m/>
    <s v="Prestar servicios de apoyo a la gestión en el desarrollo del Plan Nacional de Bioenergía y la elaboración de documentos de planeación, en el marco de la Transición Energética Justa"/>
    <m/>
    <m/>
    <n v="0"/>
    <n v="1000000"/>
    <n v="0"/>
    <n v="2500000"/>
    <n v="0"/>
    <n v="2500000"/>
    <n v="0"/>
    <n v="2500000"/>
    <n v="0"/>
    <n v="2500000"/>
    <n v="0"/>
    <n v="2500000"/>
    <n v="0"/>
    <n v="2500000"/>
    <n v="0"/>
    <n v="2500000"/>
    <n v="0"/>
    <n v="2500000"/>
    <n v="0"/>
    <n v="2500000"/>
    <n v="0"/>
    <n v="5000000"/>
    <m/>
    <m/>
    <n v="0"/>
    <n v="28500000"/>
    <n v="28500000"/>
    <n v="0"/>
    <n v="51326"/>
    <d v="2026-01-20T00:00:00"/>
    <n v="28500000"/>
    <n v="0"/>
    <n v="34926"/>
    <d v="2026-01-30T00:00:00"/>
    <n v="27500000"/>
    <n v="1000000"/>
    <n v="1000000"/>
    <s v="QUINTERO LOPEZ YENNYFER TATYANA"/>
    <s v="CO1.PCCNTR.9183089"/>
    <n v="27500000"/>
    <m/>
    <m/>
    <m/>
    <m/>
    <m/>
    <m/>
    <m/>
    <m/>
    <m/>
    <m/>
    <m/>
    <m/>
    <m/>
    <m/>
    <m/>
    <m/>
    <m/>
    <m/>
    <m/>
    <m/>
    <m/>
    <m/>
    <m/>
    <m/>
    <m/>
    <m/>
    <m/>
    <m/>
    <m/>
    <m/>
    <m/>
    <m/>
    <m/>
    <m/>
    <m/>
    <n v="27500000"/>
    <n v="0"/>
    <n v="0"/>
    <n v="27500000"/>
    <n v="0"/>
  </r>
  <r>
    <x v="1"/>
    <x v="5"/>
    <s v="N/A"/>
    <s v="N/A"/>
    <s v="Sí"/>
    <s v="Sí"/>
    <n v="5"/>
    <s v="161-132"/>
    <s v="N.A"/>
    <s v="N.A"/>
    <s v="N.A"/>
    <n v="80111620"/>
    <s v="A-05-01-02-008-003"/>
    <x v="0"/>
    <s v="161-132 Prestar servicios de apoyo a la gestión, para actividades enmarcadas en el Plan de Bienestar y Seguridad y Salud en el trabajo."/>
    <s v="Enero "/>
    <s v="Enero "/>
    <s v="Enero "/>
    <n v="11"/>
    <s v="Meses"/>
    <s v="Contratación directa - Prestación de servicios profesionales "/>
    <s v="Propios - 20 - Ingresos corrientes"/>
    <n v="19800000"/>
    <n v="19800000"/>
    <s v="No"/>
    <s v="N/A"/>
    <s v="Katherin Pérez"/>
    <s v="Coordinador GIT Talento Humano"/>
    <n v="6012220601"/>
    <s v="katherin.perez@upme.gov.co"/>
    <m/>
    <m/>
    <m/>
    <m/>
    <m/>
    <m/>
    <m/>
    <m/>
    <m/>
    <m/>
    <m/>
    <m/>
    <m/>
    <m/>
    <m/>
    <m/>
    <m/>
    <m/>
    <m/>
    <m/>
    <m/>
    <m/>
    <m/>
    <m/>
    <m/>
    <m/>
    <m/>
    <m/>
    <s v="Prestar servicios de apoyo a la gestión, para actividades enmarcadas en el Plan de Bienestar y Seguridad y Salud en el trabajo."/>
    <m/>
    <m/>
    <n v="0"/>
    <n v="860871"/>
    <n v="0"/>
    <n v="1721739"/>
    <n v="0"/>
    <n v="1721739"/>
    <n v="0"/>
    <n v="1721739"/>
    <n v="0"/>
    <n v="1721739"/>
    <n v="0"/>
    <n v="1721739"/>
    <n v="0"/>
    <n v="1721739"/>
    <n v="0"/>
    <n v="1721739"/>
    <n v="0"/>
    <n v="1721739"/>
    <n v="0"/>
    <n v="1721739"/>
    <n v="0"/>
    <n v="3443478"/>
    <m/>
    <m/>
    <n v="0"/>
    <n v="19800000"/>
    <n v="19800000"/>
    <n v="0"/>
    <n v="63926"/>
    <d v="2026-01-23T00:00:00"/>
    <n v="19800000"/>
    <n v="0"/>
    <m/>
    <m/>
    <n v="0"/>
    <n v="19800000"/>
    <n v="19800000"/>
    <m/>
    <m/>
    <m/>
    <m/>
    <m/>
    <m/>
    <m/>
    <m/>
    <m/>
    <m/>
    <m/>
    <m/>
    <m/>
    <m/>
    <m/>
    <m/>
    <m/>
    <m/>
    <m/>
    <m/>
    <m/>
    <m/>
    <m/>
    <m/>
    <m/>
    <m/>
    <m/>
    <m/>
    <m/>
    <m/>
    <m/>
    <m/>
    <m/>
    <m/>
    <m/>
    <m/>
    <m/>
    <m/>
    <n v="0"/>
    <n v="0"/>
    <n v="0"/>
    <n v="0"/>
    <n v="0"/>
  </r>
  <r>
    <x v="1"/>
    <x v="5"/>
    <s v="N/A"/>
    <s v="N/A"/>
    <s v="Sí"/>
    <s v="Sí"/>
    <n v="6"/>
    <s v="161-133"/>
    <s v="N.A"/>
    <s v="N.A"/>
    <s v="N.A"/>
    <s v="78102203;78102206_x0009_"/>
    <s v="A-05-01-02-006-008_x0009_"/>
    <x v="11"/>
    <s v="161-133 Prestar los servicios de correo certificado electrónico, mensajería motorizada y especializada a nivel urbano, nacional e internacional, incluyendo la actividad de notificaciones judiciales de los actos administrativos de la UPME, garantizando el "/>
    <s v="Enero "/>
    <s v="Enero "/>
    <s v="Enero "/>
    <n v="12"/>
    <s v="Meses"/>
    <s v="Contratación directa"/>
    <s v="Propios - 20 - Ingresos corrientes"/>
    <n v="37150000"/>
    <n v="37150000"/>
    <s v="No"/>
    <s v="N/A"/>
    <s v="Johanna Castellanos"/>
    <s v="Subdirectora de Demanda"/>
    <n v="6012220601"/>
    <s v="johanna.castellanos@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0"/>
    <n v="0"/>
    <n v="3715000"/>
    <n v="0"/>
    <n v="3715000"/>
    <n v="0"/>
    <n v="3715000"/>
    <n v="0"/>
    <n v="3715000"/>
    <n v="0"/>
    <n v="3715000"/>
    <n v="0"/>
    <n v="3715000"/>
    <n v="0"/>
    <n v="3715000"/>
    <n v="0"/>
    <n v="3715000"/>
    <n v="0"/>
    <n v="3715000"/>
    <n v="0"/>
    <n v="3715000"/>
    <m/>
    <m/>
    <n v="0"/>
    <n v="37150000"/>
    <n v="37150000"/>
    <n v="0"/>
    <n v="54126"/>
    <d v="2026-01-21T00:00:00"/>
    <n v="30000000"/>
    <n v="7150000"/>
    <m/>
    <m/>
    <n v="0"/>
    <n v="37150000"/>
    <n v="30000000"/>
    <m/>
    <m/>
    <m/>
    <m/>
    <m/>
    <m/>
    <m/>
    <m/>
    <m/>
    <m/>
    <m/>
    <m/>
    <m/>
    <m/>
    <m/>
    <m/>
    <m/>
    <m/>
    <m/>
    <m/>
    <m/>
    <m/>
    <m/>
    <m/>
    <m/>
    <m/>
    <m/>
    <m/>
    <m/>
    <m/>
    <m/>
    <m/>
    <m/>
    <m/>
    <m/>
    <m/>
    <m/>
    <m/>
    <n v="0"/>
    <n v="0"/>
    <n v="0"/>
    <n v="0"/>
    <n v="0"/>
  </r>
  <r>
    <x v="1"/>
    <x v="5"/>
    <s v="N/A"/>
    <s v="N/A"/>
    <s v="Sí"/>
    <s v="Sí"/>
    <n v="9"/>
    <s v="161-134"/>
    <s v="N.A"/>
    <s v="N.A"/>
    <s v="N.A"/>
    <n v="80111620"/>
    <s v="A-05-01-02-008-003"/>
    <x v="0"/>
    <s v="161-134 Prestar servicios profesionales al GIT de financiera, específicamente en los procesos de Tesorería y Presupuesto, conforme a la normatividad vigente"/>
    <s v="Enero "/>
    <s v="Enero "/>
    <s v="Enero "/>
    <n v="10"/>
    <s v="Meses"/>
    <s v="Contratación directa - Prestación de servicios profesionales "/>
    <s v="Propios - 20 - Ingresos corrientes"/>
    <n v="33000000"/>
    <n v="33000000"/>
    <s v="No"/>
    <s v="N/A"/>
    <s v="Hollman Corredor"/>
    <s v="Coordinador GIT Financiero"/>
    <n v="6012220601"/>
    <s v="hollman.corredor@upme.gov.co"/>
    <m/>
    <m/>
    <m/>
    <m/>
    <m/>
    <m/>
    <m/>
    <m/>
    <m/>
    <m/>
    <m/>
    <m/>
    <m/>
    <m/>
    <m/>
    <m/>
    <m/>
    <m/>
    <m/>
    <m/>
    <m/>
    <m/>
    <m/>
    <m/>
    <m/>
    <m/>
    <m/>
    <m/>
    <s v="Prestar servicios profesionales al GIT de financiera, específicamente en los procesos de Tesorería y Presupuesto, conforme a la normatividad vigente"/>
    <m/>
    <m/>
    <m/>
    <m/>
    <m/>
    <m/>
    <m/>
    <m/>
    <m/>
    <m/>
    <m/>
    <m/>
    <m/>
    <m/>
    <m/>
    <m/>
    <m/>
    <m/>
    <m/>
    <m/>
    <m/>
    <m/>
    <m/>
    <m/>
    <m/>
    <m/>
    <n v="0"/>
    <n v="0"/>
    <n v="33000000"/>
    <n v="33000000"/>
    <n v="66926"/>
    <d v="2026-01-29T00:00:00"/>
    <n v="33000000"/>
    <n v="0"/>
    <m/>
    <m/>
    <n v="0"/>
    <n v="33000000"/>
    <n v="33000000"/>
    <m/>
    <m/>
    <m/>
    <m/>
    <m/>
    <m/>
    <m/>
    <m/>
    <m/>
    <m/>
    <m/>
    <m/>
    <m/>
    <m/>
    <m/>
    <m/>
    <m/>
    <m/>
    <m/>
    <m/>
    <m/>
    <m/>
    <m/>
    <m/>
    <m/>
    <m/>
    <m/>
    <m/>
    <m/>
    <m/>
    <m/>
    <m/>
    <m/>
    <m/>
    <m/>
    <m/>
    <m/>
    <m/>
    <n v="0"/>
    <n v="0"/>
    <n v="0"/>
    <n v="0"/>
    <n v="0"/>
  </r>
  <r>
    <x v="1"/>
    <x v="5"/>
    <s v="N/A"/>
    <s v="N/A"/>
    <s v="Sí"/>
    <s v="Sí"/>
    <n v="68"/>
    <s v="161-14"/>
    <s v="N.A"/>
    <s v="N.A"/>
    <s v="N.A"/>
    <n v="80111620"/>
    <s v="A-05-01-02-008-002"/>
    <x v="0"/>
    <s v="161-14 Prestar los servicios profesionales para la asistencia jurídica y atención al ciudadano, así como la respuesta a PQR´s de los requerimientos asociados al trámite de Incentivos Tributarios."/>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los servicios profesionales para la asistencia jurídica y atención al ciudadano, así como la respuesta a PQR´s de los requerimientos asociados al trámite de Incentivos Tributarios."/>
    <m/>
    <m/>
    <m/>
    <n v="657000"/>
    <m/>
    <n v="3285000"/>
    <m/>
    <n v="3285000"/>
    <m/>
    <n v="3285000"/>
    <m/>
    <n v="3285000"/>
    <m/>
    <n v="3285000"/>
    <m/>
    <n v="3285000"/>
    <m/>
    <n v="3285000"/>
    <m/>
    <n v="3285000"/>
    <m/>
    <n v="3285000"/>
    <m/>
    <n v="6570000"/>
    <m/>
    <m/>
    <n v="0"/>
    <n v="36792000"/>
    <n v="36792000"/>
    <n v="0"/>
    <n v="17826"/>
    <d v="2026-01-10T00:00:00"/>
    <n v="36792000"/>
    <n v="0"/>
    <n v="17226"/>
    <d v="2026-01-22T00:00:00"/>
    <n v="36792000"/>
    <n v="0"/>
    <n v="0"/>
    <s v="GARCIA VILLA KARLA MARCELA"/>
    <s v="CO1.PCCNTR.8950974"/>
    <n v="36792000"/>
    <m/>
    <m/>
    <m/>
    <m/>
    <m/>
    <m/>
    <m/>
    <m/>
    <m/>
    <m/>
    <m/>
    <m/>
    <m/>
    <m/>
    <m/>
    <m/>
    <m/>
    <m/>
    <m/>
    <m/>
    <m/>
    <m/>
    <m/>
    <m/>
    <m/>
    <m/>
    <m/>
    <m/>
    <m/>
    <m/>
    <m/>
    <m/>
    <m/>
    <m/>
    <m/>
    <n v="36792000"/>
    <n v="0"/>
    <n v="0"/>
    <n v="36792000"/>
    <n v="0"/>
  </r>
  <r>
    <x v="1"/>
    <x v="5"/>
    <s v="N/A"/>
    <s v="N/A"/>
    <s v="Sí"/>
    <s v="Sí"/>
    <n v="1"/>
    <s v="161-15"/>
    <s v="N.A"/>
    <s v="N.A"/>
    <s v="N.A"/>
    <n v="80111620"/>
    <s v="A-05-01-02-008-003"/>
    <x v="0"/>
    <s v="161-15 Prestar servicios profesionales para la evaluación, análisis de la información de los proyectos de Fuentes No Convencionales de Energía y Gestión eficiente de la energía así como la validación documental, evaluación técnica y conceptualización de m"/>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así como la validación documental, evaluación técnica y conceptualización de medidas "/>
    <m/>
    <m/>
    <m/>
    <n v="1314000"/>
    <m/>
    <n v="3285000"/>
    <m/>
    <n v="3285000"/>
    <m/>
    <n v="3285000"/>
    <m/>
    <n v="3285000"/>
    <m/>
    <n v="3285000"/>
    <m/>
    <n v="3285000"/>
    <m/>
    <n v="3285000"/>
    <m/>
    <n v="3285000"/>
    <m/>
    <n v="3285000"/>
    <m/>
    <n v="6570000"/>
    <m/>
    <m/>
    <n v="0"/>
    <n v="37449000"/>
    <n v="37449000"/>
    <n v="0"/>
    <n v="17326"/>
    <d v="2026-01-10T00:00:00"/>
    <n v="37011000"/>
    <n v="438000"/>
    <n v="17426"/>
    <d v="2026-01-22T00:00:00"/>
    <n v="37011000"/>
    <n v="438000"/>
    <n v="0"/>
    <s v="SANABRIA BURGOS DANIEL CAMILO"/>
    <s v="CO1.PCCNTR.8978626"/>
    <n v="37011000"/>
    <m/>
    <m/>
    <m/>
    <m/>
    <m/>
    <m/>
    <m/>
    <m/>
    <m/>
    <m/>
    <m/>
    <m/>
    <m/>
    <m/>
    <m/>
    <m/>
    <m/>
    <m/>
    <m/>
    <m/>
    <m/>
    <m/>
    <m/>
    <m/>
    <m/>
    <m/>
    <m/>
    <m/>
    <m/>
    <m/>
    <m/>
    <m/>
    <m/>
    <m/>
    <m/>
    <n v="37011000"/>
    <n v="0"/>
    <n v="0"/>
    <n v="37011000"/>
    <n v="0"/>
  </r>
  <r>
    <x v="1"/>
    <x v="5"/>
    <s v="N/A"/>
    <s v="N/A"/>
    <s v="Sí"/>
    <s v="Sí"/>
    <n v="68"/>
    <s v="161-16"/>
    <s v="N.A"/>
    <s v="N.A"/>
    <s v="N.A"/>
    <n v="80111620"/>
    <s v="A-05-01-02-008-003"/>
    <x v="0"/>
    <s v="161-16 Prestar servicios profesionales para la validación documental, la evaluación técnica y la conceptualización de las medidas de eficiencia energética reportadas para los edificios de las administraciones públicas presentados ante la UPME."/>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servicios profesionales para la validación documental, la evaluación técnica y la conceptualización de las medidas de eficiencia energética reportadas para los edificios de las administraciones públicas presentados ante la UPME."/>
    <m/>
    <m/>
    <m/>
    <n v="657000"/>
    <m/>
    <n v="3285000"/>
    <m/>
    <n v="3285000"/>
    <m/>
    <n v="3285000"/>
    <m/>
    <n v="3285000"/>
    <m/>
    <n v="3285000"/>
    <m/>
    <n v="3285000"/>
    <m/>
    <n v="3285000"/>
    <m/>
    <n v="3285000"/>
    <m/>
    <n v="3285000"/>
    <m/>
    <n v="6570000"/>
    <m/>
    <m/>
    <n v="0"/>
    <n v="36792000"/>
    <n v="36792000"/>
    <n v="0"/>
    <m/>
    <m/>
    <m/>
    <n v="36792000"/>
    <m/>
    <m/>
    <n v="0"/>
    <n v="36792000"/>
    <n v="0"/>
    <m/>
    <m/>
    <m/>
    <m/>
    <m/>
    <m/>
    <m/>
    <m/>
    <m/>
    <m/>
    <m/>
    <m/>
    <m/>
    <m/>
    <m/>
    <m/>
    <m/>
    <m/>
    <m/>
    <m/>
    <m/>
    <m/>
    <m/>
    <m/>
    <m/>
    <m/>
    <m/>
    <m/>
    <m/>
    <m/>
    <m/>
    <m/>
    <m/>
    <m/>
    <m/>
    <m/>
    <m/>
    <m/>
    <n v="0"/>
    <n v="0"/>
    <n v="0"/>
    <n v="0"/>
    <n v="0"/>
  </r>
  <r>
    <x v="1"/>
    <x v="5"/>
    <s v="N/A"/>
    <s v="N/A"/>
    <s v="Sí"/>
    <s v="Sí"/>
    <n v="68"/>
    <s v="161-17"/>
    <s v="N.A"/>
    <s v="N.A"/>
    <s v="N.A"/>
    <n v="80111620"/>
    <s v="A-05-01-02-008-003"/>
    <x v="0"/>
    <s v="161-17 Prestar servicios profesionales para diseñar, desarrollar y acompañar estrategias de pedagogía y difusión con enfoque social, orientadas a la sensibilización, capacitación, formación y fortalecimiento de capacidades de los públicos objetivo de los "/>
    <s v="Enero "/>
    <s v="Enero "/>
    <s v="Enero "/>
    <n v="7"/>
    <s v="Meses"/>
    <s v="Contratación directa - Prestación de servicios profesionales "/>
    <s v="Propios - 20 - Ingresos corrientes"/>
    <n v="42000000"/>
    <n v="42000000"/>
    <s v="No"/>
    <s v="N/A"/>
    <s v="Johanna Castellanos"/>
    <s v="Subdirectora de Demanda"/>
    <n v="6012220601"/>
    <s v="johanna.castellanos@upme.gov.co"/>
    <m/>
    <m/>
    <m/>
    <m/>
    <m/>
    <m/>
    <m/>
    <m/>
    <m/>
    <m/>
    <m/>
    <m/>
    <m/>
    <m/>
    <m/>
    <m/>
    <m/>
    <m/>
    <m/>
    <m/>
    <m/>
    <m/>
    <m/>
    <m/>
    <m/>
    <m/>
    <m/>
    <m/>
    <s v="Prestar servicios profesionales para diseñar, desarrollar y acompañar estrategias de pedagogía y difusión con enfoque social, orientadas a la sensibilización, capacitación, formación y fortalecimiento de capacidades de los públicos objetivo de los diferen"/>
    <m/>
    <m/>
    <m/>
    <n v="-24000000"/>
    <m/>
    <n v="6000000"/>
    <m/>
    <n v="6000000"/>
    <m/>
    <n v="6000000"/>
    <m/>
    <n v="6000000"/>
    <m/>
    <n v="6000000"/>
    <m/>
    <n v="6000000"/>
    <m/>
    <n v="6000000"/>
    <m/>
    <n v="6000000"/>
    <m/>
    <n v="6000000"/>
    <m/>
    <n v="12000000"/>
    <m/>
    <m/>
    <n v="0"/>
    <n v="42000000"/>
    <n v="42000000"/>
    <n v="0"/>
    <n v="62126"/>
    <d v="2026-01-23T00:00:00"/>
    <n v="42000000"/>
    <n v="0"/>
    <m/>
    <m/>
    <n v="0"/>
    <n v="42000000"/>
    <n v="42000000"/>
    <m/>
    <m/>
    <m/>
    <m/>
    <m/>
    <m/>
    <m/>
    <m/>
    <m/>
    <m/>
    <m/>
    <m/>
    <m/>
    <m/>
    <m/>
    <m/>
    <m/>
    <m/>
    <m/>
    <m/>
    <m/>
    <m/>
    <m/>
    <m/>
    <m/>
    <m/>
    <m/>
    <m/>
    <m/>
    <m/>
    <m/>
    <m/>
    <m/>
    <m/>
    <m/>
    <m/>
    <m/>
    <m/>
    <n v="0"/>
    <n v="0"/>
    <n v="0"/>
    <n v="0"/>
    <n v="0"/>
  </r>
  <r>
    <x v="1"/>
    <x v="5"/>
    <s v="N/A"/>
    <s v="N/A"/>
    <s v="Sí"/>
    <s v="Sí"/>
    <n v="68"/>
    <s v="161-18"/>
    <s v="N.A"/>
    <s v="N.A"/>
    <s v="N.A"/>
    <n v="80111620"/>
    <s v="A-05-01-02-008-003"/>
    <x v="0"/>
    <s v="161-18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642500"/>
    <m/>
    <n v="3285000"/>
    <m/>
    <n v="3285000"/>
    <m/>
    <n v="3285000"/>
    <m/>
    <n v="3285000"/>
    <m/>
    <n v="3285000"/>
    <m/>
    <n v="3285000"/>
    <m/>
    <n v="3285000"/>
    <m/>
    <n v="3285000"/>
    <m/>
    <n v="3285000"/>
    <m/>
    <n v="6570000"/>
    <m/>
    <m/>
    <n v="0"/>
    <n v="37777500"/>
    <n v="37777500"/>
    <n v="0"/>
    <n v="41226"/>
    <d v="2026-01-16T00:00:00"/>
    <n v="37777500"/>
    <n v="0"/>
    <n v="20726"/>
    <d v="2026-01-26T00:00:00"/>
    <n v="36135000"/>
    <n v="1642500"/>
    <n v="1642500"/>
    <s v="GONZALEZ EDINSON"/>
    <s v="CO1.PCCNTR.9037777"/>
    <n v="36135000"/>
    <m/>
    <m/>
    <m/>
    <m/>
    <m/>
    <m/>
    <m/>
    <m/>
    <m/>
    <m/>
    <m/>
    <m/>
    <m/>
    <m/>
    <m/>
    <m/>
    <m/>
    <m/>
    <m/>
    <m/>
    <m/>
    <m/>
    <m/>
    <m/>
    <m/>
    <m/>
    <m/>
    <m/>
    <m/>
    <m/>
    <m/>
    <m/>
    <m/>
    <m/>
    <m/>
    <n v="36135000"/>
    <n v="0"/>
    <n v="0"/>
    <n v="36135000"/>
    <n v="0"/>
  </r>
  <r>
    <x v="1"/>
    <x v="5"/>
    <s v="N/A"/>
    <s v="N/A"/>
    <s v="Sí"/>
    <s v="Sí"/>
    <n v="68"/>
    <s v="161-19"/>
    <s v="N.A"/>
    <s v="N.A"/>
    <s v="N.A"/>
    <n v="80111620"/>
    <s v="A-05-01-02-008-003"/>
    <x v="0"/>
    <s v="161-19 Prestar servicios profesionales enfocados en la revisión, análisis y evaluación de la información técnica de proyectos de Fuentes No Convencionales de Energía y Gestión Eficiente de la Energía e hidrogeno, garantizando el cumplimiento de la normati"/>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focados en la revisión, análisis y evaluación de la información técnica de proyectos de Fuentes No Convencionales de Energía y Gestión Eficiente de la Energía e hidrogeno, garantizando el cumplimiento de la normativa vige"/>
    <m/>
    <m/>
    <m/>
    <n v="2500000"/>
    <m/>
    <n v="5000000"/>
    <m/>
    <n v="5000000"/>
    <m/>
    <n v="5000000"/>
    <m/>
    <n v="5000000"/>
    <m/>
    <n v="5000000"/>
    <m/>
    <n v="5000000"/>
    <m/>
    <n v="5000000"/>
    <m/>
    <n v="5000000"/>
    <m/>
    <n v="5000000"/>
    <m/>
    <n v="10000000"/>
    <m/>
    <m/>
    <n v="0"/>
    <n v="57500000"/>
    <n v="57500000"/>
    <n v="0"/>
    <n v="17926"/>
    <d v="2026-01-10T00:00:00"/>
    <n v="57500000"/>
    <n v="0"/>
    <n v="9226"/>
    <d v="2026-01-15T00:00:00"/>
    <n v="57500000"/>
    <n v="0"/>
    <n v="0"/>
    <s v="ROYERO CONTRERAS LUIS ROBERTO"/>
    <m/>
    <n v="57500000"/>
    <m/>
    <m/>
    <m/>
    <m/>
    <m/>
    <m/>
    <m/>
    <m/>
    <m/>
    <m/>
    <m/>
    <m/>
    <m/>
    <m/>
    <m/>
    <m/>
    <m/>
    <m/>
    <m/>
    <m/>
    <m/>
    <m/>
    <m/>
    <m/>
    <m/>
    <m/>
    <m/>
    <m/>
    <m/>
    <m/>
    <m/>
    <m/>
    <m/>
    <m/>
    <m/>
    <n v="57500000"/>
    <n v="0"/>
    <n v="0"/>
    <n v="57500000"/>
    <n v="0"/>
  </r>
  <r>
    <x v="1"/>
    <x v="5"/>
    <s v="N/A"/>
    <s v="N/A"/>
    <s v="Sí"/>
    <s v="Sí"/>
    <n v="68"/>
    <s v="161-2"/>
    <s v="N.A"/>
    <s v="N.A"/>
    <s v="N.A"/>
    <n v="80111620"/>
    <s v="A-05-01-02-008-003"/>
    <x v="0"/>
    <s v="161-2 Prestar los servicios profesionales para realizar el seguimiento y control de los procesos contractuales, la ejecución presupuestal y demás actividades que se requieran para el cumplimiento de las metas y objetivos de la Subdirección de Demanda, aso"/>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los servicios profesionales para realizar el seguimiento y control de los procesos contractuales, la ejecución presupuestal y demás actividades que se requieran para el cumplimiento de las metas y objetivos de la Subdirección de Demanda, asociados"/>
    <m/>
    <m/>
    <m/>
    <n v="3000000"/>
    <m/>
    <n v="6000000"/>
    <m/>
    <n v="6000000"/>
    <m/>
    <n v="6000000"/>
    <m/>
    <n v="6000000"/>
    <m/>
    <n v="6000000"/>
    <m/>
    <n v="6000000"/>
    <m/>
    <n v="6000000"/>
    <m/>
    <n v="6000000"/>
    <m/>
    <n v="6000000"/>
    <m/>
    <n v="12000000"/>
    <m/>
    <m/>
    <n v="0"/>
    <n v="69000000"/>
    <n v="69000000"/>
    <n v="0"/>
    <n v="9126"/>
    <d v="2026-01-06T00:00:00"/>
    <n v="69000000"/>
    <n v="0"/>
    <m/>
    <m/>
    <n v="0"/>
    <n v="69000000"/>
    <n v="69000000"/>
    <m/>
    <m/>
    <m/>
    <m/>
    <m/>
    <m/>
    <m/>
    <m/>
    <m/>
    <m/>
    <m/>
    <m/>
    <m/>
    <m/>
    <m/>
    <m/>
    <m/>
    <m/>
    <m/>
    <m/>
    <m/>
    <m/>
    <m/>
    <m/>
    <m/>
    <m/>
    <m/>
    <m/>
    <m/>
    <m/>
    <m/>
    <m/>
    <m/>
    <m/>
    <m/>
    <m/>
    <m/>
    <m/>
    <n v="0"/>
    <n v="0"/>
    <n v="0"/>
    <n v="0"/>
    <n v="0"/>
  </r>
  <r>
    <x v="1"/>
    <x v="5"/>
    <s v="N/A"/>
    <s v="N/A"/>
    <s v="Sí"/>
    <s v="Sí"/>
    <n v="68"/>
    <s v="161-20"/>
    <s v="N.A"/>
    <s v="N.A"/>
    <s v="N.A"/>
    <n v="80111620"/>
    <s v="A-05-01-02-008-003"/>
    <x v="0"/>
    <s v="161-20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314000"/>
    <m/>
    <n v="3285000"/>
    <m/>
    <n v="3285000"/>
    <m/>
    <n v="3285000"/>
    <m/>
    <n v="3285000"/>
    <m/>
    <n v="3285000"/>
    <m/>
    <n v="3285000"/>
    <m/>
    <n v="3285000"/>
    <m/>
    <n v="3285000"/>
    <m/>
    <n v="3285000"/>
    <m/>
    <n v="6570000"/>
    <m/>
    <m/>
    <n v="0"/>
    <n v="37449000"/>
    <n v="37449000"/>
    <n v="0"/>
    <n v="12526"/>
    <d v="2026-01-08T00:00:00"/>
    <n v="37449000"/>
    <n v="0"/>
    <n v="11326"/>
    <d v="2026-01-17T00:00:00"/>
    <n v="37449000"/>
    <n v="0"/>
    <n v="0"/>
    <s v="VILLALBA MARQUEZ OBDULIA MARIA"/>
    <s v="CO1.PCCNTR.8871181"/>
    <n v="37449000"/>
    <m/>
    <m/>
    <m/>
    <m/>
    <m/>
    <m/>
    <m/>
    <m/>
    <m/>
    <m/>
    <m/>
    <m/>
    <m/>
    <m/>
    <m/>
    <m/>
    <m/>
    <m/>
    <m/>
    <m/>
    <m/>
    <m/>
    <m/>
    <m/>
    <m/>
    <m/>
    <m/>
    <m/>
    <m/>
    <m/>
    <m/>
    <m/>
    <m/>
    <m/>
    <m/>
    <n v="37449000"/>
    <n v="0"/>
    <n v="0"/>
    <n v="37449000"/>
    <n v="0"/>
  </r>
  <r>
    <x v="1"/>
    <x v="5"/>
    <s v="N/A"/>
    <s v="N/A"/>
    <s v="Sí"/>
    <s v="Sí"/>
    <n v="68"/>
    <s v="161-21"/>
    <s v="N.A"/>
    <s v="N.A"/>
    <s v="N.A"/>
    <n v="80111620"/>
    <s v="A-05-01-02-008-003"/>
    <x v="0"/>
    <s v="161-21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314000"/>
    <m/>
    <n v="3285000"/>
    <m/>
    <n v="3285000"/>
    <m/>
    <n v="3285000"/>
    <m/>
    <n v="3285000"/>
    <m/>
    <n v="3285000"/>
    <m/>
    <n v="3285000"/>
    <m/>
    <n v="3285000"/>
    <m/>
    <n v="3285000"/>
    <m/>
    <n v="3285000"/>
    <m/>
    <n v="6570000"/>
    <m/>
    <m/>
    <n v="0"/>
    <n v="37449000"/>
    <n v="37449000"/>
    <n v="0"/>
    <n v="44426"/>
    <d v="2026-01-17T00:00:00"/>
    <n v="37449000"/>
    <n v="0"/>
    <n v="31726"/>
    <d v="2026-01-29T00:00:00"/>
    <n v="36135000"/>
    <n v="1314000"/>
    <n v="1314000"/>
    <s v="HERNANDEZ BAYONA DIANA CATALINA"/>
    <s v="CO1.PCCNTR.9108594"/>
    <n v="36135000"/>
    <m/>
    <m/>
    <m/>
    <m/>
    <m/>
    <m/>
    <m/>
    <m/>
    <m/>
    <m/>
    <m/>
    <m/>
    <m/>
    <m/>
    <m/>
    <m/>
    <m/>
    <m/>
    <m/>
    <m/>
    <m/>
    <m/>
    <m/>
    <m/>
    <m/>
    <m/>
    <m/>
    <m/>
    <m/>
    <m/>
    <m/>
    <m/>
    <m/>
    <m/>
    <m/>
    <n v="36135000"/>
    <n v="0"/>
    <n v="0"/>
    <n v="36135000"/>
    <n v="0"/>
  </r>
  <r>
    <x v="1"/>
    <x v="5"/>
    <s v="N/A"/>
    <s v="N/A"/>
    <s v="Sí"/>
    <s v="Sí"/>
    <n v="10"/>
    <s v="161-22"/>
    <s v="N.A"/>
    <s v="N.A"/>
    <s v="N.A"/>
    <n v="80111620"/>
    <s v="A-05-01-02-008-003"/>
    <x v="0"/>
    <s v="161-22 Prestar servicios profesionales en materia contable, financiera y tributaria para la correcta aplicación de modificaciones normativas de incentivos tributarios y la revisión de criterios fiscales así como el apoyo administrativo a la Subdirección d"/>
    <s v="Enero "/>
    <s v="Enero "/>
    <s v="Enero "/>
    <n v="6"/>
    <s v="Meses"/>
    <s v="Contratación directa - Prestación de servicios profesionales "/>
    <s v="Propios - 20 - Ingresos corrientes"/>
    <n v="30000000"/>
    <n v="30000000"/>
    <s v="No"/>
    <s v="N/A"/>
    <s v="Johanna Castellanos"/>
    <s v="Subdirectora de Demanda"/>
    <n v="6012220601"/>
    <s v="johanna.castellanos@upme.gov.co"/>
    <m/>
    <m/>
    <m/>
    <m/>
    <m/>
    <m/>
    <m/>
    <m/>
    <m/>
    <m/>
    <m/>
    <m/>
    <m/>
    <m/>
    <m/>
    <m/>
    <m/>
    <m/>
    <m/>
    <m/>
    <m/>
    <m/>
    <m/>
    <m/>
    <m/>
    <m/>
    <m/>
    <m/>
    <s v="Prestar servicios profesionales en materia contable, financiera y tributaria para la correcta aplicación de modificaciones normativas de incentivos tributarios y la revisión de criterios fiscales así como el apoyo administrativo a la Subdirección de Deman"/>
    <m/>
    <m/>
    <n v="0"/>
    <n v="0"/>
    <n v="0"/>
    <n v="5000000"/>
    <n v="0"/>
    <n v="5000000"/>
    <n v="0"/>
    <n v="5000000"/>
    <n v="0"/>
    <n v="5000000"/>
    <n v="0"/>
    <n v="5000000"/>
    <n v="0"/>
    <n v="5000000"/>
    <n v="0"/>
    <n v="0"/>
    <n v="0"/>
    <n v="0"/>
    <n v="0"/>
    <n v="0"/>
    <n v="0"/>
    <n v="0"/>
    <m/>
    <m/>
    <n v="0"/>
    <n v="30000000"/>
    <n v="30000000"/>
    <n v="0"/>
    <n v="68526"/>
    <d v="2026-01-30T00:00:00"/>
    <n v="30000000"/>
    <n v="0"/>
    <n v="57426"/>
    <d v="2026-02-10T00:00:00"/>
    <n v="30000000"/>
    <n v="0"/>
    <n v="0"/>
    <s v="VILLACORTE PACHECO GISELY MILAGROS"/>
    <s v="CO1.PCCNTR.9307908"/>
    <n v="30000000"/>
    <m/>
    <m/>
    <m/>
    <m/>
    <m/>
    <m/>
    <m/>
    <m/>
    <m/>
    <m/>
    <m/>
    <m/>
    <m/>
    <m/>
    <m/>
    <m/>
    <m/>
    <m/>
    <m/>
    <m/>
    <m/>
    <m/>
    <m/>
    <m/>
    <m/>
    <m/>
    <m/>
    <m/>
    <m/>
    <m/>
    <m/>
    <m/>
    <m/>
    <m/>
    <m/>
    <n v="30000000"/>
    <n v="0"/>
    <n v="0"/>
    <n v="30000000"/>
    <n v="0"/>
  </r>
  <r>
    <x v="1"/>
    <x v="5"/>
    <s v="N/A"/>
    <s v="N/A"/>
    <s v="Sí"/>
    <s v="Sí"/>
    <n v="68"/>
    <s v="161-23"/>
    <s v="N.A"/>
    <s v="N.A"/>
    <s v="N.A"/>
    <n v="80111620"/>
    <s v="A-05-01-02-008-003"/>
    <x v="0"/>
    <s v="161-23 Prestar servicios profesionales especializados en arquitectura empresarial, automatización avanzada de procesos y desarrollo de soluciones tecnológicas sobre la plataforma Bizagi en el trámite de Incentivos Tributarios y otros entornos compatibles "/>
    <s v="Enero "/>
    <s v="Enero "/>
    <s v="Enero "/>
    <n v="11.5"/>
    <s v="Meses"/>
    <s v="Contratación directa - Prestación de servicios profesionales "/>
    <s v="Propios - 20 - Ingresos corrientes"/>
    <n v="92000000"/>
    <n v="92000000"/>
    <s v="No"/>
    <s v="N/A"/>
    <s v="Johanna Castellanos"/>
    <s v="Subdirectora de Demanda"/>
    <n v="6012220601"/>
    <s v="johanna.castellanos@upme.gov.co"/>
    <m/>
    <m/>
    <m/>
    <m/>
    <m/>
    <m/>
    <m/>
    <m/>
    <m/>
    <m/>
    <m/>
    <m/>
    <m/>
    <m/>
    <m/>
    <m/>
    <m/>
    <m/>
    <m/>
    <m/>
    <m/>
    <m/>
    <m/>
    <m/>
    <m/>
    <m/>
    <m/>
    <m/>
    <s v="Prestar servicios profesionales especializados en arquitectura empresarial, automatización avanzada de procesos y desarrollo de soluciones tecnológicas sobre la plataforma Bizagi en el trámite de Incentivos Tributarios y otros entornos compatibles adoptad"/>
    <m/>
    <m/>
    <m/>
    <n v="4000000"/>
    <m/>
    <n v="8000000"/>
    <m/>
    <n v="8000000"/>
    <m/>
    <n v="8000000"/>
    <m/>
    <n v="8000000"/>
    <m/>
    <n v="8000000"/>
    <m/>
    <n v="8000000"/>
    <m/>
    <n v="8000000"/>
    <m/>
    <n v="8000000"/>
    <m/>
    <n v="8000000"/>
    <m/>
    <n v="16000000"/>
    <m/>
    <m/>
    <n v="0"/>
    <n v="92000000"/>
    <n v="92000000"/>
    <n v="0"/>
    <n v="38026"/>
    <d v="2026-01-15T00:00:00"/>
    <n v="92000000"/>
    <n v="0"/>
    <n v="23326"/>
    <d v="2026-01-27T00:00:00"/>
    <n v="88000000"/>
    <n v="4000000"/>
    <n v="4000000"/>
    <s v="MARQUEZ SALAZAR OSCAR IVAN_x000a_"/>
    <s v="CO1.PCCNTR.9092163"/>
    <n v="88000000"/>
    <m/>
    <m/>
    <m/>
    <m/>
    <m/>
    <m/>
    <m/>
    <m/>
    <m/>
    <m/>
    <m/>
    <m/>
    <m/>
    <m/>
    <m/>
    <m/>
    <m/>
    <m/>
    <m/>
    <m/>
    <m/>
    <m/>
    <m/>
    <m/>
    <m/>
    <m/>
    <m/>
    <m/>
    <m/>
    <m/>
    <m/>
    <m/>
    <m/>
    <m/>
    <m/>
    <n v="88000000"/>
    <n v="0"/>
    <n v="0"/>
    <n v="88000000"/>
    <n v="0"/>
  </r>
  <r>
    <x v="1"/>
    <x v="5"/>
    <s v="N/A"/>
    <s v="N/A"/>
    <s v="Sí"/>
    <s v="Sí"/>
    <n v="68"/>
    <s v="161-24"/>
    <s v="N.A"/>
    <s v="N.A"/>
    <s v="N.A"/>
    <n v="80111620"/>
    <s v="A-05-01-02-008-003"/>
    <x v="0"/>
    <s v="161-24 Prestar servicios profesionales para realizar la gestión y análisis de información, construcción de bases de datos, formulación y seguimiento a las estadísticas e indicadores de impacto de los incentivos tributarios, con enfoque territorial."/>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realizar la gestión y análisis de información, construcción de bases de datos, formulación y seguimiento a las estadísticas e indicadores de impacto de los incentivos tributarios, con enfoque territorial."/>
    <m/>
    <m/>
    <m/>
    <n v="2500000"/>
    <m/>
    <n v="5000000"/>
    <m/>
    <n v="5000000"/>
    <m/>
    <n v="5000000"/>
    <m/>
    <n v="5000000"/>
    <m/>
    <n v="5000000"/>
    <m/>
    <n v="5000000"/>
    <m/>
    <n v="5000000"/>
    <m/>
    <n v="5000000"/>
    <m/>
    <n v="5000000"/>
    <m/>
    <n v="10000000"/>
    <m/>
    <m/>
    <n v="0"/>
    <n v="57500000"/>
    <n v="57500000"/>
    <n v="0"/>
    <n v="37826"/>
    <d v="2026-01-15T00:00:00"/>
    <n v="57500000"/>
    <n v="0"/>
    <n v="23826"/>
    <d v="2026-01-27T00:00:00"/>
    <n v="57500000"/>
    <n v="0"/>
    <n v="0"/>
    <s v="CRISTIAN ALEJANDRO BLANCO MARTINEZ"/>
    <s v="CO1.PCCNTR.9092544"/>
    <n v="55000000"/>
    <m/>
    <m/>
    <m/>
    <m/>
    <m/>
    <m/>
    <m/>
    <m/>
    <m/>
    <m/>
    <m/>
    <m/>
    <m/>
    <m/>
    <m/>
    <m/>
    <m/>
    <m/>
    <m/>
    <m/>
    <m/>
    <m/>
    <m/>
    <m/>
    <m/>
    <m/>
    <m/>
    <m/>
    <m/>
    <m/>
    <m/>
    <m/>
    <m/>
    <m/>
    <m/>
    <n v="55000000"/>
    <n v="0"/>
    <n v="0"/>
    <n v="55000000"/>
    <n v="0"/>
  </r>
  <r>
    <x v="1"/>
    <x v="5"/>
    <s v="N/A"/>
    <s v="N/A"/>
    <s v="Sí"/>
    <s v="Sí"/>
    <n v="68"/>
    <s v="161-25"/>
    <s v="N.A"/>
    <s v="N.A"/>
    <s v="N.A"/>
    <n v="80111620"/>
    <s v="A-05-01-02-008-003"/>
    <x v="0"/>
    <s v="161-25 Prestar servicios de apoyo asistencial para la gestión operativa de los casos, realizando la distribución y enrutamiento oportuno a los evaluadores correspondientes, el registro y actualización de la base de datos de seguimiento conforme al procedi"/>
    <s v="Enero "/>
    <s v="Enero "/>
    <s v="Enero "/>
    <n v="11.5"/>
    <s v="Meses"/>
    <s v="Contratación directa - Prestación de servicios profesionales "/>
    <s v="Propios - 20 - Ingresos corrientes"/>
    <n v="23000000"/>
    <n v="23000000"/>
    <s v="No"/>
    <s v="N/A"/>
    <s v="Johanna Castellanos"/>
    <s v="Subdirectora de Demanda"/>
    <n v="6012220601"/>
    <s v="johanna.castellanos@upme.gov.co"/>
    <m/>
    <m/>
    <m/>
    <m/>
    <m/>
    <m/>
    <m/>
    <m/>
    <m/>
    <m/>
    <m/>
    <m/>
    <m/>
    <m/>
    <m/>
    <m/>
    <m/>
    <m/>
    <m/>
    <m/>
    <m/>
    <m/>
    <m/>
    <m/>
    <m/>
    <m/>
    <m/>
    <m/>
    <s v="Prestar servicios de apoyo asistencial para la gestión operativa de los casos, realizando la distribución y enrutamiento oportuno a los evaluadores correspondientes, el registro y actualización de la base de datos de seguimiento conforme al procedimiento "/>
    <m/>
    <m/>
    <m/>
    <n v="1000000"/>
    <m/>
    <n v="2000000"/>
    <m/>
    <n v="2000000"/>
    <m/>
    <n v="2000000"/>
    <m/>
    <n v="2000000"/>
    <m/>
    <n v="2000000"/>
    <m/>
    <n v="2000000"/>
    <m/>
    <n v="2000000"/>
    <m/>
    <n v="2000000"/>
    <m/>
    <n v="2000000"/>
    <m/>
    <n v="4000000"/>
    <m/>
    <m/>
    <n v="0"/>
    <n v="23000000"/>
    <n v="23000000"/>
    <n v="0"/>
    <n v="60526"/>
    <d v="2026-01-23T00:00:00"/>
    <n v="22000000"/>
    <n v="1000000"/>
    <n v="50826"/>
    <d v="2026-02-09T00:00:00"/>
    <n v="22000000"/>
    <n v="1000000"/>
    <n v="0"/>
    <s v="RUBIO HERNANDEZ JHONNATAN"/>
    <s v="CO1.PCCNTR.9291931"/>
    <m/>
    <m/>
    <m/>
    <n v="22000000"/>
    <m/>
    <m/>
    <m/>
    <m/>
    <m/>
    <m/>
    <m/>
    <m/>
    <m/>
    <m/>
    <m/>
    <m/>
    <m/>
    <m/>
    <m/>
    <m/>
    <m/>
    <m/>
    <m/>
    <m/>
    <m/>
    <m/>
    <m/>
    <m/>
    <m/>
    <m/>
    <m/>
    <m/>
    <m/>
    <m/>
    <m/>
    <m/>
    <n v="22000000"/>
    <n v="0"/>
    <n v="0"/>
    <n v="22000000"/>
    <n v="0"/>
  </r>
  <r>
    <x v="1"/>
    <x v="5"/>
    <s v="N/A"/>
    <s v="N/A"/>
    <s v="Sí"/>
    <s v="Sí"/>
    <n v="68"/>
    <s v="161-26"/>
    <s v="N.A"/>
    <s v="N.A"/>
    <s v="N.A"/>
    <n v="80111620"/>
    <s v="A-05-01-02-008-003"/>
    <x v="0"/>
    <s v="161-26 Prestar servicios de apoyo asistencial para la gestión operativa de los casos, realizando la distribución y enrutamiento oportuno a los evaluadores correspondientes, el registro y actualización de la base de datos de seguimiento y la verificación d"/>
    <s v="Enero "/>
    <s v="Enero "/>
    <s v="Enero "/>
    <n v="11.5"/>
    <s v="Meses"/>
    <s v="Contratación directa - Prestación de servicios profesionales "/>
    <s v="Propios - 20 - Ingresos corrientes"/>
    <n v="28750000"/>
    <n v="28750000"/>
    <s v="No"/>
    <s v="N/A"/>
    <s v="Johanna Castellanos"/>
    <s v="Subdirectora de Demanda"/>
    <n v="6012220601"/>
    <s v="johanna.castellanos@upme.gov.co"/>
    <m/>
    <m/>
    <m/>
    <m/>
    <m/>
    <m/>
    <m/>
    <m/>
    <m/>
    <m/>
    <m/>
    <m/>
    <m/>
    <m/>
    <m/>
    <m/>
    <m/>
    <m/>
    <m/>
    <m/>
    <m/>
    <m/>
    <m/>
    <m/>
    <m/>
    <m/>
    <m/>
    <m/>
    <s v="Prestar servicios de apoyo asistencial para la gestión operativa de los casos, realizando la distribución y enrutamiento oportuno a los evaluadores correspondientes, el registro y actualización de la base de datos de seguimiento y la verificación del cier"/>
    <m/>
    <m/>
    <m/>
    <n v="1250000"/>
    <m/>
    <n v="2500000"/>
    <m/>
    <n v="2500000"/>
    <m/>
    <n v="2500000"/>
    <m/>
    <n v="2500000"/>
    <m/>
    <n v="2500000"/>
    <m/>
    <n v="2500000"/>
    <m/>
    <n v="2500000"/>
    <m/>
    <n v="2500000"/>
    <m/>
    <n v="2500000"/>
    <m/>
    <n v="5000000"/>
    <m/>
    <m/>
    <n v="0"/>
    <n v="28750000"/>
    <n v="28750000"/>
    <n v="0"/>
    <n v="51426"/>
    <d v="2026-01-20T00:00:00"/>
    <n v="28750000"/>
    <n v="0"/>
    <n v="26426"/>
    <d v="2026-01-28T00:00:00"/>
    <n v="27500000"/>
    <n v="1250000"/>
    <n v="1250000"/>
    <s v="GOMEZ TERAN ALEX ANDREY"/>
    <s v="CO1.PCCNTR.9094541"/>
    <n v="27500000"/>
    <m/>
    <m/>
    <m/>
    <m/>
    <m/>
    <m/>
    <m/>
    <m/>
    <m/>
    <m/>
    <m/>
    <m/>
    <m/>
    <m/>
    <m/>
    <m/>
    <m/>
    <m/>
    <m/>
    <m/>
    <m/>
    <m/>
    <m/>
    <m/>
    <m/>
    <m/>
    <m/>
    <m/>
    <m/>
    <m/>
    <m/>
    <m/>
    <m/>
    <m/>
    <m/>
    <n v="27500000"/>
    <n v="0"/>
    <n v="0"/>
    <n v="27500000"/>
    <n v="0"/>
  </r>
  <r>
    <x v="1"/>
    <x v="5"/>
    <s v="N/A"/>
    <s v="N/A"/>
    <s v="Sí"/>
    <s v="Sí"/>
    <n v="9"/>
    <s v="161-27"/>
    <s v="N.A"/>
    <s v="N.A"/>
    <s v="N.A"/>
    <n v="80111620"/>
    <s v="A-05-01-02-008-003"/>
    <x v="0"/>
    <s v="161-27 Prestar servicios profesionales para la evaluación y análisis de la información de los proyectos de FNCE y de Gestión Eficiente de la Energía, así como para la elaboración,  consolidación y análisis de reportes de implementación de las medidas de e"/>
    <s v="Enero "/>
    <s v="Enero "/>
    <s v="Enero "/>
    <n v="5"/>
    <s v="Meses"/>
    <s v="Contratación directa - Prestación de servicios profesionales "/>
    <s v="Propios - 20 - Ingresos corrientes"/>
    <n v="60925000"/>
    <n v="60925000"/>
    <s v="No"/>
    <s v="N/A"/>
    <s v="Johanna Castellanos"/>
    <s v="Subdirectora de Demanda"/>
    <n v="6012220601"/>
    <s v="johanna.castellanos@upme.gov.co"/>
    <m/>
    <m/>
    <m/>
    <m/>
    <m/>
    <m/>
    <m/>
    <m/>
    <m/>
    <m/>
    <m/>
    <m/>
    <m/>
    <m/>
    <m/>
    <m/>
    <m/>
    <m/>
    <m/>
    <m/>
    <m/>
    <m/>
    <m/>
    <m/>
    <m/>
    <m/>
    <m/>
    <m/>
    <s v="Prestar servicios profesionales para la evaluación y análisis de la información de los proyectos de FNCE y de Gestión Eficiente de la Energía, así como para la elaboración,  consolidación y análisis de reportes de implementación de las medidas de eficienc"/>
    <m/>
    <m/>
    <m/>
    <n v="-19710000"/>
    <m/>
    <n v="3285000"/>
    <m/>
    <n v="3285000"/>
    <m/>
    <n v="3285000"/>
    <m/>
    <n v="3285000"/>
    <m/>
    <n v="3285000"/>
    <m/>
    <n v="3285000"/>
    <m/>
    <n v="3285000"/>
    <m/>
    <n v="3285000"/>
    <m/>
    <n v="3285000"/>
    <m/>
    <n v="6570000"/>
    <m/>
    <m/>
    <n v="0"/>
    <n v="16425000"/>
    <n v="60925000"/>
    <n v="44500000"/>
    <n v="15726"/>
    <d v="2026-01-09T00:00:00"/>
    <n v="22998150"/>
    <n v="37926850"/>
    <n v="3826"/>
    <d v="2026-01-09T00:00:00"/>
    <n v="22998150"/>
    <n v="37926850"/>
    <n v="0"/>
    <s v="MANZANO VERJEL EMMANUEL"/>
    <s v="CO1.PCCNTR.7451843"/>
    <n v="22998150"/>
    <m/>
    <m/>
    <m/>
    <m/>
    <m/>
    <m/>
    <m/>
    <m/>
    <m/>
    <m/>
    <m/>
    <m/>
    <m/>
    <m/>
    <m/>
    <m/>
    <m/>
    <m/>
    <m/>
    <m/>
    <m/>
    <m/>
    <m/>
    <m/>
    <m/>
    <m/>
    <m/>
    <m/>
    <m/>
    <m/>
    <m/>
    <m/>
    <m/>
    <m/>
    <m/>
    <n v="22998150"/>
    <n v="0"/>
    <n v="0"/>
    <n v="22998150"/>
    <n v="0"/>
  </r>
  <r>
    <x v="1"/>
    <x v="5"/>
    <s v="N/A"/>
    <s v="N/A"/>
    <s v="Sí"/>
    <s v="Sí"/>
    <n v="68"/>
    <s v="161-28"/>
    <s v="N.A"/>
    <s v="N.A"/>
    <s v="N.A"/>
    <n v="80111620"/>
    <s v="A-05-01-02-008-003"/>
    <x v="0"/>
    <s v="161-28 Prestar servicios profesionales para la evaluación y análisis integral de la información de los proyectos de Fuentes No Convencionales de Energía y de Gestión Eficiente de la Energía, incluyendo la verificación de requisitos técnicos y documentales"/>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incluyendo la verificación de requisitos técnicos y documentales, la ap"/>
    <m/>
    <m/>
    <m/>
    <n v="-23400000"/>
    <m/>
    <n v="3900000"/>
    <m/>
    <n v="3900000"/>
    <m/>
    <n v="3900000"/>
    <m/>
    <n v="3900000"/>
    <m/>
    <n v="3900000"/>
    <m/>
    <n v="3900000"/>
    <m/>
    <n v="3900000"/>
    <m/>
    <n v="3900000"/>
    <m/>
    <n v="3900000"/>
    <m/>
    <n v="7800000"/>
    <m/>
    <m/>
    <n v="0"/>
    <n v="19500000"/>
    <n v="19500000"/>
    <n v="0"/>
    <m/>
    <m/>
    <m/>
    <n v="19500000"/>
    <n v="3626"/>
    <d v="2026-01-09T00:00:00"/>
    <n v="0"/>
    <n v="19500000"/>
    <n v="0"/>
    <s v="GIRALDO BELLO LADY CAROLINA"/>
    <s v="CO1.PCCNTR.7482219"/>
    <m/>
    <m/>
    <m/>
    <m/>
    <m/>
    <m/>
    <m/>
    <m/>
    <m/>
    <m/>
    <m/>
    <m/>
    <m/>
    <m/>
    <m/>
    <m/>
    <m/>
    <m/>
    <m/>
    <m/>
    <m/>
    <m/>
    <m/>
    <m/>
    <m/>
    <m/>
    <m/>
    <m/>
    <m/>
    <m/>
    <m/>
    <m/>
    <m/>
    <m/>
    <m/>
    <m/>
    <n v="0"/>
    <n v="0"/>
    <n v="0"/>
    <n v="0"/>
    <n v="0"/>
  </r>
  <r>
    <x v="1"/>
    <x v="5"/>
    <s v="N/A"/>
    <s v="N/A"/>
    <s v="Sí"/>
    <s v="Sí"/>
    <n v="68"/>
    <s v="161-29"/>
    <s v="N.A"/>
    <s v="N.A"/>
    <s v="N.A"/>
    <n v="80111620"/>
    <s v="A-05-01-02-008-003"/>
    <x v="0"/>
    <s v="161-29 Prestar servicios profesionales para la evaluación y análisis integral de la información de los proyectos de Fuentes No Convencionales de Energía y de Gestión Eficiente de la Energía, incluyendo la verificación de requisitos técnicos y documentales"/>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incluyendo la verificación de requisitos técnicos y documentales, la ap"/>
    <m/>
    <m/>
    <m/>
    <n v="-23400000"/>
    <m/>
    <n v="3900000"/>
    <m/>
    <n v="3900000"/>
    <m/>
    <n v="3900000"/>
    <m/>
    <n v="3900000"/>
    <m/>
    <n v="3900000"/>
    <m/>
    <n v="3900000"/>
    <m/>
    <n v="3900000"/>
    <m/>
    <n v="3900000"/>
    <m/>
    <n v="3900000"/>
    <m/>
    <n v="7800000"/>
    <m/>
    <m/>
    <n v="0"/>
    <n v="19500000"/>
    <n v="19500000"/>
    <n v="0"/>
    <m/>
    <m/>
    <m/>
    <n v="19500000"/>
    <m/>
    <m/>
    <n v="0"/>
    <n v="19500000"/>
    <n v="0"/>
    <m/>
    <m/>
    <m/>
    <m/>
    <m/>
    <m/>
    <m/>
    <m/>
    <m/>
    <m/>
    <m/>
    <m/>
    <m/>
    <m/>
    <m/>
    <m/>
    <m/>
    <m/>
    <m/>
    <m/>
    <m/>
    <m/>
    <m/>
    <m/>
    <m/>
    <m/>
    <m/>
    <m/>
    <m/>
    <m/>
    <m/>
    <m/>
    <m/>
    <m/>
    <m/>
    <m/>
    <m/>
    <m/>
    <n v="0"/>
    <n v="0"/>
    <n v="0"/>
    <n v="0"/>
    <n v="0"/>
  </r>
  <r>
    <x v="1"/>
    <x v="5"/>
    <s v="N/A"/>
    <s v="N/A"/>
    <s v="Sí"/>
    <s v="Sí"/>
    <n v="68"/>
    <s v="161-3"/>
    <s v="N.A"/>
    <s v="N.A"/>
    <s v="N.A"/>
    <n v="80111620"/>
    <s v="A-05-01-02-008-003"/>
    <x v="0"/>
    <s v="161-3 Prestar servicios profesionales para brindar soporte administrativo y operativo en los procesos contractuales, la gestión de trámites de pago y la realización de actividades necesarias para el cumplimiento de las metas operativas y estratégicas rela"/>
    <s v="Enero "/>
    <s v="Enero "/>
    <s v="Enero "/>
    <n v="11.5"/>
    <s v="Meses"/>
    <s v="Contratación directa - Prestación de servicios profesionales "/>
    <s v="Propios - 20 - Ingresos corrientes"/>
    <n v="47150000"/>
    <n v="47150000"/>
    <s v="No"/>
    <s v="N/A"/>
    <s v="Johanna Castellanos"/>
    <s v="Subdirectora de Demanda"/>
    <n v="6012220601"/>
    <s v="johanna.castellanos@upme.gov.co"/>
    <m/>
    <m/>
    <m/>
    <m/>
    <m/>
    <m/>
    <m/>
    <m/>
    <m/>
    <m/>
    <m/>
    <m/>
    <m/>
    <m/>
    <m/>
    <m/>
    <m/>
    <m/>
    <m/>
    <m/>
    <m/>
    <m/>
    <m/>
    <m/>
    <m/>
    <m/>
    <m/>
    <m/>
    <s v="Prestar servicios profesionales para brindar soporte administrativo y operativo en los procesos contractuales, la gestión de trámites de pago y la realización de actividades necesarias para el cumplimiento de las metas operativas y estratégicas relacionad"/>
    <m/>
    <m/>
    <m/>
    <n v="2050000"/>
    <m/>
    <n v="4100000"/>
    <m/>
    <n v="4100000"/>
    <m/>
    <n v="4100000"/>
    <m/>
    <n v="4100000"/>
    <m/>
    <n v="4100000"/>
    <m/>
    <n v="4100000"/>
    <m/>
    <n v="4100000"/>
    <m/>
    <n v="4100000"/>
    <m/>
    <n v="4100000"/>
    <m/>
    <n v="8200000"/>
    <m/>
    <m/>
    <n v="0"/>
    <n v="47150000"/>
    <n v="47150000"/>
    <n v="0"/>
    <n v="9026"/>
    <d v="2026-01-06T00:00:00"/>
    <n v="45425000"/>
    <n v="1725000"/>
    <m/>
    <m/>
    <n v="0"/>
    <n v="47150000"/>
    <n v="45425000"/>
    <m/>
    <m/>
    <m/>
    <m/>
    <m/>
    <m/>
    <m/>
    <m/>
    <m/>
    <m/>
    <m/>
    <m/>
    <m/>
    <m/>
    <m/>
    <m/>
    <m/>
    <m/>
    <m/>
    <m/>
    <m/>
    <m/>
    <m/>
    <m/>
    <m/>
    <m/>
    <m/>
    <m/>
    <m/>
    <m/>
    <m/>
    <m/>
    <m/>
    <m/>
    <m/>
    <m/>
    <m/>
    <m/>
    <n v="0"/>
    <n v="0"/>
    <n v="0"/>
    <n v="0"/>
    <n v="0"/>
  </r>
  <r>
    <x v="1"/>
    <x v="5"/>
    <s v="N/A"/>
    <s v="N/A"/>
    <s v="Sí"/>
    <s v="Sí"/>
    <n v="68"/>
    <s v="161-30"/>
    <s v="N.A"/>
    <s v="N.A"/>
    <s v="N.A"/>
    <n v="80111620"/>
    <s v="A-05-01-02-008-003"/>
    <x v="0"/>
    <s v="161-30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51126"/>
    <d v="2026-01-20T00:00:00"/>
    <n v="37777500"/>
    <n v="0"/>
    <n v="35126"/>
    <d v="2026-01-30T00:00:00"/>
    <n v="36135000"/>
    <n v="1642500"/>
    <n v="1642500"/>
    <s v="GALARZA TORRES KELLY JOHANA"/>
    <s v=". CO1.PCCNTR.9184032"/>
    <n v="36135000"/>
    <m/>
    <m/>
    <m/>
    <m/>
    <m/>
    <m/>
    <m/>
    <m/>
    <m/>
    <m/>
    <m/>
    <m/>
    <m/>
    <m/>
    <m/>
    <m/>
    <m/>
    <m/>
    <m/>
    <m/>
    <m/>
    <m/>
    <m/>
    <m/>
    <m/>
    <m/>
    <m/>
    <m/>
    <m/>
    <m/>
    <m/>
    <m/>
    <m/>
    <m/>
    <m/>
    <n v="36135000"/>
    <n v="0"/>
    <n v="0"/>
    <n v="36135000"/>
    <n v="0"/>
  </r>
  <r>
    <x v="1"/>
    <x v="5"/>
    <s v="N/A"/>
    <s v="N/A"/>
    <s v="Sí"/>
    <s v="Sí"/>
    <n v="68"/>
    <s v="161-31"/>
    <s v="N.A"/>
    <s v="N.A"/>
    <s v="N.A"/>
    <n v="80111620"/>
    <s v="A-05-01-02-008-003"/>
    <x v="0"/>
    <s v="161-31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2126"/>
    <d v="2026-01-16T00:00:00"/>
    <n v="37777500"/>
    <n v="0"/>
    <n v="31926"/>
    <d v="2026-01-29T00:00:00"/>
    <n v="36135000"/>
    <n v="1642500"/>
    <n v="1642500"/>
    <s v="FONTECHA SABOYA DANIELA"/>
    <s v="CO1.PCCNTR.9035080"/>
    <n v="36135000"/>
    <m/>
    <m/>
    <m/>
    <m/>
    <m/>
    <m/>
    <m/>
    <m/>
    <m/>
    <m/>
    <m/>
    <m/>
    <m/>
    <m/>
    <m/>
    <m/>
    <m/>
    <m/>
    <m/>
    <m/>
    <m/>
    <m/>
    <m/>
    <m/>
    <m/>
    <m/>
    <m/>
    <m/>
    <m/>
    <m/>
    <m/>
    <m/>
    <m/>
    <m/>
    <m/>
    <n v="36135000"/>
    <n v="0"/>
    <n v="0"/>
    <n v="36135000"/>
    <n v="0"/>
  </r>
  <r>
    <x v="1"/>
    <x v="5"/>
    <s v="N/A"/>
    <s v="N/A"/>
    <s v="Sí"/>
    <s v="Sí"/>
    <n v="68"/>
    <s v="161-32"/>
    <s v="N.A"/>
    <s v="N.A"/>
    <s v="N.A"/>
    <n v="80111620"/>
    <s v="A-05-01-02-008-003"/>
    <x v="0"/>
    <s v="161-32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53026"/>
    <d v="2026-01-21T00:00:00"/>
    <n v="37777500"/>
    <n v="0"/>
    <n v="32526"/>
    <d v="2026-01-29T00:00:00"/>
    <n v="36135000"/>
    <n v="1642500"/>
    <n v="1642500"/>
    <s v="PINZON SILVA JORGE ANDRES"/>
    <s v="CO1.PCCNTR.9108641"/>
    <n v="36135000"/>
    <m/>
    <m/>
    <m/>
    <m/>
    <m/>
    <m/>
    <m/>
    <m/>
    <m/>
    <m/>
    <m/>
    <m/>
    <m/>
    <m/>
    <m/>
    <m/>
    <m/>
    <m/>
    <m/>
    <m/>
    <m/>
    <m/>
    <m/>
    <m/>
    <m/>
    <m/>
    <m/>
    <m/>
    <m/>
    <m/>
    <m/>
    <m/>
    <m/>
    <m/>
    <m/>
    <n v="36135000"/>
    <n v="0"/>
    <n v="0"/>
    <n v="36135000"/>
    <n v="0"/>
  </r>
  <r>
    <x v="1"/>
    <x v="5"/>
    <s v="N/A"/>
    <s v="N/A"/>
    <s v="Sí"/>
    <s v="Sí"/>
    <n v="68"/>
    <s v="161-33"/>
    <s v="N.A"/>
    <s v="N.A"/>
    <s v="N.A"/>
    <n v="80111620"/>
    <s v="A-05-01-02-008-003"/>
    <x v="0"/>
    <s v="161-33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4626"/>
    <d v="2026-01-17T00:00:00"/>
    <n v="37777500"/>
    <n v="0"/>
    <n v="31426"/>
    <d v="2026-01-29T00:00:00"/>
    <n v="36135000"/>
    <n v="1642500"/>
    <n v="1642500"/>
    <s v="JURADO REYES LAURA CAMILA"/>
    <s v="CO1.PCCNTR.9073765"/>
    <n v="36135000"/>
    <m/>
    <m/>
    <m/>
    <m/>
    <m/>
    <m/>
    <m/>
    <m/>
    <m/>
    <m/>
    <m/>
    <m/>
    <m/>
    <m/>
    <m/>
    <m/>
    <m/>
    <m/>
    <m/>
    <m/>
    <m/>
    <m/>
    <m/>
    <m/>
    <m/>
    <m/>
    <m/>
    <m/>
    <m/>
    <m/>
    <m/>
    <m/>
    <m/>
    <m/>
    <m/>
    <n v="36135000"/>
    <n v="0"/>
    <n v="0"/>
    <n v="36135000"/>
    <n v="0"/>
  </r>
  <r>
    <x v="1"/>
    <x v="5"/>
    <s v="N/A"/>
    <s v="N/A"/>
    <s v="Sí"/>
    <s v="Sí"/>
    <n v="68"/>
    <s v="161-34"/>
    <s v="N.A"/>
    <s v="N.A"/>
    <s v="N.A"/>
    <n v="80111620"/>
    <s v="A-05-01-02-008-003"/>
    <x v="0"/>
    <s v="161-34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4826"/>
    <d v="2026-01-17T00:00:00"/>
    <n v="37777500"/>
    <n v="0"/>
    <n v="29526"/>
    <d v="2026-01-28T00:00:00"/>
    <n v="36135000"/>
    <n v="1642500"/>
    <n v="1642500"/>
    <s v="ORTÍZ CÁRDENAS NICOLÁS HERNANDO"/>
    <s v="CO1.PCCNTR.9131559"/>
    <n v="36135000"/>
    <m/>
    <m/>
    <m/>
    <m/>
    <m/>
    <m/>
    <m/>
    <m/>
    <m/>
    <m/>
    <m/>
    <m/>
    <m/>
    <m/>
    <m/>
    <m/>
    <m/>
    <m/>
    <m/>
    <m/>
    <m/>
    <m/>
    <m/>
    <m/>
    <m/>
    <m/>
    <m/>
    <m/>
    <m/>
    <m/>
    <m/>
    <m/>
    <m/>
    <m/>
    <m/>
    <n v="36135000"/>
    <n v="0"/>
    <n v="0"/>
    <n v="36135000"/>
    <n v="0"/>
  </r>
  <r>
    <x v="1"/>
    <x v="5"/>
    <s v="N/A"/>
    <s v="N/A"/>
    <s v="Sí"/>
    <s v="Sí"/>
    <n v="1"/>
    <s v="161-35"/>
    <s v="N.A"/>
    <s v="N.A"/>
    <s v="N.A"/>
    <n v="80111620"/>
    <s v="A-05-01-02-008-003"/>
    <x v="0"/>
    <s v="161-35 Prestar servicios profesionales para la evaluación, análisis y actualización de la información de los proyectos de Fuentes No Convencionales de Energía, Gestión Eficiente de la Energía e Hidrógeno presentados a la UPME."/>
    <s v="Enero "/>
    <s v="Enero "/>
    <s v="Enero "/>
    <n v="11.5"/>
    <s v="Meses"/>
    <s v="Contratación directa - Prestación de servicios profesionales "/>
    <s v="Propios - 20 - Ingresos corrientes"/>
    <n v="42550000"/>
    <n v="42550000"/>
    <s v="No"/>
    <s v="N/A"/>
    <s v="Johanna Castellanos"/>
    <s v="Subdirectora de Demanda"/>
    <n v="6012220601"/>
    <s v="johanna.castellanos@upme.gov.co"/>
    <m/>
    <m/>
    <m/>
    <m/>
    <m/>
    <m/>
    <m/>
    <m/>
    <m/>
    <m/>
    <m/>
    <m/>
    <m/>
    <m/>
    <m/>
    <m/>
    <m/>
    <m/>
    <m/>
    <m/>
    <m/>
    <m/>
    <m/>
    <m/>
    <m/>
    <m/>
    <m/>
    <m/>
    <s v="Prestar servicios profesionales para la evaluación, análisis y actualización de la información de los proyectos de Fuentes No Convencionales de Energía, Gestión Eficiente de la Energía e Hidrógeno presentados a la UPME."/>
    <m/>
    <m/>
    <m/>
    <n v="1850000"/>
    <m/>
    <n v="3700000"/>
    <m/>
    <n v="3700000"/>
    <m/>
    <n v="3700000"/>
    <m/>
    <n v="3700000"/>
    <m/>
    <n v="3700000"/>
    <m/>
    <n v="3700000"/>
    <m/>
    <n v="3700000"/>
    <m/>
    <n v="3700000"/>
    <m/>
    <n v="3700000"/>
    <m/>
    <n v="7400000"/>
    <m/>
    <m/>
    <n v="0"/>
    <n v="42550000"/>
    <n v="42550000"/>
    <n v="0"/>
    <n v="60826"/>
    <d v="2026-01-23T00:00:00"/>
    <n v="40700000"/>
    <n v="1850000"/>
    <n v="57726"/>
    <d v="2026-02-10T00:00:00"/>
    <n v="40700000"/>
    <n v="1850000"/>
    <n v="0"/>
    <s v="GONZALEZ ARENAS JUAN DAVID"/>
    <s v="CO1.PCCNTR.9304025"/>
    <m/>
    <m/>
    <m/>
    <n v="40700000"/>
    <m/>
    <m/>
    <m/>
    <m/>
    <m/>
    <m/>
    <m/>
    <m/>
    <m/>
    <m/>
    <m/>
    <m/>
    <m/>
    <m/>
    <m/>
    <m/>
    <m/>
    <m/>
    <m/>
    <m/>
    <m/>
    <m/>
    <m/>
    <m/>
    <m/>
    <m/>
    <m/>
    <m/>
    <m/>
    <m/>
    <m/>
    <m/>
    <n v="40700000"/>
    <n v="0"/>
    <n v="0"/>
    <n v="40700000"/>
    <n v="0"/>
  </r>
  <r>
    <x v="1"/>
    <x v="5"/>
    <s v="N/A"/>
    <s v="N/A"/>
    <s v="Sí"/>
    <s v="Sí"/>
    <n v="1"/>
    <s v="161-36"/>
    <s v="N.A"/>
    <s v="N.A"/>
    <s v="N.A"/>
    <n v="80111620"/>
    <s v="A-05-01-02-008-003"/>
    <x v="0"/>
    <s v="161-36 Prestar servicios profesionales para la evaluación y análisis de proyectos de Gestión Eficiente de la Energía, a las solicitudes de incentivos tributarios radicadas en la UPME."/>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evaluación y análisis de proyectos de Gestión Eficiente de la Energía, a las solicitudes de incentivos tributarios radicadas en la UPME."/>
    <m/>
    <m/>
    <m/>
    <n v="3000000"/>
    <m/>
    <n v="6000000"/>
    <m/>
    <n v="6000000"/>
    <m/>
    <n v="6000000"/>
    <m/>
    <n v="6000000"/>
    <m/>
    <n v="6000000"/>
    <m/>
    <n v="6000000"/>
    <m/>
    <n v="6000000"/>
    <m/>
    <n v="6000000"/>
    <m/>
    <n v="6000000"/>
    <m/>
    <n v="12000000"/>
    <m/>
    <m/>
    <n v="0"/>
    <n v="69000000"/>
    <n v="69000000"/>
    <n v="0"/>
    <n v="47826"/>
    <d v="2026-01-19T00:00:00"/>
    <n v="69000000"/>
    <n v="0"/>
    <n v="23726"/>
    <d v="2026-01-27T00:00:00"/>
    <n v="66000000"/>
    <n v="3000000"/>
    <n v="3000000"/>
    <s v="CHICO MORENO JOHANNA CAROLINA"/>
    <s v="CO1.PCCNTR.9078602"/>
    <n v="66000000"/>
    <m/>
    <m/>
    <m/>
    <m/>
    <m/>
    <m/>
    <m/>
    <m/>
    <m/>
    <m/>
    <m/>
    <m/>
    <m/>
    <m/>
    <m/>
    <m/>
    <m/>
    <m/>
    <m/>
    <m/>
    <m/>
    <m/>
    <m/>
    <m/>
    <m/>
    <m/>
    <m/>
    <m/>
    <m/>
    <m/>
    <m/>
    <m/>
    <m/>
    <m/>
    <m/>
    <n v="66000000"/>
    <n v="0"/>
    <n v="0"/>
    <n v="66000000"/>
    <n v="0"/>
  </r>
  <r>
    <x v="1"/>
    <x v="5"/>
    <s v="N/A"/>
    <s v="N/A"/>
    <s v="Sí"/>
    <s v="Sí"/>
    <n v="20"/>
    <s v="161-37"/>
    <s v="N.A"/>
    <s v="N.A"/>
    <s v="N.A"/>
    <n v="80111620"/>
    <s v="A-05-01-02-008-003"/>
    <x v="0"/>
    <s v="161-37 Prestar servicios profesionales enfocados en el análisis y evaluación de la información técnica de proyectos de Fuentes No Convencionales de Energía y Gestión Eficiente de la Energía, asegurando el cumplimiento de los requisitos exigidos por la nor"/>
    <s v="Enero "/>
    <s v="Enero "/>
    <s v="Enero "/>
    <n v="11.5"/>
    <s v="Meses"/>
    <s v="Contratación directa - Prestación de servicios profesionales "/>
    <s v="Propios - 20 - Ingresos corrientes"/>
    <n v="111500000"/>
    <n v="111500000"/>
    <s v="No"/>
    <s v="N/A"/>
    <s v="Johanna Castellanos"/>
    <s v="Subdirectora de Demanda"/>
    <n v="6012220601"/>
    <s v="johanna.castellanos@upme.gov.co"/>
    <m/>
    <m/>
    <m/>
    <m/>
    <m/>
    <m/>
    <m/>
    <m/>
    <m/>
    <m/>
    <m/>
    <m/>
    <m/>
    <m/>
    <m/>
    <m/>
    <m/>
    <m/>
    <m/>
    <m/>
    <m/>
    <m/>
    <m/>
    <m/>
    <m/>
    <m/>
    <m/>
    <m/>
    <s v="Prestar servicios profesionales enfocados en el análisis y evaluación de la información técnica de proyectos de Fuentes No Convencionales de Energía y Gestión Eficiente de la Energía, asegurando el cumplimiento de los requisitos exigidos por la normativa "/>
    <m/>
    <m/>
    <m/>
    <n v="2500000"/>
    <m/>
    <n v="5000000"/>
    <m/>
    <n v="5000000"/>
    <m/>
    <n v="5000000"/>
    <m/>
    <n v="5000000"/>
    <m/>
    <n v="5000000"/>
    <m/>
    <n v="5000000"/>
    <m/>
    <n v="5000000"/>
    <m/>
    <n v="5000000"/>
    <m/>
    <n v="5000000"/>
    <m/>
    <n v="10000000"/>
    <m/>
    <m/>
    <n v="0"/>
    <n v="57500000"/>
    <n v="111500000"/>
    <n v="54000000"/>
    <n v="42726"/>
    <d v="2026-01-16T00:00:00"/>
    <n v="57500000"/>
    <n v="54000000"/>
    <n v="25026"/>
    <d v="2026-01-28T00:00:00"/>
    <n v="55000000"/>
    <n v="56500000"/>
    <n v="2500000"/>
    <s v="GUAZA RANGEL JUAN MANUEL"/>
    <s v="CO1.PCCNTR.9110053"/>
    <n v="55000000"/>
    <m/>
    <m/>
    <m/>
    <m/>
    <m/>
    <m/>
    <m/>
    <m/>
    <m/>
    <m/>
    <m/>
    <m/>
    <m/>
    <m/>
    <m/>
    <m/>
    <m/>
    <m/>
    <m/>
    <m/>
    <m/>
    <m/>
    <m/>
    <m/>
    <m/>
    <m/>
    <m/>
    <m/>
    <m/>
    <m/>
    <m/>
    <m/>
    <m/>
    <m/>
    <m/>
    <n v="55000000"/>
    <n v="0"/>
    <n v="0"/>
    <n v="55000000"/>
    <n v="0"/>
  </r>
  <r>
    <x v="1"/>
    <x v="5"/>
    <s v="N/A"/>
    <s v="N/A"/>
    <s v="Sí"/>
    <s v="Sí"/>
    <n v="1"/>
    <s v="161-38"/>
    <s v="N.A"/>
    <s v="N.A"/>
    <s v="N.A"/>
    <n v="80111620"/>
    <s v="A-05-01-02-008-003"/>
    <x v="0"/>
    <s v="161-38 Prestar servicios profesionales enfocados en el análisis y evaluación de la información técnica de proyectos de Fuentes No Convencionales de Energía y Gestión Eficiente de la Energía, asegurando el cumplimiento de los requisitos exigidos por la nor"/>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focados en el análisis y evaluación de la información técnica de proyectos de Fuentes No Convencionales de Energía y Gestión Eficiente de la Energía, asegurando el cumplimiento de los requisitos exigidos por la normativa "/>
    <m/>
    <m/>
    <m/>
    <n v="2500000"/>
    <m/>
    <n v="5000000"/>
    <m/>
    <n v="5000000"/>
    <m/>
    <n v="5000000"/>
    <m/>
    <n v="5000000"/>
    <m/>
    <n v="5000000"/>
    <m/>
    <n v="5000000"/>
    <m/>
    <n v="5000000"/>
    <m/>
    <n v="5000000"/>
    <m/>
    <n v="5000000"/>
    <m/>
    <n v="10000000"/>
    <m/>
    <m/>
    <n v="0"/>
    <n v="57500000"/>
    <n v="57500000"/>
    <n v="0"/>
    <n v="34926"/>
    <d v="2026-01-15T00:00:00"/>
    <n v="57500000"/>
    <n v="0"/>
    <n v="32726"/>
    <d v="2026-01-26T00:00:00"/>
    <n v="57000000"/>
    <n v="500000"/>
    <n v="500000"/>
    <s v="FONSECA CASTRO SANTIAGO"/>
    <s v="CO1.PCCNTR.9115004"/>
    <n v="57000000"/>
    <m/>
    <m/>
    <m/>
    <m/>
    <m/>
    <m/>
    <m/>
    <m/>
    <m/>
    <m/>
    <m/>
    <m/>
    <m/>
    <m/>
    <m/>
    <m/>
    <m/>
    <m/>
    <m/>
    <m/>
    <m/>
    <m/>
    <m/>
    <m/>
    <m/>
    <m/>
    <m/>
    <m/>
    <m/>
    <m/>
    <m/>
    <m/>
    <m/>
    <m/>
    <m/>
    <n v="57000000"/>
    <n v="0"/>
    <n v="0"/>
    <n v="57000000"/>
    <n v="0"/>
  </r>
  <r>
    <x v="1"/>
    <x v="5"/>
    <s v="N/A"/>
    <s v="N/A"/>
    <s v="Sí"/>
    <s v="Sí"/>
    <n v="4"/>
    <s v="161-39"/>
    <s v="N.A"/>
    <s v="N.A"/>
    <s v="N.A"/>
    <n v="80111620"/>
    <s v="A-05-01-02-008-003"/>
    <x v="0"/>
    <s v="161-39 Prestar servicios de apoyo a la gestión para la evaluación, análisis de la información de los proyectos de Fuentes No Convencionales de Energía y Gestión Eficiente de la Energía, así como el análisis de datos del trámite de incentivos tributarios a"/>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de apoyo a la gestión para la evaluación, análisis de la información de los proyectos de Fuentes No Convencionales de Energía y Gestión Eficiente de la Energía, así como el análisis de datos del trámite de incentivos tributarios a través"/>
    <m/>
    <m/>
    <m/>
    <n v="2000000"/>
    <m/>
    <n v="4000000"/>
    <m/>
    <n v="4000000"/>
    <m/>
    <n v="4000000"/>
    <m/>
    <n v="4000000"/>
    <m/>
    <n v="4000000"/>
    <m/>
    <n v="4000000"/>
    <m/>
    <n v="4000000"/>
    <m/>
    <n v="4000000"/>
    <m/>
    <n v="4000000"/>
    <m/>
    <n v="8000000"/>
    <m/>
    <m/>
    <n v="0"/>
    <n v="46000000"/>
    <n v="46000000"/>
    <n v="0"/>
    <n v="47626"/>
    <d v="2026-01-19T00:00:00"/>
    <n v="46000000"/>
    <n v="0"/>
    <n v="30926"/>
    <d v="2026-01-29T00:00:00"/>
    <n v="44000000"/>
    <n v="2000000"/>
    <n v="2000000"/>
    <s v="GARZON ACOSTA JENNY CATALINA"/>
    <s v="CO1.PCCNTR.9135383"/>
    <n v="44000000"/>
    <m/>
    <m/>
    <m/>
    <m/>
    <m/>
    <m/>
    <m/>
    <m/>
    <m/>
    <m/>
    <m/>
    <m/>
    <m/>
    <m/>
    <m/>
    <m/>
    <m/>
    <m/>
    <m/>
    <m/>
    <m/>
    <m/>
    <m/>
    <m/>
    <m/>
    <m/>
    <m/>
    <m/>
    <m/>
    <m/>
    <m/>
    <m/>
    <m/>
    <m/>
    <m/>
    <n v="44000000"/>
    <n v="0"/>
    <n v="0"/>
    <n v="44000000"/>
    <n v="0"/>
  </r>
  <r>
    <x v="1"/>
    <x v="5"/>
    <s v="N/A"/>
    <s v="N/A"/>
    <s v="Sí"/>
    <s v="Sí"/>
    <n v="68"/>
    <s v="161-4"/>
    <s v="N.A"/>
    <s v="N.A"/>
    <s v="N.A"/>
    <n v="80111620"/>
    <s v="A-05-01-02-008-003"/>
    <x v="0"/>
    <s v="161-4 Prestar servicios profesionales para el seguimiento y documentación integral de las actividades de la Subdirección de Demanda, así como para la formulación, seguimiento, reporte y ejecución de instrumentos de planeación y metas institucionales."/>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el seguimiento y documentación integral de las actividades de la Subdirección de Demanda, así como para la formulación, seguimiento, reporte y ejecución de instrumentos de planeación y metas institucionales."/>
    <m/>
    <m/>
    <m/>
    <n v="3000000"/>
    <m/>
    <n v="6000000"/>
    <m/>
    <n v="6000000"/>
    <m/>
    <n v="6000000"/>
    <m/>
    <n v="6000000"/>
    <m/>
    <n v="6000000"/>
    <m/>
    <n v="6000000"/>
    <m/>
    <n v="6000000"/>
    <m/>
    <n v="6000000"/>
    <m/>
    <n v="6000000"/>
    <m/>
    <n v="12000000"/>
    <m/>
    <m/>
    <n v="0"/>
    <n v="69000000"/>
    <n v="69000000"/>
    <n v="0"/>
    <n v="8926"/>
    <d v="2026-01-06T00:00:00"/>
    <n v="69000000"/>
    <n v="0"/>
    <m/>
    <m/>
    <n v="0"/>
    <n v="69000000"/>
    <n v="69000000"/>
    <m/>
    <m/>
    <m/>
    <m/>
    <m/>
    <m/>
    <m/>
    <m/>
    <m/>
    <m/>
    <m/>
    <m/>
    <m/>
    <m/>
    <m/>
    <m/>
    <m/>
    <m/>
    <m/>
    <m/>
    <m/>
    <m/>
    <m/>
    <m/>
    <m/>
    <m/>
    <m/>
    <m/>
    <m/>
    <m/>
    <m/>
    <m/>
    <m/>
    <m/>
    <m/>
    <m/>
    <m/>
    <m/>
    <n v="0"/>
    <n v="0"/>
    <n v="0"/>
    <n v="0"/>
    <n v="0"/>
  </r>
  <r>
    <x v="1"/>
    <x v="5"/>
    <s v="N/A"/>
    <s v="N/A"/>
    <s v="Sí"/>
    <s v="Sí"/>
    <n v="6"/>
    <s v="161-40"/>
    <s v="N.A"/>
    <s v="N.A"/>
    <s v="N.A"/>
    <n v="80111620"/>
    <s v="A-05-01-02-008-003"/>
    <x v="0"/>
    <s v="161-40 Prestar servicios de apoyo a la gestión para la evaluación de proyectos de Fuentes No Convencionales de Energía, Gestión Eficiente de la Energía, particularmente proyectos de enfriamiento de gran capacidad, integrando la regulación del sector eléct"/>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de apoyo a la gestión para la evaluación de proyectos de Fuentes No Convencionales de Energía, Gestión Eficiente de la Energía, particularmente proyectos de enfriamiento de gran capacidad, integrando la regulación del sector eléctrico na"/>
    <m/>
    <m/>
    <m/>
    <n v="3000000"/>
    <m/>
    <n v="6000000"/>
    <m/>
    <n v="6000000"/>
    <m/>
    <n v="6000000"/>
    <m/>
    <n v="6000000"/>
    <m/>
    <n v="6000000"/>
    <m/>
    <n v="6000000"/>
    <m/>
    <n v="6000000"/>
    <m/>
    <n v="6000000"/>
    <m/>
    <n v="6000000"/>
    <m/>
    <n v="12000000"/>
    <m/>
    <m/>
    <n v="0"/>
    <n v="69000000"/>
    <n v="69000000"/>
    <n v="0"/>
    <n v="60726"/>
    <d v="2026-01-23T00:00:00"/>
    <n v="69000000"/>
    <n v="0"/>
    <n v="35926"/>
    <d v="2026-01-30T00:00:00"/>
    <n v="55000000"/>
    <n v="14000000"/>
    <n v="14000000"/>
    <s v="GONZALEZ ZARATE JOHN KEVIN"/>
    <s v="CO1.PCCNTR.9182496"/>
    <n v="55000000"/>
    <m/>
    <m/>
    <m/>
    <m/>
    <m/>
    <m/>
    <m/>
    <m/>
    <m/>
    <m/>
    <m/>
    <m/>
    <m/>
    <m/>
    <m/>
    <m/>
    <m/>
    <m/>
    <m/>
    <m/>
    <m/>
    <m/>
    <m/>
    <m/>
    <m/>
    <m/>
    <m/>
    <m/>
    <m/>
    <m/>
    <m/>
    <m/>
    <m/>
    <m/>
    <m/>
    <n v="55000000"/>
    <n v="0"/>
    <n v="0"/>
    <n v="55000000"/>
    <n v="0"/>
  </r>
  <r>
    <x v="1"/>
    <x v="5"/>
    <s v="N/A"/>
    <s v="N/A"/>
    <s v="Sí"/>
    <s v="Sí"/>
    <n v="68"/>
    <s v="161-41"/>
    <s v="N.A"/>
    <s v="N.A"/>
    <s v="N.A"/>
    <n v="80111620"/>
    <s v="A-05-01-02-008-003"/>
    <x v="0"/>
    <s v="161-41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50926"/>
    <d v="2026-01-20T00:00:00"/>
    <n v="37777500"/>
    <n v="0"/>
    <n v="31526"/>
    <d v="2026-01-29T00:00:00"/>
    <n v="36135000"/>
    <n v="1642500"/>
    <n v="1642500"/>
    <s v="GUIZA FORERO LIYIBETH"/>
    <s v="CO1.PCCNTR.9138514"/>
    <n v="36135000"/>
    <m/>
    <m/>
    <m/>
    <m/>
    <m/>
    <m/>
    <m/>
    <m/>
    <m/>
    <m/>
    <m/>
    <m/>
    <m/>
    <m/>
    <m/>
    <m/>
    <m/>
    <m/>
    <m/>
    <m/>
    <m/>
    <m/>
    <m/>
    <m/>
    <m/>
    <m/>
    <m/>
    <m/>
    <m/>
    <m/>
    <m/>
    <m/>
    <m/>
    <m/>
    <m/>
    <n v="36135000"/>
    <n v="0"/>
    <n v="0"/>
    <n v="36135000"/>
    <n v="0"/>
  </r>
  <r>
    <x v="1"/>
    <x v="5"/>
    <s v="N/A"/>
    <s v="N/A"/>
    <s v="Sí"/>
    <s v="Sí"/>
    <n v="68"/>
    <s v="161-42"/>
    <s v="N.A"/>
    <s v="N.A"/>
    <s v="N.A"/>
    <n v="80111620"/>
    <s v="A-05-01-02-008-003"/>
    <x v="0"/>
    <s v="161-42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n v="44726"/>
    <d v="2026-01-17T00:00:00"/>
    <n v="37777500"/>
    <n v="0"/>
    <n v="25526"/>
    <d v="2026-01-28T00:00:00"/>
    <n v="37120500"/>
    <n v="657000"/>
    <n v="657000"/>
    <s v="FLOREZ TARAZONA ANDRES"/>
    <s v="CO1.PCCNTR.9110411"/>
    <n v="37120500"/>
    <m/>
    <m/>
    <m/>
    <m/>
    <m/>
    <m/>
    <m/>
    <m/>
    <m/>
    <m/>
    <m/>
    <m/>
    <m/>
    <m/>
    <m/>
    <m/>
    <m/>
    <m/>
    <m/>
    <m/>
    <m/>
    <m/>
    <m/>
    <m/>
    <m/>
    <m/>
    <m/>
    <m/>
    <m/>
    <m/>
    <m/>
    <m/>
    <m/>
    <m/>
    <m/>
    <n v="37120500"/>
    <n v="0"/>
    <n v="0"/>
    <n v="37120500"/>
    <n v="0"/>
  </r>
  <r>
    <x v="1"/>
    <x v="5"/>
    <s v="N/A"/>
    <s v="N/A"/>
    <s v="Sí"/>
    <s v="Sí"/>
    <n v="1"/>
    <s v="161-43"/>
    <s v="N.A"/>
    <s v="N.A"/>
    <s v="N.A"/>
    <n v="80111620"/>
    <s v="A-05-01-02-008-003"/>
    <x v="0"/>
    <s v="161-43 Prestar servicios profesionales para apoyar la validación del cumplimiento en el envío correcto y completo de los requisitos exigidos por la normativa vigente para el acceso a incentivos tributarios en proyectos de Fuentes No Convencionales de Ener"/>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apoyar la validación del cumplimiento en el envío correcto y completo de los requisitos exigidos por la normativa vigente para el acceso a incentivos tributarios en proyectos de Fuentes No Convencionales de Energía, Ge"/>
    <m/>
    <m/>
    <m/>
    <n v="2500000"/>
    <m/>
    <n v="5000000"/>
    <m/>
    <n v="5000000"/>
    <m/>
    <n v="5000000"/>
    <m/>
    <n v="5000000"/>
    <m/>
    <n v="5000000"/>
    <m/>
    <n v="5000000"/>
    <m/>
    <n v="5000000"/>
    <m/>
    <n v="5000000"/>
    <m/>
    <n v="5000000"/>
    <m/>
    <n v="10000000"/>
    <m/>
    <m/>
    <n v="0"/>
    <n v="57500000"/>
    <n v="57500000"/>
    <n v="0"/>
    <n v="62226"/>
    <d v="2026-01-23T00:00:00"/>
    <n v="43890000"/>
    <n v="13610000"/>
    <n v="34626"/>
    <d v="2026-01-29T00:00:00"/>
    <n v="43890000"/>
    <n v="13610000"/>
    <n v="0"/>
    <s v="ESPITIA GONZALES ELKIN JOSE"/>
    <s v="CO1.PCCNTR.9182835"/>
    <n v="43890000"/>
    <m/>
    <m/>
    <m/>
    <m/>
    <m/>
    <m/>
    <m/>
    <m/>
    <m/>
    <m/>
    <m/>
    <m/>
    <m/>
    <m/>
    <m/>
    <m/>
    <m/>
    <m/>
    <m/>
    <m/>
    <m/>
    <m/>
    <m/>
    <m/>
    <m/>
    <m/>
    <m/>
    <m/>
    <m/>
    <m/>
    <m/>
    <m/>
    <m/>
    <m/>
    <m/>
    <n v="43890000"/>
    <n v="0"/>
    <n v="0"/>
    <n v="43890000"/>
    <n v="0"/>
  </r>
  <r>
    <x v="1"/>
    <x v="5"/>
    <s v="N/A"/>
    <s v="N/A"/>
    <s v="Sí"/>
    <s v="Sí"/>
    <n v="1"/>
    <s v="161-44"/>
    <s v="N.A"/>
    <s v="N.A"/>
    <s v="N.A"/>
    <n v="80111620"/>
    <s v="A-05-01-02-008-003"/>
    <x v="0"/>
    <s v="161-44 Prestar servicios profesionales para realizar el análisis técnico y documental de los proyectos asociados a Fuentes No Convencionales de Energía y Gestión Eficiente de la Energía, mediante la evaluación integral de la información suministrada, la v"/>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realizar el análisis técnico y documental de los proyectos asociados a Fuentes No Convencionales de Energía y Gestión Eficiente de la Energía, mediante la evaluación integral de la información suministrada, la verifica"/>
    <m/>
    <m/>
    <m/>
    <n v="3000000"/>
    <m/>
    <n v="6000000"/>
    <m/>
    <n v="6000000"/>
    <m/>
    <n v="6000000"/>
    <m/>
    <n v="6000000"/>
    <m/>
    <n v="6000000"/>
    <m/>
    <n v="6000000"/>
    <m/>
    <n v="6000000"/>
    <m/>
    <n v="6000000"/>
    <m/>
    <n v="6000000"/>
    <m/>
    <n v="12000000"/>
    <m/>
    <m/>
    <n v="0"/>
    <n v="69000000"/>
    <n v="69000000"/>
    <n v="0"/>
    <n v="49526"/>
    <d v="2026-01-20T00:00:00"/>
    <n v="67800000"/>
    <n v="1200000"/>
    <n v="34526"/>
    <s v="269/01/2026"/>
    <n v="66000000"/>
    <n v="3000000"/>
    <n v="1800000"/>
    <s v="SERRANO CABARCAS GIANMARCO"/>
    <s v="CO1.PCCNTR.9179548"/>
    <n v="66000000"/>
    <m/>
    <m/>
    <m/>
    <m/>
    <m/>
    <m/>
    <m/>
    <m/>
    <m/>
    <m/>
    <m/>
    <m/>
    <m/>
    <m/>
    <m/>
    <m/>
    <m/>
    <m/>
    <m/>
    <m/>
    <m/>
    <m/>
    <m/>
    <m/>
    <m/>
    <m/>
    <m/>
    <m/>
    <m/>
    <m/>
    <m/>
    <m/>
    <m/>
    <m/>
    <m/>
    <n v="66000000"/>
    <n v="0"/>
    <n v="0"/>
    <n v="66000000"/>
    <n v="0"/>
  </r>
  <r>
    <x v="1"/>
    <x v="5"/>
    <s v="N/A"/>
    <s v="N/A"/>
    <s v="Sí"/>
    <s v="Sí"/>
    <n v="1"/>
    <s v="161-45"/>
    <s v="N.A"/>
    <s v="N.A"/>
    <s v="N.A"/>
    <n v="80111620"/>
    <s v="A-05-01-02-008-003"/>
    <x v="0"/>
    <s v="161-45 Prestar servicios profesionales para la evaluación y análisis integral de la información de los proyectos de Fuentes No Convencionales de Energía y de Gestión Eficiente de la Energía, aplicando metodologías de formulación, seguimiento y control de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aplicando metodologías de formulación, seguimiento y control de proyect"/>
    <m/>
    <m/>
    <m/>
    <n v="2000000"/>
    <m/>
    <n v="5000000"/>
    <m/>
    <n v="5000000"/>
    <m/>
    <n v="5000000"/>
    <m/>
    <n v="5000000"/>
    <m/>
    <n v="5000000"/>
    <m/>
    <n v="5000000"/>
    <m/>
    <n v="5000000"/>
    <m/>
    <n v="5000000"/>
    <m/>
    <n v="5000000"/>
    <m/>
    <n v="10000000"/>
    <m/>
    <m/>
    <n v="0"/>
    <n v="57000000"/>
    <n v="57000000"/>
    <n v="0"/>
    <n v="36626"/>
    <d v="2026-01-15T00:00:00"/>
    <n v="57000000"/>
    <n v="0"/>
    <n v="24026"/>
    <d v="2026-01-27T00:00:00"/>
    <n v="55000000"/>
    <n v="2000000"/>
    <n v="2000000"/>
    <s v="PEREZ BECERRA YOAD ERNESTO"/>
    <s v="CO1.PCCNTR.9037288"/>
    <n v="55000000"/>
    <m/>
    <m/>
    <m/>
    <m/>
    <m/>
    <m/>
    <m/>
    <m/>
    <m/>
    <m/>
    <m/>
    <m/>
    <m/>
    <m/>
    <m/>
    <m/>
    <m/>
    <m/>
    <m/>
    <m/>
    <m/>
    <m/>
    <m/>
    <m/>
    <m/>
    <m/>
    <m/>
    <m/>
    <m/>
    <m/>
    <m/>
    <m/>
    <m/>
    <m/>
    <m/>
    <n v="55000000"/>
    <n v="0"/>
    <n v="0"/>
    <n v="55000000"/>
    <n v="0"/>
  </r>
  <r>
    <x v="1"/>
    <x v="5"/>
    <s v="N/A"/>
    <s v="N/A"/>
    <s v="Sí"/>
    <s v="Sí"/>
    <n v="1"/>
    <s v="161-46"/>
    <s v="N.A"/>
    <s v="N.A"/>
    <s v="N.A"/>
    <n v="80111620"/>
    <s v="A-05-01-02-008-003"/>
    <x v="0"/>
    <s v="161-46 Prestar servicios profesionales para el diseño y desarrollo de los temarios y contenidos técnicos orientados a la elaboración de cursos y/o módulos de aprendizaje relacionados con la capacitación de Gestores Energéticos en el uso racional y eficien"/>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diseño y desarrollo de los temarios y contenidos técnicos orientados a la elaboración de cursos y/o módulos de aprendizaje relacionados con la capacitación de Gestores Energéticos en el uso racional y eficiente de l"/>
    <m/>
    <m/>
    <m/>
    <n v="2000000"/>
    <m/>
    <n v="5000000"/>
    <m/>
    <n v="5000000"/>
    <m/>
    <n v="5000000"/>
    <m/>
    <n v="5000000"/>
    <m/>
    <n v="5000000"/>
    <m/>
    <n v="5000000"/>
    <m/>
    <n v="5000000"/>
    <m/>
    <n v="5000000"/>
    <m/>
    <n v="5000000"/>
    <m/>
    <n v="10000000"/>
    <m/>
    <m/>
    <n v="0"/>
    <n v="57000000"/>
    <n v="57000000"/>
    <n v="0"/>
    <n v="42526"/>
    <d v="2026-01-16T00:00:00"/>
    <n v="57000000"/>
    <n v="0"/>
    <n v="51526"/>
    <d v="2026-02-09T00:00:00"/>
    <n v="46200000"/>
    <n v="10800000"/>
    <n v="10800000"/>
    <s v="GARCIA HOYOS JONATHAN DAVID"/>
    <s v="CO1.PCCNTR.9265996"/>
    <m/>
    <m/>
    <m/>
    <n v="46200000"/>
    <m/>
    <m/>
    <m/>
    <m/>
    <m/>
    <m/>
    <m/>
    <m/>
    <m/>
    <m/>
    <m/>
    <m/>
    <m/>
    <m/>
    <m/>
    <m/>
    <m/>
    <m/>
    <m/>
    <m/>
    <m/>
    <m/>
    <m/>
    <m/>
    <m/>
    <m/>
    <m/>
    <m/>
    <m/>
    <m/>
    <m/>
    <m/>
    <n v="46200000"/>
    <n v="0"/>
    <n v="0"/>
    <n v="46200000"/>
    <n v="0"/>
  </r>
  <r>
    <x v="1"/>
    <x v="5"/>
    <s v="N/A"/>
    <s v="N/A"/>
    <s v="Sí"/>
    <s v="Sí"/>
    <n v="1"/>
    <s v="161-47"/>
    <s v="N.A"/>
    <s v="N.A"/>
    <s v="N.A"/>
    <n v="80111620"/>
    <s v="A-05-01-02-008-002"/>
    <x v="0"/>
    <s v="161-47 Prestar servicios profesionales para la gestión jurídica relacionada con la sustanciación de los recursos de reposición y acciones de tutela contra las decisiones adoptadas en el trámite de incentivos tributarios, asi como apoyar las actualizacione"/>
    <s v="Enero "/>
    <s v="Enero "/>
    <s v="Enero "/>
    <n v="5"/>
    <s v="Meses"/>
    <s v="Contratación directa - Prestación de servicios profesionales "/>
    <s v="Propios - 20 - Ingresos corrientes"/>
    <n v="33500000"/>
    <n v="335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asi como apoyar las actualizaciones norma"/>
    <m/>
    <m/>
    <m/>
    <n v="-40200000"/>
    <m/>
    <n v="6700000"/>
    <m/>
    <n v="6700000"/>
    <m/>
    <n v="6700000"/>
    <m/>
    <n v="6700000"/>
    <m/>
    <n v="6700000"/>
    <m/>
    <n v="6700000"/>
    <m/>
    <n v="6700000"/>
    <m/>
    <n v="6700000"/>
    <m/>
    <n v="6700000"/>
    <m/>
    <n v="13400000"/>
    <m/>
    <m/>
    <n v="0"/>
    <n v="33500000"/>
    <n v="33500000"/>
    <n v="0"/>
    <m/>
    <m/>
    <m/>
    <n v="33500000"/>
    <n v="1026"/>
    <d v="2026-01-05T00:00:00"/>
    <n v="0"/>
    <n v="33500000"/>
    <n v="0"/>
    <s v="PALOMEQUE LUJAN CARMEN YAJAIRA"/>
    <s v="CO1.PCCNTR.7294342"/>
    <m/>
    <m/>
    <m/>
    <m/>
    <m/>
    <m/>
    <m/>
    <m/>
    <m/>
    <m/>
    <m/>
    <m/>
    <m/>
    <m/>
    <m/>
    <m/>
    <m/>
    <m/>
    <m/>
    <m/>
    <m/>
    <m/>
    <m/>
    <m/>
    <m/>
    <m/>
    <m/>
    <m/>
    <m/>
    <m/>
    <m/>
    <m/>
    <m/>
    <m/>
    <m/>
    <m/>
    <n v="0"/>
    <n v="0"/>
    <n v="0"/>
    <n v="0"/>
    <n v="0"/>
  </r>
  <r>
    <x v="1"/>
    <x v="5"/>
    <s v="N/A"/>
    <s v="N/A"/>
    <s v="Sí"/>
    <s v="Sí"/>
    <n v="1"/>
    <s v="161-48"/>
    <s v="N.A"/>
    <s v="N.A"/>
    <s v="N.A"/>
    <n v="80111620"/>
    <s v="A-05-01-02-008-002"/>
    <x v="0"/>
    <s v="161-48 Prestar servicios profesionales para ejecutar y articular la gestión jurídica del equipo encargado de la sustanciación de los recursos de reposición y acciones de tutela interpuestas contra las decisiones adoptadas en el trámite de incentivos tribu"/>
    <s v="Enero "/>
    <s v="Enero "/>
    <s v="Enero "/>
    <n v="5"/>
    <s v="Meses"/>
    <s v="Contratación directa - Prestación de servicios profesionales "/>
    <s v="Propios - 20 - Ingresos corrientes"/>
    <n v="45000000"/>
    <n v="45000000"/>
    <s v="No"/>
    <s v="N/A"/>
    <s v="Johanna Castellanos"/>
    <s v="Subdirectora de Demanda"/>
    <n v="6012220601"/>
    <s v="johanna.castellanos@upme.gov.co"/>
    <m/>
    <m/>
    <m/>
    <m/>
    <m/>
    <m/>
    <m/>
    <m/>
    <m/>
    <m/>
    <m/>
    <m/>
    <m/>
    <m/>
    <m/>
    <m/>
    <m/>
    <m/>
    <m/>
    <m/>
    <m/>
    <m/>
    <m/>
    <m/>
    <m/>
    <m/>
    <m/>
    <m/>
    <s v="Prestar servicios profesionales para ejecutar y articular la gestión jurídica del equipo encargado de la sustanciación de los recursos de reposición y acciones de tutela interpuestas contra las decisiones adoptadas en el trámite de incentivos tributarios,"/>
    <m/>
    <m/>
    <m/>
    <n v="-54000000"/>
    <m/>
    <n v="9000000"/>
    <m/>
    <n v="9000000"/>
    <m/>
    <n v="9000000"/>
    <m/>
    <n v="9000000"/>
    <m/>
    <n v="9000000"/>
    <m/>
    <n v="9000000"/>
    <m/>
    <n v="9000000"/>
    <m/>
    <n v="9000000"/>
    <m/>
    <n v="9000000"/>
    <m/>
    <n v="18000000"/>
    <m/>
    <m/>
    <n v="0"/>
    <n v="45000000"/>
    <n v="45000000"/>
    <n v="0"/>
    <m/>
    <m/>
    <m/>
    <n v="45000000"/>
    <m/>
    <m/>
    <n v="0"/>
    <n v="45000000"/>
    <n v="0"/>
    <m/>
    <m/>
    <m/>
    <m/>
    <m/>
    <m/>
    <m/>
    <m/>
    <m/>
    <m/>
    <m/>
    <m/>
    <m/>
    <m/>
    <m/>
    <m/>
    <m/>
    <m/>
    <m/>
    <m/>
    <m/>
    <m/>
    <m/>
    <m/>
    <m/>
    <m/>
    <m/>
    <m/>
    <m/>
    <m/>
    <m/>
    <m/>
    <m/>
    <m/>
    <m/>
    <m/>
    <m/>
    <m/>
    <n v="0"/>
    <n v="0"/>
    <n v="0"/>
    <n v="0"/>
    <n v="0"/>
  </r>
  <r>
    <x v="1"/>
    <x v="5"/>
    <s v="N/A"/>
    <s v="N/A"/>
    <s v="Sí"/>
    <s v="Sí"/>
    <n v="4"/>
    <s v="161-49"/>
    <s v="N.A"/>
    <s v="N.A"/>
    <s v="N.A"/>
    <n v="80111620"/>
    <s v="A-05-01-02-008-003"/>
    <x v="0"/>
    <s v="161-49 Prestar servicios profesionales para la evaluación técnica y revisión de proyectos de Fuentes No Convencionales de Energía, Gestión Eficiente de la Energía e Hidrógeno, incluyendo la validación de información y la aplicación de criterios técnicos y"/>
    <s v="Enero "/>
    <s v="Enero "/>
    <s v="Enero "/>
    <n v="11.3"/>
    <s v="Meses"/>
    <s v="Contratación directa - Prestación de servicios profesionales "/>
    <s v="Propios - 20 - Ingresos corrientes"/>
    <n v="37120500"/>
    <n v="37120500"/>
    <s v="No"/>
    <s v="N/A"/>
    <s v="Johanna Castellanos"/>
    <s v="Subdirectora de Demanda"/>
    <n v="6012220601"/>
    <s v="johanna.castellanos@upme.gov.co"/>
    <m/>
    <m/>
    <m/>
    <m/>
    <m/>
    <m/>
    <m/>
    <m/>
    <m/>
    <m/>
    <m/>
    <m/>
    <m/>
    <m/>
    <m/>
    <m/>
    <m/>
    <m/>
    <m/>
    <m/>
    <m/>
    <m/>
    <m/>
    <m/>
    <m/>
    <m/>
    <m/>
    <m/>
    <s v="Prestar servicios profesionales para la evaluación técnica y revisión de proyectos de Fuentes No Convencionales de Energía, Gestión Eficiente de la Energía e Hidrógeno, incluyendo la validación de información y la aplicación de criterios técnicos y metodo"/>
    <m/>
    <m/>
    <m/>
    <n v="985500"/>
    <m/>
    <n v="3285000"/>
    <m/>
    <n v="3285000"/>
    <m/>
    <n v="3285000"/>
    <m/>
    <n v="3285000"/>
    <m/>
    <n v="3285000"/>
    <m/>
    <n v="3285000"/>
    <m/>
    <n v="3285000"/>
    <m/>
    <n v="3285000"/>
    <m/>
    <n v="3285000"/>
    <m/>
    <n v="6570000"/>
    <m/>
    <m/>
    <n v="0"/>
    <n v="37120500"/>
    <n v="37120500"/>
    <n v="0"/>
    <n v="53526"/>
    <d v="2026-01-21T00:00:00"/>
    <n v="37120500"/>
    <n v="0"/>
    <n v="39426"/>
    <d v="2026-02-03T00:00:00"/>
    <n v="36135000"/>
    <n v="985500"/>
    <n v="985500"/>
    <s v="PEREZ ALVARADO ARLIZ ENRIQUE"/>
    <s v="CO1.PCCNTR.9198499"/>
    <m/>
    <m/>
    <m/>
    <n v="36135000"/>
    <m/>
    <m/>
    <m/>
    <m/>
    <m/>
    <m/>
    <m/>
    <m/>
    <m/>
    <m/>
    <m/>
    <m/>
    <m/>
    <m/>
    <m/>
    <m/>
    <m/>
    <m/>
    <m/>
    <m/>
    <m/>
    <m/>
    <m/>
    <m/>
    <m/>
    <m/>
    <m/>
    <m/>
    <m/>
    <m/>
    <m/>
    <m/>
    <n v="36135000"/>
    <n v="0"/>
    <n v="0"/>
    <n v="36135000"/>
    <n v="0"/>
  </r>
  <r>
    <x v="1"/>
    <x v="5"/>
    <s v="N/A"/>
    <s v="N/A"/>
    <s v="Sí"/>
    <s v="Sí"/>
    <n v="68"/>
    <s v="161-5"/>
    <s v="N.A"/>
    <s v="N.A"/>
    <s v="N.A"/>
    <n v="80111620"/>
    <s v="A-05-01-02-008-003"/>
    <x v="0"/>
    <s v="161-5 Prestar servicios de apoyo administrativo a la Subdirección de Demanda, incluyendo el análisis de información y documentos de sus procesos, la gestión de trámites y pagos, y la ejecución de actividades necesarias para cumplir las metas operativas, c"/>
    <s v="Enero "/>
    <s v="Enero "/>
    <s v="Enero "/>
    <n v="11.5"/>
    <s v="Meses"/>
    <s v="Contratación directa - Prestación de servicios profesionales "/>
    <s v="Propios - 20 - Ingresos corrientes"/>
    <n v="28750000"/>
    <n v="28750000"/>
    <s v="No"/>
    <s v="N/A"/>
    <s v="Johanna Castellanos"/>
    <s v="Subdirectora de Demanda"/>
    <n v="6012220601"/>
    <s v="johanna.castellanos@upme.gov.co"/>
    <m/>
    <m/>
    <m/>
    <m/>
    <m/>
    <m/>
    <m/>
    <m/>
    <m/>
    <m/>
    <m/>
    <m/>
    <m/>
    <m/>
    <m/>
    <m/>
    <m/>
    <m/>
    <m/>
    <m/>
    <m/>
    <m/>
    <m/>
    <m/>
    <m/>
    <m/>
    <m/>
    <m/>
    <s v="Prestar servicios de apoyo administrativo a la Subdirección de Demanda, incluyendo el análisis de información y documentos de sus procesos, la gestión de trámites y pagos, y la ejecución de actividades necesarias para cumplir las metas operativas, conform"/>
    <m/>
    <m/>
    <m/>
    <n v="1250000"/>
    <m/>
    <n v="2500000"/>
    <m/>
    <n v="2500000"/>
    <m/>
    <n v="2500000"/>
    <m/>
    <n v="2500000"/>
    <m/>
    <n v="2500000"/>
    <m/>
    <n v="2500000"/>
    <m/>
    <n v="2500000"/>
    <m/>
    <n v="2500000"/>
    <m/>
    <n v="2500000"/>
    <m/>
    <n v="5000000"/>
    <m/>
    <m/>
    <n v="0"/>
    <n v="28750000"/>
    <n v="28750000"/>
    <n v="0"/>
    <n v="42326"/>
    <d v="2026-01-16T00:00:00"/>
    <n v="28750000"/>
    <n v="0"/>
    <n v="35226"/>
    <d v="2026-01-30T00:00:00"/>
    <n v="27500000"/>
    <n v="1250000"/>
    <n v="1250000"/>
    <s v="RODRIGUEZ ASTORGA DIANA CAROLINA"/>
    <s v="CO1.PCCNTR.9194215"/>
    <n v="27500000"/>
    <m/>
    <m/>
    <m/>
    <m/>
    <m/>
    <m/>
    <m/>
    <m/>
    <m/>
    <m/>
    <m/>
    <m/>
    <m/>
    <m/>
    <m/>
    <m/>
    <m/>
    <m/>
    <m/>
    <m/>
    <m/>
    <m/>
    <m/>
    <m/>
    <m/>
    <m/>
    <m/>
    <m/>
    <m/>
    <m/>
    <m/>
    <m/>
    <m/>
    <m/>
    <m/>
    <n v="27500000"/>
    <n v="0"/>
    <n v="0"/>
    <n v="27500000"/>
    <n v="0"/>
  </r>
  <r>
    <x v="1"/>
    <x v="5"/>
    <s v="N/A"/>
    <s v="N/A"/>
    <s v="Sí"/>
    <s v="Sí"/>
    <n v="4"/>
    <s v="161-50"/>
    <s v="N.A"/>
    <s v="N.A"/>
    <s v="N.A"/>
    <n v="80111620"/>
    <s v="A-05-01-02-008-002"/>
    <x v="0"/>
    <s v="161-50 Prestar servicios profesionales para el análisis, verificación y validación de la información presentada en solicitudes de incentivos tributarios asociadas a proyectos de Fuentes No Convencionales de Energía y Gestión Eficiente de la Energía, aplic"/>
    <s v="Enero "/>
    <s v="Enero "/>
    <s v="Enero "/>
    <n v="11.3"/>
    <s v="Meses"/>
    <s v="Contratación directa - Prestación de servicios profesionales "/>
    <s v="Propios - 20 - Ingresos corrientes"/>
    <n v="38459000"/>
    <n v="38459000"/>
    <s v="No"/>
    <s v="N/A"/>
    <s v="Johanna Castellanos"/>
    <s v="Subdirectora de Demanda"/>
    <n v="6012220601"/>
    <s v="johanna.castellanos@upme.gov.co"/>
    <m/>
    <m/>
    <m/>
    <m/>
    <m/>
    <m/>
    <m/>
    <m/>
    <m/>
    <m/>
    <m/>
    <m/>
    <m/>
    <m/>
    <m/>
    <m/>
    <m/>
    <m/>
    <m/>
    <m/>
    <m/>
    <m/>
    <m/>
    <m/>
    <m/>
    <m/>
    <m/>
    <m/>
    <s v="Prestar servicios profesionales para el análisis, verificación y validación de la información presentada en solicitudes de incentivos tributarios asociadas a proyectos de Fuentes No Convencionales de Energía y Gestión Eficiente de la Energía, aplicando lo"/>
    <m/>
    <m/>
    <m/>
    <n v="1021039"/>
    <m/>
    <n v="3403451"/>
    <m/>
    <n v="3403451"/>
    <m/>
    <n v="3403451"/>
    <m/>
    <n v="3403451"/>
    <m/>
    <n v="3403451"/>
    <m/>
    <n v="3403451"/>
    <m/>
    <n v="3403451"/>
    <m/>
    <n v="3403451"/>
    <m/>
    <n v="3403451"/>
    <m/>
    <n v="6806902"/>
    <m/>
    <m/>
    <n v="0"/>
    <n v="38459000"/>
    <n v="38459000"/>
    <n v="0"/>
    <n v="57326"/>
    <d v="2026-01-22T00:00:00"/>
    <n v="38459000"/>
    <n v="0"/>
    <n v="58126"/>
    <d v="2026-02-11T00:00:00"/>
    <n v="36135000"/>
    <n v="2324000"/>
    <n v="2324000"/>
    <s v="BERMUDES PADILLA CRISTIAN VICENTE"/>
    <s v="CO1.PCCNTR.9280328"/>
    <m/>
    <m/>
    <m/>
    <n v="36135000"/>
    <m/>
    <m/>
    <m/>
    <m/>
    <m/>
    <m/>
    <m/>
    <m/>
    <m/>
    <m/>
    <m/>
    <m/>
    <m/>
    <m/>
    <m/>
    <m/>
    <m/>
    <m/>
    <m/>
    <m/>
    <m/>
    <m/>
    <m/>
    <m/>
    <m/>
    <m/>
    <m/>
    <m/>
    <m/>
    <m/>
    <m/>
    <m/>
    <n v="36135000"/>
    <n v="0"/>
    <n v="0"/>
    <n v="36135000"/>
    <n v="0"/>
  </r>
  <r>
    <x v="1"/>
    <x v="5"/>
    <s v="N/A"/>
    <s v="N/A"/>
    <s v="Sí"/>
    <s v="Sí"/>
    <n v="68"/>
    <s v="161-51"/>
    <s v="N.A"/>
    <s v="N.A"/>
    <s v="N.A"/>
    <n v="80111620"/>
    <s v="A-05-01-02-008-002"/>
    <x v="0"/>
    <s v="161-51 Prestar servicios profesionales para la gestión jurídica relacionada con la sustanciación de los recursos de reposición y acciones de tutela contra las decisiones adoptadas en el trámite de incentivos tributarios, asi como apoyar las actualizacione"/>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asi como apoyar las actualizaciones norma"/>
    <m/>
    <m/>
    <m/>
    <n v="3000000"/>
    <m/>
    <n v="6000000"/>
    <m/>
    <n v="6000000"/>
    <m/>
    <n v="6000000"/>
    <m/>
    <n v="6000000"/>
    <m/>
    <n v="6000000"/>
    <m/>
    <n v="6000000"/>
    <m/>
    <n v="6000000"/>
    <m/>
    <n v="6000000"/>
    <m/>
    <n v="6000000"/>
    <m/>
    <n v="12000000"/>
    <m/>
    <m/>
    <n v="0"/>
    <n v="69000000"/>
    <n v="69000000"/>
    <n v="0"/>
    <n v="19826"/>
    <d v="2026-01-11T00:00:00"/>
    <n v="69000000"/>
    <n v="0"/>
    <n v="21526"/>
    <d v="2026-01-26T00:00:00"/>
    <n v="66000000"/>
    <n v="3000000"/>
    <n v="3000000"/>
    <s v="ZAPATA MORALES YURLEIDI"/>
    <s v="CO1.PCCNTR.9064605"/>
    <n v="66000000"/>
    <m/>
    <m/>
    <m/>
    <m/>
    <m/>
    <m/>
    <m/>
    <m/>
    <m/>
    <m/>
    <m/>
    <m/>
    <m/>
    <m/>
    <m/>
    <m/>
    <m/>
    <m/>
    <m/>
    <m/>
    <m/>
    <m/>
    <m/>
    <m/>
    <m/>
    <m/>
    <m/>
    <m/>
    <m/>
    <m/>
    <m/>
    <m/>
    <m/>
    <m/>
    <m/>
    <n v="66000000"/>
    <n v="0"/>
    <n v="0"/>
    <n v="66000000"/>
    <n v="0"/>
  </r>
  <r>
    <x v="1"/>
    <x v="5"/>
    <s v="N/A"/>
    <s v="N/A"/>
    <s v="Sí"/>
    <s v="Sí"/>
    <n v="1"/>
    <s v="161-52"/>
    <s v="N.A"/>
    <s v="N.A"/>
    <s v="N.A"/>
    <n v="80111620"/>
    <s v="A-05-01-02-008-002"/>
    <x v="0"/>
    <s v="161-52 Prestar servicios profesionales contables para asesorar y apoyar el análisis, interpretación y aplicación de los cambios normativos relacionados con el trámite de incentivos tributarios, incluyendo recomendaciones técnicas, revisión de criterios fi"/>
    <s v="Enero "/>
    <s v="Enero "/>
    <s v="Enero "/>
    <n v="11.4"/>
    <s v="Meses"/>
    <s v="Contratación directa - Prestación de servicios profesionales "/>
    <s v="Propios - 20 - Ingresos corrientes"/>
    <n v="91200000"/>
    <n v="91200000"/>
    <s v="No"/>
    <s v="N/A"/>
    <s v="Johanna Castellanos"/>
    <s v="Subdirectora de Demanda"/>
    <n v="6012220601"/>
    <s v="johanna.castellanos@upme.gov.co"/>
    <m/>
    <m/>
    <m/>
    <m/>
    <m/>
    <m/>
    <m/>
    <m/>
    <m/>
    <m/>
    <m/>
    <m/>
    <m/>
    <m/>
    <m/>
    <m/>
    <m/>
    <m/>
    <m/>
    <m/>
    <m/>
    <m/>
    <m/>
    <m/>
    <m/>
    <m/>
    <m/>
    <m/>
    <s v="Prestar servicios profesionales contables para asesorar y apoyar el análisis, interpretación y aplicación de los cambios normativos relacionados con el trámite de incentivos tributarios, incluyendo recomendaciones técnicas, revisión de criterios fiscales,"/>
    <m/>
    <m/>
    <m/>
    <n v="3200000"/>
    <m/>
    <n v="8000000"/>
    <m/>
    <n v="8000000"/>
    <m/>
    <n v="8000000"/>
    <m/>
    <n v="8000000"/>
    <m/>
    <n v="8000000"/>
    <m/>
    <n v="8000000"/>
    <m/>
    <n v="8000000"/>
    <m/>
    <n v="8000000"/>
    <m/>
    <n v="8000000"/>
    <m/>
    <n v="16000000"/>
    <m/>
    <m/>
    <n v="0"/>
    <n v="91200000"/>
    <n v="91200000"/>
    <n v="0"/>
    <n v="14126"/>
    <d v="2026-01-09T00:00:00"/>
    <n v="90666667"/>
    <n v="533333"/>
    <n v="13726"/>
    <d v="2026-01-20T00:00:00"/>
    <n v="90666667"/>
    <n v="533333"/>
    <n v="0"/>
    <s v="GOMEZ COSSIO LEONARDO JAVIER"/>
    <s v="CO1.PCCNTR.8910737"/>
    <n v="90666667"/>
    <m/>
    <m/>
    <m/>
    <m/>
    <m/>
    <m/>
    <m/>
    <m/>
    <m/>
    <m/>
    <m/>
    <m/>
    <m/>
    <m/>
    <m/>
    <m/>
    <m/>
    <m/>
    <m/>
    <m/>
    <m/>
    <m/>
    <m/>
    <m/>
    <m/>
    <m/>
    <m/>
    <m/>
    <m/>
    <m/>
    <m/>
    <m/>
    <m/>
    <m/>
    <m/>
    <n v="90666667"/>
    <n v="0"/>
    <n v="0"/>
    <n v="90666667"/>
    <n v="0"/>
  </r>
  <r>
    <x v="1"/>
    <x v="5"/>
    <s v="N/A"/>
    <s v="N/A"/>
    <s v="Sí"/>
    <s v="Sí"/>
    <n v="1"/>
    <s v="161-53"/>
    <s v="N.A"/>
    <s v="N.A"/>
    <s v="N.A"/>
    <n v="80111620"/>
    <s v="A-05-01-02-008-002"/>
    <x v="0"/>
    <s v="161-53 Prestar servicios profesionales para la gestión jurídica relacionada con la sustanciación de los recursos de reposición y acciones de tutela contra las decisiones adoptadas en el trámite de incentivos tributari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400000"/>
    <m/>
    <n v="6000000"/>
    <m/>
    <n v="6000000"/>
    <m/>
    <n v="6000000"/>
    <m/>
    <n v="6000000"/>
    <m/>
    <n v="6000000"/>
    <m/>
    <n v="6000000"/>
    <m/>
    <n v="6000000"/>
    <m/>
    <n v="6000000"/>
    <m/>
    <n v="6000000"/>
    <m/>
    <n v="12000000"/>
    <m/>
    <m/>
    <n v="0"/>
    <n v="68400000"/>
    <n v="68400000"/>
    <n v="0"/>
    <n v="18426"/>
    <d v="2026-01-10T00:00:00"/>
    <n v="68400000"/>
    <n v="0"/>
    <n v="17626"/>
    <d v="2026-01-22T00:00:00"/>
    <n v="68400000"/>
    <n v="0"/>
    <n v="0"/>
    <s v="PLATA ESCUDERO LUIS ALFREDO"/>
    <s v="CO1.PCCNTR.8993234"/>
    <n v="68400000"/>
    <m/>
    <m/>
    <m/>
    <m/>
    <m/>
    <m/>
    <m/>
    <m/>
    <m/>
    <m/>
    <m/>
    <m/>
    <m/>
    <m/>
    <m/>
    <m/>
    <m/>
    <m/>
    <m/>
    <m/>
    <m/>
    <m/>
    <m/>
    <m/>
    <m/>
    <m/>
    <m/>
    <m/>
    <m/>
    <m/>
    <m/>
    <m/>
    <m/>
    <m/>
    <m/>
    <n v="68400000"/>
    <n v="0"/>
    <n v="0"/>
    <n v="68400000"/>
    <n v="0"/>
  </r>
  <r>
    <x v="1"/>
    <x v="5"/>
    <s v="N/A"/>
    <s v="N/A"/>
    <s v="Sí"/>
    <s v="Sí"/>
    <n v="1"/>
    <s v="161-54"/>
    <s v="N.A"/>
    <s v="N.A"/>
    <s v="N.A"/>
    <n v="80111620"/>
    <s v="A-05-01-02-008-002"/>
    <x v="0"/>
    <s v="161-54 Prestar servicios profesionales para la gestión jurídica relacionada con la sustanciación de los recursos de reposición y acciones de tutela contra las decisiones adoptadas en el trámite de incentivos tributari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400000"/>
    <m/>
    <n v="6000000"/>
    <m/>
    <n v="6000000"/>
    <m/>
    <n v="6000000"/>
    <m/>
    <n v="6000000"/>
    <m/>
    <n v="6000000"/>
    <m/>
    <n v="6000000"/>
    <m/>
    <n v="6000000"/>
    <m/>
    <n v="6000000"/>
    <m/>
    <n v="6000000"/>
    <m/>
    <n v="12000000"/>
    <m/>
    <m/>
    <n v="0"/>
    <n v="68400000"/>
    <n v="68400000"/>
    <n v="0"/>
    <n v="36526"/>
    <d v="2026-01-15T00:00:00"/>
    <n v="68400000"/>
    <n v="0"/>
    <n v="32626"/>
    <d v="2026-01-29T00:00:00"/>
    <n v="66000000"/>
    <n v="2400000"/>
    <n v="2400000"/>
    <s v="ARDILA SILVA RAUL ANDRES"/>
    <s v="CO1.PCCNTR.9109872"/>
    <n v="66000000"/>
    <m/>
    <m/>
    <m/>
    <m/>
    <m/>
    <m/>
    <m/>
    <m/>
    <m/>
    <m/>
    <m/>
    <m/>
    <m/>
    <m/>
    <m/>
    <m/>
    <m/>
    <m/>
    <m/>
    <m/>
    <m/>
    <m/>
    <m/>
    <m/>
    <m/>
    <m/>
    <m/>
    <m/>
    <m/>
    <m/>
    <m/>
    <m/>
    <m/>
    <m/>
    <m/>
    <n v="66000000"/>
    <n v="0"/>
    <n v="0"/>
    <n v="66000000"/>
    <n v="0"/>
  </r>
  <r>
    <x v="1"/>
    <x v="5"/>
    <s v="N/A"/>
    <s v="N/A"/>
    <s v="Sí"/>
    <s v="Sí"/>
    <n v="5"/>
    <s v="161-55"/>
    <s v="N.A"/>
    <s v="N.A"/>
    <s v="N.A"/>
    <n v="80111620"/>
    <s v="A-05-01-02-008-002"/>
    <x v="0"/>
    <s v="161-55 Prestar servicios profesionales para apoyar la gestión jurídica , mediante la sustanciación,  proyección de recursos, acciones de tutela , la elaboración de conceptos jurídicos y la atención de requerimientos judiciales y administrativos, verifica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apoyar la gestión jurídica , mediante la sustanciación,  proyección de recursos, acciones de tutela , la elaboración de conceptos jurídicos y la atención de requerimientos judiciales y administrativos, verificando el c"/>
    <m/>
    <m/>
    <m/>
    <n v="3000000"/>
    <m/>
    <n v="6000000"/>
    <m/>
    <n v="6000000"/>
    <m/>
    <n v="6000000"/>
    <m/>
    <n v="6000000"/>
    <m/>
    <n v="6000000"/>
    <m/>
    <n v="6000000"/>
    <m/>
    <n v="6000000"/>
    <m/>
    <n v="6000000"/>
    <m/>
    <n v="6000000"/>
    <m/>
    <n v="12000000"/>
    <m/>
    <m/>
    <n v="0"/>
    <n v="69000000"/>
    <n v="69000000"/>
    <n v="0"/>
    <n v="53726"/>
    <d v="2026-01-21T00:00:00"/>
    <n v="69000000"/>
    <n v="0"/>
    <m/>
    <m/>
    <n v="0"/>
    <n v="69000000"/>
    <n v="69000000"/>
    <m/>
    <m/>
    <m/>
    <m/>
    <m/>
    <m/>
    <m/>
    <m/>
    <m/>
    <m/>
    <m/>
    <m/>
    <m/>
    <m/>
    <m/>
    <m/>
    <m/>
    <m/>
    <m/>
    <m/>
    <m/>
    <m/>
    <m/>
    <m/>
    <m/>
    <m/>
    <m/>
    <m/>
    <m/>
    <m/>
    <m/>
    <m/>
    <m/>
    <m/>
    <m/>
    <m/>
    <m/>
    <m/>
    <n v="0"/>
    <n v="0"/>
    <n v="0"/>
    <n v="0"/>
    <n v="0"/>
  </r>
  <r>
    <x v="1"/>
    <x v="5"/>
    <s v="N/A"/>
    <s v="N/A"/>
    <s v="Sí"/>
    <s v="Sí"/>
    <n v="1"/>
    <s v="161-56"/>
    <s v="N.A"/>
    <s v="N.A"/>
    <s v="N.A"/>
    <n v="80111620"/>
    <s v="A-05-01-02-008-002"/>
    <x v="0"/>
    <s v="161-56 Prestar servicios profesionales para el apoyo a la actualización de normas, actos administrativos, lineamientos internos y demás instrumentos jurídicos del trámite de incentivos tributarios, así como la revisión permanente de los cambios normativ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el apoyo a la actualización de normas, actos administrativos, lineamientos internos y demás instrumentos jurídicos del trámite de incentivos tributarios, así como la revisión permanente de los cambios normativos sector"/>
    <m/>
    <m/>
    <m/>
    <n v="2400000"/>
    <m/>
    <n v="6000000"/>
    <m/>
    <n v="6000000"/>
    <m/>
    <n v="6000000"/>
    <m/>
    <n v="6000000"/>
    <m/>
    <n v="6000000"/>
    <m/>
    <n v="6000000"/>
    <m/>
    <n v="6000000"/>
    <m/>
    <n v="6000000"/>
    <m/>
    <n v="6000000"/>
    <m/>
    <n v="12000000"/>
    <m/>
    <m/>
    <n v="0"/>
    <n v="68400000"/>
    <n v="68400000"/>
    <n v="0"/>
    <n v="42226"/>
    <d v="2026-01-16T00:00:00"/>
    <n v="68400000"/>
    <n v="0"/>
    <n v="25126"/>
    <d v="2026-01-28T00:00:00"/>
    <n v="66000000"/>
    <n v="2400000"/>
    <n v="2400000"/>
    <s v="SANABRIA TORRES MANUEL"/>
    <s v="CO1.PCCNTR.9110019"/>
    <n v="66000000"/>
    <m/>
    <m/>
    <m/>
    <m/>
    <m/>
    <m/>
    <m/>
    <m/>
    <m/>
    <m/>
    <m/>
    <m/>
    <m/>
    <m/>
    <m/>
    <m/>
    <m/>
    <m/>
    <m/>
    <m/>
    <m/>
    <m/>
    <m/>
    <m/>
    <m/>
    <m/>
    <m/>
    <m/>
    <m/>
    <m/>
    <m/>
    <m/>
    <m/>
    <m/>
    <m/>
    <n v="66000000"/>
    <n v="0"/>
    <n v="0"/>
    <n v="66000000"/>
    <n v="0"/>
  </r>
  <r>
    <x v="1"/>
    <x v="5"/>
    <s v="N/A"/>
    <s v="N/A"/>
    <s v="Sí"/>
    <s v="Sí"/>
    <n v="4"/>
    <s v="161-57"/>
    <s v="N.A"/>
    <s v="N.A"/>
    <s v="N.A"/>
    <n v="80111620"/>
    <s v="A-05-01-02-008-002"/>
    <x v="0"/>
    <s v="161-57 Prestar servicios profesionales a nivel jurídico y regulatorio a la Subdirección de Demanda para el análisis de información y la evaluación de impactos normativos en el proceso de incentivos tributarios y las funciones misionales de la entidad"/>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a nivel jurídico y regulatorio a la Subdirección de Demanda para el análisis de información y la evaluación de impactos normativos en el proceso de incentivos tributarios y las funciones misionales de la entidad"/>
    <m/>
    <m/>
    <m/>
    <n v="2400000"/>
    <m/>
    <n v="6000000"/>
    <m/>
    <n v="6000000"/>
    <m/>
    <n v="6000000"/>
    <m/>
    <n v="6000000"/>
    <m/>
    <n v="6000000"/>
    <m/>
    <n v="6000000"/>
    <m/>
    <n v="6000000"/>
    <m/>
    <n v="6000000"/>
    <m/>
    <n v="6000000"/>
    <m/>
    <n v="12000000"/>
    <m/>
    <m/>
    <n v="0"/>
    <n v="68400000"/>
    <n v="68400000"/>
    <n v="0"/>
    <n v="51226"/>
    <d v="2026-01-20T00:00:00"/>
    <n v="37120500"/>
    <n v="31279500"/>
    <n v="30526"/>
    <d v="2026-01-29T00:00:00"/>
    <n v="36135000"/>
    <n v="32265000"/>
    <n v="985500"/>
    <s v="MORALES ORTIZ MARIANA SOFIA"/>
    <s v="CO1.PCCNTR.9140156"/>
    <n v="36135000"/>
    <m/>
    <m/>
    <m/>
    <m/>
    <m/>
    <m/>
    <m/>
    <m/>
    <m/>
    <m/>
    <m/>
    <m/>
    <m/>
    <m/>
    <m/>
    <m/>
    <m/>
    <m/>
    <m/>
    <m/>
    <m/>
    <m/>
    <m/>
    <m/>
    <m/>
    <m/>
    <m/>
    <m/>
    <m/>
    <m/>
    <m/>
    <m/>
    <m/>
    <m/>
    <m/>
    <n v="36135000"/>
    <n v="0"/>
    <n v="0"/>
    <n v="36135000"/>
    <n v="0"/>
  </r>
  <r>
    <x v="1"/>
    <x v="5"/>
    <s v="N/A"/>
    <s v="N/A"/>
    <s v="Sí"/>
    <s v="Sí"/>
    <n v="1"/>
    <s v="161-58"/>
    <s v="N.A"/>
    <s v="N.A"/>
    <s v="N.A"/>
    <n v="80111620"/>
    <s v="A-05-01-02-008-003"/>
    <x v="0"/>
    <s v="161-58 Prestar servicios profesionales para la evaluación, análisis, construcción de conceptos técnicos y actualizaciones tecnológicas para el trámite de incentivos tributarios de los proyectos de Fuentes No Convencionales de Energía, Gestión Eficiente de"/>
    <s v="Enero "/>
    <s v="Enero "/>
    <s v="Enero "/>
    <n v="5"/>
    <s v="Meses"/>
    <s v="Contratación directa - Prestación de servicios profesionales "/>
    <s v="Propios - 20 - Ingresos corrientes"/>
    <n v="43500000"/>
    <n v="43500000"/>
    <s v="No"/>
    <s v="N/A"/>
    <s v="Johanna Castellanos"/>
    <s v="Subdirectora de Demanda"/>
    <n v="6012220601"/>
    <s v="johanna.castellanos@upme.gov.co"/>
    <m/>
    <m/>
    <m/>
    <m/>
    <m/>
    <m/>
    <m/>
    <m/>
    <m/>
    <m/>
    <m/>
    <m/>
    <m/>
    <m/>
    <m/>
    <m/>
    <m/>
    <m/>
    <m/>
    <m/>
    <m/>
    <m/>
    <m/>
    <m/>
    <m/>
    <m/>
    <m/>
    <m/>
    <s v="Prestar servicios profesionales para la evaluación, análisis, construcción de conceptos técnicos y actualizaciones tecnológicas para el trámite de incentivos tributarios de los proyectos de Fuentes No Convencionales de Energía, Gestión Eficiente de la Ene"/>
    <m/>
    <m/>
    <m/>
    <n v="-52200000"/>
    <m/>
    <n v="8700000"/>
    <m/>
    <n v="8700000"/>
    <m/>
    <n v="8700000"/>
    <m/>
    <n v="8700000"/>
    <m/>
    <n v="8700000"/>
    <m/>
    <n v="8700000"/>
    <m/>
    <n v="8700000"/>
    <m/>
    <n v="8700000"/>
    <m/>
    <n v="8700000"/>
    <m/>
    <n v="17400000"/>
    <m/>
    <m/>
    <n v="0"/>
    <n v="43500000"/>
    <n v="43500000"/>
    <n v="0"/>
    <m/>
    <m/>
    <m/>
    <n v="43500000"/>
    <m/>
    <m/>
    <n v="0"/>
    <n v="43500000"/>
    <n v="0"/>
    <m/>
    <m/>
    <m/>
    <m/>
    <m/>
    <m/>
    <m/>
    <m/>
    <m/>
    <m/>
    <m/>
    <m/>
    <m/>
    <m/>
    <m/>
    <m/>
    <m/>
    <m/>
    <m/>
    <m/>
    <m/>
    <m/>
    <m/>
    <m/>
    <m/>
    <m/>
    <m/>
    <m/>
    <m/>
    <m/>
    <m/>
    <m/>
    <m/>
    <m/>
    <m/>
    <m/>
    <m/>
    <m/>
    <n v="0"/>
    <n v="0"/>
    <n v="0"/>
    <n v="0"/>
    <n v="0"/>
  </r>
  <r>
    <x v="1"/>
    <x v="5"/>
    <s v="N/A"/>
    <s v="N/A"/>
    <s v="Sí"/>
    <s v="Sí"/>
    <n v="6"/>
    <s v="161-59"/>
    <s v="N.A"/>
    <s v="N.A"/>
    <s v="N.A"/>
    <n v="80111620"/>
    <s v="A-05-01-02-008-002"/>
    <x v="0"/>
    <s v="161-59 Prestar servicios profesionales para evaluar de manera integral proyectos de gestión eficiente de la energía, mediante la revisión y análisis de la información y documentación presentada, así como la validación de los soportes, de conformidad con l"/>
    <s v="Enero "/>
    <s v="Enero "/>
    <s v="Enero "/>
    <n v="6"/>
    <s v="Meses"/>
    <s v="Contratación directa - Prestación de servicios profesionales "/>
    <s v="Propios - 20 - Ingresos corrientes"/>
    <n v="30000000"/>
    <n v="30000000"/>
    <s v="No"/>
    <s v="N/A"/>
    <s v="Johanna Castellanos"/>
    <s v="Subdirectora de Demanda"/>
    <n v="6012220601"/>
    <s v="johanna.castellanos@upme.gov.co"/>
    <m/>
    <m/>
    <m/>
    <m/>
    <m/>
    <m/>
    <m/>
    <m/>
    <m/>
    <m/>
    <m/>
    <m/>
    <m/>
    <m/>
    <m/>
    <m/>
    <m/>
    <m/>
    <m/>
    <m/>
    <m/>
    <m/>
    <m/>
    <m/>
    <m/>
    <m/>
    <m/>
    <m/>
    <s v="Prestar servicios profesionales para evaluar de manera integral proyectos de gestión eficiente de la energía, mediante la revisión y análisis de la información y documentación presentada, así como la validación de los soportes, de conformidad con la norma"/>
    <m/>
    <m/>
    <n v="0"/>
    <n v="-6135000"/>
    <n v="0"/>
    <n v="3285000"/>
    <n v="0"/>
    <n v="3285000"/>
    <n v="0"/>
    <n v="3285000"/>
    <n v="0"/>
    <n v="3285000"/>
    <n v="0"/>
    <n v="3285000"/>
    <n v="0"/>
    <n v="3285000"/>
    <n v="0"/>
    <n v="3285000"/>
    <n v="0"/>
    <n v="3285000"/>
    <n v="0"/>
    <n v="3285000"/>
    <n v="0"/>
    <n v="6570000"/>
    <m/>
    <m/>
    <n v="0"/>
    <n v="30000000"/>
    <n v="30000000"/>
    <n v="0"/>
    <n v="65926"/>
    <d v="2026-01-26T00:00:00"/>
    <n v="30000000"/>
    <n v="0"/>
    <n v="48726"/>
    <d v="2026-02-06T00:00:00"/>
    <n v="24309000"/>
    <n v="5691000"/>
    <n v="5691000"/>
    <s v="GOMEZ GALVAN BETSY"/>
    <s v="CO1.PCCNTR.9269152"/>
    <m/>
    <m/>
    <m/>
    <n v="24309000"/>
    <m/>
    <m/>
    <m/>
    <m/>
    <m/>
    <m/>
    <m/>
    <m/>
    <m/>
    <m/>
    <m/>
    <m/>
    <m/>
    <m/>
    <m/>
    <m/>
    <m/>
    <m/>
    <m/>
    <m/>
    <m/>
    <m/>
    <m/>
    <m/>
    <m/>
    <m/>
    <m/>
    <m/>
    <m/>
    <m/>
    <m/>
    <m/>
    <n v="24309000"/>
    <n v="0"/>
    <n v="0"/>
    <n v="24309000"/>
    <n v="0"/>
  </r>
  <r>
    <x v="1"/>
    <x v="5"/>
    <s v="N/A"/>
    <s v="N/A"/>
    <s v="Sí"/>
    <s v="Sí"/>
    <n v="4"/>
    <s v="161-6"/>
    <s v="N.A"/>
    <s v="N.A"/>
    <s v="N.A"/>
    <n v="80111620"/>
    <s v="A-05-01-02-008-003"/>
    <x v="0"/>
    <s v="161-6 Prestar servicios profesionales para la evaluación, análisis de la información de los proyectos de Fuentes No Convencionales de Energía y Gestión Eficiente de la Energía."/>
    <s v="Enero "/>
    <s v="Enero "/>
    <s v="Enero "/>
    <n v="11.3"/>
    <s v="Meses"/>
    <s v="Contratación directa - Prestación de servicios profesionales "/>
    <s v="Propios - 20 - Ingresos corrientes"/>
    <n v="37120500"/>
    <n v="37120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985500"/>
    <m/>
    <n v="3285000"/>
    <m/>
    <n v="3285000"/>
    <m/>
    <n v="3285000"/>
    <m/>
    <n v="3285000"/>
    <m/>
    <n v="3285000"/>
    <m/>
    <n v="3285000"/>
    <m/>
    <n v="3285000"/>
    <m/>
    <n v="3285000"/>
    <m/>
    <n v="3285000"/>
    <m/>
    <n v="6570000"/>
    <m/>
    <m/>
    <n v="0"/>
    <n v="37120500"/>
    <n v="37120500"/>
    <n v="0"/>
    <n v="51026"/>
    <d v="2026-01-20T00:00:00"/>
    <n v="37120500"/>
    <n v="0"/>
    <n v="27426"/>
    <d v="2026-01-28T00:00:00"/>
    <n v="36135000"/>
    <n v="985500"/>
    <n v="985500"/>
    <s v="ARIAS VARGAS ANDRES FELIPE"/>
    <s v="CO1.PCCNTR.9137687"/>
    <n v="36135000"/>
    <m/>
    <m/>
    <m/>
    <m/>
    <m/>
    <m/>
    <m/>
    <m/>
    <m/>
    <m/>
    <m/>
    <m/>
    <m/>
    <m/>
    <m/>
    <m/>
    <m/>
    <m/>
    <m/>
    <m/>
    <m/>
    <m/>
    <m/>
    <m/>
    <m/>
    <m/>
    <m/>
    <m/>
    <m/>
    <m/>
    <m/>
    <m/>
    <m/>
    <m/>
    <m/>
    <n v="36135000"/>
    <n v="0"/>
    <n v="0"/>
    <n v="36135000"/>
    <n v="0"/>
  </r>
  <r>
    <x v="1"/>
    <x v="5"/>
    <s v="N/A"/>
    <s v="N/A"/>
    <s v="Sí"/>
    <s v="Sí"/>
    <n v="1"/>
    <s v="161-60"/>
    <s v="N.A"/>
    <s v="N.A"/>
    <s v="N.A"/>
    <n v="80111620"/>
    <s v="A-05-01-02-008-002"/>
    <x v="0"/>
    <s v="161-60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500000"/>
    <m/>
    <n v="5000000"/>
    <m/>
    <n v="5000000"/>
    <m/>
    <n v="5000000"/>
    <m/>
    <n v="5000000"/>
    <m/>
    <n v="5000000"/>
    <m/>
    <n v="5000000"/>
    <m/>
    <n v="5000000"/>
    <m/>
    <n v="5000000"/>
    <m/>
    <n v="5000000"/>
    <m/>
    <n v="10000000"/>
    <m/>
    <m/>
    <n v="0"/>
    <n v="57500000"/>
    <n v="57500000"/>
    <n v="0"/>
    <n v="41626"/>
    <d v="2026-01-16T00:00:00"/>
    <n v="57500000"/>
    <n v="0"/>
    <n v="39826"/>
    <d v="2026-02-03T00:00:00"/>
    <n v="55000000"/>
    <n v="2500000"/>
    <n v="2500000"/>
    <s v="ALBARRACIN RUIZ JUAN PABLO"/>
    <s v="CO1.PCCNTR.9192946"/>
    <m/>
    <m/>
    <m/>
    <n v="55000000"/>
    <m/>
    <m/>
    <m/>
    <m/>
    <m/>
    <m/>
    <m/>
    <m/>
    <m/>
    <m/>
    <m/>
    <m/>
    <m/>
    <m/>
    <m/>
    <m/>
    <m/>
    <m/>
    <m/>
    <m/>
    <m/>
    <m/>
    <m/>
    <m/>
    <m/>
    <m/>
    <m/>
    <m/>
    <m/>
    <m/>
    <m/>
    <m/>
    <n v="55000000"/>
    <n v="0"/>
    <n v="0"/>
    <n v="55000000"/>
    <n v="0"/>
  </r>
  <r>
    <x v="1"/>
    <x v="5"/>
    <s v="N/A"/>
    <s v="N/A"/>
    <s v="Sí"/>
    <s v="Sí"/>
    <n v="1"/>
    <s v="161-61"/>
    <s v="N.A"/>
    <s v="N.A"/>
    <s v="N.A"/>
    <n v="80111620"/>
    <s v="A-05-01-02-008-002"/>
    <x v="0"/>
    <s v="161-61 Prestar servicios profesionales para realizar el seguimiento y control de las PQRS radicadas en la Upme asociadas con el trámite de incentivos tributarios, así como la respuesta a las PQRS de la entidad y demás trámites de índole jurídico."/>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realizar el seguimiento y control de las PQRS radicadas en la Upme asociadas con el trámite de incentivos tributarios, así como la respuesta a las PQRS de la entidad y demás trámites de índole jurídico."/>
    <m/>
    <m/>
    <m/>
    <n v="3000000"/>
    <m/>
    <n v="6000000"/>
    <m/>
    <n v="6000000"/>
    <m/>
    <n v="6000000"/>
    <m/>
    <n v="6000000"/>
    <m/>
    <n v="6000000"/>
    <m/>
    <n v="6000000"/>
    <m/>
    <n v="6000000"/>
    <m/>
    <n v="6000000"/>
    <m/>
    <n v="6000000"/>
    <m/>
    <n v="12000000"/>
    <m/>
    <m/>
    <n v="0"/>
    <n v="69000000"/>
    <n v="69000000"/>
    <n v="0"/>
    <n v="15226"/>
    <d v="2026-01-09T00:00:00"/>
    <n v="68400000"/>
    <n v="600000"/>
    <n v="11226"/>
    <d v="2026-01-17T00:00:00"/>
    <n v="68400000"/>
    <n v="600000"/>
    <n v="0"/>
    <s v="MARTINEZ FIGUEROA SERGIO ANDRES"/>
    <s v="CO1.PCCNTR.8911934"/>
    <n v="68400000"/>
    <m/>
    <m/>
    <m/>
    <m/>
    <m/>
    <m/>
    <m/>
    <m/>
    <m/>
    <m/>
    <m/>
    <m/>
    <m/>
    <m/>
    <m/>
    <m/>
    <m/>
    <m/>
    <m/>
    <m/>
    <m/>
    <m/>
    <m/>
    <m/>
    <m/>
    <m/>
    <m/>
    <m/>
    <m/>
    <m/>
    <m/>
    <m/>
    <m/>
    <m/>
    <m/>
    <n v="68400000"/>
    <n v="0"/>
    <n v="0"/>
    <n v="68400000"/>
    <n v="0"/>
  </r>
  <r>
    <x v="1"/>
    <x v="5"/>
    <s v="N/A"/>
    <s v="N/A"/>
    <s v="Sí"/>
    <s v="Sí"/>
    <n v="1"/>
    <s v="161-62"/>
    <s v="N.A"/>
    <s v="N.A"/>
    <s v="N.A"/>
    <n v="80111620"/>
    <s v="A-05-01-02-008-002"/>
    <x v="0"/>
    <s v="161-62 Prestar servicios profesionales en la gestión de respuestas a las PQRS radicadas en la entidad asociadas al trámite de incentivos tributarios, cumpliendo los términos legales."/>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en la gestión de respuestas a las PQRS radicadas en la entidad asociadas al trámite de incentivos tributarios, cumpliendo los términos legales."/>
    <m/>
    <m/>
    <m/>
    <n v="1642500"/>
    <m/>
    <n v="3285000"/>
    <m/>
    <n v="3285000"/>
    <m/>
    <n v="3285000"/>
    <m/>
    <n v="3285000"/>
    <m/>
    <n v="3285000"/>
    <m/>
    <n v="3285000"/>
    <m/>
    <n v="3285000"/>
    <m/>
    <n v="3285000"/>
    <m/>
    <n v="3285000"/>
    <m/>
    <n v="6570000"/>
    <m/>
    <m/>
    <n v="0"/>
    <n v="37777500"/>
    <n v="37777500"/>
    <n v="0"/>
    <n v="17726"/>
    <d v="2026-01-10T00:00:00"/>
    <n v="37668000"/>
    <n v="109500"/>
    <n v="10026"/>
    <d v="2026-01-16T00:00:00"/>
    <n v="37668000"/>
    <n v="109500"/>
    <n v="0"/>
    <s v="GUERRERO GOENAGA MARIA JOSE"/>
    <s v="CO1.PCCNTR.8871212"/>
    <n v="37668000"/>
    <m/>
    <m/>
    <m/>
    <m/>
    <m/>
    <m/>
    <m/>
    <m/>
    <m/>
    <m/>
    <m/>
    <m/>
    <m/>
    <m/>
    <m/>
    <m/>
    <m/>
    <m/>
    <m/>
    <m/>
    <m/>
    <m/>
    <m/>
    <m/>
    <m/>
    <m/>
    <m/>
    <m/>
    <m/>
    <m/>
    <m/>
    <m/>
    <m/>
    <m/>
    <m/>
    <n v="37668000"/>
    <n v="0"/>
    <n v="0"/>
    <n v="37668000"/>
    <n v="0"/>
  </r>
  <r>
    <x v="1"/>
    <x v="5"/>
    <s v="N/A"/>
    <s v="N/A"/>
    <s v="Sí"/>
    <s v="Sí"/>
    <n v="1"/>
    <s v="161-63"/>
    <s v="N.A"/>
    <s v="N.A"/>
    <s v="N.A"/>
    <n v="80111620"/>
    <s v="A-05-01-02-008-002"/>
    <x v="0"/>
    <s v="161-63 Prestar servicios profesionales a la Subdirección de Demanda, atendiendo las PQRS y demás requerimientos jurídicos relacionados con la certificación de proyectos de FNCE, GEE e Hidrógeno."/>
    <s v="Enero "/>
    <s v="Enero "/>
    <s v="Enero "/>
    <n v="11.4"/>
    <s v="Meses"/>
    <s v="Contratación directa - Prestación de servicios profesionales "/>
    <s v="Propios - 20 - Ingresos corrientes"/>
    <n v="51300000"/>
    <n v="51300000"/>
    <s v="No"/>
    <s v="N/A"/>
    <s v="Johanna Castellanos"/>
    <s v="Subdirectora de Demanda"/>
    <n v="6012220601"/>
    <s v="johanna.castellanos@upme.gov.co"/>
    <m/>
    <m/>
    <m/>
    <m/>
    <m/>
    <m/>
    <m/>
    <m/>
    <m/>
    <m/>
    <m/>
    <m/>
    <m/>
    <m/>
    <m/>
    <m/>
    <m/>
    <m/>
    <m/>
    <m/>
    <m/>
    <m/>
    <m/>
    <m/>
    <m/>
    <m/>
    <m/>
    <m/>
    <s v="Prestar servicios profesionales a la Subdirección de Demanda, atendiendo las PQRS y demás requerimientos jurídicos relacionados con la certificación de proyectos de FNCE, GEE e Hidrógeno."/>
    <m/>
    <m/>
    <m/>
    <n v="1800000"/>
    <m/>
    <n v="4500000"/>
    <m/>
    <n v="4500000"/>
    <m/>
    <n v="4500000"/>
    <m/>
    <n v="4500000"/>
    <m/>
    <n v="4500000"/>
    <m/>
    <n v="4500000"/>
    <m/>
    <n v="4500000"/>
    <m/>
    <n v="4500000"/>
    <m/>
    <n v="4500000"/>
    <m/>
    <n v="9000000"/>
    <m/>
    <m/>
    <n v="0"/>
    <n v="51300000"/>
    <n v="51300000"/>
    <n v="0"/>
    <n v="55826"/>
    <d v="2026-01-22T00:00:00"/>
    <n v="49500000"/>
    <n v="1800000"/>
    <n v="41526"/>
    <d v="2026-02-04T00:00:00"/>
    <n v="49500000"/>
    <n v="1800000"/>
    <n v="0"/>
    <s v="PARRA NIÑO EDWIN ANDRES"/>
    <s v="CO1.PCCNTR.9197681"/>
    <m/>
    <m/>
    <m/>
    <n v="49500000"/>
    <m/>
    <m/>
    <m/>
    <m/>
    <m/>
    <m/>
    <m/>
    <m/>
    <m/>
    <m/>
    <m/>
    <m/>
    <m/>
    <m/>
    <m/>
    <m/>
    <m/>
    <m/>
    <m/>
    <m/>
    <m/>
    <m/>
    <m/>
    <m/>
    <m/>
    <m/>
    <m/>
    <m/>
    <m/>
    <m/>
    <m/>
    <m/>
    <n v="49500000"/>
    <n v="0"/>
    <n v="0"/>
    <n v="49500000"/>
    <n v="0"/>
  </r>
  <r>
    <x v="1"/>
    <x v="5"/>
    <s v="N/A"/>
    <s v="N/A"/>
    <s v="Sí"/>
    <s v="Sí"/>
    <n v="3"/>
    <s v="161-64"/>
    <s v="N.A"/>
    <s v="N.A"/>
    <s v="N.A"/>
    <n v="80111620"/>
    <s v="A-05-01-02-008-002"/>
    <x v="0"/>
    <s v="161-64 Prestar servicios de apoyo a la gestión para la proyección de las respuestas a las PQRS de la Subdirección de Demanda, estableciendo mecanismos de optimización para el cumplimiento de los términos legal e institucionalmente previstos."/>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de apoyo a la gestión para la proyección de las respuestas a las PQRS de la Subdirección de Demanda, estableciendo mecanismos de optimización para el cumplimiento de los términos legal e institucionalmente previstos."/>
    <m/>
    <m/>
    <m/>
    <n v="2000000"/>
    <m/>
    <n v="5000000"/>
    <m/>
    <n v="5000000"/>
    <m/>
    <n v="5000000"/>
    <m/>
    <n v="5000000"/>
    <m/>
    <n v="5000000"/>
    <m/>
    <n v="5000000"/>
    <m/>
    <n v="5000000"/>
    <m/>
    <n v="5000000"/>
    <m/>
    <n v="5000000"/>
    <m/>
    <n v="10000000"/>
    <m/>
    <m/>
    <n v="0"/>
    <n v="57000000"/>
    <n v="57000000"/>
    <n v="0"/>
    <n v="41826"/>
    <d v="2026-01-16T00:00:00"/>
    <n v="57000000"/>
    <n v="0"/>
    <n v="22826"/>
    <d v="2026-01-27T00:00:00"/>
    <n v="56500000"/>
    <n v="500000"/>
    <n v="500000"/>
    <s v="BONILLA RODRIGUEZ DAIAN CAMILA"/>
    <s v="CO1.PCCNTR.9072161"/>
    <n v="56500000"/>
    <m/>
    <m/>
    <m/>
    <m/>
    <m/>
    <m/>
    <m/>
    <m/>
    <m/>
    <m/>
    <m/>
    <m/>
    <m/>
    <m/>
    <m/>
    <m/>
    <m/>
    <m/>
    <m/>
    <m/>
    <m/>
    <m/>
    <m/>
    <m/>
    <m/>
    <m/>
    <m/>
    <m/>
    <m/>
    <m/>
    <m/>
    <m/>
    <m/>
    <m/>
    <m/>
    <n v="56500000"/>
    <n v="0"/>
    <n v="0"/>
    <n v="56500000"/>
    <n v="0"/>
  </r>
  <r>
    <x v="1"/>
    <x v="5"/>
    <s v="N/A"/>
    <s v="N/A"/>
    <s v="Sí"/>
    <s v="Sí"/>
    <n v="1"/>
    <s v="161-65"/>
    <s v="N.A"/>
    <s v="N.A"/>
    <s v="N.A"/>
    <n v="80111620"/>
    <s v="A-05-01-02-008-002"/>
    <x v="0"/>
    <s v="161-65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000000"/>
    <m/>
    <n v="5000000"/>
    <m/>
    <n v="5000000"/>
    <m/>
    <n v="5000000"/>
    <m/>
    <n v="5000000"/>
    <m/>
    <n v="5000000"/>
    <m/>
    <n v="5000000"/>
    <m/>
    <n v="5000000"/>
    <m/>
    <n v="5000000"/>
    <m/>
    <n v="5000000"/>
    <m/>
    <n v="10000000"/>
    <m/>
    <m/>
    <n v="0"/>
    <n v="57000000"/>
    <n v="57000000"/>
    <n v="0"/>
    <n v="47926"/>
    <d v="2026-01-19T00:00:00"/>
    <n v="57000000"/>
    <n v="0"/>
    <n v="36126"/>
    <d v="2026-01-30T00:00:00"/>
    <n v="55000000"/>
    <n v="2000000"/>
    <n v="2000000"/>
    <s v="TRASLAVIÑA RODRIGUEZ NINI YOHANA"/>
    <s v="CO1.PCCNTR.9183778"/>
    <n v="55000000"/>
    <m/>
    <m/>
    <m/>
    <m/>
    <m/>
    <m/>
    <m/>
    <m/>
    <m/>
    <m/>
    <m/>
    <m/>
    <m/>
    <m/>
    <m/>
    <m/>
    <m/>
    <m/>
    <m/>
    <m/>
    <m/>
    <m/>
    <m/>
    <m/>
    <m/>
    <m/>
    <m/>
    <m/>
    <m/>
    <m/>
    <m/>
    <m/>
    <m/>
    <m/>
    <m/>
    <n v="55000000"/>
    <n v="0"/>
    <n v="0"/>
    <n v="55000000"/>
    <n v="0"/>
  </r>
  <r>
    <x v="1"/>
    <x v="5"/>
    <s v="N/A"/>
    <s v="N/A"/>
    <s v="Sí"/>
    <s v="Sí"/>
    <n v="1"/>
    <s v="161-66"/>
    <s v="N.A"/>
    <s v="N.A"/>
    <s v="N.A"/>
    <n v="80111620"/>
    <s v="A-05-01-02-008-002"/>
    <x v="0"/>
    <s v="161-66 Prestar servicios profesionales para la gestión jurídica relacionada con los trámites de recursos administrativos contra las decisiones en la evaluación de los proyectos de Fuentes No Convencionales de Energía, Gestión Eficiente de la Energía e Hid"/>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profesionales para la gestión jurídica relacionada con los trámites de recursos administrativos contra las decisiones en la evaluación de los proyectos de Fuentes No Convencionales de Energía, Gestión Eficiente de la Energía e Hidrógeno."/>
    <m/>
    <m/>
    <m/>
    <n v="2000000"/>
    <m/>
    <n v="4000000"/>
    <m/>
    <n v="4000000"/>
    <m/>
    <n v="4000000"/>
    <m/>
    <n v="4000000"/>
    <m/>
    <n v="4000000"/>
    <m/>
    <n v="4000000"/>
    <m/>
    <n v="4000000"/>
    <m/>
    <n v="4000000"/>
    <m/>
    <n v="4000000"/>
    <m/>
    <n v="8000000"/>
    <m/>
    <m/>
    <n v="0"/>
    <n v="46000000"/>
    <n v="46000000"/>
    <n v="0"/>
    <n v="41926"/>
    <d v="2026-01-16T00:00:00"/>
    <n v="46000000"/>
    <n v="0"/>
    <n v="43326"/>
    <d v="2026-02-05T00:00:00"/>
    <n v="44000000"/>
    <n v="2000000"/>
    <n v="2000000"/>
    <s v="RODRIGUEZ BELTRAN DIEGO ANDRES"/>
    <s v="CO1.PCCNTR.9233345"/>
    <m/>
    <m/>
    <m/>
    <n v="44000000"/>
    <m/>
    <m/>
    <m/>
    <m/>
    <m/>
    <m/>
    <m/>
    <m/>
    <m/>
    <m/>
    <m/>
    <m/>
    <m/>
    <m/>
    <m/>
    <m/>
    <m/>
    <m/>
    <m/>
    <m/>
    <m/>
    <m/>
    <m/>
    <m/>
    <m/>
    <m/>
    <m/>
    <m/>
    <m/>
    <m/>
    <m/>
    <m/>
    <n v="44000000"/>
    <n v="0"/>
    <n v="0"/>
    <n v="44000000"/>
    <n v="0"/>
  </r>
  <r>
    <x v="1"/>
    <x v="5"/>
    <s v="N/A"/>
    <s v="N/A"/>
    <s v="Sí"/>
    <s v="Sí"/>
    <n v="1"/>
    <s v="161-67"/>
    <s v="N.A"/>
    <s v="N.A"/>
    <s v="N.A"/>
    <n v="80111620"/>
    <s v="A-05-01-02-008-002"/>
    <x v="0"/>
    <s v="161-67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000000"/>
    <m/>
    <n v="5000000"/>
    <m/>
    <n v="5000000"/>
    <m/>
    <n v="5000000"/>
    <m/>
    <n v="5000000"/>
    <m/>
    <n v="5000000"/>
    <m/>
    <n v="5000000"/>
    <m/>
    <n v="5000000"/>
    <m/>
    <n v="5000000"/>
    <m/>
    <n v="5000000"/>
    <m/>
    <n v="10000000"/>
    <m/>
    <m/>
    <n v="0"/>
    <n v="57000000"/>
    <n v="57000000"/>
    <n v="0"/>
    <n v="55726"/>
    <d v="2026-01-22T00:00:00"/>
    <n v="55000000"/>
    <n v="2000000"/>
    <n v="29926"/>
    <d v="2026-01-29T00:00:00"/>
    <n v="55000000"/>
    <n v="2000000"/>
    <n v="0"/>
    <s v="FLOREZ ALBA MARINA"/>
    <s v="CO1.PCCNTR.9139891"/>
    <n v="55000000"/>
    <m/>
    <m/>
    <m/>
    <m/>
    <m/>
    <m/>
    <m/>
    <m/>
    <m/>
    <m/>
    <m/>
    <m/>
    <m/>
    <m/>
    <m/>
    <m/>
    <m/>
    <m/>
    <m/>
    <m/>
    <m/>
    <m/>
    <m/>
    <m/>
    <m/>
    <m/>
    <m/>
    <m/>
    <m/>
    <m/>
    <m/>
    <m/>
    <m/>
    <m/>
    <m/>
    <n v="55000000"/>
    <n v="0"/>
    <n v="0"/>
    <n v="55000000"/>
    <n v="0"/>
  </r>
  <r>
    <x v="1"/>
    <x v="5"/>
    <s v="N/A"/>
    <s v="N/A"/>
    <s v="Sí"/>
    <s v="Sí"/>
    <n v="1"/>
    <s v="161-68"/>
    <s v="N.A"/>
    <s v="N.A"/>
    <s v="N.A"/>
    <n v="80111620"/>
    <s v="A-05-01-02-008-002"/>
    <x v="0"/>
    <s v="161-68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500000"/>
    <m/>
    <n v="5000000"/>
    <m/>
    <n v="5000000"/>
    <m/>
    <n v="5000000"/>
    <m/>
    <n v="5000000"/>
    <m/>
    <n v="5000000"/>
    <m/>
    <n v="5000000"/>
    <m/>
    <n v="5000000"/>
    <m/>
    <n v="5000000"/>
    <m/>
    <n v="5000000"/>
    <m/>
    <n v="10000000"/>
    <m/>
    <m/>
    <n v="0"/>
    <n v="57500000"/>
    <n v="57500000"/>
    <n v="0"/>
    <n v="40426"/>
    <d v="2026-01-16T00:00:00"/>
    <n v="44850000"/>
    <n v="12650000"/>
    <n v="22026"/>
    <d v="2026-01-26T00:00:00"/>
    <n v="44070000"/>
    <n v="13430000"/>
    <n v="780000"/>
    <s v="ESTRADA MUNERA NICOLLE"/>
    <s v="CO1.PCCNTR.9067680"/>
    <n v="44070000"/>
    <m/>
    <m/>
    <m/>
    <m/>
    <m/>
    <m/>
    <m/>
    <m/>
    <m/>
    <m/>
    <m/>
    <m/>
    <m/>
    <m/>
    <m/>
    <m/>
    <m/>
    <m/>
    <m/>
    <m/>
    <m/>
    <m/>
    <m/>
    <m/>
    <m/>
    <m/>
    <m/>
    <m/>
    <m/>
    <m/>
    <m/>
    <m/>
    <m/>
    <m/>
    <m/>
    <n v="44070000"/>
    <n v="0"/>
    <n v="0"/>
    <n v="44070000"/>
    <n v="0"/>
  </r>
  <r>
    <x v="1"/>
    <x v="5"/>
    <s v="N/A"/>
    <s v="N/A"/>
    <s v="Sí"/>
    <s v="Sí"/>
    <n v="3"/>
    <s v="161-69"/>
    <s v="N.A"/>
    <s v="N.A"/>
    <s v="N.A"/>
    <n v="80111620"/>
    <s v="A-05-01-02-008-002"/>
    <x v="0"/>
    <s v="161-69 Prestar servicios profesionales en la gestión de respuestas a las PQRS y demás trámites de índole jurídico radicadas en la entidad asociadas al trámite de incentivos tributarios, cumpliendo los términos legales."/>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profesionales en la gestión de respuestas a las PQRS y demás trámites de índole jurídico radicadas en la entidad asociadas al trámite de incentivos tributarios, cumpliendo los términos legales."/>
    <m/>
    <m/>
    <m/>
    <n v="2000000"/>
    <m/>
    <n v="4000000"/>
    <m/>
    <n v="4000000"/>
    <m/>
    <n v="4000000"/>
    <m/>
    <n v="4000000"/>
    <m/>
    <n v="4000000"/>
    <m/>
    <n v="4000000"/>
    <m/>
    <n v="4000000"/>
    <m/>
    <n v="4000000"/>
    <m/>
    <n v="4000000"/>
    <m/>
    <n v="8000000"/>
    <m/>
    <m/>
    <n v="0"/>
    <n v="46000000"/>
    <n v="46000000"/>
    <n v="0"/>
    <n v="48026"/>
    <d v="2026-01-19T00:00:00"/>
    <n v="46000000"/>
    <n v="0"/>
    <n v="43726"/>
    <d v="2026-02-05T00:00:00"/>
    <n v="39600000"/>
    <n v="6400000"/>
    <n v="6400000"/>
    <s v="ORTEGA PIÑA FRANCISCO ANDRES"/>
    <s v="CO1.PCCNTR.9226391"/>
    <n v="39600000"/>
    <m/>
    <m/>
    <m/>
    <m/>
    <m/>
    <m/>
    <m/>
    <m/>
    <m/>
    <m/>
    <m/>
    <m/>
    <m/>
    <m/>
    <m/>
    <m/>
    <m/>
    <m/>
    <m/>
    <m/>
    <m/>
    <m/>
    <m/>
    <m/>
    <m/>
    <m/>
    <m/>
    <m/>
    <m/>
    <m/>
    <m/>
    <m/>
    <m/>
    <m/>
    <m/>
    <n v="39600000"/>
    <n v="0"/>
    <n v="0"/>
    <n v="39600000"/>
    <n v="0"/>
  </r>
  <r>
    <x v="1"/>
    <x v="5"/>
    <s v="N/A"/>
    <s v="N/A"/>
    <s v="Sí"/>
    <s v="Sí"/>
    <n v="68"/>
    <s v="161-7"/>
    <s v="N.A"/>
    <s v="N.A"/>
    <s v="N.A"/>
    <n v="80111620"/>
    <s v="A-05-01-02-008-002"/>
    <x v="0"/>
    <s v="161-7 Prestar servicios profesionales para la proyección de las respuestas a las PQRS de la entidad a nivel jurídico relacionadas con el trámite de Incentivos tributarios, así como el acompañamiento en los procesos contractuales requeridos dentro de la Su"/>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proyección de las respuestas a las PQRS de la entidad a nivel jurídico relacionadas con el trámite de Incentivos tributarios, así como el acompañamiento en los procesos contractuales requeridos dentro de la Subdirec"/>
    <m/>
    <m/>
    <m/>
    <n v="2000000"/>
    <m/>
    <n v="5000000"/>
    <m/>
    <n v="5000000"/>
    <m/>
    <n v="5000000"/>
    <m/>
    <n v="5000000"/>
    <m/>
    <n v="5000000"/>
    <m/>
    <n v="5000000"/>
    <m/>
    <n v="5000000"/>
    <m/>
    <n v="5000000"/>
    <m/>
    <n v="5000000"/>
    <m/>
    <n v="10000000"/>
    <m/>
    <m/>
    <n v="0"/>
    <n v="57000000"/>
    <n v="57000000"/>
    <n v="0"/>
    <n v="36726"/>
    <d v="2026-01-15T00:00:00"/>
    <n v="57000000"/>
    <n v="0"/>
    <n v="27226"/>
    <d v="2026-01-28T00:00:00"/>
    <n v="0"/>
    <n v="57000000"/>
    <n v="57000000"/>
    <s v="SOLANO BELTRAN CARLOS ALBERTO"/>
    <s v="CO1.PCCNTR.9136053"/>
    <m/>
    <m/>
    <m/>
    <m/>
    <m/>
    <m/>
    <m/>
    <m/>
    <m/>
    <m/>
    <m/>
    <m/>
    <m/>
    <m/>
    <m/>
    <m/>
    <m/>
    <m/>
    <m/>
    <m/>
    <m/>
    <m/>
    <m/>
    <m/>
    <m/>
    <m/>
    <m/>
    <m/>
    <m/>
    <m/>
    <m/>
    <m/>
    <m/>
    <m/>
    <m/>
    <m/>
    <n v="0"/>
    <n v="0"/>
    <n v="0"/>
    <n v="0"/>
    <n v="0"/>
  </r>
  <r>
    <x v="1"/>
    <x v="5"/>
    <s v="N/A"/>
    <s v="N/A"/>
    <s v="Sí"/>
    <s v="Sí"/>
    <n v="1"/>
    <s v="161-70"/>
    <s v="N.A"/>
    <s v="N.A"/>
    <s v="N.A"/>
    <n v="80111620"/>
    <s v="A-05-01-02-008-002"/>
    <x v="0"/>
    <s v="161-70 Prestar servicios profesionales para la gestión jurídica relacionada con la sustanciación de los recursos de reposición y acciones de tutela contra las decisiones adoptadas en el trámite de incentivos tributarios."/>
    <s v="Enero "/>
    <s v="Enero "/>
    <s v="Enero "/>
    <n v="11.5"/>
    <s v="Meses"/>
    <s v="Contratación directa - Prestación de servicios profesionales "/>
    <s v="Propios - 20 - Ingresos corrientes"/>
    <n v="63250000"/>
    <n v="6325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750000"/>
    <m/>
    <n v="5500000"/>
    <m/>
    <n v="5500000"/>
    <m/>
    <n v="5500000"/>
    <m/>
    <n v="5500000"/>
    <m/>
    <n v="5500000"/>
    <m/>
    <n v="5500000"/>
    <m/>
    <n v="5500000"/>
    <m/>
    <n v="5500000"/>
    <m/>
    <n v="5500000"/>
    <m/>
    <n v="11000000"/>
    <m/>
    <m/>
    <n v="0"/>
    <n v="63250000"/>
    <n v="63250000"/>
    <n v="0"/>
    <n v="14426"/>
    <d v="2026-01-09T00:00:00"/>
    <n v="63250000"/>
    <n v="0"/>
    <n v="18126"/>
    <d v="2026-01-23T00:00:00"/>
    <n v="63000000"/>
    <n v="250000"/>
    <n v="250000"/>
    <s v="GONZALEZ GALLEGO DAYANNA"/>
    <s v="CO1.PCCNTR.8995080"/>
    <n v="63000000"/>
    <m/>
    <m/>
    <m/>
    <m/>
    <m/>
    <m/>
    <m/>
    <m/>
    <m/>
    <m/>
    <m/>
    <m/>
    <m/>
    <m/>
    <m/>
    <m/>
    <m/>
    <m/>
    <m/>
    <m/>
    <m/>
    <m/>
    <m/>
    <m/>
    <m/>
    <m/>
    <m/>
    <m/>
    <m/>
    <m/>
    <m/>
    <m/>
    <m/>
    <m/>
    <m/>
    <n v="63000000"/>
    <n v="0"/>
    <n v="0"/>
    <n v="63000000"/>
    <n v="0"/>
  </r>
  <r>
    <x v="1"/>
    <x v="5"/>
    <s v="N/A"/>
    <s v="N/A"/>
    <s v="Sí"/>
    <s v="Sí"/>
    <n v="10"/>
    <s v="161-71"/>
    <s v="N.A"/>
    <s v="N.A"/>
    <s v="N.A"/>
    <n v="80111620"/>
    <s v="A-05-01-02-008-003"/>
    <x v="0"/>
    <s v="161-71 Prestar servicios profesionales para la evaluación, análisis de la información de los proyectos de Fuentes No Convencionales de Energía y Gestión Eficiente de la Energía."/>
    <s v="Enero "/>
    <s v="Enero "/>
    <s v="Enero "/>
    <n v="5"/>
    <s v="Meses"/>
    <s v="Contratación directa - Prestación de servicios profesionales "/>
    <s v="Propios - 20 - Ingresos corrientes"/>
    <n v="20500000"/>
    <n v="205000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n v="0"/>
    <n v="0"/>
    <n v="0"/>
    <n v="4100000"/>
    <n v="0"/>
    <n v="4100000"/>
    <n v="0"/>
    <n v="4100000"/>
    <n v="0"/>
    <n v="4100000"/>
    <n v="0"/>
    <n v="4100000"/>
    <n v="0"/>
    <m/>
    <n v="0"/>
    <m/>
    <n v="0"/>
    <m/>
    <n v="0"/>
    <m/>
    <n v="0"/>
    <m/>
    <m/>
    <m/>
    <n v="0"/>
    <n v="20500000"/>
    <n v="20500000"/>
    <n v="0"/>
    <m/>
    <m/>
    <m/>
    <n v="20500000"/>
    <m/>
    <m/>
    <n v="0"/>
    <n v="20500000"/>
    <n v="0"/>
    <m/>
    <m/>
    <m/>
    <m/>
    <m/>
    <m/>
    <m/>
    <m/>
    <m/>
    <m/>
    <m/>
    <m/>
    <m/>
    <m/>
    <m/>
    <m/>
    <m/>
    <m/>
    <m/>
    <m/>
    <m/>
    <m/>
    <m/>
    <m/>
    <m/>
    <m/>
    <m/>
    <m/>
    <m/>
    <m/>
    <m/>
    <m/>
    <m/>
    <m/>
    <m/>
    <m/>
    <m/>
    <m/>
    <n v="0"/>
    <n v="0"/>
    <n v="0"/>
    <n v="0"/>
    <n v="0"/>
  </r>
  <r>
    <x v="1"/>
    <x v="5"/>
    <s v="N/A"/>
    <s v="N/A"/>
    <s v="Sí"/>
    <s v="Sí"/>
    <n v="10"/>
    <s v="161-72"/>
    <s v="N.A"/>
    <s v="N.A"/>
    <s v="N.A"/>
    <n v="80111620"/>
    <s v="A-05-01-02-008-003"/>
    <x v="0"/>
    <s v="161-72 Prestar servicios profesionales para contribuir en la implementación y seguimiento de los planes de mejoramiento mediante el análisis , consolidación y documentación de los procesos, asi como el desarrollo de las actividades de indole administrativ"/>
    <s v="Enero "/>
    <s v="Enero "/>
    <s v="Enero "/>
    <n v="6"/>
    <s v="Meses"/>
    <s v="Contratación directa - Prestación de servicios profesionales "/>
    <s v="Propios - 20 - Ingresos corrientes"/>
    <n v="24000000"/>
    <n v="24000000"/>
    <s v="No"/>
    <s v="N/A"/>
    <s v="Johanna Castellanos"/>
    <s v="Subdirectora de Demanda"/>
    <n v="6012220601"/>
    <s v="johanna.castellanos@upme.gov.co"/>
    <m/>
    <m/>
    <m/>
    <m/>
    <m/>
    <m/>
    <m/>
    <m/>
    <m/>
    <m/>
    <m/>
    <m/>
    <m/>
    <m/>
    <m/>
    <m/>
    <m/>
    <m/>
    <m/>
    <m/>
    <m/>
    <m/>
    <m/>
    <m/>
    <m/>
    <m/>
    <m/>
    <m/>
    <s v="Prestar servicios profesionales para contribuir en la implementación y seguimiento de los planes de mejoramiento mediante el análisis , consolidación y documentación de los procesos, asi como el desarrollo de las actividades de indole administrativo dentr"/>
    <m/>
    <m/>
    <n v="0"/>
    <n v="0"/>
    <n v="0"/>
    <n v="4000000"/>
    <n v="0"/>
    <n v="4000000"/>
    <n v="0"/>
    <n v="4000000"/>
    <n v="0"/>
    <n v="4000000"/>
    <n v="0"/>
    <n v="4000000"/>
    <n v="0"/>
    <n v="4000000"/>
    <n v="0"/>
    <n v="0"/>
    <n v="0"/>
    <n v="0"/>
    <n v="0"/>
    <n v="0"/>
    <n v="0"/>
    <n v="0"/>
    <m/>
    <m/>
    <n v="0"/>
    <n v="24000000"/>
    <n v="24000000"/>
    <n v="0"/>
    <m/>
    <m/>
    <m/>
    <n v="24000000"/>
    <n v="1226"/>
    <d v="2026-01-05T00:00:00"/>
    <n v="0"/>
    <n v="24000000"/>
    <n v="0"/>
    <s v="SIERRA URIBE ISABEL"/>
    <s v="CO1.PCCNTR.7367645"/>
    <m/>
    <m/>
    <m/>
    <m/>
    <m/>
    <m/>
    <m/>
    <m/>
    <m/>
    <m/>
    <m/>
    <m/>
    <m/>
    <m/>
    <m/>
    <m/>
    <m/>
    <m/>
    <m/>
    <m/>
    <m/>
    <m/>
    <m/>
    <m/>
    <m/>
    <m/>
    <m/>
    <m/>
    <m/>
    <m/>
    <m/>
    <m/>
    <m/>
    <m/>
    <m/>
    <m/>
    <n v="0"/>
    <n v="0"/>
    <n v="0"/>
    <n v="0"/>
    <n v="0"/>
  </r>
  <r>
    <x v="1"/>
    <x v="5"/>
    <s v="N/A"/>
    <s v="N/A"/>
    <s v="Sí"/>
    <s v="Sí"/>
    <n v="10"/>
    <s v="161-73"/>
    <s v="N.A"/>
    <s v="N.A"/>
    <s v="N.A"/>
    <n v="80111620"/>
    <s v="A-05-01-02-008-003"/>
    <x v="0"/>
    <s v="161-73 Prestar servicios profesionales para la comunicación , divulgación y socialización de la planeación energética con enfoque en descarbonización, conforme a los lineamientos de la UPME."/>
    <s v="Enero "/>
    <s v="Enero "/>
    <s v="Enero "/>
    <n v="11"/>
    <s v="Meses"/>
    <s v="Contratación directa - Prestación de servicios profesionales "/>
    <s v="Propios - 20 - Ingresos corrientes"/>
    <n v="37000000"/>
    <n v="37000000"/>
    <s v="No"/>
    <s v="N/A"/>
    <s v="Johanna Castellanos"/>
    <s v="Subdirectora de Demanda"/>
    <n v="6012220601"/>
    <s v="johanna.castellanos@upme.gov.co"/>
    <m/>
    <m/>
    <m/>
    <m/>
    <m/>
    <m/>
    <m/>
    <m/>
    <m/>
    <m/>
    <m/>
    <m/>
    <m/>
    <m/>
    <m/>
    <m/>
    <m/>
    <m/>
    <m/>
    <m/>
    <m/>
    <m/>
    <m/>
    <m/>
    <m/>
    <m/>
    <m/>
    <m/>
    <s v="Prestar servicios profesionales para la comunicación , divulgación y socialización de la planeación energética con enfoque en descarbonización, conforme a los lineamientos de la UPME."/>
    <m/>
    <m/>
    <n v="0"/>
    <n v="0"/>
    <n v="0"/>
    <n v="3363000"/>
    <n v="0"/>
    <n v="3363000"/>
    <n v="0"/>
    <n v="3363000"/>
    <n v="0"/>
    <n v="3363000"/>
    <n v="0"/>
    <n v="3363000"/>
    <n v="0"/>
    <n v="3363000"/>
    <n v="0"/>
    <n v="3363000"/>
    <n v="0"/>
    <n v="3363000"/>
    <n v="0"/>
    <n v="3363000"/>
    <n v="0"/>
    <n v="6733000"/>
    <m/>
    <m/>
    <n v="0"/>
    <n v="37000000"/>
    <n v="37000000"/>
    <n v="0"/>
    <n v="68126"/>
    <d v="2026-01-30T00:00:00"/>
    <n v="37000000"/>
    <n v="0"/>
    <m/>
    <m/>
    <n v="0"/>
    <n v="37000000"/>
    <n v="37000000"/>
    <m/>
    <m/>
    <m/>
    <m/>
    <m/>
    <m/>
    <m/>
    <m/>
    <m/>
    <m/>
    <m/>
    <m/>
    <m/>
    <m/>
    <m/>
    <m/>
    <m/>
    <m/>
    <m/>
    <m/>
    <m/>
    <m/>
    <m/>
    <m/>
    <m/>
    <m/>
    <m/>
    <m/>
    <m/>
    <m/>
    <m/>
    <m/>
    <m/>
    <m/>
    <m/>
    <m/>
    <m/>
    <m/>
    <n v="0"/>
    <n v="0"/>
    <n v="0"/>
    <n v="0"/>
    <n v="0"/>
  </r>
  <r>
    <x v="1"/>
    <x v="5"/>
    <s v="N/A"/>
    <s v="N/A"/>
    <s v="Sí"/>
    <s v="Sí"/>
    <n v="8"/>
    <s v="161-74"/>
    <s v="N.A"/>
    <s v="N.A"/>
    <s v="N.A"/>
    <n v="80111620"/>
    <s v="A-05-01-02-008-003"/>
    <x v="0"/>
    <s v="161-74  Prestar servicios profesionales orientados al fortalecimiento de la Dimensión de Control Interno mediante la ejecución del Plan Anual de Auditorías Internas Independientes, con énfasis en la evaluación de la gestión misional de la UPME."/>
    <s v="Enero "/>
    <s v="Enero "/>
    <s v="Enero "/>
    <n v="11"/>
    <s v="Meses"/>
    <s v="Contratación directa - Prestación de servicios profesionales "/>
    <s v="Propios - 20 - Ingresos corrientes"/>
    <n v="20000000"/>
    <n v="20000000"/>
    <s v="No"/>
    <s v="N/A"/>
    <s v="Johanna Castellanos"/>
    <s v="Subdirectora de Demanda"/>
    <n v="6012220601"/>
    <s v="johanna.castellanos@upme.gov.co"/>
    <m/>
    <m/>
    <m/>
    <m/>
    <m/>
    <m/>
    <m/>
    <m/>
    <m/>
    <m/>
    <m/>
    <m/>
    <m/>
    <m/>
    <m/>
    <m/>
    <m/>
    <m/>
    <m/>
    <m/>
    <m/>
    <m/>
    <m/>
    <m/>
    <m/>
    <m/>
    <m/>
    <m/>
    <s v=" Prestar servicios profesionales orientados al fortalecimiento de la Dimensión de Control Interno mediante la ejecución del Plan Anual de Auditorías Internas Independientes, con énfasis en la evaluación de la gestión misional de la UPME."/>
    <m/>
    <m/>
    <m/>
    <m/>
    <m/>
    <m/>
    <m/>
    <m/>
    <m/>
    <m/>
    <m/>
    <m/>
    <m/>
    <m/>
    <m/>
    <m/>
    <m/>
    <m/>
    <m/>
    <m/>
    <m/>
    <m/>
    <m/>
    <m/>
    <m/>
    <m/>
    <n v="0"/>
    <n v="0"/>
    <n v="20000000"/>
    <n v="20000000"/>
    <n v="65826"/>
    <d v="2026-01-26T00:00:00"/>
    <n v="20000000"/>
    <n v="0"/>
    <m/>
    <m/>
    <n v="0"/>
    <n v="20000000"/>
    <n v="20000000"/>
    <m/>
    <m/>
    <m/>
    <m/>
    <m/>
    <m/>
    <m/>
    <m/>
    <m/>
    <m/>
    <m/>
    <m/>
    <m/>
    <m/>
    <m/>
    <m/>
    <m/>
    <m/>
    <m/>
    <m/>
    <m/>
    <m/>
    <m/>
    <m/>
    <m/>
    <m/>
    <m/>
    <m/>
    <m/>
    <m/>
    <m/>
    <m/>
    <m/>
    <m/>
    <m/>
    <m/>
    <m/>
    <m/>
    <n v="0"/>
    <n v="0"/>
    <n v="0"/>
    <n v="0"/>
    <n v="0"/>
  </r>
  <r>
    <x v="1"/>
    <x v="5"/>
    <s v="N/A"/>
    <s v="N/A"/>
    <s v="Sí"/>
    <s v="Sí"/>
    <n v="8"/>
    <s v="161-75"/>
    <s v="N.A"/>
    <s v="N.A"/>
    <s v="N.A"/>
    <n v="80111620"/>
    <s v="A-05-01-02-008-003"/>
    <x v="0"/>
    <s v="161-75 Prestar servicios profesionales para la revisión posterior y control de la calidad de conceptos técnicos y certificaciones emitidas en el marco del procedimiento de evaluación de solicitudes para Incentivos Tributarios de proyectos de FNCE, GEE e H"/>
    <s v="Enero "/>
    <s v="Enero "/>
    <s v="Enero "/>
    <n v="5"/>
    <s v="Meses"/>
    <s v="Contratación directa - Prestación de servicios profesionales "/>
    <s v="Propios - 20 - Ingresos corrientes"/>
    <n v="17925000"/>
    <n v="17925000"/>
    <s v="No"/>
    <s v="N/A"/>
    <s v="Johanna Castellanos"/>
    <s v="Subdirectora de Demanda"/>
    <n v="6012220601"/>
    <s v="johanna.castellanos@upme.gov.co"/>
    <m/>
    <m/>
    <m/>
    <m/>
    <m/>
    <m/>
    <m/>
    <m/>
    <m/>
    <m/>
    <m/>
    <m/>
    <m/>
    <m/>
    <m/>
    <m/>
    <m/>
    <m/>
    <m/>
    <m/>
    <m/>
    <m/>
    <m/>
    <m/>
    <m/>
    <m/>
    <m/>
    <m/>
    <s v="Prestar servicios profesionales para la revisión posterior y control de la calidad de conceptos técnicos y certificaciones emitidas en el marco del procedimiento de evaluación de solicitudes para Incentivos Tributarios de proyectos de FNCE, GEE e Hidrógen"/>
    <m/>
    <m/>
    <m/>
    <m/>
    <m/>
    <n v="1629000"/>
    <m/>
    <n v="1629000"/>
    <m/>
    <n v="1629000"/>
    <m/>
    <n v="1629000"/>
    <m/>
    <n v="1629000"/>
    <m/>
    <n v="1629000"/>
    <m/>
    <n v="1629000"/>
    <m/>
    <n v="1629000"/>
    <m/>
    <n v="1629000"/>
    <m/>
    <n v="3264000"/>
    <m/>
    <m/>
    <n v="0"/>
    <n v="17925000"/>
    <n v="17925000"/>
    <n v="0"/>
    <m/>
    <m/>
    <m/>
    <n v="17925000"/>
    <m/>
    <m/>
    <n v="0"/>
    <n v="17925000"/>
    <n v="0"/>
    <m/>
    <m/>
    <m/>
    <m/>
    <m/>
    <m/>
    <m/>
    <m/>
    <m/>
    <m/>
    <m/>
    <m/>
    <m/>
    <m/>
    <m/>
    <m/>
    <m/>
    <m/>
    <m/>
    <m/>
    <m/>
    <m/>
    <m/>
    <m/>
    <m/>
    <m/>
    <m/>
    <m/>
    <m/>
    <m/>
    <m/>
    <m/>
    <m/>
    <m/>
    <m/>
    <m/>
    <m/>
    <m/>
    <n v="0"/>
    <n v="0"/>
    <n v="0"/>
    <n v="0"/>
    <n v="0"/>
  </r>
  <r>
    <x v="1"/>
    <x v="5"/>
    <s v="N/A"/>
    <s v="N/A"/>
    <s v="Sí"/>
    <s v="Sí"/>
    <n v="8"/>
    <s v="161-76"/>
    <s v="N.A"/>
    <s v="N.A"/>
    <s v="N.A"/>
    <n v="80111620"/>
    <s v="A-05-01-02-008-003"/>
    <x v="0"/>
    <s v="161-76 Prestar servicios de apoyo a la gestión para el fortalecimiento de los procesos de manejo de la información y archivo del equipo administrativo de la Entidad, mediante la organización, actualización, clasificación y control de la documentación, con"/>
    <s v="Enero "/>
    <s v="Enero "/>
    <s v="Enero "/>
    <n v="11"/>
    <s v="Meses"/>
    <s v="Contratación directa - Prestación de servicios profesionales "/>
    <s v="Propios - 20 - Ingresos corrientes"/>
    <n v="33000000"/>
    <n v="33000000"/>
    <s v="No"/>
    <s v="N/A"/>
    <s v="Johanna Castellanos"/>
    <s v="Subdirectora de Demanda"/>
    <n v="6012220601"/>
    <s v="johanna.castellanos@upme.gov.co"/>
    <m/>
    <m/>
    <m/>
    <m/>
    <m/>
    <m/>
    <m/>
    <m/>
    <m/>
    <m/>
    <m/>
    <m/>
    <m/>
    <m/>
    <m/>
    <m/>
    <m/>
    <m/>
    <m/>
    <m/>
    <m/>
    <m/>
    <m/>
    <m/>
    <m/>
    <m/>
    <m/>
    <m/>
    <s v="Prestar servicios de apoyo a la gestión para el fortalecimiento de los procesos de manejo de la información y archivo del equipo administrativo de la Entidad, mediante la organización, actualización, clasificación y control de la documentación, contribuye"/>
    <m/>
    <m/>
    <n v="0"/>
    <n v="0"/>
    <n v="0"/>
    <n v="3000000"/>
    <n v="0"/>
    <n v="3000000"/>
    <n v="0"/>
    <n v="3000000"/>
    <n v="0"/>
    <n v="3000000"/>
    <n v="0"/>
    <n v="3000000"/>
    <n v="0"/>
    <n v="3000000"/>
    <n v="0"/>
    <n v="3000000"/>
    <n v="0"/>
    <n v="3000000"/>
    <n v="0"/>
    <n v="3000000"/>
    <n v="0"/>
    <n v="6000000"/>
    <m/>
    <m/>
    <n v="0"/>
    <n v="33000000"/>
    <n v="33000000"/>
    <n v="0"/>
    <n v="1926"/>
    <d v="2026-01-05T00:00:00"/>
    <n v="26562900"/>
    <n v="6437100"/>
    <n v="1926"/>
    <d v="2026-01-05T00:00:00"/>
    <n v="26562900"/>
    <n v="6437100"/>
    <n v="0"/>
    <s v="MOLINA BERMUDEZ CARLOS ALBERTO"/>
    <s v="CO1.PCCNT.7365324"/>
    <n v="26562900"/>
    <m/>
    <m/>
    <m/>
    <m/>
    <m/>
    <m/>
    <m/>
    <m/>
    <m/>
    <m/>
    <m/>
    <m/>
    <m/>
    <m/>
    <m/>
    <m/>
    <m/>
    <m/>
    <m/>
    <m/>
    <m/>
    <m/>
    <m/>
    <m/>
    <m/>
    <m/>
    <m/>
    <m/>
    <m/>
    <m/>
    <m/>
    <m/>
    <m/>
    <m/>
    <m/>
    <n v="26562900"/>
    <n v="0"/>
    <n v="0"/>
    <n v="26562900"/>
    <n v="0"/>
  </r>
  <r>
    <x v="1"/>
    <x v="5"/>
    <s v="N/A"/>
    <s v="N/A"/>
    <s v="Sí"/>
    <s v="Sí"/>
    <n v="1"/>
    <s v="161-77"/>
    <s v="N.A"/>
    <s v="N.A"/>
    <s v="N.A"/>
    <n v="80111620"/>
    <s v="A-05-01-02-008-003"/>
    <x v="0"/>
    <s v="161-77 Prestar servicios profesionales para la revisión posterior, control de la calidad de conceptos técnicos y certificaciones emitidas en el marco del procedimiento de evaluación de solicitudes para Incentivos Tributarios de proyectos de FNCE, GEE e Hi"/>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revisión posterior, control de la calidad de conceptos técnicos y certificaciones emitidas en el marco del procedimiento de evaluación de solicitudes para Incentivos Tributarios de proyectos de FNCE, GEE e Hidrógeno"/>
    <m/>
    <m/>
    <m/>
    <n v="-23400000"/>
    <m/>
    <n v="3900000"/>
    <m/>
    <n v="3900000"/>
    <m/>
    <n v="3900000"/>
    <m/>
    <n v="3900000"/>
    <m/>
    <n v="3900000"/>
    <m/>
    <n v="3900000"/>
    <m/>
    <n v="3900000"/>
    <m/>
    <n v="3900000"/>
    <m/>
    <n v="3900000"/>
    <m/>
    <n v="7800000"/>
    <m/>
    <m/>
    <n v="0"/>
    <n v="19500000"/>
    <n v="19500000"/>
    <n v="0"/>
    <m/>
    <m/>
    <m/>
    <n v="19500000"/>
    <m/>
    <m/>
    <n v="0"/>
    <n v="19500000"/>
    <n v="0"/>
    <m/>
    <m/>
    <m/>
    <m/>
    <m/>
    <m/>
    <m/>
    <m/>
    <m/>
    <m/>
    <m/>
    <m/>
    <m/>
    <m/>
    <m/>
    <m/>
    <m/>
    <m/>
    <m/>
    <m/>
    <m/>
    <m/>
    <m/>
    <m/>
    <m/>
    <m/>
    <m/>
    <m/>
    <m/>
    <m/>
    <m/>
    <m/>
    <m/>
    <m/>
    <m/>
    <m/>
    <m/>
    <m/>
    <n v="0"/>
    <n v="0"/>
    <n v="0"/>
    <n v="0"/>
    <n v="0"/>
  </r>
  <r>
    <x v="1"/>
    <x v="5"/>
    <s v="N/A"/>
    <s v="N/A"/>
    <s v="Sí"/>
    <s v="Sí"/>
    <n v="1"/>
    <s v="161-78"/>
    <s v="N.A"/>
    <s v="N.A"/>
    <s v="N.A"/>
    <n v="80111620"/>
    <s v="A-05-01-02-008-003"/>
    <x v="0"/>
    <s v="161-78 Prestar servicios profesionales para la revisión posterior, control de la calidad y unificación de conceptos técnicos y certificaciones emitidas en el marco del procedimiento de evaluación de solicitudes para Incentivos Tributarios de proyectos de "/>
    <s v="Enero "/>
    <s v="Enero "/>
    <s v="Enero "/>
    <n v="5"/>
    <s v="Meses"/>
    <s v="Contratación directa - Prestación de servicios profesionales "/>
    <s v="Propios - 20 - Ingresos corrientes"/>
    <n v="22500000"/>
    <n v="22500000"/>
    <s v="No"/>
    <s v="N/A"/>
    <s v="Johanna Castellanos"/>
    <s v="Subdirectora de Demanda"/>
    <n v="6012220601"/>
    <s v="johanna.castellanos@upme.gov.co"/>
    <m/>
    <m/>
    <m/>
    <m/>
    <m/>
    <m/>
    <m/>
    <m/>
    <m/>
    <m/>
    <m/>
    <m/>
    <m/>
    <m/>
    <m/>
    <m/>
    <m/>
    <m/>
    <m/>
    <m/>
    <m/>
    <m/>
    <m/>
    <m/>
    <m/>
    <m/>
    <m/>
    <m/>
    <s v="Prestar servicios profesionales para la revisión posterior, control de la calidad y unificación de conceptos técnicos y certificaciones emitidas en el marco del procedimiento de evaluación de solicitudes para Incentivos Tributarios de proyectos de FNCE, G"/>
    <m/>
    <m/>
    <m/>
    <n v="-27000000"/>
    <m/>
    <n v="4500000"/>
    <m/>
    <n v="4500000"/>
    <m/>
    <n v="4500000"/>
    <m/>
    <n v="4500000"/>
    <m/>
    <n v="4500000"/>
    <m/>
    <n v="4500000"/>
    <m/>
    <n v="4500000"/>
    <m/>
    <n v="4500000"/>
    <m/>
    <n v="4500000"/>
    <m/>
    <n v="9000000"/>
    <m/>
    <m/>
    <n v="0"/>
    <n v="22500000"/>
    <n v="22500000"/>
    <n v="0"/>
    <n v="23126"/>
    <d v="2026-01-13T00:00:00"/>
    <n v="30620100"/>
    <n v="-8120100"/>
    <n v="6226"/>
    <d v="2026-01-13T00:00:00"/>
    <n v="30620100"/>
    <n v="-8120100"/>
    <n v="0"/>
    <s v="ADRIAN CAMILO CORTÉS VILLADA"/>
    <m/>
    <n v="30620100"/>
    <m/>
    <m/>
    <m/>
    <m/>
    <m/>
    <m/>
    <m/>
    <m/>
    <m/>
    <m/>
    <m/>
    <m/>
    <m/>
    <m/>
    <m/>
    <m/>
    <m/>
    <m/>
    <m/>
    <m/>
    <m/>
    <m/>
    <m/>
    <m/>
    <m/>
    <m/>
    <m/>
    <m/>
    <m/>
    <m/>
    <m/>
    <m/>
    <m/>
    <m/>
    <m/>
    <n v="30620100"/>
    <n v="0"/>
    <n v="0"/>
    <n v="30620100"/>
    <n v="0"/>
  </r>
  <r>
    <x v="1"/>
    <x v="5"/>
    <s v="N/A"/>
    <s v="N/A"/>
    <s v="Sí"/>
    <s v="Sí"/>
    <n v="9"/>
    <s v="161-79"/>
    <s v="N.A"/>
    <s v="N.A"/>
    <s v="N.A"/>
    <n v="80111620"/>
    <s v="A-05-01-02-008-003"/>
    <x v="0"/>
    <s v="161-79 Prestar servicios profesionales para la revisión posterior, control de la calidad, elaboración de herramientas de seguimiento y registro y unificación de conceptos técnicos y certificaciones, emitidas en el marco del procedimiento de evaluación de "/>
    <s v="Enero "/>
    <s v="Enero "/>
    <s v="Enero "/>
    <n v="5"/>
    <s v="Meses"/>
    <s v="Contratación directa - Prestación de servicios profesionales "/>
    <s v="Propios - 20 - Ingresos corrientes"/>
    <n v="14500000"/>
    <n v="14500000"/>
    <s v="No"/>
    <s v="N/A"/>
    <s v="Johanna Castellanos"/>
    <s v="Subdirectora de Demanda"/>
    <n v="6012220601"/>
    <s v="johanna.castellanos@upme.gov.co"/>
    <m/>
    <m/>
    <m/>
    <m/>
    <m/>
    <m/>
    <m/>
    <m/>
    <m/>
    <m/>
    <m/>
    <m/>
    <m/>
    <m/>
    <m/>
    <m/>
    <m/>
    <m/>
    <m/>
    <m/>
    <m/>
    <m/>
    <m/>
    <m/>
    <m/>
    <m/>
    <m/>
    <m/>
    <s v="Prestar servicios profesionales para la revisión posterior, control de la calidad, elaboración de herramientas de seguimiento y registro y unificación de conceptos técnicos y certificaciones, emitidas en el marco del procedimiento de evaluación de solicit"/>
    <m/>
    <m/>
    <m/>
    <n v="-31200000"/>
    <m/>
    <n v="5200000"/>
    <m/>
    <n v="5200000"/>
    <m/>
    <n v="5200000"/>
    <m/>
    <n v="5200000"/>
    <m/>
    <n v="5200000"/>
    <m/>
    <n v="5200000"/>
    <m/>
    <n v="5200000"/>
    <m/>
    <n v="5200000"/>
    <m/>
    <n v="5200000"/>
    <m/>
    <n v="10400000"/>
    <m/>
    <m/>
    <n v="0"/>
    <n v="26000000"/>
    <n v="14500000"/>
    <n v="-11500000"/>
    <n v="22926"/>
    <d v="2026-01-12T00:00:00"/>
    <n v="35184450"/>
    <n v="-20684450"/>
    <n v="5526"/>
    <d v="2026-01-12T00:00:00"/>
    <n v="35184450"/>
    <n v="-20684450"/>
    <n v="0"/>
    <s v="MORALES RODRIGUEZ ANDRES STEVEN"/>
    <s v="CO1.PCCNTR.7212382"/>
    <n v="35184450"/>
    <m/>
    <m/>
    <m/>
    <m/>
    <m/>
    <m/>
    <m/>
    <m/>
    <m/>
    <m/>
    <m/>
    <m/>
    <m/>
    <m/>
    <m/>
    <m/>
    <m/>
    <m/>
    <m/>
    <m/>
    <m/>
    <m/>
    <m/>
    <m/>
    <m/>
    <m/>
    <m/>
    <m/>
    <m/>
    <m/>
    <m/>
    <m/>
    <m/>
    <m/>
    <m/>
    <n v="35184450"/>
    <n v="0"/>
    <n v="0"/>
    <n v="35184450"/>
    <n v="0"/>
  </r>
  <r>
    <x v="1"/>
    <x v="5"/>
    <s v="N/A"/>
    <s v="N/A"/>
    <s v="Sí"/>
    <s v="Sí"/>
    <n v="68"/>
    <s v="161-8"/>
    <s v="N.A"/>
    <s v="N.A"/>
    <s v="N.A"/>
    <n v="80111620"/>
    <s v="A-05-01-02-008-002"/>
    <x v="0"/>
    <s v="161-8 Prestar servicios profesionales para la gestión contractual y el apoyo administrativo a la Subdirección de Demanda, así como para el análisis jurídico y la proyección de respuestas a las PQRS y demás trámites jurídicos de la entidad."/>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gestión contractual y el apoyo administrativo a la Subdirección de Demanda, así como para el análisis jurídico y la proyección de respuestas a las PQRS y demás trámites jurídicos de la entidad."/>
    <m/>
    <m/>
    <m/>
    <n v="2000000"/>
    <m/>
    <n v="5000000"/>
    <m/>
    <n v="5000000"/>
    <m/>
    <n v="5000000"/>
    <m/>
    <n v="5000000"/>
    <m/>
    <n v="5000000"/>
    <m/>
    <n v="5000000"/>
    <m/>
    <n v="5000000"/>
    <m/>
    <n v="5000000"/>
    <m/>
    <n v="5000000"/>
    <m/>
    <n v="10000000"/>
    <m/>
    <m/>
    <n v="0"/>
    <n v="57000000"/>
    <n v="57000000"/>
    <n v="0"/>
    <n v="10926"/>
    <d v="2026-01-07T00:00:00"/>
    <n v="22998150"/>
    <n v="34001850"/>
    <n v="2426"/>
    <d v="2026-01-07T00:00:00"/>
    <n v="22998150"/>
    <n v="34001850"/>
    <n v="0"/>
    <s v="JIMENEZ RODAS ALEJANDRA"/>
    <s v="CO1.PCCNTR.7364386"/>
    <n v="22998150"/>
    <m/>
    <m/>
    <m/>
    <m/>
    <m/>
    <m/>
    <m/>
    <m/>
    <m/>
    <m/>
    <m/>
    <m/>
    <m/>
    <m/>
    <m/>
    <m/>
    <m/>
    <m/>
    <m/>
    <m/>
    <m/>
    <m/>
    <m/>
    <m/>
    <m/>
    <m/>
    <m/>
    <m/>
    <m/>
    <m/>
    <m/>
    <m/>
    <m/>
    <m/>
    <m/>
    <n v="22998150"/>
    <n v="0"/>
    <n v="0"/>
    <n v="22998150"/>
    <n v="0"/>
  </r>
  <r>
    <x v="1"/>
    <x v="5"/>
    <s v="N/A"/>
    <s v="N/A"/>
    <s v="Sí"/>
    <s v="Sí"/>
    <n v="1"/>
    <s v="161-80"/>
    <s v="N.A"/>
    <s v="N.A"/>
    <s v="N.A"/>
    <n v="80111620"/>
    <s v="A-05-01-02-008-003"/>
    <x v="0"/>
    <s v="161-80 Prestar servicios profesionales para el diseño, implementación y mejora de automatismos, herramientas de interoperabilidad y sistemas de reporte que reduzcan los tiempos y mejoren la eficiencia del procedimiento de evaluación de solicitudes para I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el diseño, implementación y mejora de automatismos, herramientas de interoperabilidad y sistemas de reporte que reduzcan los tiempos y mejoren la eficiencia del procedimiento de evaluación de solicitudes para Incentivo"/>
    <m/>
    <m/>
    <m/>
    <n v="3000000"/>
    <m/>
    <n v="6000000"/>
    <m/>
    <n v="6000000"/>
    <m/>
    <n v="6000000"/>
    <m/>
    <n v="6000000"/>
    <m/>
    <n v="6000000"/>
    <m/>
    <n v="6000000"/>
    <m/>
    <n v="6000000"/>
    <m/>
    <n v="6000000"/>
    <m/>
    <n v="6000000"/>
    <m/>
    <n v="12000000"/>
    <m/>
    <m/>
    <n v="0"/>
    <n v="69000000"/>
    <n v="69000000"/>
    <n v="0"/>
    <n v="42426"/>
    <d v="2026-01-16T00:00:00"/>
    <n v="69000000"/>
    <n v="0"/>
    <n v="28326"/>
    <d v="2026-01-28T00:00:00"/>
    <n v="66000000"/>
    <n v="3000000"/>
    <n v="3000000"/>
    <s v="DUARTE CARRASCAL JUAN DIEGO"/>
    <s v="CO1.PCCNTR.9139389"/>
    <n v="66000000"/>
    <m/>
    <m/>
    <m/>
    <m/>
    <m/>
    <m/>
    <m/>
    <m/>
    <m/>
    <m/>
    <m/>
    <m/>
    <m/>
    <m/>
    <m/>
    <m/>
    <m/>
    <m/>
    <m/>
    <m/>
    <m/>
    <m/>
    <m/>
    <m/>
    <m/>
    <m/>
    <m/>
    <m/>
    <m/>
    <m/>
    <m/>
    <m/>
    <m/>
    <m/>
    <m/>
    <n v="66000000"/>
    <n v="0"/>
    <n v="0"/>
    <n v="66000000"/>
    <n v="0"/>
  </r>
  <r>
    <x v="1"/>
    <x v="5"/>
    <s v="N/A"/>
    <s v="N/A"/>
    <s v="Sí"/>
    <s v="Sí"/>
    <n v="9"/>
    <s v="161-81"/>
    <s v="N.A"/>
    <s v="N.A"/>
    <s v="N.A"/>
    <n v="80111620"/>
    <s v="A-05-01-02-008-003"/>
    <x v="0"/>
    <s v="161-81 Prestar servicios profesionales orientados a la evaluación y análisis de la información correspondiente a los proyectos de Fuentes No Convencionales de Energía y de Gestión Eficiente de la Energía"/>
    <s v="Enero "/>
    <s v="Enero "/>
    <s v="Enero "/>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servicios profesionales orientados a la evaluación y análisis de la información correspondiente a los proyectos de Fuentes No Convencionales de Energía y de Gestión Eficiente de la Energía"/>
    <m/>
    <m/>
    <m/>
    <n v="-44400000"/>
    <m/>
    <n v="7400000"/>
    <m/>
    <n v="7400000"/>
    <m/>
    <n v="7400000"/>
    <m/>
    <n v="7400000"/>
    <m/>
    <n v="7400000"/>
    <m/>
    <n v="7400000"/>
    <m/>
    <n v="7400000"/>
    <m/>
    <n v="7400000"/>
    <m/>
    <n v="7400000"/>
    <m/>
    <n v="14800000"/>
    <m/>
    <m/>
    <n v="0"/>
    <n v="37000000"/>
    <n v="55000000"/>
    <n v="18000000"/>
    <n v="10826"/>
    <d v="2026-01-07T00:00:00"/>
    <n v="51567600"/>
    <n v="3432400"/>
    <n v="2226"/>
    <d v="2026-01-07T00:00:00"/>
    <n v="51567600"/>
    <n v="3432400"/>
    <n v="0"/>
    <s v="RUEDA VEGA MONICA MARIA"/>
    <s v="CO1.PCCNTR.7229767"/>
    <n v="51567600"/>
    <m/>
    <m/>
    <m/>
    <m/>
    <m/>
    <m/>
    <m/>
    <m/>
    <m/>
    <m/>
    <m/>
    <m/>
    <m/>
    <m/>
    <m/>
    <m/>
    <m/>
    <m/>
    <m/>
    <m/>
    <m/>
    <m/>
    <m/>
    <m/>
    <m/>
    <m/>
    <m/>
    <m/>
    <m/>
    <m/>
    <m/>
    <m/>
    <m/>
    <m/>
    <m/>
    <n v="51567600"/>
    <n v="0"/>
    <n v="0"/>
    <n v="51567600"/>
    <n v="0"/>
  </r>
  <r>
    <x v="1"/>
    <x v="5"/>
    <s v="N/A"/>
    <s v="N/A"/>
    <s v="Sí"/>
    <s v="Sí"/>
    <n v="9"/>
    <s v="161-82"/>
    <s v="N.A"/>
    <s v="N.A"/>
    <s v="N.A"/>
    <n v="80111620"/>
    <s v="A-05-01-02-008-003"/>
    <x v="0"/>
    <s v="161-82 Prestar servicios profesionales para elaborar e implementar una metodología de revisión escalonada y reporte de los conceptos técnicos y decisiones finales, que apoyen las decisiones de los Asesores Técnicos, referida a los proyectos que buscan acc"/>
    <s v="Enero "/>
    <s v="Enero "/>
    <s v="Enero "/>
    <n v="5"/>
    <s v="Meses"/>
    <s v="Contratación directa - Prestación de servicios profesionales "/>
    <s v="Propios - 20 - Ingresos corrientes"/>
    <n v="17000000"/>
    <n v="17000000"/>
    <s v="No"/>
    <s v="N/A"/>
    <s v="Johanna Castellanos"/>
    <s v="Subdirectora de Demanda"/>
    <n v="6012220601"/>
    <s v="johanna.castellanos@upme.gov.co"/>
    <m/>
    <m/>
    <m/>
    <m/>
    <m/>
    <m/>
    <m/>
    <m/>
    <m/>
    <m/>
    <m/>
    <m/>
    <m/>
    <m/>
    <m/>
    <m/>
    <m/>
    <m/>
    <m/>
    <m/>
    <m/>
    <m/>
    <m/>
    <m/>
    <m/>
    <m/>
    <m/>
    <m/>
    <s v="Prestar servicios profesionales para elaborar e implementar una metodología de revisión escalonada y reporte de los conceptos técnicos y decisiones finales, que apoyen las decisiones de los Asesores Técnicos, referida a los proyectos que buscan acceder al"/>
    <m/>
    <m/>
    <m/>
    <n v="-42000000"/>
    <m/>
    <n v="7000000"/>
    <m/>
    <n v="7000000"/>
    <m/>
    <n v="7000000"/>
    <m/>
    <n v="7000000"/>
    <m/>
    <n v="7000000"/>
    <m/>
    <n v="7000000"/>
    <m/>
    <n v="7000000"/>
    <m/>
    <n v="7000000"/>
    <m/>
    <n v="7000000"/>
    <m/>
    <n v="14000000"/>
    <m/>
    <m/>
    <n v="0"/>
    <n v="35000000"/>
    <n v="17000000"/>
    <n v="-18000000"/>
    <n v="24126"/>
    <d v="2026-01-13T00:00:00"/>
    <m/>
    <n v="17000000"/>
    <n v="7226"/>
    <d v="2026-01-13T00:00:00"/>
    <n v="0"/>
    <n v="17000000"/>
    <n v="0"/>
    <s v="ROZO CRUZ ALISON XIMENA"/>
    <s v="CO1.PCCNTR.7299167"/>
    <m/>
    <n v="46643100"/>
    <m/>
    <m/>
    <m/>
    <m/>
    <m/>
    <m/>
    <m/>
    <m/>
    <m/>
    <m/>
    <m/>
    <m/>
    <m/>
    <m/>
    <m/>
    <m/>
    <m/>
    <m/>
    <m/>
    <m/>
    <m/>
    <m/>
    <m/>
    <m/>
    <m/>
    <m/>
    <m/>
    <m/>
    <m/>
    <m/>
    <m/>
    <m/>
    <m/>
    <m/>
    <n v="0"/>
    <n v="46643100"/>
    <n v="0"/>
    <n v="-46643100"/>
    <n v="46643100"/>
  </r>
  <r>
    <x v="1"/>
    <x v="5"/>
    <s v="N/A"/>
    <s v="N/A"/>
    <s v="Sí"/>
    <s v="Sí"/>
    <n v="9"/>
    <s v="161-83"/>
    <s v="N.A"/>
    <s v="N.A"/>
    <s v="N.A"/>
    <n v="80111620"/>
    <s v="A-05-01-02-008-003"/>
    <x v="0"/>
    <s v="161-83 Prestar servicios profesionales orientados al fortalecimiento de la dimensión de control interno a través de la ejecución del Plan Anual de Auditorías, con énfasis en la Dirección y la Gestión Pública de la Entidad."/>
    <s v="Enero "/>
    <s v="Enero "/>
    <s v="Enero "/>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servicios profesionales orientados al fortalecimiento de la dimensión de control interno a través de la ejecución del Plan Anual de Auditorías, con énfasis en la Dirección y la Gestión Pública de la Entidad."/>
    <m/>
    <m/>
    <m/>
    <m/>
    <m/>
    <m/>
    <m/>
    <m/>
    <m/>
    <m/>
    <m/>
    <m/>
    <m/>
    <m/>
    <m/>
    <m/>
    <m/>
    <m/>
    <m/>
    <m/>
    <m/>
    <m/>
    <m/>
    <m/>
    <m/>
    <m/>
    <n v="0"/>
    <n v="0"/>
    <n v="55000000"/>
    <n v="55000000"/>
    <m/>
    <m/>
    <m/>
    <n v="55000000"/>
    <m/>
    <m/>
    <n v="0"/>
    <n v="55000000"/>
    <n v="0"/>
    <m/>
    <m/>
    <m/>
    <m/>
    <m/>
    <m/>
    <m/>
    <m/>
    <m/>
    <m/>
    <m/>
    <m/>
    <m/>
    <m/>
    <m/>
    <m/>
    <m/>
    <m/>
    <m/>
    <m/>
    <m/>
    <m/>
    <m/>
    <m/>
    <m/>
    <m/>
    <m/>
    <m/>
    <m/>
    <m/>
    <m/>
    <m/>
    <m/>
    <m/>
    <m/>
    <m/>
    <m/>
    <m/>
    <n v="0"/>
    <n v="0"/>
    <n v="0"/>
    <n v="0"/>
    <n v="0"/>
  </r>
  <r>
    <x v="1"/>
    <x v="5"/>
    <s v="N/A"/>
    <s v="N/A"/>
    <s v="Sí"/>
    <s v="Sí"/>
    <n v="1"/>
    <s v="161-84"/>
    <s v="N.A"/>
    <s v="N.A"/>
    <s v="N.A"/>
    <n v="80111620"/>
    <s v="A-05-01-02-008-003"/>
    <x v="0"/>
    <s v="161-84 Prestar servicios profesionales para elaborar e implementar una metodología de revisión escalonada y reporte de los conceptos técnicos y decisiones finales, que apoyen las decisiones de los Asesores Técnicos respecto de los proyectos que buscan acc"/>
    <s v="Enero "/>
    <s v="Enero "/>
    <s v="Enero "/>
    <n v="11.5"/>
    <s v="Meses"/>
    <s v="Contratación directa - Prestación de servicios profesionales "/>
    <s v="Propios - 20 - Ingresos corrientes"/>
    <n v="100050000"/>
    <n v="100050000"/>
    <s v="No"/>
    <s v="N/A"/>
    <s v="Johanna Castellanos"/>
    <s v="Subdirectora de Demanda"/>
    <n v="6012220601"/>
    <s v="johanna.castellanos@upme.gov.co"/>
    <m/>
    <m/>
    <m/>
    <m/>
    <m/>
    <m/>
    <m/>
    <m/>
    <m/>
    <m/>
    <m/>
    <m/>
    <m/>
    <m/>
    <m/>
    <m/>
    <m/>
    <m/>
    <m/>
    <m/>
    <m/>
    <m/>
    <m/>
    <m/>
    <m/>
    <m/>
    <m/>
    <m/>
    <s v="Prestar servicios profesionales para elaborar e implementar una metodología de revisión escalonada y reporte de los conceptos técnicos y decisiones finales, que apoyen las decisiones de los Asesores Técnicos respecto de los proyectos que buscan acceder al"/>
    <m/>
    <m/>
    <m/>
    <n v="4350000"/>
    <m/>
    <n v="8700000"/>
    <m/>
    <n v="8700000"/>
    <m/>
    <n v="8700000"/>
    <m/>
    <n v="8700000"/>
    <m/>
    <n v="8700000"/>
    <m/>
    <n v="8700000"/>
    <m/>
    <n v="8700000"/>
    <m/>
    <n v="8700000"/>
    <m/>
    <n v="8700000"/>
    <m/>
    <n v="17400000"/>
    <m/>
    <m/>
    <n v="0"/>
    <n v="100050000"/>
    <n v="100050000"/>
    <n v="0"/>
    <n v="44526"/>
    <d v="2026-01-17T00:00:00"/>
    <n v="100050000"/>
    <n v="0"/>
    <n v="39726"/>
    <d v="2026-02-03T00:00:00"/>
    <n v="95700000"/>
    <n v="4350000"/>
    <n v="4350000"/>
    <s v="IBARGUEN VALVERDE JENNY LORENA"/>
    <s v="CO1.PCCNTR.9194721"/>
    <m/>
    <m/>
    <m/>
    <n v="95700000"/>
    <m/>
    <m/>
    <m/>
    <m/>
    <m/>
    <m/>
    <m/>
    <m/>
    <m/>
    <m/>
    <m/>
    <m/>
    <m/>
    <m/>
    <m/>
    <m/>
    <m/>
    <m/>
    <m/>
    <m/>
    <m/>
    <m/>
    <m/>
    <m/>
    <m/>
    <m/>
    <m/>
    <m/>
    <m/>
    <m/>
    <m/>
    <m/>
    <n v="95700000"/>
    <n v="0"/>
    <n v="0"/>
    <n v="95700000"/>
    <n v="0"/>
  </r>
  <r>
    <x v="1"/>
    <x v="5"/>
    <s v="N/A"/>
    <s v="N/A"/>
    <s v="Sí"/>
    <s v="Sí"/>
    <n v="9"/>
    <s v="161-85"/>
    <s v="N.A"/>
    <s v="N.A"/>
    <s v="N.A"/>
    <n v="80111620"/>
    <s v="A-05-01-02-008-003"/>
    <x v="0"/>
    <s v="161-85 Prestar servicios profesionales para diseñar, modelar y divulgar los planes, programas y proyectos prioritarios de la Subdirección de Demanda, relacionados con el Plan Energético Nacional, así como apoyar la elaboración de documentos de planeación "/>
    <s v="Enero "/>
    <s v="Enero "/>
    <s v="Enero "/>
    <n v="11.5"/>
    <s v="Meses"/>
    <s v="Contratación directa - Prestación de servicios profesionales "/>
    <s v="Propios - 20 - Ingresos corrientes"/>
    <n v="38000000"/>
    <n v="38000000"/>
    <s v="No"/>
    <s v="N/A"/>
    <s v="Johanna Castellanos"/>
    <s v="Subdirectora de Demanda"/>
    <n v="6012220601"/>
    <s v="johanna.castellanos@upme.gov.co"/>
    <m/>
    <m/>
    <m/>
    <m/>
    <m/>
    <m/>
    <m/>
    <m/>
    <m/>
    <m/>
    <m/>
    <m/>
    <m/>
    <m/>
    <m/>
    <m/>
    <m/>
    <m/>
    <m/>
    <m/>
    <m/>
    <m/>
    <m/>
    <m/>
    <m/>
    <m/>
    <m/>
    <m/>
    <s v="Prestar servicios profesionales para diseñar, modelar y divulgar los planes, programas y proyectos prioritarios de la Subdirección de Demanda, relacionados con el Plan Energético Nacional, así como apoyar la elaboración de documentos de planeación de la S"/>
    <m/>
    <m/>
    <m/>
    <n v="2500000"/>
    <m/>
    <n v="5000000"/>
    <m/>
    <n v="5000000"/>
    <m/>
    <n v="5000000"/>
    <m/>
    <n v="5000000"/>
    <m/>
    <n v="5000000"/>
    <m/>
    <n v="5000000"/>
    <m/>
    <n v="5000000"/>
    <m/>
    <n v="5000000"/>
    <m/>
    <n v="5000000"/>
    <m/>
    <n v="10000000"/>
    <m/>
    <m/>
    <n v="0"/>
    <n v="57500000"/>
    <n v="38000000"/>
    <n v="-19500000"/>
    <m/>
    <m/>
    <m/>
    <n v="38000000"/>
    <m/>
    <m/>
    <n v="0"/>
    <n v="38000000"/>
    <n v="0"/>
    <m/>
    <m/>
    <m/>
    <m/>
    <m/>
    <m/>
    <m/>
    <m/>
    <m/>
    <m/>
    <m/>
    <m/>
    <m/>
    <m/>
    <m/>
    <m/>
    <m/>
    <m/>
    <m/>
    <m/>
    <m/>
    <m/>
    <m/>
    <m/>
    <m/>
    <m/>
    <m/>
    <m/>
    <m/>
    <m/>
    <m/>
    <m/>
    <m/>
    <m/>
    <m/>
    <m/>
    <m/>
    <m/>
    <n v="0"/>
    <n v="0"/>
    <n v="0"/>
    <n v="0"/>
    <n v="0"/>
  </r>
  <r>
    <x v="1"/>
    <x v="5"/>
    <s v="N/A"/>
    <s v="N/A"/>
    <s v="Sí"/>
    <s v="Sí"/>
    <n v="20"/>
    <s v="161-86"/>
    <s v="N.A"/>
    <s v="N.A"/>
    <s v="N.A"/>
    <n v="80111620"/>
    <s v="A-05-01-02-008-003"/>
    <x v="0"/>
    <s v="161-86 Prestar servicios profesionales orientados a los procesos de planeación minero energética mediante el  análisis de la información sectorial para la toma de decisiones estratégicas"/>
    <s v="Enero "/>
    <s v="Enero "/>
    <s v="Enero "/>
    <n v="11.5"/>
    <s v="Meses"/>
    <s v="Contratación directa - Prestación de servicios profesionales "/>
    <s v="Propios - 20 - Ingresos corrientes"/>
    <n v="23000000"/>
    <n v="23000000"/>
    <s v="No"/>
    <s v="N/A"/>
    <s v="Johanna Castellanos"/>
    <s v="Subdirectora de Demanda"/>
    <n v="6012220601"/>
    <s v="johanna.castellanos@upme.gov.co"/>
    <m/>
    <m/>
    <m/>
    <m/>
    <m/>
    <m/>
    <m/>
    <m/>
    <m/>
    <m/>
    <m/>
    <m/>
    <m/>
    <m/>
    <m/>
    <m/>
    <m/>
    <m/>
    <m/>
    <m/>
    <m/>
    <m/>
    <m/>
    <m/>
    <m/>
    <m/>
    <m/>
    <m/>
    <s v="Prestar servicios profesionales orientados a los procesos de planeación minero energética mediante el  análisis de la información sectorial para la toma de decisiones estratégicas"/>
    <m/>
    <m/>
    <m/>
    <n v="2500000"/>
    <m/>
    <n v="5000000"/>
    <m/>
    <n v="5000000"/>
    <m/>
    <n v="5000000"/>
    <m/>
    <n v="5000000"/>
    <m/>
    <n v="5000000"/>
    <m/>
    <n v="5000000"/>
    <m/>
    <n v="5000000"/>
    <m/>
    <n v="5000000"/>
    <m/>
    <n v="5000000"/>
    <m/>
    <n v="10000000"/>
    <m/>
    <m/>
    <n v="0"/>
    <n v="57500000"/>
    <n v="23000000"/>
    <n v="-34500000"/>
    <n v="67126"/>
    <d v="2026-01-29T00:00:00"/>
    <n v="77000000"/>
    <n v="-54000000"/>
    <m/>
    <m/>
    <n v="0"/>
    <n v="23000000"/>
    <n v="77000000"/>
    <m/>
    <m/>
    <m/>
    <m/>
    <m/>
    <m/>
    <m/>
    <m/>
    <m/>
    <m/>
    <m/>
    <m/>
    <m/>
    <m/>
    <m/>
    <m/>
    <m/>
    <m/>
    <m/>
    <m/>
    <m/>
    <m/>
    <m/>
    <m/>
    <m/>
    <m/>
    <m/>
    <m/>
    <m/>
    <m/>
    <m/>
    <m/>
    <m/>
    <m/>
    <m/>
    <m/>
    <m/>
    <m/>
    <n v="0"/>
    <n v="0"/>
    <n v="0"/>
    <n v="0"/>
    <n v="0"/>
  </r>
  <r>
    <x v="1"/>
    <x v="5"/>
    <s v="N/A"/>
    <s v="N/A"/>
    <s v="Sí"/>
    <s v="Sí"/>
    <n v="1"/>
    <s v="161-87"/>
    <s v="N.A"/>
    <s v="N.A"/>
    <s v="N.A"/>
    <n v="80111620"/>
    <s v="A-05-01-02-008-002"/>
    <x v="0"/>
    <s v="161-87 Prestar servicios profesionales para apoyar el análisis técnico y la evaluación de la información asociada a los proyectos de Fuentes No Convencionales de Energía y de Gestión Eficiente de la Energía, mediante la revisión y validación de datos para"/>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apoyar el análisis técnico y la evaluación de la información asociada a los proyectos de Fuentes No Convencionales de Energía y de Gestión Eficiente de la Energía, mediante la revisión y validación de datos para la tom"/>
    <m/>
    <m/>
    <m/>
    <n v="2500000"/>
    <m/>
    <n v="5000000"/>
    <m/>
    <n v="5000000"/>
    <m/>
    <n v="5000000"/>
    <m/>
    <n v="5000000"/>
    <m/>
    <n v="5000000"/>
    <m/>
    <n v="5000000"/>
    <m/>
    <n v="5000000"/>
    <m/>
    <n v="5000000"/>
    <m/>
    <n v="5000000"/>
    <m/>
    <n v="10000000"/>
    <m/>
    <m/>
    <n v="0"/>
    <n v="57500000"/>
    <n v="57500000"/>
    <n v="0"/>
    <n v="17426"/>
    <d v="2026-01-10T00:00:00"/>
    <n v="56500000"/>
    <n v="1000000"/>
    <n v="14626"/>
    <d v="2026-01-21T00:00:00"/>
    <n v="56500000"/>
    <n v="1000000"/>
    <n v="0"/>
    <s v="QUEVEDO JIMENEZ JUAN FELIPE"/>
    <s v="CO1.PCCNTR.8931584"/>
    <n v="56500000"/>
    <m/>
    <m/>
    <m/>
    <m/>
    <m/>
    <m/>
    <m/>
    <m/>
    <m/>
    <m/>
    <m/>
    <m/>
    <m/>
    <m/>
    <m/>
    <m/>
    <m/>
    <m/>
    <m/>
    <m/>
    <m/>
    <m/>
    <m/>
    <m/>
    <m/>
    <m/>
    <m/>
    <m/>
    <m/>
    <m/>
    <m/>
    <m/>
    <m/>
    <m/>
    <m/>
    <n v="56500000"/>
    <n v="0"/>
    <n v="0"/>
    <n v="56500000"/>
    <n v="0"/>
  </r>
  <r>
    <x v="1"/>
    <x v="5"/>
    <s v="N/A"/>
    <s v="N/A"/>
    <s v="Sí"/>
    <s v="Sí"/>
    <n v="1"/>
    <s v="161-88"/>
    <s v="N.A"/>
    <s v="N.A"/>
    <s v="N.A"/>
    <n v="80111620"/>
    <s v="A-05-01-02-008-003"/>
    <x v="0"/>
    <s v="161-88 Prestar servicios profesionales de apoyo técnico, jurídico y regulatorio a la Subdirección de Demanda, mediante el análisis de información y la evaluación de impactos normativos, con el fin de contribuir a la formulación de planes y a la toma de de"/>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de apoyo técnico, jurídico y regulatorio a la Subdirección de Demanda, mediante el análisis de información y la evaluación de impactos normativos, con el fin de contribuir a la formulación de planes y a la toma de decisione"/>
    <m/>
    <m/>
    <m/>
    <n v="2000000"/>
    <m/>
    <n v="5000000"/>
    <m/>
    <n v="5000000"/>
    <m/>
    <n v="5000000"/>
    <m/>
    <n v="5000000"/>
    <m/>
    <n v="5000000"/>
    <m/>
    <n v="5000000"/>
    <m/>
    <n v="5000000"/>
    <m/>
    <n v="5000000"/>
    <m/>
    <n v="5000000"/>
    <m/>
    <n v="10000000"/>
    <m/>
    <m/>
    <n v="0"/>
    <n v="57000000"/>
    <n v="57000000"/>
    <n v="0"/>
    <n v="19926"/>
    <d v="2026-01-11T00:00:00"/>
    <n v="57000000"/>
    <n v="0"/>
    <n v="11726"/>
    <d v="2026-01-19T00:00:00"/>
    <n v="57000000"/>
    <n v="0"/>
    <n v="0"/>
    <s v="RIVAS ARBOLEDA LUCERO"/>
    <s v="CO1.PCCNTR.8892472"/>
    <n v="57000000"/>
    <m/>
    <m/>
    <m/>
    <m/>
    <m/>
    <m/>
    <m/>
    <m/>
    <m/>
    <m/>
    <m/>
    <m/>
    <m/>
    <m/>
    <m/>
    <m/>
    <m/>
    <m/>
    <m/>
    <m/>
    <m/>
    <m/>
    <m/>
    <m/>
    <m/>
    <m/>
    <m/>
    <m/>
    <m/>
    <m/>
    <m/>
    <m/>
    <m/>
    <m/>
    <m/>
    <n v="57000000"/>
    <n v="0"/>
    <n v="0"/>
    <n v="57000000"/>
    <n v="0"/>
  </r>
  <r>
    <x v="1"/>
    <x v="5"/>
    <s v="N/A"/>
    <s v="N/A"/>
    <s v="Sí"/>
    <s v="Sí"/>
    <n v="68"/>
    <s v="161-89"/>
    <s v="N.A"/>
    <s v="N.A"/>
    <s v="N.A"/>
    <n v="80111620"/>
    <s v="A-05-01-02-008-002"/>
    <x v="0"/>
    <s v="161-89 Prestar servicios de apoyo a la gestión en las labores administrativas relacionadas con los procesos y procedimientos a cargo de la Oficina Asesora Jurídica, para el logro de los objetivos institucionales de la UPME."/>
    <s v="Enero "/>
    <s v="Enero "/>
    <s v="Enero "/>
    <n v="11.5"/>
    <s v="Meses"/>
    <s v="Contratación directa - Prestación de servicios profesionales "/>
    <s v="Propios - 20 - Ingresos corrientes"/>
    <n v="40250000"/>
    <n v="40250000"/>
    <s v="No"/>
    <s v="N/A"/>
    <s v="Johanna Castellanos"/>
    <s v="Subdirectora de Demanda"/>
    <n v="6012220601"/>
    <s v="johanna.castellanos@upme.gov.co"/>
    <m/>
    <m/>
    <m/>
    <m/>
    <m/>
    <m/>
    <m/>
    <m/>
    <m/>
    <m/>
    <m/>
    <m/>
    <m/>
    <m/>
    <m/>
    <m/>
    <m/>
    <m/>
    <m/>
    <m/>
    <m/>
    <m/>
    <m/>
    <m/>
    <m/>
    <m/>
    <m/>
    <m/>
    <s v="Prestar servicios de apoyo a la gestión en las labores administrativas relacionadas con los procesos y procedimientos a cargo de la Oficina Asesora Jurídica, para el logro de los objetivos institucionales de la UPME."/>
    <m/>
    <m/>
    <m/>
    <n v="1750000"/>
    <m/>
    <n v="3500000"/>
    <m/>
    <n v="3500000"/>
    <m/>
    <n v="3500000"/>
    <m/>
    <n v="3500000"/>
    <m/>
    <n v="3500000"/>
    <m/>
    <n v="3500000"/>
    <m/>
    <n v="3500000"/>
    <m/>
    <n v="3500000"/>
    <m/>
    <n v="3500000"/>
    <m/>
    <n v="7000000"/>
    <m/>
    <m/>
    <n v="0"/>
    <n v="40250000"/>
    <n v="40250000"/>
    <n v="0"/>
    <m/>
    <m/>
    <m/>
    <n v="40250000"/>
    <m/>
    <m/>
    <n v="0"/>
    <n v="40250000"/>
    <n v="0"/>
    <m/>
    <m/>
    <m/>
    <m/>
    <m/>
    <m/>
    <m/>
    <m/>
    <m/>
    <m/>
    <m/>
    <m/>
    <m/>
    <m/>
    <m/>
    <m/>
    <m/>
    <m/>
    <m/>
    <m/>
    <m/>
    <m/>
    <m/>
    <m/>
    <m/>
    <m/>
    <m/>
    <m/>
    <m/>
    <m/>
    <m/>
    <m/>
    <m/>
    <m/>
    <m/>
    <m/>
    <m/>
    <m/>
    <n v="0"/>
    <n v="0"/>
    <n v="0"/>
    <n v="0"/>
    <n v="0"/>
  </r>
  <r>
    <x v="1"/>
    <x v="5"/>
    <s v="N/A"/>
    <s v="N/A"/>
    <s v="Sí"/>
    <s v="Sí"/>
    <n v="68"/>
    <s v="161-9"/>
    <s v="N.A"/>
    <s v="N.A"/>
    <s v="N.A"/>
    <n v="80111620"/>
    <s v="A-05-01-02-008-003"/>
    <x v="0"/>
    <s v="161-9 Prestar servicios profesionales para el análisis de información y documentos de los procesos de la Subdirección de Demanda y los asociados a la planeación energética de largo plazo e incentivos tributarios."/>
    <s v="Enero "/>
    <s v="Enero "/>
    <s v="Enero "/>
    <n v="11.5"/>
    <s v="Meses"/>
    <s v="Contratación directa - Prestación de servicios profesionales "/>
    <s v="Propios - 20 - Ingresos corrientes"/>
    <n v="72450000"/>
    <n v="72450000"/>
    <s v="No"/>
    <s v="N/A"/>
    <s v="Johanna Castellanos"/>
    <s v="Subdirectora de Demanda"/>
    <n v="6012220601"/>
    <s v="johanna.castellanos@upme.gov.co"/>
    <m/>
    <m/>
    <m/>
    <m/>
    <m/>
    <m/>
    <m/>
    <m/>
    <m/>
    <m/>
    <m/>
    <m/>
    <m/>
    <m/>
    <m/>
    <m/>
    <m/>
    <m/>
    <m/>
    <m/>
    <m/>
    <m/>
    <m/>
    <m/>
    <m/>
    <m/>
    <m/>
    <m/>
    <s v="Prestar servicios profesionales para el análisis de información y documentos de los procesos de la Subdirección de Demanda y los asociados a la planeación energética de largo plazo e incentivos tributarios."/>
    <m/>
    <m/>
    <m/>
    <n v="3150000"/>
    <m/>
    <n v="6300000"/>
    <m/>
    <n v="6300000"/>
    <m/>
    <n v="6300000"/>
    <m/>
    <n v="6300000"/>
    <m/>
    <n v="6300000"/>
    <m/>
    <n v="6300000"/>
    <m/>
    <n v="6300000"/>
    <m/>
    <n v="6300000"/>
    <m/>
    <n v="6300000"/>
    <m/>
    <n v="12600000"/>
    <m/>
    <m/>
    <n v="0"/>
    <n v="72450000"/>
    <n v="72450000"/>
    <n v="0"/>
    <n v="52926"/>
    <d v="2026-01-21T00:00:00"/>
    <n v="70560000"/>
    <n v="1890000"/>
    <n v="52926"/>
    <d v="2026-02-10T00:00:00"/>
    <n v="69300000"/>
    <n v="3150000"/>
    <n v="1260000"/>
    <s v="MONTAÑEZ GUILLEN CINDY JULIETH"/>
    <s v="CO1.PCCNTR.9293474"/>
    <m/>
    <m/>
    <m/>
    <n v="69300000"/>
    <m/>
    <m/>
    <m/>
    <m/>
    <m/>
    <m/>
    <m/>
    <m/>
    <m/>
    <m/>
    <m/>
    <m/>
    <m/>
    <m/>
    <m/>
    <m/>
    <m/>
    <m/>
    <m/>
    <m/>
    <m/>
    <m/>
    <m/>
    <m/>
    <m/>
    <m/>
    <m/>
    <m/>
    <m/>
    <m/>
    <m/>
    <m/>
    <n v="69300000"/>
    <n v="0"/>
    <n v="0"/>
    <n v="69300000"/>
    <n v="0"/>
  </r>
  <r>
    <x v="1"/>
    <x v="5"/>
    <s v="N/A"/>
    <s v="N/A"/>
    <s v="Sí"/>
    <s v="Sí"/>
    <n v="68"/>
    <s v="161-90"/>
    <s v="N.A"/>
    <s v="N.A"/>
    <s v="N.A"/>
    <n v="80111620"/>
    <s v="A-05-01-02-008-002"/>
    <x v="0"/>
    <s v="161-90 Prestar servicios profesionales de asesoria en los asuntos juridicos de compentencia de la Oficina Asesora Juridica de la UPME y lo que de ello se derive, en el marco de la gestión institucional de la Entidad."/>
    <s v="Enero "/>
    <s v="Enero "/>
    <s v="Enero "/>
    <n v="11.5"/>
    <s v="Meses"/>
    <s v="Contratación directa - Prestación de servicios profesionales "/>
    <s v="Propios - 20 - Ingresos corrientes"/>
    <n v="126500000"/>
    <n v="126500000"/>
    <s v="No"/>
    <s v="N/A"/>
    <s v="Johanna Castellanos"/>
    <s v="Subdirectora de Demanda"/>
    <n v="6012220601"/>
    <s v="johanna.castellanos@upme.gov.co"/>
    <m/>
    <m/>
    <m/>
    <m/>
    <m/>
    <m/>
    <m/>
    <m/>
    <m/>
    <m/>
    <m/>
    <m/>
    <m/>
    <m/>
    <m/>
    <m/>
    <m/>
    <m/>
    <m/>
    <m/>
    <m/>
    <m/>
    <m/>
    <m/>
    <m/>
    <m/>
    <m/>
    <m/>
    <s v="Prestar servicios profesionales de asesoria en los asuntos juridicos de compentencia de la Oficina Asesora Juridica de la UPME y lo que de ello se derive, en el marco de la gestión institucional de la Entidad."/>
    <m/>
    <m/>
    <m/>
    <n v="5500000"/>
    <m/>
    <n v="11000000"/>
    <m/>
    <n v="11000000"/>
    <m/>
    <n v="11000000"/>
    <m/>
    <n v="11000000"/>
    <m/>
    <n v="11000000"/>
    <m/>
    <n v="11000000"/>
    <m/>
    <n v="11000000"/>
    <m/>
    <n v="11000000"/>
    <m/>
    <n v="11000000"/>
    <m/>
    <n v="22000000"/>
    <m/>
    <m/>
    <n v="0"/>
    <n v="126500000"/>
    <n v="126500000"/>
    <n v="0"/>
    <n v="11526"/>
    <d v="2026-01-08T00:00:00"/>
    <n v="126500000"/>
    <n v="0"/>
    <m/>
    <m/>
    <n v="0"/>
    <n v="126500000"/>
    <n v="126500000"/>
    <m/>
    <m/>
    <m/>
    <m/>
    <m/>
    <m/>
    <m/>
    <m/>
    <m/>
    <m/>
    <m/>
    <m/>
    <m/>
    <m/>
    <m/>
    <m/>
    <m/>
    <m/>
    <m/>
    <m/>
    <m/>
    <m/>
    <m/>
    <m/>
    <m/>
    <m/>
    <m/>
    <m/>
    <m/>
    <m/>
    <m/>
    <m/>
    <m/>
    <m/>
    <m/>
    <m/>
    <m/>
    <m/>
    <n v="0"/>
    <n v="0"/>
    <n v="0"/>
    <n v="0"/>
    <n v="0"/>
  </r>
  <r>
    <x v="1"/>
    <x v="5"/>
    <s v="N/A"/>
    <s v="N/A"/>
    <s v="Sí"/>
    <s v="Sí"/>
    <n v="68"/>
    <s v="161-91"/>
    <s v="N.A"/>
    <s v="N.A"/>
    <s v="N.A"/>
    <n v="80111620"/>
    <s v="A-05-01-02-008-002"/>
    <x v="0"/>
    <s v="161-91 Prestar servicios profesionales en asuntos juridicos relacionados con los procesos y procedimientos de competencia de la Oficina Asesora Juridica de la UPME, en el marco de la gestión institucional de la Entidad."/>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 asuntos juridicos relacionados con los procesos y procedimientos de competencia de la Oficina Asesora Juridica de la UPME, en el marco de la gestión institucional de la Entidad."/>
    <m/>
    <m/>
    <m/>
    <n v="2500000"/>
    <m/>
    <n v="5000000"/>
    <m/>
    <n v="5000000"/>
    <m/>
    <n v="5000000"/>
    <m/>
    <n v="5000000"/>
    <m/>
    <n v="5000000"/>
    <m/>
    <n v="5000000"/>
    <m/>
    <n v="5000000"/>
    <m/>
    <n v="5000000"/>
    <m/>
    <n v="5000000"/>
    <m/>
    <n v="10000000"/>
    <m/>
    <m/>
    <n v="0"/>
    <n v="57500000"/>
    <n v="57500000"/>
    <n v="0"/>
    <n v="13226"/>
    <d v="2026-01-08T00:00:00"/>
    <n v="57500000"/>
    <n v="0"/>
    <m/>
    <m/>
    <n v="0"/>
    <n v="57500000"/>
    <n v="57500000"/>
    <m/>
    <m/>
    <m/>
    <m/>
    <m/>
    <m/>
    <m/>
    <m/>
    <m/>
    <m/>
    <m/>
    <m/>
    <m/>
    <m/>
    <m/>
    <m/>
    <m/>
    <m/>
    <m/>
    <m/>
    <m/>
    <m/>
    <m/>
    <m/>
    <m/>
    <m/>
    <m/>
    <m/>
    <m/>
    <m/>
    <m/>
    <m/>
    <m/>
    <m/>
    <m/>
    <m/>
    <m/>
    <m/>
    <n v="0"/>
    <n v="0"/>
    <n v="0"/>
    <n v="0"/>
    <n v="0"/>
  </r>
  <r>
    <x v="1"/>
    <x v="5"/>
    <s v="N/A"/>
    <s v="N/A"/>
    <s v="Sí"/>
    <s v="Sí"/>
    <n v="68"/>
    <s v="161-92"/>
    <s v="N.A"/>
    <s v="N.A"/>
    <s v="N.A"/>
    <n v="80111620"/>
    <s v="A-05-01-02-008-002"/>
    <x v="0"/>
    <s v="161-92 Prestar servicios profesionales para la proyección de documentos de contenido legal y appoyo de los asuntos de tipo jurídico que resulten de las actividades administrativas de competencia de la UPME, en el marco de la gestión institucional de la En"/>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para la proyección de documentos de contenido legal y appoyo de los asuntos de tipo jurídico que resulten de las actividades administrativas de competencia de la UPME, en el marco de la gestión institucional de la Entidad"/>
    <m/>
    <m/>
    <m/>
    <n v="3600000"/>
    <m/>
    <n v="7200000"/>
    <m/>
    <n v="7200000"/>
    <m/>
    <n v="7200000"/>
    <m/>
    <n v="7200000"/>
    <m/>
    <n v="7200000"/>
    <m/>
    <n v="7200000"/>
    <m/>
    <n v="7200000"/>
    <m/>
    <n v="7200000"/>
    <m/>
    <n v="7200000"/>
    <m/>
    <n v="14400000"/>
    <m/>
    <m/>
    <n v="0"/>
    <n v="82800000"/>
    <n v="82800000"/>
    <n v="0"/>
    <n v="53126"/>
    <d v="2026-01-21T00:00:00"/>
    <n v="82800000"/>
    <n v="0"/>
    <m/>
    <m/>
    <n v="0"/>
    <n v="82800000"/>
    <n v="82800000"/>
    <m/>
    <m/>
    <m/>
    <m/>
    <m/>
    <m/>
    <m/>
    <m/>
    <m/>
    <m/>
    <m/>
    <m/>
    <m/>
    <m/>
    <m/>
    <m/>
    <m/>
    <m/>
    <m/>
    <m/>
    <m/>
    <m/>
    <m/>
    <m/>
    <m/>
    <m/>
    <m/>
    <m/>
    <m/>
    <m/>
    <m/>
    <m/>
    <m/>
    <m/>
    <m/>
    <m/>
    <m/>
    <m/>
    <n v="0"/>
    <n v="0"/>
    <n v="0"/>
    <n v="0"/>
    <n v="0"/>
  </r>
  <r>
    <x v="1"/>
    <x v="5"/>
    <s v="N/A"/>
    <s v="N/A"/>
    <s v="Sí"/>
    <s v="Sí"/>
    <n v="68"/>
    <s v="161-93"/>
    <s v="N.A"/>
    <s v="N.A"/>
    <s v="N.A"/>
    <n v="80111620"/>
    <s v="A-05-01-02-008-002"/>
    <x v="0"/>
    <s v="161-93 Prestar servicios profesionales para la proyección de documentos de contenido legal y apoyo de los asuntos de tipo juridico y judicial de competencia de la Oficina Asesora Jurídica de la UPME, en el marco de la gestión institucional de la Entidad"/>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para la proyección de documentos de contenido legal y apoyo de los asuntos de tipo juridico y judicial de competencia de la Oficina Asesora Jurídica de la UPME, en el marco de la gestión institucional de la Entidad"/>
    <m/>
    <m/>
    <m/>
    <n v="3600000"/>
    <m/>
    <n v="7200000"/>
    <m/>
    <n v="7200000"/>
    <m/>
    <n v="7200000"/>
    <m/>
    <n v="7200000"/>
    <m/>
    <n v="7200000"/>
    <m/>
    <n v="7200000"/>
    <m/>
    <n v="7200000"/>
    <m/>
    <n v="7200000"/>
    <m/>
    <n v="7200000"/>
    <m/>
    <n v="14400000"/>
    <m/>
    <m/>
    <n v="0"/>
    <n v="82800000"/>
    <n v="82800000"/>
    <n v="0"/>
    <n v="11726"/>
    <d v="2026-01-08T00:00:00"/>
    <n v="82800000"/>
    <n v="0"/>
    <m/>
    <m/>
    <n v="0"/>
    <n v="82800000"/>
    <n v="82800000"/>
    <m/>
    <m/>
    <m/>
    <m/>
    <m/>
    <m/>
    <m/>
    <m/>
    <m/>
    <m/>
    <m/>
    <m/>
    <m/>
    <m/>
    <m/>
    <m/>
    <m/>
    <m/>
    <m/>
    <m/>
    <m/>
    <m/>
    <m/>
    <m/>
    <m/>
    <m/>
    <m/>
    <m/>
    <m/>
    <m/>
    <m/>
    <m/>
    <m/>
    <m/>
    <m/>
    <m/>
    <m/>
    <m/>
    <n v="0"/>
    <n v="0"/>
    <n v="0"/>
    <n v="0"/>
    <n v="0"/>
  </r>
  <r>
    <x v="1"/>
    <x v="5"/>
    <s v="N/A"/>
    <s v="N/A"/>
    <s v="Sí"/>
    <s v="Sí"/>
    <n v="68"/>
    <s v="161-94"/>
    <s v="N.A"/>
    <s v="N.A"/>
    <s v="N.A"/>
    <n v="80111620"/>
    <s v="A-05-01-02-008-002"/>
    <x v="0"/>
    <s v="161-94 Prestar servicios ​profesionales en asuntos jurídicos relacionados con las actuaciones administrativas y misionales de la UPME, en el marco de la gestión institucional de la Entidad."/>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en asuntos jurídicos relacionados con las actuaciones administrativas y misionales de la UPME, en el marco de la gestión institucional de la Entidad."/>
    <m/>
    <m/>
    <m/>
    <n v="3600000"/>
    <m/>
    <n v="7200000"/>
    <m/>
    <n v="7200000"/>
    <m/>
    <n v="7200000"/>
    <m/>
    <n v="7200000"/>
    <m/>
    <n v="7200000"/>
    <m/>
    <n v="7200000"/>
    <m/>
    <n v="7200000"/>
    <m/>
    <n v="7200000"/>
    <m/>
    <n v="7200000"/>
    <m/>
    <n v="14400000"/>
    <m/>
    <m/>
    <n v="0"/>
    <n v="82800000"/>
    <n v="82800000"/>
    <n v="0"/>
    <n v="13126"/>
    <d v="2026-01-08T00:00:00"/>
    <n v="82800000"/>
    <n v="0"/>
    <m/>
    <m/>
    <n v="0"/>
    <n v="82800000"/>
    <n v="82800000"/>
    <m/>
    <m/>
    <m/>
    <m/>
    <m/>
    <m/>
    <m/>
    <m/>
    <m/>
    <m/>
    <m/>
    <m/>
    <m/>
    <m/>
    <m/>
    <m/>
    <m/>
    <m/>
    <m/>
    <m/>
    <m/>
    <m/>
    <m/>
    <m/>
    <m/>
    <m/>
    <m/>
    <m/>
    <m/>
    <m/>
    <m/>
    <m/>
    <m/>
    <m/>
    <m/>
    <m/>
    <m/>
    <m/>
    <n v="0"/>
    <n v="0"/>
    <n v="0"/>
    <n v="0"/>
    <n v="0"/>
  </r>
  <r>
    <x v="1"/>
    <x v="5"/>
    <s v="N/A"/>
    <s v="N/A"/>
    <s v="Sí"/>
    <s v="Sí"/>
    <n v="68"/>
    <s v="161-95"/>
    <s v="N.A"/>
    <s v="N.A"/>
    <s v="N.A"/>
    <n v="80111620"/>
    <s v="A-05-01-02-008-002"/>
    <x v="0"/>
    <s v="161-95 Prestar servicios profesionales para la elaboración y proyección de documentos de carácter legal, así como para brindar apoyo en los asuntos jurídicos derivados de las actuaciones administrativas misionales de competencia de la UPME, en el marco de"/>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elaboración y proyección de documentos de carácter legal, así como para brindar apoyo en los asuntos jurídicos derivados de las actuaciones administrativas misionales de competencia de la UPME, en el marco de la ges"/>
    <m/>
    <m/>
    <m/>
    <n v="2000000"/>
    <m/>
    <n v="5000000"/>
    <m/>
    <n v="5000000"/>
    <m/>
    <n v="5000000"/>
    <m/>
    <n v="5000000"/>
    <m/>
    <n v="5000000"/>
    <m/>
    <n v="5000000"/>
    <m/>
    <n v="5000000"/>
    <m/>
    <n v="5000000"/>
    <m/>
    <n v="5000000"/>
    <m/>
    <n v="10000000"/>
    <m/>
    <m/>
    <n v="0"/>
    <n v="57000000"/>
    <n v="57000000"/>
    <n v="0"/>
    <n v="14226"/>
    <d v="2026-01-09T00:00:00"/>
    <n v="57000000"/>
    <n v="0"/>
    <n v="11426"/>
    <d v="2026-01-17T00:00:00"/>
    <n v="37720000"/>
    <n v="19280000"/>
    <n v="19280000"/>
    <s v="MONROY ORTEGON MARIA ALEJANDRA"/>
    <s v="CO1.PCCNTR.8870053"/>
    <n v="37720000"/>
    <m/>
    <m/>
    <m/>
    <m/>
    <m/>
    <m/>
    <m/>
    <m/>
    <m/>
    <m/>
    <m/>
    <m/>
    <m/>
    <m/>
    <m/>
    <m/>
    <m/>
    <m/>
    <m/>
    <m/>
    <m/>
    <m/>
    <m/>
    <m/>
    <m/>
    <m/>
    <m/>
    <m/>
    <m/>
    <m/>
    <m/>
    <m/>
    <m/>
    <m/>
    <m/>
    <n v="37720000"/>
    <n v="0"/>
    <n v="0"/>
    <n v="37720000"/>
    <n v="0"/>
  </r>
  <r>
    <x v="1"/>
    <x v="5"/>
    <s v="N/A"/>
    <s v="N/A"/>
    <s v="Sí"/>
    <s v="Sí"/>
    <n v="68"/>
    <s v="161-96"/>
    <s v="N.A"/>
    <s v="N.A"/>
    <s v="N.A"/>
    <n v="80111620"/>
    <s v="A-05-01-02-008-002"/>
    <x v="0"/>
    <s v="161-96 Prestar servicios profesionales en derecho  para apoyar la gestión jurídica de la UPME, mediante la asesoría y acompañamiento en la sustanciación de procesos, la elaboración y revisión de conceptos jurídicos, la revisión de actos administrativos y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en derecho  para apoyar la gestión jurídica de la UPME, mediante la asesoría y acompañamiento en la sustanciación de procesos, la elaboración y revisión de conceptos jurídicos, la revisión de actos administrativos y la emis"/>
    <m/>
    <m/>
    <m/>
    <n v="2000000"/>
    <m/>
    <n v="5000000"/>
    <m/>
    <n v="5000000"/>
    <m/>
    <n v="5000000"/>
    <m/>
    <n v="5000000"/>
    <m/>
    <n v="5000000"/>
    <m/>
    <n v="5000000"/>
    <m/>
    <n v="5000000"/>
    <m/>
    <n v="5000000"/>
    <m/>
    <n v="5000000"/>
    <m/>
    <n v="10000000"/>
    <m/>
    <m/>
    <n v="0"/>
    <n v="57000000"/>
    <n v="57000000"/>
    <n v="0"/>
    <n v="12426"/>
    <d v="2026-01-08T00:00:00"/>
    <n v="57000000"/>
    <n v="0"/>
    <n v="36626"/>
    <d v="2026-01-30T00:00:00"/>
    <n v="55000000"/>
    <n v="2000000"/>
    <n v="2000000"/>
    <s v="MEJIA ROMERO SILVIA LILIANA"/>
    <s v="CO1.PCCNTR.9144154"/>
    <n v="55000000"/>
    <m/>
    <m/>
    <m/>
    <m/>
    <m/>
    <m/>
    <m/>
    <m/>
    <m/>
    <m/>
    <m/>
    <m/>
    <m/>
    <m/>
    <m/>
    <m/>
    <m/>
    <m/>
    <m/>
    <m/>
    <m/>
    <m/>
    <m/>
    <m/>
    <m/>
    <m/>
    <m/>
    <m/>
    <m/>
    <m/>
    <m/>
    <m/>
    <m/>
    <m/>
    <m/>
    <n v="55000000"/>
    <n v="0"/>
    <n v="0"/>
    <n v="55000000"/>
    <n v="0"/>
  </r>
  <r>
    <x v="1"/>
    <x v="5"/>
    <s v="N/A"/>
    <s v="N/A"/>
    <s v="Sí"/>
    <s v="Sí"/>
    <n v="1"/>
    <s v="161-97"/>
    <s v="N.A"/>
    <s v="N.A"/>
    <s v="N.A"/>
    <n v="80111620"/>
    <s v="A-05-01-02-008-002"/>
    <x v="0"/>
    <s v="161-97 Prestar servicios profesionales para el análisis jurídico y la elaboración de respuestas a las PQRS y demás trámites de carácter jurídico, así como brindar apoyo técnico-jurídico en el componente territorial y de planeación territorial para la form"/>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elaboración de respuestas a las PQRS y demás trámites de carácter jurídico, así como brindar apoyo técnico-jurídico en el componente territorial y de planeación territorial para la formulación"/>
    <m/>
    <m/>
    <m/>
    <n v="2500000"/>
    <m/>
    <n v="5000000"/>
    <m/>
    <n v="5000000"/>
    <m/>
    <n v="5000000"/>
    <m/>
    <n v="5000000"/>
    <m/>
    <n v="5000000"/>
    <m/>
    <n v="5000000"/>
    <m/>
    <n v="5000000"/>
    <m/>
    <n v="5000000"/>
    <m/>
    <n v="5000000"/>
    <m/>
    <n v="10000000"/>
    <m/>
    <m/>
    <n v="0"/>
    <n v="57500000"/>
    <n v="57500000"/>
    <n v="0"/>
    <n v="12226"/>
    <d v="2026-01-08T00:00:00"/>
    <n v="56666667"/>
    <n v="833333"/>
    <n v="12926"/>
    <d v="2026-01-20T00:00:00"/>
    <n v="56666667"/>
    <n v="833333"/>
    <n v="0"/>
    <s v="LUCUMIS SERNA SEBASTIAN"/>
    <s v="CO1.PCCNTR.8911878"/>
    <n v="56666667"/>
    <m/>
    <m/>
    <m/>
    <m/>
    <m/>
    <m/>
    <m/>
    <m/>
    <m/>
    <m/>
    <m/>
    <m/>
    <m/>
    <m/>
    <m/>
    <m/>
    <m/>
    <m/>
    <m/>
    <m/>
    <m/>
    <m/>
    <m/>
    <m/>
    <m/>
    <m/>
    <m/>
    <m/>
    <m/>
    <m/>
    <m/>
    <m/>
    <m/>
    <m/>
    <m/>
    <n v="56666667"/>
    <n v="0"/>
    <n v="0"/>
    <n v="56666667"/>
    <n v="0"/>
  </r>
  <r>
    <x v="1"/>
    <x v="5"/>
    <s v="N/A"/>
    <s v="N/A"/>
    <s v="Sí"/>
    <s v="Sí"/>
    <n v="68"/>
    <s v="161-98"/>
    <s v="N.A"/>
    <s v="N.A"/>
    <s v="N.A"/>
    <n v="80111620"/>
    <s v="A-05-01-02-008-003"/>
    <x v="0"/>
    <s v="161-98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7581654"/>
    <n v="7581654"/>
    <s v="No"/>
    <s v="N/A"/>
    <s v="Johanna Castellanos"/>
    <s v="Subdirectora de Demanda"/>
    <n v="6012220601"/>
    <s v="johanna.castellanos@upme.gov.co"/>
    <m/>
    <m/>
    <m/>
    <m/>
    <m/>
    <m/>
    <m/>
    <m/>
    <m/>
    <m/>
    <m/>
    <m/>
    <m/>
    <m/>
    <m/>
    <m/>
    <m/>
    <m/>
    <m/>
    <m/>
    <m/>
    <m/>
    <m/>
    <m/>
    <m/>
    <m/>
    <m/>
    <m/>
    <s v="Prestar servicios profesionales orientados al fortalecimiento de la Dimensión de Control Interno mediante la ejecución del Plan Anual de Auditorías Internas Independientes, con énfasis en la evaluación de la gestión administrativa de la UPME"/>
    <m/>
    <m/>
    <m/>
    <m/>
    <m/>
    <m/>
    <m/>
    <m/>
    <m/>
    <m/>
    <m/>
    <m/>
    <m/>
    <m/>
    <m/>
    <m/>
    <m/>
    <m/>
    <m/>
    <m/>
    <m/>
    <m/>
    <m/>
    <m/>
    <m/>
    <m/>
    <n v="0"/>
    <n v="0"/>
    <n v="7581654"/>
    <n v="7581654"/>
    <n v="63426"/>
    <d v="2026-01-23T00:00:00"/>
    <n v="7581654"/>
    <n v="0"/>
    <m/>
    <m/>
    <n v="0"/>
    <n v="7581654"/>
    <n v="7581654"/>
    <m/>
    <m/>
    <m/>
    <m/>
    <m/>
    <m/>
    <m/>
    <m/>
    <m/>
    <m/>
    <m/>
    <m/>
    <m/>
    <m/>
    <m/>
    <m/>
    <m/>
    <m/>
    <m/>
    <m/>
    <m/>
    <m/>
    <m/>
    <m/>
    <m/>
    <m/>
    <m/>
    <m/>
    <m/>
    <m/>
    <m/>
    <m/>
    <m/>
    <m/>
    <m/>
    <m/>
    <m/>
    <m/>
    <n v="0"/>
    <n v="0"/>
    <n v="0"/>
    <n v="0"/>
    <n v="0"/>
  </r>
  <r>
    <x v="1"/>
    <x v="5"/>
    <s v="N/A"/>
    <s v="N/A"/>
    <s v="Sí"/>
    <s v="Sí"/>
    <n v="68"/>
    <s v="161-99"/>
    <s v="N.A"/>
    <s v="N.A"/>
    <s v="N.A"/>
    <n v="80111620"/>
    <s v="A-05-01-02-008-003"/>
    <x v="0"/>
    <s v="161-99 Prestar servicios profesionales orientados al fortalecimiento de la Política Institucional de Control Interno  a través de la ejecución del Plan Anual de Auditorías Internas Independientes, con énfasis en la evaluación  de la gestión financiera de "/>
    <s v="Enero "/>
    <s v="Enero "/>
    <s v="Enero "/>
    <n v="11.5"/>
    <s v="Meses"/>
    <s v="Contratación directa - Prestación de servicios profesionales "/>
    <s v="Propios - 20 - Ingresos corrientes"/>
    <n v="7581654"/>
    <n v="7581654"/>
    <s v="No"/>
    <s v="N/A"/>
    <s v="Johanna Castellanos"/>
    <s v="Subdirectora de Demanda"/>
    <n v="6012220601"/>
    <s v="johanna.castellanos@upme.gov.co"/>
    <m/>
    <m/>
    <m/>
    <m/>
    <m/>
    <m/>
    <m/>
    <m/>
    <m/>
    <m/>
    <m/>
    <m/>
    <m/>
    <m/>
    <m/>
    <m/>
    <m/>
    <m/>
    <m/>
    <m/>
    <m/>
    <m/>
    <m/>
    <m/>
    <m/>
    <m/>
    <m/>
    <m/>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7581654"/>
    <m/>
    <m/>
    <m/>
    <m/>
    <m/>
    <m/>
    <n v="2000000"/>
    <m/>
    <n v="2000000"/>
    <m/>
    <n v="3581654"/>
    <m/>
    <m/>
    <n v="7581654"/>
    <n v="7581654"/>
    <n v="0"/>
    <n v="0"/>
    <m/>
    <m/>
    <m/>
    <n v="7581654"/>
    <m/>
    <m/>
    <n v="0"/>
    <n v="7581654"/>
    <n v="0"/>
    <m/>
    <m/>
    <m/>
    <m/>
    <m/>
    <m/>
    <m/>
    <m/>
    <m/>
    <m/>
    <m/>
    <m/>
    <m/>
    <m/>
    <m/>
    <m/>
    <m/>
    <m/>
    <m/>
    <m/>
    <m/>
    <m/>
    <m/>
    <m/>
    <m/>
    <m/>
    <m/>
    <m/>
    <m/>
    <m/>
    <m/>
    <m/>
    <m/>
    <m/>
    <m/>
    <m/>
    <m/>
    <m/>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C000000}" name="Hiperconv. TD Saldos OPS" cacheId="22" applyNumberFormats="0" applyBorderFormats="0" applyFontFormats="0" applyPatternFormats="0" applyAlignmentFormats="0" applyWidthHeightFormats="0" dataCaption="" updatedVersion="8" compact="0" compactData="0">
  <location ref="A4:B15" firstHeaderRow="1" firstDataRow="1" firstDataCol="1" rowPageCount="2" colPageCount="1"/>
  <pivotFields count="141">
    <pivotField name="Tipo de PAA" axis="axisPage" compact="0" numFmtId="49" outline="0" multipleItemSelectionAllowed="1" showAll="0">
      <items count="3">
        <item x="0"/>
        <item h="1" x="1"/>
        <item t="default"/>
      </items>
    </pivotField>
    <pivotField name="Dependencia" axis="axisRow" compact="0" outline="0" multipleItemSelectionAllowed="1" showAll="0" sortType="ascending">
      <items count="11">
        <item x="0"/>
        <item x="1"/>
        <item x="2"/>
        <item x="3"/>
        <item x="4"/>
        <item x="5"/>
        <item x="6"/>
        <item x="7"/>
        <item x="8"/>
        <item x="9"/>
        <item t="default"/>
      </items>
    </pivotField>
    <pivotField name="Nombre Proyecto (Largo)" compact="0" outline="0" multipleItemSelectionAllowed="1" showAll="0"/>
    <pivotField name="Nombre Proyecto (Corto)" compact="0" outline="0" multipleItemSelectionAllowed="1" showAll="0"/>
    <pivotField name="¿Se publica en SECOP?" compact="0" numFmtId="49" outline="0" multipleItemSelectionAllowed="1" showAll="0"/>
    <pivotField name="Presentado y aprobado en comité de contratación" compact="0" numFmtId="49" outline="0" multipleItemSelectionAllowed="1" showAll="0"/>
    <pivotField name="Número de comité de contratación" compact="0" outline="0" multipleItemSelectionAllowed="1" showAll="0"/>
    <pivotField name="Ítem" compact="0" numFmtId="49" outline="0" multipleItemSelectionAllowed="1" showAll="0"/>
    <pivotField name="Objetivo Específico del Proyecto de Inversión" compact="0" outline="0" multipleItemSelectionAllowed="1" showAll="0"/>
    <pivotField name="Producto del Proyecto de Inversión" compact="0" outline="0" multipleItemSelectionAllowed="1" showAll="0"/>
    <pivotField name="Actividad / Entregable del Proyecto de Inversión" compact="0" outline="0" multipleItemSelectionAllowed="1" showAll="0"/>
    <pivotField name="Códigos UNSPSC" compact="0" outline="0" multipleItemSelectionAllowed="1" showAll="0"/>
    <pivotField name="Rubro presupuestal" compact="0" outline="0" multipleItemSelectionAllowed="1" showAll="0"/>
    <pivotField name="Tipología de la adquisición" axis="axisPage" compact="0" outline="0" multipleItemSelectionAllowed="1" showAll="0">
      <items count="16">
        <item x="0"/>
        <item h="1" x="1"/>
        <item h="1" x="2"/>
        <item h="1" x="3"/>
        <item h="1" x="4"/>
        <item h="1" x="5"/>
        <item h="1" x="6"/>
        <item h="1" x="7"/>
        <item h="1" x="8"/>
        <item h="1" x="9"/>
        <item h="1" x="10"/>
        <item h="1" x="11"/>
        <item h="1" x="12"/>
        <item h="1" x="13"/>
        <item h="1" x="14"/>
        <item t="default"/>
      </items>
    </pivotField>
    <pivotField name="Descripción u objeto contractual" compact="0" outline="0" multipleItemSelectionAllowed="1" showAll="0"/>
    <pivotField name="Mes estimado de inicio de proceso de selección" compact="0" outline="0" multipleItemSelectionAllowed="1" showAll="0"/>
    <pivotField name="Mes estimado de presentación de ofertas" compact="0" outline="0" multipleItemSelectionAllowed="1" showAll="0"/>
    <pivotField name="Mes de registro del contrato" compact="0" outline="0" multipleItemSelectionAllowed="1" showAll="0"/>
    <pivotField name="Duración estimada del contrato" compact="0" outline="0" multipleItemSelectionAllowed="1" showAll="0"/>
    <pivotField name="Unidad de tiempo" compact="0" outline="0" multipleItemSelectionAllowed="1" showAll="0"/>
    <pivotField name="Modalidad de selección " compact="0" outline="0" multipleItemSelectionAllowed="1" showAll="0"/>
    <pivotField name="Fuente de los recursos" compact="0" outline="0" multipleItemSelectionAllowed="1" showAll="0"/>
    <pivotField name="Valor total estimado" compact="0" numFmtId="3" outline="0" multipleItemSelectionAllowed="1" showAll="0"/>
    <pivotField name="Valor estimado en la vigencia actual" compact="0" numFmtId="3" outline="0" multipleItemSelectionAllowed="1" showAll="0"/>
    <pivotField name="¿Se requieren vigencias futuras?" compact="0" outline="0" multipleItemSelectionAllowed="1" showAll="0"/>
    <pivotField name="Estado de solicitud de vigencias futuras" compact="0" outline="0" multipleItemSelectionAllowed="1" showAll="0"/>
    <pivotField name="Nombre del responsable" compact="0" outline="0" multipleItemSelectionAllowed="1" showAll="0"/>
    <pivotField name="Cargo del responsable " compact="0" outline="0" multipleItemSelectionAllowed="1" showAll="0"/>
    <pivotField name="Teléfono del responsable " compact="0" outline="0" multipleItemSelectionAllowed="1" showAll="0"/>
    <pivotField name="Correo electrónico del responsable" compact="0" outline="0" multipleItemSelectionAllowed="1" showAll="0"/>
    <pivotField name="AG Compromisos_enero" compact="0" numFmtId="3" outline="0" multipleItemSelectionAllowed="1" showAll="0"/>
    <pivotField name="AG Obligaciones_enero" compact="0" numFmtId="3" outline="0" multipleItemSelectionAllowed="1" showAll="0"/>
    <pivotField name="AG Compromisos_febrero" compact="0" numFmtId="3" outline="0" multipleItemSelectionAllowed="1" showAll="0"/>
    <pivotField name="AG Obligaciones_febrero" compact="0" numFmtId="3" outline="0" multipleItemSelectionAllowed="1" showAll="0"/>
    <pivotField name="AG Compromisos_marzo" compact="0" numFmtId="3" outline="0" multipleItemSelectionAllowed="1" showAll="0"/>
    <pivotField name="AG Obligaciones_marzo" compact="0" numFmtId="3" outline="0" multipleItemSelectionAllowed="1" showAll="0"/>
    <pivotField name="AG Compromisos_abril" compact="0" numFmtId="3" outline="0" multipleItemSelectionAllowed="1" showAll="0"/>
    <pivotField name="AG Obligaciones_abril" compact="0" numFmtId="3" outline="0" multipleItemSelectionAllowed="1" showAll="0"/>
    <pivotField name="AG Compromisos_mayo" compact="0" numFmtId="3" outline="0" multipleItemSelectionAllowed="1" showAll="0"/>
    <pivotField name="AG Obligaciones_mayo" compact="0" numFmtId="3" outline="0" multipleItemSelectionAllowed="1" showAll="0"/>
    <pivotField name="AG Compromisos_junio" compact="0" numFmtId="3" outline="0" multipleItemSelectionAllowed="1" showAll="0"/>
    <pivotField name="AG Obligaciones_junio" compact="0" numFmtId="3" outline="0" multipleItemSelectionAllowed="1" showAll="0"/>
    <pivotField name="AG Compromisos_julio" compact="0" numFmtId="3" outline="0" multipleItemSelectionAllowed="1" showAll="0"/>
    <pivotField name="AG Obligaciones_julio" compact="0" numFmtId="3" outline="0" multipleItemSelectionAllowed="1" showAll="0"/>
    <pivotField name="AG Compromisos_agosto" compact="0" numFmtId="3" outline="0" multipleItemSelectionAllowed="1" showAll="0"/>
    <pivotField name="AG Obligaciones_agosto" compact="0" numFmtId="3" outline="0" multipleItemSelectionAllowed="1" showAll="0"/>
    <pivotField name="AG Compromisos_septiembre" compact="0" numFmtId="3" outline="0" multipleItemSelectionAllowed="1" showAll="0"/>
    <pivotField name="AG Obligaciones_septiembre" compact="0" numFmtId="3" outline="0" multipleItemSelectionAllowed="1" showAll="0"/>
    <pivotField name="AG Compromisos_octubre" compact="0" numFmtId="3" outline="0" multipleItemSelectionAllowed="1" showAll="0"/>
    <pivotField name="AG Obligaciones_octubre" compact="0" numFmtId="3" outline="0" multipleItemSelectionAllowed="1" showAll="0"/>
    <pivotField name="AG Compromisos_noviembre" compact="0" numFmtId="3" outline="0" multipleItemSelectionAllowed="1" showAll="0"/>
    <pivotField name="AG Obligaciones_noviembre" compact="0" numFmtId="3" outline="0" multipleItemSelectionAllowed="1" showAll="0"/>
    <pivotField name="AG Compromisos_diciembre" compact="0" numFmtId="3" outline="0" multipleItemSelectionAllowed="1" showAll="0"/>
    <pivotField name="AG Obligaciones_diciembre" compact="0" numFmtId="3" outline="0" multipleItemSelectionAllowed="1" showAll="0"/>
    <pivotField name="AG Suma de compromisos" compact="0" numFmtId="3" outline="0" multipleItemSelectionAllowed="1" showAll="0"/>
    <pivotField name="AG Suma de obligaciones" compact="0" numFmtId="3" outline="0" multipleItemSelectionAllowed="1" showAll="0"/>
    <pivotField name="AG Diferencias compromisos" compact="0" numFmtId="3" outline="0" multipleItemSelectionAllowed="1" showAll="0"/>
    <pivotField name="AG Diferencias obligaciones" compact="0" numFmtId="3" outline="0" multipleItemSelectionAllowed="1" showAll="0"/>
    <pivotField name="Objeto sin ítem" compact="0" outline="0" multipleItemSelectionAllowed="1" showAll="0"/>
    <pivotField name="Compromisos_enero" compact="0" numFmtId="4" outline="0" multipleItemSelectionAllowed="1" showAll="0"/>
    <pivotField name="Obligaciones_enero" compact="0" outline="0" multipleItemSelectionAllowed="1" showAll="0"/>
    <pivotField name="Compromisos_febrero" compact="0" outline="0" multipleItemSelectionAllowed="1" showAll="0"/>
    <pivotField name="Obligaciones_febrero" compact="0" numFmtId="4" outline="0" multipleItemSelectionAllowed="1" showAll="0"/>
    <pivotField name="Compromisos_marzo" compact="0" outline="0" multipleItemSelectionAllowed="1" showAll="0"/>
    <pivotField name="Obligaciones_marzo" compact="0" numFmtId="4" outline="0" multipleItemSelectionAllowed="1" showAll="0"/>
    <pivotField name="Compromisos_abril" compact="0" outline="0" multipleItemSelectionAllowed="1" showAll="0"/>
    <pivotField name="Obligaciones_abril" compact="0" numFmtId="4" outline="0" multipleItemSelectionAllowed="1" showAll="0"/>
    <pivotField name="Compromisos_mayo" compact="0" outline="0" multipleItemSelectionAllowed="1" showAll="0"/>
    <pivotField name="Obligaciones_mayo" compact="0" numFmtId="4" outline="0" multipleItemSelectionAllowed="1" showAll="0"/>
    <pivotField name="Compromisos_junio" compact="0" outline="0" multipleItemSelectionAllowed="1" showAll="0"/>
    <pivotField name="Obligaciones_junio" compact="0" numFmtId="4" outline="0" multipleItemSelectionAllowed="1" showAll="0"/>
    <pivotField name="Compromisos_julio" compact="0" outline="0" multipleItemSelectionAllowed="1" showAll="0"/>
    <pivotField name="Obligaciones_julio" compact="0" numFmtId="4" outline="0" multipleItemSelectionAllowed="1" showAll="0"/>
    <pivotField name="Compromisos_agosto" compact="0" outline="0" multipleItemSelectionAllowed="1" showAll="0"/>
    <pivotField name="Obligaciones_agosto" compact="0" numFmtId="4" outline="0" multipleItemSelectionAllowed="1" showAll="0"/>
    <pivotField name="Compromisos_septiembre" compact="0" outline="0" multipleItemSelectionAllowed="1" showAll="0"/>
    <pivotField name="Obligaciones_septiembre" compact="0" numFmtId="4" outline="0" multipleItemSelectionAllowed="1" showAll="0"/>
    <pivotField name="Compromisos_octubre" compact="0" outline="0" multipleItemSelectionAllowed="1" showAll="0"/>
    <pivotField name="Obligaciones_octubre" compact="0" numFmtId="4" outline="0" multipleItemSelectionAllowed="1" showAll="0"/>
    <pivotField name="Compromisos_noviembre" compact="0" outline="0" multipleItemSelectionAllowed="1" showAll="0"/>
    <pivotField name="Obligaciones_noviembre" compact="0" numFmtId="4" outline="0" multipleItemSelectionAllowed="1" showAll="0"/>
    <pivotField name="Compromisos_diciembre" compact="0" outline="0" multipleItemSelectionAllowed="1" showAll="0"/>
    <pivotField name="Obligaciones_diciembre" compact="0" numFmtId="4" outline="0" multipleItemSelectionAllowed="1" showAll="0"/>
    <pivotField name="Compromisos por definir" compact="0" outline="0" multipleItemSelectionAllowed="1" showAll="0"/>
    <pivotField name="Obligaciones por definir" compact="0" outline="0" multipleItemSelectionAllowed="1" showAll="0"/>
    <pivotField name="Suma de compromisos" compact="0" outline="0" multipleItemSelectionAllowed="1" showAll="0"/>
    <pivotField name="Suma de obligaciones" compact="0" outline="0" multipleItemSelectionAllowed="1" showAll="0"/>
    <pivotField name="Diferencias compromisos" compact="0" outline="0" multipleItemSelectionAllowed="1" showAll="0"/>
    <pivotField name="Diferencias obligaciones" compact="0" outline="0" multipleItemSelectionAllowed="1" showAll="0"/>
    <pivotField name="Número de CDP" compact="0" outline="0" multipleItemSelectionAllowed="1" showAll="0"/>
    <pivotField name="Fecha de Expedición del CDP" compact="0" numFmtId="166" outline="0" multipleItemSelectionAllowed="1" showAll="0"/>
    <pivotField name="Valor del CDP" compact="0" numFmtId="3" outline="0" multipleItemSelectionAllowed="1" showAll="0"/>
    <pivotField name="Saldo del ítem (Valor estimado en la vigencia actual - Valor del CDP)" compact="0" numFmtId="3" outline="0" multipleItemSelectionAllowed="1" showAll="0"/>
    <pivotField name="Número de RP" compact="0" outline="0" multipleItemSelectionAllowed="1" showAll="0"/>
    <pivotField name="Fecha de Expedición del RP" compact="0" outline="0" multipleItemSelectionAllowed="1" showAll="0"/>
    <pivotField name="Valor del RP" compact="0" numFmtId="3" outline="0" multipleItemSelectionAllowed="1" showAll="0"/>
    <pivotField name="Recursos sin comprometer (Valor estimado del Item - Valor RP)" compact="0" outline="0" multipleItemSelectionAllowed="1" showAll="0"/>
    <pivotField name="CDP - RP" dataField="1" compact="0" numFmtId="3" outline="0" multipleItemSelectionAllowed="1" showAll="0"/>
    <pivotField name="Nombre del Contratista" compact="0" outline="0" multipleItemSelectionAllowed="1" showAll="0"/>
    <pivotField name="Número del contrato" compact="0" outline="0" multipleItemSelectionAllowed="1" showAll="0"/>
    <pivotField name="Compromiso ejecutado enero" compact="0" numFmtId="3" outline="0" multipleItemSelectionAllowed="1" showAll="0"/>
    <pivotField name="Obligación ejecutada enero" compact="0" outline="0" multipleItemSelectionAllowed="1" showAll="0"/>
    <pivotField name="Pago ejecutado enero" compact="0" outline="0" multipleItemSelectionAllowed="1" showAll="0"/>
    <pivotField name="Compromiso ejecutado febrero" compact="0" outline="0" multipleItemSelectionAllowed="1" showAll="0"/>
    <pivotField name="Obligación ejecutada febrero" compact="0" outline="0" multipleItemSelectionAllowed="1" showAll="0"/>
    <pivotField name="Pago ejecutado febrero" compact="0" outline="0" multipleItemSelectionAllowed="1" showAll="0"/>
    <pivotField name="Compromiso ejecutado marzo" compact="0" outline="0" multipleItemSelectionAllowed="1" showAll="0"/>
    <pivotField name="Obligación ejecutada marzo" compact="0" numFmtId="3" outline="0" multipleItemSelectionAllowed="1" showAll="0"/>
    <pivotField name="Pago ejecutado marzo" compact="0" numFmtId="3" outline="0" multipleItemSelectionAllowed="1" showAll="0"/>
    <pivotField name="Compromiso ejecutado abril" compact="0" outline="0" multipleItemSelectionAllowed="1" showAll="0"/>
    <pivotField name="Obligación ejecutada abril" compact="0" numFmtId="3" outline="0" multipleItemSelectionAllowed="1" showAll="0"/>
    <pivotField name="Pago ejecutado abril" compact="0" numFmtId="3" outline="0" multipleItemSelectionAllowed="1" showAll="0"/>
    <pivotField name="Compromiso ejecutado mayo" compact="0" outline="0" multipleItemSelectionAllowed="1" showAll="0"/>
    <pivotField name="Obligación ejecutada mayo" compact="0" outline="0" multipleItemSelectionAllowed="1" showAll="0"/>
    <pivotField name="Pago ejecutado mayo" compact="0" outline="0" multipleItemSelectionAllowed="1" showAll="0"/>
    <pivotField name="Compromiso ejecutado junio" compact="0" outline="0" multipleItemSelectionAllowed="1" showAll="0"/>
    <pivotField name="Obligación ejecutada junio" compact="0" outline="0" multipleItemSelectionAllowed="1" showAll="0"/>
    <pivotField name="Pago ejecutado junio" compact="0" outline="0" multipleItemSelectionAllowed="1" showAll="0"/>
    <pivotField name="Compromiso ejecutado julio" compact="0" outline="0" multipleItemSelectionAllowed="1" showAll="0"/>
    <pivotField name="Obligación ejecutada julio" compact="0" outline="0" multipleItemSelectionAllowed="1" showAll="0"/>
    <pivotField name="Pago ejecutado julio" compact="0" outline="0" multipleItemSelectionAllowed="1" showAll="0"/>
    <pivotField name="Compromiso ejecutado agosto" compact="0" outline="0" multipleItemSelectionAllowed="1" showAll="0"/>
    <pivotField name="Obligación ejecutada agosto" compact="0" outline="0" multipleItemSelectionAllowed="1" showAll="0"/>
    <pivotField name="Pago ejecutado agosto" compact="0" outline="0" multipleItemSelectionAllowed="1" showAll="0"/>
    <pivotField name="Compromiso ejecutado septiembre" compact="0" outline="0" multipleItemSelectionAllowed="1" showAll="0"/>
    <pivotField name="Obligación ejecutada septiembre" compact="0" outline="0" multipleItemSelectionAllowed="1" showAll="0"/>
    <pivotField name="Pago ejecutado septiembre" compact="0" outline="0" multipleItemSelectionAllowed="1" showAll="0"/>
    <pivotField name="Compromiso ejecutado octubre" compact="0" outline="0" multipleItemSelectionAllowed="1" showAll="0"/>
    <pivotField name="Obligación ejecutada octubre" compact="0" outline="0" multipleItemSelectionAllowed="1" showAll="0"/>
    <pivotField name="Pago ejecutado octubre" compact="0" outline="0" multipleItemSelectionAllowed="1" showAll="0"/>
    <pivotField name="Compromiso ejecutado noviembre" compact="0" outline="0" multipleItemSelectionAllowed="1" showAll="0"/>
    <pivotField name="Obligación ejecutada noviembre" compact="0" outline="0" multipleItemSelectionAllowed="1" showAll="0"/>
    <pivotField name="Pago ejecutado noviembre" compact="0" outline="0" multipleItemSelectionAllowed="1" showAll="0"/>
    <pivotField name="Compromiso ejecutado diciembre" compact="0" outline="0" multipleItemSelectionAllowed="1" showAll="0"/>
    <pivotField name="Obligación ejecutada diciembre" compact="0" outline="0" multipleItemSelectionAllowed="1" showAll="0"/>
    <pivotField name="Pago ejecutado diciembre" compact="0" outline="0" multipleItemSelectionAllowed="1" showAll="0"/>
    <pivotField name="Total Compromiso ejecutado" compact="0" numFmtId="3" outline="0" multipleItemSelectionAllowed="1" showAll="0"/>
    <pivotField name="Total Obligación ejecutada" compact="0" numFmtId="3" outline="0" multipleItemSelectionAllowed="1" showAll="0"/>
    <pivotField name="Total pago ejecutado" compact="0" numFmtId="3" outline="0" multipleItemSelectionAllowed="1" showAll="0"/>
    <pivotField name="Diferencia Total Compromiso ejecutado - Total Obligación ejecutada" compact="0" numFmtId="3" outline="0" multipleItemSelectionAllowed="1" showAll="0"/>
    <pivotField name="diferencia total compromiso ejecutado - total obligación ejecutada2" compact="0" numFmtId="3" outline="0" multipleItemSelectionAllowed="1" showAll="0"/>
  </pivotFields>
  <rowFields count="1">
    <field x="1"/>
  </rowFields>
  <rowItems count="11">
    <i>
      <x/>
    </i>
    <i>
      <x v="1"/>
    </i>
    <i>
      <x v="2"/>
    </i>
    <i>
      <x v="3"/>
    </i>
    <i>
      <x v="4"/>
    </i>
    <i>
      <x v="5"/>
    </i>
    <i>
      <x v="6"/>
    </i>
    <i>
      <x v="7"/>
    </i>
    <i>
      <x v="8"/>
    </i>
    <i>
      <x v="9"/>
    </i>
    <i t="grand">
      <x/>
    </i>
  </rowItems>
  <colItems count="1">
    <i/>
  </colItems>
  <pageFields count="2">
    <pageField fld="0" hier="0"/>
    <pageField fld="13" hier="0"/>
  </pageFields>
  <dataFields count="1">
    <dataField name="SUM of CDP - RP" fld="97"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B000000}" name="Hiperconv. TD Saldos OPS 2" cacheId="16" applyNumberFormats="0" applyBorderFormats="0" applyFontFormats="0" applyPatternFormats="0" applyAlignmentFormats="0" applyWidthHeightFormats="0" dataCaption="" updatedVersion="8" compact="0" compactData="0">
  <location ref="A16:B23" firstHeaderRow="1" firstDataRow="1" firstDataCol="1" rowPageCount="2" colPageCount="1"/>
  <pivotFields count="142">
    <pivotField name="Tipo de PAA" axis="axisPage" compact="0" numFmtId="49" outline="0" multipleItemSelectionAllowed="1" showAll="0">
      <items count="4">
        <item x="0"/>
        <item h="1" x="1"/>
        <item h="1" x="2"/>
        <item t="default"/>
      </items>
    </pivotField>
    <pivotField name="Dependencia" axis="axisRow" compact="0" outline="0" multipleItemSelectionAllowed="1" showAll="0" sortType="ascending">
      <items count="12">
        <item x="0"/>
        <item x="1"/>
        <item x="2"/>
        <item x="3"/>
        <item x="4"/>
        <item x="5"/>
        <item x="6"/>
        <item x="7"/>
        <item x="8"/>
        <item x="9"/>
        <item x="10"/>
        <item t="default"/>
      </items>
    </pivotField>
    <pivotField name="Nombre Proyecto (Largo)" compact="0" outline="0" multipleItemSelectionAllowed="1" showAll="0"/>
    <pivotField name="Nombre Proyecto (Corto)" compact="0" outline="0" multipleItemSelectionAllowed="1" showAll="0"/>
    <pivotField name="¿Se publica en SECOP?" compact="0" numFmtId="49" outline="0" multipleItemSelectionAllowed="1" showAll="0"/>
    <pivotField name="Presentado y aprobado en comité de contratación" compact="0" numFmtId="49" outline="0" multipleItemSelectionAllowed="1" showAll="0"/>
    <pivotField name="Número de comité de contratación" compact="0" outline="0" multipleItemSelectionAllowed="1" showAll="0"/>
    <pivotField name="Ítem" compact="0" numFmtId="49" outline="0" multipleItemSelectionAllowed="1" showAll="0"/>
    <pivotField name="Objetivo Específico del Proyecto de Inversión" compact="0" outline="0" multipleItemSelectionAllowed="1" showAll="0"/>
    <pivotField name="Producto del Proyecto de Inversión" compact="0" outline="0" multipleItemSelectionAllowed="1" showAll="0"/>
    <pivotField name="Actividad / Entregable del Proyecto de Inversión" compact="0" outline="0" multipleItemSelectionAllowed="1" showAll="0"/>
    <pivotField name="Códigos UNSPSC" compact="0" outline="0" multipleItemSelectionAllowed="1" showAll="0"/>
    <pivotField name="Rubro presupuestal" compact="0" outline="0" multipleItemSelectionAllowed="1" showAll="0"/>
    <pivotField name="Tipología de la adquisición" compact="0" outline="0" multipleItemSelectionAllowed="1" showAll="0"/>
    <pivotField name="Descripción u objeto contractual" compact="0" outline="0" multipleItemSelectionAllowed="1" showAll="0"/>
    <pivotField name="Mes estimado de inicio de proceso de selección" compact="0" outline="0" multipleItemSelectionAllowed="1" showAll="0"/>
    <pivotField name="Mes estimado de presentación de ofertas" compact="0" outline="0" multipleItemSelectionAllowed="1" showAll="0"/>
    <pivotField name="Mes de registro del contrato" compact="0" outline="0" multipleItemSelectionAllowed="1" showAll="0"/>
    <pivotField name="Duración estimada del contrato" compact="0" outline="0" multipleItemSelectionAllowed="1" showAll="0"/>
    <pivotField name="Unidad de tiempo" compact="0" outline="0" multipleItemSelectionAllowed="1" showAll="0"/>
    <pivotField name="Modalidad de selección " compact="0" outline="0" multipleItemSelectionAllowed="1" showAll="0"/>
    <pivotField name="Fuente de los recursos" compact="0" outline="0" multipleItemSelectionAllowed="1" showAll="0"/>
    <pivotField name="Valor total estimado" compact="0" numFmtId="3" outline="0" multipleItemSelectionAllowed="1" showAll="0"/>
    <pivotField name="Valor estimado en la vigencia actual" dataField="1" compact="0" numFmtId="3" outline="0" multipleItemSelectionAllowed="1" showAll="0"/>
    <pivotField name="¿Se requieren vigencias futuras?" compact="0" outline="0" multipleItemSelectionAllowed="1" showAll="0"/>
    <pivotField name="Estado de solicitud de vigencias futuras" compact="0" outline="0" multipleItemSelectionAllowed="1" showAll="0"/>
    <pivotField name="Nombre del responsable" compact="0" outline="0" multipleItemSelectionAllowed="1" showAll="0"/>
    <pivotField name="Cargo del responsable " compact="0" outline="0" multipleItemSelectionAllowed="1" showAll="0"/>
    <pivotField name="Teléfono del responsable " compact="0" outline="0" multipleItemSelectionAllowed="1" showAll="0"/>
    <pivotField name="Correo electrónico del responsable" compact="0" outline="0" multipleItemSelectionAllowed="1" showAll="0"/>
    <pivotField name="AG Compromisos_enero" compact="0" numFmtId="3" outline="0" multipleItemSelectionAllowed="1" showAll="0"/>
    <pivotField name="AG Obligaciones_enero" compact="0" numFmtId="3" outline="0" multipleItemSelectionAllowed="1" showAll="0"/>
    <pivotField name="AG Compromisos_febrero" compact="0" numFmtId="3" outline="0" multipleItemSelectionAllowed="1" showAll="0"/>
    <pivotField name="AG Obligaciones_febrero" compact="0" numFmtId="3" outline="0" multipleItemSelectionAllowed="1" showAll="0"/>
    <pivotField name="AG Compromisos_marzo" compact="0" numFmtId="3" outline="0" multipleItemSelectionAllowed="1" showAll="0"/>
    <pivotField name="AG Obligaciones_marzo" compact="0" numFmtId="3" outline="0" multipleItemSelectionAllowed="1" showAll="0"/>
    <pivotField name="AG Compromisos_abril" compact="0" numFmtId="3" outline="0" multipleItemSelectionAllowed="1" showAll="0"/>
    <pivotField name="AG Obligaciones_abril" compact="0" numFmtId="3" outline="0" multipleItemSelectionAllowed="1" showAll="0"/>
    <pivotField name="AG Compromisos_mayo" compact="0" numFmtId="3" outline="0" multipleItemSelectionAllowed="1" showAll="0"/>
    <pivotField name="AG Obligaciones_mayo" compact="0" numFmtId="3" outline="0" multipleItemSelectionAllowed="1" showAll="0"/>
    <pivotField name="AG Compromisos_junio" compact="0" numFmtId="3" outline="0" multipleItemSelectionAllowed="1" showAll="0"/>
    <pivotField name="AG Obligaciones_junio" compact="0" numFmtId="3" outline="0" multipleItemSelectionAllowed="1" showAll="0"/>
    <pivotField name="AG Compromisos_julio" compact="0" numFmtId="3" outline="0" multipleItemSelectionAllowed="1" showAll="0"/>
    <pivotField name="AG Obligaciones_julio" compact="0" numFmtId="3" outline="0" multipleItemSelectionAllowed="1" showAll="0"/>
    <pivotField name="AG Compromisos_agosto" compact="0" numFmtId="3" outline="0" multipleItemSelectionAllowed="1" showAll="0"/>
    <pivotField name="AG Obligaciones_agosto" compact="0" numFmtId="3" outline="0" multipleItemSelectionAllowed="1" showAll="0"/>
    <pivotField name="AG Compromisos_septiembre" compact="0" numFmtId="3" outline="0" multipleItemSelectionAllowed="1" showAll="0"/>
    <pivotField name="AG Obligaciones_septiembre" compact="0" numFmtId="3" outline="0" multipleItemSelectionAllowed="1" showAll="0"/>
    <pivotField name="AG Compromisos_octubre" compact="0" numFmtId="3" outline="0" multipleItemSelectionAllowed="1" showAll="0"/>
    <pivotField name="AG Obligaciones_octubre" compact="0" numFmtId="3" outline="0" multipleItemSelectionAllowed="1" showAll="0"/>
    <pivotField name="AG Compromisos_noviembre" compact="0" numFmtId="3" outline="0" multipleItemSelectionAllowed="1" showAll="0"/>
    <pivotField name="AG Obligaciones_noviembre" compact="0" numFmtId="3" outline="0" multipleItemSelectionAllowed="1" showAll="0"/>
    <pivotField name="AG Compromisos_diciembre" compact="0" numFmtId="3" outline="0" multipleItemSelectionAllowed="1" showAll="0"/>
    <pivotField name="AG Obligaciones_diciembre" compact="0" numFmtId="3" outline="0" multipleItemSelectionAllowed="1" showAll="0"/>
    <pivotField name="AG Suma de compromisos" compact="0" numFmtId="3" outline="0" multipleItemSelectionAllowed="1" showAll="0"/>
    <pivotField name="AG Suma de obligaciones" compact="0" numFmtId="3" outline="0" multipleItemSelectionAllowed="1" showAll="0"/>
    <pivotField name="AG Diferencias compromisos" compact="0" numFmtId="3" outline="0" multipleItemSelectionAllowed="1" showAll="0"/>
    <pivotField name="AG Diferencias obligaciones" compact="0" numFmtId="3" outline="0" multipleItemSelectionAllowed="1" showAll="0"/>
    <pivotField name="Objeto sin ítem" compact="0" outline="0" multipleItemSelectionAllowed="1" showAll="0"/>
    <pivotField name="Compromisos_enero" compact="0" numFmtId="4" outline="0" multipleItemSelectionAllowed="1" showAll="0"/>
    <pivotField name="Obligaciones_enero" compact="0" outline="0" multipleItemSelectionAllowed="1" showAll="0"/>
    <pivotField name="Compromisos_febrero" compact="0" outline="0" multipleItemSelectionAllowed="1" showAll="0"/>
    <pivotField name="Obligaciones_febrero" compact="0" numFmtId="4" outline="0" multipleItemSelectionAllowed="1" showAll="0"/>
    <pivotField name="Compromisos_marzo" compact="0" outline="0" multipleItemSelectionAllowed="1" showAll="0"/>
    <pivotField name="Obligaciones_marzo" compact="0" numFmtId="4" outline="0" multipleItemSelectionAllowed="1" showAll="0"/>
    <pivotField name="Compromisos_abril" compact="0" outline="0" multipleItemSelectionAllowed="1" showAll="0"/>
    <pivotField name="Obligaciones_abril" compact="0" numFmtId="4" outline="0" multipleItemSelectionAllowed="1" showAll="0"/>
    <pivotField name="Compromisos_mayo" compact="0" outline="0" multipleItemSelectionAllowed="1" showAll="0"/>
    <pivotField name="Obligaciones_mayo" compact="0" numFmtId="4" outline="0" multipleItemSelectionAllowed="1" showAll="0"/>
    <pivotField name="Compromisos_junio" compact="0" outline="0" multipleItemSelectionAllowed="1" showAll="0"/>
    <pivotField name="Obligaciones_junio" compact="0" numFmtId="4" outline="0" multipleItemSelectionAllowed="1" showAll="0"/>
    <pivotField name="Compromisos_julio" compact="0" outline="0" multipleItemSelectionAllowed="1" showAll="0"/>
    <pivotField name="Obligaciones_julio" compact="0" numFmtId="4" outline="0" multipleItemSelectionAllowed="1" showAll="0"/>
    <pivotField name="Compromisos_agosto" compact="0" outline="0" multipleItemSelectionAllowed="1" showAll="0"/>
    <pivotField name="Obligaciones_agosto" compact="0" numFmtId="4" outline="0" multipleItemSelectionAllowed="1" showAll="0"/>
    <pivotField name="Compromisos_septiembre" compact="0" outline="0" multipleItemSelectionAllowed="1" showAll="0"/>
    <pivotField name="Obligaciones_septiembre" compact="0" numFmtId="4" outline="0" multipleItemSelectionAllowed="1" showAll="0"/>
    <pivotField name="Compromisos_octubre" compact="0" outline="0" multipleItemSelectionAllowed="1" showAll="0"/>
    <pivotField name="Obligaciones_octubre" compact="0" numFmtId="4" outline="0" multipleItemSelectionAllowed="1" showAll="0"/>
    <pivotField name="Compromisos_noviembre" compact="0" outline="0" multipleItemSelectionAllowed="1" showAll="0"/>
    <pivotField name="Obligaciones_noviembre" compact="0" numFmtId="4" outline="0" multipleItemSelectionAllowed="1" showAll="0"/>
    <pivotField name="Compromisos_diciembre" compact="0" outline="0" multipleItemSelectionAllowed="1" showAll="0"/>
    <pivotField name="Obligaciones_diciembre" compact="0" numFmtId="4" outline="0" multipleItemSelectionAllowed="1" showAll="0"/>
    <pivotField name="Compromisos por definir" compact="0" outline="0" multipleItemSelectionAllowed="1" showAll="0"/>
    <pivotField name="Obligaciones por definir" compact="0" outline="0" multipleItemSelectionAllowed="1" showAll="0"/>
    <pivotField name="Suma de compromisos" compact="0" outline="0" multipleItemSelectionAllowed="1" showAll="0"/>
    <pivotField name="Suma de obligaciones" compact="0" outline="0" multipleItemSelectionAllowed="1" showAll="0"/>
    <pivotField name="Diferencias compromisos" compact="0" outline="0" multipleItemSelectionAllowed="1" showAll="0"/>
    <pivotField name="Diferencias obligaciones" compact="0" outline="0" multipleItemSelectionAllowed="1" showAll="0"/>
    <pivotField name="Número de CDP" compact="0" outline="0" multipleItemSelectionAllowed="1" showAll="0"/>
    <pivotField name="Fecha de Expedición del CDP" compact="0" numFmtId="166" outline="0" multipleItemSelectionAllowed="1" showAll="0"/>
    <pivotField name="Valor del CDP" compact="0" numFmtId="3" outline="0" multipleItemSelectionAllowed="1" showAll="0"/>
    <pivotField name="Saldo del ítem (Valor estimado en la vigencia actual - Valor del CDP)" compact="0" numFmtId="3" outline="0" multipleItemSelectionAllowed="1" showAll="0"/>
    <pivotField name="Número de RP" compact="0" outline="0" multipleItemSelectionAllowed="1" showAll="0"/>
    <pivotField name="Fecha de Expedición del RP" compact="0" outline="0" multipleItemSelectionAllowed="1" showAll="0"/>
    <pivotField name="Valor del RP" compact="0" numFmtId="3" outline="0" multipleItemSelectionAllowed="1" showAll="0"/>
    <pivotField name="Recursos sin comprometer (Valor estimado del Item - Valor RP)" compact="0" outline="0" multipleItemSelectionAllowed="1" showAll="0"/>
    <pivotField name="CDP - RP" compact="0" numFmtId="3" outline="0" multipleItemSelectionAllowed="1" showAll="0"/>
    <pivotField name="Nombre del Contratista" compact="0" outline="0" multipleItemSelectionAllowed="1" showAll="0"/>
    <pivotField name="Número del contrato" compact="0" outline="0" multipleItemSelectionAllowed="1" showAll="0"/>
    <pivotField name="Compromiso ejecutado enero" compact="0" numFmtId="3" outline="0" multipleItemSelectionAllowed="1" showAll="0"/>
    <pivotField name="Obligación ejecutada enero" compact="0" outline="0" multipleItemSelectionAllowed="1" showAll="0"/>
    <pivotField name="Pago ejecutado enero" compact="0" outline="0" multipleItemSelectionAllowed="1" showAll="0"/>
    <pivotField name="Compromiso ejecutado febrero" compact="0" outline="0" multipleItemSelectionAllowed="1" showAll="0"/>
    <pivotField name="Obligación ejecutada febrero" compact="0" outline="0" multipleItemSelectionAllowed="1" showAll="0"/>
    <pivotField name="Pago ejecutado febrero" compact="0" outline="0" multipleItemSelectionAllowed="1" showAll="0"/>
    <pivotField name="Compromiso ejecutado marzo" compact="0" outline="0" multipleItemSelectionAllowed="1" showAll="0"/>
    <pivotField name="Obligación ejecutada marzo" compact="0" numFmtId="3" outline="0" multipleItemSelectionAllowed="1" showAll="0"/>
    <pivotField name="Pago ejecutado marzo" compact="0" numFmtId="3" outline="0" multipleItemSelectionAllowed="1" showAll="0"/>
    <pivotField name="Compromiso ejecutado abril" compact="0" outline="0" multipleItemSelectionAllowed="1" showAll="0"/>
    <pivotField name="Obligación ejecutada abril" compact="0" numFmtId="3" outline="0" multipleItemSelectionAllowed="1" showAll="0"/>
    <pivotField name="Pago ejecutado abril" compact="0" numFmtId="3" outline="0" multipleItemSelectionAllowed="1" showAll="0"/>
    <pivotField name="Compromiso ejecutado mayo" compact="0" outline="0" multipleItemSelectionAllowed="1" showAll="0"/>
    <pivotField name="Obligación ejecutada mayo" compact="0" outline="0" multipleItemSelectionAllowed="1" showAll="0"/>
    <pivotField name="Pago ejecutado mayo" compact="0" outline="0" multipleItemSelectionAllowed="1" showAll="0"/>
    <pivotField name="Compromiso ejecutado junio" compact="0" outline="0" multipleItemSelectionAllowed="1" showAll="0"/>
    <pivotField name="Obligación ejecutada junio" compact="0" outline="0" multipleItemSelectionAllowed="1" showAll="0"/>
    <pivotField name="Pago ejecutado junio" compact="0" outline="0" multipleItemSelectionAllowed="1" showAll="0"/>
    <pivotField name="Compromiso ejecutado julio" compact="0" outline="0" multipleItemSelectionAllowed="1" showAll="0"/>
    <pivotField name="Obligación ejecutada julio" compact="0" outline="0" multipleItemSelectionAllowed="1" showAll="0"/>
    <pivotField name="Pago ejecutado julio" compact="0" outline="0" multipleItemSelectionAllowed="1" showAll="0"/>
    <pivotField name="Compromiso ejecutado agosto" compact="0" outline="0" multipleItemSelectionAllowed="1" showAll="0"/>
    <pivotField name="Obligación ejecutada agosto" compact="0" outline="0" multipleItemSelectionAllowed="1" showAll="0"/>
    <pivotField name="Pago ejecutado agosto" compact="0" outline="0" multipleItemSelectionAllowed="1" showAll="0"/>
    <pivotField name="Compromiso ejecutado septiembre" compact="0" outline="0" multipleItemSelectionAllowed="1" showAll="0"/>
    <pivotField name="Obligación ejecutada septiembre" compact="0" outline="0" multipleItemSelectionAllowed="1" showAll="0"/>
    <pivotField name="Pago ejecutado septiembre" compact="0" outline="0" multipleItemSelectionAllowed="1" showAll="0"/>
    <pivotField name="Compromiso ejecutado octubre" compact="0" outline="0" multipleItemSelectionAllowed="1" showAll="0"/>
    <pivotField name="Obligación ejecutada octubre" compact="0" outline="0" multipleItemSelectionAllowed="1" showAll="0"/>
    <pivotField name="Pago ejecutado octubre" compact="0" outline="0" multipleItemSelectionAllowed="1" showAll="0"/>
    <pivotField name="Compromiso ejecutado noviembre" compact="0" outline="0" multipleItemSelectionAllowed="1" showAll="0"/>
    <pivotField name="Obligación ejecutada noviembre" compact="0" outline="0" multipleItemSelectionAllowed="1" showAll="0"/>
    <pivotField name="Pago ejecutado noviembre" compact="0" outline="0" multipleItemSelectionAllowed="1" showAll="0"/>
    <pivotField name="Compromiso ejecutado diciembre" compact="0" outline="0" multipleItemSelectionAllowed="1" showAll="0"/>
    <pivotField name="Obligación ejecutada diciembre" compact="0" outline="0" multipleItemSelectionAllowed="1" showAll="0"/>
    <pivotField name="Pago ejecutado diciembre" compact="0" outline="0" multipleItemSelectionAllowed="1" showAll="0"/>
    <pivotField name="Total Compromiso ejecutado" compact="0" numFmtId="3" outline="0" multipleItemSelectionAllowed="1" showAll="0"/>
    <pivotField name="Total Obligación ejecutada" compact="0" numFmtId="3" outline="0" multipleItemSelectionAllowed="1" showAll="0"/>
    <pivotField name="Total pago ejecutado" compact="0" numFmtId="3" outline="0" multipleItemSelectionAllowed="1" showAll="0"/>
    <pivotField name="Diferencia Total Compromiso ejecutado - Total Obligación ejecutada" compact="0" numFmtId="3" outline="0" multipleItemSelectionAllowed="1" showAll="0"/>
    <pivotField name="diferencia total compromiso ejecutado - total obligación ejecutada2" compact="0" numFmtId="3" outline="0" multipleItemSelectionAllowed="1" showAll="0"/>
    <pivotField name="Hiperconvergencia" axis="axisPage" compact="0" outline="0" multipleItemSelectionAllowed="1" showAll="0">
      <items count="3">
        <item h="1" x="0"/>
        <item x="1"/>
        <item t="default"/>
      </items>
    </pivotField>
  </pivotFields>
  <rowFields count="1">
    <field x="1"/>
  </rowFields>
  <rowItems count="7">
    <i>
      <x v="2"/>
    </i>
    <i>
      <x v="3"/>
    </i>
    <i>
      <x v="5"/>
    </i>
    <i>
      <x v="6"/>
    </i>
    <i>
      <x v="8"/>
    </i>
    <i>
      <x v="9"/>
    </i>
    <i t="grand">
      <x/>
    </i>
  </rowItems>
  <colItems count="1">
    <i/>
  </colItems>
  <pageFields count="2">
    <pageField fld="0" hier="0"/>
    <pageField fld="141" hier="0"/>
  </pageFields>
  <dataFields count="1">
    <dataField name="SUM of Valor estimado en la vigencia actual" fld="23"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EK3">
  <tableColumns count="141">
    <tableColumn id="1" xr3:uid="{00000000-0010-0000-0000-000001000000}" name="Tipo de PAA"/>
    <tableColumn id="2" xr3:uid="{00000000-0010-0000-0000-000002000000}" name="Dependencia"/>
    <tableColumn id="3" xr3:uid="{00000000-0010-0000-0000-000003000000}" name="Nombre Proyecto (Largo)"/>
    <tableColumn id="4" xr3:uid="{00000000-0010-0000-0000-000004000000}" name="Nombre Proyecto (Corto)"/>
    <tableColumn id="5" xr3:uid="{00000000-0010-0000-0000-000005000000}" name="¿Se publica en SECOP?"/>
    <tableColumn id="6" xr3:uid="{00000000-0010-0000-0000-000006000000}" name="Presentado y aprobado en comité de contratación"/>
    <tableColumn id="7" xr3:uid="{00000000-0010-0000-0000-000007000000}" name="Número de comité de contratación"/>
    <tableColumn id="8" xr3:uid="{00000000-0010-0000-0000-000008000000}" name="Ítem"/>
    <tableColumn id="9" xr3:uid="{00000000-0010-0000-0000-000009000000}" name="Objetivo Específico del Proyecto de Inversión"/>
    <tableColumn id="10" xr3:uid="{00000000-0010-0000-0000-00000A000000}" name="Producto del Proyecto de Inversión"/>
    <tableColumn id="11" xr3:uid="{00000000-0010-0000-0000-00000B000000}" name="Actividad / Entregable del Proyecto de Inversión"/>
    <tableColumn id="12" xr3:uid="{00000000-0010-0000-0000-00000C000000}" name="Códigos UNSPSC"/>
    <tableColumn id="13" xr3:uid="{00000000-0010-0000-0000-00000D000000}" name="Rubro presupuestal"/>
    <tableColumn id="14" xr3:uid="{00000000-0010-0000-0000-00000E000000}" name="Tipología de la adquisición"/>
    <tableColumn id="15" xr3:uid="{00000000-0010-0000-0000-00000F000000}" name="Descripción u objeto contractual"/>
    <tableColumn id="16" xr3:uid="{00000000-0010-0000-0000-000010000000}" name="Mes estimado de inicio de proceso de selección"/>
    <tableColumn id="17" xr3:uid="{00000000-0010-0000-0000-000011000000}" name="Mes estimado de presentación de ofertas"/>
    <tableColumn id="18" xr3:uid="{00000000-0010-0000-0000-000012000000}" name="Mes de registro del contrato"/>
    <tableColumn id="19" xr3:uid="{00000000-0010-0000-0000-000013000000}" name="Duración estimada del contrato"/>
    <tableColumn id="20" xr3:uid="{00000000-0010-0000-0000-000014000000}" name="Unidad de tiempo"/>
    <tableColumn id="21" xr3:uid="{00000000-0010-0000-0000-000015000000}" name="Modalidad de selección "/>
    <tableColumn id="22" xr3:uid="{00000000-0010-0000-0000-000016000000}" name="Fuente de los recursos"/>
    <tableColumn id="23" xr3:uid="{00000000-0010-0000-0000-000017000000}" name="Valor total estimado"/>
    <tableColumn id="24" xr3:uid="{00000000-0010-0000-0000-000018000000}" name="Valor estimado en la vigencia actual"/>
    <tableColumn id="25" xr3:uid="{00000000-0010-0000-0000-000019000000}" name="¿Se requieren vigencias futuras?"/>
    <tableColumn id="26" xr3:uid="{00000000-0010-0000-0000-00001A000000}" name="Estado de solicitud de vigencias futuras"/>
    <tableColumn id="27" xr3:uid="{00000000-0010-0000-0000-00001B000000}" name="Nombre del responsable"/>
    <tableColumn id="28" xr3:uid="{00000000-0010-0000-0000-00001C000000}" name="Cargo del responsable "/>
    <tableColumn id="29" xr3:uid="{00000000-0010-0000-0000-00001D000000}" name="Teléfono del responsable "/>
    <tableColumn id="30" xr3:uid="{00000000-0010-0000-0000-00001E000000}" name="Correo electrónico del responsable"/>
    <tableColumn id="31" xr3:uid="{00000000-0010-0000-0000-00001F000000}" name="AG Compromisos_enero"/>
    <tableColumn id="32" xr3:uid="{00000000-0010-0000-0000-000020000000}" name="AG Obligaciones_enero"/>
    <tableColumn id="33" xr3:uid="{00000000-0010-0000-0000-000021000000}" name="AG Compromisos_febrero"/>
    <tableColumn id="34" xr3:uid="{00000000-0010-0000-0000-000022000000}" name="AG Obligaciones_febrero"/>
    <tableColumn id="35" xr3:uid="{00000000-0010-0000-0000-000023000000}" name="AG Compromisos_marzo"/>
    <tableColumn id="36" xr3:uid="{00000000-0010-0000-0000-000024000000}" name="AG Obligaciones_marzo"/>
    <tableColumn id="37" xr3:uid="{00000000-0010-0000-0000-000025000000}" name="AG Compromisos_abril"/>
    <tableColumn id="38" xr3:uid="{00000000-0010-0000-0000-000026000000}" name="AG Obligaciones_abril"/>
    <tableColumn id="39" xr3:uid="{00000000-0010-0000-0000-000027000000}" name="AG Compromisos_mayo"/>
    <tableColumn id="40" xr3:uid="{00000000-0010-0000-0000-000028000000}" name="AG Obligaciones_mayo"/>
    <tableColumn id="41" xr3:uid="{00000000-0010-0000-0000-000029000000}" name="AG Compromisos_junio"/>
    <tableColumn id="42" xr3:uid="{00000000-0010-0000-0000-00002A000000}" name="AG Obligaciones_junio"/>
    <tableColumn id="43" xr3:uid="{00000000-0010-0000-0000-00002B000000}" name="AG Compromisos_julio"/>
    <tableColumn id="44" xr3:uid="{00000000-0010-0000-0000-00002C000000}" name="AG Obligaciones_julio"/>
    <tableColumn id="45" xr3:uid="{00000000-0010-0000-0000-00002D000000}" name="AG Compromisos_agosto"/>
    <tableColumn id="46" xr3:uid="{00000000-0010-0000-0000-00002E000000}" name="AG Obligaciones_agosto"/>
    <tableColumn id="47" xr3:uid="{00000000-0010-0000-0000-00002F000000}" name="AG Compromisos_septiembre"/>
    <tableColumn id="48" xr3:uid="{00000000-0010-0000-0000-000030000000}" name="AG Obligaciones_septiembre"/>
    <tableColumn id="49" xr3:uid="{00000000-0010-0000-0000-000031000000}" name="AG Compromisos_octubre"/>
    <tableColumn id="50" xr3:uid="{00000000-0010-0000-0000-000032000000}" name="AG Obligaciones_octubre"/>
    <tableColumn id="51" xr3:uid="{00000000-0010-0000-0000-000033000000}" name="AG Compromisos_noviembre"/>
    <tableColumn id="52" xr3:uid="{00000000-0010-0000-0000-000034000000}" name="AG Obligaciones_noviembre"/>
    <tableColumn id="53" xr3:uid="{00000000-0010-0000-0000-000035000000}" name="AG Compromisos_diciembre"/>
    <tableColumn id="54" xr3:uid="{00000000-0010-0000-0000-000036000000}" name="AG Obligaciones_diciembre"/>
    <tableColumn id="55" xr3:uid="{00000000-0010-0000-0000-000037000000}" name="AG Suma de compromisos"/>
    <tableColumn id="56" xr3:uid="{00000000-0010-0000-0000-000038000000}" name="AG Suma de obligaciones"/>
    <tableColumn id="57" xr3:uid="{00000000-0010-0000-0000-000039000000}" name="AG Diferencias compromisos"/>
    <tableColumn id="58" xr3:uid="{00000000-0010-0000-0000-00003A000000}" name="AG Diferencias obligaciones"/>
    <tableColumn id="59" xr3:uid="{00000000-0010-0000-0000-00003B000000}" name="Objeto sin ítem"/>
    <tableColumn id="60" xr3:uid="{00000000-0010-0000-0000-00003C000000}" name="Compromisos_enero"/>
    <tableColumn id="61" xr3:uid="{00000000-0010-0000-0000-00003D000000}" name="Obligaciones_enero"/>
    <tableColumn id="62" xr3:uid="{00000000-0010-0000-0000-00003E000000}" name="Compromisos_febrero"/>
    <tableColumn id="63" xr3:uid="{00000000-0010-0000-0000-00003F000000}" name="Obligaciones_febrero"/>
    <tableColumn id="64" xr3:uid="{00000000-0010-0000-0000-000040000000}" name="Compromisos_marzo"/>
    <tableColumn id="65" xr3:uid="{00000000-0010-0000-0000-000041000000}" name="Obligaciones_marzo"/>
    <tableColumn id="66" xr3:uid="{00000000-0010-0000-0000-000042000000}" name="Compromisos_abril"/>
    <tableColumn id="67" xr3:uid="{00000000-0010-0000-0000-000043000000}" name="Obligaciones_abril"/>
    <tableColumn id="68" xr3:uid="{00000000-0010-0000-0000-000044000000}" name="Compromisos_mayo"/>
    <tableColumn id="69" xr3:uid="{00000000-0010-0000-0000-000045000000}" name="Obligaciones_mayo"/>
    <tableColumn id="70" xr3:uid="{00000000-0010-0000-0000-000046000000}" name="Compromisos_junio"/>
    <tableColumn id="71" xr3:uid="{00000000-0010-0000-0000-000047000000}" name="Obligaciones_junio"/>
    <tableColumn id="72" xr3:uid="{00000000-0010-0000-0000-000048000000}" name="Compromisos_julio"/>
    <tableColumn id="73" xr3:uid="{00000000-0010-0000-0000-000049000000}" name="Obligaciones_julio"/>
    <tableColumn id="74" xr3:uid="{00000000-0010-0000-0000-00004A000000}" name="Compromisos_agosto"/>
    <tableColumn id="75" xr3:uid="{00000000-0010-0000-0000-00004B000000}" name="Obligaciones_agosto"/>
    <tableColumn id="76" xr3:uid="{00000000-0010-0000-0000-00004C000000}" name="Compromisos_septiembre"/>
    <tableColumn id="77" xr3:uid="{00000000-0010-0000-0000-00004D000000}" name="Obligaciones_septiembre"/>
    <tableColumn id="78" xr3:uid="{00000000-0010-0000-0000-00004E000000}" name="Compromisos_octubre"/>
    <tableColumn id="79" xr3:uid="{00000000-0010-0000-0000-00004F000000}" name="Obligaciones_octubre"/>
    <tableColumn id="80" xr3:uid="{00000000-0010-0000-0000-000050000000}" name="Compromisos_noviembre"/>
    <tableColumn id="81" xr3:uid="{00000000-0010-0000-0000-000051000000}" name="Obligaciones_noviembre"/>
    <tableColumn id="82" xr3:uid="{00000000-0010-0000-0000-000052000000}" name="Compromisos_diciembre"/>
    <tableColumn id="83" xr3:uid="{00000000-0010-0000-0000-000053000000}" name="Obligaciones_diciembre"/>
    <tableColumn id="84" xr3:uid="{00000000-0010-0000-0000-000054000000}" name="Compromisos por definir"/>
    <tableColumn id="85" xr3:uid="{00000000-0010-0000-0000-000055000000}" name="Obligaciones por definir"/>
    <tableColumn id="86" xr3:uid="{00000000-0010-0000-0000-000056000000}" name="Suma de compromisos"/>
    <tableColumn id="87" xr3:uid="{00000000-0010-0000-0000-000057000000}" name="Suma de obligaciones"/>
    <tableColumn id="88" xr3:uid="{00000000-0010-0000-0000-000058000000}" name="Diferencias compromisos"/>
    <tableColumn id="89" xr3:uid="{00000000-0010-0000-0000-000059000000}" name="Diferencias obligaciones"/>
    <tableColumn id="90" xr3:uid="{00000000-0010-0000-0000-00005A000000}" name="Número de CDP"/>
    <tableColumn id="91" xr3:uid="{00000000-0010-0000-0000-00005B000000}" name="Fecha de Expedición del CDP"/>
    <tableColumn id="92" xr3:uid="{00000000-0010-0000-0000-00005C000000}" name="Valor del CDP"/>
    <tableColumn id="93" xr3:uid="{00000000-0010-0000-0000-00005D000000}" name="Saldo del ítem (Valor estimado en la vigencia actual - Valor del CDP)"/>
    <tableColumn id="94" xr3:uid="{00000000-0010-0000-0000-00005E000000}" name="Número de RP"/>
    <tableColumn id="95" xr3:uid="{00000000-0010-0000-0000-00005F000000}" name="Fecha de Expedición del RP"/>
    <tableColumn id="96" xr3:uid="{00000000-0010-0000-0000-000060000000}" name="Valor del RP"/>
    <tableColumn id="97" xr3:uid="{00000000-0010-0000-0000-000061000000}" name="Recursos sin comprometer (Valor estimado del Item - Valor RP)"/>
    <tableColumn id="98" xr3:uid="{00000000-0010-0000-0000-000062000000}" name="CDP - RP"/>
    <tableColumn id="99" xr3:uid="{00000000-0010-0000-0000-000063000000}" name="Nombre del Contratista"/>
    <tableColumn id="100" xr3:uid="{00000000-0010-0000-0000-000064000000}" name="Número del contrato"/>
    <tableColumn id="101" xr3:uid="{00000000-0010-0000-0000-000065000000}" name="Compromiso ejecutado enero"/>
    <tableColumn id="102" xr3:uid="{00000000-0010-0000-0000-000066000000}" name="Obligación ejecutada enero"/>
    <tableColumn id="103" xr3:uid="{00000000-0010-0000-0000-000067000000}" name="Pago ejecutado enero"/>
    <tableColumn id="104" xr3:uid="{00000000-0010-0000-0000-000068000000}" name="Compromiso ejecutado febrero"/>
    <tableColumn id="105" xr3:uid="{00000000-0010-0000-0000-000069000000}" name="Obligación ejecutada febrero"/>
    <tableColumn id="106" xr3:uid="{00000000-0010-0000-0000-00006A000000}" name="Pago ejecutado febrero"/>
    <tableColumn id="107" xr3:uid="{00000000-0010-0000-0000-00006B000000}" name="Compromiso ejecutado marzo"/>
    <tableColumn id="108" xr3:uid="{00000000-0010-0000-0000-00006C000000}" name="Obligación ejecutada marzo"/>
    <tableColumn id="109" xr3:uid="{00000000-0010-0000-0000-00006D000000}" name="Pago ejecutado marzo"/>
    <tableColumn id="110" xr3:uid="{00000000-0010-0000-0000-00006E000000}" name="Compromiso ejecutado abril"/>
    <tableColumn id="111" xr3:uid="{00000000-0010-0000-0000-00006F000000}" name="Obligación ejecutada abril"/>
    <tableColumn id="112" xr3:uid="{00000000-0010-0000-0000-000070000000}" name="Pago ejecutado abril"/>
    <tableColumn id="113" xr3:uid="{00000000-0010-0000-0000-000071000000}" name="Compromiso ejecutado mayo"/>
    <tableColumn id="114" xr3:uid="{00000000-0010-0000-0000-000072000000}" name="Obligación ejecutada mayo"/>
    <tableColumn id="115" xr3:uid="{00000000-0010-0000-0000-000073000000}" name="Pago ejecutado mayo"/>
    <tableColumn id="116" xr3:uid="{00000000-0010-0000-0000-000074000000}" name="Compromiso ejecutado junio"/>
    <tableColumn id="117" xr3:uid="{00000000-0010-0000-0000-000075000000}" name="Obligación ejecutada junio"/>
    <tableColumn id="118" xr3:uid="{00000000-0010-0000-0000-000076000000}" name="Pago ejecutado junio"/>
    <tableColumn id="119" xr3:uid="{00000000-0010-0000-0000-000077000000}" name="Compromiso ejecutado julio"/>
    <tableColumn id="120" xr3:uid="{00000000-0010-0000-0000-000078000000}" name="Obligación ejecutada julio"/>
    <tableColumn id="121" xr3:uid="{00000000-0010-0000-0000-000079000000}" name="Pago ejecutado julio"/>
    <tableColumn id="122" xr3:uid="{00000000-0010-0000-0000-00007A000000}" name="Compromiso ejecutado agosto"/>
    <tableColumn id="123" xr3:uid="{00000000-0010-0000-0000-00007B000000}" name="Obligación ejecutada agosto"/>
    <tableColumn id="124" xr3:uid="{00000000-0010-0000-0000-00007C000000}" name="Pago ejecutado agosto"/>
    <tableColumn id="125" xr3:uid="{00000000-0010-0000-0000-00007D000000}" name="Compromiso ejecutado septiembre"/>
    <tableColumn id="126" xr3:uid="{00000000-0010-0000-0000-00007E000000}" name="Obligación ejecutada septiembre"/>
    <tableColumn id="127" xr3:uid="{00000000-0010-0000-0000-00007F000000}" name="Pago ejecutado septiembre"/>
    <tableColumn id="128" xr3:uid="{00000000-0010-0000-0000-000080000000}" name="Compromiso ejecutado octubre"/>
    <tableColumn id="129" xr3:uid="{00000000-0010-0000-0000-000081000000}" name="Obligación ejecutada octubre"/>
    <tableColumn id="130" xr3:uid="{00000000-0010-0000-0000-000082000000}" name="Pago ejecutado octubre"/>
    <tableColumn id="131" xr3:uid="{00000000-0010-0000-0000-000083000000}" name="Compromiso ejecutado noviembre"/>
    <tableColumn id="132" xr3:uid="{00000000-0010-0000-0000-000084000000}" name="Obligación ejecutada noviembre"/>
    <tableColumn id="133" xr3:uid="{00000000-0010-0000-0000-000085000000}" name="Pago ejecutado noviembre"/>
    <tableColumn id="134" xr3:uid="{00000000-0010-0000-0000-000086000000}" name="Compromiso ejecutado diciembre"/>
    <tableColumn id="135" xr3:uid="{00000000-0010-0000-0000-000087000000}" name="Obligación ejecutada diciembre"/>
    <tableColumn id="136" xr3:uid="{00000000-0010-0000-0000-000088000000}" name="Pago ejecutado diciembre"/>
    <tableColumn id="137" xr3:uid="{00000000-0010-0000-0000-000089000000}" name="Total Compromiso ejecutado"/>
    <tableColumn id="138" xr3:uid="{00000000-0010-0000-0000-00008A000000}" name="Total Obligación ejecutada"/>
    <tableColumn id="139" xr3:uid="{00000000-0010-0000-0000-00008B000000}" name="Total pago ejecutado"/>
    <tableColumn id="140" xr3:uid="{00000000-0010-0000-0000-00008C000000}" name="Diferencia Total Compromiso ejecutado - Total Obligación ejecutada"/>
    <tableColumn id="141" xr3:uid="{00000000-0010-0000-0000-00008D000000}" name="Diferencia Total Compromiso ejecutado - Total Obligación ejecutada 2"/>
  </tableColumns>
  <tableStyleInfo name="Datos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ana.jacome@upme.gov.co" TargetMode="External"/><Relationship Id="rId13" Type="http://schemas.openxmlformats.org/officeDocument/2006/relationships/hyperlink" Target="mailto:katherin.perez@upme.gov.co" TargetMode="External"/><Relationship Id="rId18" Type="http://schemas.openxmlformats.org/officeDocument/2006/relationships/hyperlink" Target="mailto:katherin.perez@upme.gov.co" TargetMode="External"/><Relationship Id="rId26" Type="http://schemas.openxmlformats.org/officeDocument/2006/relationships/hyperlink" Target="mailto:katherin.perez@upme.gov.co" TargetMode="External"/><Relationship Id="rId3" Type="http://schemas.openxmlformats.org/officeDocument/2006/relationships/hyperlink" Target="mailto:veronica.tabares@upme.gov.co" TargetMode="External"/><Relationship Id="rId21" Type="http://schemas.openxmlformats.org/officeDocument/2006/relationships/hyperlink" Target="mailto:katherin.perez@upme.gov.co" TargetMode="External"/><Relationship Id="rId34" Type="http://schemas.openxmlformats.org/officeDocument/2006/relationships/hyperlink" Target="mailto:katherin.perez@upme.gov.co" TargetMode="External"/><Relationship Id="rId7" Type="http://schemas.openxmlformats.org/officeDocument/2006/relationships/hyperlink" Target="mailto:katherin.perez@upme.gov.co" TargetMode="External"/><Relationship Id="rId12" Type="http://schemas.openxmlformats.org/officeDocument/2006/relationships/hyperlink" Target="mailto:jenny.pena@upme.gov.co" TargetMode="External"/><Relationship Id="rId17" Type="http://schemas.openxmlformats.org/officeDocument/2006/relationships/hyperlink" Target="mailto:katherin.perez@upme.gov.co" TargetMode="External"/><Relationship Id="rId25" Type="http://schemas.openxmlformats.org/officeDocument/2006/relationships/hyperlink" Target="mailto:katherin.perez@upme.gov.co" TargetMode="External"/><Relationship Id="rId33" Type="http://schemas.openxmlformats.org/officeDocument/2006/relationships/hyperlink" Target="mailto:katherin.perez@upme.gov.co" TargetMode="External"/><Relationship Id="rId2" Type="http://schemas.openxmlformats.org/officeDocument/2006/relationships/hyperlink" Target="mailto:veronica.tabares@upme.gov.co" TargetMode="External"/><Relationship Id="rId16" Type="http://schemas.openxmlformats.org/officeDocument/2006/relationships/hyperlink" Target="mailto:katherin.perez@upme.gov.co" TargetMode="External"/><Relationship Id="rId20" Type="http://schemas.openxmlformats.org/officeDocument/2006/relationships/hyperlink" Target="mailto:katherin.perez@upme.gov.co" TargetMode="External"/><Relationship Id="rId29" Type="http://schemas.openxmlformats.org/officeDocument/2006/relationships/hyperlink" Target="mailto:jenny.pena@upme.gov.co" TargetMode="External"/><Relationship Id="rId1" Type="http://schemas.openxmlformats.org/officeDocument/2006/relationships/hyperlink" Target="mailto:veronica.tabares@upme.gov.co" TargetMode="External"/><Relationship Id="rId6" Type="http://schemas.openxmlformats.org/officeDocument/2006/relationships/hyperlink" Target="mailto:hollman.corredor@upme.gov.co" TargetMode="External"/><Relationship Id="rId11" Type="http://schemas.openxmlformats.org/officeDocument/2006/relationships/hyperlink" Target="mailto:jenny.pena@upme.gov.co" TargetMode="External"/><Relationship Id="rId24" Type="http://schemas.openxmlformats.org/officeDocument/2006/relationships/hyperlink" Target="mailto:katherin.perez@upme.gov.co" TargetMode="External"/><Relationship Id="rId32" Type="http://schemas.openxmlformats.org/officeDocument/2006/relationships/hyperlink" Target="mailto:katherin.perez@upme.gov.co" TargetMode="External"/><Relationship Id="rId37" Type="http://schemas.openxmlformats.org/officeDocument/2006/relationships/drawing" Target="../drawings/drawing1.xml"/><Relationship Id="rId5" Type="http://schemas.openxmlformats.org/officeDocument/2006/relationships/hyperlink" Target="mailto:edith.chavez@upme.gov.co" TargetMode="External"/><Relationship Id="rId15" Type="http://schemas.openxmlformats.org/officeDocument/2006/relationships/hyperlink" Target="mailto:katherin.perez@upme.gov.co" TargetMode="External"/><Relationship Id="rId23" Type="http://schemas.openxmlformats.org/officeDocument/2006/relationships/hyperlink" Target="mailto:katherin.perez@upme.gov.co" TargetMode="External"/><Relationship Id="rId28" Type="http://schemas.openxmlformats.org/officeDocument/2006/relationships/hyperlink" Target="mailto:katherin.perez@upme.gov.co" TargetMode="External"/><Relationship Id="rId36" Type="http://schemas.openxmlformats.org/officeDocument/2006/relationships/hyperlink" Target="mailto:katherin.perez@upme.gov.co" TargetMode="External"/><Relationship Id="rId10" Type="http://schemas.openxmlformats.org/officeDocument/2006/relationships/hyperlink" Target="mailto:diana.jacome@upme.gov.co" TargetMode="External"/><Relationship Id="rId19" Type="http://schemas.openxmlformats.org/officeDocument/2006/relationships/hyperlink" Target="mailto:katherin.perez@upme.gov.co" TargetMode="External"/><Relationship Id="rId31" Type="http://schemas.openxmlformats.org/officeDocument/2006/relationships/hyperlink" Target="mailto:katherin.perez@upme.gov.co" TargetMode="External"/><Relationship Id="rId4" Type="http://schemas.openxmlformats.org/officeDocument/2006/relationships/hyperlink" Target="mailto:katherin.perez@upme.gov.co" TargetMode="External"/><Relationship Id="rId9" Type="http://schemas.openxmlformats.org/officeDocument/2006/relationships/hyperlink" Target="mailto:diana.jacome@upme.gov.co" TargetMode="External"/><Relationship Id="rId14" Type="http://schemas.openxmlformats.org/officeDocument/2006/relationships/hyperlink" Target="mailto:katherin.perez@upme.gov.co" TargetMode="External"/><Relationship Id="rId22" Type="http://schemas.openxmlformats.org/officeDocument/2006/relationships/hyperlink" Target="mailto:katherin.perez@upme.gov.co" TargetMode="External"/><Relationship Id="rId27" Type="http://schemas.openxmlformats.org/officeDocument/2006/relationships/hyperlink" Target="mailto:katherin.perez@upme.gov.co" TargetMode="External"/><Relationship Id="rId30" Type="http://schemas.openxmlformats.org/officeDocument/2006/relationships/hyperlink" Target="mailto:katherin.perez@upme.gov.co" TargetMode="External"/><Relationship Id="rId35" Type="http://schemas.openxmlformats.org/officeDocument/2006/relationships/hyperlink" Target="mailto:katherin.perez@upme.gov.co"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85623"/>
  </sheetPr>
  <dimension ref="A1:EL2108"/>
  <sheetViews>
    <sheetView showGridLines="0" tabSelected="1" zoomScale="80" zoomScaleNormal="80" workbookViewId="0">
      <selection activeCell="CL1" sqref="CL1:XFD1048576"/>
    </sheetView>
  </sheetViews>
  <sheetFormatPr baseColWidth="10" defaultColWidth="14.44140625" defaultRowHeight="15" customHeight="1" outlineLevelCol="1" x14ac:dyDescent="0.3"/>
  <cols>
    <col min="1" max="1" width="10.6640625" customWidth="1"/>
    <col min="2" max="2" width="15.44140625" customWidth="1"/>
    <col min="3" max="3" width="24.88671875" customWidth="1"/>
    <col min="4" max="4" width="14.88671875" customWidth="1"/>
    <col min="5" max="5" width="14" customWidth="1"/>
    <col min="6" max="7" width="15.5546875" customWidth="1"/>
    <col min="8" max="8" width="10.44140625" customWidth="1"/>
    <col min="9" max="10" width="30.109375" customWidth="1"/>
    <col min="11" max="11" width="26.5546875" customWidth="1"/>
    <col min="12" max="12" width="13.6640625" customWidth="1"/>
    <col min="13" max="13" width="23.6640625" customWidth="1"/>
    <col min="14" max="14" width="27.88671875" customWidth="1"/>
    <col min="15" max="15" width="43.33203125" customWidth="1"/>
    <col min="16" max="17" width="19" customWidth="1"/>
    <col min="18" max="18" width="17.6640625" customWidth="1"/>
    <col min="19" max="19" width="15.44140625" customWidth="1"/>
    <col min="20" max="20" width="13" customWidth="1"/>
    <col min="21" max="21" width="22.109375" customWidth="1"/>
    <col min="22" max="22" width="20.6640625" customWidth="1"/>
    <col min="23" max="24" width="16.6640625" customWidth="1"/>
    <col min="25" max="25" width="16" customWidth="1"/>
    <col min="26" max="26" width="19" customWidth="1"/>
    <col min="27" max="27" width="17.88671875" customWidth="1"/>
    <col min="28" max="28" width="18" customWidth="1"/>
    <col min="29" max="29" width="15" customWidth="1"/>
    <col min="30" max="30" width="30.109375" customWidth="1"/>
    <col min="31" max="31" width="16.6640625" hidden="1" customWidth="1" outlineLevel="1"/>
    <col min="32" max="58" width="19" hidden="1" customWidth="1" outlineLevel="1"/>
    <col min="59" max="59" width="31.109375" customWidth="1" collapsed="1"/>
    <col min="60" max="89" width="19" hidden="1" customWidth="1" outlineLevel="1"/>
    <col min="90" max="90" width="14.44140625" collapsed="1"/>
  </cols>
  <sheetData>
    <row r="1" spans="1:89" ht="15" customHeight="1" x14ac:dyDescent="0.3">
      <c r="A1" s="97"/>
      <c r="B1" s="98"/>
      <c r="C1" s="99" t="s">
        <v>2324</v>
      </c>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BG1" s="100" t="s">
        <v>2325</v>
      </c>
    </row>
    <row r="2" spans="1:89" ht="15" customHeight="1" x14ac:dyDescent="0.3">
      <c r="A2" s="101"/>
      <c r="B2" s="102"/>
      <c r="C2" s="99"/>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BG2" s="103"/>
    </row>
    <row r="3" spans="1:89" ht="15" customHeight="1" x14ac:dyDescent="0.3">
      <c r="A3" s="101"/>
      <c r="B3" s="102"/>
      <c r="C3" s="99"/>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BG3" s="100" t="s">
        <v>2326</v>
      </c>
    </row>
    <row r="4" spans="1:89" ht="15" customHeight="1" x14ac:dyDescent="0.3">
      <c r="A4" s="101"/>
      <c r="B4" s="102"/>
      <c r="C4" s="99"/>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BG4" s="103"/>
    </row>
    <row r="5" spans="1:89" ht="15" customHeight="1" x14ac:dyDescent="0.3">
      <c r="A5" s="101"/>
      <c r="B5" s="102"/>
      <c r="C5" s="99"/>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BG5" s="104"/>
    </row>
    <row r="6" spans="1:89" ht="15" customHeight="1" x14ac:dyDescent="0.3">
      <c r="A6" s="105"/>
      <c r="B6" s="106"/>
      <c r="C6" s="99"/>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BG6" s="107" t="s">
        <v>2327</v>
      </c>
    </row>
    <row r="7" spans="1:89" ht="60" customHeight="1" x14ac:dyDescent="0.3">
      <c r="A7" s="1" t="s">
        <v>114</v>
      </c>
      <c r="B7" s="1" t="s">
        <v>0</v>
      </c>
      <c r="C7" s="1" t="s">
        <v>115</v>
      </c>
      <c r="D7" s="1" t="s">
        <v>59</v>
      </c>
      <c r="E7" s="1" t="s">
        <v>116</v>
      </c>
      <c r="F7" s="1" t="s">
        <v>117</v>
      </c>
      <c r="G7" s="1" t="s">
        <v>118</v>
      </c>
      <c r="H7" s="2" t="s">
        <v>119</v>
      </c>
      <c r="I7" s="1" t="s">
        <v>120</v>
      </c>
      <c r="J7" s="1" t="s">
        <v>1</v>
      </c>
      <c r="K7" s="1" t="s">
        <v>69</v>
      </c>
      <c r="L7" s="1" t="s">
        <v>121</v>
      </c>
      <c r="M7" s="1" t="s">
        <v>2</v>
      </c>
      <c r="N7" s="1" t="s">
        <v>122</v>
      </c>
      <c r="O7" s="1" t="s">
        <v>123</v>
      </c>
      <c r="P7" s="1" t="s">
        <v>124</v>
      </c>
      <c r="Q7" s="1" t="s">
        <v>125</v>
      </c>
      <c r="R7" s="1" t="s">
        <v>126</v>
      </c>
      <c r="S7" s="3" t="s">
        <v>127</v>
      </c>
      <c r="T7" s="1" t="s">
        <v>128</v>
      </c>
      <c r="U7" s="1" t="s">
        <v>129</v>
      </c>
      <c r="V7" s="1" t="s">
        <v>111</v>
      </c>
      <c r="W7" s="4" t="s">
        <v>130</v>
      </c>
      <c r="X7" s="4" t="s">
        <v>131</v>
      </c>
      <c r="Y7" s="1" t="s">
        <v>132</v>
      </c>
      <c r="Z7" s="1" t="s">
        <v>133</v>
      </c>
      <c r="AA7" s="1" t="s">
        <v>134</v>
      </c>
      <c r="AB7" s="1" t="s">
        <v>135</v>
      </c>
      <c r="AC7" s="1" t="s">
        <v>136</v>
      </c>
      <c r="AD7" s="1" t="s">
        <v>137</v>
      </c>
      <c r="AE7" s="5" t="s">
        <v>138</v>
      </c>
      <c r="AF7" s="5" t="s">
        <v>139</v>
      </c>
      <c r="AG7" s="6" t="s">
        <v>140</v>
      </c>
      <c r="AH7" s="5" t="s">
        <v>141</v>
      </c>
      <c r="AI7" s="5" t="s">
        <v>142</v>
      </c>
      <c r="AJ7" s="5" t="s">
        <v>143</v>
      </c>
      <c r="AK7" s="5" t="s">
        <v>144</v>
      </c>
      <c r="AL7" s="5" t="s">
        <v>145</v>
      </c>
      <c r="AM7" s="5" t="s">
        <v>146</v>
      </c>
      <c r="AN7" s="5" t="s">
        <v>147</v>
      </c>
      <c r="AO7" s="5" t="s">
        <v>148</v>
      </c>
      <c r="AP7" s="5" t="s">
        <v>149</v>
      </c>
      <c r="AQ7" s="5" t="s">
        <v>150</v>
      </c>
      <c r="AR7" s="5" t="s">
        <v>151</v>
      </c>
      <c r="AS7" s="5" t="s">
        <v>152</v>
      </c>
      <c r="AT7" s="5" t="s">
        <v>153</v>
      </c>
      <c r="AU7" s="5" t="s">
        <v>154</v>
      </c>
      <c r="AV7" s="5" t="s">
        <v>155</v>
      </c>
      <c r="AW7" s="5" t="s">
        <v>156</v>
      </c>
      <c r="AX7" s="5" t="s">
        <v>157</v>
      </c>
      <c r="AY7" s="5" t="s">
        <v>158</v>
      </c>
      <c r="AZ7" s="5" t="s">
        <v>159</v>
      </c>
      <c r="BA7" s="5" t="s">
        <v>160</v>
      </c>
      <c r="BB7" s="5" t="s">
        <v>161</v>
      </c>
      <c r="BC7" s="6" t="s">
        <v>162</v>
      </c>
      <c r="BD7" s="5" t="s">
        <v>163</v>
      </c>
      <c r="BE7" s="5" t="s">
        <v>164</v>
      </c>
      <c r="BF7" s="5" t="s">
        <v>165</v>
      </c>
      <c r="BG7" s="1" t="s">
        <v>166</v>
      </c>
      <c r="BH7" s="7" t="s">
        <v>167</v>
      </c>
      <c r="BI7" s="8" t="s">
        <v>168</v>
      </c>
      <c r="BJ7" s="9" t="s">
        <v>169</v>
      </c>
      <c r="BK7" s="8" t="s">
        <v>170</v>
      </c>
      <c r="BL7" s="7" t="s">
        <v>171</v>
      </c>
      <c r="BM7" s="8" t="s">
        <v>172</v>
      </c>
      <c r="BN7" s="7" t="s">
        <v>173</v>
      </c>
      <c r="BO7" s="8" t="s">
        <v>174</v>
      </c>
      <c r="BP7" s="7" t="s">
        <v>175</v>
      </c>
      <c r="BQ7" s="8" t="s">
        <v>176</v>
      </c>
      <c r="BR7" s="7" t="s">
        <v>177</v>
      </c>
      <c r="BS7" s="8" t="s">
        <v>178</v>
      </c>
      <c r="BT7" s="7" t="s">
        <v>179</v>
      </c>
      <c r="BU7" s="8" t="s">
        <v>180</v>
      </c>
      <c r="BV7" s="7" t="s">
        <v>181</v>
      </c>
      <c r="BW7" s="8" t="s">
        <v>182</v>
      </c>
      <c r="BX7" s="7" t="s">
        <v>183</v>
      </c>
      <c r="BY7" s="8" t="s">
        <v>184</v>
      </c>
      <c r="BZ7" s="7" t="s">
        <v>185</v>
      </c>
      <c r="CA7" s="8" t="s">
        <v>186</v>
      </c>
      <c r="CB7" s="7" t="s">
        <v>187</v>
      </c>
      <c r="CC7" s="8" t="s">
        <v>188</v>
      </c>
      <c r="CD7" s="7" t="s">
        <v>189</v>
      </c>
      <c r="CE7" s="8" t="s">
        <v>190</v>
      </c>
      <c r="CF7" s="10" t="s">
        <v>191</v>
      </c>
      <c r="CG7" s="10" t="s">
        <v>192</v>
      </c>
      <c r="CH7" s="11" t="s">
        <v>193</v>
      </c>
      <c r="CI7" s="11" t="s">
        <v>194</v>
      </c>
      <c r="CJ7" s="12" t="s">
        <v>195</v>
      </c>
      <c r="CK7" s="12" t="s">
        <v>196</v>
      </c>
    </row>
    <row r="8" spans="1:89" ht="90" customHeight="1" x14ac:dyDescent="0.3">
      <c r="A8" s="13" t="s">
        <v>248</v>
      </c>
      <c r="B8" s="14" t="s">
        <v>3</v>
      </c>
      <c r="C8" s="15" t="s">
        <v>249</v>
      </c>
      <c r="D8" s="14" t="s">
        <v>62</v>
      </c>
      <c r="E8" s="13" t="s">
        <v>250</v>
      </c>
      <c r="F8" s="13" t="s">
        <v>250</v>
      </c>
      <c r="G8" s="14">
        <v>68</v>
      </c>
      <c r="H8" s="13" t="s">
        <v>251</v>
      </c>
      <c r="I8" s="15" t="s">
        <v>252</v>
      </c>
      <c r="J8" s="14" t="s">
        <v>4</v>
      </c>
      <c r="K8" s="15" t="s">
        <v>81</v>
      </c>
      <c r="L8" s="14">
        <v>80111620</v>
      </c>
      <c r="M8" s="14" t="s">
        <v>5</v>
      </c>
      <c r="N8" s="14" t="s">
        <v>253</v>
      </c>
      <c r="O8" s="15" t="s">
        <v>254</v>
      </c>
      <c r="P8" s="14" t="s">
        <v>255</v>
      </c>
      <c r="Q8" s="14" t="s">
        <v>255</v>
      </c>
      <c r="R8" s="14" t="s">
        <v>255</v>
      </c>
      <c r="S8" s="17">
        <v>11</v>
      </c>
      <c r="T8" s="14" t="s">
        <v>256</v>
      </c>
      <c r="U8" s="14" t="s">
        <v>257</v>
      </c>
      <c r="V8" s="14" t="s">
        <v>112</v>
      </c>
      <c r="W8" s="18">
        <v>71500000</v>
      </c>
      <c r="X8" s="18">
        <v>71500000</v>
      </c>
      <c r="Y8" s="19" t="s">
        <v>258</v>
      </c>
      <c r="Z8" s="19" t="s">
        <v>258</v>
      </c>
      <c r="AA8" s="19" t="s">
        <v>259</v>
      </c>
      <c r="AB8" s="14" t="s">
        <v>260</v>
      </c>
      <c r="AC8" s="14">
        <v>6012220601</v>
      </c>
      <c r="AD8" s="14" t="s">
        <v>261</v>
      </c>
      <c r="AE8" s="82">
        <v>71500000</v>
      </c>
      <c r="AF8" s="82">
        <v>0</v>
      </c>
      <c r="AG8" s="82">
        <v>0</v>
      </c>
      <c r="AH8" s="82">
        <v>886667</v>
      </c>
      <c r="AI8" s="82">
        <v>0</v>
      </c>
      <c r="AJ8" s="82">
        <v>6500000</v>
      </c>
      <c r="AK8" s="82">
        <v>0</v>
      </c>
      <c r="AL8" s="82">
        <v>6500000</v>
      </c>
      <c r="AM8" s="82">
        <v>0</v>
      </c>
      <c r="AN8" s="82">
        <v>6500000</v>
      </c>
      <c r="AO8" s="82">
        <v>0</v>
      </c>
      <c r="AP8" s="82">
        <v>6500000</v>
      </c>
      <c r="AQ8" s="82">
        <v>0</v>
      </c>
      <c r="AR8" s="82">
        <v>6500000</v>
      </c>
      <c r="AS8" s="82">
        <v>0</v>
      </c>
      <c r="AT8" s="82">
        <v>6500000</v>
      </c>
      <c r="AU8" s="82">
        <v>0</v>
      </c>
      <c r="AV8" s="82">
        <v>6500000</v>
      </c>
      <c r="AW8" s="82">
        <v>0</v>
      </c>
      <c r="AX8" s="82">
        <v>6500000</v>
      </c>
      <c r="AY8" s="82">
        <v>0</v>
      </c>
      <c r="AZ8" s="82">
        <v>6500000</v>
      </c>
      <c r="BA8" s="82">
        <v>0</v>
      </c>
      <c r="BB8" s="82">
        <v>12113333</v>
      </c>
      <c r="BC8" s="82">
        <f t="shared" ref="BC8:BD8" si="0">AE8+AG8+AI8+AK8+AM8+AO8+AQ8+AS8+AU8+AW8+AY8+BA8</f>
        <v>71500000</v>
      </c>
      <c r="BD8" s="82">
        <f t="shared" si="0"/>
        <v>71500000</v>
      </c>
      <c r="BE8" s="83">
        <f t="shared" ref="BE8:BE262" si="1">X8-BC8</f>
        <v>0</v>
      </c>
      <c r="BF8" s="83">
        <f t="shared" ref="BF8:BF262" si="2">X8-BD8</f>
        <v>0</v>
      </c>
      <c r="BG8" s="14" t="str">
        <f ca="1">IFERROR(__xludf.DUMMYFUNCTION("REGEXEXTRACT(O2,""^\S+\s(.+)$"")"),"Prestar servicios profesionales para la identificación y evaluación de variables ambientales críticas en los departamentos priorizados, aportando a la actualización técnica del Atlas de Conflictividad Socioambiental para la planificación minero- energétic"&amp;"a.")</f>
        <v>Prestar servicios profesionales para la identificación y evaluación de variables ambientales críticas en los departamentos priorizados, aportando a la actualización técnica del Atlas de Conflictividad Socioambiental para la planificación minero- energética.</v>
      </c>
      <c r="BH8" s="23">
        <v>71500000</v>
      </c>
      <c r="BI8" s="23"/>
      <c r="BJ8" s="23"/>
      <c r="BK8" s="23">
        <v>886667</v>
      </c>
      <c r="BL8" s="23"/>
      <c r="BM8" s="23">
        <v>6500000</v>
      </c>
      <c r="BN8" s="23"/>
      <c r="BO8" s="23">
        <v>6500000</v>
      </c>
      <c r="BP8" s="23"/>
      <c r="BQ8" s="23">
        <v>6500000</v>
      </c>
      <c r="BR8" s="23"/>
      <c r="BS8" s="23">
        <v>6500000</v>
      </c>
      <c r="BT8" s="23"/>
      <c r="BU8" s="23">
        <v>6500000</v>
      </c>
      <c r="BV8" s="23"/>
      <c r="BW8" s="23">
        <v>6500000</v>
      </c>
      <c r="BX8" s="23"/>
      <c r="BY8" s="23">
        <v>6500000</v>
      </c>
      <c r="BZ8" s="23"/>
      <c r="CA8" s="23">
        <v>6500000</v>
      </c>
      <c r="CB8" s="23"/>
      <c r="CC8" s="23">
        <v>6500000</v>
      </c>
      <c r="CD8" s="23"/>
      <c r="CE8" s="23">
        <v>12113333</v>
      </c>
      <c r="CF8" s="24"/>
      <c r="CG8" s="24"/>
      <c r="CH8" s="25">
        <f t="shared" ref="CH8:CI8" si="3">BH8+BJ8+BL8+BN8+BP8+BR8+BT8+BV8+BX8+BZ8+CB8+CD8+CF8</f>
        <v>71500000</v>
      </c>
      <c r="CI8" s="25">
        <f t="shared" si="3"/>
        <v>71500000</v>
      </c>
      <c r="CJ8" s="26">
        <f t="shared" ref="CJ8:CJ262" si="4">X8-CH8</f>
        <v>0</v>
      </c>
      <c r="CK8" s="26">
        <f t="shared" ref="CK8:CK262" si="5">X8-CI8</f>
        <v>0</v>
      </c>
    </row>
    <row r="9" spans="1:89" ht="90" customHeight="1" x14ac:dyDescent="0.3">
      <c r="A9" s="13" t="s">
        <v>248</v>
      </c>
      <c r="B9" s="14" t="s">
        <v>3</v>
      </c>
      <c r="C9" s="15" t="s">
        <v>249</v>
      </c>
      <c r="D9" s="14" t="s">
        <v>62</v>
      </c>
      <c r="E9" s="13" t="s">
        <v>250</v>
      </c>
      <c r="F9" s="13" t="s">
        <v>250</v>
      </c>
      <c r="G9" s="14">
        <v>2</v>
      </c>
      <c r="H9" s="13" t="s">
        <v>262</v>
      </c>
      <c r="I9" s="15" t="s">
        <v>252</v>
      </c>
      <c r="J9" s="14" t="s">
        <v>4</v>
      </c>
      <c r="K9" s="15" t="s">
        <v>81</v>
      </c>
      <c r="L9" s="14">
        <v>80111620</v>
      </c>
      <c r="M9" s="14" t="s">
        <v>5</v>
      </c>
      <c r="N9" s="14" t="s">
        <v>253</v>
      </c>
      <c r="O9" s="15" t="s">
        <v>263</v>
      </c>
      <c r="P9" s="14" t="s">
        <v>255</v>
      </c>
      <c r="Q9" s="14" t="s">
        <v>255</v>
      </c>
      <c r="R9" s="14" t="s">
        <v>255</v>
      </c>
      <c r="S9" s="17">
        <v>11</v>
      </c>
      <c r="T9" s="14" t="s">
        <v>256</v>
      </c>
      <c r="U9" s="14" t="s">
        <v>257</v>
      </c>
      <c r="V9" s="14" t="s">
        <v>112</v>
      </c>
      <c r="W9" s="18">
        <v>66000000</v>
      </c>
      <c r="X9" s="18">
        <v>66000000</v>
      </c>
      <c r="Y9" s="19" t="s">
        <v>258</v>
      </c>
      <c r="Z9" s="19" t="s">
        <v>258</v>
      </c>
      <c r="AA9" s="19" t="s">
        <v>259</v>
      </c>
      <c r="AB9" s="14" t="s">
        <v>260</v>
      </c>
      <c r="AC9" s="14">
        <v>6012220601</v>
      </c>
      <c r="AD9" s="14" t="s">
        <v>261</v>
      </c>
      <c r="AE9" s="82">
        <v>0</v>
      </c>
      <c r="AF9" s="82">
        <v>0</v>
      </c>
      <c r="AG9" s="82">
        <v>66000000</v>
      </c>
      <c r="AH9" s="82">
        <v>0</v>
      </c>
      <c r="AI9" s="82">
        <v>0</v>
      </c>
      <c r="AJ9" s="82">
        <v>6000000</v>
      </c>
      <c r="AK9" s="82">
        <v>0</v>
      </c>
      <c r="AL9" s="82">
        <v>6000000</v>
      </c>
      <c r="AM9" s="82">
        <v>0</v>
      </c>
      <c r="AN9" s="82">
        <v>6000000</v>
      </c>
      <c r="AO9" s="82">
        <v>0</v>
      </c>
      <c r="AP9" s="82">
        <v>6000000</v>
      </c>
      <c r="AQ9" s="82">
        <v>0</v>
      </c>
      <c r="AR9" s="82">
        <v>6000000</v>
      </c>
      <c r="AS9" s="82">
        <v>0</v>
      </c>
      <c r="AT9" s="82">
        <v>6000000</v>
      </c>
      <c r="AU9" s="82">
        <v>0</v>
      </c>
      <c r="AV9" s="82">
        <v>6000000</v>
      </c>
      <c r="AW9" s="82">
        <v>0</v>
      </c>
      <c r="AX9" s="82">
        <v>6000000</v>
      </c>
      <c r="AY9" s="82">
        <v>0</v>
      </c>
      <c r="AZ9" s="82">
        <v>6000000</v>
      </c>
      <c r="BA9" s="82">
        <v>0</v>
      </c>
      <c r="BB9" s="82">
        <v>12000000</v>
      </c>
      <c r="BC9" s="82">
        <f t="shared" ref="BC9:BD9" si="6">AE9+AG9+AI9+AK9+AM9+AO9+AQ9+AS9+AU9+AW9+AY9+BA9</f>
        <v>66000000</v>
      </c>
      <c r="BD9" s="82">
        <f t="shared" si="6"/>
        <v>66000000</v>
      </c>
      <c r="BE9" s="83">
        <f t="shared" si="1"/>
        <v>0</v>
      </c>
      <c r="BF9" s="83">
        <f t="shared" si="2"/>
        <v>0</v>
      </c>
      <c r="BG9" s="14" t="str">
        <f ca="1">IFERROR(__xludf.DUMMYFUNCTION("REGEXEXTRACT(O3,""^\S+\s(.+)$"")"),"Prestar servicios profesionales para el análisis y representación espacial de información socioambiental y territorial, mediante el uso de herramientas de Sistemas de Información Geográfica (SIG) que apoyen la construcción de escenarios de planeación mine"&amp;"ro-energética con énfasis en el proyecto de Enfoque Territorial.")</f>
        <v>Prestar servicios profesionales para el análisis y representación espacial de información socioambiental y territorial, mediante el uso de herramientas de Sistemas de Información Geográfica (SIG) que apoyen la construcción de escenarios de planeación minero-energética con énfasis en el proyecto de Enfoque Territorial.</v>
      </c>
      <c r="BH9" s="23"/>
      <c r="BI9" s="23"/>
      <c r="BJ9" s="23">
        <v>66000000</v>
      </c>
      <c r="BK9" s="23"/>
      <c r="BL9" s="23"/>
      <c r="BM9" s="23">
        <v>6000000</v>
      </c>
      <c r="BN9" s="23"/>
      <c r="BO9" s="23">
        <v>6000000</v>
      </c>
      <c r="BP9" s="23"/>
      <c r="BQ9" s="23">
        <v>6000000</v>
      </c>
      <c r="BR9" s="23"/>
      <c r="BS9" s="23">
        <v>6000000</v>
      </c>
      <c r="BT9" s="23"/>
      <c r="BU9" s="23">
        <v>6000000</v>
      </c>
      <c r="BV9" s="23"/>
      <c r="BW9" s="23">
        <v>6000000</v>
      </c>
      <c r="BX9" s="23"/>
      <c r="BY9" s="23">
        <v>6000000</v>
      </c>
      <c r="BZ9" s="23"/>
      <c r="CA9" s="23">
        <v>6000000</v>
      </c>
      <c r="CB9" s="23"/>
      <c r="CC9" s="23">
        <v>6000000</v>
      </c>
      <c r="CD9" s="23"/>
      <c r="CE9" s="23">
        <v>12000000</v>
      </c>
      <c r="CF9" s="28"/>
      <c r="CG9" s="28"/>
      <c r="CH9" s="25">
        <f t="shared" ref="CH9:CI9" si="7">BH9+BJ9+BL9+BN9+BP9+BR9+BT9+BV9+BX9+BZ9+CB9+CD9+CF9</f>
        <v>66000000</v>
      </c>
      <c r="CI9" s="25">
        <f t="shared" si="7"/>
        <v>66000000</v>
      </c>
      <c r="CJ9" s="26">
        <f t="shared" si="4"/>
        <v>0</v>
      </c>
      <c r="CK9" s="26">
        <f t="shared" si="5"/>
        <v>0</v>
      </c>
    </row>
    <row r="10" spans="1:89" ht="90" customHeight="1" x14ac:dyDescent="0.3">
      <c r="A10" s="13" t="s">
        <v>248</v>
      </c>
      <c r="B10" s="14" t="s">
        <v>3</v>
      </c>
      <c r="C10" s="15" t="s">
        <v>249</v>
      </c>
      <c r="D10" s="14" t="s">
        <v>62</v>
      </c>
      <c r="E10" s="13" t="s">
        <v>250</v>
      </c>
      <c r="F10" s="13" t="s">
        <v>250</v>
      </c>
      <c r="G10" s="14">
        <v>68</v>
      </c>
      <c r="H10" s="13" t="s">
        <v>264</v>
      </c>
      <c r="I10" s="15" t="s">
        <v>252</v>
      </c>
      <c r="J10" s="14" t="s">
        <v>4</v>
      </c>
      <c r="K10" s="15" t="s">
        <v>81</v>
      </c>
      <c r="L10" s="14">
        <v>80111620</v>
      </c>
      <c r="M10" s="14" t="s">
        <v>5</v>
      </c>
      <c r="N10" s="14" t="s">
        <v>253</v>
      </c>
      <c r="O10" s="15" t="s">
        <v>265</v>
      </c>
      <c r="P10" s="14" t="s">
        <v>255</v>
      </c>
      <c r="Q10" s="14" t="s">
        <v>255</v>
      </c>
      <c r="R10" s="14" t="s">
        <v>255</v>
      </c>
      <c r="S10" s="17">
        <v>11</v>
      </c>
      <c r="T10" s="14" t="s">
        <v>256</v>
      </c>
      <c r="U10" s="14" t="s">
        <v>257</v>
      </c>
      <c r="V10" s="14" t="s">
        <v>112</v>
      </c>
      <c r="W10" s="18">
        <v>82500000</v>
      </c>
      <c r="X10" s="18">
        <v>82500000</v>
      </c>
      <c r="Y10" s="19" t="s">
        <v>258</v>
      </c>
      <c r="Z10" s="19" t="s">
        <v>258</v>
      </c>
      <c r="AA10" s="19" t="s">
        <v>259</v>
      </c>
      <c r="AB10" s="14" t="s">
        <v>260</v>
      </c>
      <c r="AC10" s="14">
        <v>6012220601</v>
      </c>
      <c r="AD10" s="14" t="s">
        <v>261</v>
      </c>
      <c r="AE10" s="82">
        <v>82500000</v>
      </c>
      <c r="AF10" s="82">
        <v>0</v>
      </c>
      <c r="AG10" s="82">
        <v>0</v>
      </c>
      <c r="AH10" s="82">
        <v>750000</v>
      </c>
      <c r="AI10" s="82">
        <v>0</v>
      </c>
      <c r="AJ10" s="82">
        <v>7500000</v>
      </c>
      <c r="AK10" s="82">
        <v>0</v>
      </c>
      <c r="AL10" s="82">
        <v>7500000</v>
      </c>
      <c r="AM10" s="82">
        <v>0</v>
      </c>
      <c r="AN10" s="82">
        <v>7500000</v>
      </c>
      <c r="AO10" s="82">
        <v>0</v>
      </c>
      <c r="AP10" s="82">
        <v>7500000</v>
      </c>
      <c r="AQ10" s="82">
        <v>0</v>
      </c>
      <c r="AR10" s="82">
        <v>7500000</v>
      </c>
      <c r="AS10" s="82">
        <v>0</v>
      </c>
      <c r="AT10" s="82">
        <v>7500000</v>
      </c>
      <c r="AU10" s="82">
        <v>0</v>
      </c>
      <c r="AV10" s="82">
        <v>7500000</v>
      </c>
      <c r="AW10" s="82">
        <v>0</v>
      </c>
      <c r="AX10" s="82">
        <v>7500000</v>
      </c>
      <c r="AY10" s="82">
        <v>0</v>
      </c>
      <c r="AZ10" s="82">
        <v>7500000</v>
      </c>
      <c r="BA10" s="82">
        <v>0</v>
      </c>
      <c r="BB10" s="82">
        <v>14250000</v>
      </c>
      <c r="BC10" s="82">
        <f t="shared" ref="BC10:BD10" si="8">AE10+AG10+AI10+AK10+AM10+AO10+AQ10+AS10+AU10+AW10+AY10+BA10</f>
        <v>82500000</v>
      </c>
      <c r="BD10" s="82">
        <f t="shared" si="8"/>
        <v>82500000</v>
      </c>
      <c r="BE10" s="83">
        <f t="shared" si="1"/>
        <v>0</v>
      </c>
      <c r="BF10" s="83">
        <f t="shared" si="2"/>
        <v>0</v>
      </c>
      <c r="BG10" s="14" t="str">
        <f ca="1">IFERROR(__xludf.DUMMYFUNCTION("REGEXEXTRACT(O4,""^\S+\s(.+)$"")"),"Prestar servicios profesionales para apoyar la identificación e incorporación de variables sociales y territoriales en los documentos de la UPME, con el fin de fortalecer el conocimiento sobre la relación entre el desarrollo minero-energético.")</f>
        <v>Prestar servicios profesionales para apoyar la identificación e incorporación de variables sociales y territoriales en los documentos de la UPME, con el fin de fortalecer el conocimiento sobre la relación entre el desarrollo minero-energético.</v>
      </c>
      <c r="BH10" s="23">
        <v>82500000</v>
      </c>
      <c r="BI10" s="23"/>
      <c r="BJ10" s="23"/>
      <c r="BK10" s="23">
        <v>750000</v>
      </c>
      <c r="BL10" s="23"/>
      <c r="BM10" s="23">
        <v>7500000</v>
      </c>
      <c r="BN10" s="23"/>
      <c r="BO10" s="23">
        <v>7500000</v>
      </c>
      <c r="BP10" s="23"/>
      <c r="BQ10" s="23">
        <v>7500000</v>
      </c>
      <c r="BR10" s="23"/>
      <c r="BS10" s="23">
        <v>7500000</v>
      </c>
      <c r="BT10" s="23"/>
      <c r="BU10" s="23">
        <v>7500000</v>
      </c>
      <c r="BV10" s="23"/>
      <c r="BW10" s="23">
        <v>7500000</v>
      </c>
      <c r="BX10" s="23"/>
      <c r="BY10" s="23">
        <v>7500000</v>
      </c>
      <c r="BZ10" s="23"/>
      <c r="CA10" s="23">
        <v>7500000</v>
      </c>
      <c r="CB10" s="23"/>
      <c r="CC10" s="23">
        <v>7500000</v>
      </c>
      <c r="CD10" s="23"/>
      <c r="CE10" s="23">
        <v>14250000</v>
      </c>
      <c r="CF10" s="28"/>
      <c r="CG10" s="28"/>
      <c r="CH10" s="25">
        <f t="shared" ref="CH10:CI10" si="9">BH10+BJ10+BL10+BN10+BP10+BR10+BT10+BV10+BX10+BZ10+CB10+CD10+CF10</f>
        <v>82500000</v>
      </c>
      <c r="CI10" s="25">
        <f t="shared" si="9"/>
        <v>82500000</v>
      </c>
      <c r="CJ10" s="26">
        <f t="shared" si="4"/>
        <v>0</v>
      </c>
      <c r="CK10" s="26">
        <f t="shared" si="5"/>
        <v>0</v>
      </c>
    </row>
    <row r="11" spans="1:89" ht="90" customHeight="1" x14ac:dyDescent="0.3">
      <c r="A11" s="13" t="s">
        <v>248</v>
      </c>
      <c r="B11" s="14" t="s">
        <v>3</v>
      </c>
      <c r="C11" s="15" t="s">
        <v>249</v>
      </c>
      <c r="D11" s="14" t="s">
        <v>62</v>
      </c>
      <c r="E11" s="13" t="s">
        <v>250</v>
      </c>
      <c r="F11" s="13" t="s">
        <v>250</v>
      </c>
      <c r="G11" s="14">
        <v>2</v>
      </c>
      <c r="H11" s="13" t="s">
        <v>266</v>
      </c>
      <c r="I11" s="15" t="s">
        <v>252</v>
      </c>
      <c r="J11" s="14" t="s">
        <v>4</v>
      </c>
      <c r="K11" s="15" t="s">
        <v>81</v>
      </c>
      <c r="L11" s="14">
        <v>80111620</v>
      </c>
      <c r="M11" s="14" t="s">
        <v>5</v>
      </c>
      <c r="N11" s="14" t="s">
        <v>253</v>
      </c>
      <c r="O11" s="15" t="s">
        <v>267</v>
      </c>
      <c r="P11" s="14" t="s">
        <v>255</v>
      </c>
      <c r="Q11" s="14" t="s">
        <v>255</v>
      </c>
      <c r="R11" s="14" t="s">
        <v>255</v>
      </c>
      <c r="S11" s="17">
        <v>11</v>
      </c>
      <c r="T11" s="14" t="s">
        <v>256</v>
      </c>
      <c r="U11" s="14" t="s">
        <v>257</v>
      </c>
      <c r="V11" s="14" t="s">
        <v>112</v>
      </c>
      <c r="W11" s="18">
        <v>71500000</v>
      </c>
      <c r="X11" s="18">
        <v>71500000</v>
      </c>
      <c r="Y11" s="19" t="s">
        <v>258</v>
      </c>
      <c r="Z11" s="19" t="s">
        <v>258</v>
      </c>
      <c r="AA11" s="19" t="s">
        <v>259</v>
      </c>
      <c r="AB11" s="14" t="s">
        <v>260</v>
      </c>
      <c r="AC11" s="14">
        <v>6012220601</v>
      </c>
      <c r="AD11" s="14" t="s">
        <v>261</v>
      </c>
      <c r="AE11" s="82">
        <v>71500000</v>
      </c>
      <c r="AF11" s="82">
        <v>0</v>
      </c>
      <c r="AG11" s="82">
        <v>0</v>
      </c>
      <c r="AH11" s="82">
        <v>1083333</v>
      </c>
      <c r="AI11" s="82">
        <v>0</v>
      </c>
      <c r="AJ11" s="82">
        <v>6500000</v>
      </c>
      <c r="AK11" s="82">
        <v>0</v>
      </c>
      <c r="AL11" s="82">
        <v>6500000</v>
      </c>
      <c r="AM11" s="82">
        <v>0</v>
      </c>
      <c r="AN11" s="82">
        <v>6500000</v>
      </c>
      <c r="AO11" s="82">
        <v>0</v>
      </c>
      <c r="AP11" s="82">
        <v>6500000</v>
      </c>
      <c r="AQ11" s="82">
        <v>0</v>
      </c>
      <c r="AR11" s="82">
        <v>6500000</v>
      </c>
      <c r="AS11" s="82">
        <v>0</v>
      </c>
      <c r="AT11" s="82">
        <v>6500000</v>
      </c>
      <c r="AU11" s="82">
        <v>0</v>
      </c>
      <c r="AV11" s="82">
        <v>6500000</v>
      </c>
      <c r="AW11" s="82">
        <v>0</v>
      </c>
      <c r="AX11" s="82">
        <v>6500000</v>
      </c>
      <c r="AY11" s="82">
        <v>0</v>
      </c>
      <c r="AZ11" s="82">
        <v>6500000</v>
      </c>
      <c r="BA11" s="82">
        <v>0</v>
      </c>
      <c r="BB11" s="82">
        <v>11916667</v>
      </c>
      <c r="BC11" s="82">
        <f t="shared" ref="BC11:BD11" si="10">AE11+AG11+AI11+AK11+AM11+AO11+AQ11+AS11+AU11+AW11+AY11+BA11</f>
        <v>71500000</v>
      </c>
      <c r="BD11" s="82">
        <f t="shared" si="10"/>
        <v>71500000</v>
      </c>
      <c r="BE11" s="83">
        <f t="shared" si="1"/>
        <v>0</v>
      </c>
      <c r="BF11" s="83">
        <f t="shared" si="2"/>
        <v>0</v>
      </c>
      <c r="BG11" s="14" t="str">
        <f ca="1">IFERROR(__xludf.DUMMYFUNCTION("REGEXEXTRACT(O5,""^\S+\s(.+)$"")"),"Prestar servicios profesionales a la Unidad de Planeación Minero-Energética (UPME) en el ejercicio de la secretaría técnica de comités interinstitucionales e intersectoriales, el fortalecimiento del relacionamiento estratégico entre niveles de gobierno y "&amp;"sectores, y el acompañamiento a procesos de territorialización y diálogo social en el marco de la planeación energética nacional y regional.")</f>
        <v>Prestar servicios profesionales a la Unidad de Planeación Minero-Energética (UPME) en el ejercicio de la secretaría técnica de comités interinstitucionales e intersectoriales, el fortalecimiento del relacionamiento estratégico entre niveles de gobierno y sectores, y el acompañamiento a procesos de territorialización y diálogo social en el marco de la planeación energética nacional y regional.</v>
      </c>
      <c r="BH11" s="23">
        <v>71500000</v>
      </c>
      <c r="BI11" s="23"/>
      <c r="BJ11" s="23"/>
      <c r="BK11" s="23">
        <v>1083333</v>
      </c>
      <c r="BL11" s="23"/>
      <c r="BM11" s="23">
        <v>6500000</v>
      </c>
      <c r="BN11" s="23"/>
      <c r="BO11" s="23">
        <v>6500000</v>
      </c>
      <c r="BP11" s="23"/>
      <c r="BQ11" s="23">
        <v>6500000</v>
      </c>
      <c r="BR11" s="23"/>
      <c r="BS11" s="23">
        <v>6500000</v>
      </c>
      <c r="BT11" s="23"/>
      <c r="BU11" s="23">
        <v>6500000</v>
      </c>
      <c r="BV11" s="23"/>
      <c r="BW11" s="23">
        <v>6500000</v>
      </c>
      <c r="BX11" s="23"/>
      <c r="BY11" s="23">
        <v>6500000</v>
      </c>
      <c r="BZ11" s="23"/>
      <c r="CA11" s="23">
        <v>6500000</v>
      </c>
      <c r="CB11" s="23"/>
      <c r="CC11" s="23">
        <v>6500000</v>
      </c>
      <c r="CD11" s="23"/>
      <c r="CE11" s="23">
        <v>11916667</v>
      </c>
      <c r="CF11" s="28"/>
      <c r="CG11" s="28"/>
      <c r="CH11" s="25">
        <f t="shared" ref="CH11:CI11" si="11">BH11+BJ11+BL11+BN11+BP11+BR11+BT11+BV11+BX11+BZ11+CB11+CD11+CF11</f>
        <v>71500000</v>
      </c>
      <c r="CI11" s="25">
        <f t="shared" si="11"/>
        <v>71500000</v>
      </c>
      <c r="CJ11" s="26">
        <f t="shared" si="4"/>
        <v>0</v>
      </c>
      <c r="CK11" s="26">
        <f t="shared" si="5"/>
        <v>0</v>
      </c>
    </row>
    <row r="12" spans="1:89" ht="90" customHeight="1" x14ac:dyDescent="0.3">
      <c r="A12" s="13" t="s">
        <v>248</v>
      </c>
      <c r="B12" s="14" t="s">
        <v>3</v>
      </c>
      <c r="C12" s="15" t="s">
        <v>249</v>
      </c>
      <c r="D12" s="14" t="s">
        <v>62</v>
      </c>
      <c r="E12" s="13" t="s">
        <v>250</v>
      </c>
      <c r="F12" s="13" t="s">
        <v>250</v>
      </c>
      <c r="G12" s="14">
        <v>68</v>
      </c>
      <c r="H12" s="13" t="s">
        <v>268</v>
      </c>
      <c r="I12" s="15" t="s">
        <v>252</v>
      </c>
      <c r="J12" s="14" t="s">
        <v>4</v>
      </c>
      <c r="K12" s="15" t="s">
        <v>81</v>
      </c>
      <c r="L12" s="14">
        <v>80111620</v>
      </c>
      <c r="M12" s="14" t="s">
        <v>5</v>
      </c>
      <c r="N12" s="14" t="s">
        <v>253</v>
      </c>
      <c r="O12" s="15" t="s">
        <v>269</v>
      </c>
      <c r="P12" s="14" t="s">
        <v>255</v>
      </c>
      <c r="Q12" s="14" t="s">
        <v>255</v>
      </c>
      <c r="R12" s="14" t="s">
        <v>255</v>
      </c>
      <c r="S12" s="17">
        <v>10</v>
      </c>
      <c r="T12" s="14" t="s">
        <v>256</v>
      </c>
      <c r="U12" s="14" t="s">
        <v>257</v>
      </c>
      <c r="V12" s="14" t="s">
        <v>112</v>
      </c>
      <c r="W12" s="18">
        <v>72000000</v>
      </c>
      <c r="X12" s="18">
        <v>72000000</v>
      </c>
      <c r="Y12" s="19" t="s">
        <v>258</v>
      </c>
      <c r="Z12" s="19" t="s">
        <v>258</v>
      </c>
      <c r="AA12" s="19" t="s">
        <v>259</v>
      </c>
      <c r="AB12" s="14" t="s">
        <v>260</v>
      </c>
      <c r="AC12" s="14">
        <v>6012220601</v>
      </c>
      <c r="AD12" s="14" t="s">
        <v>261</v>
      </c>
      <c r="AE12" s="82">
        <v>0</v>
      </c>
      <c r="AF12" s="82">
        <v>0</v>
      </c>
      <c r="AG12" s="82">
        <v>72000000</v>
      </c>
      <c r="AH12" s="82">
        <v>0</v>
      </c>
      <c r="AI12" s="82">
        <v>0</v>
      </c>
      <c r="AJ12" s="82">
        <v>6240000</v>
      </c>
      <c r="AK12" s="82">
        <v>0</v>
      </c>
      <c r="AL12" s="82">
        <v>7200000</v>
      </c>
      <c r="AM12" s="82">
        <v>0</v>
      </c>
      <c r="AN12" s="82">
        <v>7200000</v>
      </c>
      <c r="AO12" s="82">
        <v>0</v>
      </c>
      <c r="AP12" s="82">
        <v>7200000</v>
      </c>
      <c r="AQ12" s="82">
        <v>0</v>
      </c>
      <c r="AR12" s="82">
        <v>7200000</v>
      </c>
      <c r="AS12" s="82">
        <v>0</v>
      </c>
      <c r="AT12" s="82">
        <v>7200000</v>
      </c>
      <c r="AU12" s="82">
        <v>0</v>
      </c>
      <c r="AV12" s="82">
        <v>7200000</v>
      </c>
      <c r="AW12" s="82">
        <v>0</v>
      </c>
      <c r="AX12" s="82">
        <v>7200000</v>
      </c>
      <c r="AY12" s="82">
        <v>0</v>
      </c>
      <c r="AZ12" s="82">
        <v>7200000</v>
      </c>
      <c r="BA12" s="82">
        <v>0</v>
      </c>
      <c r="BB12" s="82">
        <v>8160000</v>
      </c>
      <c r="BC12" s="82">
        <f t="shared" ref="BC12:BD12" si="12">AE12+AG12+AI12+AK12+AM12+AO12+AQ12+AS12+AU12+AW12+AY12+BA12</f>
        <v>72000000</v>
      </c>
      <c r="BD12" s="82">
        <f t="shared" si="12"/>
        <v>72000000</v>
      </c>
      <c r="BE12" s="83">
        <f t="shared" si="1"/>
        <v>0</v>
      </c>
      <c r="BF12" s="83">
        <f t="shared" si="2"/>
        <v>0</v>
      </c>
      <c r="BG12" s="14" t="str">
        <f ca="1">IFERROR(__xludf.DUMMYFUNCTION("REGEXEXTRACT(O6,""^\S+\s(.+)$"")"),"Prestar los servicios profesionales en la construcción de conceptos jurídicos del Proyecto Enfoque Territorial, acorde a la normativa vigente, y analizar el marco regulatorio relacionado con los aspectos jurídicos que involucran la planeación de energía e"&amp;"léctrica de orden nacional en la UPME.")</f>
        <v>Prestar los servicios profesionales en la construcción de conceptos jurídicos del Proyecto Enfoque Territorial, acorde a la normativa vigente, y analizar el marco regulatorio relacionado con los aspectos jurídicos que involucran la planeación de energía eléctrica de orden nacional en la UPME.</v>
      </c>
      <c r="BH12" s="23"/>
      <c r="BI12" s="23"/>
      <c r="BJ12" s="23">
        <v>72000000</v>
      </c>
      <c r="BK12" s="23"/>
      <c r="BL12" s="23"/>
      <c r="BM12" s="23">
        <v>6240000</v>
      </c>
      <c r="BN12" s="23"/>
      <c r="BO12" s="23">
        <v>7200000</v>
      </c>
      <c r="BP12" s="23"/>
      <c r="BQ12" s="23">
        <v>7200000</v>
      </c>
      <c r="BR12" s="23"/>
      <c r="BS12" s="23">
        <v>7200000</v>
      </c>
      <c r="BT12" s="23"/>
      <c r="BU12" s="23">
        <v>7200000</v>
      </c>
      <c r="BV12" s="23"/>
      <c r="BW12" s="23">
        <v>7200000</v>
      </c>
      <c r="BX12" s="23"/>
      <c r="BY12" s="23">
        <v>7200000</v>
      </c>
      <c r="BZ12" s="23"/>
      <c r="CA12" s="23">
        <v>7200000</v>
      </c>
      <c r="CB12" s="23"/>
      <c r="CC12" s="23">
        <v>7200000</v>
      </c>
      <c r="CD12" s="23"/>
      <c r="CE12" s="23">
        <v>8160000</v>
      </c>
      <c r="CF12" s="28"/>
      <c r="CG12" s="28"/>
      <c r="CH12" s="25">
        <f t="shared" ref="CH12:CI12" si="13">BH12+BJ12+BL12+BN12+BP12+BR12+BT12+BV12+BX12+BZ12+CB12+CD12+CF12</f>
        <v>72000000</v>
      </c>
      <c r="CI12" s="25">
        <f t="shared" si="13"/>
        <v>72000000</v>
      </c>
      <c r="CJ12" s="26">
        <f t="shared" si="4"/>
        <v>0</v>
      </c>
      <c r="CK12" s="26">
        <f t="shared" si="5"/>
        <v>0</v>
      </c>
    </row>
    <row r="13" spans="1:89" ht="90" customHeight="1" x14ac:dyDescent="0.3">
      <c r="A13" s="13" t="s">
        <v>248</v>
      </c>
      <c r="B13" s="14" t="s">
        <v>3</v>
      </c>
      <c r="C13" s="15" t="s">
        <v>249</v>
      </c>
      <c r="D13" s="14" t="s">
        <v>62</v>
      </c>
      <c r="E13" s="13" t="s">
        <v>250</v>
      </c>
      <c r="F13" s="13" t="s">
        <v>250</v>
      </c>
      <c r="G13" s="14">
        <v>6</v>
      </c>
      <c r="H13" s="13" t="s">
        <v>270</v>
      </c>
      <c r="I13" s="15" t="s">
        <v>252</v>
      </c>
      <c r="J13" s="14" t="s">
        <v>4</v>
      </c>
      <c r="K13" s="15" t="s">
        <v>81</v>
      </c>
      <c r="L13" s="14">
        <v>80111620</v>
      </c>
      <c r="M13" s="14" t="s">
        <v>5</v>
      </c>
      <c r="N13" s="14" t="s">
        <v>253</v>
      </c>
      <c r="O13" s="15" t="s">
        <v>271</v>
      </c>
      <c r="P13" s="14" t="s">
        <v>255</v>
      </c>
      <c r="Q13" s="14" t="s">
        <v>255</v>
      </c>
      <c r="R13" s="14" t="s">
        <v>255</v>
      </c>
      <c r="S13" s="17">
        <v>9</v>
      </c>
      <c r="T13" s="14" t="s">
        <v>256</v>
      </c>
      <c r="U13" s="14" t="s">
        <v>257</v>
      </c>
      <c r="V13" s="14" t="s">
        <v>112</v>
      </c>
      <c r="W13" s="18">
        <v>62372574</v>
      </c>
      <c r="X13" s="18">
        <v>62372574</v>
      </c>
      <c r="Y13" s="19" t="s">
        <v>258</v>
      </c>
      <c r="Z13" s="19" t="s">
        <v>258</v>
      </c>
      <c r="AA13" s="19" t="s">
        <v>259</v>
      </c>
      <c r="AB13" s="14" t="s">
        <v>260</v>
      </c>
      <c r="AC13" s="14">
        <v>6012220601</v>
      </c>
      <c r="AD13" s="14" t="s">
        <v>261</v>
      </c>
      <c r="AE13" s="82">
        <v>54169500</v>
      </c>
      <c r="AF13" s="82">
        <v>0</v>
      </c>
      <c r="AG13" s="82">
        <v>0</v>
      </c>
      <c r="AH13" s="82">
        <v>0</v>
      </c>
      <c r="AI13" s="82">
        <v>0</v>
      </c>
      <c r="AJ13" s="82">
        <v>5670234</v>
      </c>
      <c r="AK13" s="82">
        <v>0</v>
      </c>
      <c r="AL13" s="82">
        <v>5670234</v>
      </c>
      <c r="AM13" s="82">
        <v>0</v>
      </c>
      <c r="AN13" s="82">
        <v>5670234</v>
      </c>
      <c r="AO13" s="82">
        <v>0</v>
      </c>
      <c r="AP13" s="82">
        <v>5670234</v>
      </c>
      <c r="AQ13" s="82">
        <v>8203074</v>
      </c>
      <c r="AR13" s="82">
        <v>5670234</v>
      </c>
      <c r="AS13" s="82">
        <v>0</v>
      </c>
      <c r="AT13" s="82">
        <v>5670234</v>
      </c>
      <c r="AU13" s="82">
        <v>0</v>
      </c>
      <c r="AV13" s="82">
        <v>5670234</v>
      </c>
      <c r="AW13" s="82">
        <v>0</v>
      </c>
      <c r="AX13" s="82">
        <v>5670234</v>
      </c>
      <c r="AY13" s="82">
        <v>0</v>
      </c>
      <c r="AZ13" s="82">
        <v>5670234</v>
      </c>
      <c r="BA13" s="82">
        <v>0</v>
      </c>
      <c r="BB13" s="82">
        <v>11340468</v>
      </c>
      <c r="BC13" s="82">
        <f t="shared" ref="BC13:BD13" si="14">AE13+AG13+AI13+AK13+AM13+AO13+AQ13+AS13+AU13+AW13+AY13+BA13</f>
        <v>62372574</v>
      </c>
      <c r="BD13" s="82">
        <f t="shared" si="14"/>
        <v>62372574</v>
      </c>
      <c r="BE13" s="83">
        <f t="shared" si="1"/>
        <v>0</v>
      </c>
      <c r="BF13" s="83">
        <f t="shared" si="2"/>
        <v>0</v>
      </c>
      <c r="BG13" s="14" t="str">
        <f ca="1">IFERROR(__xludf.DUMMYFUNCTION("REGEXEXTRACT(O7,""^\S+\s(.+)$"")"),"Prestar servicios profesionales para el análisis, seguimiento y fortalecimiento de la gobernanza territorial del sector minero-energético, mediante el diseño de estrategias de relacionamiento institucional y el análisis de la dinámica política y social de"&amp;" los actores en las regiones priorizadas por el Proyecto de Enfoque Territorial de la UPME.")</f>
        <v>Prestar servicios profesionales para el análisis, seguimiento y fortalecimiento de la gobernanza territorial del sector minero-energético, mediante el diseño de estrategias de relacionamiento institucional y el análisis de la dinámica política y social de los actores en las regiones priorizadas por el Proyecto de Enfoque Territorial de la UPME.</v>
      </c>
      <c r="BH13" s="23">
        <v>54169500</v>
      </c>
      <c r="BI13" s="23"/>
      <c r="BJ13" s="23"/>
      <c r="BK13" s="23"/>
      <c r="BL13" s="23"/>
      <c r="BM13" s="23">
        <v>5670234</v>
      </c>
      <c r="BN13" s="23"/>
      <c r="BO13" s="23">
        <v>5670234</v>
      </c>
      <c r="BP13" s="23"/>
      <c r="BQ13" s="23">
        <v>5670234</v>
      </c>
      <c r="BR13" s="23"/>
      <c r="BS13" s="23">
        <v>5670234</v>
      </c>
      <c r="BT13" s="23">
        <v>8203074</v>
      </c>
      <c r="BU13" s="23">
        <v>5670234</v>
      </c>
      <c r="BV13" s="23"/>
      <c r="BW13" s="23">
        <v>5670234</v>
      </c>
      <c r="BX13" s="23"/>
      <c r="BY13" s="23">
        <v>5670234</v>
      </c>
      <c r="BZ13" s="23"/>
      <c r="CA13" s="23">
        <v>5670234</v>
      </c>
      <c r="CB13" s="23"/>
      <c r="CC13" s="23">
        <v>5670234</v>
      </c>
      <c r="CD13" s="23"/>
      <c r="CE13" s="23">
        <v>11340468</v>
      </c>
      <c r="CF13" s="28"/>
      <c r="CG13" s="28"/>
      <c r="CH13" s="25">
        <f t="shared" ref="CH13:CI13" si="15">BH13+BJ13+BL13+BN13+BP13+BR13+BT13+BV13+BX13+BZ13+CB13+CD13+CF13</f>
        <v>62372574</v>
      </c>
      <c r="CI13" s="25">
        <f t="shared" si="15"/>
        <v>62372574</v>
      </c>
      <c r="CJ13" s="26">
        <f t="shared" si="4"/>
        <v>0</v>
      </c>
      <c r="CK13" s="26">
        <f t="shared" si="5"/>
        <v>0</v>
      </c>
    </row>
    <row r="14" spans="1:89" ht="90" customHeight="1" x14ac:dyDescent="0.3">
      <c r="A14" s="13" t="s">
        <v>248</v>
      </c>
      <c r="B14" s="14" t="s">
        <v>3</v>
      </c>
      <c r="C14" s="15" t="s">
        <v>249</v>
      </c>
      <c r="D14" s="14" t="s">
        <v>62</v>
      </c>
      <c r="E14" s="13" t="s">
        <v>250</v>
      </c>
      <c r="F14" s="13" t="s">
        <v>250</v>
      </c>
      <c r="G14" s="14">
        <v>68</v>
      </c>
      <c r="H14" s="13" t="s">
        <v>272</v>
      </c>
      <c r="I14" s="15" t="s">
        <v>252</v>
      </c>
      <c r="J14" s="14" t="s">
        <v>4</v>
      </c>
      <c r="K14" s="15" t="s">
        <v>81</v>
      </c>
      <c r="L14" s="14">
        <v>80111620</v>
      </c>
      <c r="M14" s="14" t="s">
        <v>5</v>
      </c>
      <c r="N14" s="14" t="s">
        <v>253</v>
      </c>
      <c r="O14" s="15" t="s">
        <v>273</v>
      </c>
      <c r="P14" s="14" t="s">
        <v>255</v>
      </c>
      <c r="Q14" s="14" t="s">
        <v>255</v>
      </c>
      <c r="R14" s="14" t="s">
        <v>255</v>
      </c>
      <c r="S14" s="17">
        <v>10</v>
      </c>
      <c r="T14" s="14" t="s">
        <v>256</v>
      </c>
      <c r="U14" s="14" t="s">
        <v>257</v>
      </c>
      <c r="V14" s="14" t="s">
        <v>112</v>
      </c>
      <c r="W14" s="18">
        <v>60000000</v>
      </c>
      <c r="X14" s="18">
        <v>60000000</v>
      </c>
      <c r="Y14" s="19" t="s">
        <v>258</v>
      </c>
      <c r="Z14" s="19" t="s">
        <v>258</v>
      </c>
      <c r="AA14" s="19" t="s">
        <v>259</v>
      </c>
      <c r="AB14" s="14" t="s">
        <v>260</v>
      </c>
      <c r="AC14" s="14">
        <v>6012220601</v>
      </c>
      <c r="AD14" s="14" t="s">
        <v>261</v>
      </c>
      <c r="AE14" s="82">
        <v>60000000</v>
      </c>
      <c r="AF14" s="82">
        <v>0</v>
      </c>
      <c r="AG14" s="82">
        <v>0</v>
      </c>
      <c r="AH14" s="82">
        <v>1000000</v>
      </c>
      <c r="AI14" s="82">
        <v>0</v>
      </c>
      <c r="AJ14" s="82">
        <v>6000000</v>
      </c>
      <c r="AK14" s="82">
        <v>0</v>
      </c>
      <c r="AL14" s="82">
        <v>6000000</v>
      </c>
      <c r="AM14" s="82">
        <v>0</v>
      </c>
      <c r="AN14" s="82">
        <v>6000000</v>
      </c>
      <c r="AO14" s="82">
        <v>0</v>
      </c>
      <c r="AP14" s="82">
        <v>6000000</v>
      </c>
      <c r="AQ14" s="82">
        <v>0</v>
      </c>
      <c r="AR14" s="82">
        <v>6000000</v>
      </c>
      <c r="AS14" s="82">
        <v>0</v>
      </c>
      <c r="AT14" s="82">
        <v>6000000</v>
      </c>
      <c r="AU14" s="82">
        <v>0</v>
      </c>
      <c r="AV14" s="82">
        <v>6000000</v>
      </c>
      <c r="AW14" s="82">
        <v>0</v>
      </c>
      <c r="AX14" s="82">
        <v>6000000</v>
      </c>
      <c r="AY14" s="82">
        <v>0</v>
      </c>
      <c r="AZ14" s="82">
        <v>6000000</v>
      </c>
      <c r="BA14" s="82">
        <v>0</v>
      </c>
      <c r="BB14" s="82">
        <v>5000000</v>
      </c>
      <c r="BC14" s="82">
        <f t="shared" ref="BC14:BD14" si="16">AE14+AG14+AI14+AK14+AM14+AO14+AQ14+AS14+AU14+AW14+AY14+BA14</f>
        <v>60000000</v>
      </c>
      <c r="BD14" s="82">
        <f t="shared" si="16"/>
        <v>60000000</v>
      </c>
      <c r="BE14" s="83">
        <f t="shared" si="1"/>
        <v>0</v>
      </c>
      <c r="BF14" s="83">
        <f t="shared" si="2"/>
        <v>0</v>
      </c>
      <c r="BG14" s="14" t="str">
        <f ca="1">IFERROR(__xludf.DUMMYFUNCTION("REGEXEXTRACT(O8,""^\S+\s(.+)$"")"),"Prestar servicios profesionales para apoyar las actividades de organización, análisis básico de información y mejora de procesos operativos que contribuyan a la evaluación y divulgación de lineamientos relacionados con el Atlas de Conflictividad Socioambi"&amp;"ental.")</f>
        <v>Prestar servicios profesionales para apoyar las actividades de organización, análisis básico de información y mejora de procesos operativos que contribuyan a la evaluación y divulgación de lineamientos relacionados con el Atlas de Conflictividad Socioambiental.</v>
      </c>
      <c r="BH14" s="23">
        <v>60000000</v>
      </c>
      <c r="BI14" s="23"/>
      <c r="BJ14" s="23"/>
      <c r="BK14" s="23">
        <v>1000000</v>
      </c>
      <c r="BL14" s="23"/>
      <c r="BM14" s="23">
        <v>6000000</v>
      </c>
      <c r="BN14" s="23"/>
      <c r="BO14" s="23">
        <v>6000000</v>
      </c>
      <c r="BP14" s="23"/>
      <c r="BQ14" s="23">
        <v>6000000</v>
      </c>
      <c r="BR14" s="23"/>
      <c r="BS14" s="23">
        <v>6000000</v>
      </c>
      <c r="BT14" s="23"/>
      <c r="BU14" s="23">
        <v>6000000</v>
      </c>
      <c r="BV14" s="23"/>
      <c r="BW14" s="23">
        <v>6000000</v>
      </c>
      <c r="BX14" s="23"/>
      <c r="BY14" s="23">
        <v>6000000</v>
      </c>
      <c r="BZ14" s="23"/>
      <c r="CA14" s="23">
        <v>6000000</v>
      </c>
      <c r="CB14" s="23"/>
      <c r="CC14" s="23">
        <v>6000000</v>
      </c>
      <c r="CD14" s="23"/>
      <c r="CE14" s="23">
        <v>5000000</v>
      </c>
      <c r="CF14" s="28"/>
      <c r="CG14" s="28"/>
      <c r="CH14" s="25">
        <f t="shared" ref="CH14:CI14" si="17">BH14+BJ14+BL14+BN14+BP14+BR14+BT14+BV14+BX14+BZ14+CB14+CD14+CF14</f>
        <v>60000000</v>
      </c>
      <c r="CI14" s="25">
        <f t="shared" si="17"/>
        <v>60000000</v>
      </c>
      <c r="CJ14" s="26">
        <f t="shared" si="4"/>
        <v>0</v>
      </c>
      <c r="CK14" s="26">
        <f t="shared" si="5"/>
        <v>0</v>
      </c>
    </row>
    <row r="15" spans="1:89" ht="90" customHeight="1" x14ac:dyDescent="0.3">
      <c r="A15" s="13" t="s">
        <v>248</v>
      </c>
      <c r="B15" s="14" t="s">
        <v>3</v>
      </c>
      <c r="C15" s="15" t="s">
        <v>249</v>
      </c>
      <c r="D15" s="14" t="s">
        <v>62</v>
      </c>
      <c r="E15" s="13" t="s">
        <v>250</v>
      </c>
      <c r="F15" s="13" t="s">
        <v>250</v>
      </c>
      <c r="G15" s="14">
        <v>68</v>
      </c>
      <c r="H15" s="13" t="s">
        <v>274</v>
      </c>
      <c r="I15" s="15" t="s">
        <v>252</v>
      </c>
      <c r="J15" s="14" t="s">
        <v>4</v>
      </c>
      <c r="K15" s="15" t="s">
        <v>81</v>
      </c>
      <c r="L15" s="14">
        <v>80111620</v>
      </c>
      <c r="M15" s="14" t="s">
        <v>5</v>
      </c>
      <c r="N15" s="14" t="s">
        <v>253</v>
      </c>
      <c r="O15" s="15" t="s">
        <v>275</v>
      </c>
      <c r="P15" s="14" t="s">
        <v>255</v>
      </c>
      <c r="Q15" s="14" t="s">
        <v>255</v>
      </c>
      <c r="R15" s="14" t="s">
        <v>255</v>
      </c>
      <c r="S15" s="17">
        <v>10</v>
      </c>
      <c r="T15" s="14" t="s">
        <v>256</v>
      </c>
      <c r="U15" s="14" t="s">
        <v>257</v>
      </c>
      <c r="V15" s="14" t="s">
        <v>112</v>
      </c>
      <c r="W15" s="18">
        <v>72000000</v>
      </c>
      <c r="X15" s="18">
        <v>72000000</v>
      </c>
      <c r="Y15" s="19" t="s">
        <v>258</v>
      </c>
      <c r="Z15" s="19" t="s">
        <v>258</v>
      </c>
      <c r="AA15" s="19" t="s">
        <v>259</v>
      </c>
      <c r="AB15" s="14" t="s">
        <v>260</v>
      </c>
      <c r="AC15" s="14">
        <v>6012220601</v>
      </c>
      <c r="AD15" s="14" t="s">
        <v>261</v>
      </c>
      <c r="AE15" s="82">
        <v>72000000</v>
      </c>
      <c r="AF15" s="82">
        <v>0</v>
      </c>
      <c r="AG15" s="82">
        <v>0</v>
      </c>
      <c r="AH15" s="82">
        <v>2400000</v>
      </c>
      <c r="AI15" s="82">
        <v>0</v>
      </c>
      <c r="AJ15" s="82">
        <v>7200000</v>
      </c>
      <c r="AK15" s="82">
        <v>0</v>
      </c>
      <c r="AL15" s="82">
        <v>7200000</v>
      </c>
      <c r="AM15" s="82">
        <v>0</v>
      </c>
      <c r="AN15" s="82">
        <v>7200000</v>
      </c>
      <c r="AO15" s="82">
        <v>0</v>
      </c>
      <c r="AP15" s="82">
        <v>7200000</v>
      </c>
      <c r="AQ15" s="82">
        <v>0</v>
      </c>
      <c r="AR15" s="82">
        <v>7200000</v>
      </c>
      <c r="AS15" s="82">
        <v>0</v>
      </c>
      <c r="AT15" s="82">
        <v>7200000</v>
      </c>
      <c r="AU15" s="82">
        <v>0</v>
      </c>
      <c r="AV15" s="82">
        <v>7200000</v>
      </c>
      <c r="AW15" s="82">
        <v>0</v>
      </c>
      <c r="AX15" s="82">
        <v>7200000</v>
      </c>
      <c r="AY15" s="82">
        <v>0</v>
      </c>
      <c r="AZ15" s="82">
        <v>7200000</v>
      </c>
      <c r="BA15" s="82">
        <v>0</v>
      </c>
      <c r="BB15" s="82">
        <v>4800000</v>
      </c>
      <c r="BC15" s="82">
        <f t="shared" ref="BC15:BD15" si="18">AE15+AG15+AI15+AK15+AM15+AO15+AQ15+AS15+AU15+AW15+AY15+BA15</f>
        <v>72000000</v>
      </c>
      <c r="BD15" s="82">
        <f t="shared" si="18"/>
        <v>72000000</v>
      </c>
      <c r="BE15" s="83">
        <f t="shared" si="1"/>
        <v>0</v>
      </c>
      <c r="BF15" s="83">
        <f t="shared" si="2"/>
        <v>0</v>
      </c>
      <c r="BG15" s="14" t="str">
        <f ca="1">IFERROR(__xludf.DUMMYFUNCTION("REGEXEXTRACT(O9,""^\S+\s(.+)$"")"),"Prestar servicios profesionales de apoyo jurídico para la revisión normativa y la emisión de conceptos relacionados con los habilitadores socioambientales y la infraestructura energética, articulando criterios legales con las necesidades del proyecto Enfo"&amp;"que Territorial, con el fin de fortalecer la planeación institucional y la adecuada incorporación de dichos habilitadores en los proyectos misionales de la entidad.")</f>
        <v>Prestar servicios profesionales de apoyo jurídico para la revisión normativa y la emisión de conceptos relacionados con los habilitadores socioambientales y la infraestructura energética, articulando criterios legales con las necesidades del proyecto Enfoque Territorial, con el fin de fortalecer la planeación institucional y la adecuada incorporación de dichos habilitadores en los proyectos misionales de la entidad.</v>
      </c>
      <c r="BH15" s="23">
        <v>72000000</v>
      </c>
      <c r="BI15" s="23"/>
      <c r="BJ15" s="23"/>
      <c r="BK15" s="23">
        <v>2400000</v>
      </c>
      <c r="BL15" s="23"/>
      <c r="BM15" s="23">
        <v>7200000</v>
      </c>
      <c r="BN15" s="23"/>
      <c r="BO15" s="23">
        <v>7200000</v>
      </c>
      <c r="BP15" s="23"/>
      <c r="BQ15" s="23">
        <v>7200000</v>
      </c>
      <c r="BR15" s="23"/>
      <c r="BS15" s="23">
        <v>7200000</v>
      </c>
      <c r="BT15" s="23"/>
      <c r="BU15" s="23">
        <v>7200000</v>
      </c>
      <c r="BV15" s="23"/>
      <c r="BW15" s="23">
        <v>7200000</v>
      </c>
      <c r="BX15" s="23"/>
      <c r="BY15" s="23">
        <v>7200000</v>
      </c>
      <c r="BZ15" s="23"/>
      <c r="CA15" s="23">
        <v>7200000</v>
      </c>
      <c r="CB15" s="23"/>
      <c r="CC15" s="23">
        <v>7200000</v>
      </c>
      <c r="CD15" s="23"/>
      <c r="CE15" s="23">
        <v>4800000</v>
      </c>
      <c r="CF15" s="28"/>
      <c r="CG15" s="28"/>
      <c r="CH15" s="25">
        <f t="shared" ref="CH15:CI15" si="19">BH15+BJ15+BL15+BN15+BP15+BR15+BT15+BV15+BX15+BZ15+CB15+CD15+CF15</f>
        <v>72000000</v>
      </c>
      <c r="CI15" s="25">
        <f t="shared" si="19"/>
        <v>72000000</v>
      </c>
      <c r="CJ15" s="26">
        <f t="shared" si="4"/>
        <v>0</v>
      </c>
      <c r="CK15" s="26">
        <f t="shared" si="5"/>
        <v>0</v>
      </c>
    </row>
    <row r="16" spans="1:89" ht="90" customHeight="1" x14ac:dyDescent="0.3">
      <c r="A16" s="13" t="s">
        <v>248</v>
      </c>
      <c r="B16" s="14" t="s">
        <v>3</v>
      </c>
      <c r="C16" s="15" t="s">
        <v>249</v>
      </c>
      <c r="D16" s="14" t="s">
        <v>62</v>
      </c>
      <c r="E16" s="13" t="s">
        <v>250</v>
      </c>
      <c r="F16" s="13" t="s">
        <v>250</v>
      </c>
      <c r="G16" s="14">
        <v>22</v>
      </c>
      <c r="H16" s="13" t="s">
        <v>276</v>
      </c>
      <c r="I16" s="15" t="s">
        <v>252</v>
      </c>
      <c r="J16" s="14" t="s">
        <v>4</v>
      </c>
      <c r="K16" s="15" t="s">
        <v>81</v>
      </c>
      <c r="L16" s="14" t="s">
        <v>277</v>
      </c>
      <c r="M16" s="14" t="s">
        <v>5</v>
      </c>
      <c r="N16" s="14" t="s">
        <v>278</v>
      </c>
      <c r="O16" s="15" t="s">
        <v>279</v>
      </c>
      <c r="P16" s="14" t="s">
        <v>280</v>
      </c>
      <c r="Q16" s="14" t="s">
        <v>281</v>
      </c>
      <c r="R16" s="14" t="s">
        <v>281</v>
      </c>
      <c r="S16" s="17">
        <v>8</v>
      </c>
      <c r="T16" s="14" t="s">
        <v>256</v>
      </c>
      <c r="U16" s="14" t="s">
        <v>282</v>
      </c>
      <c r="V16" s="14" t="s">
        <v>112</v>
      </c>
      <c r="W16" s="18">
        <v>34000000</v>
      </c>
      <c r="X16" s="18">
        <v>34000000</v>
      </c>
      <c r="Y16" s="19" t="s">
        <v>258</v>
      </c>
      <c r="Z16" s="19" t="s">
        <v>258</v>
      </c>
      <c r="AA16" s="19" t="s">
        <v>259</v>
      </c>
      <c r="AB16" s="14" t="s">
        <v>260</v>
      </c>
      <c r="AC16" s="14">
        <v>6012220601</v>
      </c>
      <c r="AD16" s="14" t="s">
        <v>261</v>
      </c>
      <c r="AE16" s="82">
        <v>0</v>
      </c>
      <c r="AF16" s="82">
        <v>0</v>
      </c>
      <c r="AG16" s="82">
        <v>0</v>
      </c>
      <c r="AH16" s="82">
        <v>0</v>
      </c>
      <c r="AI16" s="82">
        <v>0</v>
      </c>
      <c r="AJ16" s="82">
        <v>0</v>
      </c>
      <c r="AK16" s="82">
        <v>0</v>
      </c>
      <c r="AL16" s="82">
        <v>0</v>
      </c>
      <c r="AM16" s="82">
        <v>0</v>
      </c>
      <c r="AN16" s="82">
        <v>0</v>
      </c>
      <c r="AO16" s="82">
        <v>0</v>
      </c>
      <c r="AP16" s="82">
        <v>0</v>
      </c>
      <c r="AQ16" s="82">
        <v>30000000</v>
      </c>
      <c r="AR16" s="82">
        <v>0</v>
      </c>
      <c r="AS16" s="82">
        <v>0</v>
      </c>
      <c r="AT16" s="82">
        <v>0</v>
      </c>
      <c r="AU16" s="82">
        <v>0</v>
      </c>
      <c r="AV16" s="82">
        <v>0</v>
      </c>
      <c r="AW16" s="82">
        <v>0</v>
      </c>
      <c r="AX16" s="82">
        <v>0</v>
      </c>
      <c r="AY16" s="82">
        <v>0</v>
      </c>
      <c r="AZ16" s="82">
        <v>0</v>
      </c>
      <c r="BA16" s="82">
        <v>0</v>
      </c>
      <c r="BB16" s="82">
        <v>30000000</v>
      </c>
      <c r="BC16" s="82">
        <f t="shared" ref="BC16:BD16" si="20">AE16+AG16+AI16+AK16+AM16+AO16+AQ16+AS16+AU16+AW16+AY16+BA16</f>
        <v>30000000</v>
      </c>
      <c r="BD16" s="82">
        <f t="shared" si="20"/>
        <v>30000000</v>
      </c>
      <c r="BE16" s="83">
        <f t="shared" si="1"/>
        <v>4000000</v>
      </c>
      <c r="BF16" s="83">
        <f t="shared" si="2"/>
        <v>4000000</v>
      </c>
      <c r="BG16" s="14" t="str">
        <f ca="1">IFERROR(__xludf.DUMMYFUNCTION("REGEXEXTRACT(O10,""^\S+\s(.+)$"")"),"Adquirir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6" s="23">
        <v>0</v>
      </c>
      <c r="BI16" s="23">
        <v>0</v>
      </c>
      <c r="BJ16" s="23">
        <v>0</v>
      </c>
      <c r="BK16" s="23">
        <v>0</v>
      </c>
      <c r="BL16" s="23">
        <v>0</v>
      </c>
      <c r="BM16" s="23">
        <v>0</v>
      </c>
      <c r="BN16" s="23">
        <v>4000000</v>
      </c>
      <c r="BO16" s="23">
        <v>0</v>
      </c>
      <c r="BP16" s="23">
        <v>0</v>
      </c>
      <c r="BQ16" s="23">
        <v>0</v>
      </c>
      <c r="BR16" s="23">
        <v>0</v>
      </c>
      <c r="BS16" s="23">
        <v>0</v>
      </c>
      <c r="BT16" s="23">
        <v>30000000</v>
      </c>
      <c r="BU16" s="23">
        <v>0</v>
      </c>
      <c r="BV16" s="23">
        <v>0</v>
      </c>
      <c r="BW16" s="23">
        <v>0</v>
      </c>
      <c r="BX16" s="23">
        <v>0</v>
      </c>
      <c r="BY16" s="23">
        <v>0</v>
      </c>
      <c r="BZ16" s="23">
        <v>0</v>
      </c>
      <c r="CA16" s="23">
        <v>0</v>
      </c>
      <c r="CB16" s="23">
        <v>0</v>
      </c>
      <c r="CC16" s="23">
        <v>0</v>
      </c>
      <c r="CD16" s="23">
        <v>0</v>
      </c>
      <c r="CE16" s="23">
        <v>34000000</v>
      </c>
      <c r="CF16" s="28"/>
      <c r="CG16" s="28"/>
      <c r="CH16" s="25">
        <f t="shared" ref="CH16:CI16" si="21">BH16+BJ16+BL16+BN16+BP16+BR16+BT16+BV16+BX16+BZ16+CB16+CD16+CF16</f>
        <v>34000000</v>
      </c>
      <c r="CI16" s="25">
        <f t="shared" si="21"/>
        <v>34000000</v>
      </c>
      <c r="CJ16" s="26">
        <f t="shared" si="4"/>
        <v>0</v>
      </c>
      <c r="CK16" s="26">
        <f t="shared" si="5"/>
        <v>0</v>
      </c>
    </row>
    <row r="17" spans="1:89" ht="90" customHeight="1" x14ac:dyDescent="0.3">
      <c r="A17" s="13" t="s">
        <v>248</v>
      </c>
      <c r="B17" s="14" t="s">
        <v>3</v>
      </c>
      <c r="C17" s="15" t="s">
        <v>249</v>
      </c>
      <c r="D17" s="14" t="s">
        <v>62</v>
      </c>
      <c r="E17" s="13" t="s">
        <v>250</v>
      </c>
      <c r="F17" s="13" t="s">
        <v>250</v>
      </c>
      <c r="G17" s="14">
        <v>22</v>
      </c>
      <c r="H17" s="13" t="s">
        <v>283</v>
      </c>
      <c r="I17" s="15" t="s">
        <v>252</v>
      </c>
      <c r="J17" s="14" t="s">
        <v>4</v>
      </c>
      <c r="K17" s="15" t="s">
        <v>81</v>
      </c>
      <c r="L17" s="14">
        <v>80141607</v>
      </c>
      <c r="M17" s="14" t="s">
        <v>5</v>
      </c>
      <c r="N17" s="14" t="s">
        <v>284</v>
      </c>
      <c r="O17" s="15" t="s">
        <v>285</v>
      </c>
      <c r="P17" s="14" t="s">
        <v>255</v>
      </c>
      <c r="Q17" s="14" t="s">
        <v>255</v>
      </c>
      <c r="R17" s="14" t="s">
        <v>255</v>
      </c>
      <c r="S17" s="17">
        <v>11</v>
      </c>
      <c r="T17" s="14" t="s">
        <v>256</v>
      </c>
      <c r="U17" s="14" t="s">
        <v>286</v>
      </c>
      <c r="V17" s="14" t="s">
        <v>112</v>
      </c>
      <c r="W17" s="18">
        <v>46666352</v>
      </c>
      <c r="X17" s="18">
        <v>46666352</v>
      </c>
      <c r="Y17" s="19" t="s">
        <v>258</v>
      </c>
      <c r="Z17" s="19" t="s">
        <v>258</v>
      </c>
      <c r="AA17" s="19" t="s">
        <v>259</v>
      </c>
      <c r="AB17" s="14" t="s">
        <v>260</v>
      </c>
      <c r="AC17" s="14">
        <v>6012220601</v>
      </c>
      <c r="AD17" s="14" t="s">
        <v>261</v>
      </c>
      <c r="AE17" s="82">
        <v>0</v>
      </c>
      <c r="AF17" s="82">
        <v>0</v>
      </c>
      <c r="AG17" s="82">
        <v>0</v>
      </c>
      <c r="AH17" s="82">
        <v>0</v>
      </c>
      <c r="AI17" s="82">
        <v>0</v>
      </c>
      <c r="AJ17" s="82">
        <v>0</v>
      </c>
      <c r="AK17" s="82">
        <v>0</v>
      </c>
      <c r="AL17" s="82">
        <v>0</v>
      </c>
      <c r="AM17" s="82">
        <v>0</v>
      </c>
      <c r="AN17" s="82">
        <v>0</v>
      </c>
      <c r="AO17" s="82">
        <v>0</v>
      </c>
      <c r="AP17" s="82">
        <v>0</v>
      </c>
      <c r="AQ17" s="82">
        <v>40000000</v>
      </c>
      <c r="AR17" s="82">
        <v>0</v>
      </c>
      <c r="AS17" s="82">
        <v>0</v>
      </c>
      <c r="AT17" s="82">
        <v>0</v>
      </c>
      <c r="AU17" s="82">
        <v>0</v>
      </c>
      <c r="AV17" s="82">
        <v>0</v>
      </c>
      <c r="AW17" s="82">
        <v>0</v>
      </c>
      <c r="AX17" s="82">
        <v>0</v>
      </c>
      <c r="AY17" s="82">
        <v>0</v>
      </c>
      <c r="AZ17" s="82">
        <v>0</v>
      </c>
      <c r="BA17" s="82">
        <v>0</v>
      </c>
      <c r="BB17" s="82">
        <v>40000000</v>
      </c>
      <c r="BC17" s="82">
        <f t="shared" ref="BC17:BD17" si="22">AE17+AG17+AI17+AK17+AM17+AO17+AQ17+AS17+AU17+AW17+AY17+BA17</f>
        <v>40000000</v>
      </c>
      <c r="BD17" s="82">
        <f t="shared" si="22"/>
        <v>40000000</v>
      </c>
      <c r="BE17" s="83">
        <f t="shared" si="1"/>
        <v>6666352</v>
      </c>
      <c r="BF17" s="83">
        <f t="shared" si="2"/>
        <v>6666352</v>
      </c>
      <c r="BG17" s="14" t="str">
        <f ca="1">IFERROR(__xludf.DUMMYFUNCTION("REGEXEXTRACT(O11,""^\S+\s(.+)$"")"),"Prestación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17" s="23">
        <v>0</v>
      </c>
      <c r="BI17" s="23">
        <v>0</v>
      </c>
      <c r="BJ17" s="23">
        <v>0</v>
      </c>
      <c r="BK17" s="23">
        <v>0</v>
      </c>
      <c r="BL17" s="23">
        <v>0</v>
      </c>
      <c r="BM17" s="23">
        <v>0</v>
      </c>
      <c r="BN17" s="23">
        <v>6666352</v>
      </c>
      <c r="BO17" s="23">
        <v>0</v>
      </c>
      <c r="BP17" s="23">
        <v>0</v>
      </c>
      <c r="BQ17" s="23">
        <v>0</v>
      </c>
      <c r="BR17" s="23">
        <v>0</v>
      </c>
      <c r="BS17" s="23">
        <v>0</v>
      </c>
      <c r="BT17" s="23">
        <v>40000000</v>
      </c>
      <c r="BU17" s="23">
        <v>0</v>
      </c>
      <c r="BV17" s="23">
        <v>0</v>
      </c>
      <c r="BW17" s="23">
        <v>10000000</v>
      </c>
      <c r="BX17" s="23">
        <v>0</v>
      </c>
      <c r="BY17" s="23">
        <v>10000000</v>
      </c>
      <c r="BZ17" s="23">
        <v>0</v>
      </c>
      <c r="CA17" s="23">
        <v>10000000</v>
      </c>
      <c r="CB17" s="23">
        <v>0</v>
      </c>
      <c r="CC17" s="23">
        <v>10000000</v>
      </c>
      <c r="CD17" s="23">
        <v>0</v>
      </c>
      <c r="CE17" s="23">
        <v>6666352</v>
      </c>
      <c r="CF17" s="28"/>
      <c r="CG17" s="28"/>
      <c r="CH17" s="25">
        <f t="shared" ref="CH17:CI17" si="23">BH17+BJ17+BL17+BN17+BP17+BR17+BT17+BV17+BX17+BZ17+CB17+CD17+CF17</f>
        <v>46666352</v>
      </c>
      <c r="CI17" s="25">
        <f t="shared" si="23"/>
        <v>46666352</v>
      </c>
      <c r="CJ17" s="26">
        <f t="shared" si="4"/>
        <v>0</v>
      </c>
      <c r="CK17" s="26">
        <f t="shared" si="5"/>
        <v>0</v>
      </c>
    </row>
    <row r="18" spans="1:89" ht="90" customHeight="1" x14ac:dyDescent="0.3">
      <c r="A18" s="13" t="s">
        <v>248</v>
      </c>
      <c r="B18" s="14" t="s">
        <v>3</v>
      </c>
      <c r="C18" s="15" t="s">
        <v>249</v>
      </c>
      <c r="D18" s="14" t="s">
        <v>62</v>
      </c>
      <c r="E18" s="13" t="s">
        <v>250</v>
      </c>
      <c r="F18" s="13" t="s">
        <v>250</v>
      </c>
      <c r="G18" s="14">
        <v>68</v>
      </c>
      <c r="H18" s="13" t="s">
        <v>287</v>
      </c>
      <c r="I18" s="15" t="s">
        <v>252</v>
      </c>
      <c r="J18" s="14" t="s">
        <v>4</v>
      </c>
      <c r="K18" s="15" t="s">
        <v>81</v>
      </c>
      <c r="L18" s="14">
        <v>80111620</v>
      </c>
      <c r="M18" s="14" t="s">
        <v>5</v>
      </c>
      <c r="N18" s="14" t="s">
        <v>253</v>
      </c>
      <c r="O18" s="15" t="s">
        <v>288</v>
      </c>
      <c r="P18" s="14" t="s">
        <v>255</v>
      </c>
      <c r="Q18" s="14" t="s">
        <v>255</v>
      </c>
      <c r="R18" s="14" t="s">
        <v>255</v>
      </c>
      <c r="S18" s="17">
        <v>10</v>
      </c>
      <c r="T18" s="14" t="s">
        <v>256</v>
      </c>
      <c r="U18" s="14" t="s">
        <v>257</v>
      </c>
      <c r="V18" s="14" t="s">
        <v>112</v>
      </c>
      <c r="W18" s="18">
        <v>60000000</v>
      </c>
      <c r="X18" s="18">
        <v>60000000</v>
      </c>
      <c r="Y18" s="19" t="s">
        <v>258</v>
      </c>
      <c r="Z18" s="19" t="s">
        <v>258</v>
      </c>
      <c r="AA18" s="19" t="s">
        <v>259</v>
      </c>
      <c r="AB18" s="14" t="s">
        <v>260</v>
      </c>
      <c r="AC18" s="14">
        <v>6012220601</v>
      </c>
      <c r="AD18" s="14" t="s">
        <v>261</v>
      </c>
      <c r="AE18" s="82">
        <v>0</v>
      </c>
      <c r="AF18" s="82">
        <v>0</v>
      </c>
      <c r="AG18" s="82">
        <v>60000000</v>
      </c>
      <c r="AH18" s="82">
        <v>0</v>
      </c>
      <c r="AI18" s="82">
        <v>0</v>
      </c>
      <c r="AJ18" s="82">
        <v>5000000</v>
      </c>
      <c r="AK18" s="82">
        <v>0</v>
      </c>
      <c r="AL18" s="82">
        <v>6000000</v>
      </c>
      <c r="AM18" s="82">
        <v>0</v>
      </c>
      <c r="AN18" s="82">
        <v>6000000</v>
      </c>
      <c r="AO18" s="82">
        <v>0</v>
      </c>
      <c r="AP18" s="82">
        <v>6000000</v>
      </c>
      <c r="AQ18" s="82">
        <v>0</v>
      </c>
      <c r="AR18" s="82">
        <v>6000000</v>
      </c>
      <c r="AS18" s="82">
        <v>0</v>
      </c>
      <c r="AT18" s="82">
        <v>6000000</v>
      </c>
      <c r="AU18" s="82">
        <v>0</v>
      </c>
      <c r="AV18" s="82">
        <v>6000000</v>
      </c>
      <c r="AW18" s="82">
        <v>0</v>
      </c>
      <c r="AX18" s="82">
        <v>6000000</v>
      </c>
      <c r="AY18" s="82">
        <v>0</v>
      </c>
      <c r="AZ18" s="82">
        <v>6000000</v>
      </c>
      <c r="BA18" s="82">
        <v>0</v>
      </c>
      <c r="BB18" s="82">
        <v>7000000</v>
      </c>
      <c r="BC18" s="82">
        <f t="shared" ref="BC18:BD18" si="24">AE18+AG18+AI18+AK18+AM18+AO18+AQ18+AS18+AU18+AW18+AY18+BA18</f>
        <v>60000000</v>
      </c>
      <c r="BD18" s="82">
        <f t="shared" si="24"/>
        <v>60000000</v>
      </c>
      <c r="BE18" s="83">
        <f t="shared" si="1"/>
        <v>0</v>
      </c>
      <c r="BF18" s="83">
        <f t="shared" si="2"/>
        <v>0</v>
      </c>
      <c r="BG18" s="14" t="str">
        <f ca="1">IFERROR(__xludf.DUMMYFUNCTION("REGEXEXTRACT(O12,""^\S+\s(.+)$"")"),"Prestar servicios profesionales para el análisis de información social y apoyo en la formulación de lineamientos metodológicos que integren variables sociales y comunitarias en la herramienta ""Atlas de Conflictividad Socioambiental"", en el marco del pro"&amp;"yecto enfoque territorial para la planeación minero-energética.")</f>
        <v>Prestar servicios profesionales para el análisis de información social y apoyo en la formulación de lineamientos metodológicos que integren variables sociales y comunitarias en la herramienta "Atlas de Conflictividad Socioambiental", en el marco del proyecto enfoque territorial para la planeación minero-energética.</v>
      </c>
      <c r="BH18" s="23"/>
      <c r="BI18" s="23"/>
      <c r="BJ18" s="23">
        <v>60000000</v>
      </c>
      <c r="BK18" s="23"/>
      <c r="BL18" s="23"/>
      <c r="BM18" s="23">
        <v>5000000</v>
      </c>
      <c r="BN18" s="23"/>
      <c r="BO18" s="23">
        <v>6000000</v>
      </c>
      <c r="BP18" s="23"/>
      <c r="BQ18" s="23">
        <v>6000000</v>
      </c>
      <c r="BR18" s="23"/>
      <c r="BS18" s="23">
        <v>6000000</v>
      </c>
      <c r="BT18" s="23"/>
      <c r="BU18" s="23">
        <v>6000000</v>
      </c>
      <c r="BV18" s="23"/>
      <c r="BW18" s="23">
        <v>6000000</v>
      </c>
      <c r="BX18" s="23"/>
      <c r="BY18" s="23">
        <v>6000000</v>
      </c>
      <c r="BZ18" s="23"/>
      <c r="CA18" s="23">
        <v>6000000</v>
      </c>
      <c r="CB18" s="23"/>
      <c r="CC18" s="23">
        <v>6000000</v>
      </c>
      <c r="CD18" s="23"/>
      <c r="CE18" s="23">
        <v>7000000</v>
      </c>
      <c r="CF18" s="28"/>
      <c r="CG18" s="28"/>
      <c r="CH18" s="25">
        <f t="shared" ref="CH18:CI18" si="25">BH18+BJ18+BL18+BN18+BP18+BR18+BT18+BV18+BX18+BZ18+CB18+CD18+CF18</f>
        <v>60000000</v>
      </c>
      <c r="CI18" s="25">
        <f t="shared" si="25"/>
        <v>60000000</v>
      </c>
      <c r="CJ18" s="26">
        <f t="shared" si="4"/>
        <v>0</v>
      </c>
      <c r="CK18" s="26">
        <f t="shared" si="5"/>
        <v>0</v>
      </c>
    </row>
    <row r="19" spans="1:89" ht="90" customHeight="1" x14ac:dyDescent="0.3">
      <c r="A19" s="13" t="s">
        <v>248</v>
      </c>
      <c r="B19" s="14" t="s">
        <v>3</v>
      </c>
      <c r="C19" s="15" t="s">
        <v>249</v>
      </c>
      <c r="D19" s="14" t="s">
        <v>62</v>
      </c>
      <c r="E19" s="13" t="s">
        <v>250</v>
      </c>
      <c r="F19" s="13" t="s">
        <v>250</v>
      </c>
      <c r="G19" s="14">
        <v>22</v>
      </c>
      <c r="H19" s="13" t="s">
        <v>289</v>
      </c>
      <c r="I19" s="15" t="s">
        <v>252</v>
      </c>
      <c r="J19" s="14" t="s">
        <v>4</v>
      </c>
      <c r="K19" s="15" t="s">
        <v>81</v>
      </c>
      <c r="L19" s="14" t="s">
        <v>277</v>
      </c>
      <c r="M19" s="14" t="s">
        <v>5</v>
      </c>
      <c r="N19" s="14" t="s">
        <v>278</v>
      </c>
      <c r="O19" s="15" t="s">
        <v>290</v>
      </c>
      <c r="P19" s="14" t="s">
        <v>280</v>
      </c>
      <c r="Q19" s="14" t="s">
        <v>281</v>
      </c>
      <c r="R19" s="14" t="s">
        <v>281</v>
      </c>
      <c r="S19" s="17">
        <v>8</v>
      </c>
      <c r="T19" s="14" t="s">
        <v>256</v>
      </c>
      <c r="U19" s="14" t="s">
        <v>282</v>
      </c>
      <c r="V19" s="14" t="s">
        <v>112</v>
      </c>
      <c r="W19" s="18">
        <v>65000000</v>
      </c>
      <c r="X19" s="18">
        <v>65000000</v>
      </c>
      <c r="Y19" s="19" t="s">
        <v>258</v>
      </c>
      <c r="Z19" s="19" t="s">
        <v>258</v>
      </c>
      <c r="AA19" s="19" t="s">
        <v>259</v>
      </c>
      <c r="AB19" s="14" t="s">
        <v>260</v>
      </c>
      <c r="AC19" s="14">
        <v>6012220601</v>
      </c>
      <c r="AD19" s="14" t="s">
        <v>261</v>
      </c>
      <c r="AE19" s="82">
        <v>0</v>
      </c>
      <c r="AF19" s="82">
        <v>0</v>
      </c>
      <c r="AG19" s="82">
        <v>0</v>
      </c>
      <c r="AH19" s="82">
        <v>0</v>
      </c>
      <c r="AI19" s="82">
        <v>0</v>
      </c>
      <c r="AJ19" s="82">
        <v>0</v>
      </c>
      <c r="AK19" s="82">
        <v>0</v>
      </c>
      <c r="AL19" s="82">
        <v>0</v>
      </c>
      <c r="AM19" s="82">
        <v>0</v>
      </c>
      <c r="AN19" s="82">
        <v>0</v>
      </c>
      <c r="AO19" s="82">
        <v>0</v>
      </c>
      <c r="AP19" s="82">
        <v>0</v>
      </c>
      <c r="AQ19" s="82">
        <v>65000000</v>
      </c>
      <c r="AR19" s="82">
        <v>0</v>
      </c>
      <c r="AS19" s="82">
        <v>0</v>
      </c>
      <c r="AT19" s="82">
        <v>0</v>
      </c>
      <c r="AU19" s="82">
        <v>0</v>
      </c>
      <c r="AV19" s="82">
        <v>0</v>
      </c>
      <c r="AW19" s="82">
        <v>0</v>
      </c>
      <c r="AX19" s="82">
        <v>0</v>
      </c>
      <c r="AY19" s="82">
        <v>0</v>
      </c>
      <c r="AZ19" s="82">
        <v>0</v>
      </c>
      <c r="BA19" s="82">
        <v>0</v>
      </c>
      <c r="BB19" s="82">
        <v>65000000</v>
      </c>
      <c r="BC19" s="82">
        <f t="shared" ref="BC19:BD19" si="26">AE19+AG19+AI19+AK19+AM19+AO19+AQ19+AS19+AU19+AW19+AY19+BA19</f>
        <v>65000000</v>
      </c>
      <c r="BD19" s="82">
        <f t="shared" si="26"/>
        <v>65000000</v>
      </c>
      <c r="BE19" s="83">
        <f t="shared" si="1"/>
        <v>0</v>
      </c>
      <c r="BF19" s="83">
        <f t="shared" si="2"/>
        <v>0</v>
      </c>
      <c r="BG19" s="14" t="str">
        <f ca="1">IFERROR(__xludf.DUMMYFUNCTION("REGEXEXTRACT(O13,""^\S+\s(.+)$"")"),"Adquirir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9" s="23"/>
      <c r="BI19" s="23"/>
      <c r="BJ19" s="23"/>
      <c r="BK19" s="23"/>
      <c r="BL19" s="23"/>
      <c r="BM19" s="23"/>
      <c r="BN19" s="23"/>
      <c r="BO19" s="23"/>
      <c r="BP19" s="23"/>
      <c r="BQ19" s="23"/>
      <c r="BR19" s="23"/>
      <c r="BS19" s="23"/>
      <c r="BT19" s="23">
        <v>65000000</v>
      </c>
      <c r="BU19" s="23"/>
      <c r="BV19" s="23"/>
      <c r="BW19" s="23"/>
      <c r="BX19" s="23"/>
      <c r="BY19" s="23"/>
      <c r="BZ19" s="23"/>
      <c r="CA19" s="23"/>
      <c r="CB19" s="23"/>
      <c r="CC19" s="23"/>
      <c r="CD19" s="23"/>
      <c r="CE19" s="23">
        <v>65000000</v>
      </c>
      <c r="CF19" s="28"/>
      <c r="CG19" s="28"/>
      <c r="CH19" s="25">
        <f t="shared" ref="CH19:CI19" si="27">BH19+BJ19+BL19+BN19+BP19+BR19+BT19+BV19+BX19+BZ19+CB19+CD19+CF19</f>
        <v>65000000</v>
      </c>
      <c r="CI19" s="25">
        <f t="shared" si="27"/>
        <v>65000000</v>
      </c>
      <c r="CJ19" s="26">
        <f t="shared" si="4"/>
        <v>0</v>
      </c>
      <c r="CK19" s="26">
        <f t="shared" si="5"/>
        <v>0</v>
      </c>
    </row>
    <row r="20" spans="1:89" ht="90" customHeight="1" x14ac:dyDescent="0.3">
      <c r="A20" s="13" t="s">
        <v>248</v>
      </c>
      <c r="B20" s="14" t="s">
        <v>3</v>
      </c>
      <c r="C20" s="15" t="s">
        <v>249</v>
      </c>
      <c r="D20" s="14" t="s">
        <v>62</v>
      </c>
      <c r="E20" s="13" t="s">
        <v>250</v>
      </c>
      <c r="F20" s="13" t="s">
        <v>250</v>
      </c>
      <c r="G20" s="14">
        <v>68</v>
      </c>
      <c r="H20" s="13" t="s">
        <v>291</v>
      </c>
      <c r="I20" s="15" t="s">
        <v>252</v>
      </c>
      <c r="J20" s="14" t="s">
        <v>4</v>
      </c>
      <c r="K20" s="15" t="s">
        <v>81</v>
      </c>
      <c r="L20" s="14">
        <v>80111620</v>
      </c>
      <c r="M20" s="14" t="s">
        <v>5</v>
      </c>
      <c r="N20" s="14" t="s">
        <v>253</v>
      </c>
      <c r="O20" s="15" t="s">
        <v>292</v>
      </c>
      <c r="P20" s="14" t="s">
        <v>255</v>
      </c>
      <c r="Q20" s="14" t="s">
        <v>255</v>
      </c>
      <c r="R20" s="14" t="s">
        <v>255</v>
      </c>
      <c r="S20" s="17">
        <v>10</v>
      </c>
      <c r="T20" s="14" t="s">
        <v>256</v>
      </c>
      <c r="U20" s="14" t="s">
        <v>257</v>
      </c>
      <c r="V20" s="14" t="s">
        <v>112</v>
      </c>
      <c r="W20" s="18">
        <v>72000000</v>
      </c>
      <c r="X20" s="18">
        <v>72000000</v>
      </c>
      <c r="Y20" s="19" t="s">
        <v>258</v>
      </c>
      <c r="Z20" s="19" t="s">
        <v>258</v>
      </c>
      <c r="AA20" s="19" t="s">
        <v>293</v>
      </c>
      <c r="AB20" s="14" t="s">
        <v>260</v>
      </c>
      <c r="AC20" s="14">
        <v>6012220601</v>
      </c>
      <c r="AD20" s="14" t="s">
        <v>294</v>
      </c>
      <c r="AE20" s="82">
        <v>0</v>
      </c>
      <c r="AF20" s="82">
        <v>0</v>
      </c>
      <c r="AG20" s="82">
        <v>72000000</v>
      </c>
      <c r="AH20" s="82">
        <v>0</v>
      </c>
      <c r="AI20" s="82">
        <v>0</v>
      </c>
      <c r="AJ20" s="82">
        <v>6480000</v>
      </c>
      <c r="AK20" s="82">
        <v>0</v>
      </c>
      <c r="AL20" s="82">
        <v>7200000</v>
      </c>
      <c r="AM20" s="82">
        <v>0</v>
      </c>
      <c r="AN20" s="82">
        <v>7200000</v>
      </c>
      <c r="AO20" s="82">
        <v>0</v>
      </c>
      <c r="AP20" s="82">
        <v>7200000</v>
      </c>
      <c r="AQ20" s="82">
        <v>0</v>
      </c>
      <c r="AR20" s="82">
        <v>7200000</v>
      </c>
      <c r="AS20" s="82">
        <v>0</v>
      </c>
      <c r="AT20" s="82">
        <v>7200000</v>
      </c>
      <c r="AU20" s="82">
        <v>0</v>
      </c>
      <c r="AV20" s="82">
        <v>7200000</v>
      </c>
      <c r="AW20" s="82">
        <v>0</v>
      </c>
      <c r="AX20" s="82">
        <v>7200000</v>
      </c>
      <c r="AY20" s="82">
        <v>0</v>
      </c>
      <c r="AZ20" s="82">
        <v>7200000</v>
      </c>
      <c r="BA20" s="82">
        <v>0</v>
      </c>
      <c r="BB20" s="82">
        <v>7920000</v>
      </c>
      <c r="BC20" s="82">
        <f t="shared" ref="BC20:BD20" si="28">AE20+AG20+AI20+AK20+AM20+AO20+AQ20+AS20+AU20+AW20+AY20+BA20</f>
        <v>72000000</v>
      </c>
      <c r="BD20" s="82">
        <f t="shared" si="28"/>
        <v>72000000</v>
      </c>
      <c r="BE20" s="83">
        <f t="shared" si="1"/>
        <v>0</v>
      </c>
      <c r="BF20" s="83">
        <f t="shared" si="2"/>
        <v>0</v>
      </c>
      <c r="BG20" s="14" t="str">
        <f ca="1">IFERROR(__xludf.DUMMYFUNCTION("REGEXEXTRACT(O14,""^\S+\s(.+)$"")"),"Prestar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0" s="23"/>
      <c r="BI20" s="23"/>
      <c r="BJ20" s="23">
        <v>72000000</v>
      </c>
      <c r="BK20" s="23"/>
      <c r="BL20" s="23"/>
      <c r="BM20" s="23">
        <v>6480000</v>
      </c>
      <c r="BN20" s="23"/>
      <c r="BO20" s="23">
        <v>7200000</v>
      </c>
      <c r="BP20" s="23"/>
      <c r="BQ20" s="23">
        <v>7200000</v>
      </c>
      <c r="BR20" s="23"/>
      <c r="BS20" s="23">
        <v>7200000</v>
      </c>
      <c r="BT20" s="23"/>
      <c r="BU20" s="23">
        <v>7200000</v>
      </c>
      <c r="BV20" s="23"/>
      <c r="BW20" s="23">
        <v>7200000</v>
      </c>
      <c r="BX20" s="23"/>
      <c r="BY20" s="23">
        <v>7200000</v>
      </c>
      <c r="BZ20" s="23"/>
      <c r="CA20" s="23">
        <v>7200000</v>
      </c>
      <c r="CB20" s="23"/>
      <c r="CC20" s="23">
        <v>7200000</v>
      </c>
      <c r="CD20" s="23"/>
      <c r="CE20" s="23">
        <v>7920000</v>
      </c>
      <c r="CF20" s="28"/>
      <c r="CG20" s="28"/>
      <c r="CH20" s="25">
        <f t="shared" ref="CH20:CI20" si="29">BH20+BJ20+BL20+BN20+BP20+BR20+BT20+BV20+BX20+BZ20+CB20+CD20+CF20</f>
        <v>72000000</v>
      </c>
      <c r="CI20" s="25">
        <f t="shared" si="29"/>
        <v>72000000</v>
      </c>
      <c r="CJ20" s="26">
        <f t="shared" si="4"/>
        <v>0</v>
      </c>
      <c r="CK20" s="26">
        <f t="shared" si="5"/>
        <v>0</v>
      </c>
    </row>
    <row r="21" spans="1:89" ht="90" customHeight="1" x14ac:dyDescent="0.3">
      <c r="A21" s="13" t="s">
        <v>248</v>
      </c>
      <c r="B21" s="14" t="s">
        <v>3</v>
      </c>
      <c r="C21" s="15" t="s">
        <v>249</v>
      </c>
      <c r="D21" s="14" t="s">
        <v>62</v>
      </c>
      <c r="E21" s="13" t="s">
        <v>250</v>
      </c>
      <c r="F21" s="13" t="s">
        <v>250</v>
      </c>
      <c r="G21" s="14">
        <v>7</v>
      </c>
      <c r="H21" s="13" t="s">
        <v>295</v>
      </c>
      <c r="I21" s="15" t="s">
        <v>252</v>
      </c>
      <c r="J21" s="14" t="s">
        <v>4</v>
      </c>
      <c r="K21" s="15" t="s">
        <v>81</v>
      </c>
      <c r="L21" s="14">
        <v>80111620</v>
      </c>
      <c r="M21" s="14" t="s">
        <v>5</v>
      </c>
      <c r="N21" s="14" t="s">
        <v>253</v>
      </c>
      <c r="O21" s="15" t="s">
        <v>296</v>
      </c>
      <c r="P21" s="14" t="s">
        <v>255</v>
      </c>
      <c r="Q21" s="14" t="s">
        <v>255</v>
      </c>
      <c r="R21" s="14" t="s">
        <v>255</v>
      </c>
      <c r="S21" s="17">
        <v>10</v>
      </c>
      <c r="T21" s="14" t="s">
        <v>256</v>
      </c>
      <c r="U21" s="14" t="s">
        <v>257</v>
      </c>
      <c r="V21" s="14" t="s">
        <v>112</v>
      </c>
      <c r="W21" s="18">
        <v>72000000</v>
      </c>
      <c r="X21" s="18">
        <v>72000000</v>
      </c>
      <c r="Y21" s="19" t="s">
        <v>258</v>
      </c>
      <c r="Z21" s="19" t="s">
        <v>258</v>
      </c>
      <c r="AA21" s="19" t="s">
        <v>293</v>
      </c>
      <c r="AB21" s="14" t="s">
        <v>260</v>
      </c>
      <c r="AC21" s="14">
        <v>6012220601</v>
      </c>
      <c r="AD21" s="14" t="s">
        <v>294</v>
      </c>
      <c r="AE21" s="82">
        <v>0</v>
      </c>
      <c r="AF21" s="82">
        <v>0</v>
      </c>
      <c r="AG21" s="82">
        <v>72000000</v>
      </c>
      <c r="AH21" s="82">
        <v>0</v>
      </c>
      <c r="AI21" s="82">
        <v>0</v>
      </c>
      <c r="AJ21" s="82">
        <v>6480000</v>
      </c>
      <c r="AK21" s="82">
        <v>0</v>
      </c>
      <c r="AL21" s="82">
        <v>7200000</v>
      </c>
      <c r="AM21" s="82">
        <v>0</v>
      </c>
      <c r="AN21" s="82">
        <v>7200000</v>
      </c>
      <c r="AO21" s="82">
        <v>0</v>
      </c>
      <c r="AP21" s="82">
        <v>7200000</v>
      </c>
      <c r="AQ21" s="82">
        <v>0</v>
      </c>
      <c r="AR21" s="82">
        <v>7200000</v>
      </c>
      <c r="AS21" s="82">
        <v>0</v>
      </c>
      <c r="AT21" s="82">
        <v>7200000</v>
      </c>
      <c r="AU21" s="82">
        <v>0</v>
      </c>
      <c r="AV21" s="82">
        <v>7200000</v>
      </c>
      <c r="AW21" s="82">
        <v>0</v>
      </c>
      <c r="AX21" s="82">
        <v>7200000</v>
      </c>
      <c r="AY21" s="82">
        <v>0</v>
      </c>
      <c r="AZ21" s="82">
        <v>7200000</v>
      </c>
      <c r="BA21" s="82">
        <v>0</v>
      </c>
      <c r="BB21" s="82">
        <v>7920000</v>
      </c>
      <c r="BC21" s="82">
        <f t="shared" ref="BC21:BD21" si="30">AE21+AG21+AI21+AK21+AM21+AO21+AQ21+AS21+AU21+AW21+AY21+BA21</f>
        <v>72000000</v>
      </c>
      <c r="BD21" s="82">
        <f t="shared" si="30"/>
        <v>72000000</v>
      </c>
      <c r="BE21" s="83">
        <f t="shared" si="1"/>
        <v>0</v>
      </c>
      <c r="BF21" s="83">
        <f t="shared" si="2"/>
        <v>0</v>
      </c>
      <c r="BG21" s="14" t="str">
        <f ca="1">IFERROR(__xludf.DUMMYFUNCTION("REGEXEXTRACT(O15,""^\S+\s(.+)$"")"),"Prestar servicios profesionales para apoyar la planeación, coordinación, convocatoria y desarrollo de espacios participativos con entidades nacionales y regionales vinculadas a proyectos energéticos, así como la articulación institucional con comunidades,"&amp;" contribuyendo a la sistematización de experiencias, la identificación de buenas prácticas y la consolidación y gestión de información requerida para los talleres y mesas interinstitucionales del proyecto Enfoque Territorial.")</f>
        <v>Prestar servicios profesionales para apoyar la planeación, coordinación, convocatoria y desarrollo de espacios participativos con entidades nacionales y regionales vinculadas a proyectos energéticos, así como la articulación institucional con comunidades, contribuyendo a la sistematización de experiencias, la identificación de buenas prácticas y la consolidación y gestión de información requerida para los talleres y mesas interinstitucionales del proyecto Enfoque Territorial.</v>
      </c>
      <c r="BH21" s="23"/>
      <c r="BI21" s="23"/>
      <c r="BJ21" s="23">
        <v>72000000</v>
      </c>
      <c r="BK21" s="23"/>
      <c r="BL21" s="23"/>
      <c r="BM21" s="23">
        <v>6480000</v>
      </c>
      <c r="BN21" s="23"/>
      <c r="BO21" s="23">
        <v>7200000</v>
      </c>
      <c r="BP21" s="23"/>
      <c r="BQ21" s="23">
        <v>7200000</v>
      </c>
      <c r="BR21" s="23"/>
      <c r="BS21" s="23">
        <v>7200000</v>
      </c>
      <c r="BT21" s="23"/>
      <c r="BU21" s="23">
        <v>7200000</v>
      </c>
      <c r="BV21" s="23"/>
      <c r="BW21" s="23">
        <v>7200000</v>
      </c>
      <c r="BX21" s="23"/>
      <c r="BY21" s="23">
        <v>7200000</v>
      </c>
      <c r="BZ21" s="23"/>
      <c r="CA21" s="23">
        <v>7200000</v>
      </c>
      <c r="CB21" s="23"/>
      <c r="CC21" s="23">
        <v>7200000</v>
      </c>
      <c r="CD21" s="23"/>
      <c r="CE21" s="23">
        <v>7920000</v>
      </c>
      <c r="CF21" s="28"/>
      <c r="CG21" s="28"/>
      <c r="CH21" s="25">
        <f t="shared" ref="CH21:CI21" si="31">BH21+BJ21+BL21+BN21+BP21+BR21+BT21+BV21+BX21+BZ21+CB21+CD21+CF21</f>
        <v>72000000</v>
      </c>
      <c r="CI21" s="25">
        <f t="shared" si="31"/>
        <v>72000000</v>
      </c>
      <c r="CJ21" s="26">
        <f t="shared" si="4"/>
        <v>0</v>
      </c>
      <c r="CK21" s="26">
        <f t="shared" si="5"/>
        <v>0</v>
      </c>
    </row>
    <row r="22" spans="1:89" ht="90" customHeight="1" x14ac:dyDescent="0.3">
      <c r="A22" s="13" t="s">
        <v>248</v>
      </c>
      <c r="B22" s="14" t="s">
        <v>3</v>
      </c>
      <c r="C22" s="15" t="s">
        <v>249</v>
      </c>
      <c r="D22" s="14" t="s">
        <v>62</v>
      </c>
      <c r="E22" s="13" t="s">
        <v>250</v>
      </c>
      <c r="F22" s="13" t="s">
        <v>250</v>
      </c>
      <c r="G22" s="14">
        <v>22</v>
      </c>
      <c r="H22" s="13" t="s">
        <v>297</v>
      </c>
      <c r="I22" s="15" t="s">
        <v>252</v>
      </c>
      <c r="J22" s="14" t="s">
        <v>4</v>
      </c>
      <c r="K22" s="15" t="s">
        <v>81</v>
      </c>
      <c r="L22" s="14">
        <v>80111620</v>
      </c>
      <c r="M22" s="14" t="s">
        <v>5</v>
      </c>
      <c r="N22" s="14" t="s">
        <v>253</v>
      </c>
      <c r="O22" s="15" t="s">
        <v>298</v>
      </c>
      <c r="P22" s="14" t="s">
        <v>255</v>
      </c>
      <c r="Q22" s="14" t="s">
        <v>255</v>
      </c>
      <c r="R22" s="14" t="s">
        <v>255</v>
      </c>
      <c r="S22" s="17">
        <v>6</v>
      </c>
      <c r="T22" s="14" t="s">
        <v>256</v>
      </c>
      <c r="U22" s="14" t="s">
        <v>257</v>
      </c>
      <c r="V22" s="14" t="s">
        <v>112</v>
      </c>
      <c r="W22" s="18">
        <v>25333648</v>
      </c>
      <c r="X22" s="18">
        <v>25333648</v>
      </c>
      <c r="Y22" s="19" t="s">
        <v>258</v>
      </c>
      <c r="Z22" s="19" t="s">
        <v>258</v>
      </c>
      <c r="AA22" s="19" t="s">
        <v>293</v>
      </c>
      <c r="AB22" s="14" t="s">
        <v>260</v>
      </c>
      <c r="AC22" s="14">
        <v>6012220601</v>
      </c>
      <c r="AD22" s="14" t="s">
        <v>294</v>
      </c>
      <c r="AE22" s="82">
        <v>0</v>
      </c>
      <c r="AF22" s="82">
        <v>0</v>
      </c>
      <c r="AG22" s="82">
        <v>0</v>
      </c>
      <c r="AH22" s="82">
        <v>0</v>
      </c>
      <c r="AI22" s="82">
        <v>0</v>
      </c>
      <c r="AJ22" s="82">
        <v>0</v>
      </c>
      <c r="AK22" s="82">
        <v>0</v>
      </c>
      <c r="AL22" s="82">
        <v>0</v>
      </c>
      <c r="AM22" s="82">
        <v>0</v>
      </c>
      <c r="AN22" s="82">
        <v>0</v>
      </c>
      <c r="AO22" s="82">
        <v>0</v>
      </c>
      <c r="AP22" s="82">
        <v>0</v>
      </c>
      <c r="AQ22" s="82">
        <v>36000000</v>
      </c>
      <c r="AR22" s="82">
        <v>0</v>
      </c>
      <c r="AS22" s="82">
        <v>0</v>
      </c>
      <c r="AT22" s="82">
        <v>0</v>
      </c>
      <c r="AU22" s="82">
        <v>0</v>
      </c>
      <c r="AV22" s="82">
        <v>0</v>
      </c>
      <c r="AW22" s="82">
        <v>0</v>
      </c>
      <c r="AX22" s="82">
        <v>0</v>
      </c>
      <c r="AY22" s="82">
        <v>0</v>
      </c>
      <c r="AZ22" s="82">
        <v>0</v>
      </c>
      <c r="BA22" s="82">
        <v>0</v>
      </c>
      <c r="BB22" s="82">
        <v>36000000</v>
      </c>
      <c r="BC22" s="82">
        <f t="shared" ref="BC22:BD22" si="32">AE22+AG22+AI22+AK22+AM22+AO22+AQ22+AS22+AU22+AW22+AY22+BA22</f>
        <v>36000000</v>
      </c>
      <c r="BD22" s="82">
        <f t="shared" si="32"/>
        <v>36000000</v>
      </c>
      <c r="BE22" s="83">
        <f t="shared" si="1"/>
        <v>-10666352</v>
      </c>
      <c r="BF22" s="83">
        <f t="shared" si="2"/>
        <v>-10666352</v>
      </c>
      <c r="BG22" s="14" t="str">
        <f ca="1">IFERROR(__xludf.DUMMYFUNCTION("REGEXEXTRACT(O16,""^\S+\s(.+)$"")"),"Prestar servicios profesionales para el desarrollo del procedimiento de gestión precontractual y contractual de la Unidad de Planeación Minero Energética.")</f>
        <v>Prestar servicios profesionales para el desarrollo del procedimiento de gestión precontractual y contractual de la Unidad de Planeación Minero Energética.</v>
      </c>
      <c r="BH22" s="23">
        <v>0</v>
      </c>
      <c r="BI22" s="23">
        <v>0</v>
      </c>
      <c r="BJ22" s="23">
        <v>0</v>
      </c>
      <c r="BK22" s="23">
        <v>0</v>
      </c>
      <c r="BL22" s="23">
        <v>0</v>
      </c>
      <c r="BM22" s="23">
        <v>0</v>
      </c>
      <c r="BN22" s="23">
        <v>10666352</v>
      </c>
      <c r="BO22" s="23">
        <v>0</v>
      </c>
      <c r="BP22" s="23">
        <v>0</v>
      </c>
      <c r="BQ22" s="23">
        <v>0</v>
      </c>
      <c r="BR22" s="23">
        <v>0</v>
      </c>
      <c r="BS22" s="23">
        <v>0</v>
      </c>
      <c r="BT22" s="23">
        <v>36000000</v>
      </c>
      <c r="BU22" s="23">
        <v>0</v>
      </c>
      <c r="BV22" s="23">
        <v>0</v>
      </c>
      <c r="BW22" s="23">
        <v>0</v>
      </c>
      <c r="BX22" s="23">
        <v>0</v>
      </c>
      <c r="BY22" s="23">
        <v>0</v>
      </c>
      <c r="BZ22" s="23">
        <v>0</v>
      </c>
      <c r="CA22" s="23">
        <v>0</v>
      </c>
      <c r="CB22" s="23">
        <v>0</v>
      </c>
      <c r="CC22" s="23">
        <v>0</v>
      </c>
      <c r="CD22" s="23">
        <v>0</v>
      </c>
      <c r="CE22" s="23">
        <v>25333648</v>
      </c>
      <c r="CF22" s="28"/>
      <c r="CG22" s="28"/>
      <c r="CH22" s="25">
        <f t="shared" ref="CH22:CI22" si="33">BH22+BJ22+BL22+BN22+BP22+BR22+BT22+BV22+BX22+BZ22+CB22+CD22+CF22</f>
        <v>46666352</v>
      </c>
      <c r="CI22" s="25">
        <f t="shared" si="33"/>
        <v>25333648</v>
      </c>
      <c r="CJ22" s="26">
        <f t="shared" si="4"/>
        <v>-21332704</v>
      </c>
      <c r="CK22" s="26">
        <f t="shared" si="5"/>
        <v>0</v>
      </c>
    </row>
    <row r="23" spans="1:89" ht="90" customHeight="1" x14ac:dyDescent="0.3">
      <c r="A23" s="13" t="s">
        <v>248</v>
      </c>
      <c r="B23" s="14" t="s">
        <v>3</v>
      </c>
      <c r="C23" s="15" t="s">
        <v>249</v>
      </c>
      <c r="D23" s="14" t="s">
        <v>62</v>
      </c>
      <c r="E23" s="13" t="s">
        <v>250</v>
      </c>
      <c r="F23" s="13" t="s">
        <v>250</v>
      </c>
      <c r="G23" s="14">
        <v>68</v>
      </c>
      <c r="H23" s="13" t="s">
        <v>299</v>
      </c>
      <c r="I23" s="15" t="s">
        <v>252</v>
      </c>
      <c r="J23" s="14" t="s">
        <v>4</v>
      </c>
      <c r="K23" s="15" t="s">
        <v>81</v>
      </c>
      <c r="L23" s="14">
        <v>80111620</v>
      </c>
      <c r="M23" s="14" t="s">
        <v>5</v>
      </c>
      <c r="N23" s="14" t="s">
        <v>253</v>
      </c>
      <c r="O23" s="15" t="s">
        <v>300</v>
      </c>
      <c r="P23" s="14" t="s">
        <v>255</v>
      </c>
      <c r="Q23" s="14" t="s">
        <v>255</v>
      </c>
      <c r="R23" s="14" t="s">
        <v>255</v>
      </c>
      <c r="S23" s="17">
        <v>10</v>
      </c>
      <c r="T23" s="14" t="s">
        <v>256</v>
      </c>
      <c r="U23" s="14" t="s">
        <v>257</v>
      </c>
      <c r="V23" s="14" t="s">
        <v>112</v>
      </c>
      <c r="W23" s="18">
        <v>55000000</v>
      </c>
      <c r="X23" s="18">
        <v>55000000</v>
      </c>
      <c r="Y23" s="19" t="s">
        <v>258</v>
      </c>
      <c r="Z23" s="19" t="s">
        <v>258</v>
      </c>
      <c r="AA23" s="19" t="s">
        <v>259</v>
      </c>
      <c r="AB23" s="14" t="s">
        <v>260</v>
      </c>
      <c r="AC23" s="14">
        <v>6012220601</v>
      </c>
      <c r="AD23" s="14" t="s">
        <v>261</v>
      </c>
      <c r="AE23" s="82">
        <v>0</v>
      </c>
      <c r="AF23" s="82">
        <v>0</v>
      </c>
      <c r="AG23" s="82">
        <v>55000000</v>
      </c>
      <c r="AH23" s="82">
        <v>0</v>
      </c>
      <c r="AI23" s="82">
        <v>0</v>
      </c>
      <c r="AJ23" s="82">
        <v>3463460</v>
      </c>
      <c r="AK23" s="82">
        <v>0</v>
      </c>
      <c r="AL23" s="82">
        <v>3996300</v>
      </c>
      <c r="AM23" s="82">
        <v>0</v>
      </c>
      <c r="AN23" s="82">
        <v>3996300</v>
      </c>
      <c r="AO23" s="82">
        <v>0</v>
      </c>
      <c r="AP23" s="82">
        <v>3996300</v>
      </c>
      <c r="AQ23" s="82">
        <v>0</v>
      </c>
      <c r="AR23" s="82">
        <v>3996300</v>
      </c>
      <c r="AS23" s="82">
        <v>0</v>
      </c>
      <c r="AT23" s="82">
        <v>3996300</v>
      </c>
      <c r="AU23" s="82">
        <v>0</v>
      </c>
      <c r="AV23" s="82">
        <v>3996300</v>
      </c>
      <c r="AW23" s="82">
        <v>0</v>
      </c>
      <c r="AX23" s="82">
        <v>3996300</v>
      </c>
      <c r="AY23" s="82">
        <v>0</v>
      </c>
      <c r="AZ23" s="82">
        <v>3996300</v>
      </c>
      <c r="BA23" s="82">
        <v>0</v>
      </c>
      <c r="BB23" s="82">
        <v>19566140</v>
      </c>
      <c r="BC23" s="82">
        <f t="shared" ref="BC23:BD23" si="34">AE23+AG23+AI23+AK23+AM23+AO23+AQ23+AS23+AU23+AW23+AY23+BA23</f>
        <v>55000000</v>
      </c>
      <c r="BD23" s="82">
        <f t="shared" si="34"/>
        <v>55000000</v>
      </c>
      <c r="BE23" s="83">
        <f t="shared" si="1"/>
        <v>0</v>
      </c>
      <c r="BF23" s="83">
        <f t="shared" si="2"/>
        <v>0</v>
      </c>
      <c r="BG23" s="14" t="str">
        <f ca="1">IFERROR(__xludf.DUMMYFUNCTION("REGEXEXTRACT(O17,""^\S+\s(.+)$"")"),"Prestar servicios profesionales para la articulación del análisis técnico, la construcción conceptual y operativa, y la implementación de las mesas técnicas, así como el desarrollo de recomendaciones de política pública, metodologías y herramientas para l"&amp;"a implementación de la Estrategia de Integración de Habilitadores Socioambientales para la planeación minero-energética de la UPME.")</f>
        <v>Prestar servicios profesionales para la articulación del análisis técnico, la construcción conceptual y operativa, y la implementación de las mesas técnicas, así como el desarrollo de recomendaciones de política pública, metodologías y herramientas para la implementación de la Estrategia de Integración de Habilitadores Socioambientales para la planeación minero-energética de la UPME.</v>
      </c>
      <c r="BH23" s="23"/>
      <c r="BI23" s="23"/>
      <c r="BJ23" s="23">
        <v>55000000</v>
      </c>
      <c r="BK23" s="23"/>
      <c r="BL23" s="23"/>
      <c r="BM23" s="23">
        <v>3463460</v>
      </c>
      <c r="BN23" s="23"/>
      <c r="BO23" s="23">
        <v>3996300</v>
      </c>
      <c r="BP23" s="23"/>
      <c r="BQ23" s="23">
        <v>3996300</v>
      </c>
      <c r="BR23" s="23"/>
      <c r="BS23" s="23">
        <v>3996300</v>
      </c>
      <c r="BT23" s="23"/>
      <c r="BU23" s="23">
        <v>3996300</v>
      </c>
      <c r="BV23" s="23"/>
      <c r="BW23" s="23">
        <v>3996300</v>
      </c>
      <c r="BX23" s="23"/>
      <c r="BY23" s="23">
        <v>3996300</v>
      </c>
      <c r="BZ23" s="23"/>
      <c r="CA23" s="23">
        <v>3996300</v>
      </c>
      <c r="CB23" s="23"/>
      <c r="CC23" s="23">
        <v>3996300</v>
      </c>
      <c r="CD23" s="23"/>
      <c r="CE23" s="23">
        <v>19566140</v>
      </c>
      <c r="CF23" s="28"/>
      <c r="CG23" s="28"/>
      <c r="CH23" s="25">
        <f t="shared" ref="CH23:CI23" si="35">BH23+BJ23+BL23+BN23+BP23+BR23+BT23+BV23+BX23+BZ23+CB23+CD23+CF23</f>
        <v>55000000</v>
      </c>
      <c r="CI23" s="25">
        <f t="shared" si="35"/>
        <v>55000000</v>
      </c>
      <c r="CJ23" s="26">
        <f t="shared" si="4"/>
        <v>0</v>
      </c>
      <c r="CK23" s="26">
        <f t="shared" si="5"/>
        <v>0</v>
      </c>
    </row>
    <row r="24" spans="1:89" ht="90" customHeight="1" x14ac:dyDescent="0.3">
      <c r="A24" s="13" t="s">
        <v>248</v>
      </c>
      <c r="B24" s="14" t="s">
        <v>3</v>
      </c>
      <c r="C24" s="15" t="s">
        <v>249</v>
      </c>
      <c r="D24" s="14" t="s">
        <v>62</v>
      </c>
      <c r="E24" s="13" t="s">
        <v>250</v>
      </c>
      <c r="F24" s="13" t="s">
        <v>250</v>
      </c>
      <c r="G24" s="14">
        <v>68</v>
      </c>
      <c r="H24" s="13" t="s">
        <v>301</v>
      </c>
      <c r="I24" s="15" t="s">
        <v>252</v>
      </c>
      <c r="J24" s="14" t="s">
        <v>4</v>
      </c>
      <c r="K24" s="15" t="s">
        <v>81</v>
      </c>
      <c r="L24" s="14">
        <v>80111620</v>
      </c>
      <c r="M24" s="14" t="s">
        <v>5</v>
      </c>
      <c r="N24" s="14" t="s">
        <v>253</v>
      </c>
      <c r="O24" s="15" t="s">
        <v>302</v>
      </c>
      <c r="P24" s="14" t="s">
        <v>255</v>
      </c>
      <c r="Q24" s="14" t="s">
        <v>255</v>
      </c>
      <c r="R24" s="14" t="s">
        <v>255</v>
      </c>
      <c r="S24" s="17">
        <v>10</v>
      </c>
      <c r="T24" s="14" t="s">
        <v>256</v>
      </c>
      <c r="U24" s="14" t="s">
        <v>257</v>
      </c>
      <c r="V24" s="14" t="s">
        <v>112</v>
      </c>
      <c r="W24" s="18">
        <v>39939900</v>
      </c>
      <c r="X24" s="18">
        <v>39939900</v>
      </c>
      <c r="Y24" s="19" t="s">
        <v>258</v>
      </c>
      <c r="Z24" s="19" t="s">
        <v>258</v>
      </c>
      <c r="AA24" s="19" t="s">
        <v>259</v>
      </c>
      <c r="AB24" s="14" t="s">
        <v>260</v>
      </c>
      <c r="AC24" s="14">
        <v>6012220601</v>
      </c>
      <c r="AD24" s="14" t="s">
        <v>261</v>
      </c>
      <c r="AE24" s="82">
        <v>0</v>
      </c>
      <c r="AF24" s="82">
        <v>0</v>
      </c>
      <c r="AG24" s="82">
        <v>0</v>
      </c>
      <c r="AH24" s="82">
        <v>0</v>
      </c>
      <c r="AI24" s="82">
        <v>0</v>
      </c>
      <c r="AJ24" s="82">
        <v>0</v>
      </c>
      <c r="AK24" s="82">
        <v>0</v>
      </c>
      <c r="AL24" s="82">
        <v>0</v>
      </c>
      <c r="AM24" s="82">
        <v>0</v>
      </c>
      <c r="AN24" s="82">
        <v>0</v>
      </c>
      <c r="AO24" s="82">
        <v>0</v>
      </c>
      <c r="AP24" s="82">
        <v>0</v>
      </c>
      <c r="AQ24" s="82">
        <v>39939900</v>
      </c>
      <c r="AR24" s="82">
        <v>0</v>
      </c>
      <c r="AS24" s="82">
        <v>0</v>
      </c>
      <c r="AT24" s="82">
        <v>0</v>
      </c>
      <c r="AU24" s="82">
        <v>0</v>
      </c>
      <c r="AV24" s="82">
        <v>0</v>
      </c>
      <c r="AW24" s="82">
        <v>0</v>
      </c>
      <c r="AX24" s="82">
        <v>0</v>
      </c>
      <c r="AY24" s="82">
        <v>0</v>
      </c>
      <c r="AZ24" s="82">
        <v>0</v>
      </c>
      <c r="BA24" s="82">
        <v>0</v>
      </c>
      <c r="BB24" s="82">
        <v>39939900</v>
      </c>
      <c r="BC24" s="82">
        <f t="shared" ref="BC24:BD24" si="36">AE24+AG24+AI24+AK24+AM24+AO24+AQ24+AS24+AU24+AW24+AY24+BA24</f>
        <v>39939900</v>
      </c>
      <c r="BD24" s="82">
        <f t="shared" si="36"/>
        <v>39939900</v>
      </c>
      <c r="BE24" s="83">
        <f t="shared" si="1"/>
        <v>0</v>
      </c>
      <c r="BF24" s="83">
        <f t="shared" si="2"/>
        <v>0</v>
      </c>
      <c r="BG24" s="14" t="str">
        <f ca="1">IFERROR(__xludf.DUMMYFUNCTION("REGEXEXTRACT(O18,""^\S+\s(.+)$"")"),"Prestar servicios profesionales para el diseño, implementación y seguimiento de estrategias de educación comunitaria y participación ciudadana, con un enfoque de derechos humanos y diferencial, para el fortalecimiento de la relación entre la UPME y las co"&amp;"munidades en las zonas de influencia del Proyecto de Enfoque Territorial, promoviendo la apropiación social del conocimiento minero-energético y la gestión de diálogos territoriales.")</f>
        <v>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v>
      </c>
      <c r="BH24" s="23"/>
      <c r="BI24" s="23"/>
      <c r="BJ24" s="23"/>
      <c r="BK24" s="23"/>
      <c r="BL24" s="23"/>
      <c r="BM24" s="23"/>
      <c r="BN24" s="23"/>
      <c r="BO24" s="23"/>
      <c r="BP24" s="23"/>
      <c r="BQ24" s="23"/>
      <c r="BR24" s="23"/>
      <c r="BS24" s="23"/>
      <c r="BT24" s="23">
        <v>39939900</v>
      </c>
      <c r="BU24" s="23"/>
      <c r="BV24" s="23"/>
      <c r="BW24" s="23"/>
      <c r="BX24" s="23"/>
      <c r="BY24" s="23"/>
      <c r="BZ24" s="23"/>
      <c r="CA24" s="23"/>
      <c r="CB24" s="23"/>
      <c r="CC24" s="23"/>
      <c r="CD24" s="23"/>
      <c r="CE24" s="23">
        <v>39939900</v>
      </c>
      <c r="CF24" s="28"/>
      <c r="CG24" s="28"/>
      <c r="CH24" s="25">
        <f t="shared" ref="CH24:CI24" si="37">BH24+BJ24+BL24+BN24+BP24+BR24+BT24+BV24+BX24+BZ24+CB24+CD24+CF24</f>
        <v>39939900</v>
      </c>
      <c r="CI24" s="25">
        <f t="shared" si="37"/>
        <v>39939900</v>
      </c>
      <c r="CJ24" s="26">
        <f t="shared" si="4"/>
        <v>0</v>
      </c>
      <c r="CK24" s="26">
        <f t="shared" si="5"/>
        <v>0</v>
      </c>
    </row>
    <row r="25" spans="1:89" ht="90" customHeight="1" x14ac:dyDescent="0.3">
      <c r="A25" s="13" t="s">
        <v>248</v>
      </c>
      <c r="B25" s="14" t="s">
        <v>3</v>
      </c>
      <c r="C25" s="15" t="s">
        <v>249</v>
      </c>
      <c r="D25" s="14" t="s">
        <v>62</v>
      </c>
      <c r="E25" s="13" t="s">
        <v>250</v>
      </c>
      <c r="F25" s="13" t="s">
        <v>250</v>
      </c>
      <c r="G25" s="14">
        <v>1</v>
      </c>
      <c r="H25" s="13" t="s">
        <v>303</v>
      </c>
      <c r="I25" s="15" t="s">
        <v>252</v>
      </c>
      <c r="J25" s="14" t="s">
        <v>4</v>
      </c>
      <c r="K25" s="15" t="s">
        <v>81</v>
      </c>
      <c r="L25" s="14">
        <v>80111620</v>
      </c>
      <c r="M25" s="14" t="s">
        <v>5</v>
      </c>
      <c r="N25" s="14" t="s">
        <v>253</v>
      </c>
      <c r="O25" s="15" t="s">
        <v>304</v>
      </c>
      <c r="P25" s="14" t="s">
        <v>255</v>
      </c>
      <c r="Q25" s="14" t="s">
        <v>255</v>
      </c>
      <c r="R25" s="14" t="s">
        <v>255</v>
      </c>
      <c r="S25" s="17">
        <v>11.5</v>
      </c>
      <c r="T25" s="14" t="s">
        <v>256</v>
      </c>
      <c r="U25" s="14" t="s">
        <v>257</v>
      </c>
      <c r="V25" s="14" t="s">
        <v>112</v>
      </c>
      <c r="W25" s="18">
        <v>60000000</v>
      </c>
      <c r="X25" s="18">
        <v>60000000</v>
      </c>
      <c r="Y25" s="19" t="s">
        <v>258</v>
      </c>
      <c r="Z25" s="19" t="s">
        <v>258</v>
      </c>
      <c r="AA25" s="19" t="s">
        <v>259</v>
      </c>
      <c r="AB25" s="14" t="s">
        <v>260</v>
      </c>
      <c r="AC25" s="14">
        <v>6012220601</v>
      </c>
      <c r="AD25" s="14" t="s">
        <v>261</v>
      </c>
      <c r="AE25" s="82">
        <v>60000000</v>
      </c>
      <c r="AF25" s="82">
        <v>0</v>
      </c>
      <c r="AG25" s="82">
        <v>0</v>
      </c>
      <c r="AH25" s="82">
        <v>3200000</v>
      </c>
      <c r="AI25" s="82">
        <v>0</v>
      </c>
      <c r="AJ25" s="82">
        <v>8000000</v>
      </c>
      <c r="AK25" s="82">
        <v>0</v>
      </c>
      <c r="AL25" s="82">
        <v>8000000</v>
      </c>
      <c r="AM25" s="82">
        <v>0</v>
      </c>
      <c r="AN25" s="82">
        <v>8000000</v>
      </c>
      <c r="AO25" s="82">
        <v>0</v>
      </c>
      <c r="AP25" s="82">
        <v>8000000</v>
      </c>
      <c r="AQ25" s="82">
        <v>0</v>
      </c>
      <c r="AR25" s="82">
        <v>8000000</v>
      </c>
      <c r="AS25" s="82">
        <v>0</v>
      </c>
      <c r="AT25" s="82">
        <v>8000000</v>
      </c>
      <c r="AU25" s="82">
        <v>0</v>
      </c>
      <c r="AV25" s="82">
        <v>8000000</v>
      </c>
      <c r="AW25" s="82">
        <v>0</v>
      </c>
      <c r="AX25" s="82">
        <v>800000</v>
      </c>
      <c r="AY25" s="82">
        <v>0</v>
      </c>
      <c r="AZ25" s="82">
        <v>0</v>
      </c>
      <c r="BA25" s="82">
        <v>0</v>
      </c>
      <c r="BB25" s="82">
        <v>0</v>
      </c>
      <c r="BC25" s="82">
        <f t="shared" ref="BC25:BD25" si="38">AE25+AG25+AI25+AK25+AM25+AO25+AQ25+AS25+AU25+AW25+AY25+BA25</f>
        <v>60000000</v>
      </c>
      <c r="BD25" s="82">
        <f t="shared" si="38"/>
        <v>60000000</v>
      </c>
      <c r="BE25" s="83">
        <f t="shared" si="1"/>
        <v>0</v>
      </c>
      <c r="BF25" s="83">
        <f t="shared" si="2"/>
        <v>0</v>
      </c>
      <c r="BG25" s="14" t="str">
        <f ca="1">IFERROR(__xludf.DUMMYFUNCTION("REGEXEXTRACT(O19,""^\S+\s(.+)$"")"),"Prestar servicios profesionales para articular el seguimiento de la planeación estratégica y la ejecución presupuestal del proyecto de Enfoque Territorial de la Dirección General, garantizando el cumplimiento efectivo de sus metas y su adecuada integració"&amp;"n en la planeación energética nacional, así como brindar apoyo administrativo a la coordinación de Gestión de Contratación en el desarrollo, control y seguimiento de los procesos contractuales asociados al proyecto.")</f>
        <v>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v>
      </c>
      <c r="BH25" s="23">
        <v>60000000</v>
      </c>
      <c r="BI25" s="23"/>
      <c r="BJ25" s="23"/>
      <c r="BK25" s="23">
        <v>3200000</v>
      </c>
      <c r="BL25" s="23"/>
      <c r="BM25" s="23">
        <v>8000000</v>
      </c>
      <c r="BN25" s="23"/>
      <c r="BO25" s="23">
        <v>8000000</v>
      </c>
      <c r="BP25" s="23"/>
      <c r="BQ25" s="23">
        <v>8000000</v>
      </c>
      <c r="BR25" s="23"/>
      <c r="BS25" s="23">
        <v>8000000</v>
      </c>
      <c r="BT25" s="23"/>
      <c r="BU25" s="23">
        <v>8000000</v>
      </c>
      <c r="BV25" s="23"/>
      <c r="BW25" s="23">
        <v>8000000</v>
      </c>
      <c r="BX25" s="23"/>
      <c r="BY25" s="23">
        <v>8000000</v>
      </c>
      <c r="BZ25" s="23"/>
      <c r="CA25" s="23">
        <v>800000</v>
      </c>
      <c r="CB25" s="23"/>
      <c r="CC25" s="23">
        <v>0</v>
      </c>
      <c r="CD25" s="23"/>
      <c r="CE25" s="23">
        <v>0</v>
      </c>
      <c r="CF25" s="28"/>
      <c r="CG25" s="28"/>
      <c r="CH25" s="25">
        <f t="shared" ref="CH25:CI25" si="39">BH25+BJ25+BL25+BN25+BP25+BR25+BT25+BV25+BX25+BZ25+CB25+CD25+CF25</f>
        <v>60000000</v>
      </c>
      <c r="CI25" s="25">
        <f t="shared" si="39"/>
        <v>60000000</v>
      </c>
      <c r="CJ25" s="26">
        <f t="shared" si="4"/>
        <v>0</v>
      </c>
      <c r="CK25" s="26">
        <f t="shared" si="5"/>
        <v>0</v>
      </c>
    </row>
    <row r="26" spans="1:89" ht="90" customHeight="1" x14ac:dyDescent="0.3">
      <c r="A26" s="13" t="s">
        <v>248</v>
      </c>
      <c r="B26" s="14" t="s">
        <v>3</v>
      </c>
      <c r="C26" s="15" t="s">
        <v>249</v>
      </c>
      <c r="D26" s="14" t="s">
        <v>62</v>
      </c>
      <c r="E26" s="13" t="s">
        <v>250</v>
      </c>
      <c r="F26" s="13" t="s">
        <v>250</v>
      </c>
      <c r="G26" s="14">
        <v>68</v>
      </c>
      <c r="H26" s="13" t="s">
        <v>305</v>
      </c>
      <c r="I26" s="15" t="s">
        <v>252</v>
      </c>
      <c r="J26" s="14" t="s">
        <v>4</v>
      </c>
      <c r="K26" s="15" t="s">
        <v>81</v>
      </c>
      <c r="L26" s="14">
        <v>80111620</v>
      </c>
      <c r="M26" s="14" t="s">
        <v>5</v>
      </c>
      <c r="N26" s="14" t="s">
        <v>253</v>
      </c>
      <c r="O26" s="15" t="s">
        <v>306</v>
      </c>
      <c r="P26" s="14" t="s">
        <v>255</v>
      </c>
      <c r="Q26" s="14" t="s">
        <v>255</v>
      </c>
      <c r="R26" s="14" t="s">
        <v>255</v>
      </c>
      <c r="S26" s="17">
        <v>10</v>
      </c>
      <c r="T26" s="14" t="s">
        <v>256</v>
      </c>
      <c r="U26" s="14" t="s">
        <v>257</v>
      </c>
      <c r="V26" s="14" t="s">
        <v>112</v>
      </c>
      <c r="W26" s="18">
        <v>65900000</v>
      </c>
      <c r="X26" s="18">
        <v>65900000</v>
      </c>
      <c r="Y26" s="19" t="s">
        <v>258</v>
      </c>
      <c r="Z26" s="19" t="s">
        <v>258</v>
      </c>
      <c r="AA26" s="19" t="s">
        <v>259</v>
      </c>
      <c r="AB26" s="14" t="s">
        <v>260</v>
      </c>
      <c r="AC26" s="14">
        <v>6012220601</v>
      </c>
      <c r="AD26" s="14" t="s">
        <v>307</v>
      </c>
      <c r="AE26" s="82">
        <v>65900000</v>
      </c>
      <c r="AF26" s="82">
        <v>0</v>
      </c>
      <c r="AG26" s="82">
        <v>0</v>
      </c>
      <c r="AH26" s="82">
        <v>2196666</v>
      </c>
      <c r="AI26" s="82">
        <v>0</v>
      </c>
      <c r="AJ26" s="82">
        <v>6590000</v>
      </c>
      <c r="AK26" s="82">
        <v>0</v>
      </c>
      <c r="AL26" s="82">
        <v>6590000</v>
      </c>
      <c r="AM26" s="82">
        <v>0</v>
      </c>
      <c r="AN26" s="82">
        <v>6590000</v>
      </c>
      <c r="AO26" s="82">
        <v>0</v>
      </c>
      <c r="AP26" s="82">
        <v>6590000</v>
      </c>
      <c r="AQ26" s="82">
        <v>0</v>
      </c>
      <c r="AR26" s="82">
        <v>6590000</v>
      </c>
      <c r="AS26" s="82">
        <v>0</v>
      </c>
      <c r="AT26" s="82">
        <v>6590000</v>
      </c>
      <c r="AU26" s="82">
        <v>0</v>
      </c>
      <c r="AV26" s="82">
        <v>6590000</v>
      </c>
      <c r="AW26" s="82">
        <v>0</v>
      </c>
      <c r="AX26" s="82">
        <v>6590000</v>
      </c>
      <c r="AY26" s="82">
        <v>0</v>
      </c>
      <c r="AZ26" s="82">
        <v>6590000</v>
      </c>
      <c r="BA26" s="82">
        <v>0</v>
      </c>
      <c r="BB26" s="82">
        <v>4393334</v>
      </c>
      <c r="BC26" s="82">
        <f t="shared" ref="BC26:BD26" si="40">AE26+AG26+AI26+AK26+AM26+AO26+AQ26+AS26+AU26+AW26+AY26+BA26</f>
        <v>65900000</v>
      </c>
      <c r="BD26" s="82">
        <f t="shared" si="40"/>
        <v>65900000</v>
      </c>
      <c r="BE26" s="83">
        <f t="shared" si="1"/>
        <v>0</v>
      </c>
      <c r="BF26" s="83">
        <f t="shared" si="2"/>
        <v>0</v>
      </c>
      <c r="BG26" s="14" t="str">
        <f ca="1">IFERROR(__xludf.DUMMYFUNCTION("REGEXEXTRACT(O20,""^\S+\s(.+)$"")"),"Prestar servicios profesionales para apoyar a la UPME en la identificación, evaluación y mitigación de impactos ambientales derivados de sus actividades rutinarias, garantizando el cumplimiento de la normativa ambiental, la gestión adecuada de residuos, y"&amp;" el control del uso racional de agua y energía, con el fin de optimizar las prácticas sostenibles dentro de la entidad.")</f>
        <v>Prestar servicios profesionales para apoyar a la UPME en la identificación, evaluación y mitigación de impactos ambientales derivados de sus actividades rutinarias, garantizando el cumplimiento de la normativa ambiental, la gestión adecuada de residuos, y el control del uso racional de agua y energía, con el fin de optimizar las prácticas sostenibles dentro de la entidad.</v>
      </c>
      <c r="BH26" s="23">
        <v>65900000</v>
      </c>
      <c r="BI26" s="23"/>
      <c r="BJ26" s="23"/>
      <c r="BK26" s="23">
        <v>2196666</v>
      </c>
      <c r="BL26" s="23"/>
      <c r="BM26" s="23">
        <v>6590000</v>
      </c>
      <c r="BN26" s="23"/>
      <c r="BO26" s="23">
        <v>6590000</v>
      </c>
      <c r="BP26" s="23"/>
      <c r="BQ26" s="23">
        <v>6590000</v>
      </c>
      <c r="BR26" s="23"/>
      <c r="BS26" s="23">
        <v>6590000</v>
      </c>
      <c r="BT26" s="23"/>
      <c r="BU26" s="23">
        <v>6590000</v>
      </c>
      <c r="BV26" s="23"/>
      <c r="BW26" s="23">
        <v>6590000</v>
      </c>
      <c r="BX26" s="23"/>
      <c r="BY26" s="23">
        <v>6590000</v>
      </c>
      <c r="BZ26" s="23"/>
      <c r="CA26" s="23">
        <v>6590000</v>
      </c>
      <c r="CB26" s="23"/>
      <c r="CC26" s="23">
        <v>6590000</v>
      </c>
      <c r="CD26" s="23"/>
      <c r="CE26" s="23">
        <v>4393334</v>
      </c>
      <c r="CF26" s="28"/>
      <c r="CG26" s="28"/>
      <c r="CH26" s="25">
        <f t="shared" ref="CH26:CI26" si="41">BH26+BJ26+BL26+BN26+BP26+BR26+BT26+BV26+BX26+BZ26+CB26+CD26+CF26</f>
        <v>65900000</v>
      </c>
      <c r="CI26" s="25">
        <f t="shared" si="41"/>
        <v>65900000</v>
      </c>
      <c r="CJ26" s="26">
        <f t="shared" si="4"/>
        <v>0</v>
      </c>
      <c r="CK26" s="26">
        <f t="shared" si="5"/>
        <v>0</v>
      </c>
    </row>
    <row r="27" spans="1:89" ht="90" customHeight="1" x14ac:dyDescent="0.3">
      <c r="A27" s="13" t="s">
        <v>248</v>
      </c>
      <c r="B27" s="14" t="s">
        <v>3</v>
      </c>
      <c r="C27" s="15" t="s">
        <v>249</v>
      </c>
      <c r="D27" s="14" t="s">
        <v>62</v>
      </c>
      <c r="E27" s="13" t="s">
        <v>250</v>
      </c>
      <c r="F27" s="13" t="s">
        <v>250</v>
      </c>
      <c r="G27" s="14">
        <v>68</v>
      </c>
      <c r="H27" s="13" t="s">
        <v>308</v>
      </c>
      <c r="I27" s="15" t="s">
        <v>252</v>
      </c>
      <c r="J27" s="14" t="s">
        <v>4</v>
      </c>
      <c r="K27" s="15" t="s">
        <v>81</v>
      </c>
      <c r="L27" s="14">
        <v>80111620</v>
      </c>
      <c r="M27" s="14" t="s">
        <v>5</v>
      </c>
      <c r="N27" s="14" t="s">
        <v>253</v>
      </c>
      <c r="O27" s="15" t="s">
        <v>309</v>
      </c>
      <c r="P27" s="14" t="s">
        <v>255</v>
      </c>
      <c r="Q27" s="14" t="s">
        <v>255</v>
      </c>
      <c r="R27" s="14" t="s">
        <v>255</v>
      </c>
      <c r="S27" s="17">
        <v>10</v>
      </c>
      <c r="T27" s="14" t="s">
        <v>256</v>
      </c>
      <c r="U27" s="14" t="s">
        <v>257</v>
      </c>
      <c r="V27" s="14" t="s">
        <v>112</v>
      </c>
      <c r="W27" s="18">
        <v>75000000</v>
      </c>
      <c r="X27" s="18">
        <v>75000000</v>
      </c>
      <c r="Y27" s="19" t="s">
        <v>258</v>
      </c>
      <c r="Z27" s="19" t="s">
        <v>258</v>
      </c>
      <c r="AA27" s="19" t="s">
        <v>310</v>
      </c>
      <c r="AB27" s="14" t="s">
        <v>260</v>
      </c>
      <c r="AC27" s="14">
        <v>6012220601</v>
      </c>
      <c r="AD27" s="14" t="s">
        <v>311</v>
      </c>
      <c r="AE27" s="82">
        <v>75000000</v>
      </c>
      <c r="AF27" s="82">
        <v>0</v>
      </c>
      <c r="AG27" s="82">
        <v>0</v>
      </c>
      <c r="AH27" s="82">
        <v>3750000</v>
      </c>
      <c r="AI27" s="82">
        <v>0</v>
      </c>
      <c r="AJ27" s="82">
        <v>7500000</v>
      </c>
      <c r="AK27" s="82">
        <v>0</v>
      </c>
      <c r="AL27" s="82">
        <v>7500000</v>
      </c>
      <c r="AM27" s="82">
        <v>0</v>
      </c>
      <c r="AN27" s="82">
        <v>7500000</v>
      </c>
      <c r="AO27" s="82">
        <v>0</v>
      </c>
      <c r="AP27" s="82">
        <v>7500000</v>
      </c>
      <c r="AQ27" s="82">
        <v>0</v>
      </c>
      <c r="AR27" s="82">
        <v>7500000</v>
      </c>
      <c r="AS27" s="82">
        <v>0</v>
      </c>
      <c r="AT27" s="82">
        <v>7500000</v>
      </c>
      <c r="AU27" s="82">
        <v>0</v>
      </c>
      <c r="AV27" s="82">
        <v>7500000</v>
      </c>
      <c r="AW27" s="82">
        <v>0</v>
      </c>
      <c r="AX27" s="82">
        <v>7500000</v>
      </c>
      <c r="AY27" s="82">
        <v>0</v>
      </c>
      <c r="AZ27" s="82">
        <v>7500000</v>
      </c>
      <c r="BA27" s="82">
        <v>0</v>
      </c>
      <c r="BB27" s="82">
        <v>3750000</v>
      </c>
      <c r="BC27" s="82">
        <f t="shared" ref="BC27:BD27" si="42">AE27+AG27+AI27+AK27+AM27+AO27+AQ27+AS27+AU27+AW27+AY27+BA27</f>
        <v>75000000</v>
      </c>
      <c r="BD27" s="82">
        <f t="shared" si="42"/>
        <v>75000000</v>
      </c>
      <c r="BE27" s="83">
        <f t="shared" si="1"/>
        <v>0</v>
      </c>
      <c r="BF27" s="83">
        <f t="shared" si="2"/>
        <v>0</v>
      </c>
      <c r="BG27" s="14" t="str">
        <f ca="1">IFERROR(__xludf.DUMMYFUNCTION("REGEXEXTRACT(O21,""^\S+\s(.+)$"")"),"Prestar servicios profesionales para apoyar la formulación, actualización, articulación, monitoreo y mejora de los Planes Institucionales y el Sistema de Gestión Institucional de la UPME, garantizando su alineación con el Marco Estratégico Institucional y"&amp;" el Modelo Integrado de Planeación y Gestión - MIPG.")</f>
        <v>Prestar servicios profesionales para apoyar la formulación, actualización, articulación, monitoreo y mejora de los Planes Institucionales y el Sistema de Gestión Institucional de la UPME, garantizando su alineación con el Marco Estratégico Institucional y el Modelo Integrado de Planeación y Gestión - MIPG.</v>
      </c>
      <c r="BH27" s="23">
        <v>75000000</v>
      </c>
      <c r="BI27" s="23"/>
      <c r="BJ27" s="23"/>
      <c r="BK27" s="23">
        <v>3750000</v>
      </c>
      <c r="BL27" s="23"/>
      <c r="BM27" s="23">
        <v>7500000</v>
      </c>
      <c r="BN27" s="23"/>
      <c r="BO27" s="23">
        <v>7500000</v>
      </c>
      <c r="BP27" s="23"/>
      <c r="BQ27" s="23">
        <v>7500000</v>
      </c>
      <c r="BR27" s="23"/>
      <c r="BS27" s="23">
        <v>7500000</v>
      </c>
      <c r="BT27" s="23"/>
      <c r="BU27" s="23">
        <v>7500000</v>
      </c>
      <c r="BV27" s="23"/>
      <c r="BW27" s="23">
        <v>7500000</v>
      </c>
      <c r="BX27" s="23"/>
      <c r="BY27" s="23">
        <v>7500000</v>
      </c>
      <c r="BZ27" s="23"/>
      <c r="CA27" s="23">
        <v>7500000</v>
      </c>
      <c r="CB27" s="23"/>
      <c r="CC27" s="23">
        <v>7500000</v>
      </c>
      <c r="CD27" s="23"/>
      <c r="CE27" s="23">
        <v>3750000</v>
      </c>
      <c r="CF27" s="28"/>
      <c r="CG27" s="28"/>
      <c r="CH27" s="25">
        <f t="shared" ref="CH27:CI27" si="43">BH27+BJ27+BL27+BN27+BP27+BR27+BT27+BV27+BX27+BZ27+CB27+CD27+CF27</f>
        <v>75000000</v>
      </c>
      <c r="CI27" s="25">
        <f t="shared" si="43"/>
        <v>75000000</v>
      </c>
      <c r="CJ27" s="26">
        <f t="shared" si="4"/>
        <v>0</v>
      </c>
      <c r="CK27" s="26">
        <f t="shared" si="5"/>
        <v>0</v>
      </c>
    </row>
    <row r="28" spans="1:89" ht="90" customHeight="1" x14ac:dyDescent="0.3">
      <c r="A28" s="13" t="s">
        <v>248</v>
      </c>
      <c r="B28" s="14" t="s">
        <v>3</v>
      </c>
      <c r="C28" s="15" t="s">
        <v>249</v>
      </c>
      <c r="D28" s="14" t="s">
        <v>62</v>
      </c>
      <c r="E28" s="13" t="s">
        <v>250</v>
      </c>
      <c r="F28" s="13" t="s">
        <v>250</v>
      </c>
      <c r="G28" s="14">
        <v>68</v>
      </c>
      <c r="H28" s="13" t="s">
        <v>312</v>
      </c>
      <c r="I28" s="15" t="s">
        <v>252</v>
      </c>
      <c r="J28" s="14" t="s">
        <v>4</v>
      </c>
      <c r="K28" s="15" t="s">
        <v>81</v>
      </c>
      <c r="L28" s="14">
        <v>80111620</v>
      </c>
      <c r="M28" s="14" t="s">
        <v>5</v>
      </c>
      <c r="N28" s="14" t="s">
        <v>253</v>
      </c>
      <c r="O28" s="15" t="s">
        <v>313</v>
      </c>
      <c r="P28" s="14" t="s">
        <v>255</v>
      </c>
      <c r="Q28" s="14" t="s">
        <v>255</v>
      </c>
      <c r="R28" s="14" t="s">
        <v>255</v>
      </c>
      <c r="S28" s="17">
        <v>10</v>
      </c>
      <c r="T28" s="14" t="s">
        <v>256</v>
      </c>
      <c r="U28" s="14" t="s">
        <v>257</v>
      </c>
      <c r="V28" s="14" t="s">
        <v>112</v>
      </c>
      <c r="W28" s="18">
        <v>94000000</v>
      </c>
      <c r="X28" s="18">
        <v>94000000</v>
      </c>
      <c r="Y28" s="19" t="s">
        <v>258</v>
      </c>
      <c r="Z28" s="19" t="s">
        <v>258</v>
      </c>
      <c r="AA28" s="19" t="s">
        <v>259</v>
      </c>
      <c r="AB28" s="14" t="s">
        <v>260</v>
      </c>
      <c r="AC28" s="14">
        <v>6012220601</v>
      </c>
      <c r="AD28" s="14" t="s">
        <v>307</v>
      </c>
      <c r="AE28" s="82">
        <v>94000000</v>
      </c>
      <c r="AF28" s="82">
        <v>0</v>
      </c>
      <c r="AG28" s="82">
        <v>0</v>
      </c>
      <c r="AH28" s="82">
        <v>4700000</v>
      </c>
      <c r="AI28" s="82">
        <v>0</v>
      </c>
      <c r="AJ28" s="82">
        <v>9400000</v>
      </c>
      <c r="AK28" s="82">
        <v>0</v>
      </c>
      <c r="AL28" s="82">
        <v>9400000</v>
      </c>
      <c r="AM28" s="82">
        <v>0</v>
      </c>
      <c r="AN28" s="82">
        <v>9400000</v>
      </c>
      <c r="AO28" s="82">
        <v>0</v>
      </c>
      <c r="AP28" s="82">
        <v>9400000</v>
      </c>
      <c r="AQ28" s="82">
        <v>0</v>
      </c>
      <c r="AR28" s="82">
        <v>9400000</v>
      </c>
      <c r="AS28" s="82">
        <v>0</v>
      </c>
      <c r="AT28" s="82">
        <v>9400000</v>
      </c>
      <c r="AU28" s="82">
        <v>0</v>
      </c>
      <c r="AV28" s="82">
        <v>9400000</v>
      </c>
      <c r="AW28" s="82">
        <v>0</v>
      </c>
      <c r="AX28" s="82">
        <v>9400000</v>
      </c>
      <c r="AY28" s="82">
        <v>0</v>
      </c>
      <c r="AZ28" s="82">
        <v>9400000</v>
      </c>
      <c r="BA28" s="82">
        <v>0</v>
      </c>
      <c r="BB28" s="82">
        <v>4700000</v>
      </c>
      <c r="BC28" s="82">
        <f t="shared" ref="BC28:BD28" si="44">AE28+AG28+AI28+AK28+AM28+AO28+AQ28+AS28+AU28+AW28+AY28+BA28</f>
        <v>94000000</v>
      </c>
      <c r="BD28" s="82">
        <f t="shared" si="44"/>
        <v>94000000</v>
      </c>
      <c r="BE28" s="83">
        <f t="shared" si="1"/>
        <v>0</v>
      </c>
      <c r="BF28" s="83">
        <f t="shared" si="2"/>
        <v>0</v>
      </c>
      <c r="BG28" s="14" t="str">
        <f ca="1">IFERROR(__xludf.DUMMYFUNCTION("REGEXEXTRACT(O22,""^\S+\s(.+)$"")"),"Prestar los servicios profesionales de enlace legislativo y asesoría jurídica del Proyecto Enfoque Territorial, mediante la elaboración de conceptos, análisis y seguimiento normativo, mediante el monitoreo de la normativa vigente de los proyectos y del se"&amp;"ctor minero energético y del enfoque territorial, a fin de asegurar la legalidad y la oportunidad de las decisiones del proyecto, identificando impactos, riesgos y oportunidades para el proyecto.")</f>
        <v>Prestar los servicios profesionales de enlace legislativo y asesoría jurídica del Proyecto Enfoque Territorial, mediante la elaboración de conceptos, análisis y seguimiento normativo, mediante el monitoreo de la normativa vigente de los proyectos y del sector minero energético y del enfoque territorial, a fin de asegurar la legalidad y la oportunidad de las decisiones del proyecto, identificando impactos, riesgos y oportunidades para el proyecto.</v>
      </c>
      <c r="BH28" s="23">
        <v>94000000</v>
      </c>
      <c r="BI28" s="23"/>
      <c r="BJ28" s="23"/>
      <c r="BK28" s="23">
        <v>4700000</v>
      </c>
      <c r="BL28" s="23"/>
      <c r="BM28" s="23">
        <v>9400000</v>
      </c>
      <c r="BN28" s="23"/>
      <c r="BO28" s="23">
        <v>9400000</v>
      </c>
      <c r="BP28" s="23"/>
      <c r="BQ28" s="23">
        <v>9400000</v>
      </c>
      <c r="BR28" s="23"/>
      <c r="BS28" s="23">
        <v>9400000</v>
      </c>
      <c r="BT28" s="23"/>
      <c r="BU28" s="23">
        <v>9400000</v>
      </c>
      <c r="BV28" s="23"/>
      <c r="BW28" s="23">
        <v>9400000</v>
      </c>
      <c r="BX28" s="23"/>
      <c r="BY28" s="23">
        <v>9400000</v>
      </c>
      <c r="BZ28" s="23"/>
      <c r="CA28" s="23">
        <v>9400000</v>
      </c>
      <c r="CB28" s="23"/>
      <c r="CC28" s="23">
        <v>9400000</v>
      </c>
      <c r="CD28" s="23"/>
      <c r="CE28" s="23">
        <v>4700000</v>
      </c>
      <c r="CF28" s="28"/>
      <c r="CG28" s="28"/>
      <c r="CH28" s="25">
        <f t="shared" ref="CH28:CI28" si="45">BH28+BJ28+BL28+BN28+BP28+BR28+BT28+BV28+BX28+BZ28+CB28+CD28+CF28</f>
        <v>94000000</v>
      </c>
      <c r="CI28" s="25">
        <f t="shared" si="45"/>
        <v>94000000</v>
      </c>
      <c r="CJ28" s="26">
        <f t="shared" si="4"/>
        <v>0</v>
      </c>
      <c r="CK28" s="26">
        <f t="shared" si="5"/>
        <v>0</v>
      </c>
    </row>
    <row r="29" spans="1:89" ht="90" customHeight="1" x14ac:dyDescent="0.3">
      <c r="A29" s="13" t="s">
        <v>248</v>
      </c>
      <c r="B29" s="14" t="s">
        <v>3</v>
      </c>
      <c r="C29" s="15" t="s">
        <v>249</v>
      </c>
      <c r="D29" s="14" t="s">
        <v>62</v>
      </c>
      <c r="E29" s="13" t="s">
        <v>250</v>
      </c>
      <c r="F29" s="13" t="s">
        <v>250</v>
      </c>
      <c r="G29" s="14">
        <v>2</v>
      </c>
      <c r="H29" s="13" t="s">
        <v>314</v>
      </c>
      <c r="I29" s="15" t="s">
        <v>252</v>
      </c>
      <c r="J29" s="14" t="s">
        <v>4</v>
      </c>
      <c r="K29" s="15" t="s">
        <v>81</v>
      </c>
      <c r="L29" s="14">
        <v>80111620</v>
      </c>
      <c r="M29" s="14" t="s">
        <v>5</v>
      </c>
      <c r="N29" s="14" t="s">
        <v>253</v>
      </c>
      <c r="O29" s="15" t="s">
        <v>315</v>
      </c>
      <c r="P29" s="14" t="s">
        <v>255</v>
      </c>
      <c r="Q29" s="14" t="s">
        <v>255</v>
      </c>
      <c r="R29" s="14" t="s">
        <v>255</v>
      </c>
      <c r="S29" s="17">
        <v>10</v>
      </c>
      <c r="T29" s="14" t="s">
        <v>256</v>
      </c>
      <c r="U29" s="14" t="s">
        <v>257</v>
      </c>
      <c r="V29" s="14" t="s">
        <v>112</v>
      </c>
      <c r="W29" s="18">
        <v>90000000</v>
      </c>
      <c r="X29" s="18">
        <v>90000000</v>
      </c>
      <c r="Y29" s="19" t="s">
        <v>258</v>
      </c>
      <c r="Z29" s="19" t="s">
        <v>258</v>
      </c>
      <c r="AA29" s="19" t="s">
        <v>259</v>
      </c>
      <c r="AB29" s="14" t="s">
        <v>260</v>
      </c>
      <c r="AC29" s="14">
        <v>6012220601</v>
      </c>
      <c r="AD29" s="14" t="s">
        <v>261</v>
      </c>
      <c r="AE29" s="82">
        <v>90000000</v>
      </c>
      <c r="AF29" s="82">
        <v>0</v>
      </c>
      <c r="AG29" s="82">
        <v>0</v>
      </c>
      <c r="AH29" s="82">
        <v>900000</v>
      </c>
      <c r="AI29" s="82">
        <v>0</v>
      </c>
      <c r="AJ29" s="82">
        <v>9000000</v>
      </c>
      <c r="AK29" s="82">
        <v>0</v>
      </c>
      <c r="AL29" s="82">
        <v>9000000</v>
      </c>
      <c r="AM29" s="82">
        <v>0</v>
      </c>
      <c r="AN29" s="82">
        <v>9000000</v>
      </c>
      <c r="AO29" s="82">
        <v>0</v>
      </c>
      <c r="AP29" s="82">
        <v>9000000</v>
      </c>
      <c r="AQ29" s="82">
        <v>0</v>
      </c>
      <c r="AR29" s="82">
        <v>9000000</v>
      </c>
      <c r="AS29" s="82">
        <v>0</v>
      </c>
      <c r="AT29" s="82">
        <v>9000000</v>
      </c>
      <c r="AU29" s="82">
        <v>0</v>
      </c>
      <c r="AV29" s="82">
        <v>9000000</v>
      </c>
      <c r="AW29" s="82">
        <v>0</v>
      </c>
      <c r="AX29" s="82">
        <v>9000000</v>
      </c>
      <c r="AY29" s="82">
        <v>0</v>
      </c>
      <c r="AZ29" s="82">
        <v>9000000</v>
      </c>
      <c r="BA29" s="82">
        <v>0</v>
      </c>
      <c r="BB29" s="82">
        <v>8100000</v>
      </c>
      <c r="BC29" s="82">
        <f t="shared" ref="BC29:BD29" si="46">AE29+AG29+AI29+AK29+AM29+AO29+AQ29+AS29+AU29+AW29+AY29+BA29</f>
        <v>90000000</v>
      </c>
      <c r="BD29" s="82">
        <f t="shared" si="46"/>
        <v>90000000</v>
      </c>
      <c r="BE29" s="83">
        <f t="shared" si="1"/>
        <v>0</v>
      </c>
      <c r="BF29" s="83">
        <f t="shared" si="2"/>
        <v>0</v>
      </c>
      <c r="BG29" s="14" t="str">
        <f ca="1">IFERROR(__xludf.DUMMYFUNCTION("REGEXEXTRACT(O23,""^\S+\s(.+)$"")"),"Prestar servicios profesionales para el diseño e implementación de una estrategia psicopedagógica y de transferencia de conocimiento, con análisis de política pública minero-energética, en el marco del Proyecto de Enfoque Territorial de la UPME.")</f>
        <v>Prestar servicios profesionales para el diseño e implementación de una estrategia psicopedagógica y de transferencia de conocimiento, con análisis de política pública minero-energética, en el marco del Proyecto de Enfoque Territorial de la UPME.</v>
      </c>
      <c r="BH29" s="23">
        <v>90000000</v>
      </c>
      <c r="BI29" s="23"/>
      <c r="BJ29" s="23"/>
      <c r="BK29" s="23">
        <v>900000</v>
      </c>
      <c r="BL29" s="23"/>
      <c r="BM29" s="23">
        <v>9000000</v>
      </c>
      <c r="BN29" s="23"/>
      <c r="BO29" s="23">
        <v>9000000</v>
      </c>
      <c r="BP29" s="23"/>
      <c r="BQ29" s="23">
        <v>9000000</v>
      </c>
      <c r="BR29" s="23"/>
      <c r="BS29" s="23">
        <v>9000000</v>
      </c>
      <c r="BT29" s="23"/>
      <c r="BU29" s="23">
        <v>9000000</v>
      </c>
      <c r="BV29" s="23"/>
      <c r="BW29" s="23">
        <v>9000000</v>
      </c>
      <c r="BX29" s="23"/>
      <c r="BY29" s="23">
        <v>9000000</v>
      </c>
      <c r="BZ29" s="23"/>
      <c r="CA29" s="23">
        <v>9000000</v>
      </c>
      <c r="CB29" s="23"/>
      <c r="CC29" s="23">
        <v>9000000</v>
      </c>
      <c r="CD29" s="23"/>
      <c r="CE29" s="23">
        <v>8100000</v>
      </c>
      <c r="CF29" s="28"/>
      <c r="CG29" s="28"/>
      <c r="CH29" s="25">
        <f t="shared" ref="CH29:CI29" si="47">BH29+BJ29+BL29+BN29+BP29+BR29+BT29+BV29+BX29+BZ29+CB29+CD29+CF29</f>
        <v>90000000</v>
      </c>
      <c r="CI29" s="25">
        <f t="shared" si="47"/>
        <v>90000000</v>
      </c>
      <c r="CJ29" s="26">
        <f t="shared" si="4"/>
        <v>0</v>
      </c>
      <c r="CK29" s="26">
        <f t="shared" si="5"/>
        <v>0</v>
      </c>
    </row>
    <row r="30" spans="1:89" ht="90" customHeight="1" x14ac:dyDescent="0.3">
      <c r="A30" s="13" t="s">
        <v>248</v>
      </c>
      <c r="B30" s="14" t="s">
        <v>3</v>
      </c>
      <c r="C30" s="15" t="s">
        <v>249</v>
      </c>
      <c r="D30" s="14" t="s">
        <v>62</v>
      </c>
      <c r="E30" s="13" t="s">
        <v>250</v>
      </c>
      <c r="F30" s="13" t="s">
        <v>250</v>
      </c>
      <c r="G30" s="14">
        <v>1</v>
      </c>
      <c r="H30" s="13" t="s">
        <v>316</v>
      </c>
      <c r="I30" s="15" t="s">
        <v>252</v>
      </c>
      <c r="J30" s="14" t="s">
        <v>4</v>
      </c>
      <c r="K30" s="15" t="s">
        <v>81</v>
      </c>
      <c r="L30" s="14">
        <v>80111620</v>
      </c>
      <c r="M30" s="14" t="s">
        <v>5</v>
      </c>
      <c r="N30" s="14" t="s">
        <v>253</v>
      </c>
      <c r="O30" s="15" t="s">
        <v>317</v>
      </c>
      <c r="P30" s="14" t="s">
        <v>255</v>
      </c>
      <c r="Q30" s="14" t="s">
        <v>255</v>
      </c>
      <c r="R30" s="14" t="s">
        <v>255</v>
      </c>
      <c r="S30" s="17">
        <v>11.5</v>
      </c>
      <c r="T30" s="14" t="s">
        <v>256</v>
      </c>
      <c r="U30" s="14" t="s">
        <v>257</v>
      </c>
      <c r="V30" s="14" t="s">
        <v>112</v>
      </c>
      <c r="W30" s="18">
        <v>37782675</v>
      </c>
      <c r="X30" s="18">
        <v>37782675</v>
      </c>
      <c r="Y30" s="19" t="s">
        <v>258</v>
      </c>
      <c r="Z30" s="19" t="s">
        <v>258</v>
      </c>
      <c r="AA30" s="19" t="s">
        <v>259</v>
      </c>
      <c r="AB30" s="14" t="s">
        <v>260</v>
      </c>
      <c r="AC30" s="14">
        <v>6012220601</v>
      </c>
      <c r="AD30" s="14" t="s">
        <v>261</v>
      </c>
      <c r="AE30" s="82">
        <v>37782675</v>
      </c>
      <c r="AF30" s="82">
        <v>0</v>
      </c>
      <c r="AG30" s="82">
        <v>0</v>
      </c>
      <c r="AH30" s="82">
        <v>328545</v>
      </c>
      <c r="AI30" s="82">
        <v>0</v>
      </c>
      <c r="AJ30" s="82">
        <v>3285450</v>
      </c>
      <c r="AK30" s="82">
        <v>0</v>
      </c>
      <c r="AL30" s="82">
        <v>3285450</v>
      </c>
      <c r="AM30" s="82">
        <v>0</v>
      </c>
      <c r="AN30" s="82">
        <v>3285450</v>
      </c>
      <c r="AO30" s="82">
        <v>0</v>
      </c>
      <c r="AP30" s="82">
        <v>3285450</v>
      </c>
      <c r="AQ30" s="82">
        <v>0</v>
      </c>
      <c r="AR30" s="82">
        <v>3285450</v>
      </c>
      <c r="AS30" s="82">
        <v>0</v>
      </c>
      <c r="AT30" s="82">
        <v>3285450</v>
      </c>
      <c r="AU30" s="82">
        <v>0</v>
      </c>
      <c r="AV30" s="82">
        <v>3285450</v>
      </c>
      <c r="AW30" s="82">
        <v>0</v>
      </c>
      <c r="AX30" s="82">
        <v>3285450</v>
      </c>
      <c r="AY30" s="82">
        <v>0</v>
      </c>
      <c r="AZ30" s="82">
        <v>3285450</v>
      </c>
      <c r="BA30" s="82">
        <v>0</v>
      </c>
      <c r="BB30" s="82">
        <v>7885080</v>
      </c>
      <c r="BC30" s="82">
        <f t="shared" ref="BC30:BD30" si="48">AE30+AG30+AI30+AK30+AM30+AO30+AQ30+AS30+AU30+AW30+AY30+BA30</f>
        <v>37782675</v>
      </c>
      <c r="BD30" s="82">
        <f t="shared" si="48"/>
        <v>37782675</v>
      </c>
      <c r="BE30" s="83">
        <f t="shared" si="1"/>
        <v>0</v>
      </c>
      <c r="BF30" s="83">
        <f t="shared" si="2"/>
        <v>0</v>
      </c>
      <c r="BG30" s="14" t="str">
        <f ca="1">IFERROR(__xludf.DUMMYFUNCTION("REGEXEXTRACT(O24,""^\S+\s(.+)$"")"),"Prestar servicios profesionales para apoyo administrativo en la ejecución de actividades del proyecto enfoque territorial, incluyendo la organización de información, control de entregables, consolidación de reportes en coordinación con la Dirección Genera"&amp;"l, los equipos técnicos y jurídicos del proyecto.")</f>
        <v>Prestar servicios profesionales para apoyo administrativo en la ejecución de actividades del proyecto enfoque territorial, incluyendo la organización de información, control de entregables, consolidación de reportes en coordinación con la Dirección General, los equipos técnicos y jurídicos del proyecto.</v>
      </c>
      <c r="BH30" s="23">
        <v>37782675</v>
      </c>
      <c r="BI30" s="23"/>
      <c r="BJ30" s="23"/>
      <c r="BK30" s="23">
        <v>328545</v>
      </c>
      <c r="BL30" s="23"/>
      <c r="BM30" s="23">
        <v>3285450</v>
      </c>
      <c r="BN30" s="23"/>
      <c r="BO30" s="23">
        <v>3285450</v>
      </c>
      <c r="BP30" s="23"/>
      <c r="BQ30" s="23">
        <v>3285450</v>
      </c>
      <c r="BR30" s="23"/>
      <c r="BS30" s="23">
        <v>3285450</v>
      </c>
      <c r="BT30" s="23"/>
      <c r="BU30" s="23">
        <v>3285450</v>
      </c>
      <c r="BV30" s="23"/>
      <c r="BW30" s="23">
        <v>3285450</v>
      </c>
      <c r="BX30" s="23"/>
      <c r="BY30" s="23">
        <v>3285450</v>
      </c>
      <c r="BZ30" s="23"/>
      <c r="CA30" s="23">
        <v>3285450</v>
      </c>
      <c r="CB30" s="23"/>
      <c r="CC30" s="23">
        <v>3285450</v>
      </c>
      <c r="CD30" s="23"/>
      <c r="CE30" s="23">
        <v>7885080</v>
      </c>
      <c r="CF30" s="28"/>
      <c r="CG30" s="28"/>
      <c r="CH30" s="25">
        <f t="shared" ref="CH30:CI30" si="49">BH30+BJ30+BL30+BN30+BP30+BR30+BT30+BV30+BX30+BZ30+CB30+CD30+CF30</f>
        <v>37782675</v>
      </c>
      <c r="CI30" s="25">
        <f t="shared" si="49"/>
        <v>37782675</v>
      </c>
      <c r="CJ30" s="26">
        <f t="shared" si="4"/>
        <v>0</v>
      </c>
      <c r="CK30" s="26">
        <f t="shared" si="5"/>
        <v>0</v>
      </c>
    </row>
    <row r="31" spans="1:89" ht="90" customHeight="1" x14ac:dyDescent="0.3">
      <c r="A31" s="13" t="s">
        <v>248</v>
      </c>
      <c r="B31" s="14" t="s">
        <v>3</v>
      </c>
      <c r="C31" s="15" t="s">
        <v>249</v>
      </c>
      <c r="D31" s="14" t="s">
        <v>62</v>
      </c>
      <c r="E31" s="13" t="s">
        <v>250</v>
      </c>
      <c r="F31" s="13" t="s">
        <v>250</v>
      </c>
      <c r="G31" s="14">
        <v>68</v>
      </c>
      <c r="H31" s="13" t="s">
        <v>318</v>
      </c>
      <c r="I31" s="15" t="s">
        <v>252</v>
      </c>
      <c r="J31" s="14" t="s">
        <v>4</v>
      </c>
      <c r="K31" s="15" t="s">
        <v>81</v>
      </c>
      <c r="L31" s="14">
        <v>80111620</v>
      </c>
      <c r="M31" s="14" t="s">
        <v>5</v>
      </c>
      <c r="N31" s="14" t="s">
        <v>253</v>
      </c>
      <c r="O31" s="15" t="s">
        <v>319</v>
      </c>
      <c r="P31" s="14" t="s">
        <v>255</v>
      </c>
      <c r="Q31" s="14" t="s">
        <v>255</v>
      </c>
      <c r="R31" s="14" t="s">
        <v>255</v>
      </c>
      <c r="S31" s="17">
        <v>10</v>
      </c>
      <c r="T31" s="14" t="s">
        <v>256</v>
      </c>
      <c r="U31" s="14" t="s">
        <v>257</v>
      </c>
      <c r="V31" s="14" t="s">
        <v>112</v>
      </c>
      <c r="W31" s="18">
        <v>100000000</v>
      </c>
      <c r="X31" s="18">
        <v>100000000</v>
      </c>
      <c r="Y31" s="19" t="s">
        <v>258</v>
      </c>
      <c r="Z31" s="19" t="s">
        <v>258</v>
      </c>
      <c r="AA31" s="19" t="s">
        <v>259</v>
      </c>
      <c r="AB31" s="14" t="s">
        <v>260</v>
      </c>
      <c r="AC31" s="14">
        <v>6012220601</v>
      </c>
      <c r="AD31" s="14" t="s">
        <v>261</v>
      </c>
      <c r="AE31" s="82">
        <v>100000000</v>
      </c>
      <c r="AF31" s="82">
        <v>0</v>
      </c>
      <c r="AG31" s="82">
        <v>0</v>
      </c>
      <c r="AH31" s="82">
        <v>3333333</v>
      </c>
      <c r="AI31" s="82">
        <v>0</v>
      </c>
      <c r="AJ31" s="82">
        <v>10000000</v>
      </c>
      <c r="AK31" s="82">
        <v>0</v>
      </c>
      <c r="AL31" s="82">
        <v>10000000</v>
      </c>
      <c r="AM31" s="82">
        <v>0</v>
      </c>
      <c r="AN31" s="82">
        <v>10000000</v>
      </c>
      <c r="AO31" s="82">
        <v>0</v>
      </c>
      <c r="AP31" s="82">
        <v>10000000</v>
      </c>
      <c r="AQ31" s="82">
        <v>0</v>
      </c>
      <c r="AR31" s="82">
        <v>10000000</v>
      </c>
      <c r="AS31" s="82">
        <v>0</v>
      </c>
      <c r="AT31" s="82">
        <v>10000000</v>
      </c>
      <c r="AU31" s="82">
        <v>0</v>
      </c>
      <c r="AV31" s="82">
        <v>10000000</v>
      </c>
      <c r="AW31" s="82">
        <v>0</v>
      </c>
      <c r="AX31" s="82">
        <v>10000000</v>
      </c>
      <c r="AY31" s="82">
        <v>0</v>
      </c>
      <c r="AZ31" s="82">
        <v>10000000</v>
      </c>
      <c r="BA31" s="82">
        <v>0</v>
      </c>
      <c r="BB31" s="82">
        <v>6666667</v>
      </c>
      <c r="BC31" s="82">
        <f t="shared" ref="BC31:BD31" si="50">AE31+AG31+AI31+AK31+AM31+AO31+AQ31+AS31+AU31+AW31+AY31+BA31</f>
        <v>100000000</v>
      </c>
      <c r="BD31" s="82">
        <f t="shared" si="50"/>
        <v>100000000</v>
      </c>
      <c r="BE31" s="83">
        <f t="shared" si="1"/>
        <v>0</v>
      </c>
      <c r="BF31" s="83">
        <f t="shared" si="2"/>
        <v>0</v>
      </c>
      <c r="BG31" s="14" t="str">
        <f ca="1">IFERROR(__xludf.DUMMYFUNCTION("REGEXEXTRACT(O25,""^\S+\s(.+)$"")"),"Prestar servicios profesionales para apoyar técnica y estratégicamente a la Unidad de Planeación Minero-Energética – UPME en el desarrollo de la planeación sectorial con enfoque territorial, mediante el análisis político-institucional y socio-territorial,"&amp;" la articulación intra e intersectorial, y la elaboración de insumos técnicos que contribuyan al fortalecimiento de los planes, estudios e instrumentos de planeación minero-energética.")</f>
        <v>Prestar servicios profesionales para apoyar técnica y estratégicamente a la Unidad de Planeación Minero-Energética – UPME en el desarrollo de la planeación sectorial con enfoque territorial, mediante el análisis político-institucional y socio-territorial, la articulación intra e intersectorial, y la elaboración de insumos técnicos que contribuyan al fortalecimiento de los planes, estudios e instrumentos de planeación minero-energética.</v>
      </c>
      <c r="BH31" s="23">
        <v>100000000</v>
      </c>
      <c r="BI31" s="23"/>
      <c r="BJ31" s="23"/>
      <c r="BK31" s="23">
        <v>3333333</v>
      </c>
      <c r="BL31" s="23"/>
      <c r="BM31" s="23">
        <v>10000000</v>
      </c>
      <c r="BN31" s="23"/>
      <c r="BO31" s="23">
        <v>10000000</v>
      </c>
      <c r="BP31" s="23"/>
      <c r="BQ31" s="23">
        <v>10000000</v>
      </c>
      <c r="BR31" s="23"/>
      <c r="BS31" s="23">
        <v>10000000</v>
      </c>
      <c r="BT31" s="23"/>
      <c r="BU31" s="23">
        <v>10000000</v>
      </c>
      <c r="BV31" s="23"/>
      <c r="BW31" s="23">
        <v>10000000</v>
      </c>
      <c r="BX31" s="23"/>
      <c r="BY31" s="23">
        <v>10000000</v>
      </c>
      <c r="BZ31" s="23"/>
      <c r="CA31" s="23">
        <v>10000000</v>
      </c>
      <c r="CB31" s="23"/>
      <c r="CC31" s="23">
        <v>10000000</v>
      </c>
      <c r="CD31" s="23"/>
      <c r="CE31" s="23">
        <v>6666667</v>
      </c>
      <c r="CF31" s="28"/>
      <c r="CG31" s="28"/>
      <c r="CH31" s="25">
        <f t="shared" ref="CH31:CI31" si="51">BH31+BJ31+BL31+BN31+BP31+BR31+BT31+BV31+BX31+BZ31+CB31+CD31+CF31</f>
        <v>100000000</v>
      </c>
      <c r="CI31" s="25">
        <f t="shared" si="51"/>
        <v>100000000</v>
      </c>
      <c r="CJ31" s="26">
        <f t="shared" si="4"/>
        <v>0</v>
      </c>
      <c r="CK31" s="26">
        <f t="shared" si="5"/>
        <v>0</v>
      </c>
    </row>
    <row r="32" spans="1:89" ht="90" customHeight="1" x14ac:dyDescent="0.3">
      <c r="A32" s="13" t="s">
        <v>248</v>
      </c>
      <c r="B32" s="14" t="s">
        <v>3</v>
      </c>
      <c r="C32" s="15" t="s">
        <v>249</v>
      </c>
      <c r="D32" s="14" t="s">
        <v>62</v>
      </c>
      <c r="E32" s="13" t="s">
        <v>250</v>
      </c>
      <c r="F32" s="13" t="s">
        <v>250</v>
      </c>
      <c r="G32" s="29" t="s">
        <v>320</v>
      </c>
      <c r="H32" s="13" t="s">
        <v>321</v>
      </c>
      <c r="I32" s="15" t="s">
        <v>252</v>
      </c>
      <c r="J32" s="14" t="s">
        <v>4</v>
      </c>
      <c r="K32" s="15" t="s">
        <v>81</v>
      </c>
      <c r="L32" s="14">
        <v>80111620</v>
      </c>
      <c r="M32" s="14" t="s">
        <v>5</v>
      </c>
      <c r="N32" s="14" t="s">
        <v>253</v>
      </c>
      <c r="O32" s="15" t="s">
        <v>322</v>
      </c>
      <c r="P32" s="14" t="s">
        <v>255</v>
      </c>
      <c r="Q32" s="14" t="s">
        <v>255</v>
      </c>
      <c r="R32" s="14" t="s">
        <v>255</v>
      </c>
      <c r="S32" s="17">
        <v>10</v>
      </c>
      <c r="T32" s="14" t="s">
        <v>256</v>
      </c>
      <c r="U32" s="14" t="s">
        <v>257</v>
      </c>
      <c r="V32" s="14" t="s">
        <v>112</v>
      </c>
      <c r="W32" s="18">
        <v>40000000</v>
      </c>
      <c r="X32" s="18">
        <v>40000000</v>
      </c>
      <c r="Y32" s="19" t="s">
        <v>258</v>
      </c>
      <c r="Z32" s="19" t="s">
        <v>258</v>
      </c>
      <c r="AA32" s="19" t="s">
        <v>259</v>
      </c>
      <c r="AB32" s="14" t="s">
        <v>260</v>
      </c>
      <c r="AC32" s="14">
        <v>6012220601</v>
      </c>
      <c r="AD32" s="14" t="s">
        <v>261</v>
      </c>
      <c r="AE32" s="82">
        <v>0</v>
      </c>
      <c r="AF32" s="82">
        <v>0</v>
      </c>
      <c r="AG32" s="82">
        <v>0</v>
      </c>
      <c r="AH32" s="82">
        <v>0</v>
      </c>
      <c r="AI32" s="82">
        <v>0</v>
      </c>
      <c r="AJ32" s="82">
        <v>0</v>
      </c>
      <c r="AK32" s="82">
        <v>0</v>
      </c>
      <c r="AL32" s="82">
        <v>0</v>
      </c>
      <c r="AM32" s="82">
        <v>0</v>
      </c>
      <c r="AN32" s="82">
        <v>0</v>
      </c>
      <c r="AO32" s="82">
        <v>0</v>
      </c>
      <c r="AP32" s="82">
        <v>0</v>
      </c>
      <c r="AQ32" s="82">
        <v>40000000</v>
      </c>
      <c r="AR32" s="82">
        <v>0</v>
      </c>
      <c r="AS32" s="82">
        <v>0</v>
      </c>
      <c r="AT32" s="82">
        <v>6666666</v>
      </c>
      <c r="AU32" s="82">
        <v>0</v>
      </c>
      <c r="AV32" s="82">
        <v>6666666</v>
      </c>
      <c r="AW32" s="82">
        <v>0</v>
      </c>
      <c r="AX32" s="82">
        <v>6666666</v>
      </c>
      <c r="AY32" s="82">
        <v>0</v>
      </c>
      <c r="AZ32" s="82">
        <v>6666666</v>
      </c>
      <c r="BA32" s="82">
        <v>0</v>
      </c>
      <c r="BB32" s="82">
        <v>13333336</v>
      </c>
      <c r="BC32" s="82">
        <f t="shared" ref="BC32:BD32" si="52">AE32+AG32+AI32+AK32+AM32+AO32+AQ32+AS32+AU32+AW32+AY32+BA32</f>
        <v>40000000</v>
      </c>
      <c r="BD32" s="82">
        <f t="shared" si="52"/>
        <v>40000000</v>
      </c>
      <c r="BE32" s="83">
        <f t="shared" si="1"/>
        <v>0</v>
      </c>
      <c r="BF32" s="83">
        <f t="shared" si="2"/>
        <v>0</v>
      </c>
      <c r="BG32" s="14" t="str">
        <f ca="1">IFERROR(__xludf.DUMMYFUNCTION("REGEXEXTRACT(O26,""^\S+\s(.+)$"")"),"Prestar servicios profesionales para la creación, desarrollo, producción y entrega de contenidos comunicacionales para las actividades de la UPME.")</f>
        <v>Prestar servicios profesionales para la creación, desarrollo, producción y entrega de contenidos comunicacionales para las actividades de la UPME.</v>
      </c>
      <c r="BH32" s="23"/>
      <c r="BI32" s="23"/>
      <c r="BJ32" s="23"/>
      <c r="BK32" s="23"/>
      <c r="BL32" s="23"/>
      <c r="BM32" s="23"/>
      <c r="BN32" s="23"/>
      <c r="BO32" s="23"/>
      <c r="BP32" s="23"/>
      <c r="BQ32" s="23"/>
      <c r="BR32" s="23"/>
      <c r="BS32" s="23"/>
      <c r="BT32" s="23">
        <v>40000000</v>
      </c>
      <c r="BU32" s="23"/>
      <c r="BV32" s="23"/>
      <c r="BW32" s="23">
        <v>6666666</v>
      </c>
      <c r="BX32" s="23"/>
      <c r="BY32" s="23">
        <v>6666666</v>
      </c>
      <c r="BZ32" s="23"/>
      <c r="CA32" s="23">
        <v>6666666</v>
      </c>
      <c r="CB32" s="23"/>
      <c r="CC32" s="23">
        <v>6666666</v>
      </c>
      <c r="CD32" s="23"/>
      <c r="CE32" s="23">
        <v>13333336</v>
      </c>
      <c r="CF32" s="28"/>
      <c r="CG32" s="28"/>
      <c r="CH32" s="25">
        <f t="shared" ref="CH32:CI32" si="53">BH32+BJ32+BL32+BN32+BP32+BR32+BT32+BV32+BX32+BZ32+CB32+CD32+CF32</f>
        <v>40000000</v>
      </c>
      <c r="CI32" s="25">
        <f t="shared" si="53"/>
        <v>40000000</v>
      </c>
      <c r="CJ32" s="26">
        <f t="shared" si="4"/>
        <v>0</v>
      </c>
      <c r="CK32" s="26">
        <f t="shared" si="5"/>
        <v>0</v>
      </c>
    </row>
    <row r="33" spans="1:89" ht="90" customHeight="1" x14ac:dyDescent="0.3">
      <c r="A33" s="13" t="s">
        <v>248</v>
      </c>
      <c r="B33" s="14" t="s">
        <v>3</v>
      </c>
      <c r="C33" s="15" t="s">
        <v>249</v>
      </c>
      <c r="D33" s="14" t="s">
        <v>62</v>
      </c>
      <c r="E33" s="13" t="s">
        <v>250</v>
      </c>
      <c r="F33" s="13" t="s">
        <v>250</v>
      </c>
      <c r="G33" s="14">
        <v>68</v>
      </c>
      <c r="H33" s="13" t="s">
        <v>323</v>
      </c>
      <c r="I33" s="15" t="s">
        <v>252</v>
      </c>
      <c r="J33" s="14" t="s">
        <v>4</v>
      </c>
      <c r="K33" s="15" t="s">
        <v>81</v>
      </c>
      <c r="L33" s="14">
        <v>80111620</v>
      </c>
      <c r="M33" s="14" t="s">
        <v>5</v>
      </c>
      <c r="N33" s="14" t="s">
        <v>253</v>
      </c>
      <c r="O33" s="15" t="s">
        <v>324</v>
      </c>
      <c r="P33" s="14" t="s">
        <v>255</v>
      </c>
      <c r="Q33" s="14" t="s">
        <v>255</v>
      </c>
      <c r="R33" s="14" t="s">
        <v>255</v>
      </c>
      <c r="S33" s="17">
        <v>11.5</v>
      </c>
      <c r="T33" s="14" t="s">
        <v>256</v>
      </c>
      <c r="U33" s="14" t="s">
        <v>257</v>
      </c>
      <c r="V33" s="14" t="s">
        <v>112</v>
      </c>
      <c r="W33" s="18">
        <v>0</v>
      </c>
      <c r="X33" s="18">
        <v>0</v>
      </c>
      <c r="Y33" s="19" t="s">
        <v>258</v>
      </c>
      <c r="Z33" s="19" t="s">
        <v>258</v>
      </c>
      <c r="AA33" s="19" t="s">
        <v>259</v>
      </c>
      <c r="AB33" s="14" t="s">
        <v>260</v>
      </c>
      <c r="AC33" s="14">
        <v>6012220601</v>
      </c>
      <c r="AD33" s="14" t="s">
        <v>261</v>
      </c>
      <c r="AE33" s="82">
        <v>0</v>
      </c>
      <c r="AF33" s="82">
        <v>0</v>
      </c>
      <c r="AG33" s="82">
        <v>0</v>
      </c>
      <c r="AH33" s="82">
        <v>0</v>
      </c>
      <c r="AI33" s="82">
        <v>0</v>
      </c>
      <c r="AJ33" s="82">
        <v>0</v>
      </c>
      <c r="AK33" s="82">
        <v>0</v>
      </c>
      <c r="AL33" s="82">
        <v>0</v>
      </c>
      <c r="AM33" s="82">
        <v>0</v>
      </c>
      <c r="AN33" s="82">
        <v>0</v>
      </c>
      <c r="AO33" s="82">
        <v>0</v>
      </c>
      <c r="AP33" s="82">
        <v>0</v>
      </c>
      <c r="AQ33" s="82">
        <v>0</v>
      </c>
      <c r="AR33" s="82">
        <v>0</v>
      </c>
      <c r="AS33" s="82">
        <v>0</v>
      </c>
      <c r="AT33" s="82">
        <v>0</v>
      </c>
      <c r="AU33" s="82">
        <v>0</v>
      </c>
      <c r="AV33" s="82">
        <v>0</v>
      </c>
      <c r="AW33" s="82">
        <v>0</v>
      </c>
      <c r="AX33" s="82">
        <v>0</v>
      </c>
      <c r="AY33" s="82">
        <v>0</v>
      </c>
      <c r="AZ33" s="82">
        <v>0</v>
      </c>
      <c r="BA33" s="82">
        <v>0</v>
      </c>
      <c r="BB33" s="82">
        <v>0</v>
      </c>
      <c r="BC33" s="82">
        <f t="shared" ref="BC33:BD33" si="54">AE33+AG33+AI33+AK33+AM33+AO33+AQ33+AS33+AU33+AW33+AY33+BA33</f>
        <v>0</v>
      </c>
      <c r="BD33" s="82">
        <f t="shared" si="54"/>
        <v>0</v>
      </c>
      <c r="BE33" s="83">
        <f t="shared" si="1"/>
        <v>0</v>
      </c>
      <c r="BF33" s="83">
        <f t="shared" si="2"/>
        <v>0</v>
      </c>
      <c r="BG33" s="14" t="str">
        <f ca="1">IFERROR(__xludf.DUMMYFUNCTION("REGEXEXTRACT(O27,""^\S+\s(.+)$"")"),"Prestar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8"/>
      <c r="CG33" s="28"/>
      <c r="CH33" s="25">
        <f t="shared" ref="CH33:CI33" si="55">BH33+BJ33+BL33+BN33+BP33+BR33+BT33+BV33+BX33+BZ33+CB33+CD33+CF33</f>
        <v>0</v>
      </c>
      <c r="CI33" s="25">
        <f t="shared" si="55"/>
        <v>0</v>
      </c>
      <c r="CJ33" s="26">
        <f t="shared" si="4"/>
        <v>0</v>
      </c>
      <c r="CK33" s="26">
        <f t="shared" si="5"/>
        <v>0</v>
      </c>
    </row>
    <row r="34" spans="1:89" ht="90" customHeight="1" x14ac:dyDescent="0.3">
      <c r="A34" s="13" t="s">
        <v>248</v>
      </c>
      <c r="B34" s="14" t="s">
        <v>3</v>
      </c>
      <c r="C34" s="15" t="s">
        <v>249</v>
      </c>
      <c r="D34" s="14" t="s">
        <v>62</v>
      </c>
      <c r="E34" s="13" t="s">
        <v>250</v>
      </c>
      <c r="F34" s="13" t="s">
        <v>250</v>
      </c>
      <c r="G34" s="14">
        <v>68</v>
      </c>
      <c r="H34" s="13" t="s">
        <v>325</v>
      </c>
      <c r="I34" s="15" t="s">
        <v>252</v>
      </c>
      <c r="J34" s="14" t="s">
        <v>4</v>
      </c>
      <c r="K34" s="15" t="s">
        <v>81</v>
      </c>
      <c r="L34" s="14">
        <v>80111620</v>
      </c>
      <c r="M34" s="14" t="s">
        <v>5</v>
      </c>
      <c r="N34" s="14" t="s">
        <v>253</v>
      </c>
      <c r="O34" s="15" t="s">
        <v>326</v>
      </c>
      <c r="P34" s="14" t="s">
        <v>255</v>
      </c>
      <c r="Q34" s="14" t="s">
        <v>255</v>
      </c>
      <c r="R34" s="14" t="s">
        <v>255</v>
      </c>
      <c r="S34" s="17">
        <v>11.5</v>
      </c>
      <c r="T34" s="14" t="s">
        <v>256</v>
      </c>
      <c r="U34" s="14" t="s">
        <v>257</v>
      </c>
      <c r="V34" s="14" t="s">
        <v>112</v>
      </c>
      <c r="W34" s="18">
        <v>0</v>
      </c>
      <c r="X34" s="18">
        <v>0</v>
      </c>
      <c r="Y34" s="19" t="s">
        <v>258</v>
      </c>
      <c r="Z34" s="19" t="s">
        <v>258</v>
      </c>
      <c r="AA34" s="19" t="s">
        <v>259</v>
      </c>
      <c r="AB34" s="14" t="s">
        <v>260</v>
      </c>
      <c r="AC34" s="14">
        <v>6012220601</v>
      </c>
      <c r="AD34" s="14" t="s">
        <v>261</v>
      </c>
      <c r="AE34" s="82">
        <v>0</v>
      </c>
      <c r="AF34" s="82">
        <v>0</v>
      </c>
      <c r="AG34" s="82">
        <v>0</v>
      </c>
      <c r="AH34" s="82">
        <v>0</v>
      </c>
      <c r="AI34" s="82">
        <v>0</v>
      </c>
      <c r="AJ34" s="82">
        <v>0</v>
      </c>
      <c r="AK34" s="82">
        <v>0</v>
      </c>
      <c r="AL34" s="82">
        <v>0</v>
      </c>
      <c r="AM34" s="82">
        <v>0</v>
      </c>
      <c r="AN34" s="82">
        <v>0</v>
      </c>
      <c r="AO34" s="82">
        <v>0</v>
      </c>
      <c r="AP34" s="82">
        <v>0</v>
      </c>
      <c r="AQ34" s="82">
        <v>0</v>
      </c>
      <c r="AR34" s="82">
        <v>0</v>
      </c>
      <c r="AS34" s="82">
        <v>0</v>
      </c>
      <c r="AT34" s="82">
        <v>0</v>
      </c>
      <c r="AU34" s="82">
        <v>0</v>
      </c>
      <c r="AV34" s="82">
        <v>0</v>
      </c>
      <c r="AW34" s="82">
        <v>0</v>
      </c>
      <c r="AX34" s="82">
        <v>0</v>
      </c>
      <c r="AY34" s="82">
        <v>0</v>
      </c>
      <c r="AZ34" s="82">
        <v>0</v>
      </c>
      <c r="BA34" s="82">
        <v>0</v>
      </c>
      <c r="BB34" s="82">
        <v>0</v>
      </c>
      <c r="BC34" s="82">
        <f t="shared" ref="BC34:BD34" si="56">AE34+AG34+AI34+AK34+AM34+AO34+AQ34+AS34+AU34+AW34+AY34+BA34</f>
        <v>0</v>
      </c>
      <c r="BD34" s="82">
        <f t="shared" si="56"/>
        <v>0</v>
      </c>
      <c r="BE34" s="83">
        <f t="shared" si="1"/>
        <v>0</v>
      </c>
      <c r="BF34" s="83">
        <f t="shared" si="2"/>
        <v>0</v>
      </c>
      <c r="BG34" s="14" t="str">
        <f ca="1">IFERROR(__xludf.DUMMYFUNCTION("REGEXEXTRACT(O28,""^\S+\s(.+)$"")"),"Prestar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8"/>
      <c r="CG34" s="28"/>
      <c r="CH34" s="25">
        <f t="shared" ref="CH34:CI34" si="57">BH34+BJ34+BL34+BN34+BP34+BR34+BT34+BV34+BX34+BZ34+CB34+CD34+CF34</f>
        <v>0</v>
      </c>
      <c r="CI34" s="25">
        <f t="shared" si="57"/>
        <v>0</v>
      </c>
      <c r="CJ34" s="26">
        <f t="shared" si="4"/>
        <v>0</v>
      </c>
      <c r="CK34" s="26">
        <f t="shared" si="5"/>
        <v>0</v>
      </c>
    </row>
    <row r="35" spans="1:89" ht="90" customHeight="1" x14ac:dyDescent="0.3">
      <c r="A35" s="13" t="s">
        <v>248</v>
      </c>
      <c r="B35" s="14" t="s">
        <v>3</v>
      </c>
      <c r="C35" s="15" t="s">
        <v>249</v>
      </c>
      <c r="D35" s="14" t="s">
        <v>62</v>
      </c>
      <c r="E35" s="13" t="s">
        <v>250</v>
      </c>
      <c r="F35" s="13" t="s">
        <v>250</v>
      </c>
      <c r="G35" s="14">
        <v>68</v>
      </c>
      <c r="H35" s="13" t="s">
        <v>327</v>
      </c>
      <c r="I35" s="15" t="s">
        <v>252</v>
      </c>
      <c r="J35" s="14" t="s">
        <v>4</v>
      </c>
      <c r="K35" s="15" t="s">
        <v>81</v>
      </c>
      <c r="L35" s="14">
        <v>80111620</v>
      </c>
      <c r="M35" s="14" t="s">
        <v>5</v>
      </c>
      <c r="N35" s="14" t="s">
        <v>253</v>
      </c>
      <c r="O35" s="15" t="s">
        <v>328</v>
      </c>
      <c r="P35" s="14" t="s">
        <v>255</v>
      </c>
      <c r="Q35" s="14" t="s">
        <v>255</v>
      </c>
      <c r="R35" s="14" t="s">
        <v>255</v>
      </c>
      <c r="S35" s="17">
        <v>11.5</v>
      </c>
      <c r="T35" s="14" t="s">
        <v>256</v>
      </c>
      <c r="U35" s="14" t="s">
        <v>257</v>
      </c>
      <c r="V35" s="14" t="s">
        <v>112</v>
      </c>
      <c r="W35" s="18">
        <v>0</v>
      </c>
      <c r="X35" s="18">
        <v>0</v>
      </c>
      <c r="Y35" s="19" t="s">
        <v>258</v>
      </c>
      <c r="Z35" s="19" t="s">
        <v>258</v>
      </c>
      <c r="AA35" s="19" t="s">
        <v>259</v>
      </c>
      <c r="AB35" s="14" t="s">
        <v>260</v>
      </c>
      <c r="AC35" s="14">
        <v>6012220601</v>
      </c>
      <c r="AD35" s="14" t="s">
        <v>261</v>
      </c>
      <c r="AE35" s="82">
        <v>0</v>
      </c>
      <c r="AF35" s="82">
        <v>0</v>
      </c>
      <c r="AG35" s="82">
        <v>0</v>
      </c>
      <c r="AH35" s="82">
        <v>0</v>
      </c>
      <c r="AI35" s="82">
        <v>0</v>
      </c>
      <c r="AJ35" s="82">
        <v>0</v>
      </c>
      <c r="AK35" s="82">
        <v>0</v>
      </c>
      <c r="AL35" s="82">
        <v>0</v>
      </c>
      <c r="AM35" s="82">
        <v>0</v>
      </c>
      <c r="AN35" s="82">
        <v>0</v>
      </c>
      <c r="AO35" s="82">
        <v>0</v>
      </c>
      <c r="AP35" s="82">
        <v>0</v>
      </c>
      <c r="AQ35" s="82">
        <v>0</v>
      </c>
      <c r="AR35" s="82">
        <v>0</v>
      </c>
      <c r="AS35" s="82">
        <v>0</v>
      </c>
      <c r="AT35" s="82">
        <v>0</v>
      </c>
      <c r="AU35" s="82">
        <v>0</v>
      </c>
      <c r="AV35" s="82">
        <v>0</v>
      </c>
      <c r="AW35" s="82">
        <v>0</v>
      </c>
      <c r="AX35" s="82">
        <v>0</v>
      </c>
      <c r="AY35" s="82">
        <v>0</v>
      </c>
      <c r="AZ35" s="82">
        <v>0</v>
      </c>
      <c r="BA35" s="82">
        <v>0</v>
      </c>
      <c r="BB35" s="82">
        <v>0</v>
      </c>
      <c r="BC35" s="82">
        <f t="shared" ref="BC35:BD35" si="58">AE35+AG35+AI35+AK35+AM35+AO35+AQ35+AS35+AU35+AW35+AY35+BA35</f>
        <v>0</v>
      </c>
      <c r="BD35" s="82">
        <f t="shared" si="58"/>
        <v>0</v>
      </c>
      <c r="BE35" s="83">
        <f t="shared" si="1"/>
        <v>0</v>
      </c>
      <c r="BF35" s="83">
        <f t="shared" si="2"/>
        <v>0</v>
      </c>
      <c r="BG35" s="14" t="str">
        <f ca="1">IFERROR(__xludf.DUMMYFUNCTION("REGEXEXTRACT(O29,""^\S+\s(.+)$"")"),"Prestar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8"/>
      <c r="CG35" s="28"/>
      <c r="CH35" s="25">
        <f t="shared" ref="CH35:CI35" si="59">BH35+BJ35+BL35+BN35+BP35+BR35+BT35+BV35+BX35+BZ35+CB35+CD35+CF35</f>
        <v>0</v>
      </c>
      <c r="CI35" s="25">
        <f t="shared" si="59"/>
        <v>0</v>
      </c>
      <c r="CJ35" s="26">
        <f t="shared" si="4"/>
        <v>0</v>
      </c>
      <c r="CK35" s="26">
        <f t="shared" si="5"/>
        <v>0</v>
      </c>
    </row>
    <row r="36" spans="1:89" ht="90" customHeight="1" x14ac:dyDescent="0.3">
      <c r="A36" s="13" t="s">
        <v>248</v>
      </c>
      <c r="B36" s="14" t="s">
        <v>3</v>
      </c>
      <c r="C36" s="15" t="s">
        <v>249</v>
      </c>
      <c r="D36" s="14" t="s">
        <v>62</v>
      </c>
      <c r="E36" s="13" t="s">
        <v>250</v>
      </c>
      <c r="F36" s="13" t="s">
        <v>250</v>
      </c>
      <c r="G36" s="14">
        <v>3</v>
      </c>
      <c r="H36" s="13" t="s">
        <v>329</v>
      </c>
      <c r="I36" s="15" t="s">
        <v>252</v>
      </c>
      <c r="J36" s="14" t="s">
        <v>4</v>
      </c>
      <c r="K36" s="15" t="s">
        <v>81</v>
      </c>
      <c r="L36" s="14">
        <v>80111620</v>
      </c>
      <c r="M36" s="14" t="s">
        <v>5</v>
      </c>
      <c r="N36" s="14" t="s">
        <v>253</v>
      </c>
      <c r="O36" s="15" t="s">
        <v>330</v>
      </c>
      <c r="P36" s="14" t="s">
        <v>255</v>
      </c>
      <c r="Q36" s="14" t="s">
        <v>255</v>
      </c>
      <c r="R36" s="14" t="s">
        <v>255</v>
      </c>
      <c r="S36" s="17">
        <v>10</v>
      </c>
      <c r="T36" s="14" t="s">
        <v>256</v>
      </c>
      <c r="U36" s="14" t="s">
        <v>257</v>
      </c>
      <c r="V36" s="14" t="s">
        <v>112</v>
      </c>
      <c r="W36" s="18">
        <v>110000000</v>
      </c>
      <c r="X36" s="18">
        <v>110000000</v>
      </c>
      <c r="Y36" s="19" t="s">
        <v>258</v>
      </c>
      <c r="Z36" s="19" t="s">
        <v>258</v>
      </c>
      <c r="AA36" s="19" t="s">
        <v>259</v>
      </c>
      <c r="AB36" s="14" t="s">
        <v>260</v>
      </c>
      <c r="AC36" s="14">
        <v>6012220601</v>
      </c>
      <c r="AD36" s="14" t="s">
        <v>261</v>
      </c>
      <c r="AE36" s="82">
        <v>110000000</v>
      </c>
      <c r="AF36" s="82">
        <v>0</v>
      </c>
      <c r="AG36" s="82">
        <v>0</v>
      </c>
      <c r="AH36" s="82">
        <v>1466666</v>
      </c>
      <c r="AI36" s="82">
        <v>0</v>
      </c>
      <c r="AJ36" s="82">
        <v>11000000</v>
      </c>
      <c r="AK36" s="82">
        <v>0</v>
      </c>
      <c r="AL36" s="82">
        <v>11000000</v>
      </c>
      <c r="AM36" s="82">
        <v>0</v>
      </c>
      <c r="AN36" s="82">
        <v>11000000</v>
      </c>
      <c r="AO36" s="82">
        <v>0</v>
      </c>
      <c r="AP36" s="82">
        <v>11000000</v>
      </c>
      <c r="AQ36" s="82">
        <v>0</v>
      </c>
      <c r="AR36" s="82">
        <v>11000000</v>
      </c>
      <c r="AS36" s="82">
        <v>0</v>
      </c>
      <c r="AT36" s="82">
        <v>11000000</v>
      </c>
      <c r="AU36" s="82">
        <v>0</v>
      </c>
      <c r="AV36" s="82">
        <v>11000000</v>
      </c>
      <c r="AW36" s="82">
        <v>0</v>
      </c>
      <c r="AX36" s="82">
        <v>11000000</v>
      </c>
      <c r="AY36" s="82">
        <v>0</v>
      </c>
      <c r="AZ36" s="82">
        <v>11000000</v>
      </c>
      <c r="BA36" s="82">
        <v>0</v>
      </c>
      <c r="BB36" s="82">
        <v>9533334</v>
      </c>
      <c r="BC36" s="82">
        <f t="shared" ref="BC36:BD36" si="60">AE36+AG36+AI36+AK36+AM36+AO36+AQ36+AS36+AU36+AW36+AY36+BA36</f>
        <v>110000000</v>
      </c>
      <c r="BD36" s="82">
        <f t="shared" si="60"/>
        <v>110000000</v>
      </c>
      <c r="BE36" s="83">
        <f t="shared" si="1"/>
        <v>0</v>
      </c>
      <c r="BF36" s="83">
        <f t="shared" si="2"/>
        <v>0</v>
      </c>
      <c r="BG36" s="14" t="str">
        <f ca="1">IFERROR(__xludf.DUMMYFUNCTION("REGEXEXTRACT(O30,""^\S+\s(.+)$"")"),"Prestar servicios profesionales a la Unidad de Planeación Minero-Energética (UPME) para apoyar la gestión y articulación interinstitucional e intersectorial, a través del ejercicio de la secretaría técnica de comités, el fortalecimiento de los procesos de"&amp;" participación, diálogo social y relacionamiento estratégico con actores territoriales, y el acompañamiento a la implementación del enfoque territorial en la planeación energética nacional y regional.")</f>
        <v>Prestar servicios profesionales a la Unidad de Planeación Minero-Energética (UPME) para apoyar la gestión y articulación interinstitucional e intersectorial, a través del ejercicio de la secretaría técnica de comités, el fortalecimiento de los procesos de participación, diálogo social y relacionamiento estratégico con actores territoriales, y el acompañamiento a la implementación del enfoque territorial en la planeación energética nacional y regional.</v>
      </c>
      <c r="BH36" s="23">
        <v>110000000</v>
      </c>
      <c r="BI36" s="23"/>
      <c r="BJ36" s="23"/>
      <c r="BK36" s="23">
        <v>1466666</v>
      </c>
      <c r="BL36" s="23"/>
      <c r="BM36" s="23">
        <v>11000000</v>
      </c>
      <c r="BN36" s="23"/>
      <c r="BO36" s="23">
        <v>11000000</v>
      </c>
      <c r="BP36" s="23"/>
      <c r="BQ36" s="23">
        <v>11000000</v>
      </c>
      <c r="BR36" s="23"/>
      <c r="BS36" s="23">
        <v>11000000</v>
      </c>
      <c r="BT36" s="23"/>
      <c r="BU36" s="23">
        <v>11000000</v>
      </c>
      <c r="BV36" s="23"/>
      <c r="BW36" s="23">
        <v>11000000</v>
      </c>
      <c r="BX36" s="23"/>
      <c r="BY36" s="23">
        <v>11000000</v>
      </c>
      <c r="BZ36" s="23"/>
      <c r="CA36" s="23">
        <v>11000000</v>
      </c>
      <c r="CB36" s="23"/>
      <c r="CC36" s="23">
        <v>11000000</v>
      </c>
      <c r="CD36" s="23"/>
      <c r="CE36" s="23">
        <v>9533334</v>
      </c>
      <c r="CF36" s="28"/>
      <c r="CG36" s="28"/>
      <c r="CH36" s="25">
        <f t="shared" ref="CH36:CI36" si="61">BH36+BJ36+BL36+BN36+BP36+BR36+BT36+BV36+BX36+BZ36+CB36+CD36+CF36</f>
        <v>110000000</v>
      </c>
      <c r="CI36" s="25">
        <f t="shared" si="61"/>
        <v>110000000</v>
      </c>
      <c r="CJ36" s="26">
        <f t="shared" si="4"/>
        <v>0</v>
      </c>
      <c r="CK36" s="26">
        <f t="shared" si="5"/>
        <v>0</v>
      </c>
    </row>
    <row r="37" spans="1:89" ht="90" customHeight="1" x14ac:dyDescent="0.3">
      <c r="A37" s="13" t="s">
        <v>248</v>
      </c>
      <c r="B37" s="14" t="s">
        <v>3</v>
      </c>
      <c r="C37" s="15" t="s">
        <v>249</v>
      </c>
      <c r="D37" s="14" t="s">
        <v>62</v>
      </c>
      <c r="E37" s="13" t="s">
        <v>250</v>
      </c>
      <c r="F37" s="13" t="s">
        <v>250</v>
      </c>
      <c r="G37" s="14">
        <v>68</v>
      </c>
      <c r="H37" s="13" t="s">
        <v>331</v>
      </c>
      <c r="I37" s="15" t="s">
        <v>252</v>
      </c>
      <c r="J37" s="14" t="s">
        <v>4</v>
      </c>
      <c r="K37" s="15" t="s">
        <v>81</v>
      </c>
      <c r="L37" s="14">
        <v>80111620</v>
      </c>
      <c r="M37" s="14" t="s">
        <v>5</v>
      </c>
      <c r="N37" s="14" t="s">
        <v>253</v>
      </c>
      <c r="O37" s="15" t="s">
        <v>332</v>
      </c>
      <c r="P37" s="14" t="s">
        <v>255</v>
      </c>
      <c r="Q37" s="14" t="s">
        <v>255</v>
      </c>
      <c r="R37" s="14" t="s">
        <v>255</v>
      </c>
      <c r="S37" s="17">
        <v>10</v>
      </c>
      <c r="T37" s="14" t="s">
        <v>256</v>
      </c>
      <c r="U37" s="14" t="s">
        <v>257</v>
      </c>
      <c r="V37" s="14" t="s">
        <v>112</v>
      </c>
      <c r="W37" s="18">
        <v>32854500</v>
      </c>
      <c r="X37" s="18">
        <v>32854500</v>
      </c>
      <c r="Y37" s="19" t="s">
        <v>258</v>
      </c>
      <c r="Z37" s="19" t="s">
        <v>258</v>
      </c>
      <c r="AA37" s="19" t="s">
        <v>259</v>
      </c>
      <c r="AB37" s="14" t="s">
        <v>260</v>
      </c>
      <c r="AC37" s="14">
        <v>6012220601</v>
      </c>
      <c r="AD37" s="14" t="s">
        <v>261</v>
      </c>
      <c r="AE37" s="82">
        <v>0</v>
      </c>
      <c r="AF37" s="82">
        <v>0</v>
      </c>
      <c r="AG37" s="82">
        <v>0</v>
      </c>
      <c r="AH37" s="82">
        <v>0</v>
      </c>
      <c r="AI37" s="82">
        <v>0</v>
      </c>
      <c r="AJ37" s="82">
        <v>0</v>
      </c>
      <c r="AK37" s="82">
        <v>0</v>
      </c>
      <c r="AL37" s="82">
        <v>0</v>
      </c>
      <c r="AM37" s="82">
        <v>0</v>
      </c>
      <c r="AN37" s="82">
        <v>0</v>
      </c>
      <c r="AO37" s="82">
        <v>0</v>
      </c>
      <c r="AP37" s="82">
        <v>0</v>
      </c>
      <c r="AQ37" s="82">
        <v>32854500</v>
      </c>
      <c r="AR37" s="82">
        <v>0</v>
      </c>
      <c r="AS37" s="82">
        <v>0</v>
      </c>
      <c r="AT37" s="82">
        <v>0</v>
      </c>
      <c r="AU37" s="82">
        <v>0</v>
      </c>
      <c r="AV37" s="82">
        <v>0</v>
      </c>
      <c r="AW37" s="82">
        <v>0</v>
      </c>
      <c r="AX37" s="82">
        <v>0</v>
      </c>
      <c r="AY37" s="82">
        <v>0</v>
      </c>
      <c r="AZ37" s="82">
        <v>0</v>
      </c>
      <c r="BA37" s="82">
        <v>0</v>
      </c>
      <c r="BB37" s="82">
        <v>32854500</v>
      </c>
      <c r="BC37" s="82">
        <f t="shared" ref="BC37:BD37" si="62">AE37+AG37+AI37+AK37+AM37+AO37+AQ37+AS37+AU37+AW37+AY37+BA37</f>
        <v>32854500</v>
      </c>
      <c r="BD37" s="82">
        <f t="shared" si="62"/>
        <v>32854500</v>
      </c>
      <c r="BE37" s="83">
        <f t="shared" si="1"/>
        <v>0</v>
      </c>
      <c r="BF37" s="83">
        <f t="shared" si="2"/>
        <v>0</v>
      </c>
      <c r="BG37" s="14" t="str">
        <f ca="1">IFERROR(__xludf.DUMMYFUNCTION("REGEXEXTRACT(O31,""^\S+\s(.+)$"")"),"Prestación de servicios profesionales para apoyar la sistematización de experiencias del proyecto de enfoque territorial, identificando buenas prácticas, cuellos de botella y dificultades en la articulación territorial programados por la UPME.")</f>
        <v>Prestación de servicios profesionales para apoyar la sistematización de experiencias del proyecto de enfoque territorial, identificando buenas prácticas, cuellos de botella y dificultades en la articulación territorial programados por la UPME.</v>
      </c>
      <c r="BH37" s="23"/>
      <c r="BI37" s="23"/>
      <c r="BJ37" s="23"/>
      <c r="BK37" s="23"/>
      <c r="BL37" s="23"/>
      <c r="BM37" s="23"/>
      <c r="BN37" s="23"/>
      <c r="BO37" s="23"/>
      <c r="BP37" s="23"/>
      <c r="BQ37" s="23"/>
      <c r="BR37" s="23"/>
      <c r="BS37" s="23"/>
      <c r="BT37" s="23">
        <v>32854500</v>
      </c>
      <c r="BU37" s="23"/>
      <c r="BV37" s="23"/>
      <c r="BW37" s="23"/>
      <c r="BX37" s="23"/>
      <c r="BY37" s="23"/>
      <c r="BZ37" s="23"/>
      <c r="CA37" s="23"/>
      <c r="CB37" s="23"/>
      <c r="CC37" s="23"/>
      <c r="CD37" s="23"/>
      <c r="CE37" s="23">
        <v>32854500</v>
      </c>
      <c r="CF37" s="28"/>
      <c r="CG37" s="28"/>
      <c r="CH37" s="25">
        <f t="shared" ref="CH37:CI37" si="63">BH37+BJ37+BL37+BN37+BP37+BR37+BT37+BV37+BX37+BZ37+CB37+CD37+CF37</f>
        <v>32854500</v>
      </c>
      <c r="CI37" s="25">
        <f t="shared" si="63"/>
        <v>32854500</v>
      </c>
      <c r="CJ37" s="26">
        <f t="shared" si="4"/>
        <v>0</v>
      </c>
      <c r="CK37" s="26">
        <f t="shared" si="5"/>
        <v>0</v>
      </c>
    </row>
    <row r="38" spans="1:89" ht="90" customHeight="1" x14ac:dyDescent="0.3">
      <c r="A38" s="13" t="s">
        <v>248</v>
      </c>
      <c r="B38" s="14" t="s">
        <v>3</v>
      </c>
      <c r="C38" s="15" t="s">
        <v>249</v>
      </c>
      <c r="D38" s="14" t="s">
        <v>62</v>
      </c>
      <c r="E38" s="13" t="s">
        <v>250</v>
      </c>
      <c r="F38" s="13" t="s">
        <v>250</v>
      </c>
      <c r="G38" s="14">
        <v>6</v>
      </c>
      <c r="H38" s="13" t="s">
        <v>333</v>
      </c>
      <c r="I38" s="15" t="s">
        <v>252</v>
      </c>
      <c r="J38" s="14" t="s">
        <v>4</v>
      </c>
      <c r="K38" s="15" t="s">
        <v>81</v>
      </c>
      <c r="L38" s="14">
        <v>80111620</v>
      </c>
      <c r="M38" s="14" t="s">
        <v>5</v>
      </c>
      <c r="N38" s="14" t="s">
        <v>253</v>
      </c>
      <c r="O38" s="15" t="s">
        <v>334</v>
      </c>
      <c r="P38" s="14" t="s">
        <v>255</v>
      </c>
      <c r="Q38" s="14" t="s">
        <v>255</v>
      </c>
      <c r="R38" s="14" t="s">
        <v>255</v>
      </c>
      <c r="S38" s="17">
        <v>10</v>
      </c>
      <c r="T38" s="14" t="s">
        <v>256</v>
      </c>
      <c r="U38" s="14" t="s">
        <v>257</v>
      </c>
      <c r="V38" s="14" t="s">
        <v>112</v>
      </c>
      <c r="W38" s="18">
        <v>40000000</v>
      </c>
      <c r="X38" s="18">
        <v>40000000</v>
      </c>
      <c r="Y38" s="19" t="s">
        <v>258</v>
      </c>
      <c r="Z38" s="19" t="s">
        <v>258</v>
      </c>
      <c r="AA38" s="19" t="s">
        <v>259</v>
      </c>
      <c r="AB38" s="14" t="s">
        <v>260</v>
      </c>
      <c r="AC38" s="14">
        <v>6012220601</v>
      </c>
      <c r="AD38" s="14" t="s">
        <v>261</v>
      </c>
      <c r="AE38" s="82">
        <v>0</v>
      </c>
      <c r="AF38" s="82">
        <v>0</v>
      </c>
      <c r="AG38" s="82">
        <v>40000000</v>
      </c>
      <c r="AH38" s="82">
        <v>0</v>
      </c>
      <c r="AI38" s="82">
        <v>0</v>
      </c>
      <c r="AJ38" s="82">
        <v>2547090</v>
      </c>
      <c r="AK38" s="82">
        <v>0</v>
      </c>
      <c r="AL38" s="82">
        <v>2938950</v>
      </c>
      <c r="AM38" s="82">
        <v>0</v>
      </c>
      <c r="AN38" s="82">
        <v>2938950</v>
      </c>
      <c r="AO38" s="82">
        <v>0</v>
      </c>
      <c r="AP38" s="82">
        <v>2938950</v>
      </c>
      <c r="AQ38" s="82">
        <v>0</v>
      </c>
      <c r="AR38" s="82">
        <v>2938950</v>
      </c>
      <c r="AS38" s="82">
        <v>0</v>
      </c>
      <c r="AT38" s="82">
        <v>2938950</v>
      </c>
      <c r="AU38" s="82">
        <v>0</v>
      </c>
      <c r="AV38" s="82">
        <v>2938950</v>
      </c>
      <c r="AW38" s="82">
        <v>0</v>
      </c>
      <c r="AX38" s="82">
        <v>2938950</v>
      </c>
      <c r="AY38" s="82">
        <v>0</v>
      </c>
      <c r="AZ38" s="82">
        <v>2938950</v>
      </c>
      <c r="BA38" s="82">
        <v>0</v>
      </c>
      <c r="BB38" s="82">
        <v>13941310</v>
      </c>
      <c r="BC38" s="82">
        <f t="shared" ref="BC38:BD38" si="64">AE38+AG38+AI38+AK38+AM38+AO38+AQ38+AS38+AU38+AW38+AY38+BA38</f>
        <v>40000000</v>
      </c>
      <c r="BD38" s="82">
        <f t="shared" si="64"/>
        <v>40000000</v>
      </c>
      <c r="BE38" s="83">
        <f t="shared" si="1"/>
        <v>0</v>
      </c>
      <c r="BF38" s="83">
        <f t="shared" si="2"/>
        <v>0</v>
      </c>
      <c r="BG38" s="14" t="str">
        <f ca="1">IFERROR(__xludf.DUMMYFUNCTION("REGEXEXTRACT(O32,""^\S+\s(.+)$"")"),"Prestar servicios de apoyo en la creación y diseño de productos gráficos innovadores para contenido digital e impreso, con el fin de contribuir a la gestión de comunicación interna y externa de la UPME.")</f>
        <v>Prestar servicios de apoyo en la creación y diseño de productos gráficos innovadores para contenido digital e impreso, con el fin de contribuir a la gestión de comunicación interna y externa de la UPME.</v>
      </c>
      <c r="BH38" s="23"/>
      <c r="BI38" s="23"/>
      <c r="BJ38" s="23">
        <v>40000000</v>
      </c>
      <c r="BK38" s="23"/>
      <c r="BL38" s="23"/>
      <c r="BM38" s="23">
        <v>2547090</v>
      </c>
      <c r="BN38" s="23"/>
      <c r="BO38" s="23">
        <v>2938950</v>
      </c>
      <c r="BP38" s="23"/>
      <c r="BQ38" s="23">
        <v>2938950</v>
      </c>
      <c r="BR38" s="23"/>
      <c r="BS38" s="23">
        <v>2938950</v>
      </c>
      <c r="BT38" s="23"/>
      <c r="BU38" s="23">
        <v>2938950</v>
      </c>
      <c r="BV38" s="23"/>
      <c r="BW38" s="23">
        <v>2938950</v>
      </c>
      <c r="BX38" s="23"/>
      <c r="BY38" s="23">
        <v>2938950</v>
      </c>
      <c r="BZ38" s="23"/>
      <c r="CA38" s="23">
        <v>2938950</v>
      </c>
      <c r="CB38" s="23"/>
      <c r="CC38" s="23">
        <v>2938950</v>
      </c>
      <c r="CD38" s="23"/>
      <c r="CE38" s="23">
        <v>13941310</v>
      </c>
      <c r="CF38" s="28"/>
      <c r="CG38" s="28"/>
      <c r="CH38" s="25">
        <f t="shared" ref="CH38:CI38" si="65">BH38+BJ38+BL38+BN38+BP38+BR38+BT38+BV38+BX38+BZ38+CB38+CD38+CF38</f>
        <v>40000000</v>
      </c>
      <c r="CI38" s="25">
        <f t="shared" si="65"/>
        <v>40000000</v>
      </c>
      <c r="CJ38" s="26">
        <f t="shared" si="4"/>
        <v>0</v>
      </c>
      <c r="CK38" s="26">
        <f t="shared" si="5"/>
        <v>0</v>
      </c>
    </row>
    <row r="39" spans="1:89" ht="90" customHeight="1" x14ac:dyDescent="0.3">
      <c r="A39" s="13" t="s">
        <v>248</v>
      </c>
      <c r="B39" s="14" t="s">
        <v>3</v>
      </c>
      <c r="C39" s="15" t="s">
        <v>249</v>
      </c>
      <c r="D39" s="14" t="s">
        <v>62</v>
      </c>
      <c r="E39" s="13" t="s">
        <v>250</v>
      </c>
      <c r="F39" s="13" t="s">
        <v>250</v>
      </c>
      <c r="G39" s="29" t="s">
        <v>335</v>
      </c>
      <c r="H39" s="13" t="s">
        <v>336</v>
      </c>
      <c r="I39" s="15" t="s">
        <v>252</v>
      </c>
      <c r="J39" s="14" t="s">
        <v>4</v>
      </c>
      <c r="K39" s="15" t="s">
        <v>81</v>
      </c>
      <c r="L39" s="14">
        <v>78111502</v>
      </c>
      <c r="M39" s="14" t="s">
        <v>5</v>
      </c>
      <c r="N39" s="14" t="s">
        <v>337</v>
      </c>
      <c r="O39" s="15" t="s">
        <v>338</v>
      </c>
      <c r="P39" s="14" t="s">
        <v>255</v>
      </c>
      <c r="Q39" s="14" t="s">
        <v>255</v>
      </c>
      <c r="R39" s="14" t="s">
        <v>255</v>
      </c>
      <c r="S39" s="17">
        <v>11</v>
      </c>
      <c r="T39" s="14" t="s">
        <v>256</v>
      </c>
      <c r="U39" s="14" t="s">
        <v>286</v>
      </c>
      <c r="V39" s="14" t="s">
        <v>112</v>
      </c>
      <c r="W39" s="18">
        <v>77196710</v>
      </c>
      <c r="X39" s="18">
        <v>77196710</v>
      </c>
      <c r="Y39" s="19" t="s">
        <v>258</v>
      </c>
      <c r="Z39" s="19" t="s">
        <v>258</v>
      </c>
      <c r="AA39" s="19" t="s">
        <v>259</v>
      </c>
      <c r="AB39" s="14" t="s">
        <v>260</v>
      </c>
      <c r="AC39" s="14">
        <v>6012220601</v>
      </c>
      <c r="AD39" s="14" t="s">
        <v>261</v>
      </c>
      <c r="AE39" s="82">
        <v>77196710</v>
      </c>
      <c r="AF39" s="82">
        <v>0</v>
      </c>
      <c r="AG39" s="82">
        <v>0</v>
      </c>
      <c r="AH39" s="82">
        <v>7719671</v>
      </c>
      <c r="AI39" s="82">
        <v>0</v>
      </c>
      <c r="AJ39" s="82">
        <v>7719671</v>
      </c>
      <c r="AK39" s="82">
        <v>0</v>
      </c>
      <c r="AL39" s="82">
        <v>7719671</v>
      </c>
      <c r="AM39" s="82">
        <v>0</v>
      </c>
      <c r="AN39" s="82">
        <v>7719671</v>
      </c>
      <c r="AO39" s="82">
        <v>0</v>
      </c>
      <c r="AP39" s="82">
        <v>7719671</v>
      </c>
      <c r="AQ39" s="82">
        <v>0</v>
      </c>
      <c r="AR39" s="82">
        <v>7719671</v>
      </c>
      <c r="AS39" s="82">
        <v>0</v>
      </c>
      <c r="AT39" s="82">
        <v>7719671</v>
      </c>
      <c r="AU39" s="82">
        <v>0</v>
      </c>
      <c r="AV39" s="82">
        <v>7719671</v>
      </c>
      <c r="AW39" s="82">
        <v>0</v>
      </c>
      <c r="AX39" s="82">
        <v>7719671</v>
      </c>
      <c r="AY39" s="82">
        <v>0</v>
      </c>
      <c r="AZ39" s="82">
        <v>7719671</v>
      </c>
      <c r="BA39" s="82">
        <v>0</v>
      </c>
      <c r="BB39" s="82">
        <v>0</v>
      </c>
      <c r="BC39" s="82">
        <f t="shared" ref="BC39:BD39" si="66">AE39+AG39+AI39+AK39+AM39+AO39+AQ39+AS39+AU39+AW39+AY39+BA39</f>
        <v>77196710</v>
      </c>
      <c r="BD39" s="82">
        <f t="shared" si="66"/>
        <v>77196710</v>
      </c>
      <c r="BE39" s="83">
        <f t="shared" si="1"/>
        <v>0</v>
      </c>
      <c r="BF39" s="83">
        <f t="shared" si="2"/>
        <v>0</v>
      </c>
      <c r="BG39" s="14" t="str">
        <f ca="1">IFERROR(__xludf.DUMMYFUNCTION("REGEXEXTRACT(O33,""^\S+\s(.+)$"")"),"Adquirir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39" s="23">
        <v>77196710</v>
      </c>
      <c r="BI39" s="23"/>
      <c r="BJ39" s="23"/>
      <c r="BK39" s="23">
        <v>7719671</v>
      </c>
      <c r="BL39" s="23"/>
      <c r="BM39" s="23">
        <v>7719671</v>
      </c>
      <c r="BN39" s="23"/>
      <c r="BO39" s="23">
        <v>7719671</v>
      </c>
      <c r="BP39" s="23"/>
      <c r="BQ39" s="23">
        <v>7719671</v>
      </c>
      <c r="BR39" s="23"/>
      <c r="BS39" s="23">
        <v>7719671</v>
      </c>
      <c r="BT39" s="23"/>
      <c r="BU39" s="23">
        <v>7719671</v>
      </c>
      <c r="BV39" s="23"/>
      <c r="BW39" s="23">
        <v>7719671</v>
      </c>
      <c r="BX39" s="23"/>
      <c r="BY39" s="23">
        <v>7719671</v>
      </c>
      <c r="BZ39" s="23"/>
      <c r="CA39" s="23">
        <v>7719671</v>
      </c>
      <c r="CB39" s="23"/>
      <c r="CC39" s="23">
        <v>7719671</v>
      </c>
      <c r="CD39" s="23"/>
      <c r="CE39" s="23"/>
      <c r="CF39" s="28"/>
      <c r="CG39" s="28"/>
      <c r="CH39" s="25">
        <f t="shared" ref="CH39:CI39" si="67">BH39+BJ39+BL39+BN39+BP39+BR39+BT39+BV39+BX39+BZ39+CB39+CD39+CF39</f>
        <v>77196710</v>
      </c>
      <c r="CI39" s="25">
        <f t="shared" si="67"/>
        <v>77196710</v>
      </c>
      <c r="CJ39" s="26">
        <f t="shared" si="4"/>
        <v>0</v>
      </c>
      <c r="CK39" s="26">
        <f t="shared" si="5"/>
        <v>0</v>
      </c>
    </row>
    <row r="40" spans="1:89" ht="90" customHeight="1" x14ac:dyDescent="0.3">
      <c r="A40" s="13" t="s">
        <v>248</v>
      </c>
      <c r="B40" s="14" t="s">
        <v>3</v>
      </c>
      <c r="C40" s="15" t="s">
        <v>249</v>
      </c>
      <c r="D40" s="14" t="s">
        <v>62</v>
      </c>
      <c r="E40" s="13" t="s">
        <v>339</v>
      </c>
      <c r="F40" s="13" t="s">
        <v>250</v>
      </c>
      <c r="G40" s="14">
        <v>68</v>
      </c>
      <c r="H40" s="13" t="s">
        <v>340</v>
      </c>
      <c r="I40" s="15" t="s">
        <v>252</v>
      </c>
      <c r="J40" s="14" t="s">
        <v>4</v>
      </c>
      <c r="K40" s="15" t="s">
        <v>81</v>
      </c>
      <c r="L40" s="14" t="s">
        <v>258</v>
      </c>
      <c r="M40" s="14" t="s">
        <v>5</v>
      </c>
      <c r="N40" s="14" t="s">
        <v>341</v>
      </c>
      <c r="O40" s="15" t="s">
        <v>342</v>
      </c>
      <c r="P40" s="14" t="s">
        <v>258</v>
      </c>
      <c r="Q40" s="14" t="s">
        <v>258</v>
      </c>
      <c r="R40" s="14" t="s">
        <v>258</v>
      </c>
      <c r="S40" s="17" t="s">
        <v>258</v>
      </c>
      <c r="T40" s="14" t="s">
        <v>258</v>
      </c>
      <c r="U40" s="14" t="s">
        <v>258</v>
      </c>
      <c r="V40" s="14" t="s">
        <v>112</v>
      </c>
      <c r="W40" s="18">
        <v>14153641</v>
      </c>
      <c r="X40" s="18">
        <v>14153641</v>
      </c>
      <c r="Y40" s="19" t="s">
        <v>258</v>
      </c>
      <c r="Z40" s="19" t="s">
        <v>258</v>
      </c>
      <c r="AA40" s="19" t="s">
        <v>259</v>
      </c>
      <c r="AB40" s="14" t="s">
        <v>260</v>
      </c>
      <c r="AC40" s="14">
        <v>6012220601</v>
      </c>
      <c r="AD40" s="14" t="s">
        <v>261</v>
      </c>
      <c r="AE40" s="82">
        <v>0</v>
      </c>
      <c r="AF40" s="82">
        <v>0</v>
      </c>
      <c r="AG40" s="82">
        <v>0</v>
      </c>
      <c r="AH40" s="82">
        <v>0</v>
      </c>
      <c r="AI40" s="82">
        <v>14153641</v>
      </c>
      <c r="AJ40" s="82">
        <v>1489857</v>
      </c>
      <c r="AK40" s="82">
        <v>0</v>
      </c>
      <c r="AL40" s="82">
        <v>1489857</v>
      </c>
      <c r="AM40" s="82">
        <v>0</v>
      </c>
      <c r="AN40" s="82">
        <v>1489857</v>
      </c>
      <c r="AO40" s="82">
        <v>0</v>
      </c>
      <c r="AP40" s="82">
        <v>1489857</v>
      </c>
      <c r="AQ40" s="82">
        <v>0</v>
      </c>
      <c r="AR40" s="82">
        <v>1489857</v>
      </c>
      <c r="AS40" s="82">
        <v>0</v>
      </c>
      <c r="AT40" s="82">
        <v>1489857</v>
      </c>
      <c r="AU40" s="82">
        <v>0</v>
      </c>
      <c r="AV40" s="82">
        <v>1489857</v>
      </c>
      <c r="AW40" s="82">
        <v>0</v>
      </c>
      <c r="AX40" s="82">
        <v>1489857</v>
      </c>
      <c r="AY40" s="82">
        <v>0</v>
      </c>
      <c r="AZ40" s="82">
        <v>1489857</v>
      </c>
      <c r="BA40" s="82">
        <v>0</v>
      </c>
      <c r="BB40" s="82">
        <v>744928</v>
      </c>
      <c r="BC40" s="82">
        <f t="shared" ref="BC40:BD40" si="68">AE40+AG40+AI40+AK40+AM40+AO40+AQ40+AS40+AU40+AW40+AY40+BA40</f>
        <v>14153641</v>
      </c>
      <c r="BD40" s="82">
        <f t="shared" si="68"/>
        <v>14153641</v>
      </c>
      <c r="BE40" s="83">
        <f t="shared" si="1"/>
        <v>0</v>
      </c>
      <c r="BF40" s="83">
        <f t="shared" si="2"/>
        <v>0</v>
      </c>
      <c r="BG40" s="14" t="str">
        <f ca="1">IFERROR(__xludf.DUMMYFUNCTION("REGEXEXTRACT(O34,""^\S+\s(.+)$"")"),"Viáticos o gastos de desplazamiento")</f>
        <v>Viáticos o gastos de desplazamiento</v>
      </c>
      <c r="BH40" s="23"/>
      <c r="BI40" s="23"/>
      <c r="BJ40" s="23"/>
      <c r="BK40" s="23"/>
      <c r="BL40" s="23">
        <v>14153641</v>
      </c>
      <c r="BM40" s="23">
        <v>1489857</v>
      </c>
      <c r="BN40" s="23"/>
      <c r="BO40" s="23">
        <v>1489857</v>
      </c>
      <c r="BP40" s="23"/>
      <c r="BQ40" s="23">
        <v>1489857</v>
      </c>
      <c r="BR40" s="23"/>
      <c r="BS40" s="23">
        <v>1489857</v>
      </c>
      <c r="BT40" s="23"/>
      <c r="BU40" s="23">
        <v>1489857</v>
      </c>
      <c r="BV40" s="23"/>
      <c r="BW40" s="23">
        <v>1489857</v>
      </c>
      <c r="BX40" s="23"/>
      <c r="BY40" s="23">
        <v>1489857</v>
      </c>
      <c r="BZ40" s="23"/>
      <c r="CA40" s="23">
        <v>1489857</v>
      </c>
      <c r="CB40" s="23"/>
      <c r="CC40" s="23">
        <v>1489857</v>
      </c>
      <c r="CD40" s="23"/>
      <c r="CE40" s="23">
        <v>744928</v>
      </c>
      <c r="CF40" s="28"/>
      <c r="CG40" s="28"/>
      <c r="CH40" s="25">
        <f t="shared" ref="CH40:CI40" si="69">BH40+BJ40+BL40+BN40+BP40+BR40+BT40+BV40+BX40+BZ40+CB40+CD40+CF40</f>
        <v>14153641</v>
      </c>
      <c r="CI40" s="25">
        <f t="shared" si="69"/>
        <v>14153641</v>
      </c>
      <c r="CJ40" s="26">
        <f t="shared" si="4"/>
        <v>0</v>
      </c>
      <c r="CK40" s="26">
        <f t="shared" si="5"/>
        <v>0</v>
      </c>
    </row>
    <row r="41" spans="1:89" ht="90" customHeight="1" x14ac:dyDescent="0.3">
      <c r="A41" s="13" t="s">
        <v>248</v>
      </c>
      <c r="B41" s="14" t="s">
        <v>3</v>
      </c>
      <c r="C41" s="15" t="s">
        <v>249</v>
      </c>
      <c r="D41" s="14" t="s">
        <v>62</v>
      </c>
      <c r="E41" s="13" t="s">
        <v>339</v>
      </c>
      <c r="F41" s="13" t="s">
        <v>250</v>
      </c>
      <c r="G41" s="14">
        <v>68</v>
      </c>
      <c r="H41" s="13" t="s">
        <v>343</v>
      </c>
      <c r="I41" s="15" t="s">
        <v>252</v>
      </c>
      <c r="J41" s="14" t="s">
        <v>4</v>
      </c>
      <c r="K41" s="15" t="s">
        <v>80</v>
      </c>
      <c r="L41" s="14" t="s">
        <v>258</v>
      </c>
      <c r="M41" s="14" t="s">
        <v>5</v>
      </c>
      <c r="N41" s="14" t="s">
        <v>341</v>
      </c>
      <c r="O41" s="15" t="s">
        <v>344</v>
      </c>
      <c r="P41" s="14" t="s">
        <v>258</v>
      </c>
      <c r="Q41" s="14" t="s">
        <v>258</v>
      </c>
      <c r="R41" s="14" t="s">
        <v>258</v>
      </c>
      <c r="S41" s="17" t="s">
        <v>258</v>
      </c>
      <c r="T41" s="14" t="s">
        <v>258</v>
      </c>
      <c r="U41" s="14" t="s">
        <v>258</v>
      </c>
      <c r="V41" s="14" t="s">
        <v>112</v>
      </c>
      <c r="W41" s="18">
        <v>16600000</v>
      </c>
      <c r="X41" s="18">
        <v>16600000</v>
      </c>
      <c r="Y41" s="19" t="s">
        <v>258</v>
      </c>
      <c r="Z41" s="19" t="s">
        <v>258</v>
      </c>
      <c r="AA41" s="19" t="s">
        <v>259</v>
      </c>
      <c r="AB41" s="14" t="s">
        <v>260</v>
      </c>
      <c r="AC41" s="14">
        <v>6012220601</v>
      </c>
      <c r="AD41" s="14" t="s">
        <v>261</v>
      </c>
      <c r="AE41" s="82">
        <v>0</v>
      </c>
      <c r="AF41" s="82">
        <v>0</v>
      </c>
      <c r="AG41" s="82">
        <v>0</v>
      </c>
      <c r="AH41" s="82">
        <v>0</v>
      </c>
      <c r="AI41" s="82">
        <v>16600000</v>
      </c>
      <c r="AJ41" s="82">
        <v>1660000</v>
      </c>
      <c r="AK41" s="82">
        <v>0</v>
      </c>
      <c r="AL41" s="82">
        <v>1660000</v>
      </c>
      <c r="AM41" s="82">
        <v>0</v>
      </c>
      <c r="AN41" s="82">
        <v>1660000</v>
      </c>
      <c r="AO41" s="82">
        <v>0</v>
      </c>
      <c r="AP41" s="82">
        <v>1660000</v>
      </c>
      <c r="AQ41" s="82">
        <v>0</v>
      </c>
      <c r="AR41" s="82">
        <v>1660000</v>
      </c>
      <c r="AS41" s="82">
        <v>0</v>
      </c>
      <c r="AT41" s="82">
        <v>1660000</v>
      </c>
      <c r="AU41" s="82">
        <v>0</v>
      </c>
      <c r="AV41" s="82">
        <v>1660000</v>
      </c>
      <c r="AW41" s="82">
        <v>0</v>
      </c>
      <c r="AX41" s="82">
        <v>1660000</v>
      </c>
      <c r="AY41" s="82">
        <v>0</v>
      </c>
      <c r="AZ41" s="82">
        <v>1660000</v>
      </c>
      <c r="BA41" s="82">
        <v>0</v>
      </c>
      <c r="BB41" s="82">
        <v>1660000</v>
      </c>
      <c r="BC41" s="82">
        <f t="shared" ref="BC41:BD41" si="70">AE41+AG41+AI41+AK41+AM41+AO41+AQ41+AS41+AU41+AW41+AY41+BA41</f>
        <v>16600000</v>
      </c>
      <c r="BD41" s="82">
        <f t="shared" si="70"/>
        <v>16600000</v>
      </c>
      <c r="BE41" s="83">
        <f t="shared" si="1"/>
        <v>0</v>
      </c>
      <c r="BF41" s="83">
        <f t="shared" si="2"/>
        <v>0</v>
      </c>
      <c r="BG41" s="14" t="str">
        <f ca="1">IFERROR(__xludf.DUMMYFUNCTION("REGEXEXTRACT(O35,""^\S+\s(.+)$"")"),"Viáticos o gastos de desplazamiento")</f>
        <v>Viáticos o gastos de desplazamiento</v>
      </c>
      <c r="BH41" s="23"/>
      <c r="BI41" s="23"/>
      <c r="BJ41" s="23"/>
      <c r="BK41" s="23"/>
      <c r="BL41" s="23">
        <v>16600000</v>
      </c>
      <c r="BM41" s="23">
        <v>1660000</v>
      </c>
      <c r="BN41" s="23"/>
      <c r="BO41" s="23">
        <v>1660000</v>
      </c>
      <c r="BP41" s="23"/>
      <c r="BQ41" s="23">
        <v>1660000</v>
      </c>
      <c r="BR41" s="23"/>
      <c r="BS41" s="23">
        <v>1660000</v>
      </c>
      <c r="BT41" s="23"/>
      <c r="BU41" s="23">
        <v>1660000</v>
      </c>
      <c r="BV41" s="23"/>
      <c r="BW41" s="23">
        <v>1660000</v>
      </c>
      <c r="BX41" s="23"/>
      <c r="BY41" s="23">
        <v>1660000</v>
      </c>
      <c r="BZ41" s="23"/>
      <c r="CA41" s="23">
        <v>1660000</v>
      </c>
      <c r="CB41" s="23"/>
      <c r="CC41" s="23">
        <v>1660000</v>
      </c>
      <c r="CD41" s="23"/>
      <c r="CE41" s="23">
        <v>1660000</v>
      </c>
      <c r="CF41" s="28"/>
      <c r="CG41" s="28"/>
      <c r="CH41" s="25">
        <f t="shared" ref="CH41:CI41" si="71">BH41+BJ41+BL41+BN41+BP41+BR41+BT41+BV41+BX41+BZ41+CB41+CD41+CF41</f>
        <v>16600000</v>
      </c>
      <c r="CI41" s="25">
        <f t="shared" si="71"/>
        <v>16600000</v>
      </c>
      <c r="CJ41" s="26">
        <f t="shared" si="4"/>
        <v>0</v>
      </c>
      <c r="CK41" s="26">
        <f t="shared" si="5"/>
        <v>0</v>
      </c>
    </row>
    <row r="42" spans="1:89" ht="90" customHeight="1" x14ac:dyDescent="0.3">
      <c r="A42" s="13" t="s">
        <v>248</v>
      </c>
      <c r="B42" s="14" t="s">
        <v>3</v>
      </c>
      <c r="C42" s="15" t="s">
        <v>249</v>
      </c>
      <c r="D42" s="14" t="s">
        <v>62</v>
      </c>
      <c r="E42" s="13" t="s">
        <v>250</v>
      </c>
      <c r="F42" s="13" t="s">
        <v>250</v>
      </c>
      <c r="G42" s="14">
        <v>68</v>
      </c>
      <c r="H42" s="13" t="s">
        <v>345</v>
      </c>
      <c r="I42" s="15" t="s">
        <v>252</v>
      </c>
      <c r="J42" s="14" t="s">
        <v>4</v>
      </c>
      <c r="K42" s="15" t="s">
        <v>80</v>
      </c>
      <c r="L42" s="14">
        <v>80111620</v>
      </c>
      <c r="M42" s="14" t="s">
        <v>5</v>
      </c>
      <c r="N42" s="14" t="s">
        <v>253</v>
      </c>
      <c r="O42" s="15" t="s">
        <v>346</v>
      </c>
      <c r="P42" s="14" t="s">
        <v>255</v>
      </c>
      <c r="Q42" s="14" t="s">
        <v>255</v>
      </c>
      <c r="R42" s="14" t="s">
        <v>255</v>
      </c>
      <c r="S42" s="17">
        <v>10.5</v>
      </c>
      <c r="T42" s="14" t="s">
        <v>256</v>
      </c>
      <c r="U42" s="14" t="s">
        <v>347</v>
      </c>
      <c r="V42" s="14" t="s">
        <v>112</v>
      </c>
      <c r="W42" s="18">
        <v>42250000</v>
      </c>
      <c r="X42" s="18">
        <v>42250000</v>
      </c>
      <c r="Y42" s="19" t="s">
        <v>258</v>
      </c>
      <c r="Z42" s="19" t="s">
        <v>258</v>
      </c>
      <c r="AA42" s="19" t="s">
        <v>259</v>
      </c>
      <c r="AB42" s="14" t="s">
        <v>260</v>
      </c>
      <c r="AC42" s="14">
        <v>6012220601</v>
      </c>
      <c r="AD42" s="14" t="s">
        <v>261</v>
      </c>
      <c r="AE42" s="82">
        <v>0</v>
      </c>
      <c r="AF42" s="82">
        <v>0</v>
      </c>
      <c r="AG42" s="82">
        <v>42250000</v>
      </c>
      <c r="AH42" s="82">
        <v>0</v>
      </c>
      <c r="AI42" s="82">
        <v>0</v>
      </c>
      <c r="AJ42" s="82">
        <v>4514125</v>
      </c>
      <c r="AK42" s="82">
        <v>0</v>
      </c>
      <c r="AL42" s="82">
        <v>5416950</v>
      </c>
      <c r="AM42" s="82">
        <v>0</v>
      </c>
      <c r="AN42" s="82">
        <v>5416950</v>
      </c>
      <c r="AO42" s="82">
        <v>0</v>
      </c>
      <c r="AP42" s="82">
        <v>5416950</v>
      </c>
      <c r="AQ42" s="82">
        <v>0</v>
      </c>
      <c r="AR42" s="82">
        <v>5416950</v>
      </c>
      <c r="AS42" s="82">
        <v>0</v>
      </c>
      <c r="AT42" s="82">
        <v>5416950</v>
      </c>
      <c r="AU42" s="82">
        <v>0</v>
      </c>
      <c r="AV42" s="82">
        <v>5416950</v>
      </c>
      <c r="AW42" s="82">
        <v>0</v>
      </c>
      <c r="AX42" s="82">
        <v>5234175</v>
      </c>
      <c r="AY42" s="82">
        <v>0</v>
      </c>
      <c r="AZ42" s="82">
        <v>0</v>
      </c>
      <c r="BA42" s="82">
        <v>0</v>
      </c>
      <c r="BB42" s="82">
        <v>0</v>
      </c>
      <c r="BC42" s="82">
        <f t="shared" ref="BC42:BD42" si="72">AE42+AG42+AI42+AK42+AM42+AO42+AQ42+AS42+AU42+AW42+AY42+BA42</f>
        <v>42250000</v>
      </c>
      <c r="BD42" s="82">
        <f t="shared" si="72"/>
        <v>42250000</v>
      </c>
      <c r="BE42" s="83">
        <f t="shared" si="1"/>
        <v>0</v>
      </c>
      <c r="BF42" s="83">
        <f t="shared" si="2"/>
        <v>0</v>
      </c>
      <c r="BG42" s="14" t="str">
        <f ca="1">IFERROR(__xludf.DUMMYFUNCTION("REGEXEXTRACT(O36,""^\S+\s(.+)$"")"),"Prestar servicios profesionales para el diseño, implementación y seguimiento de estrategias de educación comunitaria y participación ciudadana, con un enfoque de derechos humanos y diferencial, para el fortalecimiento de la relación entre la UPME y las co"&amp;"munidades en las zonas de influencia del Proyecto de Enfoque Territorial, promoviendo la apropiación social del conocimiento minero-energético y la gestión de diálogos territoriales.")</f>
        <v>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v>
      </c>
      <c r="BH42" s="23"/>
      <c r="BI42" s="23"/>
      <c r="BJ42" s="23">
        <v>42250000</v>
      </c>
      <c r="BK42" s="23"/>
      <c r="BL42" s="23"/>
      <c r="BM42" s="23">
        <v>4514125</v>
      </c>
      <c r="BN42" s="23"/>
      <c r="BO42" s="23">
        <v>5416950</v>
      </c>
      <c r="BP42" s="23"/>
      <c r="BQ42" s="23">
        <v>5416950</v>
      </c>
      <c r="BR42" s="23"/>
      <c r="BS42" s="23">
        <v>5416950</v>
      </c>
      <c r="BT42" s="23"/>
      <c r="BU42" s="23">
        <v>5416950</v>
      </c>
      <c r="BV42" s="23"/>
      <c r="BW42" s="23">
        <v>5416950</v>
      </c>
      <c r="BX42" s="23"/>
      <c r="BY42" s="23">
        <v>5416950</v>
      </c>
      <c r="BZ42" s="23"/>
      <c r="CA42" s="23">
        <v>5234175</v>
      </c>
      <c r="CB42" s="23"/>
      <c r="CC42" s="23"/>
      <c r="CD42" s="23"/>
      <c r="CE42" s="23"/>
      <c r="CF42" s="28"/>
      <c r="CG42" s="28"/>
      <c r="CH42" s="25">
        <f t="shared" ref="CH42:CI42" si="73">BH42+BJ42+BL42+BN42+BP42+BR42+BT42+BV42+BX42+BZ42+CB42+CD42+CF42</f>
        <v>42250000</v>
      </c>
      <c r="CI42" s="25">
        <f t="shared" si="73"/>
        <v>42250000</v>
      </c>
      <c r="CJ42" s="26">
        <f t="shared" si="4"/>
        <v>0</v>
      </c>
      <c r="CK42" s="26">
        <f t="shared" si="5"/>
        <v>0</v>
      </c>
    </row>
    <row r="43" spans="1:89" ht="90" customHeight="1" x14ac:dyDescent="0.3">
      <c r="A43" s="13" t="s">
        <v>248</v>
      </c>
      <c r="B43" s="14" t="s">
        <v>3</v>
      </c>
      <c r="C43" s="15" t="s">
        <v>249</v>
      </c>
      <c r="D43" s="14" t="s">
        <v>62</v>
      </c>
      <c r="E43" s="13" t="s">
        <v>250</v>
      </c>
      <c r="F43" s="13" t="s">
        <v>250</v>
      </c>
      <c r="G43" s="14">
        <v>4</v>
      </c>
      <c r="H43" s="13" t="s">
        <v>348</v>
      </c>
      <c r="I43" s="15" t="s">
        <v>252</v>
      </c>
      <c r="J43" s="14" t="s">
        <v>4</v>
      </c>
      <c r="K43" s="15" t="s">
        <v>80</v>
      </c>
      <c r="L43" s="14">
        <v>80111620</v>
      </c>
      <c r="M43" s="14" t="s">
        <v>5</v>
      </c>
      <c r="N43" s="14" t="s">
        <v>253</v>
      </c>
      <c r="O43" s="15" t="s">
        <v>349</v>
      </c>
      <c r="P43" s="14" t="s">
        <v>255</v>
      </c>
      <c r="Q43" s="14" t="s">
        <v>255</v>
      </c>
      <c r="R43" s="14" t="s">
        <v>255</v>
      </c>
      <c r="S43" s="17">
        <v>10</v>
      </c>
      <c r="T43" s="14" t="s">
        <v>256</v>
      </c>
      <c r="U43" s="14" t="s">
        <v>257</v>
      </c>
      <c r="V43" s="14" t="s">
        <v>112</v>
      </c>
      <c r="W43" s="18">
        <v>67000000</v>
      </c>
      <c r="X43" s="18">
        <v>67000000</v>
      </c>
      <c r="Y43" s="19" t="s">
        <v>258</v>
      </c>
      <c r="Z43" s="19" t="s">
        <v>258</v>
      </c>
      <c r="AA43" s="19" t="s">
        <v>259</v>
      </c>
      <c r="AB43" s="14" t="s">
        <v>260</v>
      </c>
      <c r="AC43" s="14">
        <v>6012220601</v>
      </c>
      <c r="AD43" s="14" t="s">
        <v>261</v>
      </c>
      <c r="AE43" s="82">
        <v>0</v>
      </c>
      <c r="AF43" s="82">
        <v>0</v>
      </c>
      <c r="AG43" s="82">
        <v>67000000</v>
      </c>
      <c r="AH43" s="82">
        <v>0</v>
      </c>
      <c r="AI43" s="82">
        <v>0</v>
      </c>
      <c r="AJ43" s="82">
        <v>2737875</v>
      </c>
      <c r="AK43" s="82">
        <v>0</v>
      </c>
      <c r="AL43" s="82">
        <v>3285450</v>
      </c>
      <c r="AM43" s="82">
        <v>0</v>
      </c>
      <c r="AN43" s="82">
        <v>3285450</v>
      </c>
      <c r="AO43" s="82">
        <v>0</v>
      </c>
      <c r="AP43" s="82">
        <v>3285450</v>
      </c>
      <c r="AQ43" s="82">
        <v>0</v>
      </c>
      <c r="AR43" s="82">
        <v>3285450</v>
      </c>
      <c r="AS43" s="82">
        <v>0</v>
      </c>
      <c r="AT43" s="82">
        <v>3285450</v>
      </c>
      <c r="AU43" s="82">
        <v>0</v>
      </c>
      <c r="AV43" s="82">
        <v>3285450</v>
      </c>
      <c r="AW43" s="82">
        <v>0</v>
      </c>
      <c r="AX43" s="82">
        <v>3285450</v>
      </c>
      <c r="AY43" s="82">
        <v>0</v>
      </c>
      <c r="AZ43" s="82">
        <v>3285450</v>
      </c>
      <c r="BA43" s="82">
        <v>0</v>
      </c>
      <c r="BB43" s="82">
        <v>37978525</v>
      </c>
      <c r="BC43" s="82">
        <f t="shared" ref="BC43:BD43" si="74">AE43+AG43+AI43+AK43+AM43+AO43+AQ43+AS43+AU43+AW43+AY43+BA43</f>
        <v>67000000</v>
      </c>
      <c r="BD43" s="82">
        <f t="shared" si="74"/>
        <v>67000000</v>
      </c>
      <c r="BE43" s="83">
        <f t="shared" si="1"/>
        <v>0</v>
      </c>
      <c r="BF43" s="83">
        <f t="shared" si="2"/>
        <v>0</v>
      </c>
      <c r="BG43" s="14" t="str">
        <f ca="1">IFERROR(__xludf.DUMMYFUNCTION("REGEXEXTRACT(O37,""^\S+\s(.+)$"")"),"Prestar servicios profesionales para analizar la información ambiental vinculada a proyectos de energía renovable, identificando factores críticos y oportunidades de mejora en la gestión institucional, formular recomendaciones técnicas y la elaboración de"&amp;" insumos orientados al fortalecimiento del plan estratégico de acompañamiento institucional con enfoque ambiental y territorial.")</f>
        <v>Prestar servicios profesionales para analizar la información ambiental vinculada a proyectos de energía renovable, identificando factores críticos y oportunidades de mejora en la gestión institucional, formular recomendaciones técnicas y la elaboración de insumos orientados al fortalecimiento del plan estratégico de acompañamiento institucional con enfoque ambiental y territorial.</v>
      </c>
      <c r="BH43" s="23"/>
      <c r="BI43" s="23"/>
      <c r="BJ43" s="23">
        <v>67000000</v>
      </c>
      <c r="BK43" s="23"/>
      <c r="BL43" s="23"/>
      <c r="BM43" s="23">
        <v>2737875</v>
      </c>
      <c r="BN43" s="23"/>
      <c r="BO43" s="23">
        <v>3285450</v>
      </c>
      <c r="BP43" s="23"/>
      <c r="BQ43" s="23">
        <v>3285450</v>
      </c>
      <c r="BR43" s="23"/>
      <c r="BS43" s="23">
        <v>3285450</v>
      </c>
      <c r="BT43" s="23"/>
      <c r="BU43" s="23">
        <v>3285450</v>
      </c>
      <c r="BV43" s="23"/>
      <c r="BW43" s="23">
        <v>3285450</v>
      </c>
      <c r="BX43" s="23"/>
      <c r="BY43" s="23">
        <v>3285450</v>
      </c>
      <c r="BZ43" s="23"/>
      <c r="CA43" s="23">
        <v>3285450</v>
      </c>
      <c r="CB43" s="23"/>
      <c r="CC43" s="23">
        <v>3285450</v>
      </c>
      <c r="CD43" s="23"/>
      <c r="CE43" s="23">
        <v>37978525</v>
      </c>
      <c r="CF43" s="28"/>
      <c r="CG43" s="28"/>
      <c r="CH43" s="25">
        <f t="shared" ref="CH43:CI43" si="75">BH43+BJ43+BL43+BN43+BP43+BR43+BT43+BV43+BX43+BZ43+CB43+CD43+CF43</f>
        <v>67000000</v>
      </c>
      <c r="CI43" s="25">
        <f t="shared" si="75"/>
        <v>67000000</v>
      </c>
      <c r="CJ43" s="26">
        <f t="shared" si="4"/>
        <v>0</v>
      </c>
      <c r="CK43" s="26">
        <f t="shared" si="5"/>
        <v>0</v>
      </c>
    </row>
    <row r="44" spans="1:89" ht="90" customHeight="1" x14ac:dyDescent="0.3">
      <c r="A44" s="13" t="s">
        <v>248</v>
      </c>
      <c r="B44" s="14" t="s">
        <v>3</v>
      </c>
      <c r="C44" s="15" t="s">
        <v>249</v>
      </c>
      <c r="D44" s="14" t="s">
        <v>62</v>
      </c>
      <c r="E44" s="13" t="s">
        <v>250</v>
      </c>
      <c r="F44" s="13" t="s">
        <v>250</v>
      </c>
      <c r="G44" s="14">
        <v>68</v>
      </c>
      <c r="H44" s="13" t="s">
        <v>350</v>
      </c>
      <c r="I44" s="15" t="s">
        <v>252</v>
      </c>
      <c r="J44" s="14" t="s">
        <v>4</v>
      </c>
      <c r="K44" s="15" t="s">
        <v>80</v>
      </c>
      <c r="L44" s="14">
        <v>80111620</v>
      </c>
      <c r="M44" s="14" t="s">
        <v>5</v>
      </c>
      <c r="N44" s="14" t="s">
        <v>253</v>
      </c>
      <c r="O44" s="15" t="s">
        <v>351</v>
      </c>
      <c r="P44" s="14" t="s">
        <v>255</v>
      </c>
      <c r="Q44" s="14" t="s">
        <v>255</v>
      </c>
      <c r="R44" s="14" t="s">
        <v>255</v>
      </c>
      <c r="S44" s="17">
        <v>11</v>
      </c>
      <c r="T44" s="14" t="s">
        <v>256</v>
      </c>
      <c r="U44" s="14" t="s">
        <v>257</v>
      </c>
      <c r="V44" s="14" t="s">
        <v>112</v>
      </c>
      <c r="W44" s="18">
        <v>81400000</v>
      </c>
      <c r="X44" s="18">
        <v>81400000</v>
      </c>
      <c r="Y44" s="19" t="s">
        <v>258</v>
      </c>
      <c r="Z44" s="19" t="s">
        <v>258</v>
      </c>
      <c r="AA44" s="19" t="s">
        <v>259</v>
      </c>
      <c r="AB44" s="14" t="s">
        <v>260</v>
      </c>
      <c r="AC44" s="14">
        <v>6012220601</v>
      </c>
      <c r="AD44" s="14" t="s">
        <v>261</v>
      </c>
      <c r="AE44" s="82">
        <v>0</v>
      </c>
      <c r="AF44" s="82">
        <v>0</v>
      </c>
      <c r="AG44" s="82">
        <v>55000000</v>
      </c>
      <c r="AH44" s="82">
        <v>0</v>
      </c>
      <c r="AI44" s="82">
        <v>0</v>
      </c>
      <c r="AJ44" s="82">
        <v>7200000</v>
      </c>
      <c r="AK44" s="82">
        <v>0</v>
      </c>
      <c r="AL44" s="82">
        <v>8000000</v>
      </c>
      <c r="AM44" s="82">
        <v>0</v>
      </c>
      <c r="AN44" s="82">
        <v>8000000</v>
      </c>
      <c r="AO44" s="82">
        <v>26400000</v>
      </c>
      <c r="AP44" s="82">
        <v>8000000</v>
      </c>
      <c r="AQ44" s="82">
        <v>0</v>
      </c>
      <c r="AR44" s="82">
        <v>8000000</v>
      </c>
      <c r="AS44" s="82">
        <v>0</v>
      </c>
      <c r="AT44" s="82">
        <v>8000000</v>
      </c>
      <c r="AU44" s="82">
        <v>0</v>
      </c>
      <c r="AV44" s="82">
        <v>7800000</v>
      </c>
      <c r="AW44" s="82">
        <v>0</v>
      </c>
      <c r="AX44" s="82">
        <v>0</v>
      </c>
      <c r="AY44" s="82">
        <v>0</v>
      </c>
      <c r="AZ44" s="82">
        <v>0</v>
      </c>
      <c r="BA44" s="82">
        <v>0</v>
      </c>
      <c r="BB44" s="82">
        <v>26400000</v>
      </c>
      <c r="BC44" s="82">
        <f t="shared" ref="BC44:BD44" si="76">AE44+AG44+AI44+AK44+AM44+AO44+AQ44+AS44+AU44+AW44+AY44+BA44</f>
        <v>81400000</v>
      </c>
      <c r="BD44" s="82">
        <f t="shared" si="76"/>
        <v>81400000</v>
      </c>
      <c r="BE44" s="83">
        <f t="shared" si="1"/>
        <v>0</v>
      </c>
      <c r="BF44" s="83">
        <f t="shared" si="2"/>
        <v>0</v>
      </c>
      <c r="BG44" s="14" t="str">
        <f ca="1">IFERROR(__xludf.DUMMYFUNCTION("REGEXEXTRACT(O38,""^\S+\s(.+)$"")"),"Prestar servicios profesionales para apoyar la identificación, análisis y aplicabilidad de variables ambientales, territoriales y de riesgo socioambiental para la planeación minero energética en los territorios priorizados. Adicionalmente, contribuir en l"&amp;"a elaboración e inclusión de matrices de gestión de riesgo socioambiental y lineamientos de gestión interinstitucional y territorial en el sector minero energético.")</f>
        <v>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v>
      </c>
      <c r="BH44" s="23"/>
      <c r="BI44" s="23"/>
      <c r="BJ44" s="23">
        <v>55000000</v>
      </c>
      <c r="BK44" s="23"/>
      <c r="BL44" s="23"/>
      <c r="BM44" s="23">
        <v>7200000</v>
      </c>
      <c r="BN44" s="23"/>
      <c r="BO44" s="23">
        <v>8000000</v>
      </c>
      <c r="BP44" s="23"/>
      <c r="BQ44" s="23">
        <v>8000000</v>
      </c>
      <c r="BR44" s="23">
        <v>26400000</v>
      </c>
      <c r="BS44" s="23">
        <v>8000000</v>
      </c>
      <c r="BT44" s="23"/>
      <c r="BU44" s="23">
        <v>8000000</v>
      </c>
      <c r="BV44" s="23"/>
      <c r="BW44" s="23">
        <v>8000000</v>
      </c>
      <c r="BX44" s="23"/>
      <c r="BY44" s="23">
        <v>7800000</v>
      </c>
      <c r="BZ44" s="23"/>
      <c r="CA44" s="23"/>
      <c r="CB44" s="23"/>
      <c r="CC44" s="23"/>
      <c r="CD44" s="23"/>
      <c r="CE44" s="23">
        <v>26400000</v>
      </c>
      <c r="CF44" s="28"/>
      <c r="CG44" s="28"/>
      <c r="CH44" s="25">
        <f t="shared" ref="CH44:CI44" si="77">BH44+BJ44+BL44+BN44+BP44+BR44+BT44+BV44+BX44+BZ44+CB44+CD44+CF44</f>
        <v>81400000</v>
      </c>
      <c r="CI44" s="25">
        <f t="shared" si="77"/>
        <v>81400000</v>
      </c>
      <c r="CJ44" s="26">
        <f t="shared" si="4"/>
        <v>0</v>
      </c>
      <c r="CK44" s="26">
        <f t="shared" si="5"/>
        <v>0</v>
      </c>
    </row>
    <row r="45" spans="1:89" ht="90" customHeight="1" x14ac:dyDescent="0.3">
      <c r="A45" s="13" t="s">
        <v>248</v>
      </c>
      <c r="B45" s="14" t="s">
        <v>3</v>
      </c>
      <c r="C45" s="15" t="s">
        <v>249</v>
      </c>
      <c r="D45" s="14" t="s">
        <v>62</v>
      </c>
      <c r="E45" s="13" t="s">
        <v>250</v>
      </c>
      <c r="F45" s="13" t="s">
        <v>250</v>
      </c>
      <c r="G45" s="14">
        <v>68</v>
      </c>
      <c r="H45" s="13" t="s">
        <v>352</v>
      </c>
      <c r="I45" s="15" t="s">
        <v>252</v>
      </c>
      <c r="J45" s="14" t="s">
        <v>4</v>
      </c>
      <c r="K45" s="15" t="s">
        <v>80</v>
      </c>
      <c r="L45" s="14">
        <v>80111620</v>
      </c>
      <c r="M45" s="14" t="s">
        <v>5</v>
      </c>
      <c r="N45" s="14" t="s">
        <v>253</v>
      </c>
      <c r="O45" s="15" t="s">
        <v>353</v>
      </c>
      <c r="P45" s="14" t="s">
        <v>255</v>
      </c>
      <c r="Q45" s="14" t="s">
        <v>255</v>
      </c>
      <c r="R45" s="14" t="s">
        <v>255</v>
      </c>
      <c r="S45" s="17">
        <v>10</v>
      </c>
      <c r="T45" s="14" t="s">
        <v>256</v>
      </c>
      <c r="U45" s="14" t="s">
        <v>257</v>
      </c>
      <c r="V45" s="14" t="s">
        <v>112</v>
      </c>
      <c r="W45" s="18">
        <v>55000000</v>
      </c>
      <c r="X45" s="18">
        <v>55000000</v>
      </c>
      <c r="Y45" s="19" t="s">
        <v>258</v>
      </c>
      <c r="Z45" s="19" t="s">
        <v>258</v>
      </c>
      <c r="AA45" s="19" t="s">
        <v>259</v>
      </c>
      <c r="AB45" s="14" t="s">
        <v>260</v>
      </c>
      <c r="AC45" s="14">
        <v>6012220601</v>
      </c>
      <c r="AD45" s="14" t="s">
        <v>261</v>
      </c>
      <c r="AE45" s="82">
        <v>0</v>
      </c>
      <c r="AF45" s="82">
        <v>0</v>
      </c>
      <c r="AG45" s="82">
        <v>55000000</v>
      </c>
      <c r="AH45" s="82">
        <v>0</v>
      </c>
      <c r="AI45" s="82">
        <v>0</v>
      </c>
      <c r="AJ45" s="82">
        <v>4583333</v>
      </c>
      <c r="AK45" s="82">
        <v>0</v>
      </c>
      <c r="AL45" s="82">
        <v>5500000</v>
      </c>
      <c r="AM45" s="82">
        <v>0</v>
      </c>
      <c r="AN45" s="82">
        <v>5500000</v>
      </c>
      <c r="AO45" s="82">
        <v>0</v>
      </c>
      <c r="AP45" s="82">
        <v>5500000</v>
      </c>
      <c r="AQ45" s="82">
        <v>0</v>
      </c>
      <c r="AR45" s="82">
        <v>5500000</v>
      </c>
      <c r="AS45" s="82">
        <v>0</v>
      </c>
      <c r="AT45" s="82">
        <v>5500000</v>
      </c>
      <c r="AU45" s="82">
        <v>0</v>
      </c>
      <c r="AV45" s="82">
        <v>5500000</v>
      </c>
      <c r="AW45" s="82">
        <v>0</v>
      </c>
      <c r="AX45" s="82">
        <v>5500000</v>
      </c>
      <c r="AY45" s="82">
        <v>0</v>
      </c>
      <c r="AZ45" s="82">
        <v>5500000</v>
      </c>
      <c r="BA45" s="82">
        <v>0</v>
      </c>
      <c r="BB45" s="82">
        <v>6416667</v>
      </c>
      <c r="BC45" s="82">
        <f t="shared" ref="BC45:BD45" si="78">AE45+AG45+AI45+AK45+AM45+AO45+AQ45+AS45+AU45+AW45+AY45+BA45</f>
        <v>55000000</v>
      </c>
      <c r="BD45" s="82">
        <f t="shared" si="78"/>
        <v>55000000</v>
      </c>
      <c r="BE45" s="83">
        <f t="shared" si="1"/>
        <v>0</v>
      </c>
      <c r="BF45" s="83">
        <f t="shared" si="2"/>
        <v>0</v>
      </c>
      <c r="BG45" s="14" t="str">
        <f ca="1">IFERROR(__xludf.DUMMYFUNCTION("REGEXEXTRACT(O39,""^\S+\s(.+)$"")"),"Prestar servicios profesionales para apoyar la evaluación, identificación y estructuración de acciones técnicas validadas para el acompañamiento permanente a entidades del orden nacional y regional, en zonas priorizadas con conflictos sociales para la con"&amp;"strucción del ""Atlas de conflictividad"".")</f>
        <v>Prestar servicios profesionales para apoyar la evaluación, identificación y estructuración de acciones técnicas validadas para el acompañamiento permanente a entidades del orden nacional y regional, en zonas priorizadas con conflictos sociales para la construcción del "Atlas de conflictividad".</v>
      </c>
      <c r="BH45" s="23"/>
      <c r="BI45" s="23"/>
      <c r="BJ45" s="23">
        <v>55000000</v>
      </c>
      <c r="BK45" s="23"/>
      <c r="BL45" s="23"/>
      <c r="BM45" s="23">
        <v>4583333</v>
      </c>
      <c r="BN45" s="23"/>
      <c r="BO45" s="23">
        <v>5500000</v>
      </c>
      <c r="BP45" s="23"/>
      <c r="BQ45" s="23">
        <v>5500000</v>
      </c>
      <c r="BR45" s="23"/>
      <c r="BS45" s="23">
        <v>5500000</v>
      </c>
      <c r="BT45" s="23"/>
      <c r="BU45" s="23">
        <v>5500000</v>
      </c>
      <c r="BV45" s="23"/>
      <c r="BW45" s="23">
        <v>5500000</v>
      </c>
      <c r="BX45" s="23"/>
      <c r="BY45" s="23">
        <v>5500000</v>
      </c>
      <c r="BZ45" s="23"/>
      <c r="CA45" s="23">
        <v>5500000</v>
      </c>
      <c r="CB45" s="23"/>
      <c r="CC45" s="23">
        <v>5500000</v>
      </c>
      <c r="CD45" s="23"/>
      <c r="CE45" s="23">
        <v>6416667</v>
      </c>
      <c r="CF45" s="28"/>
      <c r="CG45" s="28"/>
      <c r="CH45" s="25">
        <f t="shared" ref="CH45:CI45" si="79">BH45+BJ45+BL45+BN45+BP45+BR45+BT45+BV45+BX45+BZ45+CB45+CD45+CF45</f>
        <v>55000000</v>
      </c>
      <c r="CI45" s="25">
        <f t="shared" si="79"/>
        <v>55000000</v>
      </c>
      <c r="CJ45" s="26">
        <f t="shared" si="4"/>
        <v>0</v>
      </c>
      <c r="CK45" s="26">
        <f t="shared" si="5"/>
        <v>0</v>
      </c>
    </row>
    <row r="46" spans="1:89" ht="90" customHeight="1" x14ac:dyDescent="0.3">
      <c r="A46" s="13" t="s">
        <v>248</v>
      </c>
      <c r="B46" s="14" t="s">
        <v>3</v>
      </c>
      <c r="C46" s="15" t="s">
        <v>249</v>
      </c>
      <c r="D46" s="14" t="s">
        <v>62</v>
      </c>
      <c r="E46" s="13" t="s">
        <v>250</v>
      </c>
      <c r="F46" s="13" t="s">
        <v>250</v>
      </c>
      <c r="G46" s="14">
        <v>2</v>
      </c>
      <c r="H46" s="13" t="s">
        <v>354</v>
      </c>
      <c r="I46" s="15" t="s">
        <v>252</v>
      </c>
      <c r="J46" s="14" t="s">
        <v>4</v>
      </c>
      <c r="K46" s="15" t="s">
        <v>80</v>
      </c>
      <c r="L46" s="14">
        <v>80111620</v>
      </c>
      <c r="M46" s="14" t="s">
        <v>5</v>
      </c>
      <c r="N46" s="14" t="s">
        <v>253</v>
      </c>
      <c r="O46" s="15" t="s">
        <v>355</v>
      </c>
      <c r="P46" s="14" t="s">
        <v>255</v>
      </c>
      <c r="Q46" s="14" t="s">
        <v>255</v>
      </c>
      <c r="R46" s="14" t="s">
        <v>255</v>
      </c>
      <c r="S46" s="17">
        <v>11</v>
      </c>
      <c r="T46" s="14" t="s">
        <v>256</v>
      </c>
      <c r="U46" s="14" t="s">
        <v>257</v>
      </c>
      <c r="V46" s="14" t="s">
        <v>112</v>
      </c>
      <c r="W46" s="18">
        <v>42406220</v>
      </c>
      <c r="X46" s="18">
        <v>42406220</v>
      </c>
      <c r="Y46" s="19" t="s">
        <v>258</v>
      </c>
      <c r="Z46" s="19" t="s">
        <v>258</v>
      </c>
      <c r="AA46" s="19" t="s">
        <v>259</v>
      </c>
      <c r="AB46" s="14" t="s">
        <v>260</v>
      </c>
      <c r="AC46" s="14">
        <v>6012220601</v>
      </c>
      <c r="AD46" s="14" t="s">
        <v>261</v>
      </c>
      <c r="AE46" s="82">
        <v>0</v>
      </c>
      <c r="AF46" s="82">
        <v>0</v>
      </c>
      <c r="AG46" s="82">
        <v>42406220</v>
      </c>
      <c r="AH46" s="82">
        <v>0</v>
      </c>
      <c r="AI46" s="82">
        <v>0</v>
      </c>
      <c r="AJ46" s="82">
        <v>5000000</v>
      </c>
      <c r="AK46" s="82">
        <v>0</v>
      </c>
      <c r="AL46" s="82">
        <v>6000000</v>
      </c>
      <c r="AM46" s="82">
        <v>0</v>
      </c>
      <c r="AN46" s="82">
        <v>6000000</v>
      </c>
      <c r="AO46" s="82">
        <v>0</v>
      </c>
      <c r="AP46" s="82">
        <v>6000000</v>
      </c>
      <c r="AQ46" s="82">
        <v>0</v>
      </c>
      <c r="AR46" s="82">
        <v>6000000</v>
      </c>
      <c r="AS46" s="82">
        <v>0</v>
      </c>
      <c r="AT46" s="82">
        <v>6000000</v>
      </c>
      <c r="AU46" s="82">
        <v>0</v>
      </c>
      <c r="AV46" s="82">
        <v>6000000</v>
      </c>
      <c r="AW46" s="82">
        <v>0</v>
      </c>
      <c r="AX46" s="82">
        <v>1406220</v>
      </c>
      <c r="AY46" s="82">
        <v>0</v>
      </c>
      <c r="AZ46" s="82">
        <v>0</v>
      </c>
      <c r="BA46" s="82">
        <v>0</v>
      </c>
      <c r="BB46" s="82">
        <v>0</v>
      </c>
      <c r="BC46" s="82">
        <f t="shared" ref="BC46:BD46" si="80">AE46+AG46+AI46+AK46+AM46+AO46+AQ46+AS46+AU46+AW46+AY46+BA46</f>
        <v>42406220</v>
      </c>
      <c r="BD46" s="82">
        <f t="shared" si="80"/>
        <v>42406220</v>
      </c>
      <c r="BE46" s="83">
        <f t="shared" si="1"/>
        <v>0</v>
      </c>
      <c r="BF46" s="83">
        <f t="shared" si="2"/>
        <v>0</v>
      </c>
      <c r="BG46" s="14" t="str">
        <f ca="1">IFERROR(__xludf.DUMMYFUNCTION("REGEXEXTRACT(O40,""^\S+\s(.+)$"")"),"Prestar servicios profesionales para apoyar las convocatorias, socializaciones, análisis de información y la elaboración de informes técnicos requeridos, que contribuyan a la gestión y al fortalecimiento de la ejecución del proyecto de Enfoque Territorial"&amp;".")</f>
        <v>Prestar servicios profesionales para apoyar las convocatorias, socializaciones, análisis de información y la elaboración de informes técnicos requeridos, que contribuyan a la gestión y al fortalecimiento de la ejecución del proyecto de Enfoque Territorial.</v>
      </c>
      <c r="BH46" s="23"/>
      <c r="BI46" s="23"/>
      <c r="BJ46" s="23">
        <v>42406220</v>
      </c>
      <c r="BK46" s="23"/>
      <c r="BL46" s="23"/>
      <c r="BM46" s="23">
        <v>5000000</v>
      </c>
      <c r="BN46" s="23"/>
      <c r="BO46" s="23">
        <v>6000000</v>
      </c>
      <c r="BP46" s="23"/>
      <c r="BQ46" s="23">
        <v>6000000</v>
      </c>
      <c r="BR46" s="23"/>
      <c r="BS46" s="23">
        <v>6000000</v>
      </c>
      <c r="BT46" s="23"/>
      <c r="BU46" s="23">
        <v>6000000</v>
      </c>
      <c r="BV46" s="23"/>
      <c r="BW46" s="23">
        <v>6000000</v>
      </c>
      <c r="BX46" s="23"/>
      <c r="BY46" s="23">
        <v>6000000</v>
      </c>
      <c r="BZ46" s="23"/>
      <c r="CA46" s="23">
        <v>1406220</v>
      </c>
      <c r="CB46" s="23"/>
      <c r="CC46" s="23"/>
      <c r="CD46" s="23"/>
      <c r="CE46" s="23"/>
      <c r="CF46" s="28"/>
      <c r="CG46" s="28"/>
      <c r="CH46" s="25">
        <f t="shared" ref="CH46:CI46" si="81">BH46+BJ46+BL46+BN46+BP46+BR46+BT46+BV46+BX46+BZ46+CB46+CD46+CF46</f>
        <v>42406220</v>
      </c>
      <c r="CI46" s="25">
        <f t="shared" si="81"/>
        <v>42406220</v>
      </c>
      <c r="CJ46" s="26">
        <f t="shared" si="4"/>
        <v>0</v>
      </c>
      <c r="CK46" s="26">
        <f t="shared" si="5"/>
        <v>0</v>
      </c>
    </row>
    <row r="47" spans="1:89" ht="90" customHeight="1" x14ac:dyDescent="0.3">
      <c r="A47" s="13" t="s">
        <v>248</v>
      </c>
      <c r="B47" s="14" t="s">
        <v>3</v>
      </c>
      <c r="C47" s="15" t="s">
        <v>249</v>
      </c>
      <c r="D47" s="14" t="s">
        <v>62</v>
      </c>
      <c r="E47" s="13" t="s">
        <v>250</v>
      </c>
      <c r="F47" s="13" t="s">
        <v>250</v>
      </c>
      <c r="G47" s="14">
        <v>68</v>
      </c>
      <c r="H47" s="13" t="s">
        <v>356</v>
      </c>
      <c r="I47" s="15" t="s">
        <v>252</v>
      </c>
      <c r="J47" s="14" t="s">
        <v>4</v>
      </c>
      <c r="K47" s="15" t="s">
        <v>80</v>
      </c>
      <c r="L47" s="14">
        <v>80111620</v>
      </c>
      <c r="M47" s="14" t="s">
        <v>5</v>
      </c>
      <c r="N47" s="14" t="s">
        <v>253</v>
      </c>
      <c r="O47" s="15" t="s">
        <v>357</v>
      </c>
      <c r="P47" s="14" t="s">
        <v>255</v>
      </c>
      <c r="Q47" s="14" t="s">
        <v>255</v>
      </c>
      <c r="R47" s="14" t="s">
        <v>255</v>
      </c>
      <c r="S47" s="17">
        <v>10</v>
      </c>
      <c r="T47" s="14" t="s">
        <v>256</v>
      </c>
      <c r="U47" s="14" t="s">
        <v>347</v>
      </c>
      <c r="V47" s="14" t="s">
        <v>112</v>
      </c>
      <c r="W47" s="18">
        <v>55000000</v>
      </c>
      <c r="X47" s="18">
        <v>55000000</v>
      </c>
      <c r="Y47" s="19" t="s">
        <v>258</v>
      </c>
      <c r="Z47" s="19" t="s">
        <v>258</v>
      </c>
      <c r="AA47" s="19" t="s">
        <v>259</v>
      </c>
      <c r="AB47" s="14" t="s">
        <v>260</v>
      </c>
      <c r="AC47" s="14">
        <v>6012220601</v>
      </c>
      <c r="AD47" s="14" t="s">
        <v>261</v>
      </c>
      <c r="AE47" s="82">
        <v>0</v>
      </c>
      <c r="AF47" s="82">
        <v>0</v>
      </c>
      <c r="AG47" s="82">
        <v>55000000</v>
      </c>
      <c r="AH47" s="82">
        <v>0</v>
      </c>
      <c r="AI47" s="82">
        <v>0</v>
      </c>
      <c r="AJ47" s="82">
        <v>4583333</v>
      </c>
      <c r="AK47" s="82">
        <v>0</v>
      </c>
      <c r="AL47" s="82">
        <v>5500000</v>
      </c>
      <c r="AM47" s="82">
        <v>0</v>
      </c>
      <c r="AN47" s="82">
        <v>5500000</v>
      </c>
      <c r="AO47" s="82">
        <v>0</v>
      </c>
      <c r="AP47" s="82">
        <v>5500000</v>
      </c>
      <c r="AQ47" s="82">
        <v>0</v>
      </c>
      <c r="AR47" s="82">
        <v>5500000</v>
      </c>
      <c r="AS47" s="82">
        <v>0</v>
      </c>
      <c r="AT47" s="82">
        <v>5500000</v>
      </c>
      <c r="AU47" s="82">
        <v>0</v>
      </c>
      <c r="AV47" s="82">
        <v>5500000</v>
      </c>
      <c r="AW47" s="82">
        <v>0</v>
      </c>
      <c r="AX47" s="82">
        <v>5500000</v>
      </c>
      <c r="AY47" s="82">
        <v>0</v>
      </c>
      <c r="AZ47" s="82">
        <v>5500000</v>
      </c>
      <c r="BA47" s="82">
        <v>0</v>
      </c>
      <c r="BB47" s="82">
        <v>6416667</v>
      </c>
      <c r="BC47" s="82">
        <f t="shared" ref="BC47:BD47" si="82">AE47+AG47+AI47+AK47+AM47+AO47+AQ47+AS47+AU47+AW47+AY47+BA47</f>
        <v>55000000</v>
      </c>
      <c r="BD47" s="82">
        <f t="shared" si="82"/>
        <v>55000000</v>
      </c>
      <c r="BE47" s="83">
        <f t="shared" si="1"/>
        <v>0</v>
      </c>
      <c r="BF47" s="83">
        <f t="shared" si="2"/>
        <v>0</v>
      </c>
      <c r="BG47" s="14" t="str">
        <f ca="1">IFERROR(__xludf.DUMMYFUNCTION("REGEXEXTRACT(O41,""^\S+\s(.+)$"")"),"Prestación de servicios profesionales para la identificación y evaluación de variables ambientales que inciden en la planeación y ejecución de proyectos de energías renovables que tengan relación con entidades nacionales y regionales.")</f>
        <v>Prestación de servicios profesionales para la identificación y evaluación de variables ambientales que inciden en la planeación y ejecución de proyectos de energías renovables que tengan relación con entidades nacionales y regionales.</v>
      </c>
      <c r="BH47" s="23"/>
      <c r="BI47" s="23"/>
      <c r="BJ47" s="23">
        <v>55000000</v>
      </c>
      <c r="BK47" s="23"/>
      <c r="BL47" s="23"/>
      <c r="BM47" s="23">
        <v>4583333</v>
      </c>
      <c r="BN47" s="23"/>
      <c r="BO47" s="23">
        <v>5500000</v>
      </c>
      <c r="BP47" s="23"/>
      <c r="BQ47" s="23">
        <v>5500000</v>
      </c>
      <c r="BR47" s="23"/>
      <c r="BS47" s="23">
        <v>5500000</v>
      </c>
      <c r="BT47" s="23"/>
      <c r="BU47" s="23">
        <v>5500000</v>
      </c>
      <c r="BV47" s="23"/>
      <c r="BW47" s="23">
        <v>5500000</v>
      </c>
      <c r="BX47" s="23"/>
      <c r="BY47" s="23">
        <v>5500000</v>
      </c>
      <c r="BZ47" s="23"/>
      <c r="CA47" s="23">
        <v>5500000</v>
      </c>
      <c r="CB47" s="23"/>
      <c r="CC47" s="23">
        <v>5500000</v>
      </c>
      <c r="CD47" s="23"/>
      <c r="CE47" s="23">
        <v>6416667</v>
      </c>
      <c r="CF47" s="28"/>
      <c r="CG47" s="28"/>
      <c r="CH47" s="25">
        <f t="shared" ref="CH47:CI47" si="83">BH47+BJ47+BL47+BN47+BP47+BR47+BT47+BV47+BX47+BZ47+CB47+CD47+CF47</f>
        <v>55000000</v>
      </c>
      <c r="CI47" s="25">
        <f t="shared" si="83"/>
        <v>55000000</v>
      </c>
      <c r="CJ47" s="26">
        <f t="shared" si="4"/>
        <v>0</v>
      </c>
      <c r="CK47" s="26">
        <f t="shared" si="5"/>
        <v>0</v>
      </c>
    </row>
    <row r="48" spans="1:89" ht="90" customHeight="1" x14ac:dyDescent="0.3">
      <c r="A48" s="13" t="s">
        <v>248</v>
      </c>
      <c r="B48" s="14" t="s">
        <v>3</v>
      </c>
      <c r="C48" s="15" t="s">
        <v>249</v>
      </c>
      <c r="D48" s="14" t="s">
        <v>62</v>
      </c>
      <c r="E48" s="13" t="s">
        <v>250</v>
      </c>
      <c r="F48" s="13" t="s">
        <v>250</v>
      </c>
      <c r="G48" s="14">
        <v>68</v>
      </c>
      <c r="H48" s="13" t="s">
        <v>358</v>
      </c>
      <c r="I48" s="15" t="s">
        <v>252</v>
      </c>
      <c r="J48" s="14" t="s">
        <v>4</v>
      </c>
      <c r="K48" s="15" t="s">
        <v>80</v>
      </c>
      <c r="L48" s="14">
        <v>80111620</v>
      </c>
      <c r="M48" s="14" t="s">
        <v>5</v>
      </c>
      <c r="N48" s="14" t="s">
        <v>253</v>
      </c>
      <c r="O48" s="15" t="s">
        <v>359</v>
      </c>
      <c r="P48" s="14" t="s">
        <v>255</v>
      </c>
      <c r="Q48" s="14" t="s">
        <v>255</v>
      </c>
      <c r="R48" s="14" t="s">
        <v>255</v>
      </c>
      <c r="S48" s="17">
        <v>10</v>
      </c>
      <c r="T48" s="14" t="s">
        <v>256</v>
      </c>
      <c r="U48" s="14" t="s">
        <v>347</v>
      </c>
      <c r="V48" s="14" t="s">
        <v>112</v>
      </c>
      <c r="W48" s="18">
        <v>50000000</v>
      </c>
      <c r="X48" s="18">
        <v>50000000</v>
      </c>
      <c r="Y48" s="19" t="s">
        <v>258</v>
      </c>
      <c r="Z48" s="19" t="s">
        <v>258</v>
      </c>
      <c r="AA48" s="19" t="s">
        <v>259</v>
      </c>
      <c r="AB48" s="14" t="s">
        <v>260</v>
      </c>
      <c r="AC48" s="14">
        <v>6012220601</v>
      </c>
      <c r="AD48" s="14" t="s">
        <v>261</v>
      </c>
      <c r="AE48" s="82">
        <v>0</v>
      </c>
      <c r="AF48" s="82">
        <v>0</v>
      </c>
      <c r="AG48" s="82">
        <v>50000000</v>
      </c>
      <c r="AH48" s="82">
        <v>0</v>
      </c>
      <c r="AI48" s="82">
        <v>0</v>
      </c>
      <c r="AJ48" s="82">
        <v>2956905</v>
      </c>
      <c r="AK48" s="82">
        <v>0</v>
      </c>
      <c r="AL48" s="82">
        <v>3285450</v>
      </c>
      <c r="AM48" s="82">
        <v>0</v>
      </c>
      <c r="AN48" s="82">
        <v>3285450</v>
      </c>
      <c r="AO48" s="82">
        <v>0</v>
      </c>
      <c r="AP48" s="82">
        <v>3285450</v>
      </c>
      <c r="AQ48" s="82">
        <v>0</v>
      </c>
      <c r="AR48" s="82">
        <v>3285450</v>
      </c>
      <c r="AS48" s="82">
        <v>0</v>
      </c>
      <c r="AT48" s="82">
        <v>3285450</v>
      </c>
      <c r="AU48" s="82">
        <v>0</v>
      </c>
      <c r="AV48" s="82">
        <v>3285450</v>
      </c>
      <c r="AW48" s="82">
        <v>0</v>
      </c>
      <c r="AX48" s="82">
        <v>3285450</v>
      </c>
      <c r="AY48" s="82">
        <v>0</v>
      </c>
      <c r="AZ48" s="82">
        <v>3285450</v>
      </c>
      <c r="BA48" s="82">
        <v>0</v>
      </c>
      <c r="BB48" s="82">
        <v>20759495</v>
      </c>
      <c r="BC48" s="82">
        <f t="shared" ref="BC48:BD48" si="84">AE48+AG48+AI48+AK48+AM48+AO48+AQ48+AS48+AU48+AW48+AY48+BA48</f>
        <v>50000000</v>
      </c>
      <c r="BD48" s="82">
        <f t="shared" si="84"/>
        <v>50000000</v>
      </c>
      <c r="BE48" s="83">
        <f t="shared" si="1"/>
        <v>0</v>
      </c>
      <c r="BF48" s="83">
        <f t="shared" si="2"/>
        <v>0</v>
      </c>
      <c r="BG48" s="14" t="str">
        <f ca="1">IFERROR(__xludf.DUMMYFUNCTION("REGEXEXTRACT(O42,""^\S+\s(.+)$"")"),"Prestar los servicios profesionales para apoyar las convocatorias, socializaciones y mesas de trabajo de los proyectos de energías renovables y convencionales, con enfoque social territorial.")</f>
        <v>Prestar los servicios profesionales para apoyar las convocatorias, socializaciones y mesas de trabajo de los proyectos de energías renovables y convencionales, con enfoque social territorial.</v>
      </c>
      <c r="BH48" s="23"/>
      <c r="BI48" s="23"/>
      <c r="BJ48" s="23">
        <v>50000000</v>
      </c>
      <c r="BK48" s="23"/>
      <c r="BL48" s="23"/>
      <c r="BM48" s="23">
        <v>2956905</v>
      </c>
      <c r="BN48" s="23"/>
      <c r="BO48" s="23">
        <v>3285450</v>
      </c>
      <c r="BP48" s="23"/>
      <c r="BQ48" s="23">
        <v>3285450</v>
      </c>
      <c r="BR48" s="23"/>
      <c r="BS48" s="23">
        <v>3285450</v>
      </c>
      <c r="BT48" s="23"/>
      <c r="BU48" s="23">
        <v>3285450</v>
      </c>
      <c r="BV48" s="23"/>
      <c r="BW48" s="23">
        <v>3285450</v>
      </c>
      <c r="BX48" s="23"/>
      <c r="BY48" s="23">
        <v>3285450</v>
      </c>
      <c r="BZ48" s="23"/>
      <c r="CA48" s="23">
        <v>3285450</v>
      </c>
      <c r="CB48" s="23"/>
      <c r="CC48" s="23">
        <v>3285450</v>
      </c>
      <c r="CD48" s="23"/>
      <c r="CE48" s="23">
        <v>20759495</v>
      </c>
      <c r="CF48" s="28"/>
      <c r="CG48" s="28"/>
      <c r="CH48" s="25">
        <f t="shared" ref="CH48:CI48" si="85">BH48+BJ48+BL48+BN48+BP48+BR48+BT48+BV48+BX48+BZ48+CB48+CD48+CF48</f>
        <v>50000000</v>
      </c>
      <c r="CI48" s="25">
        <f t="shared" si="85"/>
        <v>50000000</v>
      </c>
      <c r="CJ48" s="26">
        <f t="shared" si="4"/>
        <v>0</v>
      </c>
      <c r="CK48" s="26">
        <f t="shared" si="5"/>
        <v>0</v>
      </c>
    </row>
    <row r="49" spans="1:89" ht="90" customHeight="1" x14ac:dyDescent="0.3">
      <c r="A49" s="13" t="s">
        <v>248</v>
      </c>
      <c r="B49" s="14" t="s">
        <v>3</v>
      </c>
      <c r="C49" s="15" t="s">
        <v>249</v>
      </c>
      <c r="D49" s="14" t="s">
        <v>62</v>
      </c>
      <c r="E49" s="13" t="s">
        <v>339</v>
      </c>
      <c r="F49" s="13" t="s">
        <v>250</v>
      </c>
      <c r="G49" s="14">
        <v>1</v>
      </c>
      <c r="H49" s="13" t="s">
        <v>360</v>
      </c>
      <c r="I49" s="15" t="s">
        <v>252</v>
      </c>
      <c r="J49" s="14" t="s">
        <v>4</v>
      </c>
      <c r="K49" s="15" t="s">
        <v>80</v>
      </c>
      <c r="L49" s="14" t="s">
        <v>258</v>
      </c>
      <c r="M49" s="14" t="s">
        <v>5</v>
      </c>
      <c r="N49" s="14" t="s">
        <v>341</v>
      </c>
      <c r="O49" s="15" t="s">
        <v>361</v>
      </c>
      <c r="P49" s="14" t="s">
        <v>258</v>
      </c>
      <c r="Q49" s="14" t="s">
        <v>258</v>
      </c>
      <c r="R49" s="14" t="s">
        <v>258</v>
      </c>
      <c r="S49" s="17" t="s">
        <v>258</v>
      </c>
      <c r="T49" s="14" t="s">
        <v>258</v>
      </c>
      <c r="U49" s="14" t="s">
        <v>258</v>
      </c>
      <c r="V49" s="14" t="s">
        <v>112</v>
      </c>
      <c r="W49" s="18">
        <v>75774936</v>
      </c>
      <c r="X49" s="18">
        <v>75774936</v>
      </c>
      <c r="Y49" s="19" t="s">
        <v>258</v>
      </c>
      <c r="Z49" s="19" t="s">
        <v>258</v>
      </c>
      <c r="AA49" s="19" t="s">
        <v>259</v>
      </c>
      <c r="AB49" s="14" t="s">
        <v>260</v>
      </c>
      <c r="AC49" s="14">
        <v>6012220601</v>
      </c>
      <c r="AD49" s="14" t="s">
        <v>261</v>
      </c>
      <c r="AE49" s="82">
        <v>0</v>
      </c>
      <c r="AF49" s="82">
        <v>0</v>
      </c>
      <c r="AG49" s="82">
        <v>5000000</v>
      </c>
      <c r="AH49" s="82">
        <v>5000000</v>
      </c>
      <c r="AI49" s="82">
        <v>5000000</v>
      </c>
      <c r="AJ49" s="82">
        <v>5000000</v>
      </c>
      <c r="AK49" s="82">
        <v>5000000</v>
      </c>
      <c r="AL49" s="82">
        <v>5000000</v>
      </c>
      <c r="AM49" s="82">
        <v>5000000</v>
      </c>
      <c r="AN49" s="82">
        <v>5000000</v>
      </c>
      <c r="AO49" s="82">
        <v>5000000</v>
      </c>
      <c r="AP49" s="82">
        <v>5000000</v>
      </c>
      <c r="AQ49" s="82">
        <v>5000000</v>
      </c>
      <c r="AR49" s="82">
        <v>5000000</v>
      </c>
      <c r="AS49" s="82">
        <v>10000000</v>
      </c>
      <c r="AT49" s="82">
        <v>10000000</v>
      </c>
      <c r="AU49" s="82">
        <v>10000000</v>
      </c>
      <c r="AV49" s="82">
        <v>10000000</v>
      </c>
      <c r="AW49" s="82">
        <v>10000000</v>
      </c>
      <c r="AX49" s="82">
        <v>10000000</v>
      </c>
      <c r="AY49" s="82">
        <v>10000000</v>
      </c>
      <c r="AZ49" s="82">
        <v>10000000</v>
      </c>
      <c r="BA49" s="82">
        <v>5774936</v>
      </c>
      <c r="BB49" s="82">
        <v>5774936</v>
      </c>
      <c r="BC49" s="82">
        <f t="shared" ref="BC49:BD49" si="86">AE49+AG49+AI49+AK49+AM49+AO49+AQ49+AS49+AU49+AW49+AY49+BA49</f>
        <v>75774936</v>
      </c>
      <c r="BD49" s="82">
        <f t="shared" si="86"/>
        <v>75774936</v>
      </c>
      <c r="BE49" s="83">
        <f t="shared" si="1"/>
        <v>0</v>
      </c>
      <c r="BF49" s="83">
        <f t="shared" si="2"/>
        <v>0</v>
      </c>
      <c r="BG49" s="14" t="str">
        <f ca="1">IFERROR(__xludf.DUMMYFUNCTION("REGEXEXTRACT(O43,""^\S+\s(.+)$"")"),"Viáticos o gastos de desplazamiento")</f>
        <v>Viáticos o gastos de desplazamiento</v>
      </c>
      <c r="BH49" s="23"/>
      <c r="BI49" s="23"/>
      <c r="BJ49" s="23">
        <v>5000000</v>
      </c>
      <c r="BK49" s="23">
        <v>5000000</v>
      </c>
      <c r="BL49" s="23">
        <v>5000000</v>
      </c>
      <c r="BM49" s="23">
        <v>5000000</v>
      </c>
      <c r="BN49" s="23">
        <v>5000000</v>
      </c>
      <c r="BO49" s="23">
        <v>5000000</v>
      </c>
      <c r="BP49" s="23">
        <v>5000000</v>
      </c>
      <c r="BQ49" s="23">
        <v>5000000</v>
      </c>
      <c r="BR49" s="23">
        <v>5000000</v>
      </c>
      <c r="BS49" s="23">
        <v>5000000</v>
      </c>
      <c r="BT49" s="23">
        <v>5000000</v>
      </c>
      <c r="BU49" s="23">
        <v>5000000</v>
      </c>
      <c r="BV49" s="23">
        <v>10000000</v>
      </c>
      <c r="BW49" s="23">
        <v>10000000</v>
      </c>
      <c r="BX49" s="23">
        <v>10000000</v>
      </c>
      <c r="BY49" s="23">
        <v>10000000</v>
      </c>
      <c r="BZ49" s="23">
        <v>10000000</v>
      </c>
      <c r="CA49" s="23">
        <v>10000000</v>
      </c>
      <c r="CB49" s="23">
        <v>10000000</v>
      </c>
      <c r="CC49" s="23">
        <v>10000000</v>
      </c>
      <c r="CD49" s="23">
        <v>5774936</v>
      </c>
      <c r="CE49" s="23">
        <v>5774936</v>
      </c>
      <c r="CF49" s="28"/>
      <c r="CG49" s="28"/>
      <c r="CH49" s="25">
        <f t="shared" ref="CH49:CI49" si="87">BH49+BJ49+BL49+BN49+BP49+BR49+BT49+BV49+BX49+BZ49+CB49+CD49+CF49</f>
        <v>75774936</v>
      </c>
      <c r="CI49" s="25">
        <f t="shared" si="87"/>
        <v>75774936</v>
      </c>
      <c r="CJ49" s="26">
        <f t="shared" si="4"/>
        <v>0</v>
      </c>
      <c r="CK49" s="26">
        <f t="shared" si="5"/>
        <v>0</v>
      </c>
    </row>
    <row r="50" spans="1:89" ht="90" customHeight="1" x14ac:dyDescent="0.3">
      <c r="A50" s="13" t="s">
        <v>248</v>
      </c>
      <c r="B50" s="14" t="s">
        <v>3</v>
      </c>
      <c r="C50" s="15" t="s">
        <v>249</v>
      </c>
      <c r="D50" s="14" t="s">
        <v>62</v>
      </c>
      <c r="E50" s="13" t="s">
        <v>250</v>
      </c>
      <c r="F50" s="13" t="s">
        <v>250</v>
      </c>
      <c r="G50" s="14">
        <v>68</v>
      </c>
      <c r="H50" s="13" t="s">
        <v>362</v>
      </c>
      <c r="I50" s="15" t="s">
        <v>252</v>
      </c>
      <c r="J50" s="14" t="s">
        <v>4</v>
      </c>
      <c r="K50" s="15" t="s">
        <v>80</v>
      </c>
      <c r="L50" s="14">
        <v>80111620</v>
      </c>
      <c r="M50" s="14" t="s">
        <v>5</v>
      </c>
      <c r="N50" s="14" t="s">
        <v>253</v>
      </c>
      <c r="O50" s="15" t="s">
        <v>363</v>
      </c>
      <c r="P50" s="14" t="s">
        <v>255</v>
      </c>
      <c r="Q50" s="14" t="s">
        <v>255</v>
      </c>
      <c r="R50" s="14" t="s">
        <v>255</v>
      </c>
      <c r="S50" s="17">
        <v>10</v>
      </c>
      <c r="T50" s="14" t="s">
        <v>256</v>
      </c>
      <c r="U50" s="14" t="s">
        <v>257</v>
      </c>
      <c r="V50" s="14" t="s">
        <v>112</v>
      </c>
      <c r="W50" s="18">
        <v>60000000</v>
      </c>
      <c r="X50" s="18">
        <v>60000000</v>
      </c>
      <c r="Y50" s="19" t="s">
        <v>258</v>
      </c>
      <c r="Z50" s="19" t="s">
        <v>258</v>
      </c>
      <c r="AA50" s="19" t="s">
        <v>259</v>
      </c>
      <c r="AB50" s="14" t="s">
        <v>260</v>
      </c>
      <c r="AC50" s="14">
        <v>6012220601</v>
      </c>
      <c r="AD50" s="14" t="s">
        <v>261</v>
      </c>
      <c r="AE50" s="82">
        <v>0</v>
      </c>
      <c r="AF50" s="82">
        <v>0</v>
      </c>
      <c r="AG50" s="82">
        <v>60000000</v>
      </c>
      <c r="AH50" s="82">
        <v>0</v>
      </c>
      <c r="AI50" s="82">
        <v>0</v>
      </c>
      <c r="AJ50" s="82">
        <v>5000000</v>
      </c>
      <c r="AK50" s="82">
        <v>0</v>
      </c>
      <c r="AL50" s="82">
        <v>6000000</v>
      </c>
      <c r="AM50" s="82">
        <v>0</v>
      </c>
      <c r="AN50" s="82">
        <v>6000000</v>
      </c>
      <c r="AO50" s="82">
        <v>0</v>
      </c>
      <c r="AP50" s="82">
        <v>6000000</v>
      </c>
      <c r="AQ50" s="82">
        <v>0</v>
      </c>
      <c r="AR50" s="82">
        <v>6000000</v>
      </c>
      <c r="AS50" s="82">
        <v>0</v>
      </c>
      <c r="AT50" s="82">
        <v>6000000</v>
      </c>
      <c r="AU50" s="82">
        <v>0</v>
      </c>
      <c r="AV50" s="82">
        <v>6000000</v>
      </c>
      <c r="AW50" s="82">
        <v>0</v>
      </c>
      <c r="AX50" s="82">
        <v>6000000</v>
      </c>
      <c r="AY50" s="82">
        <v>0</v>
      </c>
      <c r="AZ50" s="82">
        <v>6000000</v>
      </c>
      <c r="BA50" s="82">
        <v>0</v>
      </c>
      <c r="BB50" s="82">
        <v>7000000</v>
      </c>
      <c r="BC50" s="82">
        <f t="shared" ref="BC50:BD50" si="88">AE50+AG50+AI50+AK50+AM50+AO50+AQ50+AS50+AU50+AW50+AY50+BA50</f>
        <v>60000000</v>
      </c>
      <c r="BD50" s="82">
        <f t="shared" si="88"/>
        <v>60000000</v>
      </c>
      <c r="BE50" s="83">
        <f t="shared" si="1"/>
        <v>0</v>
      </c>
      <c r="BF50" s="83">
        <f t="shared" si="2"/>
        <v>0</v>
      </c>
      <c r="BG50" s="14" t="str">
        <f ca="1">IFERROR(__xludf.DUMMYFUNCTION("REGEXEXTRACT(O44,""^\S+\s(.+)$"")"),"Prestar servicios profesionales para apoyar la planeación, convocatoria y desarrollo de espacios participativos con entidades nacionales y regionales vinculadas a proyectos energéticos, incluyendo la articulación con comunidades, contribuyendo a la sistem"&amp;"atización de experiencias, la identificación de buenas prácticas y la consolidación de información para los talleres y mesas interinstitucionales del proyecto.")</f>
        <v>Prestar servicios profesionales para apoyar la planeación, convocatoria y desarrollo de espacios participativos con entidades nacionales y regionales vinculadas a proyectos energéticos, incluyendo la articulación con comunidades, contribuyendo a la sistematización de experiencias, la identificación de buenas prácticas y la consolidación de información para los talleres y mesas interinstitucionales del proyecto.</v>
      </c>
      <c r="BH50" s="23"/>
      <c r="BI50" s="23"/>
      <c r="BJ50" s="23">
        <v>60000000</v>
      </c>
      <c r="BK50" s="23"/>
      <c r="BL50" s="23"/>
      <c r="BM50" s="23">
        <v>5000000</v>
      </c>
      <c r="BN50" s="23"/>
      <c r="BO50" s="23">
        <v>6000000</v>
      </c>
      <c r="BP50" s="23"/>
      <c r="BQ50" s="23">
        <v>6000000</v>
      </c>
      <c r="BR50" s="23"/>
      <c r="BS50" s="23">
        <v>6000000</v>
      </c>
      <c r="BT50" s="23"/>
      <c r="BU50" s="23">
        <v>6000000</v>
      </c>
      <c r="BV50" s="23"/>
      <c r="BW50" s="23">
        <v>6000000</v>
      </c>
      <c r="BX50" s="23"/>
      <c r="BY50" s="23">
        <v>6000000</v>
      </c>
      <c r="BZ50" s="23"/>
      <c r="CA50" s="23">
        <v>6000000</v>
      </c>
      <c r="CB50" s="23"/>
      <c r="CC50" s="23">
        <v>6000000</v>
      </c>
      <c r="CD50" s="23"/>
      <c r="CE50" s="23">
        <v>7000000</v>
      </c>
      <c r="CF50" s="28"/>
      <c r="CG50" s="28"/>
      <c r="CH50" s="25">
        <f t="shared" ref="CH50:CI50" si="89">BH50+BJ50+BL50+BN50+BP50+BR50+BT50+BV50+BX50+BZ50+CB50+CD50+CF50</f>
        <v>60000000</v>
      </c>
      <c r="CI50" s="25">
        <f t="shared" si="89"/>
        <v>60000000</v>
      </c>
      <c r="CJ50" s="26">
        <f t="shared" si="4"/>
        <v>0</v>
      </c>
      <c r="CK50" s="26">
        <f t="shared" si="5"/>
        <v>0</v>
      </c>
    </row>
    <row r="51" spans="1:89" ht="90" customHeight="1" x14ac:dyDescent="0.3">
      <c r="A51" s="13" t="s">
        <v>248</v>
      </c>
      <c r="B51" s="14" t="s">
        <v>3</v>
      </c>
      <c r="C51" s="15" t="s">
        <v>249</v>
      </c>
      <c r="D51" s="14" t="s">
        <v>62</v>
      </c>
      <c r="E51" s="13" t="s">
        <v>250</v>
      </c>
      <c r="F51" s="13" t="s">
        <v>250</v>
      </c>
      <c r="G51" s="14">
        <v>68</v>
      </c>
      <c r="H51" s="13" t="s">
        <v>364</v>
      </c>
      <c r="I51" s="15" t="s">
        <v>252</v>
      </c>
      <c r="J51" s="14" t="s">
        <v>4</v>
      </c>
      <c r="K51" s="15" t="s">
        <v>80</v>
      </c>
      <c r="L51" s="14">
        <v>80111620</v>
      </c>
      <c r="M51" s="14" t="s">
        <v>5</v>
      </c>
      <c r="N51" s="14" t="s">
        <v>253</v>
      </c>
      <c r="O51" s="15" t="s">
        <v>365</v>
      </c>
      <c r="P51" s="14" t="s">
        <v>255</v>
      </c>
      <c r="Q51" s="14" t="s">
        <v>255</v>
      </c>
      <c r="R51" s="14" t="s">
        <v>255</v>
      </c>
      <c r="S51" s="17" t="s">
        <v>366</v>
      </c>
      <c r="T51" s="14" t="s">
        <v>256</v>
      </c>
      <c r="U51" s="14" t="s">
        <v>257</v>
      </c>
      <c r="V51" s="14" t="s">
        <v>112</v>
      </c>
      <c r="W51" s="18">
        <v>55000000</v>
      </c>
      <c r="X51" s="18">
        <v>55000000</v>
      </c>
      <c r="Y51" s="19" t="s">
        <v>258</v>
      </c>
      <c r="Z51" s="19" t="s">
        <v>258</v>
      </c>
      <c r="AA51" s="19" t="s">
        <v>259</v>
      </c>
      <c r="AB51" s="14" t="s">
        <v>260</v>
      </c>
      <c r="AC51" s="14">
        <v>6012220601</v>
      </c>
      <c r="AD51" s="14" t="s">
        <v>261</v>
      </c>
      <c r="AE51" s="82">
        <v>52500000</v>
      </c>
      <c r="AF51" s="82">
        <v>0</v>
      </c>
      <c r="AG51" s="82">
        <v>0</v>
      </c>
      <c r="AH51" s="82">
        <v>1666666</v>
      </c>
      <c r="AI51" s="82">
        <v>0</v>
      </c>
      <c r="AJ51" s="82">
        <v>5000000</v>
      </c>
      <c r="AK51" s="82">
        <v>0</v>
      </c>
      <c r="AL51" s="82">
        <v>5000000</v>
      </c>
      <c r="AM51" s="82">
        <v>0</v>
      </c>
      <c r="AN51" s="82">
        <v>5000000</v>
      </c>
      <c r="AO51" s="82">
        <v>0</v>
      </c>
      <c r="AP51" s="82">
        <v>5000000</v>
      </c>
      <c r="AQ51" s="82">
        <v>2500000</v>
      </c>
      <c r="AR51" s="82">
        <v>5000000</v>
      </c>
      <c r="AS51" s="82">
        <v>0</v>
      </c>
      <c r="AT51" s="82">
        <v>5000000</v>
      </c>
      <c r="AU51" s="82">
        <v>0</v>
      </c>
      <c r="AV51" s="82">
        <v>5000000</v>
      </c>
      <c r="AW51" s="82">
        <v>0</v>
      </c>
      <c r="AX51" s="82">
        <v>5000000</v>
      </c>
      <c r="AY51" s="82">
        <v>0</v>
      </c>
      <c r="AZ51" s="82">
        <v>5000000</v>
      </c>
      <c r="BA51" s="82">
        <v>0</v>
      </c>
      <c r="BB51" s="82">
        <v>8333334</v>
      </c>
      <c r="BC51" s="82">
        <f t="shared" ref="BC51:BD51" si="90">AE51+AG51+AI51+AK51+AM51+AO51+AQ51+AS51+AU51+AW51+AY51+BA51</f>
        <v>55000000</v>
      </c>
      <c r="BD51" s="82">
        <f t="shared" si="90"/>
        <v>55000000</v>
      </c>
      <c r="BE51" s="83">
        <f t="shared" si="1"/>
        <v>0</v>
      </c>
      <c r="BF51" s="83">
        <f t="shared" si="2"/>
        <v>0</v>
      </c>
      <c r="BG51" s="14" t="str">
        <f ca="1">IFERROR(__xludf.DUMMYFUNCTION("REGEXEXTRACT(O45,""^\S+\s(.+)$"")"),"Prestar servicios profesionales para el apoyo logístico, metodológico y de seguimiento a las convocatorias y talleres participativos con entidades del orden nacional y territorial, orientados a la construcción de rutas de acompañamiento institucional, la "&amp;"sistematización de aportes y el fortalecimiento del diálogo interinstitucional con enfoque social, territorial, de género y étnico.")</f>
        <v>Prestar servicios profesionales para el apoyo logístico, metodológico y de seguimiento a las convocatorias y talleres participativos con entidades del orden nacional y territorial, orientados a la construcción de rutas de acompañamiento institucional, la sistematización de aportes y el fortalecimiento del diálogo interinstitucional con enfoque social, territorial, de género y étnico.</v>
      </c>
      <c r="BH51" s="23">
        <v>52500000</v>
      </c>
      <c r="BI51" s="23"/>
      <c r="BJ51" s="23"/>
      <c r="BK51" s="23">
        <v>1666666</v>
      </c>
      <c r="BL51" s="23"/>
      <c r="BM51" s="23">
        <v>5000000</v>
      </c>
      <c r="BN51" s="23"/>
      <c r="BO51" s="23">
        <v>5000000</v>
      </c>
      <c r="BP51" s="23"/>
      <c r="BQ51" s="23">
        <v>5000000</v>
      </c>
      <c r="BR51" s="23"/>
      <c r="BS51" s="23">
        <v>5000000</v>
      </c>
      <c r="BT51" s="23">
        <v>2500000</v>
      </c>
      <c r="BU51" s="23">
        <v>5000000</v>
      </c>
      <c r="BV51" s="23"/>
      <c r="BW51" s="23">
        <v>5000000</v>
      </c>
      <c r="BX51" s="23"/>
      <c r="BY51" s="23">
        <v>5000000</v>
      </c>
      <c r="BZ51" s="23"/>
      <c r="CA51" s="23">
        <v>5000000</v>
      </c>
      <c r="CB51" s="23"/>
      <c r="CC51" s="23">
        <v>5000000</v>
      </c>
      <c r="CD51" s="23"/>
      <c r="CE51" s="23">
        <v>8333334</v>
      </c>
      <c r="CF51" s="28"/>
      <c r="CG51" s="28"/>
      <c r="CH51" s="25">
        <f t="shared" ref="CH51:CI51" si="91">BH51+BJ51+BL51+BN51+BP51+BR51+BT51+BV51+BX51+BZ51+CB51+CD51+CF51</f>
        <v>55000000</v>
      </c>
      <c r="CI51" s="25">
        <f t="shared" si="91"/>
        <v>55000000</v>
      </c>
      <c r="CJ51" s="26">
        <f t="shared" si="4"/>
        <v>0</v>
      </c>
      <c r="CK51" s="26">
        <f t="shared" si="5"/>
        <v>0</v>
      </c>
    </row>
    <row r="52" spans="1:89" ht="90" customHeight="1" x14ac:dyDescent="0.3">
      <c r="A52" s="13" t="s">
        <v>248</v>
      </c>
      <c r="B52" s="14" t="s">
        <v>3</v>
      </c>
      <c r="C52" s="15" t="s">
        <v>249</v>
      </c>
      <c r="D52" s="14" t="s">
        <v>62</v>
      </c>
      <c r="E52" s="13" t="s">
        <v>250</v>
      </c>
      <c r="F52" s="13" t="s">
        <v>250</v>
      </c>
      <c r="G52" s="14">
        <v>4</v>
      </c>
      <c r="H52" s="13" t="s">
        <v>367</v>
      </c>
      <c r="I52" s="15" t="s">
        <v>252</v>
      </c>
      <c r="J52" s="14" t="s">
        <v>4</v>
      </c>
      <c r="K52" s="15" t="s">
        <v>80</v>
      </c>
      <c r="L52" s="14">
        <v>80111620</v>
      </c>
      <c r="M52" s="14" t="s">
        <v>5</v>
      </c>
      <c r="N52" s="14" t="s">
        <v>253</v>
      </c>
      <c r="O52" s="15" t="s">
        <v>368</v>
      </c>
      <c r="P52" s="14" t="s">
        <v>255</v>
      </c>
      <c r="Q52" s="14" t="s">
        <v>255</v>
      </c>
      <c r="R52" s="14" t="s">
        <v>255</v>
      </c>
      <c r="S52" s="17">
        <v>6</v>
      </c>
      <c r="T52" s="14" t="s">
        <v>256</v>
      </c>
      <c r="U52" s="14" t="s">
        <v>257</v>
      </c>
      <c r="V52" s="14" t="s">
        <v>112</v>
      </c>
      <c r="W52" s="18">
        <v>36000000</v>
      </c>
      <c r="X52" s="18">
        <v>36000000</v>
      </c>
      <c r="Y52" s="19" t="s">
        <v>258</v>
      </c>
      <c r="Z52" s="19" t="s">
        <v>258</v>
      </c>
      <c r="AA52" s="19" t="s">
        <v>259</v>
      </c>
      <c r="AB52" s="14" t="s">
        <v>260</v>
      </c>
      <c r="AC52" s="14">
        <v>6012220601</v>
      </c>
      <c r="AD52" s="14" t="s">
        <v>369</v>
      </c>
      <c r="AE52" s="82">
        <v>36000000</v>
      </c>
      <c r="AF52" s="82">
        <v>0</v>
      </c>
      <c r="AG52" s="82">
        <v>0</v>
      </c>
      <c r="AH52" s="82">
        <v>1400000</v>
      </c>
      <c r="AI52" s="82">
        <v>0</v>
      </c>
      <c r="AJ52" s="82">
        <v>6000000</v>
      </c>
      <c r="AK52" s="82">
        <v>0</v>
      </c>
      <c r="AL52" s="82">
        <v>6000000</v>
      </c>
      <c r="AM52" s="82">
        <v>0</v>
      </c>
      <c r="AN52" s="82">
        <v>6000000</v>
      </c>
      <c r="AO52" s="82">
        <v>0</v>
      </c>
      <c r="AP52" s="82">
        <v>6000000</v>
      </c>
      <c r="AQ52" s="82">
        <v>0</v>
      </c>
      <c r="AR52" s="82">
        <v>6000000</v>
      </c>
      <c r="AS52" s="82">
        <v>0</v>
      </c>
      <c r="AT52" s="82">
        <v>4600000</v>
      </c>
      <c r="AU52" s="82">
        <v>0</v>
      </c>
      <c r="AV52" s="82">
        <v>0</v>
      </c>
      <c r="AW52" s="82">
        <v>0</v>
      </c>
      <c r="AX52" s="82">
        <v>0</v>
      </c>
      <c r="AY52" s="82">
        <v>0</v>
      </c>
      <c r="AZ52" s="82">
        <v>0</v>
      </c>
      <c r="BA52" s="82">
        <v>0</v>
      </c>
      <c r="BB52" s="82">
        <v>0</v>
      </c>
      <c r="BC52" s="82">
        <f t="shared" ref="BC52:BD52" si="92">AE52+AG52+AI52+AK52+AM52+AO52+AQ52+AS52+AU52+AW52+AY52+BA52</f>
        <v>36000000</v>
      </c>
      <c r="BD52" s="82">
        <f t="shared" si="92"/>
        <v>36000000</v>
      </c>
      <c r="BE52" s="83">
        <f t="shared" si="1"/>
        <v>0</v>
      </c>
      <c r="BF52" s="83">
        <f t="shared" si="2"/>
        <v>0</v>
      </c>
      <c r="BG52" s="14" t="str">
        <f ca="1">IFERROR(__xludf.DUMMYFUNCTION("REGEXEXTRACT(O46,""^\S+\s(.+)$"")"),"Prestar servicios profesionales para el desarrollo del procedimiento de gestión contractual de la Unidad de Planeación Minero Energética con énfasis en el proyecto “Fortalecimiento del Levantamiento, Gestión y Apropiación de la Información Para La Planeac"&amp;"ión Del Sector Minero Energético Con Enfoque Territorial Nacional"".")</f>
        <v>Prestar servicios profesionales para el desarrollo del procedimiento de gestión contractual de la Unidad de Planeación Minero Energética con énfasis en el proyecto “Fortalecimiento del Levantamiento, Gestión y Apropiación de la Información Para La Planeación Del Sector Minero Energético Con Enfoque Territorial Nacional".</v>
      </c>
      <c r="BH52" s="23">
        <v>36000000</v>
      </c>
      <c r="BI52" s="23"/>
      <c r="BJ52" s="23"/>
      <c r="BK52" s="23">
        <v>1400000</v>
      </c>
      <c r="BL52" s="23"/>
      <c r="BM52" s="23">
        <v>6000000</v>
      </c>
      <c r="BN52" s="23"/>
      <c r="BO52" s="23">
        <v>6000000</v>
      </c>
      <c r="BP52" s="23"/>
      <c r="BQ52" s="23">
        <v>6000000</v>
      </c>
      <c r="BR52" s="23"/>
      <c r="BS52" s="23">
        <v>6000000</v>
      </c>
      <c r="BT52" s="23"/>
      <c r="BU52" s="23">
        <v>6000000</v>
      </c>
      <c r="BV52" s="23"/>
      <c r="BW52" s="23">
        <v>4600000</v>
      </c>
      <c r="BX52" s="23"/>
      <c r="BY52" s="23"/>
      <c r="BZ52" s="23"/>
      <c r="CA52" s="23"/>
      <c r="CB52" s="23"/>
      <c r="CC52" s="23"/>
      <c r="CD52" s="23"/>
      <c r="CE52" s="23"/>
      <c r="CF52" s="28"/>
      <c r="CG52" s="28"/>
      <c r="CH52" s="25">
        <f t="shared" ref="CH52:CI52" si="93">BH52+BJ52+BL52+BN52+BP52+BR52+BT52+BV52+BX52+BZ52+CB52+CD52+CF52</f>
        <v>36000000</v>
      </c>
      <c r="CI52" s="25">
        <f t="shared" si="93"/>
        <v>36000000</v>
      </c>
      <c r="CJ52" s="26">
        <f t="shared" si="4"/>
        <v>0</v>
      </c>
      <c r="CK52" s="26">
        <f t="shared" si="5"/>
        <v>0</v>
      </c>
    </row>
    <row r="53" spans="1:89" ht="90" customHeight="1" x14ac:dyDescent="0.3">
      <c r="A53" s="13" t="s">
        <v>248</v>
      </c>
      <c r="B53" s="14" t="s">
        <v>3</v>
      </c>
      <c r="C53" s="15" t="s">
        <v>249</v>
      </c>
      <c r="D53" s="14" t="s">
        <v>62</v>
      </c>
      <c r="E53" s="13" t="s">
        <v>250</v>
      </c>
      <c r="F53" s="13" t="s">
        <v>250</v>
      </c>
      <c r="G53" s="14">
        <v>68</v>
      </c>
      <c r="H53" s="13" t="s">
        <v>370</v>
      </c>
      <c r="I53" s="15" t="s">
        <v>252</v>
      </c>
      <c r="J53" s="14" t="s">
        <v>4</v>
      </c>
      <c r="K53" s="15" t="s">
        <v>80</v>
      </c>
      <c r="L53" s="14">
        <v>80111620</v>
      </c>
      <c r="M53" s="14" t="s">
        <v>5</v>
      </c>
      <c r="N53" s="14" t="s">
        <v>253</v>
      </c>
      <c r="O53" s="15" t="s">
        <v>371</v>
      </c>
      <c r="P53" s="14" t="s">
        <v>255</v>
      </c>
      <c r="Q53" s="14" t="s">
        <v>255</v>
      </c>
      <c r="R53" s="14" t="s">
        <v>255</v>
      </c>
      <c r="S53" s="17">
        <v>11</v>
      </c>
      <c r="T53" s="14" t="s">
        <v>256</v>
      </c>
      <c r="U53" s="14" t="s">
        <v>257</v>
      </c>
      <c r="V53" s="14" t="s">
        <v>112</v>
      </c>
      <c r="W53" s="18">
        <v>88000000</v>
      </c>
      <c r="X53" s="18">
        <v>88000000</v>
      </c>
      <c r="Y53" s="19" t="s">
        <v>258</v>
      </c>
      <c r="Z53" s="19" t="s">
        <v>258</v>
      </c>
      <c r="AA53" s="19" t="s">
        <v>259</v>
      </c>
      <c r="AB53" s="14" t="s">
        <v>260</v>
      </c>
      <c r="AC53" s="14">
        <v>6012220601</v>
      </c>
      <c r="AD53" s="14" t="s">
        <v>311</v>
      </c>
      <c r="AE53" s="82">
        <v>88000000</v>
      </c>
      <c r="AF53" s="82">
        <v>0</v>
      </c>
      <c r="AG53" s="82">
        <v>0</v>
      </c>
      <c r="AH53" s="82">
        <v>800000</v>
      </c>
      <c r="AI53" s="82">
        <v>0</v>
      </c>
      <c r="AJ53" s="82">
        <v>8000000</v>
      </c>
      <c r="AK53" s="82">
        <v>0</v>
      </c>
      <c r="AL53" s="82">
        <v>8000000</v>
      </c>
      <c r="AM53" s="82">
        <v>0</v>
      </c>
      <c r="AN53" s="82">
        <v>8000000</v>
      </c>
      <c r="AO53" s="82">
        <v>0</v>
      </c>
      <c r="AP53" s="82">
        <v>8000000</v>
      </c>
      <c r="AQ53" s="82">
        <v>0</v>
      </c>
      <c r="AR53" s="82">
        <v>8000000</v>
      </c>
      <c r="AS53" s="82">
        <v>0</v>
      </c>
      <c r="AT53" s="82">
        <v>8000000</v>
      </c>
      <c r="AU53" s="82">
        <v>0</v>
      </c>
      <c r="AV53" s="82">
        <v>8000000</v>
      </c>
      <c r="AW53" s="82">
        <v>0</v>
      </c>
      <c r="AX53" s="82">
        <v>8000000</v>
      </c>
      <c r="AY53" s="82">
        <v>0</v>
      </c>
      <c r="AZ53" s="82">
        <v>8000000</v>
      </c>
      <c r="BA53" s="82">
        <v>0</v>
      </c>
      <c r="BB53" s="82">
        <v>15200000</v>
      </c>
      <c r="BC53" s="82">
        <f t="shared" ref="BC53:BD53" si="94">AE53+AG53+AI53+AK53+AM53+AO53+AQ53+AS53+AU53+AW53+AY53+BA53</f>
        <v>88000000</v>
      </c>
      <c r="BD53" s="82">
        <f t="shared" si="94"/>
        <v>88000000</v>
      </c>
      <c r="BE53" s="83">
        <f t="shared" si="1"/>
        <v>0</v>
      </c>
      <c r="BF53" s="83">
        <f t="shared" si="2"/>
        <v>0</v>
      </c>
      <c r="BG53" s="14" t="str">
        <f ca="1">IFERROR(__xludf.DUMMYFUNCTION("REGEXEXTRACT(O47,""^\S+\s(.+)$"")"),"Prestar los servicios profesionales para apoyar de manera integral el proceso de liquidación y gestión de la nómina de la UPME, incluyendo la elaboración de retroactivos, seguridad social, consolidación de la información, pago de acreencias laborales y de"&amp;"más obligaciones derivadas. Así mismo, apoyar en el desarrollo, implementación y seguimiento del plan operativo y metodológico en el sistema que se determine para tal fin, garantizando el cumplimiento de las normas legales vigentes y de los lineamientos i"&amp;"nstitucionales.")</f>
        <v>Prestar los servicios profesionales para apoyar de manera integral el proceso de liquidación y gestión de la nómina de la UPME, incluyendo la elaboración de retroactivos, seguridad social, consolidación de la información, pago de acreencias laborales y demás obligaciones derivadas. Así mismo, apoyar en el desarrollo, implementación y seguimiento del plan operativo y metodológico en el sistema que se determine para tal fin, garantizando el cumplimiento de las normas legales vigentes y de los lineamientos institucionales.</v>
      </c>
      <c r="BH53" s="23">
        <v>88000000</v>
      </c>
      <c r="BI53" s="23"/>
      <c r="BJ53" s="23"/>
      <c r="BK53" s="23">
        <v>800000</v>
      </c>
      <c r="BL53" s="23"/>
      <c r="BM53" s="23">
        <v>8000000</v>
      </c>
      <c r="BN53" s="23"/>
      <c r="BO53" s="23">
        <v>8000000</v>
      </c>
      <c r="BP53" s="23"/>
      <c r="BQ53" s="23">
        <v>8000000</v>
      </c>
      <c r="BR53" s="23"/>
      <c r="BS53" s="23">
        <v>8000000</v>
      </c>
      <c r="BT53" s="23"/>
      <c r="BU53" s="23">
        <v>8000000</v>
      </c>
      <c r="BV53" s="23"/>
      <c r="BW53" s="23">
        <v>8000000</v>
      </c>
      <c r="BX53" s="23"/>
      <c r="BY53" s="23">
        <v>8000000</v>
      </c>
      <c r="BZ53" s="23"/>
      <c r="CA53" s="23">
        <v>8000000</v>
      </c>
      <c r="CB53" s="23"/>
      <c r="CC53" s="23">
        <v>8000000</v>
      </c>
      <c r="CD53" s="23"/>
      <c r="CE53" s="23">
        <v>15200000</v>
      </c>
      <c r="CF53" s="28"/>
      <c r="CG53" s="28"/>
      <c r="CH53" s="25">
        <f t="shared" ref="CH53:CI53" si="95">BH53+BJ53+BL53+BN53+BP53+BR53+BT53+BV53+BX53+BZ53+CB53+CD53+CF53</f>
        <v>88000000</v>
      </c>
      <c r="CI53" s="25">
        <f t="shared" si="95"/>
        <v>88000000</v>
      </c>
      <c r="CJ53" s="26">
        <f t="shared" si="4"/>
        <v>0</v>
      </c>
      <c r="CK53" s="26">
        <f t="shared" si="5"/>
        <v>0</v>
      </c>
    </row>
    <row r="54" spans="1:89" ht="90" customHeight="1" x14ac:dyDescent="0.3">
      <c r="A54" s="13" t="s">
        <v>248</v>
      </c>
      <c r="B54" s="14" t="s">
        <v>3</v>
      </c>
      <c r="C54" s="15" t="s">
        <v>249</v>
      </c>
      <c r="D54" s="14" t="s">
        <v>62</v>
      </c>
      <c r="E54" s="13" t="s">
        <v>250</v>
      </c>
      <c r="F54" s="13" t="s">
        <v>250</v>
      </c>
      <c r="G54" s="14">
        <v>68</v>
      </c>
      <c r="H54" s="13" t="s">
        <v>372</v>
      </c>
      <c r="I54" s="15" t="s">
        <v>252</v>
      </c>
      <c r="J54" s="14" t="s">
        <v>4</v>
      </c>
      <c r="K54" s="15" t="s">
        <v>80</v>
      </c>
      <c r="L54" s="14">
        <v>80111620</v>
      </c>
      <c r="M54" s="14" t="s">
        <v>5</v>
      </c>
      <c r="N54" s="14" t="s">
        <v>253</v>
      </c>
      <c r="O54" s="15" t="s">
        <v>373</v>
      </c>
      <c r="P54" s="14" t="s">
        <v>255</v>
      </c>
      <c r="Q54" s="14" t="s">
        <v>255</v>
      </c>
      <c r="R54" s="14" t="s">
        <v>255</v>
      </c>
      <c r="S54" s="17">
        <v>11</v>
      </c>
      <c r="T54" s="14" t="s">
        <v>256</v>
      </c>
      <c r="U54" s="14" t="s">
        <v>257</v>
      </c>
      <c r="V54" s="14" t="s">
        <v>112</v>
      </c>
      <c r="W54" s="18">
        <v>50000000</v>
      </c>
      <c r="X54" s="18">
        <v>50000000</v>
      </c>
      <c r="Y54" s="19" t="s">
        <v>258</v>
      </c>
      <c r="Z54" s="19" t="s">
        <v>258</v>
      </c>
      <c r="AA54" s="19" t="s">
        <v>259</v>
      </c>
      <c r="AB54" s="14" t="s">
        <v>260</v>
      </c>
      <c r="AC54" s="14">
        <v>6012220601</v>
      </c>
      <c r="AD54" s="14" t="s">
        <v>261</v>
      </c>
      <c r="AE54" s="82">
        <v>0</v>
      </c>
      <c r="AF54" s="82">
        <v>0</v>
      </c>
      <c r="AG54" s="82">
        <v>50000000</v>
      </c>
      <c r="AH54" s="82">
        <v>0</v>
      </c>
      <c r="AI54" s="82">
        <v>0</v>
      </c>
      <c r="AJ54" s="82">
        <v>4166666</v>
      </c>
      <c r="AK54" s="82">
        <v>0</v>
      </c>
      <c r="AL54" s="82">
        <v>5000000</v>
      </c>
      <c r="AM54" s="82">
        <v>0</v>
      </c>
      <c r="AN54" s="82">
        <v>5000000</v>
      </c>
      <c r="AO54" s="82">
        <v>0</v>
      </c>
      <c r="AP54" s="82">
        <v>5000000</v>
      </c>
      <c r="AQ54" s="82">
        <v>0</v>
      </c>
      <c r="AR54" s="82">
        <v>5000000</v>
      </c>
      <c r="AS54" s="82">
        <v>0</v>
      </c>
      <c r="AT54" s="82">
        <v>5000000</v>
      </c>
      <c r="AU54" s="82">
        <v>0</v>
      </c>
      <c r="AV54" s="82">
        <v>5000000</v>
      </c>
      <c r="AW54" s="82">
        <v>0</v>
      </c>
      <c r="AX54" s="82">
        <v>5000000</v>
      </c>
      <c r="AY54" s="82">
        <v>0</v>
      </c>
      <c r="AZ54" s="82">
        <v>5000000</v>
      </c>
      <c r="BA54" s="82">
        <v>0</v>
      </c>
      <c r="BB54" s="82">
        <v>5833334</v>
      </c>
      <c r="BC54" s="82">
        <f t="shared" ref="BC54:BD54" si="96">AE54+AG54+AI54+AK54+AM54+AO54+AQ54+AS54+AU54+AW54+AY54+BA54</f>
        <v>50000000</v>
      </c>
      <c r="BD54" s="82">
        <f t="shared" si="96"/>
        <v>50000000</v>
      </c>
      <c r="BE54" s="83">
        <f t="shared" si="1"/>
        <v>0</v>
      </c>
      <c r="BF54" s="83">
        <f t="shared" si="2"/>
        <v>0</v>
      </c>
      <c r="BG54" s="14" t="str">
        <f ca="1">IFERROR(__xludf.DUMMYFUNCTION("REGEXEXTRACT(O48,""^\S+\s(.+)$"")"),"Prestar servicios profesionales para apoyar la evaluación, identificación y estructuración de acciones técnicas validadas para el acompañamiento permanente a entidades del orden nacional y regional con incidencia en la puesta en operación de proyectos de "&amp;"energía renovable, con el fin de fortalecer la articulación institucional y facilitar el avance oportuno de dichas iniciativas.")</f>
        <v>Prestar servicios profesionales para apoyar la evaluación, identificación y estructuración de acciones técnicas validadas para el acompañamiento permanente a entidades del orden nacional y regional con incidencia en la puesta en operación de proyectos de energía renovable, con el fin de fortalecer la articulación institucional y facilitar el avance oportuno de dichas iniciativas.</v>
      </c>
      <c r="BH54" s="23"/>
      <c r="BI54" s="23"/>
      <c r="BJ54" s="23">
        <v>50000000</v>
      </c>
      <c r="BK54" s="23"/>
      <c r="BL54" s="23"/>
      <c r="BM54" s="23">
        <v>4166666</v>
      </c>
      <c r="BN54" s="23"/>
      <c r="BO54" s="23">
        <v>5000000</v>
      </c>
      <c r="BP54" s="23"/>
      <c r="BQ54" s="23">
        <v>5000000</v>
      </c>
      <c r="BR54" s="23"/>
      <c r="BS54" s="23">
        <v>5000000</v>
      </c>
      <c r="BT54" s="23"/>
      <c r="BU54" s="23">
        <v>5000000</v>
      </c>
      <c r="BV54" s="23"/>
      <c r="BW54" s="23">
        <v>5000000</v>
      </c>
      <c r="BX54" s="23"/>
      <c r="BY54" s="23">
        <v>5000000</v>
      </c>
      <c r="BZ54" s="23"/>
      <c r="CA54" s="23">
        <v>5000000</v>
      </c>
      <c r="CB54" s="23"/>
      <c r="CC54" s="23">
        <v>5000000</v>
      </c>
      <c r="CD54" s="23"/>
      <c r="CE54" s="23">
        <v>5833334</v>
      </c>
      <c r="CF54" s="28"/>
      <c r="CG54" s="28"/>
      <c r="CH54" s="25">
        <f t="shared" ref="CH54:CI54" si="97">BH54+BJ54+BL54+BN54+BP54+BR54+BT54+BV54+BX54+BZ54+CB54+CD54+CF54</f>
        <v>50000000</v>
      </c>
      <c r="CI54" s="25">
        <f t="shared" si="97"/>
        <v>50000000</v>
      </c>
      <c r="CJ54" s="26">
        <f t="shared" si="4"/>
        <v>0</v>
      </c>
      <c r="CK54" s="26">
        <f t="shared" si="5"/>
        <v>0</v>
      </c>
    </row>
    <row r="55" spans="1:89" ht="90" customHeight="1" x14ac:dyDescent="0.3">
      <c r="A55" s="13" t="s">
        <v>248</v>
      </c>
      <c r="B55" s="14" t="s">
        <v>3</v>
      </c>
      <c r="C55" s="15" t="s">
        <v>249</v>
      </c>
      <c r="D55" s="14" t="s">
        <v>62</v>
      </c>
      <c r="E55" s="13" t="s">
        <v>250</v>
      </c>
      <c r="F55" s="13" t="s">
        <v>250</v>
      </c>
      <c r="G55" s="14">
        <v>68</v>
      </c>
      <c r="H55" s="13" t="s">
        <v>374</v>
      </c>
      <c r="I55" s="15" t="s">
        <v>252</v>
      </c>
      <c r="J55" s="14" t="s">
        <v>4</v>
      </c>
      <c r="K55" s="15" t="s">
        <v>80</v>
      </c>
      <c r="L55" s="14">
        <v>80111620</v>
      </c>
      <c r="M55" s="14" t="s">
        <v>5</v>
      </c>
      <c r="N55" s="14" t="s">
        <v>253</v>
      </c>
      <c r="O55" s="15" t="s">
        <v>375</v>
      </c>
      <c r="P55" s="14" t="s">
        <v>255</v>
      </c>
      <c r="Q55" s="14" t="s">
        <v>255</v>
      </c>
      <c r="R55" s="14" t="s">
        <v>255</v>
      </c>
      <c r="S55" s="17">
        <v>11</v>
      </c>
      <c r="T55" s="14" t="s">
        <v>256</v>
      </c>
      <c r="U55" s="14" t="s">
        <v>257</v>
      </c>
      <c r="V55" s="14" t="s">
        <v>112</v>
      </c>
      <c r="W55" s="18">
        <v>55000000</v>
      </c>
      <c r="X55" s="18">
        <v>55000000</v>
      </c>
      <c r="Y55" s="19" t="s">
        <v>258</v>
      </c>
      <c r="Z55" s="19" t="s">
        <v>258</v>
      </c>
      <c r="AA55" s="19" t="s">
        <v>259</v>
      </c>
      <c r="AB55" s="14" t="s">
        <v>260</v>
      </c>
      <c r="AC55" s="14">
        <v>6012220601</v>
      </c>
      <c r="AD55" s="14" t="s">
        <v>261</v>
      </c>
      <c r="AE55" s="82">
        <v>0</v>
      </c>
      <c r="AF55" s="82">
        <v>0</v>
      </c>
      <c r="AG55" s="82">
        <v>55000000</v>
      </c>
      <c r="AH55" s="82">
        <v>0</v>
      </c>
      <c r="AI55" s="82">
        <v>0</v>
      </c>
      <c r="AJ55" s="82">
        <v>3791060</v>
      </c>
      <c r="AK55" s="82">
        <v>0</v>
      </c>
      <c r="AL55" s="82">
        <v>4374300</v>
      </c>
      <c r="AM55" s="82">
        <v>0</v>
      </c>
      <c r="AN55" s="82">
        <v>4374300</v>
      </c>
      <c r="AO55" s="82">
        <v>0</v>
      </c>
      <c r="AP55" s="82">
        <v>4374300</v>
      </c>
      <c r="AQ55" s="82">
        <v>0</v>
      </c>
      <c r="AR55" s="82">
        <v>4374300</v>
      </c>
      <c r="AS55" s="82">
        <v>0</v>
      </c>
      <c r="AT55" s="82">
        <v>4374300</v>
      </c>
      <c r="AU55" s="82">
        <v>0</v>
      </c>
      <c r="AV55" s="82">
        <v>4374300</v>
      </c>
      <c r="AW55" s="82">
        <v>0</v>
      </c>
      <c r="AX55" s="82">
        <v>4374300</v>
      </c>
      <c r="AY55" s="82">
        <v>0</v>
      </c>
      <c r="AZ55" s="82">
        <v>4374300</v>
      </c>
      <c r="BA55" s="82">
        <v>0</v>
      </c>
      <c r="BB55" s="82">
        <v>16214540</v>
      </c>
      <c r="BC55" s="82">
        <f t="shared" ref="BC55:BD55" si="98">AE55+AG55+AI55+AK55+AM55+AO55+AQ55+AS55+AU55+AW55+AY55+BA55</f>
        <v>55000000</v>
      </c>
      <c r="BD55" s="82">
        <f t="shared" si="98"/>
        <v>55000000</v>
      </c>
      <c r="BE55" s="83">
        <f t="shared" si="1"/>
        <v>0</v>
      </c>
      <c r="BF55" s="83">
        <f t="shared" si="2"/>
        <v>0</v>
      </c>
      <c r="BG55" s="14" t="str">
        <f ca="1">IFERROR(__xludf.DUMMYFUNCTION("REGEXEXTRACT(O49,""^\S+\s(.+)$"")"),"Prestar servicios profesionales para apoyar al equipo de Enfoque Territorial en actividades técnicas y administrativas relacionadas con la articulación intra e intersectorial para la planeación minero-energética, así como el análisis institucional, sistem"&amp;"atización de información y elaboración de insumos orientados al fortalecimiento de la gestión territorial.")</f>
        <v>Prestar servicios profesionales para apoyar al equipo de Enfoque Territorial en actividades técnicas y administrativas relacionadas con la articulación intra e intersectorial para la planeación minero-energética, así como el análisis institucional, sistematización de información y elaboración de insumos orientados al fortalecimiento de la gestión territorial.</v>
      </c>
      <c r="BH55" s="23"/>
      <c r="BI55" s="23"/>
      <c r="BJ55" s="23">
        <v>55000000</v>
      </c>
      <c r="BK55" s="23"/>
      <c r="BL55" s="23"/>
      <c r="BM55" s="23">
        <v>3791060</v>
      </c>
      <c r="BN55" s="23"/>
      <c r="BO55" s="23">
        <v>4374300</v>
      </c>
      <c r="BP55" s="23"/>
      <c r="BQ55" s="23">
        <v>4374300</v>
      </c>
      <c r="BR55" s="23"/>
      <c r="BS55" s="23">
        <v>4374300</v>
      </c>
      <c r="BT55" s="23"/>
      <c r="BU55" s="23">
        <v>4374300</v>
      </c>
      <c r="BV55" s="23"/>
      <c r="BW55" s="23">
        <v>4374300</v>
      </c>
      <c r="BX55" s="23"/>
      <c r="BY55" s="23">
        <v>4374300</v>
      </c>
      <c r="BZ55" s="23"/>
      <c r="CA55" s="23">
        <v>4374300</v>
      </c>
      <c r="CB55" s="23"/>
      <c r="CC55" s="23">
        <v>4374300</v>
      </c>
      <c r="CD55" s="23"/>
      <c r="CE55" s="23">
        <v>16214540</v>
      </c>
      <c r="CF55" s="28"/>
      <c r="CG55" s="28"/>
      <c r="CH55" s="25">
        <f t="shared" ref="CH55:CI55" si="99">BH55+BJ55+BL55+BN55+BP55+BR55+BT55+BV55+BX55+BZ55+CB55+CD55+CF55</f>
        <v>55000000</v>
      </c>
      <c r="CI55" s="25">
        <f t="shared" si="99"/>
        <v>55000000</v>
      </c>
      <c r="CJ55" s="26">
        <f t="shared" si="4"/>
        <v>0</v>
      </c>
      <c r="CK55" s="26">
        <f t="shared" si="5"/>
        <v>0</v>
      </c>
    </row>
    <row r="56" spans="1:89" ht="90" customHeight="1" x14ac:dyDescent="0.3">
      <c r="A56" s="13" t="s">
        <v>248</v>
      </c>
      <c r="B56" s="14" t="s">
        <v>3</v>
      </c>
      <c r="C56" s="15" t="s">
        <v>249</v>
      </c>
      <c r="D56" s="14" t="s">
        <v>62</v>
      </c>
      <c r="E56" s="13" t="s">
        <v>250</v>
      </c>
      <c r="F56" s="13" t="s">
        <v>250</v>
      </c>
      <c r="G56" s="14">
        <v>68</v>
      </c>
      <c r="H56" s="13" t="s">
        <v>376</v>
      </c>
      <c r="I56" s="15" t="s">
        <v>252</v>
      </c>
      <c r="J56" s="14" t="s">
        <v>4</v>
      </c>
      <c r="K56" s="15" t="s">
        <v>80</v>
      </c>
      <c r="L56" s="14">
        <v>80111620</v>
      </c>
      <c r="M56" s="14" t="s">
        <v>5</v>
      </c>
      <c r="N56" s="14" t="s">
        <v>253</v>
      </c>
      <c r="O56" s="15" t="s">
        <v>377</v>
      </c>
      <c r="P56" s="14" t="s">
        <v>255</v>
      </c>
      <c r="Q56" s="14" t="s">
        <v>255</v>
      </c>
      <c r="R56" s="14" t="s">
        <v>255</v>
      </c>
      <c r="S56" s="17">
        <v>11</v>
      </c>
      <c r="T56" s="14" t="s">
        <v>256</v>
      </c>
      <c r="U56" s="14" t="s">
        <v>257</v>
      </c>
      <c r="V56" s="14" t="s">
        <v>112</v>
      </c>
      <c r="W56" s="18">
        <v>49500000</v>
      </c>
      <c r="X56" s="18">
        <v>49500000</v>
      </c>
      <c r="Y56" s="19" t="s">
        <v>258</v>
      </c>
      <c r="Z56" s="19" t="s">
        <v>258</v>
      </c>
      <c r="AA56" s="19" t="s">
        <v>259</v>
      </c>
      <c r="AB56" s="14" t="s">
        <v>260</v>
      </c>
      <c r="AC56" s="14">
        <v>6012220601</v>
      </c>
      <c r="AD56" s="14" t="s">
        <v>261</v>
      </c>
      <c r="AE56" s="82">
        <v>0</v>
      </c>
      <c r="AF56" s="82">
        <v>0</v>
      </c>
      <c r="AG56" s="82">
        <v>49500000</v>
      </c>
      <c r="AH56" s="82">
        <v>0</v>
      </c>
      <c r="AI56" s="82">
        <v>0</v>
      </c>
      <c r="AJ56" s="82">
        <v>3146730</v>
      </c>
      <c r="AK56" s="82">
        <v>0</v>
      </c>
      <c r="AL56" s="82">
        <v>3630900</v>
      </c>
      <c r="AM56" s="82">
        <v>0</v>
      </c>
      <c r="AN56" s="82">
        <v>3630900</v>
      </c>
      <c r="AO56" s="82">
        <v>0</v>
      </c>
      <c r="AP56" s="82">
        <v>3630900</v>
      </c>
      <c r="AQ56" s="82">
        <v>0</v>
      </c>
      <c r="AR56" s="82">
        <v>3630900</v>
      </c>
      <c r="AS56" s="82">
        <v>0</v>
      </c>
      <c r="AT56" s="82">
        <v>3630900</v>
      </c>
      <c r="AU56" s="82">
        <v>0</v>
      </c>
      <c r="AV56" s="82">
        <v>3630900</v>
      </c>
      <c r="AW56" s="82">
        <v>0</v>
      </c>
      <c r="AX56" s="82">
        <v>3630900</v>
      </c>
      <c r="AY56" s="82">
        <v>0</v>
      </c>
      <c r="AZ56" s="82">
        <v>3630900</v>
      </c>
      <c r="BA56" s="82">
        <v>0</v>
      </c>
      <c r="BB56" s="82">
        <v>17306070</v>
      </c>
      <c r="BC56" s="82">
        <f t="shared" ref="BC56:BD56" si="100">AE56+AG56+AI56+AK56+AM56+AO56+AQ56+AS56+AU56+AW56+AY56+BA56</f>
        <v>49500000</v>
      </c>
      <c r="BD56" s="82">
        <f t="shared" si="100"/>
        <v>49500000</v>
      </c>
      <c r="BE56" s="83">
        <f t="shared" si="1"/>
        <v>0</v>
      </c>
      <c r="BF56" s="83">
        <f t="shared" si="2"/>
        <v>0</v>
      </c>
      <c r="BG56" s="14" t="str">
        <f ca="1">IFERROR(__xludf.DUMMYFUNCTION("REGEXEXTRACT(O50,""^\S+\s(.+)$"")"),"Prestar servicios profesionales de apoyo al seguimiento y análisis de los indicadores operativos del Plan Estratégico Institucional, orientados al cumplimiento de los objetivos del Proyecto Enfoque Territorial, así como en la consolidación de informes téc"&amp;"nicos y la preparación de insumos para la rendición de cuentas del proyecto.")</f>
        <v>Prestar servicios profesionales de apoyo al seguimiento y análisis de los indicadores operativos del Plan Estratégico Institucional, orientados al cumplimiento de los objetivos del Proyecto Enfoque Territorial, así como en la consolidación de informes técnicos y la preparación de insumos para la rendición de cuentas del proyecto.</v>
      </c>
      <c r="BH56" s="23"/>
      <c r="BI56" s="23"/>
      <c r="BJ56" s="23">
        <v>49500000</v>
      </c>
      <c r="BK56" s="23"/>
      <c r="BL56" s="23"/>
      <c r="BM56" s="23">
        <v>3146730</v>
      </c>
      <c r="BN56" s="23"/>
      <c r="BO56" s="23">
        <v>3630900</v>
      </c>
      <c r="BP56" s="23"/>
      <c r="BQ56" s="23">
        <v>3630900</v>
      </c>
      <c r="BR56" s="23"/>
      <c r="BS56" s="23">
        <v>3630900</v>
      </c>
      <c r="BT56" s="23"/>
      <c r="BU56" s="23">
        <v>3630900</v>
      </c>
      <c r="BV56" s="23"/>
      <c r="BW56" s="23">
        <v>3630900</v>
      </c>
      <c r="BX56" s="23"/>
      <c r="BY56" s="23">
        <v>3630900</v>
      </c>
      <c r="BZ56" s="23"/>
      <c r="CA56" s="23">
        <v>3630900</v>
      </c>
      <c r="CB56" s="23"/>
      <c r="CC56" s="23">
        <v>3630900</v>
      </c>
      <c r="CD56" s="23"/>
      <c r="CE56" s="23">
        <v>17306070</v>
      </c>
      <c r="CF56" s="28"/>
      <c r="CG56" s="28"/>
      <c r="CH56" s="25">
        <f t="shared" ref="CH56:CI56" si="101">BH56+BJ56+BL56+BN56+BP56+BR56+BT56+BV56+BX56+BZ56+CB56+CD56+CF56</f>
        <v>49500000</v>
      </c>
      <c r="CI56" s="25">
        <f t="shared" si="101"/>
        <v>49500000</v>
      </c>
      <c r="CJ56" s="26">
        <f t="shared" si="4"/>
        <v>0</v>
      </c>
      <c r="CK56" s="26">
        <f t="shared" si="5"/>
        <v>0</v>
      </c>
    </row>
    <row r="57" spans="1:89" ht="90" customHeight="1" x14ac:dyDescent="0.3">
      <c r="A57" s="13" t="s">
        <v>248</v>
      </c>
      <c r="B57" s="14" t="s">
        <v>3</v>
      </c>
      <c r="C57" s="15" t="s">
        <v>249</v>
      </c>
      <c r="D57" s="14" t="s">
        <v>62</v>
      </c>
      <c r="E57" s="13" t="s">
        <v>250</v>
      </c>
      <c r="F57" s="13" t="s">
        <v>250</v>
      </c>
      <c r="G57" s="14">
        <v>22</v>
      </c>
      <c r="H57" s="13" t="s">
        <v>378</v>
      </c>
      <c r="I57" s="15" t="s">
        <v>252</v>
      </c>
      <c r="J57" s="14" t="s">
        <v>4</v>
      </c>
      <c r="K57" s="15" t="s">
        <v>80</v>
      </c>
      <c r="L57" s="14" t="s">
        <v>277</v>
      </c>
      <c r="M57" s="14" t="s">
        <v>5</v>
      </c>
      <c r="N57" s="14" t="s">
        <v>278</v>
      </c>
      <c r="O57" s="15" t="s">
        <v>379</v>
      </c>
      <c r="P57" s="14" t="s">
        <v>280</v>
      </c>
      <c r="Q57" s="14" t="s">
        <v>281</v>
      </c>
      <c r="R57" s="14" t="s">
        <v>281</v>
      </c>
      <c r="S57" s="17">
        <v>8</v>
      </c>
      <c r="T57" s="14" t="s">
        <v>256</v>
      </c>
      <c r="U57" s="14" t="s">
        <v>282</v>
      </c>
      <c r="V57" s="14" t="s">
        <v>112</v>
      </c>
      <c r="W57" s="18">
        <v>55000000</v>
      </c>
      <c r="X57" s="18">
        <v>55000000</v>
      </c>
      <c r="Y57" s="19" t="s">
        <v>258</v>
      </c>
      <c r="Z57" s="19" t="s">
        <v>258</v>
      </c>
      <c r="AA57" s="19" t="s">
        <v>259</v>
      </c>
      <c r="AB57" s="14" t="s">
        <v>260</v>
      </c>
      <c r="AC57" s="14">
        <v>6012220601</v>
      </c>
      <c r="AD57" s="14" t="s">
        <v>261</v>
      </c>
      <c r="AE57" s="82">
        <v>0</v>
      </c>
      <c r="AF57" s="82">
        <v>0</v>
      </c>
      <c r="AG57" s="82">
        <v>0</v>
      </c>
      <c r="AH57" s="82">
        <v>0</v>
      </c>
      <c r="AI57" s="82">
        <v>0</v>
      </c>
      <c r="AJ57" s="82">
        <v>0</v>
      </c>
      <c r="AK57" s="82">
        <v>0</v>
      </c>
      <c r="AL57" s="82">
        <v>0</v>
      </c>
      <c r="AM57" s="82">
        <v>0</v>
      </c>
      <c r="AN57" s="82">
        <v>0</v>
      </c>
      <c r="AO57" s="82">
        <v>0</v>
      </c>
      <c r="AP57" s="82">
        <v>0</v>
      </c>
      <c r="AQ57" s="82">
        <v>55000000</v>
      </c>
      <c r="AR57" s="82">
        <v>0</v>
      </c>
      <c r="AS57" s="82">
        <v>0</v>
      </c>
      <c r="AT57" s="82">
        <v>0</v>
      </c>
      <c r="AU57" s="82">
        <v>0</v>
      </c>
      <c r="AV57" s="82">
        <v>0</v>
      </c>
      <c r="AW57" s="82">
        <v>0</v>
      </c>
      <c r="AX57" s="82">
        <v>0</v>
      </c>
      <c r="AY57" s="82">
        <v>0</v>
      </c>
      <c r="AZ57" s="82">
        <v>0</v>
      </c>
      <c r="BA57" s="82">
        <v>0</v>
      </c>
      <c r="BB57" s="82">
        <v>55000000</v>
      </c>
      <c r="BC57" s="82">
        <f t="shared" ref="BC57:BD57" si="102">AE57+AG57+AI57+AK57+AM57+AO57+AQ57+AS57+AU57+AW57+AY57+BA57</f>
        <v>55000000</v>
      </c>
      <c r="BD57" s="82">
        <f t="shared" si="102"/>
        <v>55000000</v>
      </c>
      <c r="BE57" s="83">
        <f t="shared" si="1"/>
        <v>0</v>
      </c>
      <c r="BF57" s="83">
        <f t="shared" si="2"/>
        <v>0</v>
      </c>
      <c r="BG57" s="14" t="str">
        <f ca="1">IFERROR(__xludf.DUMMYFUNCTION("REGEXEXTRACT(O51,""^\S+\s(.+)$"")"),"Adquirir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57" s="23"/>
      <c r="BI57" s="23"/>
      <c r="BJ57" s="23"/>
      <c r="BK57" s="23"/>
      <c r="BL57" s="23"/>
      <c r="BM57" s="23"/>
      <c r="BN57" s="23"/>
      <c r="BO57" s="23"/>
      <c r="BP57" s="23"/>
      <c r="BQ57" s="23"/>
      <c r="BR57" s="23"/>
      <c r="BS57" s="23"/>
      <c r="BT57" s="23">
        <v>55000000</v>
      </c>
      <c r="BU57" s="23"/>
      <c r="BV57" s="23"/>
      <c r="BW57" s="23"/>
      <c r="BX57" s="23"/>
      <c r="BY57" s="23"/>
      <c r="BZ57" s="23"/>
      <c r="CA57" s="23"/>
      <c r="CB57" s="23"/>
      <c r="CC57" s="23">
        <v>0</v>
      </c>
      <c r="CD57" s="23"/>
      <c r="CE57" s="23">
        <v>55000000</v>
      </c>
      <c r="CF57" s="28"/>
      <c r="CG57" s="28"/>
      <c r="CH57" s="25">
        <f t="shared" ref="CH57:CI57" si="103">BH57+BJ57+BL57+BN57+BP57+BR57+BT57+BV57+BX57+BZ57+CB57+CD57+CF57</f>
        <v>55000000</v>
      </c>
      <c r="CI57" s="25">
        <f t="shared" si="103"/>
        <v>55000000</v>
      </c>
      <c r="CJ57" s="26">
        <f t="shared" si="4"/>
        <v>0</v>
      </c>
      <c r="CK57" s="26">
        <f t="shared" si="5"/>
        <v>0</v>
      </c>
    </row>
    <row r="58" spans="1:89" ht="90" customHeight="1" x14ac:dyDescent="0.3">
      <c r="A58" s="13" t="s">
        <v>248</v>
      </c>
      <c r="B58" s="14" t="s">
        <v>3</v>
      </c>
      <c r="C58" s="15" t="s">
        <v>249</v>
      </c>
      <c r="D58" s="14" t="s">
        <v>62</v>
      </c>
      <c r="E58" s="13" t="s">
        <v>250</v>
      </c>
      <c r="F58" s="13" t="s">
        <v>250</v>
      </c>
      <c r="G58" s="14">
        <v>68</v>
      </c>
      <c r="H58" s="13" t="s">
        <v>380</v>
      </c>
      <c r="I58" s="15" t="s">
        <v>381</v>
      </c>
      <c r="J58" s="14" t="s">
        <v>6</v>
      </c>
      <c r="K58" s="15" t="s">
        <v>82</v>
      </c>
      <c r="L58" s="14">
        <v>80111620</v>
      </c>
      <c r="M58" s="14" t="s">
        <v>7</v>
      </c>
      <c r="N58" s="14" t="s">
        <v>253</v>
      </c>
      <c r="O58" s="15" t="s">
        <v>382</v>
      </c>
      <c r="P58" s="14" t="s">
        <v>255</v>
      </c>
      <c r="Q58" s="14" t="s">
        <v>255</v>
      </c>
      <c r="R58" s="14" t="s">
        <v>255</v>
      </c>
      <c r="S58" s="17">
        <v>9</v>
      </c>
      <c r="T58" s="14" t="s">
        <v>256</v>
      </c>
      <c r="U58" s="14" t="s">
        <v>257</v>
      </c>
      <c r="V58" s="14" t="s">
        <v>112</v>
      </c>
      <c r="W58" s="84">
        <v>36000000</v>
      </c>
      <c r="X58" s="18">
        <v>36000000</v>
      </c>
      <c r="Y58" s="19" t="s">
        <v>258</v>
      </c>
      <c r="Z58" s="19" t="s">
        <v>258</v>
      </c>
      <c r="AA58" s="19" t="s">
        <v>259</v>
      </c>
      <c r="AB58" s="14" t="s">
        <v>260</v>
      </c>
      <c r="AC58" s="14">
        <v>6012220601</v>
      </c>
      <c r="AD58" s="14" t="s">
        <v>261</v>
      </c>
      <c r="AE58" s="82">
        <v>0</v>
      </c>
      <c r="AF58" s="82">
        <v>0</v>
      </c>
      <c r="AG58" s="82">
        <v>36000000</v>
      </c>
      <c r="AH58" s="82">
        <v>0</v>
      </c>
      <c r="AI58" s="82">
        <v>0</v>
      </c>
      <c r="AJ58" s="82">
        <v>3600000</v>
      </c>
      <c r="AK58" s="82">
        <v>0</v>
      </c>
      <c r="AL58" s="82">
        <v>4000000</v>
      </c>
      <c r="AM58" s="82">
        <v>0</v>
      </c>
      <c r="AN58" s="82">
        <v>4000000</v>
      </c>
      <c r="AO58" s="82">
        <v>0</v>
      </c>
      <c r="AP58" s="82">
        <v>4000000</v>
      </c>
      <c r="AQ58" s="82">
        <v>0</v>
      </c>
      <c r="AR58" s="82">
        <v>4000000</v>
      </c>
      <c r="AS58" s="82">
        <v>0</v>
      </c>
      <c r="AT58" s="82">
        <v>4000000</v>
      </c>
      <c r="AU58" s="82">
        <v>0</v>
      </c>
      <c r="AV58" s="82">
        <v>4000000</v>
      </c>
      <c r="AW58" s="82">
        <v>0</v>
      </c>
      <c r="AX58" s="82">
        <v>4000000</v>
      </c>
      <c r="AY58" s="82">
        <v>0</v>
      </c>
      <c r="AZ58" s="82">
        <v>4000000</v>
      </c>
      <c r="BA58" s="82">
        <v>0</v>
      </c>
      <c r="BB58" s="82">
        <v>400000</v>
      </c>
      <c r="BC58" s="82">
        <f t="shared" ref="BC58:BD58" si="104">AE58+AG58+AI58+AK58+AM58+AO58+AQ58+AS58+AU58+AW58+AY58+BA58</f>
        <v>36000000</v>
      </c>
      <c r="BD58" s="82">
        <f t="shared" si="104"/>
        <v>36000000</v>
      </c>
      <c r="BE58" s="83">
        <f t="shared" si="1"/>
        <v>0</v>
      </c>
      <c r="BF58" s="83">
        <f t="shared" si="2"/>
        <v>0</v>
      </c>
      <c r="BG58" s="14" t="str">
        <f ca="1">IFERROR(__xludf.DUMMYFUNCTION("REGEXEXTRACT(O52,""^\S+\s(.+)$"")"),"Prestar servicios profesionales para apoyar, desde una perspectiva jurídica básica, la integración de variables ambientales, territoriales y etnográficas en las herramientas de planeación minero-energética, con énfasis en escenarios de análisis energético"&amp;"s, comunidades energéticas y la visualización de contextos territoriales.")</f>
        <v>Prestar servicios profesionales para apoyar, desde una perspectiva jurídica básica, la integración de variables ambientales, territoriales y etnográficas en las herramientas de planeación minero-energética, con énfasis en escenarios de análisis energéticos, comunidades energéticas y la visualización de contextos territoriales.</v>
      </c>
      <c r="BH58" s="23"/>
      <c r="BI58" s="23"/>
      <c r="BJ58" s="23">
        <v>36000000</v>
      </c>
      <c r="BK58" s="23"/>
      <c r="BL58" s="23"/>
      <c r="BM58" s="23">
        <v>3600000</v>
      </c>
      <c r="BN58" s="23"/>
      <c r="BO58" s="23">
        <v>4000000</v>
      </c>
      <c r="BP58" s="23"/>
      <c r="BQ58" s="23">
        <v>4000000</v>
      </c>
      <c r="BR58" s="23"/>
      <c r="BS58" s="23">
        <v>4000000</v>
      </c>
      <c r="BT58" s="23"/>
      <c r="BU58" s="23">
        <v>4000000</v>
      </c>
      <c r="BV58" s="23"/>
      <c r="BW58" s="23">
        <v>4000000</v>
      </c>
      <c r="BX58" s="23"/>
      <c r="BY58" s="23">
        <v>4000000</v>
      </c>
      <c r="BZ58" s="23"/>
      <c r="CA58" s="23">
        <v>4000000</v>
      </c>
      <c r="CB58" s="23"/>
      <c r="CC58" s="23">
        <v>4000000</v>
      </c>
      <c r="CD58" s="23"/>
      <c r="CE58" s="23">
        <v>400000</v>
      </c>
      <c r="CF58" s="28"/>
      <c r="CG58" s="28"/>
      <c r="CH58" s="25">
        <f t="shared" ref="CH58:CI58" si="105">BH58+BJ58+BL58+BN58+BP58+BR58+BT58+BV58+BX58+BZ58+CB58+CD58+CF58</f>
        <v>36000000</v>
      </c>
      <c r="CI58" s="25">
        <f t="shared" si="105"/>
        <v>36000000</v>
      </c>
      <c r="CJ58" s="26">
        <f t="shared" si="4"/>
        <v>0</v>
      </c>
      <c r="CK58" s="26">
        <f t="shared" si="5"/>
        <v>0</v>
      </c>
    </row>
    <row r="59" spans="1:89" ht="90" customHeight="1" x14ac:dyDescent="0.3">
      <c r="A59" s="13" t="s">
        <v>248</v>
      </c>
      <c r="B59" s="14" t="s">
        <v>3</v>
      </c>
      <c r="C59" s="15" t="s">
        <v>249</v>
      </c>
      <c r="D59" s="14" t="s">
        <v>62</v>
      </c>
      <c r="E59" s="13" t="s">
        <v>250</v>
      </c>
      <c r="F59" s="13" t="s">
        <v>250</v>
      </c>
      <c r="G59" s="14">
        <v>4</v>
      </c>
      <c r="H59" s="13" t="s">
        <v>383</v>
      </c>
      <c r="I59" s="15" t="s">
        <v>381</v>
      </c>
      <c r="J59" s="14" t="s">
        <v>6</v>
      </c>
      <c r="K59" s="15" t="s">
        <v>82</v>
      </c>
      <c r="L59" s="14">
        <v>80111620</v>
      </c>
      <c r="M59" s="14" t="s">
        <v>7</v>
      </c>
      <c r="N59" s="14" t="s">
        <v>253</v>
      </c>
      <c r="O59" s="15" t="s">
        <v>384</v>
      </c>
      <c r="P59" s="14" t="s">
        <v>255</v>
      </c>
      <c r="Q59" s="14" t="s">
        <v>255</v>
      </c>
      <c r="R59" s="14" t="s">
        <v>255</v>
      </c>
      <c r="S59" s="17">
        <v>11</v>
      </c>
      <c r="T59" s="14" t="s">
        <v>256</v>
      </c>
      <c r="U59" s="14" t="s">
        <v>257</v>
      </c>
      <c r="V59" s="14" t="s">
        <v>112</v>
      </c>
      <c r="W59" s="84">
        <v>15878175</v>
      </c>
      <c r="X59" s="18">
        <v>15878175</v>
      </c>
      <c r="Y59" s="19" t="s">
        <v>258</v>
      </c>
      <c r="Z59" s="19" t="s">
        <v>258</v>
      </c>
      <c r="AA59" s="19" t="s">
        <v>259</v>
      </c>
      <c r="AB59" s="14" t="s">
        <v>260</v>
      </c>
      <c r="AC59" s="14">
        <v>6012220601</v>
      </c>
      <c r="AD59" s="14" t="s">
        <v>369</v>
      </c>
      <c r="AE59" s="82">
        <v>0</v>
      </c>
      <c r="AF59" s="82">
        <v>0</v>
      </c>
      <c r="AG59" s="82">
        <v>15878175</v>
      </c>
      <c r="AH59" s="82">
        <v>0</v>
      </c>
      <c r="AI59" s="82">
        <v>0</v>
      </c>
      <c r="AJ59" s="82">
        <v>0</v>
      </c>
      <c r="AK59" s="82">
        <v>0</v>
      </c>
      <c r="AL59" s="82">
        <v>0</v>
      </c>
      <c r="AM59" s="82">
        <v>0</v>
      </c>
      <c r="AN59" s="82">
        <v>0</v>
      </c>
      <c r="AO59" s="82">
        <v>0</v>
      </c>
      <c r="AP59" s="82">
        <v>0</v>
      </c>
      <c r="AQ59" s="82">
        <v>0</v>
      </c>
      <c r="AR59" s="82">
        <v>0</v>
      </c>
      <c r="AS59" s="82">
        <v>0</v>
      </c>
      <c r="AT59" s="82">
        <v>0</v>
      </c>
      <c r="AU59" s="82">
        <v>0</v>
      </c>
      <c r="AV59" s="82">
        <v>0</v>
      </c>
      <c r="AW59" s="82">
        <v>0</v>
      </c>
      <c r="AX59" s="82">
        <v>0</v>
      </c>
      <c r="AY59" s="82">
        <v>0</v>
      </c>
      <c r="AZ59" s="82">
        <v>1845110</v>
      </c>
      <c r="BA59" s="82">
        <v>0</v>
      </c>
      <c r="BB59" s="82">
        <v>14033065</v>
      </c>
      <c r="BC59" s="82">
        <f t="shared" ref="BC59:BD59" si="106">AE59+AG59+AI59+AK59+AM59+AO59+AQ59+AS59+AU59+AW59+AY59+BA59</f>
        <v>15878175</v>
      </c>
      <c r="BD59" s="82">
        <f t="shared" si="106"/>
        <v>15878175</v>
      </c>
      <c r="BE59" s="83">
        <f t="shared" si="1"/>
        <v>0</v>
      </c>
      <c r="BF59" s="83">
        <f t="shared" si="2"/>
        <v>0</v>
      </c>
      <c r="BG59" s="14" t="str">
        <f ca="1">IFERROR(__xludf.DUMMYFUNCTION("REGEXEXTRACT(O53,""^\S+\s(.+)$"")"),"Prestar servicios de apoyo  en la realización audiovisual a cargo del grupo de comunicaciones y prensa, orientados a visibilizar la implementación del proyecto de Enfoque Territorial dirigido a los diversos actores del territorio y la ciudadanía en genera"&amp;"l.")</f>
        <v>Prestar servicios de apoyo  en la realización audiovisual a cargo del grupo de comunicaciones y prensa, orientados a visibilizar la implementación del proyecto de Enfoque Territorial dirigido a los diversos actores del territorio y la ciudadanía en general.</v>
      </c>
      <c r="BH59" s="23"/>
      <c r="BI59" s="23"/>
      <c r="BJ59" s="23">
        <v>15878175</v>
      </c>
      <c r="BK59" s="23"/>
      <c r="BL59" s="23"/>
      <c r="BM59" s="23"/>
      <c r="BN59" s="23"/>
      <c r="BO59" s="23"/>
      <c r="BP59" s="23"/>
      <c r="BQ59" s="23"/>
      <c r="BR59" s="23"/>
      <c r="BS59" s="23"/>
      <c r="BT59" s="23"/>
      <c r="BU59" s="23"/>
      <c r="BV59" s="23"/>
      <c r="BW59" s="23"/>
      <c r="BX59" s="23"/>
      <c r="BY59" s="23"/>
      <c r="BZ59" s="23"/>
      <c r="CA59" s="23"/>
      <c r="CB59" s="23"/>
      <c r="CC59" s="23">
        <v>1845110</v>
      </c>
      <c r="CD59" s="23"/>
      <c r="CE59" s="23">
        <v>14033065</v>
      </c>
      <c r="CF59" s="28"/>
      <c r="CG59" s="28"/>
      <c r="CH59" s="25">
        <f t="shared" ref="CH59:CI59" si="107">BH59+BJ59+BL59+BN59+BP59+BR59+BT59+BV59+BX59+BZ59+CB59+CD59+CF59</f>
        <v>15878175</v>
      </c>
      <c r="CI59" s="25">
        <f t="shared" si="107"/>
        <v>15878175</v>
      </c>
      <c r="CJ59" s="26">
        <f t="shared" si="4"/>
        <v>0</v>
      </c>
      <c r="CK59" s="26">
        <f t="shared" si="5"/>
        <v>0</v>
      </c>
    </row>
    <row r="60" spans="1:89" ht="90" customHeight="1" x14ac:dyDescent="0.3">
      <c r="A60" s="13" t="s">
        <v>248</v>
      </c>
      <c r="B60" s="14" t="s">
        <v>3</v>
      </c>
      <c r="C60" s="15" t="s">
        <v>249</v>
      </c>
      <c r="D60" s="14" t="s">
        <v>62</v>
      </c>
      <c r="E60" s="13" t="s">
        <v>250</v>
      </c>
      <c r="F60" s="13" t="s">
        <v>250</v>
      </c>
      <c r="G60" s="14">
        <v>68</v>
      </c>
      <c r="H60" s="13" t="s">
        <v>385</v>
      </c>
      <c r="I60" s="15" t="s">
        <v>381</v>
      </c>
      <c r="J60" s="14" t="s">
        <v>6</v>
      </c>
      <c r="K60" s="15" t="s">
        <v>82</v>
      </c>
      <c r="L60" s="14">
        <v>80111620</v>
      </c>
      <c r="M60" s="14" t="s">
        <v>7</v>
      </c>
      <c r="N60" s="14" t="s">
        <v>253</v>
      </c>
      <c r="O60" s="15" t="s">
        <v>386</v>
      </c>
      <c r="P60" s="14" t="s">
        <v>255</v>
      </c>
      <c r="Q60" s="14" t="s">
        <v>255</v>
      </c>
      <c r="R60" s="14" t="s">
        <v>255</v>
      </c>
      <c r="S60" s="17">
        <v>9</v>
      </c>
      <c r="T60" s="14" t="s">
        <v>256</v>
      </c>
      <c r="U60" s="14" t="s">
        <v>257</v>
      </c>
      <c r="V60" s="14" t="s">
        <v>112</v>
      </c>
      <c r="W60" s="84">
        <v>29700000</v>
      </c>
      <c r="X60" s="18">
        <v>29700000</v>
      </c>
      <c r="Y60" s="19" t="s">
        <v>258</v>
      </c>
      <c r="Z60" s="19" t="s">
        <v>258</v>
      </c>
      <c r="AA60" s="19" t="s">
        <v>259</v>
      </c>
      <c r="AB60" s="14" t="s">
        <v>260</v>
      </c>
      <c r="AC60" s="14">
        <v>6012220601</v>
      </c>
      <c r="AD60" s="14" t="s">
        <v>261</v>
      </c>
      <c r="AE60" s="82">
        <v>0</v>
      </c>
      <c r="AF60" s="82">
        <v>0</v>
      </c>
      <c r="AG60" s="82">
        <v>29700000</v>
      </c>
      <c r="AH60" s="82">
        <v>0</v>
      </c>
      <c r="AI60" s="82">
        <v>0</v>
      </c>
      <c r="AJ60" s="82">
        <v>2847230</v>
      </c>
      <c r="AK60" s="82">
        <v>0</v>
      </c>
      <c r="AL60" s="82">
        <v>3285450</v>
      </c>
      <c r="AM60" s="82">
        <v>0</v>
      </c>
      <c r="AN60" s="82">
        <v>3285450</v>
      </c>
      <c r="AO60" s="82">
        <v>0</v>
      </c>
      <c r="AP60" s="82">
        <v>3285450</v>
      </c>
      <c r="AQ60" s="82">
        <v>0</v>
      </c>
      <c r="AR60" s="82">
        <v>3285450</v>
      </c>
      <c r="AS60" s="82">
        <v>0</v>
      </c>
      <c r="AT60" s="82">
        <v>3285450</v>
      </c>
      <c r="AU60" s="82">
        <v>0</v>
      </c>
      <c r="AV60" s="82">
        <v>3285450</v>
      </c>
      <c r="AW60" s="82">
        <v>0</v>
      </c>
      <c r="AX60" s="82">
        <v>3285450</v>
      </c>
      <c r="AY60" s="82">
        <v>0</v>
      </c>
      <c r="AZ60" s="82">
        <v>3285450</v>
      </c>
      <c r="BA60" s="82">
        <v>0</v>
      </c>
      <c r="BB60" s="82">
        <v>569170</v>
      </c>
      <c r="BC60" s="82">
        <f t="shared" ref="BC60:BD60" si="108">AE60+AG60+AI60+AK60+AM60+AO60+AQ60+AS60+AU60+AW60+AY60+BA60</f>
        <v>29700000</v>
      </c>
      <c r="BD60" s="82">
        <f t="shared" si="108"/>
        <v>29700000</v>
      </c>
      <c r="BE60" s="83">
        <f t="shared" si="1"/>
        <v>0</v>
      </c>
      <c r="BF60" s="83">
        <f t="shared" si="2"/>
        <v>0</v>
      </c>
      <c r="BG60" s="14" t="str">
        <f ca="1">IFERROR(__xludf.DUMMYFUNCTION("REGEXEXTRACT(O54,""^\S+\s(.+)$"")"),"Prestar servicios profesionales para apoyar el diseño y la implementación de la estrategia de comunicación y participación con actores sectoriales y territoriales, orientada a mejorar el relacionamiento institucional bajo el Enfoque Territorial. Incluyend"&amp;"o actividades de apoyo en la identificación de actores, el desarrollo de canales básicos de diálogo, y la divulgación de información relacionada con la planeación minero-energética de la UPME.")</f>
        <v>Prestar servicios profesionales para apoyar el diseño y la implementación de la estrategia de comunicación y participación con actores sectoriales y territoriales, orientada a mejorar el relacionamiento institucional bajo el Enfoque Territorial. Incluyendo actividades de apoyo en la identificación de actores, el desarrollo de canales básicos de diálogo, y la divulgación de información relacionada con la planeación minero-energética de la UPME.</v>
      </c>
      <c r="BH60" s="23"/>
      <c r="BI60" s="23"/>
      <c r="BJ60" s="23">
        <v>29700000</v>
      </c>
      <c r="BK60" s="23"/>
      <c r="BL60" s="23"/>
      <c r="BM60" s="23">
        <v>2847230</v>
      </c>
      <c r="BN60" s="23"/>
      <c r="BO60" s="23">
        <v>3285450</v>
      </c>
      <c r="BP60" s="23"/>
      <c r="BQ60" s="23">
        <v>3285450</v>
      </c>
      <c r="BR60" s="23"/>
      <c r="BS60" s="23">
        <v>3285450</v>
      </c>
      <c r="BT60" s="23"/>
      <c r="BU60" s="23">
        <v>3285450</v>
      </c>
      <c r="BV60" s="23"/>
      <c r="BW60" s="23">
        <v>3285450</v>
      </c>
      <c r="BX60" s="23"/>
      <c r="BY60" s="23">
        <v>3285450</v>
      </c>
      <c r="BZ60" s="23"/>
      <c r="CA60" s="23">
        <v>3285450</v>
      </c>
      <c r="CB60" s="23"/>
      <c r="CC60" s="23">
        <v>3285450</v>
      </c>
      <c r="CD60" s="23"/>
      <c r="CE60" s="23">
        <v>569170</v>
      </c>
      <c r="CF60" s="28"/>
      <c r="CG60" s="28"/>
      <c r="CH60" s="25">
        <f t="shared" ref="CH60:CI60" si="109">BH60+BJ60+BL60+BN60+BP60+BR60+BT60+BV60+BX60+BZ60+CB60+CD60+CF60</f>
        <v>29700000</v>
      </c>
      <c r="CI60" s="25">
        <f t="shared" si="109"/>
        <v>29700000</v>
      </c>
      <c r="CJ60" s="26">
        <f t="shared" si="4"/>
        <v>0</v>
      </c>
      <c r="CK60" s="26">
        <f t="shared" si="5"/>
        <v>0</v>
      </c>
    </row>
    <row r="61" spans="1:89" ht="90" customHeight="1" x14ac:dyDescent="0.3">
      <c r="A61" s="13" t="s">
        <v>248</v>
      </c>
      <c r="B61" s="14" t="s">
        <v>3</v>
      </c>
      <c r="C61" s="15" t="s">
        <v>249</v>
      </c>
      <c r="D61" s="14" t="s">
        <v>62</v>
      </c>
      <c r="E61" s="13" t="s">
        <v>250</v>
      </c>
      <c r="F61" s="13" t="s">
        <v>250</v>
      </c>
      <c r="G61" s="14">
        <v>7</v>
      </c>
      <c r="H61" s="13" t="s">
        <v>387</v>
      </c>
      <c r="I61" s="15" t="s">
        <v>381</v>
      </c>
      <c r="J61" s="14" t="s">
        <v>6</v>
      </c>
      <c r="K61" s="15" t="s">
        <v>82</v>
      </c>
      <c r="L61" s="14">
        <v>80111620</v>
      </c>
      <c r="M61" s="14" t="s">
        <v>7</v>
      </c>
      <c r="N61" s="14" t="s">
        <v>253</v>
      </c>
      <c r="O61" s="15" t="s">
        <v>388</v>
      </c>
      <c r="P61" s="14" t="s">
        <v>255</v>
      </c>
      <c r="Q61" s="14" t="s">
        <v>255</v>
      </c>
      <c r="R61" s="14" t="s">
        <v>255</v>
      </c>
      <c r="S61" s="17">
        <v>10</v>
      </c>
      <c r="T61" s="14" t="s">
        <v>256</v>
      </c>
      <c r="U61" s="14" t="s">
        <v>257</v>
      </c>
      <c r="V61" s="14" t="s">
        <v>112</v>
      </c>
      <c r="W61" s="84">
        <v>31652775</v>
      </c>
      <c r="X61" s="18">
        <v>31652775</v>
      </c>
      <c r="Y61" s="19" t="s">
        <v>258</v>
      </c>
      <c r="Z61" s="19" t="s">
        <v>258</v>
      </c>
      <c r="AA61" s="19" t="s">
        <v>259</v>
      </c>
      <c r="AB61" s="14" t="s">
        <v>260</v>
      </c>
      <c r="AC61" s="14">
        <v>6012220601</v>
      </c>
      <c r="AD61" s="14" t="s">
        <v>261</v>
      </c>
      <c r="AE61" s="82">
        <v>0</v>
      </c>
      <c r="AF61" s="82">
        <v>0</v>
      </c>
      <c r="AG61" s="82">
        <v>31652775</v>
      </c>
      <c r="AH61" s="82">
        <v>0</v>
      </c>
      <c r="AI61" s="82">
        <v>0</v>
      </c>
      <c r="AJ61" s="82">
        <v>0</v>
      </c>
      <c r="AK61" s="82">
        <v>0</v>
      </c>
      <c r="AL61" s="82">
        <v>0</v>
      </c>
      <c r="AM61" s="82">
        <v>0</v>
      </c>
      <c r="AN61" s="82">
        <v>0</v>
      </c>
      <c r="AO61" s="82">
        <v>0</v>
      </c>
      <c r="AP61" s="82">
        <v>0</v>
      </c>
      <c r="AQ61" s="82">
        <v>0</v>
      </c>
      <c r="AR61" s="82">
        <v>0</v>
      </c>
      <c r="AS61" s="82">
        <v>0</v>
      </c>
      <c r="AT61" s="82">
        <v>4593780</v>
      </c>
      <c r="AU61" s="82">
        <v>0</v>
      </c>
      <c r="AV61" s="82">
        <v>6000000</v>
      </c>
      <c r="AW61" s="82">
        <v>0</v>
      </c>
      <c r="AX61" s="82">
        <v>6000000</v>
      </c>
      <c r="AY61" s="82">
        <v>0</v>
      </c>
      <c r="AZ61" s="82">
        <v>6000000</v>
      </c>
      <c r="BA61" s="82">
        <v>0</v>
      </c>
      <c r="BB61" s="82">
        <v>9058995</v>
      </c>
      <c r="BC61" s="82">
        <f t="shared" ref="BC61:BD61" si="110">AE61+AG61+AI61+AK61+AM61+AO61+AQ61+AS61+AU61+AW61+AY61+BA61</f>
        <v>31652775</v>
      </c>
      <c r="BD61" s="82">
        <f t="shared" si="110"/>
        <v>31652775</v>
      </c>
      <c r="BE61" s="83">
        <f t="shared" si="1"/>
        <v>0</v>
      </c>
      <c r="BF61" s="83">
        <f t="shared" si="2"/>
        <v>0</v>
      </c>
      <c r="BG61" s="14" t="str">
        <f ca="1">IFERROR(__xludf.DUMMYFUNCTION("REGEXEXTRACT(O55,""^\S+\s(.+)$"")"),"Prestar servicios profesionales para apoyar las convocatorias, socializaciones, análisis de información y la elaboración de informes técnicos requeridos, que contribuyan a la gestión y al fortalecimiento de la ejecución del proyecto de Enfoque Territorial"&amp;".")</f>
        <v>Prestar servicios profesionales para apoyar las convocatorias, socializaciones, análisis de información y la elaboración de informes técnicos requeridos, que contribuyan a la gestión y al fortalecimiento de la ejecución del proyecto de Enfoque Territorial.</v>
      </c>
      <c r="BH61" s="23"/>
      <c r="BI61" s="23"/>
      <c r="BJ61" s="23">
        <v>31652775</v>
      </c>
      <c r="BK61" s="23"/>
      <c r="BL61" s="23"/>
      <c r="BM61" s="23"/>
      <c r="BN61" s="23"/>
      <c r="BO61" s="23"/>
      <c r="BP61" s="23"/>
      <c r="BQ61" s="23"/>
      <c r="BR61" s="23"/>
      <c r="BS61" s="23"/>
      <c r="BT61" s="23"/>
      <c r="BU61" s="23"/>
      <c r="BV61" s="23"/>
      <c r="BW61" s="23">
        <v>4593780</v>
      </c>
      <c r="BX61" s="23"/>
      <c r="BY61" s="23">
        <v>6000000</v>
      </c>
      <c r="BZ61" s="23"/>
      <c r="CA61" s="23">
        <v>6000000</v>
      </c>
      <c r="CB61" s="23"/>
      <c r="CC61" s="23">
        <v>6000000</v>
      </c>
      <c r="CD61" s="23"/>
      <c r="CE61" s="23">
        <v>9058995</v>
      </c>
      <c r="CF61" s="28"/>
      <c r="CG61" s="28"/>
      <c r="CH61" s="25">
        <f t="shared" ref="CH61:CI61" si="111">BH61+BJ61+BL61+BN61+BP61+BR61+BT61+BV61+BX61+BZ61+CB61+CD61+CF61</f>
        <v>31652775</v>
      </c>
      <c r="CI61" s="25">
        <f t="shared" si="111"/>
        <v>31652775</v>
      </c>
      <c r="CJ61" s="26">
        <f t="shared" si="4"/>
        <v>0</v>
      </c>
      <c r="CK61" s="26">
        <f t="shared" si="5"/>
        <v>0</v>
      </c>
    </row>
    <row r="62" spans="1:89" ht="90" customHeight="1" x14ac:dyDescent="0.3">
      <c r="A62" s="13" t="s">
        <v>248</v>
      </c>
      <c r="B62" s="14" t="s">
        <v>3</v>
      </c>
      <c r="C62" s="15" t="s">
        <v>249</v>
      </c>
      <c r="D62" s="14" t="s">
        <v>62</v>
      </c>
      <c r="E62" s="13" t="s">
        <v>250</v>
      </c>
      <c r="F62" s="13" t="s">
        <v>250</v>
      </c>
      <c r="G62" s="14">
        <v>68</v>
      </c>
      <c r="H62" s="13" t="s">
        <v>389</v>
      </c>
      <c r="I62" s="15" t="s">
        <v>381</v>
      </c>
      <c r="J62" s="14" t="s">
        <v>6</v>
      </c>
      <c r="K62" s="15" t="s">
        <v>82</v>
      </c>
      <c r="L62" s="14">
        <v>80111620</v>
      </c>
      <c r="M62" s="14" t="s">
        <v>7</v>
      </c>
      <c r="N62" s="14" t="s">
        <v>253</v>
      </c>
      <c r="O62" s="15" t="s">
        <v>390</v>
      </c>
      <c r="P62" s="14" t="s">
        <v>255</v>
      </c>
      <c r="Q62" s="14" t="s">
        <v>255</v>
      </c>
      <c r="R62" s="14" t="s">
        <v>255</v>
      </c>
      <c r="S62" s="17">
        <v>9</v>
      </c>
      <c r="T62" s="14" t="s">
        <v>256</v>
      </c>
      <c r="U62" s="14" t="s">
        <v>257</v>
      </c>
      <c r="V62" s="14" t="s">
        <v>112</v>
      </c>
      <c r="W62" s="84">
        <v>29569050</v>
      </c>
      <c r="X62" s="18">
        <v>29569050</v>
      </c>
      <c r="Y62" s="19" t="s">
        <v>258</v>
      </c>
      <c r="Z62" s="19" t="s">
        <v>258</v>
      </c>
      <c r="AA62" s="19" t="s">
        <v>259</v>
      </c>
      <c r="AB62" s="14" t="s">
        <v>260</v>
      </c>
      <c r="AC62" s="14">
        <v>6012220601</v>
      </c>
      <c r="AD62" s="14" t="s">
        <v>261</v>
      </c>
      <c r="AE62" s="82">
        <v>0</v>
      </c>
      <c r="AF62" s="82">
        <v>0</v>
      </c>
      <c r="AG62" s="82">
        <v>29569050</v>
      </c>
      <c r="AH62" s="82">
        <v>0</v>
      </c>
      <c r="AI62" s="82">
        <v>0</v>
      </c>
      <c r="AJ62" s="82">
        <v>2847390</v>
      </c>
      <c r="AK62" s="82">
        <v>0</v>
      </c>
      <c r="AL62" s="82">
        <v>3285450</v>
      </c>
      <c r="AM62" s="82">
        <v>0</v>
      </c>
      <c r="AN62" s="82">
        <v>3285450</v>
      </c>
      <c r="AO62" s="82">
        <v>0</v>
      </c>
      <c r="AP62" s="82">
        <v>3285450</v>
      </c>
      <c r="AQ62" s="82">
        <v>0</v>
      </c>
      <c r="AR62" s="82">
        <v>3285450</v>
      </c>
      <c r="AS62" s="82">
        <v>0</v>
      </c>
      <c r="AT62" s="82">
        <v>3285450</v>
      </c>
      <c r="AU62" s="82">
        <v>0</v>
      </c>
      <c r="AV62" s="82">
        <v>3285450</v>
      </c>
      <c r="AW62" s="82">
        <v>0</v>
      </c>
      <c r="AX62" s="82">
        <v>3285450</v>
      </c>
      <c r="AY62" s="82">
        <v>0</v>
      </c>
      <c r="AZ62" s="82">
        <v>3285450</v>
      </c>
      <c r="BA62" s="82">
        <v>0</v>
      </c>
      <c r="BB62" s="82">
        <v>438060</v>
      </c>
      <c r="BC62" s="82">
        <f t="shared" ref="BC62:BD62" si="112">AE62+AG62+AI62+AK62+AM62+AO62+AQ62+AS62+AU62+AW62+AY62+BA62</f>
        <v>29569050</v>
      </c>
      <c r="BD62" s="82">
        <f t="shared" si="112"/>
        <v>29569050</v>
      </c>
      <c r="BE62" s="83">
        <f t="shared" si="1"/>
        <v>0</v>
      </c>
      <c r="BF62" s="83">
        <f t="shared" si="2"/>
        <v>0</v>
      </c>
      <c r="BG62" s="14" t="str">
        <f ca="1">IFERROR(__xludf.DUMMYFUNCTION("REGEXEXTRACT(O56,""^\S+\s(.+)$"")"),"Prestación de servicios profesionales para la implementación de la estrategia de comunicación y participación de la UPME mediante acciones de diálogo social y territorial, incorporando enfoques de género, cuidado, análisis territorial y gobernanza.")</f>
        <v>Prestación de servicios profesionales para la implementación de la estrategia de comunicación y participación de la UPME mediante acciones de diálogo social y territorial, incorporando enfoques de género, cuidado, análisis territorial y gobernanza.</v>
      </c>
      <c r="BH62" s="23"/>
      <c r="BI62" s="23"/>
      <c r="BJ62" s="23">
        <v>29569050</v>
      </c>
      <c r="BK62" s="23"/>
      <c r="BL62" s="23"/>
      <c r="BM62" s="23">
        <v>2847390</v>
      </c>
      <c r="BN62" s="23"/>
      <c r="BO62" s="23">
        <v>3285450</v>
      </c>
      <c r="BP62" s="23"/>
      <c r="BQ62" s="23">
        <v>3285450</v>
      </c>
      <c r="BR62" s="23"/>
      <c r="BS62" s="23">
        <v>3285450</v>
      </c>
      <c r="BT62" s="23"/>
      <c r="BU62" s="23">
        <v>3285450</v>
      </c>
      <c r="BV62" s="23"/>
      <c r="BW62" s="23">
        <v>3285450</v>
      </c>
      <c r="BX62" s="23"/>
      <c r="BY62" s="23">
        <v>3285450</v>
      </c>
      <c r="BZ62" s="23"/>
      <c r="CA62" s="23">
        <v>3285450</v>
      </c>
      <c r="CB62" s="23"/>
      <c r="CC62" s="23">
        <v>3285450</v>
      </c>
      <c r="CD62" s="23"/>
      <c r="CE62" s="23">
        <v>438060</v>
      </c>
      <c r="CF62" s="28"/>
      <c r="CG62" s="28"/>
      <c r="CH62" s="25">
        <f t="shared" ref="CH62:CI62" si="113">BH62+BJ62+BL62+BN62+BP62+BR62+BT62+BV62+BX62+BZ62+CB62+CD62+CF62</f>
        <v>29569050</v>
      </c>
      <c r="CI62" s="25">
        <f t="shared" si="113"/>
        <v>29569050</v>
      </c>
      <c r="CJ62" s="26">
        <f t="shared" si="4"/>
        <v>0</v>
      </c>
      <c r="CK62" s="26">
        <f t="shared" si="5"/>
        <v>0</v>
      </c>
    </row>
    <row r="63" spans="1:89" ht="90" customHeight="1" x14ac:dyDescent="0.3">
      <c r="A63" s="13" t="s">
        <v>248</v>
      </c>
      <c r="B63" s="14" t="s">
        <v>3</v>
      </c>
      <c r="C63" s="15" t="s">
        <v>249</v>
      </c>
      <c r="D63" s="14" t="s">
        <v>62</v>
      </c>
      <c r="E63" s="13" t="s">
        <v>250</v>
      </c>
      <c r="F63" s="13" t="s">
        <v>250</v>
      </c>
      <c r="G63" s="14">
        <v>68</v>
      </c>
      <c r="H63" s="13" t="s">
        <v>391</v>
      </c>
      <c r="I63" s="15" t="s">
        <v>381</v>
      </c>
      <c r="J63" s="14" t="s">
        <v>6</v>
      </c>
      <c r="K63" s="15" t="s">
        <v>83</v>
      </c>
      <c r="L63" s="14">
        <v>80111620</v>
      </c>
      <c r="M63" s="14" t="s">
        <v>7</v>
      </c>
      <c r="N63" s="14" t="s">
        <v>253</v>
      </c>
      <c r="O63" s="15" t="s">
        <v>392</v>
      </c>
      <c r="P63" s="14" t="s">
        <v>255</v>
      </c>
      <c r="Q63" s="14" t="s">
        <v>255</v>
      </c>
      <c r="R63" s="14" t="s">
        <v>255</v>
      </c>
      <c r="S63" s="17">
        <v>9</v>
      </c>
      <c r="T63" s="14" t="s">
        <v>256</v>
      </c>
      <c r="U63" s="14" t="s">
        <v>257</v>
      </c>
      <c r="V63" s="14" t="s">
        <v>112</v>
      </c>
      <c r="W63" s="84">
        <v>49500000</v>
      </c>
      <c r="X63" s="18">
        <v>49500000</v>
      </c>
      <c r="Y63" s="19" t="s">
        <v>258</v>
      </c>
      <c r="Z63" s="19" t="s">
        <v>258</v>
      </c>
      <c r="AA63" s="19" t="s">
        <v>259</v>
      </c>
      <c r="AB63" s="14" t="s">
        <v>260</v>
      </c>
      <c r="AC63" s="14">
        <v>6012220601</v>
      </c>
      <c r="AD63" s="14" t="s">
        <v>261</v>
      </c>
      <c r="AE63" s="82">
        <v>49500000</v>
      </c>
      <c r="AF63" s="82">
        <v>0</v>
      </c>
      <c r="AG63" s="82">
        <v>0</v>
      </c>
      <c r="AH63" s="82">
        <v>183333</v>
      </c>
      <c r="AI63" s="82">
        <v>0</v>
      </c>
      <c r="AJ63" s="82">
        <v>5500000</v>
      </c>
      <c r="AK63" s="82">
        <v>0</v>
      </c>
      <c r="AL63" s="82">
        <v>5500000</v>
      </c>
      <c r="AM63" s="82">
        <v>0</v>
      </c>
      <c r="AN63" s="82">
        <v>5500000</v>
      </c>
      <c r="AO63" s="82">
        <v>0</v>
      </c>
      <c r="AP63" s="82">
        <v>5500000</v>
      </c>
      <c r="AQ63" s="82">
        <v>0</v>
      </c>
      <c r="AR63" s="82">
        <v>5500000</v>
      </c>
      <c r="AS63" s="82">
        <v>0</v>
      </c>
      <c r="AT63" s="82">
        <v>5500000</v>
      </c>
      <c r="AU63" s="82">
        <v>0</v>
      </c>
      <c r="AV63" s="82">
        <v>5500000</v>
      </c>
      <c r="AW63" s="82">
        <v>0</v>
      </c>
      <c r="AX63" s="82">
        <v>5500000</v>
      </c>
      <c r="AY63" s="82">
        <v>0</v>
      </c>
      <c r="AZ63" s="82">
        <v>5316667</v>
      </c>
      <c r="BA63" s="82">
        <v>0</v>
      </c>
      <c r="BB63" s="82">
        <v>0</v>
      </c>
      <c r="BC63" s="82">
        <f t="shared" ref="BC63:BD63" si="114">AE63+AG63+AI63+AK63+AM63+AO63+AQ63+AS63+AU63+AW63+AY63+BA63</f>
        <v>49500000</v>
      </c>
      <c r="BD63" s="82">
        <f t="shared" si="114"/>
        <v>49500000</v>
      </c>
      <c r="BE63" s="83">
        <f t="shared" si="1"/>
        <v>0</v>
      </c>
      <c r="BF63" s="83">
        <f t="shared" si="2"/>
        <v>0</v>
      </c>
      <c r="BG63" s="14" t="str">
        <f ca="1">IFERROR(__xludf.DUMMYFUNCTION("REGEXEXTRACT(O57,""^\S+\s(.+)$"")"),"Prestar los servicios profesionales para la implementación de la estrategia de comunicación y participación del dialogo social, territorial e interinstitucional con el fin de incorporar las variables de género y perspectiva del cuidado en la planeación mi"&amp;"nero energética, en las zonas priorizadas del país.")</f>
        <v>Prestar los servicios profesionales para la implementación de la estrategia de comunicación y participación del dialogo social, territorial e interinstitucional con el fin de incorporar las variables de género y perspectiva del cuidado en la planeación minero energética, en las zonas priorizadas del país.</v>
      </c>
      <c r="BH63" s="23">
        <v>49500000</v>
      </c>
      <c r="BI63" s="23"/>
      <c r="BJ63" s="23"/>
      <c r="BK63" s="23">
        <v>183333</v>
      </c>
      <c r="BL63" s="23"/>
      <c r="BM63" s="23">
        <v>5500000</v>
      </c>
      <c r="BN63" s="23"/>
      <c r="BO63" s="23">
        <v>5500000</v>
      </c>
      <c r="BP63" s="23"/>
      <c r="BQ63" s="23">
        <v>5500000</v>
      </c>
      <c r="BR63" s="23"/>
      <c r="BS63" s="23">
        <v>5500000</v>
      </c>
      <c r="BT63" s="23"/>
      <c r="BU63" s="23">
        <v>5500000</v>
      </c>
      <c r="BV63" s="23"/>
      <c r="BW63" s="23">
        <v>5500000</v>
      </c>
      <c r="BX63" s="23"/>
      <c r="BY63" s="23">
        <v>5500000</v>
      </c>
      <c r="BZ63" s="23"/>
      <c r="CA63" s="23">
        <v>5500000</v>
      </c>
      <c r="CB63" s="23"/>
      <c r="CC63" s="23">
        <v>5316667</v>
      </c>
      <c r="CD63" s="23"/>
      <c r="CE63" s="23"/>
      <c r="CF63" s="28"/>
      <c r="CG63" s="28"/>
      <c r="CH63" s="25">
        <f t="shared" ref="CH63:CI63" si="115">BH63+BJ63+BL63+BN63+BP63+BR63+BT63+BV63+BX63+BZ63+CB63+CD63+CF63</f>
        <v>49500000</v>
      </c>
      <c r="CI63" s="25">
        <f t="shared" si="115"/>
        <v>49500000</v>
      </c>
      <c r="CJ63" s="26">
        <f t="shared" si="4"/>
        <v>0</v>
      </c>
      <c r="CK63" s="26">
        <f t="shared" si="5"/>
        <v>0</v>
      </c>
    </row>
    <row r="64" spans="1:89" ht="90" customHeight="1" x14ac:dyDescent="0.3">
      <c r="A64" s="13" t="s">
        <v>248</v>
      </c>
      <c r="B64" s="14" t="s">
        <v>3</v>
      </c>
      <c r="C64" s="15" t="s">
        <v>249</v>
      </c>
      <c r="D64" s="14" t="s">
        <v>62</v>
      </c>
      <c r="E64" s="13" t="s">
        <v>250</v>
      </c>
      <c r="F64" s="13" t="s">
        <v>250</v>
      </c>
      <c r="G64" s="14">
        <v>7</v>
      </c>
      <c r="H64" s="13" t="s">
        <v>393</v>
      </c>
      <c r="I64" s="15" t="s">
        <v>381</v>
      </c>
      <c r="J64" s="14" t="s">
        <v>6</v>
      </c>
      <c r="K64" s="15" t="s">
        <v>83</v>
      </c>
      <c r="L64" s="14">
        <v>80111620</v>
      </c>
      <c r="M64" s="14" t="s">
        <v>7</v>
      </c>
      <c r="N64" s="14" t="s">
        <v>253</v>
      </c>
      <c r="O64" s="15" t="s">
        <v>394</v>
      </c>
      <c r="P64" s="14" t="s">
        <v>255</v>
      </c>
      <c r="Q64" s="14" t="s">
        <v>255</v>
      </c>
      <c r="R64" s="14" t="s">
        <v>255</v>
      </c>
      <c r="S64" s="17">
        <v>10</v>
      </c>
      <c r="T64" s="14" t="s">
        <v>256</v>
      </c>
      <c r="U64" s="14" t="s">
        <v>257</v>
      </c>
      <c r="V64" s="14" t="s">
        <v>112</v>
      </c>
      <c r="W64" s="84">
        <v>122462550</v>
      </c>
      <c r="X64" s="18">
        <v>122462550</v>
      </c>
      <c r="Y64" s="19" t="s">
        <v>258</v>
      </c>
      <c r="Z64" s="19" t="s">
        <v>258</v>
      </c>
      <c r="AA64" s="19" t="s">
        <v>259</v>
      </c>
      <c r="AB64" s="14" t="s">
        <v>260</v>
      </c>
      <c r="AC64" s="14">
        <v>6012220601</v>
      </c>
      <c r="AD64" s="14" t="s">
        <v>261</v>
      </c>
      <c r="AE64" s="82">
        <v>122462550</v>
      </c>
      <c r="AF64" s="82">
        <v>0</v>
      </c>
      <c r="AG64" s="82">
        <v>0</v>
      </c>
      <c r="AH64" s="82">
        <v>1360695</v>
      </c>
      <c r="AI64" s="82">
        <v>0</v>
      </c>
      <c r="AJ64" s="82">
        <v>13606950</v>
      </c>
      <c r="AK64" s="82">
        <v>0</v>
      </c>
      <c r="AL64" s="82">
        <v>13606950</v>
      </c>
      <c r="AM64" s="82">
        <v>0</v>
      </c>
      <c r="AN64" s="82">
        <v>13606950</v>
      </c>
      <c r="AO64" s="82">
        <v>0</v>
      </c>
      <c r="AP64" s="82">
        <v>13606950</v>
      </c>
      <c r="AQ64" s="82">
        <v>0</v>
      </c>
      <c r="AR64" s="82">
        <v>13606950</v>
      </c>
      <c r="AS64" s="82">
        <v>0</v>
      </c>
      <c r="AT64" s="82">
        <v>13606950</v>
      </c>
      <c r="AU64" s="82">
        <v>0</v>
      </c>
      <c r="AV64" s="82">
        <v>13606950</v>
      </c>
      <c r="AW64" s="82">
        <v>0</v>
      </c>
      <c r="AX64" s="82">
        <v>13606950</v>
      </c>
      <c r="AY64" s="82">
        <v>0</v>
      </c>
      <c r="AZ64" s="82">
        <v>12246255</v>
      </c>
      <c r="BA64" s="82">
        <v>0</v>
      </c>
      <c r="BB64" s="82">
        <v>0</v>
      </c>
      <c r="BC64" s="82">
        <f t="shared" ref="BC64:BD64" si="116">AE64+AG64+AI64+AK64+AM64+AO64+AQ64+AS64+AU64+AW64+AY64+BA64</f>
        <v>122462550</v>
      </c>
      <c r="BD64" s="82">
        <f t="shared" si="116"/>
        <v>122462550</v>
      </c>
      <c r="BE64" s="83">
        <f t="shared" si="1"/>
        <v>0</v>
      </c>
      <c r="BF64" s="83">
        <f t="shared" si="2"/>
        <v>0</v>
      </c>
      <c r="BG64" s="14" t="str">
        <f ca="1">IFERROR(__xludf.DUMMYFUNCTION("REGEXEXTRACT(O58,""^\S+\s(.+)$"")"),"Prestación de servicios profesionales para la conceptualización, diseño e implementación de estrategias pedagógicas innovadoras y metodologías efectivas de transferencia de conocimiento, con el propósito de fortalecer el diálogo, la apropiación social y l"&amp;"a construcción de capacidades entre la Unidad de Planeación Minero Energética y sus grupos de valor.")</f>
        <v>Prestación de servicios profesionales para la conceptualización, diseño e implementación de estrategias pedagógicas innovadoras y metodologías efectivas de transferencia de conocimiento, con el propósito de fortalecer el diálogo, la apropiación social y la construcción de capacidades entre la Unidad de Planeación Minero Energética y sus grupos de valor.</v>
      </c>
      <c r="BH64" s="23">
        <v>122462550</v>
      </c>
      <c r="BI64" s="23"/>
      <c r="BJ64" s="23"/>
      <c r="BK64" s="23">
        <v>1360695</v>
      </c>
      <c r="BL64" s="23"/>
      <c r="BM64" s="23">
        <v>13606950</v>
      </c>
      <c r="BN64" s="23"/>
      <c r="BO64" s="23">
        <v>13606950</v>
      </c>
      <c r="BP64" s="23"/>
      <c r="BQ64" s="23">
        <v>13606950</v>
      </c>
      <c r="BR64" s="23"/>
      <c r="BS64" s="23">
        <v>13606950</v>
      </c>
      <c r="BT64" s="23"/>
      <c r="BU64" s="23">
        <v>13606950</v>
      </c>
      <c r="BV64" s="23"/>
      <c r="BW64" s="23">
        <v>13606950</v>
      </c>
      <c r="BX64" s="23"/>
      <c r="BY64" s="23">
        <v>13606950</v>
      </c>
      <c r="BZ64" s="23"/>
      <c r="CA64" s="23">
        <v>13606950</v>
      </c>
      <c r="CB64" s="23"/>
      <c r="CC64" s="23">
        <v>12246255</v>
      </c>
      <c r="CD64" s="23"/>
      <c r="CE64" s="23"/>
      <c r="CF64" s="28"/>
      <c r="CG64" s="28"/>
      <c r="CH64" s="25">
        <f t="shared" ref="CH64:CI64" si="117">BH64+BJ64+BL64+BN64+BP64+BR64+BT64+BV64+BX64+BZ64+CB64+CD64+CF64</f>
        <v>122462550</v>
      </c>
      <c r="CI64" s="25">
        <f t="shared" si="117"/>
        <v>122462550</v>
      </c>
      <c r="CJ64" s="26">
        <f t="shared" si="4"/>
        <v>0</v>
      </c>
      <c r="CK64" s="26">
        <f t="shared" si="5"/>
        <v>0</v>
      </c>
    </row>
    <row r="65" spans="1:89" ht="90" customHeight="1" x14ac:dyDescent="0.3">
      <c r="A65" s="13" t="s">
        <v>248</v>
      </c>
      <c r="B65" s="14" t="s">
        <v>3</v>
      </c>
      <c r="C65" s="15" t="s">
        <v>249</v>
      </c>
      <c r="D65" s="14" t="s">
        <v>62</v>
      </c>
      <c r="E65" s="13" t="s">
        <v>250</v>
      </c>
      <c r="F65" s="13" t="s">
        <v>250</v>
      </c>
      <c r="G65" s="14">
        <v>22</v>
      </c>
      <c r="H65" s="13" t="s">
        <v>395</v>
      </c>
      <c r="I65" s="15" t="s">
        <v>381</v>
      </c>
      <c r="J65" s="14" t="s">
        <v>6</v>
      </c>
      <c r="K65" s="15" t="s">
        <v>83</v>
      </c>
      <c r="L65" s="14">
        <v>80111620</v>
      </c>
      <c r="M65" s="14" t="s">
        <v>7</v>
      </c>
      <c r="N65" s="14" t="s">
        <v>253</v>
      </c>
      <c r="O65" s="15" t="s">
        <v>396</v>
      </c>
      <c r="P65" s="14" t="s">
        <v>255</v>
      </c>
      <c r="Q65" s="14" t="s">
        <v>255</v>
      </c>
      <c r="R65" s="14" t="s">
        <v>255</v>
      </c>
      <c r="S65" s="17">
        <v>9</v>
      </c>
      <c r="T65" s="14" t="s">
        <v>256</v>
      </c>
      <c r="U65" s="14" t="s">
        <v>257</v>
      </c>
      <c r="V65" s="14" t="s">
        <v>112</v>
      </c>
      <c r="W65" s="84">
        <v>0</v>
      </c>
      <c r="X65" s="84">
        <v>0</v>
      </c>
      <c r="Y65" s="19" t="s">
        <v>258</v>
      </c>
      <c r="Z65" s="19" t="s">
        <v>258</v>
      </c>
      <c r="AA65" s="19" t="s">
        <v>259</v>
      </c>
      <c r="AB65" s="14" t="s">
        <v>260</v>
      </c>
      <c r="AC65" s="14">
        <v>6012220601</v>
      </c>
      <c r="AD65" s="14" t="s">
        <v>261</v>
      </c>
      <c r="AE65" s="82">
        <v>0</v>
      </c>
      <c r="AF65" s="82">
        <v>0</v>
      </c>
      <c r="AG65" s="82">
        <v>0</v>
      </c>
      <c r="AH65" s="82">
        <v>0</v>
      </c>
      <c r="AI65" s="82">
        <v>0</v>
      </c>
      <c r="AJ65" s="82">
        <v>0</v>
      </c>
      <c r="AK65" s="82">
        <v>0</v>
      </c>
      <c r="AL65" s="82">
        <v>0</v>
      </c>
      <c r="AM65" s="82">
        <v>0</v>
      </c>
      <c r="AN65" s="82">
        <v>0</v>
      </c>
      <c r="AO65" s="82">
        <v>0</v>
      </c>
      <c r="AP65" s="82">
        <v>0</v>
      </c>
      <c r="AQ65" s="82">
        <v>29569050</v>
      </c>
      <c r="AR65" s="82">
        <v>0</v>
      </c>
      <c r="AS65" s="82">
        <v>0</v>
      </c>
      <c r="AT65" s="82">
        <v>0</v>
      </c>
      <c r="AU65" s="82">
        <v>0</v>
      </c>
      <c r="AV65" s="82">
        <v>0</v>
      </c>
      <c r="AW65" s="82">
        <v>0</v>
      </c>
      <c r="AX65" s="82">
        <v>0</v>
      </c>
      <c r="AY65" s="82">
        <v>0</v>
      </c>
      <c r="AZ65" s="82">
        <v>0</v>
      </c>
      <c r="BA65" s="82">
        <v>0</v>
      </c>
      <c r="BB65" s="82">
        <v>29569050</v>
      </c>
      <c r="BC65" s="82">
        <f t="shared" ref="BC65:BD65" si="118">AE65+AG65+AI65+AK65+AM65+AO65+AQ65+AS65+AU65+AW65+AY65+BA65</f>
        <v>29569050</v>
      </c>
      <c r="BD65" s="82">
        <f t="shared" si="118"/>
        <v>29569050</v>
      </c>
      <c r="BE65" s="83">
        <f t="shared" si="1"/>
        <v>-29569050</v>
      </c>
      <c r="BF65" s="83">
        <f t="shared" si="2"/>
        <v>-29569050</v>
      </c>
      <c r="BG65" s="14" t="str">
        <f ca="1">IFERROR(__xludf.DUMMYFUNCTION("REGEXEXTRACT(O59,""^\S+\s(.+)$"")"),"Prestar servicios profesionales para el seguimiento a la implementación de los proyectos de generación con conexión aprobada por la Unidad de Planeación Minero Energética, en aras de identificar y gestionar soluciones a desafíos ambientales, sociales, ter"&amp;"ritoriales, entre otras, a través de la articulación con los actores estratégicos a nivel local, regional y nacional.")</f>
        <v>Prestar servicios profesionales para el seguimiento a la implementación de los proyectos de generación con conexión aprobada por la Unidad de Planeación Minero Energética, en aras de identificar y gestionar soluciones a desafíos ambientales, sociales, territoriales, entre otras, a través de la articulación con los actores estratégicos a nivel local, regional y nacional.</v>
      </c>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8"/>
      <c r="CG65" s="28"/>
      <c r="CH65" s="25">
        <f t="shared" ref="CH65:CI65" si="119">BH65+BJ65+BL65+BN65+BP65+BR65+BT65+BV65+BX65+BZ65+CB65+CD65+CF65</f>
        <v>0</v>
      </c>
      <c r="CI65" s="25">
        <f t="shared" si="119"/>
        <v>0</v>
      </c>
      <c r="CJ65" s="26">
        <f t="shared" si="4"/>
        <v>0</v>
      </c>
      <c r="CK65" s="26">
        <f t="shared" si="5"/>
        <v>0</v>
      </c>
    </row>
    <row r="66" spans="1:89" ht="90" customHeight="1" x14ac:dyDescent="0.3">
      <c r="A66" s="13" t="s">
        <v>248</v>
      </c>
      <c r="B66" s="14" t="s">
        <v>3</v>
      </c>
      <c r="C66" s="15" t="s">
        <v>249</v>
      </c>
      <c r="D66" s="14" t="s">
        <v>62</v>
      </c>
      <c r="E66" s="13" t="s">
        <v>250</v>
      </c>
      <c r="F66" s="13" t="s">
        <v>250</v>
      </c>
      <c r="G66" s="14">
        <v>68</v>
      </c>
      <c r="H66" s="13" t="s">
        <v>397</v>
      </c>
      <c r="I66" s="15" t="s">
        <v>381</v>
      </c>
      <c r="J66" s="14" t="s">
        <v>6</v>
      </c>
      <c r="K66" s="15" t="s">
        <v>83</v>
      </c>
      <c r="L66" s="14">
        <v>80111620</v>
      </c>
      <c r="M66" s="14" t="s">
        <v>7</v>
      </c>
      <c r="N66" s="14" t="s">
        <v>253</v>
      </c>
      <c r="O66" s="15" t="s">
        <v>398</v>
      </c>
      <c r="P66" s="14" t="s">
        <v>255</v>
      </c>
      <c r="Q66" s="14" t="s">
        <v>255</v>
      </c>
      <c r="R66" s="14" t="s">
        <v>255</v>
      </c>
      <c r="S66" s="17">
        <v>9</v>
      </c>
      <c r="T66" s="14" t="s">
        <v>256</v>
      </c>
      <c r="U66" s="14" t="s">
        <v>257</v>
      </c>
      <c r="V66" s="14" t="s">
        <v>112</v>
      </c>
      <c r="W66" s="84">
        <v>48600000</v>
      </c>
      <c r="X66" s="18">
        <v>48600000</v>
      </c>
      <c r="Y66" s="19" t="s">
        <v>258</v>
      </c>
      <c r="Z66" s="19" t="s">
        <v>258</v>
      </c>
      <c r="AA66" s="19" t="s">
        <v>259</v>
      </c>
      <c r="AB66" s="14" t="s">
        <v>260</v>
      </c>
      <c r="AC66" s="14">
        <v>6012220601</v>
      </c>
      <c r="AD66" s="14" t="s">
        <v>261</v>
      </c>
      <c r="AE66" s="82">
        <v>0</v>
      </c>
      <c r="AF66" s="82">
        <v>0</v>
      </c>
      <c r="AG66" s="82">
        <v>48600000</v>
      </c>
      <c r="AH66" s="82">
        <v>0</v>
      </c>
      <c r="AI66" s="82">
        <v>0</v>
      </c>
      <c r="AJ66" s="82">
        <v>4860000</v>
      </c>
      <c r="AK66" s="82">
        <v>0</v>
      </c>
      <c r="AL66" s="82">
        <v>5400000</v>
      </c>
      <c r="AM66" s="82">
        <v>0</v>
      </c>
      <c r="AN66" s="82">
        <v>5400000</v>
      </c>
      <c r="AO66" s="82">
        <v>0</v>
      </c>
      <c r="AP66" s="82">
        <v>5400000</v>
      </c>
      <c r="AQ66" s="82">
        <v>0</v>
      </c>
      <c r="AR66" s="82">
        <v>5400000</v>
      </c>
      <c r="AS66" s="82">
        <v>0</v>
      </c>
      <c r="AT66" s="82">
        <v>5400000</v>
      </c>
      <c r="AU66" s="82">
        <v>0</v>
      </c>
      <c r="AV66" s="82">
        <v>5400000</v>
      </c>
      <c r="AW66" s="82">
        <v>0</v>
      </c>
      <c r="AX66" s="82">
        <v>5400000</v>
      </c>
      <c r="AY66" s="82">
        <v>0</v>
      </c>
      <c r="AZ66" s="82">
        <v>5400000</v>
      </c>
      <c r="BA66" s="82">
        <v>0</v>
      </c>
      <c r="BB66" s="82">
        <v>540000</v>
      </c>
      <c r="BC66" s="82">
        <f t="shared" ref="BC66:BD66" si="120">AE66+AG66+AI66+AK66+AM66+AO66+AQ66+AS66+AU66+AW66+AY66+BA66</f>
        <v>48600000</v>
      </c>
      <c r="BD66" s="82">
        <f t="shared" si="120"/>
        <v>48600000</v>
      </c>
      <c r="BE66" s="83">
        <f t="shared" si="1"/>
        <v>0</v>
      </c>
      <c r="BF66" s="83">
        <f t="shared" si="2"/>
        <v>0</v>
      </c>
      <c r="BG66" s="14" t="str">
        <f ca="1">IFERROR(__xludf.DUMMYFUNCTION("REGEXEXTRACT(O60,""^\S+\s(.+)$"")"),"Prestar servicios profesionales de asesoría jurídica y apoyo orientados a la incorporación transversal del enfoque social y de género en la gestión institucional, mediante la emisión de conceptos y estrategias jurídicas que promuevan y fortalezcan la incl"&amp;"usión, la equidad, la prevención de todas las formas de discriminación y la participación ciudadana y comunitaria, avalando la adecuada integración de dichos enfoques en el marco de los proyectos y funciones de la entidad, con  prevalencia en la perspecti"&amp;"va y el enfoque de género.")</f>
        <v>Prestar servicios profesionales de asesoría jurídica y apoyo orientados a la incorporación transversal del enfoque social y de género en la gestión institucional, mediante la emisión de conceptos y estrategias jurídicas que promuevan y fortalezcan la inclusión, la equidad, la prevención de todas las formas de discriminación y la participación ciudadana y comunitaria, avalando la adecuada integración de dichos enfoques en el marco de los proyectos y funciones de la entidad, con  prevalencia en la perspectiva y el enfoque de género.</v>
      </c>
      <c r="BH66" s="23"/>
      <c r="BI66" s="23"/>
      <c r="BJ66" s="23">
        <v>48600000</v>
      </c>
      <c r="BK66" s="23"/>
      <c r="BL66" s="23"/>
      <c r="BM66" s="23">
        <v>4860000</v>
      </c>
      <c r="BN66" s="23"/>
      <c r="BO66" s="23">
        <v>5400000</v>
      </c>
      <c r="BP66" s="23"/>
      <c r="BQ66" s="23">
        <v>5400000</v>
      </c>
      <c r="BR66" s="23"/>
      <c r="BS66" s="23">
        <v>5400000</v>
      </c>
      <c r="BT66" s="23"/>
      <c r="BU66" s="23">
        <v>5400000</v>
      </c>
      <c r="BV66" s="23"/>
      <c r="BW66" s="23">
        <v>5400000</v>
      </c>
      <c r="BX66" s="23"/>
      <c r="BY66" s="23">
        <v>5400000</v>
      </c>
      <c r="BZ66" s="23"/>
      <c r="CA66" s="23">
        <v>5400000</v>
      </c>
      <c r="CB66" s="23"/>
      <c r="CC66" s="23">
        <v>5400000</v>
      </c>
      <c r="CD66" s="23"/>
      <c r="CE66" s="23">
        <v>540000</v>
      </c>
      <c r="CF66" s="28"/>
      <c r="CG66" s="28"/>
      <c r="CH66" s="25">
        <f t="shared" ref="CH66:CI66" si="121">BH66+BJ66+BL66+BN66+BP66+BR66+BT66+BV66+BX66+BZ66+CB66+CD66+CF66</f>
        <v>48600000</v>
      </c>
      <c r="CI66" s="25">
        <f t="shared" si="121"/>
        <v>48600000</v>
      </c>
      <c r="CJ66" s="26">
        <f t="shared" si="4"/>
        <v>0</v>
      </c>
      <c r="CK66" s="26">
        <f t="shared" si="5"/>
        <v>0</v>
      </c>
    </row>
    <row r="67" spans="1:89" ht="90" customHeight="1" x14ac:dyDescent="0.3">
      <c r="A67" s="13" t="s">
        <v>248</v>
      </c>
      <c r="B67" s="14" t="s">
        <v>3</v>
      </c>
      <c r="C67" s="15" t="s">
        <v>249</v>
      </c>
      <c r="D67" s="14" t="s">
        <v>62</v>
      </c>
      <c r="E67" s="13" t="s">
        <v>250</v>
      </c>
      <c r="F67" s="13" t="s">
        <v>250</v>
      </c>
      <c r="G67" s="29">
        <v>22</v>
      </c>
      <c r="H67" s="13" t="s">
        <v>399</v>
      </c>
      <c r="I67" s="15" t="s">
        <v>381</v>
      </c>
      <c r="J67" s="14" t="s">
        <v>6</v>
      </c>
      <c r="K67" s="15" t="s">
        <v>83</v>
      </c>
      <c r="L67" s="14">
        <v>80141607</v>
      </c>
      <c r="M67" s="14" t="s">
        <v>7</v>
      </c>
      <c r="N67" s="14" t="s">
        <v>284</v>
      </c>
      <c r="O67" s="15" t="s">
        <v>400</v>
      </c>
      <c r="P67" s="14" t="s">
        <v>255</v>
      </c>
      <c r="Q67" s="14" t="s">
        <v>255</v>
      </c>
      <c r="R67" s="14" t="s">
        <v>255</v>
      </c>
      <c r="S67" s="17">
        <v>11</v>
      </c>
      <c r="T67" s="14" t="s">
        <v>256</v>
      </c>
      <c r="U67" s="14" t="s">
        <v>286</v>
      </c>
      <c r="V67" s="14" t="s">
        <v>113</v>
      </c>
      <c r="W67" s="84">
        <v>66974271</v>
      </c>
      <c r="X67" s="84">
        <v>66974271</v>
      </c>
      <c r="Y67" s="19" t="s">
        <v>258</v>
      </c>
      <c r="Z67" s="19" t="s">
        <v>258</v>
      </c>
      <c r="AA67" s="19" t="s">
        <v>259</v>
      </c>
      <c r="AB67" s="14" t="s">
        <v>260</v>
      </c>
      <c r="AC67" s="14">
        <v>6012220601</v>
      </c>
      <c r="AD67" s="14" t="s">
        <v>261</v>
      </c>
      <c r="AE67" s="82">
        <v>66974271</v>
      </c>
      <c r="AF67" s="82">
        <v>0</v>
      </c>
      <c r="AG67" s="82">
        <v>0</v>
      </c>
      <c r="AH67" s="82">
        <v>0</v>
      </c>
      <c r="AI67" s="82">
        <v>0</v>
      </c>
      <c r="AJ67" s="82">
        <v>0</v>
      </c>
      <c r="AK67" s="82">
        <v>0</v>
      </c>
      <c r="AL67" s="82">
        <v>0</v>
      </c>
      <c r="AM67" s="82">
        <v>0</v>
      </c>
      <c r="AN67" s="82">
        <v>0</v>
      </c>
      <c r="AO67" s="82">
        <v>0</v>
      </c>
      <c r="AP67" s="82">
        <v>0</v>
      </c>
      <c r="AQ67" s="82">
        <v>0</v>
      </c>
      <c r="AR67" s="82">
        <v>0</v>
      </c>
      <c r="AS67" s="82">
        <v>0</v>
      </c>
      <c r="AT67" s="82">
        <v>0</v>
      </c>
      <c r="AU67" s="82">
        <v>0</v>
      </c>
      <c r="AV67" s="82">
        <v>0</v>
      </c>
      <c r="AW67" s="82">
        <v>0</v>
      </c>
      <c r="AX67" s="82">
        <v>0</v>
      </c>
      <c r="AY67" s="82">
        <v>0</v>
      </c>
      <c r="AZ67" s="82">
        <v>20000000</v>
      </c>
      <c r="BA67" s="82">
        <v>0</v>
      </c>
      <c r="BB67" s="82">
        <v>46974271</v>
      </c>
      <c r="BC67" s="82">
        <f t="shared" ref="BC67:BD67" si="122">AE67+AG67+AI67+AK67+AM67+AO67+AQ67+AS67+AU67+AW67+AY67+BA67</f>
        <v>66974271</v>
      </c>
      <c r="BD67" s="82">
        <f t="shared" si="122"/>
        <v>66974271</v>
      </c>
      <c r="BE67" s="83">
        <f t="shared" si="1"/>
        <v>0</v>
      </c>
      <c r="BF67" s="83">
        <f t="shared" si="2"/>
        <v>0</v>
      </c>
      <c r="BG67" s="14" t="str">
        <f ca="1">IFERROR(__xludf.DUMMYFUNCTION("REGEXEXTRACT(O61,""^\S+\s(.+)$"")"),"Prestación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7" s="23">
        <v>66974271</v>
      </c>
      <c r="BI67" s="23">
        <v>0</v>
      </c>
      <c r="BJ67" s="23">
        <v>0</v>
      </c>
      <c r="BK67" s="23">
        <v>0</v>
      </c>
      <c r="BL67" s="23">
        <v>0</v>
      </c>
      <c r="BM67" s="23">
        <v>0</v>
      </c>
      <c r="BN67" s="23">
        <v>0</v>
      </c>
      <c r="BO67" s="23">
        <v>0</v>
      </c>
      <c r="BP67" s="23">
        <v>74569050</v>
      </c>
      <c r="BQ67" s="23">
        <v>0</v>
      </c>
      <c r="BR67" s="23">
        <v>0</v>
      </c>
      <c r="BS67" s="23">
        <v>10000000</v>
      </c>
      <c r="BT67" s="23">
        <v>0</v>
      </c>
      <c r="BU67" s="23">
        <v>20000000</v>
      </c>
      <c r="BV67" s="23">
        <v>0</v>
      </c>
      <c r="BW67" s="23">
        <v>10000000</v>
      </c>
      <c r="BX67" s="23">
        <v>0</v>
      </c>
      <c r="BY67" s="23">
        <v>10000000</v>
      </c>
      <c r="BZ67" s="23">
        <v>0</v>
      </c>
      <c r="CA67" s="23">
        <v>24569050</v>
      </c>
      <c r="CB67" s="23">
        <v>0</v>
      </c>
      <c r="CC67" s="23">
        <v>20000000</v>
      </c>
      <c r="CD67" s="23">
        <v>0</v>
      </c>
      <c r="CE67" s="23">
        <v>46974271</v>
      </c>
      <c r="CF67" s="28"/>
      <c r="CG67" s="28"/>
      <c r="CH67" s="25">
        <f t="shared" ref="CH67:CI67" si="123">BH67+BJ67+BL67+BN67+BP67+BR67+BT67+BV67+BX67+BZ67+CB67+CD67+CF67</f>
        <v>141543321</v>
      </c>
      <c r="CI67" s="25">
        <f t="shared" si="123"/>
        <v>141543321</v>
      </c>
      <c r="CJ67" s="26">
        <f t="shared" si="4"/>
        <v>-74569050</v>
      </c>
      <c r="CK67" s="26">
        <f t="shared" si="5"/>
        <v>-74569050</v>
      </c>
    </row>
    <row r="68" spans="1:89" ht="90" customHeight="1" x14ac:dyDescent="0.3">
      <c r="A68" s="13" t="s">
        <v>248</v>
      </c>
      <c r="B68" s="14" t="s">
        <v>3</v>
      </c>
      <c r="C68" s="15" t="s">
        <v>249</v>
      </c>
      <c r="D68" s="14" t="s">
        <v>62</v>
      </c>
      <c r="E68" s="13" t="s">
        <v>250</v>
      </c>
      <c r="F68" s="13" t="s">
        <v>250</v>
      </c>
      <c r="G68" s="29" t="s">
        <v>401</v>
      </c>
      <c r="H68" s="13" t="s">
        <v>402</v>
      </c>
      <c r="I68" s="15" t="s">
        <v>381</v>
      </c>
      <c r="J68" s="14" t="s">
        <v>6</v>
      </c>
      <c r="K68" s="15" t="s">
        <v>83</v>
      </c>
      <c r="L68" s="14">
        <v>80141607</v>
      </c>
      <c r="M68" s="14" t="s">
        <v>7</v>
      </c>
      <c r="N68" s="14" t="s">
        <v>284</v>
      </c>
      <c r="O68" s="15" t="s">
        <v>403</v>
      </c>
      <c r="P68" s="14" t="s">
        <v>255</v>
      </c>
      <c r="Q68" s="14" t="s">
        <v>255</v>
      </c>
      <c r="R68" s="14" t="s">
        <v>255</v>
      </c>
      <c r="S68" s="17">
        <v>11</v>
      </c>
      <c r="T68" s="14" t="s">
        <v>256</v>
      </c>
      <c r="U68" s="14" t="s">
        <v>286</v>
      </c>
      <c r="V68" s="14" t="s">
        <v>112</v>
      </c>
      <c r="W68" s="84">
        <v>147912029</v>
      </c>
      <c r="X68" s="84">
        <v>147912029</v>
      </c>
      <c r="Y68" s="19" t="s">
        <v>258</v>
      </c>
      <c r="Z68" s="19" t="s">
        <v>258</v>
      </c>
      <c r="AA68" s="19" t="s">
        <v>259</v>
      </c>
      <c r="AB68" s="14" t="s">
        <v>260</v>
      </c>
      <c r="AC68" s="14">
        <v>6012220601</v>
      </c>
      <c r="AD68" s="14" t="s">
        <v>261</v>
      </c>
      <c r="AE68" s="82">
        <v>73342979</v>
      </c>
      <c r="AF68" s="82">
        <v>0</v>
      </c>
      <c r="AG68" s="82">
        <v>0</v>
      </c>
      <c r="AH68" s="82">
        <v>0</v>
      </c>
      <c r="AI68" s="82">
        <v>0</v>
      </c>
      <c r="AJ68" s="82">
        <v>15000000</v>
      </c>
      <c r="AK68" s="82">
        <v>0</v>
      </c>
      <c r="AL68" s="82">
        <v>0</v>
      </c>
      <c r="AM68" s="82">
        <v>0</v>
      </c>
      <c r="AN68" s="82">
        <v>15000000</v>
      </c>
      <c r="AO68" s="82">
        <v>0</v>
      </c>
      <c r="AP68" s="82">
        <v>15000000</v>
      </c>
      <c r="AQ68" s="82">
        <v>0</v>
      </c>
      <c r="AR68" s="82">
        <v>15000000</v>
      </c>
      <c r="AS68" s="82">
        <v>0</v>
      </c>
      <c r="AT68" s="82">
        <v>0</v>
      </c>
      <c r="AU68" s="82">
        <v>0</v>
      </c>
      <c r="AV68" s="82">
        <v>13342979</v>
      </c>
      <c r="AW68" s="82">
        <v>0</v>
      </c>
      <c r="AX68" s="82">
        <v>0</v>
      </c>
      <c r="AY68" s="82">
        <v>0</v>
      </c>
      <c r="AZ68" s="82">
        <v>0</v>
      </c>
      <c r="BA68" s="82">
        <v>0</v>
      </c>
      <c r="BB68" s="82">
        <v>0</v>
      </c>
      <c r="BC68" s="82">
        <f t="shared" ref="BC68:BD68" si="124">AE68+AG68+AI68+AK68+AM68+AO68+AQ68+AS68+AU68+AW68+AY68+BA68</f>
        <v>73342979</v>
      </c>
      <c r="BD68" s="82">
        <f t="shared" si="124"/>
        <v>73342979</v>
      </c>
      <c r="BE68" s="83">
        <f t="shared" si="1"/>
        <v>74569050</v>
      </c>
      <c r="BF68" s="83">
        <f t="shared" si="2"/>
        <v>74569050</v>
      </c>
      <c r="BG68" s="14" t="str">
        <f ca="1">IFERROR(__xludf.DUMMYFUNCTION("REGEXEXTRACT(O62,""^\S+\s(.+)$"")"),"Prestación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8" s="23">
        <v>73342979</v>
      </c>
      <c r="BI68" s="23"/>
      <c r="BJ68" s="23"/>
      <c r="BK68" s="23"/>
      <c r="BL68" s="23"/>
      <c r="BM68" s="23">
        <v>15000000</v>
      </c>
      <c r="BN68" s="23"/>
      <c r="BO68" s="23"/>
      <c r="BP68" s="23"/>
      <c r="BQ68" s="23">
        <v>15000000</v>
      </c>
      <c r="BR68" s="23"/>
      <c r="BS68" s="23">
        <v>15000000</v>
      </c>
      <c r="BT68" s="23"/>
      <c r="BU68" s="23">
        <v>15000000</v>
      </c>
      <c r="BV68" s="23"/>
      <c r="BW68" s="23"/>
      <c r="BX68" s="23"/>
      <c r="BY68" s="23">
        <v>13342979</v>
      </c>
      <c r="BZ68" s="23"/>
      <c r="CA68" s="23"/>
      <c r="CB68" s="23"/>
      <c r="CC68" s="23"/>
      <c r="CD68" s="23"/>
      <c r="CE68" s="23"/>
      <c r="CF68" s="28"/>
      <c r="CG68" s="28"/>
      <c r="CH68" s="25">
        <f t="shared" ref="CH68:CI68" si="125">BH68+BJ68+BL68+BN68+BP68+BR68+BT68+BV68+BX68+BZ68+CB68+CD68+CF68</f>
        <v>73342979</v>
      </c>
      <c r="CI68" s="25">
        <f t="shared" si="125"/>
        <v>73342979</v>
      </c>
      <c r="CJ68" s="26">
        <f t="shared" si="4"/>
        <v>74569050</v>
      </c>
      <c r="CK68" s="26">
        <f t="shared" si="5"/>
        <v>74569050</v>
      </c>
    </row>
    <row r="69" spans="1:89" ht="90" customHeight="1" x14ac:dyDescent="0.3">
      <c r="A69" s="13" t="s">
        <v>248</v>
      </c>
      <c r="B69" s="14" t="s">
        <v>3</v>
      </c>
      <c r="C69" s="15" t="s">
        <v>249</v>
      </c>
      <c r="D69" s="14" t="s">
        <v>62</v>
      </c>
      <c r="E69" s="13" t="s">
        <v>250</v>
      </c>
      <c r="F69" s="13" t="s">
        <v>250</v>
      </c>
      <c r="G69" s="14">
        <v>68</v>
      </c>
      <c r="H69" s="13" t="s">
        <v>404</v>
      </c>
      <c r="I69" s="15" t="s">
        <v>381</v>
      </c>
      <c r="J69" s="14" t="s">
        <v>6</v>
      </c>
      <c r="K69" s="15" t="s">
        <v>83</v>
      </c>
      <c r="L69" s="14">
        <v>80111620</v>
      </c>
      <c r="M69" s="14" t="s">
        <v>7</v>
      </c>
      <c r="N69" s="14" t="s">
        <v>253</v>
      </c>
      <c r="O69" s="15" t="s">
        <v>405</v>
      </c>
      <c r="P69" s="14" t="s">
        <v>255</v>
      </c>
      <c r="Q69" s="14" t="s">
        <v>255</v>
      </c>
      <c r="R69" s="14" t="s">
        <v>255</v>
      </c>
      <c r="S69" s="17">
        <v>9</v>
      </c>
      <c r="T69" s="14" t="s">
        <v>256</v>
      </c>
      <c r="U69" s="14" t="s">
        <v>257</v>
      </c>
      <c r="V69" s="14" t="s">
        <v>112</v>
      </c>
      <c r="W69" s="84">
        <v>29569050</v>
      </c>
      <c r="X69" s="18">
        <v>29569050</v>
      </c>
      <c r="Y69" s="19" t="s">
        <v>258</v>
      </c>
      <c r="Z69" s="19" t="s">
        <v>258</v>
      </c>
      <c r="AA69" s="19" t="s">
        <v>259</v>
      </c>
      <c r="AB69" s="14" t="s">
        <v>260</v>
      </c>
      <c r="AC69" s="14">
        <v>6012220601</v>
      </c>
      <c r="AD69" s="14" t="s">
        <v>261</v>
      </c>
      <c r="AE69" s="82">
        <v>0</v>
      </c>
      <c r="AF69" s="82">
        <v>0</v>
      </c>
      <c r="AG69" s="82">
        <v>29569050</v>
      </c>
      <c r="AH69" s="82">
        <v>0</v>
      </c>
      <c r="AI69" s="82">
        <v>0</v>
      </c>
      <c r="AJ69" s="82">
        <v>2956905</v>
      </c>
      <c r="AK69" s="82">
        <v>0</v>
      </c>
      <c r="AL69" s="82">
        <v>3285450</v>
      </c>
      <c r="AM69" s="82">
        <v>0</v>
      </c>
      <c r="AN69" s="82">
        <v>3285450</v>
      </c>
      <c r="AO69" s="82">
        <v>0</v>
      </c>
      <c r="AP69" s="82">
        <v>3285450</v>
      </c>
      <c r="AQ69" s="82">
        <v>0</v>
      </c>
      <c r="AR69" s="82">
        <v>3285450</v>
      </c>
      <c r="AS69" s="82">
        <v>0</v>
      </c>
      <c r="AT69" s="82">
        <v>3285450</v>
      </c>
      <c r="AU69" s="82">
        <v>0</v>
      </c>
      <c r="AV69" s="82">
        <v>3285450</v>
      </c>
      <c r="AW69" s="82">
        <v>0</v>
      </c>
      <c r="AX69" s="82">
        <v>3285450</v>
      </c>
      <c r="AY69" s="82">
        <v>0</v>
      </c>
      <c r="AZ69" s="82">
        <v>3285450</v>
      </c>
      <c r="BA69" s="82">
        <v>0</v>
      </c>
      <c r="BB69" s="82">
        <v>328545</v>
      </c>
      <c r="BC69" s="82">
        <f t="shared" ref="BC69:BD69" si="126">AE69+AG69+AI69+AK69+AM69+AO69+AQ69+AS69+AU69+AW69+AY69+BA69</f>
        <v>29569050</v>
      </c>
      <c r="BD69" s="82">
        <f t="shared" si="126"/>
        <v>29569050</v>
      </c>
      <c r="BE69" s="83">
        <f t="shared" si="1"/>
        <v>0</v>
      </c>
      <c r="BF69" s="83">
        <f t="shared" si="2"/>
        <v>0</v>
      </c>
      <c r="BG69" s="14" t="str">
        <f ca="1">IFERROR(__xludf.DUMMYFUNCTION("REGEXEXTRACT(O63,""^\S+\s(.+)$"")"),"Prestar servicios profesionales en la incorporación de enfoque de prevención de violencias basadas en género (VBG), la aplicación del protocolo institucional en comisiones nacionales y actividades de trabajo territorial, en concordancia con la Política de"&amp;" Mujer y Género y el Convenio 190 de la OIT.")</f>
        <v>Prestar servicios profesionales en la incorporación de enfoque de prevención de violencias basadas en género (VBG), la aplicación del protocolo institucional en comisiones nacionales y actividades de trabajo territorial, en concordancia con la Política de Mujer y Género y el Convenio 190 de la OIT.</v>
      </c>
      <c r="BH69" s="23"/>
      <c r="BI69" s="23"/>
      <c r="BJ69" s="23">
        <v>29569050</v>
      </c>
      <c r="BK69" s="23"/>
      <c r="BL69" s="23"/>
      <c r="BM69" s="23">
        <v>2956905</v>
      </c>
      <c r="BN69" s="23"/>
      <c r="BO69" s="23">
        <v>3285450</v>
      </c>
      <c r="BP69" s="23"/>
      <c r="BQ69" s="23">
        <v>3285450</v>
      </c>
      <c r="BR69" s="23"/>
      <c r="BS69" s="23">
        <v>3285450</v>
      </c>
      <c r="BT69" s="23"/>
      <c r="BU69" s="23">
        <v>3285450</v>
      </c>
      <c r="BV69" s="23"/>
      <c r="BW69" s="23">
        <v>3285450</v>
      </c>
      <c r="BX69" s="23"/>
      <c r="BY69" s="23">
        <v>3285450</v>
      </c>
      <c r="BZ69" s="23"/>
      <c r="CA69" s="23">
        <v>3285450</v>
      </c>
      <c r="CB69" s="23"/>
      <c r="CC69" s="23">
        <v>3285450</v>
      </c>
      <c r="CD69" s="23"/>
      <c r="CE69" s="23">
        <v>328545</v>
      </c>
      <c r="CF69" s="28"/>
      <c r="CG69" s="28"/>
      <c r="CH69" s="25">
        <f t="shared" ref="CH69:CI69" si="127">BH69+BJ69+BL69+BN69+BP69+BR69+BT69+BV69+BX69+BZ69+CB69+CD69+CF69</f>
        <v>29569050</v>
      </c>
      <c r="CI69" s="25">
        <f t="shared" si="127"/>
        <v>29569050</v>
      </c>
      <c r="CJ69" s="26">
        <f t="shared" si="4"/>
        <v>0</v>
      </c>
      <c r="CK69" s="26">
        <f t="shared" si="5"/>
        <v>0</v>
      </c>
    </row>
    <row r="70" spans="1:89" ht="90" customHeight="1" x14ac:dyDescent="0.3">
      <c r="A70" s="13" t="s">
        <v>248</v>
      </c>
      <c r="B70" s="14" t="s">
        <v>3</v>
      </c>
      <c r="C70" s="15" t="s">
        <v>249</v>
      </c>
      <c r="D70" s="14" t="s">
        <v>62</v>
      </c>
      <c r="E70" s="13" t="s">
        <v>250</v>
      </c>
      <c r="F70" s="13" t="s">
        <v>250</v>
      </c>
      <c r="G70" s="14">
        <v>68</v>
      </c>
      <c r="H70" s="13" t="s">
        <v>406</v>
      </c>
      <c r="I70" s="15" t="s">
        <v>381</v>
      </c>
      <c r="J70" s="14" t="s">
        <v>6</v>
      </c>
      <c r="K70" s="15" t="s">
        <v>83</v>
      </c>
      <c r="L70" s="14">
        <v>80111620</v>
      </c>
      <c r="M70" s="14" t="s">
        <v>7</v>
      </c>
      <c r="N70" s="14" t="s">
        <v>253</v>
      </c>
      <c r="O70" s="15" t="s">
        <v>407</v>
      </c>
      <c r="P70" s="14" t="s">
        <v>255</v>
      </c>
      <c r="Q70" s="14" t="s">
        <v>255</v>
      </c>
      <c r="R70" s="14" t="s">
        <v>255</v>
      </c>
      <c r="S70" s="17">
        <v>9</v>
      </c>
      <c r="T70" s="14" t="s">
        <v>256</v>
      </c>
      <c r="U70" s="14" t="s">
        <v>257</v>
      </c>
      <c r="V70" s="14" t="s">
        <v>112</v>
      </c>
      <c r="W70" s="84">
        <v>64800000</v>
      </c>
      <c r="X70" s="18">
        <v>64800000</v>
      </c>
      <c r="Y70" s="19" t="s">
        <v>258</v>
      </c>
      <c r="Z70" s="19" t="s">
        <v>258</v>
      </c>
      <c r="AA70" s="19" t="s">
        <v>259</v>
      </c>
      <c r="AB70" s="14" t="s">
        <v>260</v>
      </c>
      <c r="AC70" s="14">
        <v>6012220601</v>
      </c>
      <c r="AD70" s="14" t="s">
        <v>261</v>
      </c>
      <c r="AE70" s="82">
        <v>0</v>
      </c>
      <c r="AF70" s="82">
        <v>0</v>
      </c>
      <c r="AG70" s="82">
        <v>64800000</v>
      </c>
      <c r="AH70" s="82">
        <v>0</v>
      </c>
      <c r="AI70" s="82">
        <v>0</v>
      </c>
      <c r="AJ70" s="82">
        <v>6240000</v>
      </c>
      <c r="AK70" s="82">
        <v>0</v>
      </c>
      <c r="AL70" s="82">
        <v>7200000</v>
      </c>
      <c r="AM70" s="82">
        <v>0</v>
      </c>
      <c r="AN70" s="82">
        <v>7200000</v>
      </c>
      <c r="AO70" s="82">
        <v>0</v>
      </c>
      <c r="AP70" s="82">
        <v>7200000</v>
      </c>
      <c r="AQ70" s="82">
        <v>0</v>
      </c>
      <c r="AR70" s="82">
        <v>7200000</v>
      </c>
      <c r="AS70" s="82">
        <v>0</v>
      </c>
      <c r="AT70" s="82">
        <v>7200000</v>
      </c>
      <c r="AU70" s="82">
        <v>0</v>
      </c>
      <c r="AV70" s="82">
        <v>7200000</v>
      </c>
      <c r="AW70" s="82">
        <v>0</v>
      </c>
      <c r="AX70" s="82">
        <v>7200000</v>
      </c>
      <c r="AY70" s="82">
        <v>0</v>
      </c>
      <c r="AZ70" s="82">
        <v>7200000</v>
      </c>
      <c r="BA70" s="82">
        <v>0</v>
      </c>
      <c r="BB70" s="82">
        <v>960000</v>
      </c>
      <c r="BC70" s="82">
        <f t="shared" ref="BC70:BD70" si="128">AE70+AG70+AI70+AK70+AM70+AO70+AQ70+AS70+AU70+AW70+AY70+BA70</f>
        <v>64800000</v>
      </c>
      <c r="BD70" s="82">
        <f t="shared" si="128"/>
        <v>64800000</v>
      </c>
      <c r="BE70" s="83">
        <f t="shared" si="1"/>
        <v>0</v>
      </c>
      <c r="BF70" s="83">
        <f t="shared" si="2"/>
        <v>0</v>
      </c>
      <c r="BG70" s="14" t="str">
        <f ca="1">IFERROR(__xludf.DUMMYFUNCTION("REGEXEXTRACT(O64,""^\S+\s(.+)$"")"),"Prestar los servicios profesionales en la implementación y articulación de análisis técnico para la inclusión de variables sociales en los documentos de la entidad, y apoyar los procesos relacionados con víctimas de conflictividad social en las zonas prio"&amp;"rizadas con indicadores de vulneración de los derechos humanos claves en la planeación minero energética.")</f>
        <v>Prestar los servicios profesionales en la implementación y articulación de análisis técnico para la inclusión de variables sociales en los documentos de la entidad, y apoyar los procesos relacionados con víctimas de conflictividad social en las zonas priorizadas con indicadores de vulneración de los derechos humanos claves en la planeación minero energética.</v>
      </c>
      <c r="BH70" s="23"/>
      <c r="BI70" s="23"/>
      <c r="BJ70" s="23">
        <v>64800000</v>
      </c>
      <c r="BK70" s="23"/>
      <c r="BL70" s="23"/>
      <c r="BM70" s="23">
        <v>6240000</v>
      </c>
      <c r="BN70" s="23"/>
      <c r="BO70" s="23">
        <v>7200000</v>
      </c>
      <c r="BP70" s="23"/>
      <c r="BQ70" s="23">
        <v>7200000</v>
      </c>
      <c r="BR70" s="23"/>
      <c r="BS70" s="23">
        <v>7200000</v>
      </c>
      <c r="BT70" s="23"/>
      <c r="BU70" s="23">
        <v>7200000</v>
      </c>
      <c r="BV70" s="23"/>
      <c r="BW70" s="23">
        <v>7200000</v>
      </c>
      <c r="BX70" s="23"/>
      <c r="BY70" s="23">
        <v>7200000</v>
      </c>
      <c r="BZ70" s="23"/>
      <c r="CA70" s="23">
        <v>7200000</v>
      </c>
      <c r="CB70" s="23"/>
      <c r="CC70" s="23">
        <v>7200000</v>
      </c>
      <c r="CD70" s="23"/>
      <c r="CE70" s="23">
        <v>960000</v>
      </c>
      <c r="CF70" s="28"/>
      <c r="CG70" s="28"/>
      <c r="CH70" s="25">
        <f t="shared" ref="CH70:CI70" si="129">BH70+BJ70+BL70+BN70+BP70+BR70+BT70+BV70+BX70+BZ70+CB70+CD70+CF70</f>
        <v>64800000</v>
      </c>
      <c r="CI70" s="25">
        <f t="shared" si="129"/>
        <v>64800000</v>
      </c>
      <c r="CJ70" s="26">
        <f t="shared" si="4"/>
        <v>0</v>
      </c>
      <c r="CK70" s="26">
        <f t="shared" si="5"/>
        <v>0</v>
      </c>
    </row>
    <row r="71" spans="1:89" ht="90" customHeight="1" x14ac:dyDescent="0.3">
      <c r="A71" s="13" t="s">
        <v>248</v>
      </c>
      <c r="B71" s="14" t="s">
        <v>3</v>
      </c>
      <c r="C71" s="15" t="s">
        <v>249</v>
      </c>
      <c r="D71" s="14" t="s">
        <v>62</v>
      </c>
      <c r="E71" s="13" t="s">
        <v>250</v>
      </c>
      <c r="F71" s="13" t="s">
        <v>250</v>
      </c>
      <c r="G71" s="14">
        <v>68</v>
      </c>
      <c r="H71" s="13" t="s">
        <v>408</v>
      </c>
      <c r="I71" s="15" t="s">
        <v>381</v>
      </c>
      <c r="J71" s="14" t="s">
        <v>6</v>
      </c>
      <c r="K71" s="15" t="s">
        <v>83</v>
      </c>
      <c r="L71" s="14">
        <v>80111620</v>
      </c>
      <c r="M71" s="14" t="s">
        <v>7</v>
      </c>
      <c r="N71" s="14" t="s">
        <v>253</v>
      </c>
      <c r="O71" s="15" t="s">
        <v>409</v>
      </c>
      <c r="P71" s="14" t="s">
        <v>255</v>
      </c>
      <c r="Q71" s="14" t="s">
        <v>255</v>
      </c>
      <c r="R71" s="14" t="s">
        <v>255</v>
      </c>
      <c r="S71" s="17">
        <v>9</v>
      </c>
      <c r="T71" s="14" t="s">
        <v>256</v>
      </c>
      <c r="U71" s="14" t="s">
        <v>257</v>
      </c>
      <c r="V71" s="14" t="s">
        <v>112</v>
      </c>
      <c r="W71" s="84">
        <v>29569050</v>
      </c>
      <c r="X71" s="18">
        <v>29569050</v>
      </c>
      <c r="Y71" s="19" t="s">
        <v>258</v>
      </c>
      <c r="Z71" s="19" t="s">
        <v>258</v>
      </c>
      <c r="AA71" s="19" t="s">
        <v>259</v>
      </c>
      <c r="AB71" s="14" t="s">
        <v>260</v>
      </c>
      <c r="AC71" s="14">
        <v>6012220601</v>
      </c>
      <c r="AD71" s="14" t="s">
        <v>261</v>
      </c>
      <c r="AE71" s="82">
        <v>0</v>
      </c>
      <c r="AF71" s="82">
        <v>0</v>
      </c>
      <c r="AG71" s="82">
        <v>29569050</v>
      </c>
      <c r="AH71" s="82">
        <v>0</v>
      </c>
      <c r="AI71" s="82">
        <v>0</v>
      </c>
      <c r="AJ71" s="82">
        <v>2956905</v>
      </c>
      <c r="AK71" s="82">
        <v>0</v>
      </c>
      <c r="AL71" s="82">
        <v>3285450</v>
      </c>
      <c r="AM71" s="82">
        <v>0</v>
      </c>
      <c r="AN71" s="82">
        <v>3285450</v>
      </c>
      <c r="AO71" s="82">
        <v>0</v>
      </c>
      <c r="AP71" s="82">
        <v>3285450</v>
      </c>
      <c r="AQ71" s="82">
        <v>0</v>
      </c>
      <c r="AR71" s="82">
        <v>3285450</v>
      </c>
      <c r="AS71" s="82">
        <v>0</v>
      </c>
      <c r="AT71" s="82">
        <v>3285450</v>
      </c>
      <c r="AU71" s="82">
        <v>0</v>
      </c>
      <c r="AV71" s="82">
        <v>3285450</v>
      </c>
      <c r="AW71" s="82">
        <v>0</v>
      </c>
      <c r="AX71" s="82">
        <v>3285450</v>
      </c>
      <c r="AY71" s="82">
        <v>0</v>
      </c>
      <c r="AZ71" s="82">
        <v>3285450</v>
      </c>
      <c r="BA71" s="82">
        <v>0</v>
      </c>
      <c r="BB71" s="82">
        <v>328545</v>
      </c>
      <c r="BC71" s="82">
        <f t="shared" ref="BC71:BD71" si="130">AE71+AG71+AI71+AK71+AM71+AO71+AQ71+AS71+AU71+AW71+AY71+BA71</f>
        <v>29569050</v>
      </c>
      <c r="BD71" s="82">
        <f t="shared" si="130"/>
        <v>29569050</v>
      </c>
      <c r="BE71" s="83">
        <f t="shared" si="1"/>
        <v>0</v>
      </c>
      <c r="BF71" s="83">
        <f t="shared" si="2"/>
        <v>0</v>
      </c>
      <c r="BG71" s="14" t="str">
        <f ca="1">IFERROR(__xludf.DUMMYFUNCTION("REGEXEXTRACT(O65,""^\S+\s(.+)$"")"),"Prestación de servicios profesionales para apoyar la planeación, convocatorias y jornadas pedagógicas presenciales y virtuales dirigida a actores locales, organizaciones comunitarias con entidades nacionales y regionales vinculadas a proyectos energéticos"&amp;".")</f>
        <v>Prestación de servicios profesionales para apoyar la planeación, convocatorias y jornadas pedagógicas presenciales y virtuales dirigida a actores locales, organizaciones comunitarias con entidades nacionales y regionales vinculadas a proyectos energéticos.</v>
      </c>
      <c r="BH71" s="23"/>
      <c r="BI71" s="23"/>
      <c r="BJ71" s="23">
        <v>29569050</v>
      </c>
      <c r="BK71" s="23"/>
      <c r="BL71" s="23"/>
      <c r="BM71" s="23">
        <v>2956905</v>
      </c>
      <c r="BN71" s="23"/>
      <c r="BO71" s="23">
        <v>3285450</v>
      </c>
      <c r="BP71" s="23"/>
      <c r="BQ71" s="23">
        <v>3285450</v>
      </c>
      <c r="BR71" s="23"/>
      <c r="BS71" s="23">
        <v>3285450</v>
      </c>
      <c r="BT71" s="23"/>
      <c r="BU71" s="23">
        <v>3285450</v>
      </c>
      <c r="BV71" s="23"/>
      <c r="BW71" s="23">
        <v>3285450</v>
      </c>
      <c r="BX71" s="23"/>
      <c r="BY71" s="23">
        <v>3285450</v>
      </c>
      <c r="BZ71" s="23"/>
      <c r="CA71" s="23">
        <v>3285450</v>
      </c>
      <c r="CB71" s="23"/>
      <c r="CC71" s="23">
        <v>3285450</v>
      </c>
      <c r="CD71" s="23"/>
      <c r="CE71" s="23">
        <v>328545</v>
      </c>
      <c r="CF71" s="28"/>
      <c r="CG71" s="28"/>
      <c r="CH71" s="25">
        <f t="shared" ref="CH71:CI71" si="131">BH71+BJ71+BL71+BN71+BP71+BR71+BT71+BV71+BX71+BZ71+CB71+CD71+CF71</f>
        <v>29569050</v>
      </c>
      <c r="CI71" s="25">
        <f t="shared" si="131"/>
        <v>29569050</v>
      </c>
      <c r="CJ71" s="26">
        <f t="shared" si="4"/>
        <v>0</v>
      </c>
      <c r="CK71" s="26">
        <f t="shared" si="5"/>
        <v>0</v>
      </c>
    </row>
    <row r="72" spans="1:89" ht="90" customHeight="1" x14ac:dyDescent="0.3">
      <c r="A72" s="13" t="s">
        <v>248</v>
      </c>
      <c r="B72" s="14" t="s">
        <v>3</v>
      </c>
      <c r="C72" s="15" t="s">
        <v>249</v>
      </c>
      <c r="D72" s="14" t="s">
        <v>62</v>
      </c>
      <c r="E72" s="13" t="s">
        <v>250</v>
      </c>
      <c r="F72" s="13" t="s">
        <v>250</v>
      </c>
      <c r="G72" s="14">
        <v>22</v>
      </c>
      <c r="H72" s="13" t="s">
        <v>410</v>
      </c>
      <c r="I72" s="15" t="s">
        <v>381</v>
      </c>
      <c r="J72" s="14" t="s">
        <v>6</v>
      </c>
      <c r="K72" s="15" t="s">
        <v>83</v>
      </c>
      <c r="L72" s="14">
        <v>80111620</v>
      </c>
      <c r="M72" s="14" t="s">
        <v>7</v>
      </c>
      <c r="N72" s="14" t="s">
        <v>253</v>
      </c>
      <c r="O72" s="15" t="s">
        <v>411</v>
      </c>
      <c r="P72" s="14" t="s">
        <v>255</v>
      </c>
      <c r="Q72" s="14" t="s">
        <v>255</v>
      </c>
      <c r="R72" s="14" t="s">
        <v>255</v>
      </c>
      <c r="S72" s="17">
        <v>9</v>
      </c>
      <c r="T72" s="14" t="s">
        <v>256</v>
      </c>
      <c r="U72" s="14" t="s">
        <v>257</v>
      </c>
      <c r="V72" s="14" t="s">
        <v>112</v>
      </c>
      <c r="W72" s="84">
        <v>0</v>
      </c>
      <c r="X72" s="84">
        <v>0</v>
      </c>
      <c r="Y72" s="19" t="s">
        <v>258</v>
      </c>
      <c r="Z72" s="19" t="s">
        <v>258</v>
      </c>
      <c r="AA72" s="19" t="s">
        <v>259</v>
      </c>
      <c r="AB72" s="14" t="s">
        <v>260</v>
      </c>
      <c r="AC72" s="14">
        <v>6012220601</v>
      </c>
      <c r="AD72" s="14" t="s">
        <v>261</v>
      </c>
      <c r="AE72" s="82">
        <v>0</v>
      </c>
      <c r="AF72" s="82">
        <v>0</v>
      </c>
      <c r="AG72" s="82">
        <v>0</v>
      </c>
      <c r="AH72" s="82">
        <v>0</v>
      </c>
      <c r="AI72" s="82">
        <v>0</v>
      </c>
      <c r="AJ72" s="82">
        <v>0</v>
      </c>
      <c r="AK72" s="82">
        <v>0</v>
      </c>
      <c r="AL72" s="82">
        <v>0</v>
      </c>
      <c r="AM72" s="82">
        <v>0</v>
      </c>
      <c r="AN72" s="82">
        <v>0</v>
      </c>
      <c r="AO72" s="82">
        <v>0</v>
      </c>
      <c r="AP72" s="82">
        <v>0</v>
      </c>
      <c r="AQ72" s="82">
        <v>45000000</v>
      </c>
      <c r="AR72" s="82">
        <v>0</v>
      </c>
      <c r="AS72" s="82">
        <v>0</v>
      </c>
      <c r="AT72" s="82">
        <v>0</v>
      </c>
      <c r="AU72" s="82">
        <v>0</v>
      </c>
      <c r="AV72" s="82">
        <v>0</v>
      </c>
      <c r="AW72" s="82">
        <v>0</v>
      </c>
      <c r="AX72" s="82">
        <v>0</v>
      </c>
      <c r="AY72" s="82">
        <v>0</v>
      </c>
      <c r="AZ72" s="82">
        <v>0</v>
      </c>
      <c r="BA72" s="82">
        <v>0</v>
      </c>
      <c r="BB72" s="82">
        <v>45000000</v>
      </c>
      <c r="BC72" s="82">
        <f t="shared" ref="BC72:BD72" si="132">AE72+AG72+AI72+AK72+AM72+AO72+AQ72+AS72+AU72+AW72+AY72+BA72</f>
        <v>45000000</v>
      </c>
      <c r="BD72" s="82">
        <f t="shared" si="132"/>
        <v>45000000</v>
      </c>
      <c r="BE72" s="83">
        <f t="shared" si="1"/>
        <v>-45000000</v>
      </c>
      <c r="BF72" s="83">
        <f t="shared" si="2"/>
        <v>-45000000</v>
      </c>
      <c r="BG72" s="14" t="str">
        <f ca="1">IFERROR(__xludf.DUMMYFUNCTION("REGEXEXTRACT(O66,""^\S+\s(.+)$"")"),"Prestar servicios profesionales especializados para la formulación, articulación e implementación de acciones de incidencia política y formación pedagógica en derechos humanos, orientadas al fortalecimiento de la gobernanza territorial y la gestión del en"&amp;"torno social, facilitando la interlocución técnica de la UPME con actores institucionales y comunitarios en el marco del proyecto de Enfoque Territorial.")</f>
        <v>Prestar servicios profesionales especializados para la formulación, articulación e implementación de acciones de incidencia política y formación pedagógica en derechos humanos, orientadas al fortalecimiento de la gobernanza territorial y la gestión del entorno social, facilitando la interlocución técnica de la UPME con actores institucionales y comunitarios en el marco del proyecto de Enfoque Territorial.</v>
      </c>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8"/>
      <c r="CG72" s="28"/>
      <c r="CH72" s="25">
        <f t="shared" ref="CH72:CI72" si="133">BH72+BJ72+BL72+BN72+BP72+BR72+BT72+BV72+BX72+BZ72+CB72+CD72+CF72</f>
        <v>0</v>
      </c>
      <c r="CI72" s="25">
        <f t="shared" si="133"/>
        <v>0</v>
      </c>
      <c r="CJ72" s="26">
        <f t="shared" si="4"/>
        <v>0</v>
      </c>
      <c r="CK72" s="26">
        <f t="shared" si="5"/>
        <v>0</v>
      </c>
    </row>
    <row r="73" spans="1:89" ht="90" customHeight="1" x14ac:dyDescent="0.3">
      <c r="A73" s="13" t="s">
        <v>248</v>
      </c>
      <c r="B73" s="14" t="s">
        <v>3</v>
      </c>
      <c r="C73" s="15" t="s">
        <v>249</v>
      </c>
      <c r="D73" s="14" t="s">
        <v>62</v>
      </c>
      <c r="E73" s="13" t="s">
        <v>250</v>
      </c>
      <c r="F73" s="13" t="s">
        <v>250</v>
      </c>
      <c r="G73" s="14">
        <v>4</v>
      </c>
      <c r="H73" s="13" t="s">
        <v>412</v>
      </c>
      <c r="I73" s="15" t="s">
        <v>381</v>
      </c>
      <c r="J73" s="14" t="s">
        <v>6</v>
      </c>
      <c r="K73" s="15" t="s">
        <v>83</v>
      </c>
      <c r="L73" s="14">
        <v>80111620</v>
      </c>
      <c r="M73" s="14" t="s">
        <v>7</v>
      </c>
      <c r="N73" s="14" t="s">
        <v>253</v>
      </c>
      <c r="O73" s="15" t="s">
        <v>413</v>
      </c>
      <c r="P73" s="14" t="s">
        <v>255</v>
      </c>
      <c r="Q73" s="14" t="s">
        <v>255</v>
      </c>
      <c r="R73" s="14" t="s">
        <v>255</v>
      </c>
      <c r="S73" s="17">
        <v>11</v>
      </c>
      <c r="T73" s="14" t="s">
        <v>256</v>
      </c>
      <c r="U73" s="14" t="s">
        <v>257</v>
      </c>
      <c r="V73" s="14" t="s">
        <v>112</v>
      </c>
      <c r="W73" s="84">
        <v>29213050</v>
      </c>
      <c r="X73" s="18">
        <v>29213050</v>
      </c>
      <c r="Y73" s="19" t="s">
        <v>258</v>
      </c>
      <c r="Z73" s="19" t="s">
        <v>258</v>
      </c>
      <c r="AA73" s="19" t="s">
        <v>259</v>
      </c>
      <c r="AB73" s="14" t="s">
        <v>260</v>
      </c>
      <c r="AC73" s="14">
        <v>6012220601</v>
      </c>
      <c r="AD73" s="14" t="s">
        <v>261</v>
      </c>
      <c r="AE73" s="82">
        <v>0</v>
      </c>
      <c r="AF73" s="82">
        <v>0</v>
      </c>
      <c r="AG73" s="82">
        <v>29213050</v>
      </c>
      <c r="AH73" s="82">
        <v>0</v>
      </c>
      <c r="AI73" s="82">
        <v>0</v>
      </c>
      <c r="AJ73" s="82">
        <v>3035760</v>
      </c>
      <c r="AK73" s="82">
        <v>0</v>
      </c>
      <c r="AL73" s="82">
        <v>3502800</v>
      </c>
      <c r="AM73" s="82">
        <v>0</v>
      </c>
      <c r="AN73" s="82">
        <v>3502800</v>
      </c>
      <c r="AO73" s="82">
        <v>0</v>
      </c>
      <c r="AP73" s="82">
        <v>3502800</v>
      </c>
      <c r="AQ73" s="82">
        <v>0</v>
      </c>
      <c r="AR73" s="82">
        <v>3502800</v>
      </c>
      <c r="AS73" s="82">
        <v>0</v>
      </c>
      <c r="AT73" s="82">
        <v>3502800</v>
      </c>
      <c r="AU73" s="82">
        <v>0</v>
      </c>
      <c r="AV73" s="82">
        <v>3502800</v>
      </c>
      <c r="AW73" s="82">
        <v>0</v>
      </c>
      <c r="AX73" s="82">
        <v>3502800</v>
      </c>
      <c r="AY73" s="82">
        <v>0</v>
      </c>
      <c r="AZ73" s="82">
        <v>1657690</v>
      </c>
      <c r="BA73" s="82">
        <v>0</v>
      </c>
      <c r="BB73" s="82">
        <v>0</v>
      </c>
      <c r="BC73" s="82">
        <f t="shared" ref="BC73:BD73" si="134">AE73+AG73+AI73+AK73+AM73+AO73+AQ73+AS73+AU73+AW73+AY73+BA73</f>
        <v>29213050</v>
      </c>
      <c r="BD73" s="82">
        <f t="shared" si="134"/>
        <v>29213050</v>
      </c>
      <c r="BE73" s="83">
        <f t="shared" si="1"/>
        <v>0</v>
      </c>
      <c r="BF73" s="83">
        <f t="shared" si="2"/>
        <v>0</v>
      </c>
      <c r="BG73" s="14" t="str">
        <f ca="1">IFERROR(__xludf.DUMMYFUNCTION("REGEXEXTRACT(O67,""^\S+\s(.+)$"")"),"Prestar servicios de apoyo  en la realización audiovisual a cargo del grupo de comunicaciones y prensa, orientados a visibilizar la implementación del proyecto de Enfoque Territorial dirigidas a los diversos actores del territorio y la ciudadanía en gener"&amp;"al.")</f>
        <v>Prestar servicios de apoyo  en la realización audiovisual a cargo del grupo de comunicaciones y prensa, orientados a visibilizar la implementación del proyecto de Enfoque Territorial dirigidas a los diversos actores del territorio y la ciudadanía en general.</v>
      </c>
      <c r="BH73" s="23"/>
      <c r="BI73" s="23"/>
      <c r="BJ73" s="23">
        <v>29213050</v>
      </c>
      <c r="BK73" s="23"/>
      <c r="BL73" s="23"/>
      <c r="BM73" s="23">
        <v>3035760</v>
      </c>
      <c r="BN73" s="23"/>
      <c r="BO73" s="23">
        <v>3502800</v>
      </c>
      <c r="BP73" s="23"/>
      <c r="BQ73" s="23">
        <v>3502800</v>
      </c>
      <c r="BR73" s="23"/>
      <c r="BS73" s="23">
        <v>3502800</v>
      </c>
      <c r="BT73" s="23"/>
      <c r="BU73" s="23">
        <v>3502800</v>
      </c>
      <c r="BV73" s="23"/>
      <c r="BW73" s="23">
        <v>3502800</v>
      </c>
      <c r="BX73" s="23"/>
      <c r="BY73" s="23">
        <v>3502800</v>
      </c>
      <c r="BZ73" s="23"/>
      <c r="CA73" s="23">
        <v>3502800</v>
      </c>
      <c r="CB73" s="23"/>
      <c r="CC73" s="23">
        <v>1657690</v>
      </c>
      <c r="CD73" s="23"/>
      <c r="CE73" s="23"/>
      <c r="CF73" s="28"/>
      <c r="CG73" s="28"/>
      <c r="CH73" s="25">
        <f t="shared" ref="CH73:CI73" si="135">BH73+BJ73+BL73+BN73+BP73+BR73+BT73+BV73+BX73+BZ73+CB73+CD73+CF73</f>
        <v>29213050</v>
      </c>
      <c r="CI73" s="25">
        <f t="shared" si="135"/>
        <v>29213050</v>
      </c>
      <c r="CJ73" s="26">
        <f t="shared" si="4"/>
        <v>0</v>
      </c>
      <c r="CK73" s="26">
        <f t="shared" si="5"/>
        <v>0</v>
      </c>
    </row>
    <row r="74" spans="1:89" ht="90" customHeight="1" x14ac:dyDescent="0.3">
      <c r="A74" s="30" t="s">
        <v>248</v>
      </c>
      <c r="B74" s="30" t="s">
        <v>3</v>
      </c>
      <c r="C74" s="31" t="s">
        <v>249</v>
      </c>
      <c r="D74" s="30" t="s">
        <v>62</v>
      </c>
      <c r="E74" s="30" t="s">
        <v>250</v>
      </c>
      <c r="F74" s="30" t="s">
        <v>250</v>
      </c>
      <c r="G74" s="30">
        <v>1</v>
      </c>
      <c r="H74" s="30" t="s">
        <v>414</v>
      </c>
      <c r="I74" s="31" t="s">
        <v>252</v>
      </c>
      <c r="J74" s="30" t="s">
        <v>4</v>
      </c>
      <c r="K74" s="31" t="s">
        <v>80</v>
      </c>
      <c r="L74" s="14">
        <v>80111620</v>
      </c>
      <c r="M74" s="30" t="s">
        <v>5</v>
      </c>
      <c r="N74" s="30" t="s">
        <v>253</v>
      </c>
      <c r="O74" s="31" t="s">
        <v>415</v>
      </c>
      <c r="P74" s="30" t="s">
        <v>255</v>
      </c>
      <c r="Q74" s="30" t="s">
        <v>255</v>
      </c>
      <c r="R74" s="30" t="s">
        <v>255</v>
      </c>
      <c r="S74" s="30">
        <v>11</v>
      </c>
      <c r="T74" s="30" t="s">
        <v>256</v>
      </c>
      <c r="U74" s="30" t="s">
        <v>257</v>
      </c>
      <c r="V74" s="30" t="s">
        <v>112</v>
      </c>
      <c r="W74" s="18">
        <v>16668844</v>
      </c>
      <c r="X74" s="18">
        <v>16668844</v>
      </c>
      <c r="Y74" s="32" t="s">
        <v>258</v>
      </c>
      <c r="Z74" s="32" t="s">
        <v>258</v>
      </c>
      <c r="AA74" s="32" t="s">
        <v>259</v>
      </c>
      <c r="AB74" s="30" t="s">
        <v>260</v>
      </c>
      <c r="AC74" s="14">
        <v>6012220601</v>
      </c>
      <c r="AD74" s="30" t="s">
        <v>261</v>
      </c>
      <c r="AE74" s="82">
        <v>0</v>
      </c>
      <c r="AF74" s="82">
        <v>0</v>
      </c>
      <c r="AG74" s="82">
        <v>16668844</v>
      </c>
      <c r="AH74" s="82">
        <v>0</v>
      </c>
      <c r="AI74" s="82">
        <v>0</v>
      </c>
      <c r="AJ74" s="82">
        <v>7000000</v>
      </c>
      <c r="AK74" s="82">
        <v>0</v>
      </c>
      <c r="AL74" s="82">
        <v>8500000</v>
      </c>
      <c r="AM74" s="82">
        <v>0</v>
      </c>
      <c r="AN74" s="82">
        <v>1168844</v>
      </c>
      <c r="AO74" s="82">
        <v>0</v>
      </c>
      <c r="AP74" s="82">
        <v>0</v>
      </c>
      <c r="AQ74" s="82">
        <v>0</v>
      </c>
      <c r="AR74" s="82">
        <v>0</v>
      </c>
      <c r="AS74" s="82">
        <v>0</v>
      </c>
      <c r="AT74" s="82">
        <v>0</v>
      </c>
      <c r="AU74" s="82">
        <v>0</v>
      </c>
      <c r="AV74" s="82">
        <v>0</v>
      </c>
      <c r="AW74" s="82">
        <v>0</v>
      </c>
      <c r="AX74" s="82">
        <v>0</v>
      </c>
      <c r="AY74" s="82">
        <v>0</v>
      </c>
      <c r="AZ74" s="82">
        <v>0</v>
      </c>
      <c r="BA74" s="82">
        <v>0</v>
      </c>
      <c r="BB74" s="82">
        <v>0</v>
      </c>
      <c r="BC74" s="82">
        <f t="shared" ref="BC74:BD74" si="136">AE74+AG74+AI74+AK74+AM74+AO74+AQ74+AS74+AU74+AW74+AY74+BA74</f>
        <v>16668844</v>
      </c>
      <c r="BD74" s="82">
        <f t="shared" si="136"/>
        <v>16668844</v>
      </c>
      <c r="BE74" s="83">
        <f t="shared" si="1"/>
        <v>0</v>
      </c>
      <c r="BF74" s="83">
        <f t="shared" si="2"/>
        <v>0</v>
      </c>
      <c r="BG74" s="14" t="str">
        <f ca="1">IFERROR(__xludf.DUMMYFUNCTION("REGEXEXTRACT(O68,""^\S+\s(.+)$"")"),"Prestar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74" s="23"/>
      <c r="BI74" s="23"/>
      <c r="BJ74" s="23">
        <v>16668844</v>
      </c>
      <c r="BK74" s="23"/>
      <c r="BL74" s="23"/>
      <c r="BM74" s="23">
        <v>7000000</v>
      </c>
      <c r="BN74" s="23"/>
      <c r="BO74" s="23">
        <v>8500000</v>
      </c>
      <c r="BP74" s="23"/>
      <c r="BQ74" s="23">
        <v>1168844</v>
      </c>
      <c r="BR74" s="23"/>
      <c r="BS74" s="23"/>
      <c r="BT74" s="23"/>
      <c r="BU74" s="23"/>
      <c r="BV74" s="23"/>
      <c r="BW74" s="23"/>
      <c r="BX74" s="23"/>
      <c r="BY74" s="23"/>
      <c r="BZ74" s="23"/>
      <c r="CA74" s="23"/>
      <c r="CB74" s="23"/>
      <c r="CC74" s="23"/>
      <c r="CD74" s="23"/>
      <c r="CE74" s="23"/>
      <c r="CF74" s="28"/>
      <c r="CG74" s="28"/>
      <c r="CH74" s="25">
        <f t="shared" ref="CH74:CI74" si="137">BH74+BJ74+BL74+BN74+BP74+BR74+BT74+BV74+BX74+BZ74+CB74+CD74+CF74</f>
        <v>16668844</v>
      </c>
      <c r="CI74" s="25">
        <f t="shared" si="137"/>
        <v>16668844</v>
      </c>
      <c r="CJ74" s="26">
        <f t="shared" si="4"/>
        <v>0</v>
      </c>
      <c r="CK74" s="26">
        <f t="shared" si="5"/>
        <v>0</v>
      </c>
    </row>
    <row r="75" spans="1:89" ht="90" customHeight="1" x14ac:dyDescent="0.3">
      <c r="A75" s="30" t="s">
        <v>248</v>
      </c>
      <c r="B75" s="30" t="s">
        <v>3</v>
      </c>
      <c r="C75" s="31" t="s">
        <v>249</v>
      </c>
      <c r="D75" s="30" t="s">
        <v>62</v>
      </c>
      <c r="E75" s="30" t="s">
        <v>250</v>
      </c>
      <c r="F75" s="30" t="s">
        <v>250</v>
      </c>
      <c r="G75" s="30">
        <v>1</v>
      </c>
      <c r="H75" s="30" t="s">
        <v>416</v>
      </c>
      <c r="I75" s="31" t="s">
        <v>252</v>
      </c>
      <c r="J75" s="30" t="s">
        <v>4</v>
      </c>
      <c r="K75" s="31" t="s">
        <v>80</v>
      </c>
      <c r="L75" s="14">
        <v>80111620</v>
      </c>
      <c r="M75" s="30" t="s">
        <v>5</v>
      </c>
      <c r="N75" s="30" t="s">
        <v>253</v>
      </c>
      <c r="O75" s="31" t="s">
        <v>417</v>
      </c>
      <c r="P75" s="30" t="s">
        <v>255</v>
      </c>
      <c r="Q75" s="30" t="s">
        <v>255</v>
      </c>
      <c r="R75" s="30" t="s">
        <v>255</v>
      </c>
      <c r="S75" s="30">
        <v>11.5</v>
      </c>
      <c r="T75" s="30" t="s">
        <v>256</v>
      </c>
      <c r="U75" s="30" t="s">
        <v>257</v>
      </c>
      <c r="V75" s="30" t="s">
        <v>112</v>
      </c>
      <c r="W75" s="18">
        <v>32000000</v>
      </c>
      <c r="X75" s="18">
        <v>32000000</v>
      </c>
      <c r="Y75" s="32" t="s">
        <v>258</v>
      </c>
      <c r="Z75" s="32" t="s">
        <v>258</v>
      </c>
      <c r="AA75" s="32" t="s">
        <v>259</v>
      </c>
      <c r="AB75" s="30" t="s">
        <v>260</v>
      </c>
      <c r="AC75" s="14">
        <v>6012220601</v>
      </c>
      <c r="AD75" s="30" t="s">
        <v>261</v>
      </c>
      <c r="AE75" s="82">
        <v>32000000</v>
      </c>
      <c r="AF75" s="82">
        <v>0</v>
      </c>
      <c r="AG75" s="82">
        <v>0</v>
      </c>
      <c r="AH75" s="82">
        <v>0</v>
      </c>
      <c r="AI75" s="82">
        <v>0</v>
      </c>
      <c r="AJ75" s="82">
        <v>0</v>
      </c>
      <c r="AK75" s="82">
        <v>0</v>
      </c>
      <c r="AL75" s="82">
        <v>0</v>
      </c>
      <c r="AM75" s="82">
        <v>0</v>
      </c>
      <c r="AN75" s="82">
        <v>0</v>
      </c>
      <c r="AO75" s="82">
        <v>0</v>
      </c>
      <c r="AP75" s="82">
        <v>0</v>
      </c>
      <c r="AQ75" s="82">
        <v>0</v>
      </c>
      <c r="AR75" s="82">
        <v>0</v>
      </c>
      <c r="AS75" s="82">
        <v>0</v>
      </c>
      <c r="AT75" s="82">
        <v>0</v>
      </c>
      <c r="AU75" s="82">
        <v>0</v>
      </c>
      <c r="AV75" s="82">
        <v>0</v>
      </c>
      <c r="AW75" s="82">
        <v>0</v>
      </c>
      <c r="AX75" s="82">
        <v>7200000</v>
      </c>
      <c r="AY75" s="82">
        <v>0</v>
      </c>
      <c r="AZ75" s="82">
        <v>8000000</v>
      </c>
      <c r="BA75" s="82">
        <v>0</v>
      </c>
      <c r="BB75" s="82">
        <v>16800000</v>
      </c>
      <c r="BC75" s="82">
        <f t="shared" ref="BC75:BD75" si="138">AE75+AG75+AI75+AK75+AM75+AO75+AQ75+AS75+AU75+AW75+AY75+BA75</f>
        <v>32000000</v>
      </c>
      <c r="BD75" s="82">
        <f t="shared" si="138"/>
        <v>32000000</v>
      </c>
      <c r="BE75" s="83">
        <f t="shared" si="1"/>
        <v>0</v>
      </c>
      <c r="BF75" s="83">
        <f t="shared" si="2"/>
        <v>0</v>
      </c>
      <c r="BG75" s="14" t="str">
        <f ca="1">IFERROR(__xludf.DUMMYFUNCTION("REGEXEXTRACT(O69,""^\S+\s(.+)$"")"),"Prestar servicios profesionales para articular el seguimiento de la planeación estratégica y la ejecución presupuestal del proyecto de Enfoque Territorial de la Dirección General, garantizando el cumplimiento efectivo de sus metas y su adecuada integració"&amp;"n en la planeación energética nacional, así como brindar apoyo administrativo a la coordinación de Gestión de Contratación en el desarrollo, control y seguimiento de los procesos contractuales asociados al proyecto.  ")</f>
        <v xml:space="preserve">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  </v>
      </c>
      <c r="BH75" s="23">
        <v>32000000</v>
      </c>
      <c r="BI75" s="23"/>
      <c r="BJ75" s="23"/>
      <c r="BK75" s="23"/>
      <c r="BL75" s="23"/>
      <c r="BM75" s="23"/>
      <c r="BN75" s="23"/>
      <c r="BO75" s="23"/>
      <c r="BP75" s="23"/>
      <c r="BQ75" s="23"/>
      <c r="BR75" s="23"/>
      <c r="BS75" s="23"/>
      <c r="BT75" s="23"/>
      <c r="BU75" s="23"/>
      <c r="BV75" s="23"/>
      <c r="BW75" s="23"/>
      <c r="BX75" s="23"/>
      <c r="BY75" s="23"/>
      <c r="BZ75" s="23"/>
      <c r="CA75" s="23">
        <v>7200000</v>
      </c>
      <c r="CB75" s="23"/>
      <c r="CC75" s="23">
        <v>8000000</v>
      </c>
      <c r="CD75" s="23"/>
      <c r="CE75" s="23">
        <v>16800000</v>
      </c>
      <c r="CF75" s="28"/>
      <c r="CG75" s="28"/>
      <c r="CH75" s="25">
        <f t="shared" ref="CH75:CI75" si="139">BH75+BJ75+BL75+BN75+BP75+BR75+BT75+BV75+BX75+BZ75+CB75+CD75+CF75</f>
        <v>32000000</v>
      </c>
      <c r="CI75" s="25">
        <f t="shared" si="139"/>
        <v>32000000</v>
      </c>
      <c r="CJ75" s="26">
        <f t="shared" si="4"/>
        <v>0</v>
      </c>
      <c r="CK75" s="26">
        <f t="shared" si="5"/>
        <v>0</v>
      </c>
    </row>
    <row r="76" spans="1:89" ht="90" customHeight="1" x14ac:dyDescent="0.3">
      <c r="A76" s="30" t="s">
        <v>248</v>
      </c>
      <c r="B76" s="30" t="s">
        <v>3</v>
      </c>
      <c r="C76" s="31" t="s">
        <v>249</v>
      </c>
      <c r="D76" s="30" t="s">
        <v>62</v>
      </c>
      <c r="E76" s="30" t="s">
        <v>250</v>
      </c>
      <c r="F76" s="30" t="s">
        <v>250</v>
      </c>
      <c r="G76" s="30">
        <v>4</v>
      </c>
      <c r="H76" s="30" t="s">
        <v>418</v>
      </c>
      <c r="I76" s="31" t="s">
        <v>252</v>
      </c>
      <c r="J76" s="30" t="s">
        <v>4</v>
      </c>
      <c r="K76" s="31" t="s">
        <v>80</v>
      </c>
      <c r="L76" s="14">
        <v>80111620</v>
      </c>
      <c r="M76" s="30" t="s">
        <v>5</v>
      </c>
      <c r="N76" s="30" t="s">
        <v>253</v>
      </c>
      <c r="O76" s="31" t="s">
        <v>419</v>
      </c>
      <c r="P76" s="30" t="s">
        <v>255</v>
      </c>
      <c r="Q76" s="30" t="s">
        <v>255</v>
      </c>
      <c r="R76" s="30" t="s">
        <v>255</v>
      </c>
      <c r="S76" s="30">
        <v>9</v>
      </c>
      <c r="T76" s="30" t="s">
        <v>256</v>
      </c>
      <c r="U76" s="30" t="s">
        <v>257</v>
      </c>
      <c r="V76" s="30" t="s">
        <v>112</v>
      </c>
      <c r="W76" s="18">
        <v>36000000</v>
      </c>
      <c r="X76" s="18">
        <v>36000000</v>
      </c>
      <c r="Y76" s="32" t="s">
        <v>258</v>
      </c>
      <c r="Z76" s="32" t="s">
        <v>258</v>
      </c>
      <c r="AA76" s="32" t="s">
        <v>259</v>
      </c>
      <c r="AB76" s="30" t="s">
        <v>260</v>
      </c>
      <c r="AC76" s="14">
        <v>6012220601</v>
      </c>
      <c r="AD76" s="30" t="s">
        <v>261</v>
      </c>
      <c r="AE76" s="82">
        <v>0</v>
      </c>
      <c r="AF76" s="82">
        <v>0</v>
      </c>
      <c r="AG76" s="82">
        <v>0</v>
      </c>
      <c r="AH76" s="82">
        <v>0</v>
      </c>
      <c r="AI76" s="82">
        <v>0</v>
      </c>
      <c r="AJ76" s="82">
        <v>0</v>
      </c>
      <c r="AK76" s="82">
        <v>0</v>
      </c>
      <c r="AL76" s="82">
        <v>0</v>
      </c>
      <c r="AM76" s="82">
        <v>0</v>
      </c>
      <c r="AN76" s="82">
        <v>0</v>
      </c>
      <c r="AO76" s="82">
        <v>0</v>
      </c>
      <c r="AP76" s="82">
        <v>0</v>
      </c>
      <c r="AQ76" s="82">
        <v>36000000</v>
      </c>
      <c r="AR76" s="82">
        <v>0</v>
      </c>
      <c r="AS76" s="82">
        <v>0</v>
      </c>
      <c r="AT76" s="82">
        <v>0</v>
      </c>
      <c r="AU76" s="82">
        <v>0</v>
      </c>
      <c r="AV76" s="82">
        <v>0</v>
      </c>
      <c r="AW76" s="82">
        <v>0</v>
      </c>
      <c r="AX76" s="82">
        <v>0</v>
      </c>
      <c r="AY76" s="82">
        <v>0</v>
      </c>
      <c r="AZ76" s="82">
        <v>0</v>
      </c>
      <c r="BA76" s="82">
        <v>0</v>
      </c>
      <c r="BB76" s="82">
        <v>36000000</v>
      </c>
      <c r="BC76" s="82">
        <f t="shared" ref="BC76:BD76" si="140">AE76+AG76+AI76+AK76+AM76+AO76+AQ76+AS76+AU76+AW76+AY76+BA76</f>
        <v>36000000</v>
      </c>
      <c r="BD76" s="82">
        <f t="shared" si="140"/>
        <v>36000000</v>
      </c>
      <c r="BE76" s="83">
        <f t="shared" si="1"/>
        <v>0</v>
      </c>
      <c r="BF76" s="83">
        <f t="shared" si="2"/>
        <v>0</v>
      </c>
      <c r="BG76" s="14" t="str">
        <f ca="1">IFERROR(__xludf.DUMMYFUNCTION("REGEXEXTRACT(O70,""^\S+\s(.+)$"")"),"Prestación de servicios profesionales para la proyección oportuna y eficiente de los procedimientos contractuales de la entidad así como atender las PQRS y gestionar las actuaciones administrativas derivadas de las metas institucionales, en especial lo re"&amp;"lacionado con el proyecto de enfoque territorial.")</f>
        <v>Prestación de servicios profesionales para la proyección oportuna y eficiente de los procedimientos contractuales de la entidad así como atender las PQRS y gestionar las actuaciones administrativas derivadas de las metas institucionales, en especial lo relacionado con el proyecto de enfoque territorial.</v>
      </c>
      <c r="BH76" s="23"/>
      <c r="BI76" s="23"/>
      <c r="BJ76" s="23"/>
      <c r="BK76" s="23"/>
      <c r="BL76" s="23"/>
      <c r="BM76" s="23"/>
      <c r="BN76" s="23"/>
      <c r="BO76" s="23"/>
      <c r="BP76" s="23"/>
      <c r="BQ76" s="23"/>
      <c r="BR76" s="23"/>
      <c r="BS76" s="23"/>
      <c r="BT76" s="23">
        <v>36000000</v>
      </c>
      <c r="BU76" s="23"/>
      <c r="BV76" s="23"/>
      <c r="BW76" s="23"/>
      <c r="BX76" s="23"/>
      <c r="BY76" s="23"/>
      <c r="BZ76" s="23"/>
      <c r="CA76" s="23"/>
      <c r="CB76" s="23"/>
      <c r="CC76" s="23"/>
      <c r="CD76" s="23"/>
      <c r="CE76" s="23">
        <v>36000000</v>
      </c>
      <c r="CF76" s="28"/>
      <c r="CG76" s="28"/>
      <c r="CH76" s="25">
        <f t="shared" ref="CH76:CI76" si="141">BH76+BJ76+BL76+BN76+BP76+BR76+BT76+BV76+BX76+BZ76+CB76+CD76+CF76</f>
        <v>36000000</v>
      </c>
      <c r="CI76" s="25">
        <f t="shared" si="141"/>
        <v>36000000</v>
      </c>
      <c r="CJ76" s="26">
        <f t="shared" si="4"/>
        <v>0</v>
      </c>
      <c r="CK76" s="26">
        <f t="shared" si="5"/>
        <v>0</v>
      </c>
    </row>
    <row r="77" spans="1:89" ht="90" customHeight="1" x14ac:dyDescent="0.3">
      <c r="A77" s="30" t="s">
        <v>248</v>
      </c>
      <c r="B77" s="30" t="s">
        <v>3</v>
      </c>
      <c r="C77" s="31" t="s">
        <v>249</v>
      </c>
      <c r="D77" s="30" t="s">
        <v>62</v>
      </c>
      <c r="E77" s="30" t="s">
        <v>250</v>
      </c>
      <c r="F77" s="30" t="s">
        <v>250</v>
      </c>
      <c r="G77" s="30">
        <v>6</v>
      </c>
      <c r="H77" s="30" t="s">
        <v>420</v>
      </c>
      <c r="I77" s="31" t="s">
        <v>252</v>
      </c>
      <c r="J77" s="30" t="s">
        <v>4</v>
      </c>
      <c r="K77" s="31" t="s">
        <v>81</v>
      </c>
      <c r="L77" s="14">
        <v>80111620</v>
      </c>
      <c r="M77" s="30" t="s">
        <v>5</v>
      </c>
      <c r="N77" s="30" t="s">
        <v>253</v>
      </c>
      <c r="O77" s="31" t="s">
        <v>421</v>
      </c>
      <c r="P77" s="30" t="s">
        <v>255</v>
      </c>
      <c r="Q77" s="30" t="s">
        <v>255</v>
      </c>
      <c r="R77" s="30" t="s">
        <v>255</v>
      </c>
      <c r="S77" s="30">
        <v>11</v>
      </c>
      <c r="T77" s="30" t="s">
        <v>256</v>
      </c>
      <c r="U77" s="30" t="s">
        <v>257</v>
      </c>
      <c r="V77" s="30" t="s">
        <v>112</v>
      </c>
      <c r="W77" s="18">
        <v>16500000</v>
      </c>
      <c r="X77" s="18">
        <v>16500000</v>
      </c>
      <c r="Y77" s="32" t="s">
        <v>258</v>
      </c>
      <c r="Z77" s="32" t="s">
        <v>258</v>
      </c>
      <c r="AA77" s="32" t="s">
        <v>422</v>
      </c>
      <c r="AB77" s="30" t="s">
        <v>423</v>
      </c>
      <c r="AC77" s="14">
        <v>6012220601</v>
      </c>
      <c r="AD77" s="30" t="s">
        <v>424</v>
      </c>
      <c r="AE77" s="82">
        <v>0</v>
      </c>
      <c r="AF77" s="82">
        <v>0</v>
      </c>
      <c r="AG77" s="82">
        <v>16500000</v>
      </c>
      <c r="AH77" s="82">
        <v>0</v>
      </c>
      <c r="AI77" s="82">
        <v>0</v>
      </c>
      <c r="AJ77" s="82">
        <v>0</v>
      </c>
      <c r="AK77" s="82">
        <v>0</v>
      </c>
      <c r="AL77" s="82">
        <v>0</v>
      </c>
      <c r="AM77" s="82">
        <v>0</v>
      </c>
      <c r="AN77" s="82">
        <v>0</v>
      </c>
      <c r="AO77" s="82">
        <v>0</v>
      </c>
      <c r="AP77" s="82">
        <v>0</v>
      </c>
      <c r="AQ77" s="82">
        <v>0</v>
      </c>
      <c r="AR77" s="82">
        <v>0</v>
      </c>
      <c r="AS77" s="82">
        <v>0</v>
      </c>
      <c r="AT77" s="82">
        <v>0</v>
      </c>
      <c r="AU77" s="82">
        <v>0</v>
      </c>
      <c r="AV77" s="82">
        <v>200000</v>
      </c>
      <c r="AW77" s="82">
        <v>0</v>
      </c>
      <c r="AX77" s="82">
        <v>8000000</v>
      </c>
      <c r="AY77" s="82">
        <v>0</v>
      </c>
      <c r="AZ77" s="82">
        <v>8000000</v>
      </c>
      <c r="BA77" s="82">
        <v>0</v>
      </c>
      <c r="BB77" s="82">
        <v>300000</v>
      </c>
      <c r="BC77" s="82">
        <f t="shared" ref="BC77:BD77" si="142">AE77+AG77+AI77+AK77+AM77+AO77+AQ77+AS77+AU77+AW77+AY77+BA77</f>
        <v>16500000</v>
      </c>
      <c r="BD77" s="82">
        <f t="shared" si="142"/>
        <v>16500000</v>
      </c>
      <c r="BE77" s="83">
        <f t="shared" si="1"/>
        <v>0</v>
      </c>
      <c r="BF77" s="83">
        <f t="shared" si="2"/>
        <v>0</v>
      </c>
      <c r="BG77" s="14" t="str">
        <f ca="1">IFERROR(__xludf.DUMMYFUNCTION("REGEXEXTRACT(O71,""^\S+\s(.+)$"")"),"Prestar servicios profesionales para apoyar la identificación, análisis y aplicabilidad de variables ambientales, territoriales y de riesgo socioambiental para la planeación minero energética en los territorios priorizados. Adicionalmente, contribuir en l"&amp;"a elaboración e inclusión de matrices de gestión de riesgo socioambiental y lineamientos de gestión interinstitucional y territorial en el sector minero energético.")</f>
        <v>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v>
      </c>
      <c r="BH77" s="23"/>
      <c r="BI77" s="23"/>
      <c r="BJ77" s="23">
        <v>16500000</v>
      </c>
      <c r="BK77" s="23"/>
      <c r="BL77" s="23"/>
      <c r="BM77" s="23"/>
      <c r="BN77" s="23"/>
      <c r="BO77" s="23"/>
      <c r="BP77" s="23"/>
      <c r="BQ77" s="23"/>
      <c r="BR77" s="23"/>
      <c r="BS77" s="23"/>
      <c r="BT77" s="23"/>
      <c r="BU77" s="23"/>
      <c r="BV77" s="23"/>
      <c r="BW77" s="23"/>
      <c r="BX77" s="23"/>
      <c r="BY77" s="23">
        <v>200000</v>
      </c>
      <c r="BZ77" s="23"/>
      <c r="CA77" s="23">
        <v>8000000</v>
      </c>
      <c r="CB77" s="23"/>
      <c r="CC77" s="23">
        <v>8000000</v>
      </c>
      <c r="CD77" s="23"/>
      <c r="CE77" s="23">
        <v>300000</v>
      </c>
      <c r="CF77" s="28"/>
      <c r="CG77" s="28"/>
      <c r="CH77" s="25">
        <f t="shared" ref="CH77:CI77" si="143">BH77+BJ77+BL77+BN77+BP77+BR77+BT77+BV77+BX77+BZ77+CB77+CD77+CF77</f>
        <v>16500000</v>
      </c>
      <c r="CI77" s="25">
        <f t="shared" si="143"/>
        <v>16500000</v>
      </c>
      <c r="CJ77" s="26">
        <f t="shared" si="4"/>
        <v>0</v>
      </c>
      <c r="CK77" s="26">
        <f t="shared" si="5"/>
        <v>0</v>
      </c>
    </row>
    <row r="78" spans="1:89" ht="90" customHeight="1" x14ac:dyDescent="0.3">
      <c r="A78" s="13" t="s">
        <v>248</v>
      </c>
      <c r="B78" s="14" t="s">
        <v>3</v>
      </c>
      <c r="C78" s="15" t="s">
        <v>249</v>
      </c>
      <c r="D78" s="14" t="s">
        <v>62</v>
      </c>
      <c r="E78" s="13" t="s">
        <v>250</v>
      </c>
      <c r="F78" s="13" t="s">
        <v>250</v>
      </c>
      <c r="G78" s="14">
        <v>22</v>
      </c>
      <c r="H78" s="13" t="s">
        <v>425</v>
      </c>
      <c r="I78" s="15" t="s">
        <v>252</v>
      </c>
      <c r="J78" s="14" t="s">
        <v>4</v>
      </c>
      <c r="K78" s="15" t="s">
        <v>81</v>
      </c>
      <c r="L78" s="14" t="s">
        <v>277</v>
      </c>
      <c r="M78" s="14" t="s">
        <v>5</v>
      </c>
      <c r="N78" s="14" t="s">
        <v>278</v>
      </c>
      <c r="O78" s="15" t="s">
        <v>426</v>
      </c>
      <c r="P78" s="14" t="s">
        <v>280</v>
      </c>
      <c r="Q78" s="14" t="s">
        <v>281</v>
      </c>
      <c r="R78" s="14" t="s">
        <v>281</v>
      </c>
      <c r="S78" s="17">
        <v>8</v>
      </c>
      <c r="T78" s="14" t="s">
        <v>256</v>
      </c>
      <c r="U78" s="14" t="s">
        <v>282</v>
      </c>
      <c r="V78" s="14" t="s">
        <v>112</v>
      </c>
      <c r="W78" s="18">
        <v>36000000</v>
      </c>
      <c r="X78" s="18">
        <v>36000000</v>
      </c>
      <c r="Y78" s="19" t="s">
        <v>258</v>
      </c>
      <c r="Z78" s="19" t="s">
        <v>258</v>
      </c>
      <c r="AA78" s="32" t="s">
        <v>259</v>
      </c>
      <c r="AB78" s="30" t="s">
        <v>260</v>
      </c>
      <c r="AC78" s="14">
        <v>6012220601</v>
      </c>
      <c r="AD78" s="30" t="s">
        <v>261</v>
      </c>
      <c r="AE78" s="82">
        <v>0</v>
      </c>
      <c r="AF78" s="82">
        <v>0</v>
      </c>
      <c r="AG78" s="82">
        <v>0</v>
      </c>
      <c r="AH78" s="82">
        <v>0</v>
      </c>
      <c r="AI78" s="82">
        <v>0</v>
      </c>
      <c r="AJ78" s="82">
        <v>0</v>
      </c>
      <c r="AK78" s="82">
        <v>0</v>
      </c>
      <c r="AL78" s="82">
        <v>0</v>
      </c>
      <c r="AM78" s="82">
        <v>0</v>
      </c>
      <c r="AN78" s="82">
        <v>0</v>
      </c>
      <c r="AO78" s="82">
        <v>0</v>
      </c>
      <c r="AP78" s="82">
        <v>0</v>
      </c>
      <c r="AQ78" s="82">
        <v>36000000</v>
      </c>
      <c r="AR78" s="82">
        <v>0</v>
      </c>
      <c r="AS78" s="82">
        <v>0</v>
      </c>
      <c r="AT78" s="82">
        <v>0</v>
      </c>
      <c r="AU78" s="82">
        <v>0</v>
      </c>
      <c r="AV78" s="82">
        <v>0</v>
      </c>
      <c r="AW78" s="82">
        <v>0</v>
      </c>
      <c r="AX78" s="82">
        <v>0</v>
      </c>
      <c r="AY78" s="82">
        <v>0</v>
      </c>
      <c r="AZ78" s="82">
        <v>0</v>
      </c>
      <c r="BA78" s="82">
        <v>0</v>
      </c>
      <c r="BB78" s="82">
        <v>36000000</v>
      </c>
      <c r="BC78" s="82">
        <f t="shared" ref="BC78:BD78" si="144">AE78+AG78+AI78+AK78+AM78+AO78+AQ78+AS78+AU78+AW78+AY78+BA78</f>
        <v>36000000</v>
      </c>
      <c r="BD78" s="82">
        <f t="shared" si="144"/>
        <v>36000000</v>
      </c>
      <c r="BE78" s="83">
        <f t="shared" si="1"/>
        <v>0</v>
      </c>
      <c r="BF78" s="83">
        <f t="shared" si="2"/>
        <v>0</v>
      </c>
      <c r="BG78" s="14" t="str">
        <f ca="1">IFERROR(__xludf.DUMMYFUNCTION("REGEXEXTRACT(O72,""^\S+\s(.+)$"")"),"Adquirir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78" s="23"/>
      <c r="BI78" s="23"/>
      <c r="BJ78" s="23"/>
      <c r="BK78" s="23"/>
      <c r="BL78" s="23"/>
      <c r="BM78" s="23"/>
      <c r="BN78" s="23"/>
      <c r="BO78" s="23"/>
      <c r="BP78" s="23"/>
      <c r="BQ78" s="23"/>
      <c r="BR78" s="23"/>
      <c r="BS78" s="23"/>
      <c r="BT78" s="23">
        <v>36000000</v>
      </c>
      <c r="BU78" s="23"/>
      <c r="BV78" s="23"/>
      <c r="BW78" s="23"/>
      <c r="BX78" s="23"/>
      <c r="BY78" s="23"/>
      <c r="BZ78" s="23"/>
      <c r="CA78" s="23"/>
      <c r="CB78" s="23"/>
      <c r="CC78" s="23"/>
      <c r="CD78" s="23"/>
      <c r="CE78" s="23">
        <v>36000000</v>
      </c>
      <c r="CF78" s="28"/>
      <c r="CG78" s="28"/>
      <c r="CH78" s="25">
        <f t="shared" ref="CH78:CI78" si="145">BH78+BJ78+BL78+BN78+BP78+BR78+BT78+BV78+BX78+BZ78+CB78+CD78+CF78</f>
        <v>36000000</v>
      </c>
      <c r="CI78" s="25">
        <f t="shared" si="145"/>
        <v>36000000</v>
      </c>
      <c r="CJ78" s="26">
        <f t="shared" si="4"/>
        <v>0</v>
      </c>
      <c r="CK78" s="26">
        <f t="shared" si="5"/>
        <v>0</v>
      </c>
    </row>
    <row r="79" spans="1:89" ht="90" customHeight="1" x14ac:dyDescent="0.3">
      <c r="A79" s="13" t="s">
        <v>248</v>
      </c>
      <c r="B79" s="14" t="s">
        <v>8</v>
      </c>
      <c r="C79" s="15" t="s">
        <v>427</v>
      </c>
      <c r="D79" s="14" t="s">
        <v>68</v>
      </c>
      <c r="E79" s="13" t="s">
        <v>250</v>
      </c>
      <c r="F79" s="13" t="s">
        <v>250</v>
      </c>
      <c r="G79" s="14">
        <v>68</v>
      </c>
      <c r="H79" s="13" t="s">
        <v>428</v>
      </c>
      <c r="I79" s="15" t="s">
        <v>429</v>
      </c>
      <c r="J79" s="14" t="s">
        <v>9</v>
      </c>
      <c r="K79" s="15" t="s">
        <v>103</v>
      </c>
      <c r="L79" s="14">
        <v>80111620</v>
      </c>
      <c r="M79" s="14" t="s">
        <v>10</v>
      </c>
      <c r="N79" s="14" t="s">
        <v>253</v>
      </c>
      <c r="O79" s="15" t="s">
        <v>430</v>
      </c>
      <c r="P79" s="14" t="s">
        <v>255</v>
      </c>
      <c r="Q79" s="14" t="s">
        <v>255</v>
      </c>
      <c r="R79" s="14" t="s">
        <v>255</v>
      </c>
      <c r="S79" s="17">
        <v>345</v>
      </c>
      <c r="T79" s="14" t="s">
        <v>431</v>
      </c>
      <c r="U79" s="14" t="s">
        <v>257</v>
      </c>
      <c r="V79" s="14" t="s">
        <v>112</v>
      </c>
      <c r="W79" s="18">
        <v>68357300</v>
      </c>
      <c r="X79" s="18">
        <v>68357300</v>
      </c>
      <c r="Y79" s="19" t="s">
        <v>339</v>
      </c>
      <c r="Z79" s="19" t="s">
        <v>258</v>
      </c>
      <c r="AA79" s="19" t="s">
        <v>432</v>
      </c>
      <c r="AB79" s="14" t="s">
        <v>433</v>
      </c>
      <c r="AC79" s="14">
        <v>6012220601</v>
      </c>
      <c r="AD79" s="14" t="s">
        <v>434</v>
      </c>
      <c r="AE79" s="82">
        <v>68357300</v>
      </c>
      <c r="AF79" s="82">
        <v>0</v>
      </c>
      <c r="AG79" s="82">
        <v>0</v>
      </c>
      <c r="AH79" s="82">
        <v>7333333</v>
      </c>
      <c r="AI79" s="82">
        <v>0</v>
      </c>
      <c r="AJ79" s="82">
        <v>11000000</v>
      </c>
      <c r="AK79" s="82">
        <v>0</v>
      </c>
      <c r="AL79" s="82">
        <v>11000000</v>
      </c>
      <c r="AM79" s="82">
        <v>0</v>
      </c>
      <c r="AN79" s="82">
        <v>11000000</v>
      </c>
      <c r="AO79" s="82">
        <v>0</v>
      </c>
      <c r="AP79" s="82">
        <v>11000000</v>
      </c>
      <c r="AQ79" s="82">
        <v>0</v>
      </c>
      <c r="AR79" s="82">
        <v>11000000</v>
      </c>
      <c r="AS79" s="82">
        <v>0</v>
      </c>
      <c r="AT79" s="82">
        <v>6023967</v>
      </c>
      <c r="AU79" s="82">
        <v>0</v>
      </c>
      <c r="AV79" s="82">
        <v>0</v>
      </c>
      <c r="AW79" s="82">
        <v>0</v>
      </c>
      <c r="AX79" s="82">
        <v>0</v>
      </c>
      <c r="AY79" s="82">
        <v>0</v>
      </c>
      <c r="AZ79" s="82">
        <v>0</v>
      </c>
      <c r="BA79" s="82">
        <v>0</v>
      </c>
      <c r="BB79" s="82">
        <v>0</v>
      </c>
      <c r="BC79" s="82">
        <f t="shared" ref="BC79:BD79" si="146">AE79+AG79+AI79+AK79+AM79+AO79+AQ79+AS79+AU79+AW79+AY79+BA79</f>
        <v>68357300</v>
      </c>
      <c r="BD79" s="82">
        <f t="shared" si="146"/>
        <v>68357300</v>
      </c>
      <c r="BE79" s="83">
        <f t="shared" si="1"/>
        <v>0</v>
      </c>
      <c r="BF79" s="83">
        <f t="shared" si="2"/>
        <v>0</v>
      </c>
      <c r="BG79" s="14" t="str">
        <f ca="1">IFERROR(__xludf.DUMMYFUNCTION("REGEXEXTRACT(O73,""^\S+\s(.+)$"")"),"Prestar los servicios profesionales especializados para el desarrollo de los componentes de planeación, gestión de recursos y ejecución del ciclo de los proyectos de inversión pública, así como en la elaboración, actualización y mejora de las herramientas"&amp;" que permiten la planeación y seguimiento a la ejecución presupuestal en materia de inversión.")</f>
        <v>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v>
      </c>
      <c r="BH79" s="23">
        <v>68357300</v>
      </c>
      <c r="BI79" s="23"/>
      <c r="BJ79" s="23"/>
      <c r="BK79" s="23">
        <v>7333333</v>
      </c>
      <c r="BL79" s="23"/>
      <c r="BM79" s="23">
        <v>11000000</v>
      </c>
      <c r="BN79" s="23"/>
      <c r="BO79" s="23">
        <v>11000000</v>
      </c>
      <c r="BP79" s="23"/>
      <c r="BQ79" s="23">
        <v>11000000</v>
      </c>
      <c r="BR79" s="23"/>
      <c r="BS79" s="23">
        <v>11000000</v>
      </c>
      <c r="BT79" s="23"/>
      <c r="BU79" s="23">
        <v>11000000</v>
      </c>
      <c r="BV79" s="23"/>
      <c r="BW79" s="23">
        <v>6023967</v>
      </c>
      <c r="BX79" s="23"/>
      <c r="BY79" s="23"/>
      <c r="BZ79" s="23"/>
      <c r="CA79" s="23"/>
      <c r="CB79" s="23"/>
      <c r="CC79" s="23"/>
      <c r="CD79" s="23"/>
      <c r="CE79" s="23"/>
      <c r="CF79" s="28"/>
      <c r="CG79" s="28"/>
      <c r="CH79" s="25">
        <f t="shared" ref="CH79:CI79" si="147">BH79+BJ79+BL79+BN79+BP79+BR79+BT79+BV79+BX79+BZ79+CB79+CD79+CF79</f>
        <v>68357300</v>
      </c>
      <c r="CI79" s="25">
        <f t="shared" si="147"/>
        <v>68357300</v>
      </c>
      <c r="CJ79" s="26">
        <f t="shared" si="4"/>
        <v>0</v>
      </c>
      <c r="CK79" s="26">
        <f t="shared" si="5"/>
        <v>0</v>
      </c>
    </row>
    <row r="80" spans="1:89" ht="90" customHeight="1" x14ac:dyDescent="0.3">
      <c r="A80" s="13" t="s">
        <v>248</v>
      </c>
      <c r="B80" s="14" t="s">
        <v>8</v>
      </c>
      <c r="C80" s="15" t="s">
        <v>427</v>
      </c>
      <c r="D80" s="14" t="s">
        <v>68</v>
      </c>
      <c r="E80" s="13" t="s">
        <v>250</v>
      </c>
      <c r="F80" s="13" t="s">
        <v>250</v>
      </c>
      <c r="G80" s="14">
        <v>68</v>
      </c>
      <c r="H80" s="13" t="s">
        <v>435</v>
      </c>
      <c r="I80" s="15" t="s">
        <v>429</v>
      </c>
      <c r="J80" s="14" t="s">
        <v>9</v>
      </c>
      <c r="K80" s="15" t="s">
        <v>103</v>
      </c>
      <c r="L80" s="14">
        <v>80111620</v>
      </c>
      <c r="M80" s="14" t="s">
        <v>10</v>
      </c>
      <c r="N80" s="14" t="s">
        <v>253</v>
      </c>
      <c r="O80" s="15" t="s">
        <v>436</v>
      </c>
      <c r="P80" s="14" t="s">
        <v>255</v>
      </c>
      <c r="Q80" s="14" t="s">
        <v>255</v>
      </c>
      <c r="R80" s="14" t="s">
        <v>255</v>
      </c>
      <c r="S80" s="17">
        <v>340</v>
      </c>
      <c r="T80" s="14" t="s">
        <v>431</v>
      </c>
      <c r="U80" s="14" t="s">
        <v>257</v>
      </c>
      <c r="V80" s="14" t="s">
        <v>112</v>
      </c>
      <c r="W80" s="18">
        <v>30000000</v>
      </c>
      <c r="X80" s="18">
        <v>30000000</v>
      </c>
      <c r="Y80" s="19" t="s">
        <v>339</v>
      </c>
      <c r="Z80" s="19" t="s">
        <v>258</v>
      </c>
      <c r="AA80" s="19" t="s">
        <v>432</v>
      </c>
      <c r="AB80" s="14" t="s">
        <v>433</v>
      </c>
      <c r="AC80" s="14">
        <v>6012220601</v>
      </c>
      <c r="AD80" s="14" t="s">
        <v>434</v>
      </c>
      <c r="AE80" s="82">
        <v>0</v>
      </c>
      <c r="AF80" s="82">
        <v>0</v>
      </c>
      <c r="AG80" s="82">
        <v>30000000</v>
      </c>
      <c r="AH80" s="82">
        <v>0</v>
      </c>
      <c r="AI80" s="82">
        <v>0</v>
      </c>
      <c r="AJ80" s="82">
        <v>5333333</v>
      </c>
      <c r="AK80" s="82">
        <v>0</v>
      </c>
      <c r="AL80" s="82">
        <v>8000000</v>
      </c>
      <c r="AM80" s="82">
        <v>0</v>
      </c>
      <c r="AN80" s="82">
        <v>8000000</v>
      </c>
      <c r="AO80" s="82">
        <v>0</v>
      </c>
      <c r="AP80" s="82">
        <v>8000000</v>
      </c>
      <c r="AQ80" s="82">
        <v>0</v>
      </c>
      <c r="AR80" s="82">
        <v>666667</v>
      </c>
      <c r="AS80" s="82">
        <v>0</v>
      </c>
      <c r="AT80" s="82">
        <v>0</v>
      </c>
      <c r="AU80" s="82">
        <v>0</v>
      </c>
      <c r="AV80" s="82">
        <v>0</v>
      </c>
      <c r="AW80" s="82">
        <v>0</v>
      </c>
      <c r="AX80" s="82">
        <v>0</v>
      </c>
      <c r="AY80" s="82">
        <v>0</v>
      </c>
      <c r="AZ80" s="82">
        <v>0</v>
      </c>
      <c r="BA80" s="82">
        <v>0</v>
      </c>
      <c r="BB80" s="82">
        <v>0</v>
      </c>
      <c r="BC80" s="82">
        <f t="shared" ref="BC80:BD80" si="148">AE80+AG80+AI80+AK80+AM80+AO80+AQ80+AS80+AU80+AW80+AY80+BA80</f>
        <v>30000000</v>
      </c>
      <c r="BD80" s="82">
        <f t="shared" si="148"/>
        <v>30000000</v>
      </c>
      <c r="BE80" s="83">
        <f t="shared" si="1"/>
        <v>0</v>
      </c>
      <c r="BF80" s="83">
        <f t="shared" si="2"/>
        <v>0</v>
      </c>
      <c r="BG80" s="14" t="str">
        <f ca="1">IFERROR(__xludf.DUMMYFUNCTION("REGEXEXTRACT(O74,""^\S+\s(.+)$"")"),"Prestar servicios profesionales para implementar, monitorear y realizar seguimiento al Plan de ejecución y monitoreo 2026 del Programa de Transparencia y Ética Pública (PTEP) 2026 - 2029 de la UPME, brindando orientación y apoyo metodológico para la adopc"&amp;"ión y fortalecimiento de las políticas del Modelo de Estado Abierto (Transparencia y acceso a la información, Integridad, Servicio al Ciudadano, Participación Ciudadana, Racionalización de Trámites y Rendición de Cuentas), así como para las estrategias de"&amp;" formación y comunicación del PTEP.")</f>
        <v>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v>
      </c>
      <c r="BH80" s="23"/>
      <c r="BI80" s="23"/>
      <c r="BJ80" s="23">
        <v>30000000</v>
      </c>
      <c r="BK80" s="23"/>
      <c r="BL80" s="23"/>
      <c r="BM80" s="23">
        <v>5333333</v>
      </c>
      <c r="BN80" s="23"/>
      <c r="BO80" s="23">
        <v>8000000</v>
      </c>
      <c r="BP80" s="23"/>
      <c r="BQ80" s="23">
        <v>8000000</v>
      </c>
      <c r="BR80" s="23"/>
      <c r="BS80" s="23">
        <v>8000000</v>
      </c>
      <c r="BT80" s="23"/>
      <c r="BU80" s="23">
        <v>666667</v>
      </c>
      <c r="BV80" s="23"/>
      <c r="BW80" s="23"/>
      <c r="BX80" s="23"/>
      <c r="BY80" s="23"/>
      <c r="BZ80" s="23"/>
      <c r="CA80" s="23"/>
      <c r="CB80" s="23"/>
      <c r="CC80" s="23"/>
      <c r="CD80" s="23"/>
      <c r="CE80" s="23"/>
      <c r="CF80" s="28"/>
      <c r="CG80" s="28"/>
      <c r="CH80" s="25">
        <f t="shared" ref="CH80:CI80" si="149">BH80+BJ80+BL80+BN80+BP80+BR80+BT80+BV80+BX80+BZ80+CB80+CD80+CF80</f>
        <v>30000000</v>
      </c>
      <c r="CI80" s="25">
        <f t="shared" si="149"/>
        <v>30000000</v>
      </c>
      <c r="CJ80" s="26">
        <f t="shared" si="4"/>
        <v>0</v>
      </c>
      <c r="CK80" s="26">
        <f t="shared" si="5"/>
        <v>0</v>
      </c>
    </row>
    <row r="81" spans="1:89" ht="90" customHeight="1" x14ac:dyDescent="0.3">
      <c r="A81" s="13" t="s">
        <v>248</v>
      </c>
      <c r="B81" s="14" t="s">
        <v>8</v>
      </c>
      <c r="C81" s="15" t="s">
        <v>427</v>
      </c>
      <c r="D81" s="14" t="s">
        <v>68</v>
      </c>
      <c r="E81" s="13" t="s">
        <v>250</v>
      </c>
      <c r="F81" s="13" t="s">
        <v>250</v>
      </c>
      <c r="G81" s="14">
        <v>68</v>
      </c>
      <c r="H81" s="13" t="s">
        <v>437</v>
      </c>
      <c r="I81" s="15" t="s">
        <v>429</v>
      </c>
      <c r="J81" s="14" t="s">
        <v>9</v>
      </c>
      <c r="K81" s="15" t="s">
        <v>103</v>
      </c>
      <c r="L81" s="14">
        <v>80111620</v>
      </c>
      <c r="M81" s="14" t="s">
        <v>10</v>
      </c>
      <c r="N81" s="14" t="s">
        <v>253</v>
      </c>
      <c r="O81" s="15" t="s">
        <v>438</v>
      </c>
      <c r="P81" s="14" t="s">
        <v>255</v>
      </c>
      <c r="Q81" s="14" t="s">
        <v>255</v>
      </c>
      <c r="R81" s="14" t="s">
        <v>255</v>
      </c>
      <c r="S81" s="17">
        <v>340</v>
      </c>
      <c r="T81" s="14" t="s">
        <v>431</v>
      </c>
      <c r="U81" s="14" t="s">
        <v>257</v>
      </c>
      <c r="V81" s="14" t="s">
        <v>112</v>
      </c>
      <c r="W81" s="18">
        <v>43006600</v>
      </c>
      <c r="X81" s="18">
        <v>43006600</v>
      </c>
      <c r="Y81" s="19" t="s">
        <v>339</v>
      </c>
      <c r="Z81" s="19" t="s">
        <v>258</v>
      </c>
      <c r="AA81" s="19" t="s">
        <v>432</v>
      </c>
      <c r="AB81" s="14" t="s">
        <v>433</v>
      </c>
      <c r="AC81" s="14">
        <v>6012220601</v>
      </c>
      <c r="AD81" s="14" t="s">
        <v>434</v>
      </c>
      <c r="AE81" s="82">
        <v>43006600</v>
      </c>
      <c r="AF81" s="82">
        <v>0</v>
      </c>
      <c r="AG81" s="82">
        <v>0</v>
      </c>
      <c r="AH81" s="82">
        <v>2529800</v>
      </c>
      <c r="AI81" s="82">
        <v>0</v>
      </c>
      <c r="AJ81" s="82">
        <v>3794700</v>
      </c>
      <c r="AK81" s="82">
        <v>0</v>
      </c>
      <c r="AL81" s="82">
        <v>3794700</v>
      </c>
      <c r="AM81" s="82">
        <v>0</v>
      </c>
      <c r="AN81" s="82">
        <v>3794700</v>
      </c>
      <c r="AO81" s="82">
        <v>0</v>
      </c>
      <c r="AP81" s="82">
        <v>3794700</v>
      </c>
      <c r="AQ81" s="82">
        <v>0</v>
      </c>
      <c r="AR81" s="82">
        <v>3794700</v>
      </c>
      <c r="AS81" s="82">
        <v>0</v>
      </c>
      <c r="AT81" s="82">
        <v>3794700</v>
      </c>
      <c r="AU81" s="82">
        <v>0</v>
      </c>
      <c r="AV81" s="82">
        <v>3794700</v>
      </c>
      <c r="AW81" s="82">
        <v>0</v>
      </c>
      <c r="AX81" s="82">
        <v>3794700</v>
      </c>
      <c r="AY81" s="82">
        <v>0</v>
      </c>
      <c r="AZ81" s="82">
        <v>3794700</v>
      </c>
      <c r="BA81" s="82">
        <v>0</v>
      </c>
      <c r="BB81" s="82">
        <v>6324500</v>
      </c>
      <c r="BC81" s="82">
        <f t="shared" ref="BC81:BD81" si="150">AE81+AG81+AI81+AK81+AM81+AO81+AQ81+AS81+AU81+AW81+AY81+BA81</f>
        <v>43006600</v>
      </c>
      <c r="BD81" s="82">
        <f t="shared" si="150"/>
        <v>43006600</v>
      </c>
      <c r="BE81" s="83">
        <f t="shared" si="1"/>
        <v>0</v>
      </c>
      <c r="BF81" s="83">
        <f t="shared" si="2"/>
        <v>0</v>
      </c>
      <c r="BG81" s="14" t="str">
        <f ca="1">IFERROR(__xludf.DUMMYFUNCTION("REGEXEXTRACT(O75,""^\S+\s(.+)$"")"),"Prestar servicios profesionales para apoyar las acciones de formulación y seguimiento de los proyectos de inversión de la entidad; así como el registro, análisis y consolidación de información en las herramientas y sistemas de información definidos por la"&amp;" Oficina Asesora de Planeación.")</f>
        <v>Prestar servicios profesionales para apoyar las acciones de formulación y seguimiento de los proyectos de inversión de la entidad; así como el registro, análisis y consolidación de información en las herramientas y sistemas de información definidos por la Oficina Asesora de Planeación.</v>
      </c>
      <c r="BH81" s="23">
        <v>43006600</v>
      </c>
      <c r="BI81" s="23"/>
      <c r="BJ81" s="23"/>
      <c r="BK81" s="23">
        <v>2529800</v>
      </c>
      <c r="BL81" s="23"/>
      <c r="BM81" s="23">
        <v>3794700</v>
      </c>
      <c r="BN81" s="23"/>
      <c r="BO81" s="23">
        <v>3794700</v>
      </c>
      <c r="BP81" s="23"/>
      <c r="BQ81" s="23">
        <v>3794700</v>
      </c>
      <c r="BR81" s="23"/>
      <c r="BS81" s="23">
        <v>3794700</v>
      </c>
      <c r="BT81" s="23"/>
      <c r="BU81" s="23">
        <v>3794700</v>
      </c>
      <c r="BV81" s="23"/>
      <c r="BW81" s="23">
        <v>3794700</v>
      </c>
      <c r="BX81" s="23"/>
      <c r="BY81" s="23">
        <v>3794700</v>
      </c>
      <c r="BZ81" s="23"/>
      <c r="CA81" s="23">
        <v>3794700</v>
      </c>
      <c r="CB81" s="23"/>
      <c r="CC81" s="23">
        <v>3794700</v>
      </c>
      <c r="CD81" s="23"/>
      <c r="CE81" s="23">
        <v>6324500</v>
      </c>
      <c r="CF81" s="28"/>
      <c r="CG81" s="28"/>
      <c r="CH81" s="25">
        <f t="shared" ref="CH81:CI81" si="151">BH81+BJ81+BL81+BN81+BP81+BR81+BT81+BV81+BX81+BZ81+CB81+CD81+CF81</f>
        <v>43006600</v>
      </c>
      <c r="CI81" s="25">
        <f t="shared" si="151"/>
        <v>43006600</v>
      </c>
      <c r="CJ81" s="26">
        <f t="shared" si="4"/>
        <v>0</v>
      </c>
      <c r="CK81" s="26">
        <f t="shared" si="5"/>
        <v>0</v>
      </c>
    </row>
    <row r="82" spans="1:89" ht="90" customHeight="1" x14ac:dyDescent="0.3">
      <c r="A82" s="13" t="s">
        <v>248</v>
      </c>
      <c r="B82" s="14" t="s">
        <v>8</v>
      </c>
      <c r="C82" s="15" t="s">
        <v>427</v>
      </c>
      <c r="D82" s="14" t="s">
        <v>68</v>
      </c>
      <c r="E82" s="13" t="s">
        <v>250</v>
      </c>
      <c r="F82" s="13" t="s">
        <v>250</v>
      </c>
      <c r="G82" s="14">
        <v>68</v>
      </c>
      <c r="H82" s="13" t="s">
        <v>439</v>
      </c>
      <c r="I82" s="15" t="s">
        <v>429</v>
      </c>
      <c r="J82" s="14" t="s">
        <v>9</v>
      </c>
      <c r="K82" s="15" t="s">
        <v>103</v>
      </c>
      <c r="L82" s="14">
        <v>80111620</v>
      </c>
      <c r="M82" s="14" t="s">
        <v>10</v>
      </c>
      <c r="N82" s="14" t="s">
        <v>253</v>
      </c>
      <c r="O82" s="15" t="s">
        <v>440</v>
      </c>
      <c r="P82" s="14" t="s">
        <v>255</v>
      </c>
      <c r="Q82" s="14" t="s">
        <v>255</v>
      </c>
      <c r="R82" s="14" t="s">
        <v>255</v>
      </c>
      <c r="S82" s="17">
        <v>330</v>
      </c>
      <c r="T82" s="14" t="s">
        <v>431</v>
      </c>
      <c r="U82" s="14" t="s">
        <v>257</v>
      </c>
      <c r="V82" s="14" t="s">
        <v>112</v>
      </c>
      <c r="W82" s="18">
        <v>23923293</v>
      </c>
      <c r="X82" s="18">
        <v>23923293</v>
      </c>
      <c r="Y82" s="19" t="s">
        <v>339</v>
      </c>
      <c r="Z82" s="19" t="s">
        <v>258</v>
      </c>
      <c r="AA82" s="19" t="s">
        <v>432</v>
      </c>
      <c r="AB82" s="14" t="s">
        <v>433</v>
      </c>
      <c r="AC82" s="14">
        <v>6012220601</v>
      </c>
      <c r="AD82" s="14" t="s">
        <v>434</v>
      </c>
      <c r="AE82" s="82">
        <v>0</v>
      </c>
      <c r="AF82" s="82">
        <v>0</v>
      </c>
      <c r="AG82" s="82">
        <v>23923293</v>
      </c>
      <c r="AH82" s="82">
        <v>0</v>
      </c>
      <c r="AI82" s="82">
        <v>0</v>
      </c>
      <c r="AJ82" s="82">
        <v>3500000</v>
      </c>
      <c r="AK82" s="82">
        <v>0</v>
      </c>
      <c r="AL82" s="82">
        <v>3500000</v>
      </c>
      <c r="AM82" s="82">
        <v>0</v>
      </c>
      <c r="AN82" s="82">
        <v>3500000</v>
      </c>
      <c r="AO82" s="82">
        <v>0</v>
      </c>
      <c r="AP82" s="82">
        <v>3500000</v>
      </c>
      <c r="AQ82" s="82">
        <v>0</v>
      </c>
      <c r="AR82" s="82">
        <v>3500000</v>
      </c>
      <c r="AS82" s="82">
        <v>0</v>
      </c>
      <c r="AT82" s="82">
        <v>3500000</v>
      </c>
      <c r="AU82" s="82">
        <v>0</v>
      </c>
      <c r="AV82" s="82">
        <v>2923293</v>
      </c>
      <c r="AW82" s="82">
        <v>0</v>
      </c>
      <c r="AX82" s="82">
        <v>0</v>
      </c>
      <c r="AY82" s="82">
        <v>0</v>
      </c>
      <c r="AZ82" s="82">
        <v>0</v>
      </c>
      <c r="BA82" s="82">
        <v>0</v>
      </c>
      <c r="BB82" s="82">
        <v>0</v>
      </c>
      <c r="BC82" s="82">
        <f t="shared" ref="BC82:BD82" si="152">AE82+AG82+AI82+AK82+AM82+AO82+AQ82+AS82+AU82+AW82+AY82+BA82</f>
        <v>23923293</v>
      </c>
      <c r="BD82" s="82">
        <f t="shared" si="152"/>
        <v>23923293</v>
      </c>
      <c r="BE82" s="83">
        <f t="shared" si="1"/>
        <v>0</v>
      </c>
      <c r="BF82" s="83">
        <f t="shared" si="2"/>
        <v>0</v>
      </c>
      <c r="BG82" s="14" t="str">
        <f ca="1">IFERROR(__xludf.DUMMYFUNCTION("REGEXEXTRACT(O76,""^\S+\s(.+)$"")"),"Prestar servicios profesionales para apoyar las actividades de seguimiento, evaluación y mejora del Sistema de Gestión Institucional, en articulación con el Modelo Integrado de Planeación y Gestión (MIPG).")</f>
        <v>Prestar servicios profesionales para apoyar las actividades de seguimiento, evaluación y mejora del Sistema de Gestión Institucional, en articulación con el Modelo Integrado de Planeación y Gestión (MIPG).</v>
      </c>
      <c r="BH82" s="23"/>
      <c r="BI82" s="23"/>
      <c r="BJ82" s="23">
        <v>23923293</v>
      </c>
      <c r="BK82" s="23"/>
      <c r="BL82" s="23"/>
      <c r="BM82" s="23">
        <v>3500000</v>
      </c>
      <c r="BN82" s="23"/>
      <c r="BO82" s="23">
        <v>3500000</v>
      </c>
      <c r="BP82" s="23"/>
      <c r="BQ82" s="23">
        <v>3500000</v>
      </c>
      <c r="BR82" s="23"/>
      <c r="BS82" s="23">
        <v>3500000</v>
      </c>
      <c r="BT82" s="23"/>
      <c r="BU82" s="23">
        <v>3500000</v>
      </c>
      <c r="BV82" s="23"/>
      <c r="BW82" s="23">
        <v>3500000</v>
      </c>
      <c r="BX82" s="23"/>
      <c r="BY82" s="23">
        <v>2923293</v>
      </c>
      <c r="BZ82" s="23"/>
      <c r="CA82" s="23"/>
      <c r="CB82" s="23"/>
      <c r="CC82" s="23"/>
      <c r="CD82" s="23"/>
      <c r="CE82" s="23"/>
      <c r="CF82" s="28"/>
      <c r="CG82" s="28"/>
      <c r="CH82" s="25">
        <f t="shared" ref="CH82:CI82" si="153">BH82+BJ82+BL82+BN82+BP82+BR82+BT82+BV82+BX82+BZ82+CB82+CD82+CF82</f>
        <v>23923293</v>
      </c>
      <c r="CI82" s="25">
        <f t="shared" si="153"/>
        <v>23923293</v>
      </c>
      <c r="CJ82" s="26">
        <f t="shared" si="4"/>
        <v>0</v>
      </c>
      <c r="CK82" s="26">
        <f t="shared" si="5"/>
        <v>0</v>
      </c>
    </row>
    <row r="83" spans="1:89" ht="90" customHeight="1" x14ac:dyDescent="0.3">
      <c r="A83" s="13" t="s">
        <v>248</v>
      </c>
      <c r="B83" s="14" t="s">
        <v>8</v>
      </c>
      <c r="C83" s="15" t="s">
        <v>427</v>
      </c>
      <c r="D83" s="14" t="s">
        <v>68</v>
      </c>
      <c r="E83" s="13" t="s">
        <v>250</v>
      </c>
      <c r="F83" s="13" t="s">
        <v>250</v>
      </c>
      <c r="G83" s="14">
        <v>68</v>
      </c>
      <c r="H83" s="13" t="s">
        <v>441</v>
      </c>
      <c r="I83" s="15" t="s">
        <v>429</v>
      </c>
      <c r="J83" s="14" t="s">
        <v>9</v>
      </c>
      <c r="K83" s="15" t="s">
        <v>103</v>
      </c>
      <c r="L83" s="14">
        <v>80111620</v>
      </c>
      <c r="M83" s="14" t="s">
        <v>10</v>
      </c>
      <c r="N83" s="14" t="s">
        <v>253</v>
      </c>
      <c r="O83" s="15" t="s">
        <v>442</v>
      </c>
      <c r="P83" s="14" t="s">
        <v>255</v>
      </c>
      <c r="Q83" s="14" t="s">
        <v>255</v>
      </c>
      <c r="R83" s="14" t="s">
        <v>255</v>
      </c>
      <c r="S83" s="17">
        <v>330</v>
      </c>
      <c r="T83" s="14" t="s">
        <v>431</v>
      </c>
      <c r="U83" s="14" t="s">
        <v>257</v>
      </c>
      <c r="V83" s="14" t="s">
        <v>112</v>
      </c>
      <c r="W83" s="18">
        <v>36139950</v>
      </c>
      <c r="X83" s="18">
        <v>36139950</v>
      </c>
      <c r="Y83" s="19" t="s">
        <v>339</v>
      </c>
      <c r="Z83" s="19" t="s">
        <v>258</v>
      </c>
      <c r="AA83" s="19" t="s">
        <v>432</v>
      </c>
      <c r="AB83" s="14" t="s">
        <v>433</v>
      </c>
      <c r="AC83" s="14">
        <v>6012220601</v>
      </c>
      <c r="AD83" s="14" t="s">
        <v>434</v>
      </c>
      <c r="AE83" s="82">
        <v>0</v>
      </c>
      <c r="AF83" s="82">
        <v>0</v>
      </c>
      <c r="AG83" s="82">
        <v>36139950</v>
      </c>
      <c r="AH83" s="82">
        <v>0</v>
      </c>
      <c r="AI83" s="82">
        <v>0</v>
      </c>
      <c r="AJ83" s="82">
        <v>3285450</v>
      </c>
      <c r="AK83" s="82">
        <v>0</v>
      </c>
      <c r="AL83" s="82">
        <v>3285450</v>
      </c>
      <c r="AM83" s="82">
        <v>0</v>
      </c>
      <c r="AN83" s="82">
        <v>3285450</v>
      </c>
      <c r="AO83" s="82">
        <v>0</v>
      </c>
      <c r="AP83" s="82">
        <v>3285450</v>
      </c>
      <c r="AQ83" s="82">
        <v>0</v>
      </c>
      <c r="AR83" s="82">
        <v>3285450</v>
      </c>
      <c r="AS83" s="82">
        <v>0</v>
      </c>
      <c r="AT83" s="82">
        <v>3285450</v>
      </c>
      <c r="AU83" s="82">
        <v>0</v>
      </c>
      <c r="AV83" s="82">
        <v>3285450</v>
      </c>
      <c r="AW83" s="82">
        <v>0</v>
      </c>
      <c r="AX83" s="82">
        <v>3285450</v>
      </c>
      <c r="AY83" s="82">
        <v>0</v>
      </c>
      <c r="AZ83" s="82">
        <v>3285450</v>
      </c>
      <c r="BA83" s="82">
        <v>0</v>
      </c>
      <c r="BB83" s="82">
        <v>6570900</v>
      </c>
      <c r="BC83" s="82">
        <f t="shared" ref="BC83:BD83" si="154">AE83+AG83+AI83+AK83+AM83+AO83+AQ83+AS83+AU83+AW83+AY83+BA83</f>
        <v>36139950</v>
      </c>
      <c r="BD83" s="82">
        <f t="shared" si="154"/>
        <v>36139950</v>
      </c>
      <c r="BE83" s="83">
        <f t="shared" si="1"/>
        <v>0</v>
      </c>
      <c r="BF83" s="83">
        <f t="shared" si="2"/>
        <v>0</v>
      </c>
      <c r="BG83" s="14" t="str">
        <f ca="1">IFERROR(__xludf.DUMMYFUNCTION("REGEXEXTRACT(O77,""^\S+\s(.+)$"")"),"Prestar servicios profesionales para acompañar el desarrollo de las actividades asociadas a la ejecución, seguimiento y organización de las acciones de cooperación internacional y demás tareas operativas asignadas a la Oficina Asesora de Planeación.")</f>
        <v>Prestar servicios profesionales para acompañar el desarrollo de las actividades asociadas a la ejecución, seguimiento y organización de las acciones de cooperación internacional y demás tareas operativas asignadas a la Oficina Asesora de Planeación.</v>
      </c>
      <c r="BH83" s="23"/>
      <c r="BI83" s="23"/>
      <c r="BJ83" s="23">
        <v>36139950</v>
      </c>
      <c r="BK83" s="23"/>
      <c r="BL83" s="23"/>
      <c r="BM83" s="23">
        <v>3285450</v>
      </c>
      <c r="BN83" s="23"/>
      <c r="BO83" s="23">
        <v>3285450</v>
      </c>
      <c r="BP83" s="23"/>
      <c r="BQ83" s="23">
        <v>3285450</v>
      </c>
      <c r="BR83" s="23"/>
      <c r="BS83" s="23">
        <v>3285450</v>
      </c>
      <c r="BT83" s="23"/>
      <c r="BU83" s="23">
        <v>3285450</v>
      </c>
      <c r="BV83" s="23"/>
      <c r="BW83" s="23">
        <v>3285450</v>
      </c>
      <c r="BX83" s="23"/>
      <c r="BY83" s="23">
        <v>3285450</v>
      </c>
      <c r="BZ83" s="23"/>
      <c r="CA83" s="23">
        <v>3285450</v>
      </c>
      <c r="CB83" s="23"/>
      <c r="CC83" s="23">
        <v>3285450</v>
      </c>
      <c r="CD83" s="23"/>
      <c r="CE83" s="23">
        <v>6570900</v>
      </c>
      <c r="CF83" s="28"/>
      <c r="CG83" s="28"/>
      <c r="CH83" s="25">
        <f t="shared" ref="CH83:CI83" si="155">BH83+BJ83+BL83+BN83+BP83+BR83+BT83+BV83+BX83+BZ83+CB83+CD83+CF83</f>
        <v>36139950</v>
      </c>
      <c r="CI83" s="25">
        <f t="shared" si="155"/>
        <v>36139950</v>
      </c>
      <c r="CJ83" s="26">
        <f t="shared" si="4"/>
        <v>0</v>
      </c>
      <c r="CK83" s="26">
        <f t="shared" si="5"/>
        <v>0</v>
      </c>
    </row>
    <row r="84" spans="1:89" ht="90" customHeight="1" x14ac:dyDescent="0.3">
      <c r="A84" s="13" t="s">
        <v>248</v>
      </c>
      <c r="B84" s="14" t="s">
        <v>8</v>
      </c>
      <c r="C84" s="15" t="s">
        <v>427</v>
      </c>
      <c r="D84" s="14" t="s">
        <v>68</v>
      </c>
      <c r="E84" s="13" t="s">
        <v>250</v>
      </c>
      <c r="F84" s="13" t="s">
        <v>250</v>
      </c>
      <c r="G84" s="14">
        <v>68</v>
      </c>
      <c r="H84" s="13" t="s">
        <v>443</v>
      </c>
      <c r="I84" s="15" t="s">
        <v>429</v>
      </c>
      <c r="J84" s="14" t="s">
        <v>9</v>
      </c>
      <c r="K84" s="15" t="s">
        <v>104</v>
      </c>
      <c r="L84" s="14">
        <v>80111620</v>
      </c>
      <c r="M84" s="14" t="s">
        <v>10</v>
      </c>
      <c r="N84" s="14" t="s">
        <v>253</v>
      </c>
      <c r="O84" s="15" t="s">
        <v>444</v>
      </c>
      <c r="P84" s="14" t="s">
        <v>255</v>
      </c>
      <c r="Q84" s="14" t="s">
        <v>255</v>
      </c>
      <c r="R84" s="14" t="s">
        <v>255</v>
      </c>
      <c r="S84" s="17">
        <v>345</v>
      </c>
      <c r="T84" s="14" t="s">
        <v>431</v>
      </c>
      <c r="U84" s="14" t="s">
        <v>257</v>
      </c>
      <c r="V84" s="14" t="s">
        <v>112</v>
      </c>
      <c r="W84" s="18">
        <v>58142700</v>
      </c>
      <c r="X84" s="18">
        <v>58142700</v>
      </c>
      <c r="Y84" s="19" t="s">
        <v>339</v>
      </c>
      <c r="Z84" s="19" t="s">
        <v>258</v>
      </c>
      <c r="AA84" s="19" t="s">
        <v>432</v>
      </c>
      <c r="AB84" s="14" t="s">
        <v>433</v>
      </c>
      <c r="AC84" s="14">
        <v>6012220601</v>
      </c>
      <c r="AD84" s="14" t="s">
        <v>434</v>
      </c>
      <c r="AE84" s="82">
        <v>58142700</v>
      </c>
      <c r="AF84" s="82">
        <v>0</v>
      </c>
      <c r="AG84" s="82">
        <v>0</v>
      </c>
      <c r="AH84" s="82">
        <v>0</v>
      </c>
      <c r="AI84" s="82">
        <v>0</v>
      </c>
      <c r="AJ84" s="82">
        <v>0</v>
      </c>
      <c r="AK84" s="82">
        <v>0</v>
      </c>
      <c r="AL84" s="82">
        <v>0</v>
      </c>
      <c r="AM84" s="82">
        <v>0</v>
      </c>
      <c r="AN84" s="82">
        <v>0</v>
      </c>
      <c r="AO84" s="82">
        <v>0</v>
      </c>
      <c r="AP84" s="82">
        <v>0</v>
      </c>
      <c r="AQ84" s="82">
        <v>0</v>
      </c>
      <c r="AR84" s="82">
        <v>0</v>
      </c>
      <c r="AS84" s="82">
        <v>0</v>
      </c>
      <c r="AT84" s="82">
        <v>4976033</v>
      </c>
      <c r="AU84" s="82">
        <v>0</v>
      </c>
      <c r="AV84" s="82">
        <v>11000000</v>
      </c>
      <c r="AW84" s="82">
        <v>0</v>
      </c>
      <c r="AX84" s="82">
        <v>11000000</v>
      </c>
      <c r="AY84" s="82">
        <v>0</v>
      </c>
      <c r="AZ84" s="82">
        <v>11000000</v>
      </c>
      <c r="BA84" s="82">
        <v>0</v>
      </c>
      <c r="BB84" s="82">
        <v>20166667</v>
      </c>
      <c r="BC84" s="82">
        <f t="shared" ref="BC84:BD84" si="156">AE84+AG84+AI84+AK84+AM84+AO84+AQ84+AS84+AU84+AW84+AY84+BA84</f>
        <v>58142700</v>
      </c>
      <c r="BD84" s="82">
        <f t="shared" si="156"/>
        <v>58142700</v>
      </c>
      <c r="BE84" s="83">
        <f t="shared" si="1"/>
        <v>0</v>
      </c>
      <c r="BF84" s="83">
        <f t="shared" si="2"/>
        <v>0</v>
      </c>
      <c r="BG84" s="14" t="str">
        <f ca="1">IFERROR(__xludf.DUMMYFUNCTION("REGEXEXTRACT(O78,""^\S+\s(.+)$"")"),"Prestar los servicios profesionales especializados para el desarrollo de los componentes de planeación, gestión de recursos y ejecución del ciclo de los proyectos de inversión pública, así como en la elaboración, actualización y mejora de las herramientas"&amp;" que permiten la planeación y seguimiento a la ejecución presupuestal en materia de inversión.")</f>
        <v>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v>
      </c>
      <c r="BH84" s="23">
        <v>58142700</v>
      </c>
      <c r="BI84" s="23"/>
      <c r="BJ84" s="23"/>
      <c r="BK84" s="23"/>
      <c r="BL84" s="23"/>
      <c r="BM84" s="23"/>
      <c r="BN84" s="23"/>
      <c r="BO84" s="23"/>
      <c r="BP84" s="23"/>
      <c r="BQ84" s="23"/>
      <c r="BR84" s="23"/>
      <c r="BS84" s="23"/>
      <c r="BT84" s="23"/>
      <c r="BU84" s="23"/>
      <c r="BV84" s="23"/>
      <c r="BW84" s="23">
        <v>4976033</v>
      </c>
      <c r="BX84" s="23"/>
      <c r="BY84" s="23">
        <v>11000000</v>
      </c>
      <c r="BZ84" s="23"/>
      <c r="CA84" s="23">
        <v>11000000</v>
      </c>
      <c r="CB84" s="23"/>
      <c r="CC84" s="23">
        <v>11000000</v>
      </c>
      <c r="CD84" s="23"/>
      <c r="CE84" s="23">
        <v>20166667</v>
      </c>
      <c r="CF84" s="28"/>
      <c r="CG84" s="28"/>
      <c r="CH84" s="25">
        <f t="shared" ref="CH84:CI84" si="157">BH84+BJ84+BL84+BN84+BP84+BR84+BT84+BV84+BX84+BZ84+CB84+CD84+CF84</f>
        <v>58142700</v>
      </c>
      <c r="CI84" s="25">
        <f t="shared" si="157"/>
        <v>58142700</v>
      </c>
      <c r="CJ84" s="26">
        <f t="shared" si="4"/>
        <v>0</v>
      </c>
      <c r="CK84" s="26">
        <f t="shared" si="5"/>
        <v>0</v>
      </c>
    </row>
    <row r="85" spans="1:89" ht="90" customHeight="1" x14ac:dyDescent="0.3">
      <c r="A85" s="13" t="s">
        <v>248</v>
      </c>
      <c r="B85" s="14" t="s">
        <v>8</v>
      </c>
      <c r="C85" s="15" t="s">
        <v>427</v>
      </c>
      <c r="D85" s="14" t="s">
        <v>68</v>
      </c>
      <c r="E85" s="13" t="s">
        <v>250</v>
      </c>
      <c r="F85" s="13" t="s">
        <v>250</v>
      </c>
      <c r="G85" s="14">
        <v>68</v>
      </c>
      <c r="H85" s="13" t="s">
        <v>445</v>
      </c>
      <c r="I85" s="15" t="s">
        <v>429</v>
      </c>
      <c r="J85" s="14" t="s">
        <v>9</v>
      </c>
      <c r="K85" s="15" t="s">
        <v>104</v>
      </c>
      <c r="L85" s="14">
        <v>80111620</v>
      </c>
      <c r="M85" s="14" t="s">
        <v>10</v>
      </c>
      <c r="N85" s="14" t="s">
        <v>253</v>
      </c>
      <c r="O85" s="15" t="s">
        <v>446</v>
      </c>
      <c r="P85" s="14" t="s">
        <v>255</v>
      </c>
      <c r="Q85" s="14" t="s">
        <v>255</v>
      </c>
      <c r="R85" s="14" t="s">
        <v>255</v>
      </c>
      <c r="S85" s="17">
        <v>340</v>
      </c>
      <c r="T85" s="14" t="s">
        <v>431</v>
      </c>
      <c r="U85" s="14" t="s">
        <v>257</v>
      </c>
      <c r="V85" s="14" t="s">
        <v>112</v>
      </c>
      <c r="W85" s="18">
        <v>60666667</v>
      </c>
      <c r="X85" s="18">
        <v>60666667</v>
      </c>
      <c r="Y85" s="19" t="s">
        <v>339</v>
      </c>
      <c r="Z85" s="19" t="s">
        <v>258</v>
      </c>
      <c r="AA85" s="19" t="s">
        <v>432</v>
      </c>
      <c r="AB85" s="14" t="s">
        <v>433</v>
      </c>
      <c r="AC85" s="14">
        <v>6012220601</v>
      </c>
      <c r="AD85" s="14" t="s">
        <v>434</v>
      </c>
      <c r="AE85" s="82">
        <v>0</v>
      </c>
      <c r="AF85" s="82">
        <v>0</v>
      </c>
      <c r="AG85" s="82">
        <v>60666667</v>
      </c>
      <c r="AH85" s="82">
        <v>0</v>
      </c>
      <c r="AI85" s="82">
        <v>0</v>
      </c>
      <c r="AJ85" s="82">
        <v>0</v>
      </c>
      <c r="AK85" s="82">
        <v>0</v>
      </c>
      <c r="AL85" s="82">
        <v>0</v>
      </c>
      <c r="AM85" s="82">
        <v>0</v>
      </c>
      <c r="AN85" s="82">
        <v>0</v>
      </c>
      <c r="AO85" s="82">
        <v>0</v>
      </c>
      <c r="AP85" s="82">
        <v>0</v>
      </c>
      <c r="AQ85" s="82">
        <v>0</v>
      </c>
      <c r="AR85" s="82">
        <v>7333333</v>
      </c>
      <c r="AS85" s="82">
        <v>0</v>
      </c>
      <c r="AT85" s="82">
        <v>8000000</v>
      </c>
      <c r="AU85" s="82">
        <v>0</v>
      </c>
      <c r="AV85" s="82">
        <v>8000000</v>
      </c>
      <c r="AW85" s="82">
        <v>0</v>
      </c>
      <c r="AX85" s="82">
        <v>8000000</v>
      </c>
      <c r="AY85" s="82">
        <v>0</v>
      </c>
      <c r="AZ85" s="82">
        <v>8000000</v>
      </c>
      <c r="BA85" s="82">
        <v>0</v>
      </c>
      <c r="BB85" s="82">
        <v>21333334</v>
      </c>
      <c r="BC85" s="82">
        <f t="shared" ref="BC85:BD85" si="158">AE85+AG85+AI85+AK85+AM85+AO85+AQ85+AS85+AU85+AW85+AY85+BA85</f>
        <v>60666667</v>
      </c>
      <c r="BD85" s="82">
        <f t="shared" si="158"/>
        <v>60666667</v>
      </c>
      <c r="BE85" s="83">
        <f t="shared" si="1"/>
        <v>0</v>
      </c>
      <c r="BF85" s="83">
        <f t="shared" si="2"/>
        <v>0</v>
      </c>
      <c r="BG85" s="14" t="str">
        <f ca="1">IFERROR(__xludf.DUMMYFUNCTION("REGEXEXTRACT(O79,""^\S+\s(.+)$"")"),"Prestar servicios profesionales para implementar, monitorear y realizar seguimiento al Plan de ejecución y monitoreo 2026 del Programa de Transparencia y Ética Pública (PTEP) 2026 - 2029 de la UPME, brindando orientación y apoyo metodológico para la adopc"&amp;"ión y fortalecimiento de las políticas del Modelo de Estado Abierto (Transparencia y acceso a la información, Integridad, Servicio al Ciudadano, Participación Ciudadana, Racionalización de Trámites y Rendición de Cuentas), así como para las estrategias de"&amp;" formación y comunicación del PTEP.")</f>
        <v>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v>
      </c>
      <c r="BH85" s="23"/>
      <c r="BI85" s="23"/>
      <c r="BJ85" s="23">
        <v>60666667</v>
      </c>
      <c r="BK85" s="23"/>
      <c r="BL85" s="23"/>
      <c r="BM85" s="23"/>
      <c r="BN85" s="23"/>
      <c r="BO85" s="23"/>
      <c r="BP85" s="23"/>
      <c r="BQ85" s="23"/>
      <c r="BR85" s="23"/>
      <c r="BS85" s="23"/>
      <c r="BT85" s="23"/>
      <c r="BU85" s="23">
        <v>7333333</v>
      </c>
      <c r="BV85" s="23"/>
      <c r="BW85" s="23">
        <v>8000000</v>
      </c>
      <c r="BX85" s="23"/>
      <c r="BY85" s="23">
        <v>8000000</v>
      </c>
      <c r="BZ85" s="23"/>
      <c r="CA85" s="23">
        <v>8000000</v>
      </c>
      <c r="CB85" s="23"/>
      <c r="CC85" s="23">
        <v>8000000</v>
      </c>
      <c r="CD85" s="23"/>
      <c r="CE85" s="23">
        <v>21333334</v>
      </c>
      <c r="CF85" s="28"/>
      <c r="CG85" s="28"/>
      <c r="CH85" s="25">
        <f t="shared" ref="CH85:CI85" si="159">BH85+BJ85+BL85+BN85+BP85+BR85+BT85+BV85+BX85+BZ85+CB85+CD85+CF85</f>
        <v>60666667</v>
      </c>
      <c r="CI85" s="25">
        <f t="shared" si="159"/>
        <v>60666667</v>
      </c>
      <c r="CJ85" s="26">
        <f t="shared" si="4"/>
        <v>0</v>
      </c>
      <c r="CK85" s="26">
        <f t="shared" si="5"/>
        <v>0</v>
      </c>
    </row>
    <row r="86" spans="1:89" ht="90" customHeight="1" x14ac:dyDescent="0.3">
      <c r="A86" s="13" t="s">
        <v>248</v>
      </c>
      <c r="B86" s="14" t="s">
        <v>8</v>
      </c>
      <c r="C86" s="15" t="s">
        <v>427</v>
      </c>
      <c r="D86" s="14" t="s">
        <v>68</v>
      </c>
      <c r="E86" s="13" t="s">
        <v>250</v>
      </c>
      <c r="F86" s="13" t="s">
        <v>250</v>
      </c>
      <c r="G86" s="14">
        <v>4</v>
      </c>
      <c r="H86" s="13" t="s">
        <v>447</v>
      </c>
      <c r="I86" s="15" t="s">
        <v>429</v>
      </c>
      <c r="J86" s="14" t="s">
        <v>9</v>
      </c>
      <c r="K86" s="15" t="s">
        <v>104</v>
      </c>
      <c r="L86" s="14">
        <v>80111620</v>
      </c>
      <c r="M86" s="14" t="s">
        <v>10</v>
      </c>
      <c r="N86" s="14" t="s">
        <v>253</v>
      </c>
      <c r="O86" s="15" t="s">
        <v>448</v>
      </c>
      <c r="P86" s="14" t="s">
        <v>255</v>
      </c>
      <c r="Q86" s="14" t="s">
        <v>255</v>
      </c>
      <c r="R86" s="14" t="s">
        <v>255</v>
      </c>
      <c r="S86" s="17">
        <v>330</v>
      </c>
      <c r="T86" s="14" t="s">
        <v>431</v>
      </c>
      <c r="U86" s="14" t="s">
        <v>257</v>
      </c>
      <c r="V86" s="14" t="s">
        <v>112</v>
      </c>
      <c r="W86" s="18">
        <v>80000000</v>
      </c>
      <c r="X86" s="18">
        <v>80000000</v>
      </c>
      <c r="Y86" s="19" t="s">
        <v>339</v>
      </c>
      <c r="Z86" s="19" t="s">
        <v>258</v>
      </c>
      <c r="AA86" s="19" t="s">
        <v>432</v>
      </c>
      <c r="AB86" s="14" t="s">
        <v>433</v>
      </c>
      <c r="AC86" s="14">
        <v>6012220601</v>
      </c>
      <c r="AD86" s="14" t="s">
        <v>434</v>
      </c>
      <c r="AE86" s="82">
        <v>0</v>
      </c>
      <c r="AF86" s="82">
        <v>0</v>
      </c>
      <c r="AG86" s="82">
        <v>80000000</v>
      </c>
      <c r="AH86" s="82">
        <v>0</v>
      </c>
      <c r="AI86" s="82">
        <v>0</v>
      </c>
      <c r="AJ86" s="82">
        <v>8000000</v>
      </c>
      <c r="AK86" s="82">
        <v>0</v>
      </c>
      <c r="AL86" s="82">
        <v>8000000</v>
      </c>
      <c r="AM86" s="82">
        <v>0</v>
      </c>
      <c r="AN86" s="82">
        <v>8000000</v>
      </c>
      <c r="AO86" s="82">
        <v>0</v>
      </c>
      <c r="AP86" s="82">
        <v>8000000</v>
      </c>
      <c r="AQ86" s="82">
        <v>0</v>
      </c>
      <c r="AR86" s="82">
        <v>8000000</v>
      </c>
      <c r="AS86" s="82">
        <v>0</v>
      </c>
      <c r="AT86" s="82">
        <v>8000000</v>
      </c>
      <c r="AU86" s="82">
        <v>0</v>
      </c>
      <c r="AV86" s="82">
        <v>8000000</v>
      </c>
      <c r="AW86" s="82">
        <v>0</v>
      </c>
      <c r="AX86" s="82">
        <v>8000000</v>
      </c>
      <c r="AY86" s="82">
        <v>0</v>
      </c>
      <c r="AZ86" s="82">
        <v>8000000</v>
      </c>
      <c r="BA86" s="82">
        <v>0</v>
      </c>
      <c r="BB86" s="82">
        <v>8000000</v>
      </c>
      <c r="BC86" s="82">
        <f t="shared" ref="BC86:BD86" si="160">AE86+AG86+AI86+AK86+AM86+AO86+AQ86+AS86+AU86+AW86+AY86+BA86</f>
        <v>80000000</v>
      </c>
      <c r="BD86" s="82">
        <f t="shared" si="160"/>
        <v>80000000</v>
      </c>
      <c r="BE86" s="83">
        <f t="shared" si="1"/>
        <v>0</v>
      </c>
      <c r="BF86" s="83">
        <f t="shared" si="2"/>
        <v>0</v>
      </c>
      <c r="BG86" s="14" t="str">
        <f ca="1">IFERROR(__xludf.DUMMYFUNCTION("REGEXEXTRACT(O80,""^\S+\s(.+)$"")"),"Prestar servicios profesionales para alinear, implementar y mejorar el Sistema de Administración del Riesgo de la Unidad de Planeación Minero Energética, en concordancia con la Política Integral de la Administración del Riesgo, conforme a las tipologías y"&amp;" lineamientos establecidos por el Departamento Administrativo de la Función Pública (DAFP) y en alineación con el Sistema de Gestión de Riesgos para la Integridad Pública (SIGRIP), con el propósito de prevenir la materialización de eventos de riesgo y gar"&amp;"antizar el logro de los objetivos institucionales.")</f>
        <v>Prestar servicios profesionales para alinear, implementar y mejorar el Sistema de Administración del Riesgo de la Unidad de Planeación Minero Energética, en concordancia con la Política Integral de la Administración del Riesgo, conforme a las tipologías y lineamientos establecidos por el Departamento Administrativo de la Función Pública (DAFP) y en alineación con el Sistema de Gestión de Riesgos para la Integridad Pública (SIGRIP), con el propósito de prevenir la materialización de eventos de riesgo y garantizar el logro de los objetivos institucionales.</v>
      </c>
      <c r="BH86" s="23"/>
      <c r="BI86" s="23"/>
      <c r="BJ86" s="23">
        <v>80000000</v>
      </c>
      <c r="BK86" s="23"/>
      <c r="BL86" s="23"/>
      <c r="BM86" s="23">
        <v>8000000</v>
      </c>
      <c r="BN86" s="23"/>
      <c r="BO86" s="23">
        <v>8000000</v>
      </c>
      <c r="BP86" s="23"/>
      <c r="BQ86" s="23">
        <v>8000000</v>
      </c>
      <c r="BR86" s="23"/>
      <c r="BS86" s="23">
        <v>8000000</v>
      </c>
      <c r="BT86" s="23"/>
      <c r="BU86" s="23">
        <v>8000000</v>
      </c>
      <c r="BV86" s="23"/>
      <c r="BW86" s="23">
        <v>8000000</v>
      </c>
      <c r="BX86" s="23"/>
      <c r="BY86" s="23">
        <v>8000000</v>
      </c>
      <c r="BZ86" s="23"/>
      <c r="CA86" s="23">
        <v>8000000</v>
      </c>
      <c r="CB86" s="23"/>
      <c r="CC86" s="23">
        <v>8000000</v>
      </c>
      <c r="CD86" s="23"/>
      <c r="CE86" s="23">
        <v>8000000</v>
      </c>
      <c r="CF86" s="28"/>
      <c r="CG86" s="28"/>
      <c r="CH86" s="25">
        <f t="shared" ref="CH86:CI86" si="161">BH86+BJ86+BL86+BN86+BP86+BR86+BT86+BV86+BX86+BZ86+CB86+CD86+CF86</f>
        <v>80000000</v>
      </c>
      <c r="CI86" s="25">
        <f t="shared" si="161"/>
        <v>80000000</v>
      </c>
      <c r="CJ86" s="26">
        <f t="shared" si="4"/>
        <v>0</v>
      </c>
      <c r="CK86" s="26">
        <f t="shared" si="5"/>
        <v>0</v>
      </c>
    </row>
    <row r="87" spans="1:89" ht="90" customHeight="1" x14ac:dyDescent="0.3">
      <c r="A87" s="13" t="s">
        <v>248</v>
      </c>
      <c r="B87" s="14" t="s">
        <v>8</v>
      </c>
      <c r="C87" s="15" t="s">
        <v>427</v>
      </c>
      <c r="D87" s="14" t="s">
        <v>68</v>
      </c>
      <c r="E87" s="13" t="s">
        <v>250</v>
      </c>
      <c r="F87" s="13" t="s">
        <v>250</v>
      </c>
      <c r="G87" s="14">
        <v>7</v>
      </c>
      <c r="H87" s="13" t="s">
        <v>449</v>
      </c>
      <c r="I87" s="15" t="s">
        <v>429</v>
      </c>
      <c r="J87" s="14" t="s">
        <v>9</v>
      </c>
      <c r="K87" s="15" t="s">
        <v>104</v>
      </c>
      <c r="L87" s="14">
        <v>80111620</v>
      </c>
      <c r="M87" s="14" t="s">
        <v>10</v>
      </c>
      <c r="N87" s="14" t="s">
        <v>253</v>
      </c>
      <c r="O87" s="15" t="s">
        <v>450</v>
      </c>
      <c r="P87" s="14" t="s">
        <v>255</v>
      </c>
      <c r="Q87" s="14" t="s">
        <v>255</v>
      </c>
      <c r="R87" s="14" t="s">
        <v>255</v>
      </c>
      <c r="S87" s="17">
        <v>170</v>
      </c>
      <c r="T87" s="14" t="s">
        <v>431</v>
      </c>
      <c r="U87" s="14" t="s">
        <v>257</v>
      </c>
      <c r="V87" s="14" t="s">
        <v>112</v>
      </c>
      <c r="W87" s="18">
        <v>3494869</v>
      </c>
      <c r="X87" s="18">
        <v>3494869</v>
      </c>
      <c r="Y87" s="19" t="s">
        <v>339</v>
      </c>
      <c r="Z87" s="19" t="s">
        <v>258</v>
      </c>
      <c r="AA87" s="19" t="s">
        <v>432</v>
      </c>
      <c r="AB87" s="14" t="s">
        <v>433</v>
      </c>
      <c r="AC87" s="14">
        <v>6012220601</v>
      </c>
      <c r="AD87" s="14" t="s">
        <v>434</v>
      </c>
      <c r="AE87" s="82">
        <v>0</v>
      </c>
      <c r="AF87" s="82">
        <v>0</v>
      </c>
      <c r="AG87" s="82">
        <v>3494869</v>
      </c>
      <c r="AH87" s="82">
        <v>0</v>
      </c>
      <c r="AI87" s="82">
        <v>0</v>
      </c>
      <c r="AJ87" s="82">
        <v>0</v>
      </c>
      <c r="AK87" s="82">
        <v>0</v>
      </c>
      <c r="AL87" s="82">
        <v>0</v>
      </c>
      <c r="AM87" s="82">
        <v>0</v>
      </c>
      <c r="AN87" s="82">
        <v>0</v>
      </c>
      <c r="AO87" s="82">
        <v>0</v>
      </c>
      <c r="AP87" s="82">
        <v>0</v>
      </c>
      <c r="AQ87" s="82">
        <v>0</v>
      </c>
      <c r="AR87" s="82">
        <v>0</v>
      </c>
      <c r="AS87" s="82">
        <v>0</v>
      </c>
      <c r="AT87" s="82">
        <v>3494869</v>
      </c>
      <c r="AU87" s="82">
        <v>0</v>
      </c>
      <c r="AV87" s="82">
        <v>0</v>
      </c>
      <c r="AW87" s="82">
        <v>0</v>
      </c>
      <c r="AX87" s="82">
        <v>0</v>
      </c>
      <c r="AY87" s="82">
        <v>0</v>
      </c>
      <c r="AZ87" s="82">
        <v>0</v>
      </c>
      <c r="BA87" s="82">
        <v>0</v>
      </c>
      <c r="BB87" s="82">
        <v>0</v>
      </c>
      <c r="BC87" s="82">
        <f t="shared" ref="BC87:BD87" si="162">AE87+AG87+AI87+AK87+AM87+AO87+AQ87+AS87+AU87+AW87+AY87+BA87</f>
        <v>3494869</v>
      </c>
      <c r="BD87" s="82">
        <f t="shared" si="162"/>
        <v>3494869</v>
      </c>
      <c r="BE87" s="83">
        <f t="shared" si="1"/>
        <v>0</v>
      </c>
      <c r="BF87" s="83">
        <f t="shared" si="2"/>
        <v>0</v>
      </c>
      <c r="BG87" s="14" t="str">
        <f ca="1">IFERROR(__xludf.DUMMYFUNCTION("REGEXEXTRACT(O81,""^\S+\s(.+)$"")"),"Prestar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87" s="23"/>
      <c r="BI87" s="23"/>
      <c r="BJ87" s="23">
        <v>3494869</v>
      </c>
      <c r="BK87" s="23"/>
      <c r="BL87" s="23"/>
      <c r="BM87" s="23"/>
      <c r="BN87" s="23"/>
      <c r="BO87" s="23"/>
      <c r="BP87" s="23"/>
      <c r="BQ87" s="23"/>
      <c r="BR87" s="23"/>
      <c r="BS87" s="23"/>
      <c r="BT87" s="23"/>
      <c r="BU87" s="23"/>
      <c r="BV87" s="23"/>
      <c r="BW87" s="23">
        <v>3494869</v>
      </c>
      <c r="BX87" s="23"/>
      <c r="BY87" s="23"/>
      <c r="BZ87" s="23"/>
      <c r="CA87" s="23"/>
      <c r="CB87" s="23"/>
      <c r="CC87" s="23"/>
      <c r="CD87" s="23"/>
      <c r="CE87" s="23"/>
      <c r="CF87" s="28"/>
      <c r="CG87" s="28"/>
      <c r="CH87" s="25">
        <f t="shared" ref="CH87:CI87" si="163">BH87+BJ87+BL87+BN87+BP87+BR87+BT87+BV87+BX87+BZ87+CB87+CD87+CF87</f>
        <v>3494869</v>
      </c>
      <c r="CI87" s="25">
        <f t="shared" si="163"/>
        <v>3494869</v>
      </c>
      <c r="CJ87" s="26">
        <f t="shared" si="4"/>
        <v>0</v>
      </c>
      <c r="CK87" s="26">
        <f t="shared" si="5"/>
        <v>0</v>
      </c>
    </row>
    <row r="88" spans="1:89" ht="90" customHeight="1" x14ac:dyDescent="0.3">
      <c r="A88" s="13" t="s">
        <v>248</v>
      </c>
      <c r="B88" s="14" t="s">
        <v>8</v>
      </c>
      <c r="C88" s="15" t="s">
        <v>427</v>
      </c>
      <c r="D88" s="14" t="s">
        <v>68</v>
      </c>
      <c r="E88" s="13" t="s">
        <v>250</v>
      </c>
      <c r="F88" s="13" t="s">
        <v>250</v>
      </c>
      <c r="G88" s="14">
        <v>68</v>
      </c>
      <c r="H88" s="13" t="s">
        <v>451</v>
      </c>
      <c r="I88" s="15" t="s">
        <v>429</v>
      </c>
      <c r="J88" s="14" t="s">
        <v>9</v>
      </c>
      <c r="K88" s="15" t="s">
        <v>104</v>
      </c>
      <c r="L88" s="14">
        <v>80111620</v>
      </c>
      <c r="M88" s="14" t="s">
        <v>10</v>
      </c>
      <c r="N88" s="14" t="s">
        <v>253</v>
      </c>
      <c r="O88" s="15" t="s">
        <v>452</v>
      </c>
      <c r="P88" s="14" t="s">
        <v>255</v>
      </c>
      <c r="Q88" s="14" t="s">
        <v>255</v>
      </c>
      <c r="R88" s="14" t="s">
        <v>255</v>
      </c>
      <c r="S88" s="17">
        <v>330</v>
      </c>
      <c r="T88" s="14" t="s">
        <v>431</v>
      </c>
      <c r="U88" s="14" t="s">
        <v>257</v>
      </c>
      <c r="V88" s="14" t="s">
        <v>112</v>
      </c>
      <c r="W88" s="18">
        <v>20596643</v>
      </c>
      <c r="X88" s="18">
        <v>20596643</v>
      </c>
      <c r="Y88" s="19" t="s">
        <v>339</v>
      </c>
      <c r="Z88" s="19" t="s">
        <v>258</v>
      </c>
      <c r="AA88" s="19" t="s">
        <v>432</v>
      </c>
      <c r="AB88" s="14" t="s">
        <v>433</v>
      </c>
      <c r="AC88" s="14">
        <v>6012220601</v>
      </c>
      <c r="AD88" s="14" t="s">
        <v>434</v>
      </c>
      <c r="AE88" s="82">
        <v>20596643</v>
      </c>
      <c r="AF88" s="82">
        <v>0</v>
      </c>
      <c r="AG88" s="82">
        <v>0</v>
      </c>
      <c r="AH88" s="82">
        <v>0</v>
      </c>
      <c r="AI88" s="82">
        <v>0</v>
      </c>
      <c r="AJ88" s="82">
        <v>7000000</v>
      </c>
      <c r="AK88" s="82">
        <v>0</v>
      </c>
      <c r="AL88" s="82">
        <v>7000000</v>
      </c>
      <c r="AM88" s="82">
        <v>0</v>
      </c>
      <c r="AN88" s="82">
        <v>6596643</v>
      </c>
      <c r="AO88" s="82">
        <v>0</v>
      </c>
      <c r="AP88" s="82">
        <v>0</v>
      </c>
      <c r="AQ88" s="82">
        <v>0</v>
      </c>
      <c r="AR88" s="82">
        <v>0</v>
      </c>
      <c r="AS88" s="82">
        <v>0</v>
      </c>
      <c r="AT88" s="82">
        <v>0</v>
      </c>
      <c r="AU88" s="82">
        <v>0</v>
      </c>
      <c r="AV88" s="82">
        <v>0</v>
      </c>
      <c r="AW88" s="82">
        <v>0</v>
      </c>
      <c r="AX88" s="82">
        <v>0</v>
      </c>
      <c r="AY88" s="82">
        <v>0</v>
      </c>
      <c r="AZ88" s="82">
        <v>0</v>
      </c>
      <c r="BA88" s="82">
        <v>0</v>
      </c>
      <c r="BB88" s="82">
        <v>0</v>
      </c>
      <c r="BC88" s="82">
        <f t="shared" ref="BC88:BD88" si="164">AE88+AG88+AI88+AK88+AM88+AO88+AQ88+AS88+AU88+AW88+AY88+BA88</f>
        <v>20596643</v>
      </c>
      <c r="BD88" s="82">
        <f t="shared" si="164"/>
        <v>20596643</v>
      </c>
      <c r="BE88" s="83">
        <f t="shared" si="1"/>
        <v>0</v>
      </c>
      <c r="BF88" s="83">
        <f t="shared" si="2"/>
        <v>0</v>
      </c>
      <c r="BG88" s="14" t="str">
        <f ca="1">IFERROR(__xludf.DUMMYFUNCTION("REGEXEXTRACT(O82,""^\S+\s(.+)$"")"),"Prestar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88" s="23">
        <v>20596643</v>
      </c>
      <c r="BI88" s="23"/>
      <c r="BJ88" s="23"/>
      <c r="BK88" s="23"/>
      <c r="BL88" s="23"/>
      <c r="BM88" s="23">
        <v>7000000</v>
      </c>
      <c r="BN88" s="23"/>
      <c r="BO88" s="23">
        <v>7000000</v>
      </c>
      <c r="BP88" s="23"/>
      <c r="BQ88" s="23">
        <v>6596643</v>
      </c>
      <c r="BR88" s="23"/>
      <c r="BS88" s="23"/>
      <c r="BT88" s="23"/>
      <c r="BU88" s="23"/>
      <c r="BV88" s="23"/>
      <c r="BW88" s="23"/>
      <c r="BX88" s="23"/>
      <c r="BY88" s="23"/>
      <c r="BZ88" s="23"/>
      <c r="CA88" s="23"/>
      <c r="CB88" s="23"/>
      <c r="CC88" s="23"/>
      <c r="CD88" s="23"/>
      <c r="CE88" s="23"/>
      <c r="CF88" s="28"/>
      <c r="CG88" s="28"/>
      <c r="CH88" s="25">
        <f t="shared" ref="CH88:CI88" si="165">BH88+BJ88+BL88+BN88+BP88+BR88+BT88+BV88+BX88+BZ88+CB88+CD88+CF88</f>
        <v>20596643</v>
      </c>
      <c r="CI88" s="25">
        <f t="shared" si="165"/>
        <v>20596643</v>
      </c>
      <c r="CJ88" s="26">
        <f t="shared" si="4"/>
        <v>0</v>
      </c>
      <c r="CK88" s="26">
        <f t="shared" si="5"/>
        <v>0</v>
      </c>
    </row>
    <row r="89" spans="1:89" ht="90" customHeight="1" x14ac:dyDescent="0.3">
      <c r="A89" s="13" t="s">
        <v>248</v>
      </c>
      <c r="B89" s="14" t="s">
        <v>8</v>
      </c>
      <c r="C89" s="15" t="s">
        <v>427</v>
      </c>
      <c r="D89" s="14" t="s">
        <v>68</v>
      </c>
      <c r="E89" s="13" t="s">
        <v>250</v>
      </c>
      <c r="F89" s="13" t="s">
        <v>250</v>
      </c>
      <c r="G89" s="14">
        <v>4</v>
      </c>
      <c r="H89" s="13" t="s">
        <v>453</v>
      </c>
      <c r="I89" s="15" t="s">
        <v>429</v>
      </c>
      <c r="J89" s="14" t="s">
        <v>12</v>
      </c>
      <c r="K89" s="15" t="s">
        <v>109</v>
      </c>
      <c r="L89" s="14">
        <v>80111620</v>
      </c>
      <c r="M89" s="14" t="s">
        <v>13</v>
      </c>
      <c r="N89" s="14" t="s">
        <v>253</v>
      </c>
      <c r="O89" s="15" t="s">
        <v>454</v>
      </c>
      <c r="P89" s="14" t="s">
        <v>255</v>
      </c>
      <c r="Q89" s="14" t="s">
        <v>255</v>
      </c>
      <c r="R89" s="14" t="s">
        <v>255</v>
      </c>
      <c r="S89" s="17">
        <v>330</v>
      </c>
      <c r="T89" s="14" t="s">
        <v>431</v>
      </c>
      <c r="U89" s="14" t="s">
        <v>257</v>
      </c>
      <c r="V89" s="14" t="s">
        <v>112</v>
      </c>
      <c r="W89" s="18">
        <v>94500000</v>
      </c>
      <c r="X89" s="18">
        <v>94500000</v>
      </c>
      <c r="Y89" s="19" t="s">
        <v>339</v>
      </c>
      <c r="Z89" s="19" t="s">
        <v>258</v>
      </c>
      <c r="AA89" s="19" t="s">
        <v>432</v>
      </c>
      <c r="AB89" s="14" t="s">
        <v>433</v>
      </c>
      <c r="AC89" s="14">
        <v>6012220601</v>
      </c>
      <c r="AD89" s="14" t="s">
        <v>434</v>
      </c>
      <c r="AE89" s="82">
        <v>0</v>
      </c>
      <c r="AF89" s="82">
        <v>0</v>
      </c>
      <c r="AG89" s="82">
        <v>94500000</v>
      </c>
      <c r="AH89" s="82">
        <v>0</v>
      </c>
      <c r="AI89" s="82">
        <v>0</v>
      </c>
      <c r="AJ89" s="82">
        <v>9000000</v>
      </c>
      <c r="AK89" s="82">
        <v>0</v>
      </c>
      <c r="AL89" s="82">
        <v>9000000</v>
      </c>
      <c r="AM89" s="82">
        <v>0</v>
      </c>
      <c r="AN89" s="82">
        <v>9000000</v>
      </c>
      <c r="AO89" s="82">
        <v>0</v>
      </c>
      <c r="AP89" s="82">
        <v>9000000</v>
      </c>
      <c r="AQ89" s="82">
        <v>0</v>
      </c>
      <c r="AR89" s="82">
        <v>9000000</v>
      </c>
      <c r="AS89" s="82">
        <v>0</v>
      </c>
      <c r="AT89" s="82">
        <v>9000000</v>
      </c>
      <c r="AU89" s="82">
        <v>0</v>
      </c>
      <c r="AV89" s="82">
        <v>9000000</v>
      </c>
      <c r="AW89" s="82">
        <v>0</v>
      </c>
      <c r="AX89" s="82">
        <v>9000000</v>
      </c>
      <c r="AY89" s="82">
        <v>0</v>
      </c>
      <c r="AZ89" s="82">
        <v>9000000</v>
      </c>
      <c r="BA89" s="82">
        <v>0</v>
      </c>
      <c r="BB89" s="82">
        <v>13500000</v>
      </c>
      <c r="BC89" s="82">
        <f t="shared" ref="BC89:BD89" si="166">AE89+AG89+AI89+AK89+AM89+AO89+AQ89+AS89+AU89+AW89+AY89+BA89</f>
        <v>94500000</v>
      </c>
      <c r="BD89" s="82">
        <f t="shared" si="166"/>
        <v>94500000</v>
      </c>
      <c r="BE89" s="83">
        <f t="shared" si="1"/>
        <v>0</v>
      </c>
      <c r="BF89" s="83">
        <f t="shared" si="2"/>
        <v>0</v>
      </c>
      <c r="BG89" s="14" t="str">
        <f ca="1">IFERROR(__xludf.DUMMYFUNCTION("REGEXEXTRACT(O83,""^\S+\s(.+)$"")"),"Prestar servicios profesionales para la finalización del rediseño de los procesos definidos en el nuevo modelo operativo de la UPME y los elementos que los integran, así como los ajustes que sean requeridos en la implementación y mantenimiento del Sistema"&amp;" de Gestión Institucional y la apropiación del Modelo Integrado de Planeación y Gestión- MIPG, que se deriven de la modernización.")</f>
        <v>Prestar servicios profesionales para la finalización del rediseño de los procesos definidos en el nuevo modelo operativo de la UPME y los elementos que los integran, así como los ajustes que sean requeridos en la implementación y mantenimiento del Sistema de Gestión Institucional y la apropiación del Modelo Integrado de Planeación y Gestión- MIPG, que se deriven de la modernización.</v>
      </c>
      <c r="BH89" s="23"/>
      <c r="BI89" s="23"/>
      <c r="BJ89" s="23">
        <v>94500000</v>
      </c>
      <c r="BK89" s="23"/>
      <c r="BL89" s="23"/>
      <c r="BM89" s="23">
        <v>9000000</v>
      </c>
      <c r="BN89" s="23"/>
      <c r="BO89" s="23">
        <v>9000000</v>
      </c>
      <c r="BP89" s="23"/>
      <c r="BQ89" s="23">
        <v>9000000</v>
      </c>
      <c r="BR89" s="23"/>
      <c r="BS89" s="23">
        <v>9000000</v>
      </c>
      <c r="BT89" s="23"/>
      <c r="BU89" s="23">
        <v>9000000</v>
      </c>
      <c r="BV89" s="23"/>
      <c r="BW89" s="23">
        <v>9000000</v>
      </c>
      <c r="BX89" s="23"/>
      <c r="BY89" s="23">
        <v>9000000</v>
      </c>
      <c r="BZ89" s="23"/>
      <c r="CA89" s="23">
        <v>9000000</v>
      </c>
      <c r="CB89" s="23"/>
      <c r="CC89" s="23">
        <v>9000000</v>
      </c>
      <c r="CD89" s="23"/>
      <c r="CE89" s="23">
        <v>13500000</v>
      </c>
      <c r="CF89" s="28"/>
      <c r="CG89" s="28"/>
      <c r="CH89" s="25">
        <f t="shared" ref="CH89:CI89" si="167">BH89+BJ89+BL89+BN89+BP89+BR89+BT89+BV89+BX89+BZ89+CB89+CD89+CF89</f>
        <v>94500000</v>
      </c>
      <c r="CI89" s="25">
        <f t="shared" si="167"/>
        <v>94500000</v>
      </c>
      <c r="CJ89" s="26">
        <f t="shared" si="4"/>
        <v>0</v>
      </c>
      <c r="CK89" s="26">
        <f t="shared" si="5"/>
        <v>0</v>
      </c>
    </row>
    <row r="90" spans="1:89" ht="90" customHeight="1" x14ac:dyDescent="0.3">
      <c r="A90" s="13" t="s">
        <v>248</v>
      </c>
      <c r="B90" s="14" t="s">
        <v>8</v>
      </c>
      <c r="C90" s="15" t="s">
        <v>427</v>
      </c>
      <c r="D90" s="14" t="s">
        <v>68</v>
      </c>
      <c r="E90" s="13" t="s">
        <v>250</v>
      </c>
      <c r="F90" s="13" t="s">
        <v>250</v>
      </c>
      <c r="G90" s="14">
        <v>7</v>
      </c>
      <c r="H90" s="13" t="s">
        <v>455</v>
      </c>
      <c r="I90" s="15" t="s">
        <v>429</v>
      </c>
      <c r="J90" s="14" t="s">
        <v>12</v>
      </c>
      <c r="K90" s="15" t="s">
        <v>109</v>
      </c>
      <c r="L90" s="14">
        <v>80111620</v>
      </c>
      <c r="M90" s="14" t="s">
        <v>13</v>
      </c>
      <c r="N90" s="14" t="s">
        <v>253</v>
      </c>
      <c r="O90" s="15" t="s">
        <v>456</v>
      </c>
      <c r="P90" s="14" t="s">
        <v>255</v>
      </c>
      <c r="Q90" s="14" t="s">
        <v>255</v>
      </c>
      <c r="R90" s="14" t="s">
        <v>255</v>
      </c>
      <c r="S90" s="17">
        <v>330</v>
      </c>
      <c r="T90" s="14" t="s">
        <v>431</v>
      </c>
      <c r="U90" s="14" t="s">
        <v>257</v>
      </c>
      <c r="V90" s="14" t="s">
        <v>112</v>
      </c>
      <c r="W90" s="18">
        <v>36139950</v>
      </c>
      <c r="X90" s="18">
        <v>36139950</v>
      </c>
      <c r="Y90" s="19" t="s">
        <v>339</v>
      </c>
      <c r="Z90" s="19" t="s">
        <v>258</v>
      </c>
      <c r="AA90" s="19" t="s">
        <v>432</v>
      </c>
      <c r="AB90" s="14" t="s">
        <v>433</v>
      </c>
      <c r="AC90" s="14">
        <v>6012220601</v>
      </c>
      <c r="AD90" s="14" t="s">
        <v>434</v>
      </c>
      <c r="AE90" s="82">
        <v>0</v>
      </c>
      <c r="AF90" s="82">
        <v>0</v>
      </c>
      <c r="AG90" s="82">
        <v>36139950</v>
      </c>
      <c r="AH90" s="82">
        <v>0</v>
      </c>
      <c r="AI90" s="82">
        <v>0</v>
      </c>
      <c r="AJ90" s="82">
        <v>3285450</v>
      </c>
      <c r="AK90" s="82">
        <v>0</v>
      </c>
      <c r="AL90" s="82">
        <v>3285450</v>
      </c>
      <c r="AM90" s="82">
        <v>0</v>
      </c>
      <c r="AN90" s="82">
        <v>3285450</v>
      </c>
      <c r="AO90" s="82">
        <v>0</v>
      </c>
      <c r="AP90" s="82">
        <v>3285450</v>
      </c>
      <c r="AQ90" s="82">
        <v>0</v>
      </c>
      <c r="AR90" s="82">
        <v>3285450</v>
      </c>
      <c r="AS90" s="82">
        <v>0</v>
      </c>
      <c r="AT90" s="82">
        <v>3285450</v>
      </c>
      <c r="AU90" s="82">
        <v>0</v>
      </c>
      <c r="AV90" s="82">
        <v>3285450</v>
      </c>
      <c r="AW90" s="82">
        <v>0</v>
      </c>
      <c r="AX90" s="82">
        <v>3285450</v>
      </c>
      <c r="AY90" s="82">
        <v>0</v>
      </c>
      <c r="AZ90" s="82">
        <v>3285450</v>
      </c>
      <c r="BA90" s="82">
        <v>0</v>
      </c>
      <c r="BB90" s="82">
        <v>6570900</v>
      </c>
      <c r="BC90" s="82">
        <f t="shared" ref="BC90:BD90" si="168">AE90+AG90+AI90+AK90+AM90+AO90+AQ90+AS90+AU90+AW90+AY90+BA90</f>
        <v>36139950</v>
      </c>
      <c r="BD90" s="82">
        <f t="shared" si="168"/>
        <v>36139950</v>
      </c>
      <c r="BE90" s="83">
        <f t="shared" si="1"/>
        <v>0</v>
      </c>
      <c r="BF90" s="83">
        <f t="shared" si="2"/>
        <v>0</v>
      </c>
      <c r="BG90" s="14" t="str">
        <f ca="1">IFERROR(__xludf.DUMMYFUNCTION("REGEXEXTRACT(O84,""^\S+\s(.+)$"")"),"Prestar servicios profesionales para el desarrollo de actividades relacionadas con la gestión de la planeación institucional de la entidad, mediante el acompañamiento, seguimiento, monitoreo, análisis y elaboración de informes de avance de los planes inst"&amp;"itucionales; así como para apoyar la implementación y seguimiento de la estrategia de cooperación internacional de la entidad, con el fin de contribuir al cumplimiento del Modelo Integrado de Planeación y Gestión (MIPG) y del Sistema de Gestión Institucio"&amp;"nal.")</f>
        <v>Prestar servicios profesionales para el desarrollo de actividades relacionadas con la gestión de la planeación institucional de la entidad, mediante el acompañamiento, seguimiento, monitoreo, análisis y elaboración de informes de avance de los planes institucionales; así como para apoyar la implementación y seguimiento de la estrategia de cooperación internacional de la entidad, con el fin de contribuir al cumplimiento del Modelo Integrado de Planeación y Gestión (MIPG) y del Sistema de Gestión Institucional.</v>
      </c>
      <c r="BH90" s="23"/>
      <c r="BI90" s="23"/>
      <c r="BJ90" s="23">
        <v>36139950</v>
      </c>
      <c r="BK90" s="23"/>
      <c r="BL90" s="23"/>
      <c r="BM90" s="23">
        <v>3285450</v>
      </c>
      <c r="BN90" s="23"/>
      <c r="BO90" s="23">
        <v>3285450</v>
      </c>
      <c r="BP90" s="23"/>
      <c r="BQ90" s="23">
        <v>3285450</v>
      </c>
      <c r="BR90" s="23"/>
      <c r="BS90" s="23">
        <v>3285450</v>
      </c>
      <c r="BT90" s="23"/>
      <c r="BU90" s="23">
        <v>3285450</v>
      </c>
      <c r="BV90" s="23"/>
      <c r="BW90" s="23">
        <v>3285450</v>
      </c>
      <c r="BX90" s="23"/>
      <c r="BY90" s="23">
        <v>3285450</v>
      </c>
      <c r="BZ90" s="23"/>
      <c r="CA90" s="23">
        <v>3285450</v>
      </c>
      <c r="CB90" s="23"/>
      <c r="CC90" s="23">
        <v>3285450</v>
      </c>
      <c r="CD90" s="23"/>
      <c r="CE90" s="23">
        <v>6570900</v>
      </c>
      <c r="CF90" s="28"/>
      <c r="CG90" s="28"/>
      <c r="CH90" s="25">
        <f t="shared" ref="CH90:CI90" si="169">BH90+BJ90+BL90+BN90+BP90+BR90+BT90+BV90+BX90+BZ90+CB90+CD90+CF90</f>
        <v>36139950</v>
      </c>
      <c r="CI90" s="25">
        <f t="shared" si="169"/>
        <v>36139950</v>
      </c>
      <c r="CJ90" s="26">
        <f t="shared" si="4"/>
        <v>0</v>
      </c>
      <c r="CK90" s="26">
        <f t="shared" si="5"/>
        <v>0</v>
      </c>
    </row>
    <row r="91" spans="1:89" ht="90" customHeight="1" x14ac:dyDescent="0.3">
      <c r="A91" s="13" t="s">
        <v>248</v>
      </c>
      <c r="B91" s="14" t="s">
        <v>8</v>
      </c>
      <c r="C91" s="15" t="s">
        <v>427</v>
      </c>
      <c r="D91" s="14" t="s">
        <v>68</v>
      </c>
      <c r="E91" s="13" t="s">
        <v>250</v>
      </c>
      <c r="F91" s="13" t="s">
        <v>250</v>
      </c>
      <c r="G91" s="14">
        <v>68</v>
      </c>
      <c r="H91" s="13" t="s">
        <v>457</v>
      </c>
      <c r="I91" s="15" t="s">
        <v>429</v>
      </c>
      <c r="J91" s="14" t="s">
        <v>12</v>
      </c>
      <c r="K91" s="15" t="s">
        <v>109</v>
      </c>
      <c r="L91" s="14">
        <v>80111620</v>
      </c>
      <c r="M91" s="14" t="s">
        <v>13</v>
      </c>
      <c r="N91" s="14" t="s">
        <v>253</v>
      </c>
      <c r="O91" s="15" t="s">
        <v>458</v>
      </c>
      <c r="P91" s="14" t="s">
        <v>255</v>
      </c>
      <c r="Q91" s="14" t="s">
        <v>255</v>
      </c>
      <c r="R91" s="14" t="s">
        <v>255</v>
      </c>
      <c r="S91" s="17">
        <v>330</v>
      </c>
      <c r="T91" s="14" t="s">
        <v>431</v>
      </c>
      <c r="U91" s="14" t="s">
        <v>257</v>
      </c>
      <c r="V91" s="14" t="s">
        <v>112</v>
      </c>
      <c r="W91" s="18">
        <v>37273665</v>
      </c>
      <c r="X91" s="18">
        <v>37273665</v>
      </c>
      <c r="Y91" s="19" t="s">
        <v>339</v>
      </c>
      <c r="Z91" s="19" t="s">
        <v>258</v>
      </c>
      <c r="AA91" s="19" t="s">
        <v>432</v>
      </c>
      <c r="AB91" s="14" t="s">
        <v>433</v>
      </c>
      <c r="AC91" s="14">
        <v>6012220601</v>
      </c>
      <c r="AD91" s="14" t="s">
        <v>434</v>
      </c>
      <c r="AE91" s="82">
        <v>34273665</v>
      </c>
      <c r="AF91" s="82">
        <v>0</v>
      </c>
      <c r="AG91" s="82">
        <v>0</v>
      </c>
      <c r="AH91" s="82">
        <v>3000000</v>
      </c>
      <c r="AI91" s="82">
        <v>0</v>
      </c>
      <c r="AJ91" s="82">
        <v>6000000</v>
      </c>
      <c r="AK91" s="82">
        <v>0</v>
      </c>
      <c r="AL91" s="82">
        <v>6000000</v>
      </c>
      <c r="AM91" s="82">
        <v>0</v>
      </c>
      <c r="AN91" s="82">
        <v>6000000</v>
      </c>
      <c r="AO91" s="82">
        <v>0</v>
      </c>
      <c r="AP91" s="82">
        <v>6000000</v>
      </c>
      <c r="AQ91" s="82">
        <v>0</v>
      </c>
      <c r="AR91" s="82">
        <v>6000000</v>
      </c>
      <c r="AS91" s="82">
        <v>0</v>
      </c>
      <c r="AT91" s="82">
        <v>4273665</v>
      </c>
      <c r="AU91" s="82">
        <v>3000000</v>
      </c>
      <c r="AV91" s="82">
        <v>0</v>
      </c>
      <c r="AW91" s="82">
        <v>0</v>
      </c>
      <c r="AX91" s="82">
        <v>0</v>
      </c>
      <c r="AY91" s="82">
        <v>0</v>
      </c>
      <c r="AZ91" s="82">
        <v>0</v>
      </c>
      <c r="BA91" s="82">
        <v>0</v>
      </c>
      <c r="BB91" s="82">
        <v>0</v>
      </c>
      <c r="BC91" s="82">
        <f t="shared" ref="BC91:BD91" si="170">AE91+AG91+AI91+AK91+AM91+AO91+AQ91+AS91+AU91+AW91+AY91+BA91</f>
        <v>37273665</v>
      </c>
      <c r="BD91" s="82">
        <f t="shared" si="170"/>
        <v>37273665</v>
      </c>
      <c r="BE91" s="83">
        <f t="shared" si="1"/>
        <v>0</v>
      </c>
      <c r="BF91" s="83">
        <f t="shared" si="2"/>
        <v>0</v>
      </c>
      <c r="BG91" s="14" t="str">
        <f ca="1">IFERROR(__xludf.DUMMYFUNCTION("REGEXEXTRACT(O85,""^\S+\s(.+)$"")"),"Prestar servicios profesionales para la implementación, seguimiento y reporte de las políticas de gestión y desempeño institucional en materia de defensa jurídica, mejora normativa y fortalecimiento del Sistema de Gestión Institucional, conforme a los lin"&amp;"eamientos del Modelo Integrado de Planeación y Gestión – MIPG.")</f>
        <v>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v>
      </c>
      <c r="BH91" s="23">
        <v>34273665</v>
      </c>
      <c r="BI91" s="23"/>
      <c r="BJ91" s="23"/>
      <c r="BK91" s="23">
        <v>3000000</v>
      </c>
      <c r="BL91" s="23"/>
      <c r="BM91" s="23">
        <v>6000000</v>
      </c>
      <c r="BN91" s="23"/>
      <c r="BO91" s="23">
        <v>6000000</v>
      </c>
      <c r="BP91" s="23"/>
      <c r="BQ91" s="23">
        <v>6000000</v>
      </c>
      <c r="BR91" s="23"/>
      <c r="BS91" s="23">
        <v>6000000</v>
      </c>
      <c r="BT91" s="23"/>
      <c r="BU91" s="23">
        <v>6000000</v>
      </c>
      <c r="BV91" s="23"/>
      <c r="BW91" s="23">
        <v>4273665</v>
      </c>
      <c r="BX91" s="23">
        <v>3000000</v>
      </c>
      <c r="BY91" s="23"/>
      <c r="BZ91" s="23"/>
      <c r="CA91" s="23"/>
      <c r="CB91" s="23"/>
      <c r="CC91" s="23"/>
      <c r="CD91" s="23"/>
      <c r="CE91" s="23"/>
      <c r="CF91" s="28"/>
      <c r="CG91" s="28"/>
      <c r="CH91" s="25">
        <f t="shared" ref="CH91:CI91" si="171">BH91+BJ91+BL91+BN91+BP91+BR91+BT91+BV91+BX91+BZ91+CB91+CD91+CF91</f>
        <v>37273665</v>
      </c>
      <c r="CI91" s="25">
        <f t="shared" si="171"/>
        <v>37273665</v>
      </c>
      <c r="CJ91" s="26">
        <f t="shared" si="4"/>
        <v>0</v>
      </c>
      <c r="CK91" s="26">
        <f t="shared" si="5"/>
        <v>0</v>
      </c>
    </row>
    <row r="92" spans="1:89" ht="90" customHeight="1" x14ac:dyDescent="0.3">
      <c r="A92" s="13" t="s">
        <v>248</v>
      </c>
      <c r="B92" s="14" t="s">
        <v>8</v>
      </c>
      <c r="C92" s="15" t="s">
        <v>427</v>
      </c>
      <c r="D92" s="14" t="s">
        <v>68</v>
      </c>
      <c r="E92" s="13" t="s">
        <v>250</v>
      </c>
      <c r="F92" s="13" t="s">
        <v>250</v>
      </c>
      <c r="G92" s="14">
        <v>68</v>
      </c>
      <c r="H92" s="13" t="s">
        <v>459</v>
      </c>
      <c r="I92" s="15" t="s">
        <v>429</v>
      </c>
      <c r="J92" s="14" t="s">
        <v>12</v>
      </c>
      <c r="K92" s="15" t="s">
        <v>110</v>
      </c>
      <c r="L92" s="14">
        <v>80111620</v>
      </c>
      <c r="M92" s="14" t="s">
        <v>13</v>
      </c>
      <c r="N92" s="14" t="s">
        <v>253</v>
      </c>
      <c r="O92" s="15" t="s">
        <v>460</v>
      </c>
      <c r="P92" s="14" t="s">
        <v>255</v>
      </c>
      <c r="Q92" s="14" t="s">
        <v>255</v>
      </c>
      <c r="R92" s="14" t="s">
        <v>255</v>
      </c>
      <c r="S92" s="17">
        <v>330</v>
      </c>
      <c r="T92" s="14" t="s">
        <v>431</v>
      </c>
      <c r="U92" s="14" t="s">
        <v>257</v>
      </c>
      <c r="V92" s="14" t="s">
        <v>112</v>
      </c>
      <c r="W92" s="18">
        <v>14576707</v>
      </c>
      <c r="X92" s="18">
        <v>14576707</v>
      </c>
      <c r="Y92" s="19" t="s">
        <v>339</v>
      </c>
      <c r="Z92" s="19" t="s">
        <v>258</v>
      </c>
      <c r="AA92" s="19" t="s">
        <v>432</v>
      </c>
      <c r="AB92" s="14" t="s">
        <v>433</v>
      </c>
      <c r="AC92" s="14">
        <v>6012220601</v>
      </c>
      <c r="AD92" s="14" t="s">
        <v>434</v>
      </c>
      <c r="AE92" s="82">
        <v>0</v>
      </c>
      <c r="AF92" s="82">
        <v>0</v>
      </c>
      <c r="AG92" s="82">
        <v>14576707</v>
      </c>
      <c r="AH92" s="82">
        <v>0</v>
      </c>
      <c r="AI92" s="82">
        <v>0</v>
      </c>
      <c r="AJ92" s="82">
        <v>0</v>
      </c>
      <c r="AK92" s="82">
        <v>0</v>
      </c>
      <c r="AL92" s="82">
        <v>0</v>
      </c>
      <c r="AM92" s="82">
        <v>0</v>
      </c>
      <c r="AN92" s="82">
        <v>0</v>
      </c>
      <c r="AO92" s="82">
        <v>0</v>
      </c>
      <c r="AP92" s="82">
        <v>0</v>
      </c>
      <c r="AQ92" s="82">
        <v>0</v>
      </c>
      <c r="AR92" s="82">
        <v>0</v>
      </c>
      <c r="AS92" s="82">
        <v>0</v>
      </c>
      <c r="AT92" s="82">
        <v>0</v>
      </c>
      <c r="AU92" s="82">
        <v>0</v>
      </c>
      <c r="AV92" s="82">
        <v>576707</v>
      </c>
      <c r="AW92" s="82">
        <v>0</v>
      </c>
      <c r="AX92" s="82">
        <v>3500000</v>
      </c>
      <c r="AY92" s="82">
        <v>0</v>
      </c>
      <c r="AZ92" s="82">
        <v>3500000</v>
      </c>
      <c r="BA92" s="82">
        <v>0</v>
      </c>
      <c r="BB92" s="82">
        <v>7000000</v>
      </c>
      <c r="BC92" s="82">
        <f t="shared" ref="BC92:BD92" si="172">AE92+AG92+AI92+AK92+AM92+AO92+AQ92+AS92+AU92+AW92+AY92+BA92</f>
        <v>14576707</v>
      </c>
      <c r="BD92" s="82">
        <f t="shared" si="172"/>
        <v>14576707</v>
      </c>
      <c r="BE92" s="83">
        <f t="shared" si="1"/>
        <v>0</v>
      </c>
      <c r="BF92" s="83">
        <f t="shared" si="2"/>
        <v>0</v>
      </c>
      <c r="BG92" s="14" t="str">
        <f ca="1">IFERROR(__xludf.DUMMYFUNCTION("REGEXEXTRACT(O86,""^\S+\s(.+)$"")"),"Prestar servicios profesionales para apoyar las actividades de seguimiento, evaluación y mejora del Sistema de Gestión Institucional, en articulación con el Modelo Integrado de Planeación y Gestión (MIPG).")</f>
        <v>Prestar servicios profesionales para apoyar las actividades de seguimiento, evaluación y mejora del Sistema de Gestión Institucional, en articulación con el Modelo Integrado de Planeación y Gestión (MIPG).</v>
      </c>
      <c r="BH92" s="23"/>
      <c r="BI92" s="23"/>
      <c r="BJ92" s="23">
        <v>14576707</v>
      </c>
      <c r="BK92" s="23"/>
      <c r="BL92" s="23"/>
      <c r="BM92" s="23"/>
      <c r="BN92" s="23"/>
      <c r="BO92" s="23"/>
      <c r="BP92" s="23"/>
      <c r="BQ92" s="23"/>
      <c r="BR92" s="23"/>
      <c r="BS92" s="23"/>
      <c r="BT92" s="23"/>
      <c r="BU92" s="23"/>
      <c r="BV92" s="23"/>
      <c r="BW92" s="23"/>
      <c r="BX92" s="23"/>
      <c r="BY92" s="23">
        <v>576707</v>
      </c>
      <c r="BZ92" s="23"/>
      <c r="CA92" s="23">
        <v>3500000</v>
      </c>
      <c r="CB92" s="23"/>
      <c r="CC92" s="23">
        <v>3500000</v>
      </c>
      <c r="CD92" s="23"/>
      <c r="CE92" s="23">
        <v>7000000</v>
      </c>
      <c r="CF92" s="28"/>
      <c r="CG92" s="28"/>
      <c r="CH92" s="25">
        <f t="shared" ref="CH92:CI92" si="173">BH92+BJ92+BL92+BN92+BP92+BR92+BT92+BV92+BX92+BZ92+CB92+CD92+CF92</f>
        <v>14576707</v>
      </c>
      <c r="CI92" s="25">
        <f t="shared" si="173"/>
        <v>14576707</v>
      </c>
      <c r="CJ92" s="26">
        <f t="shared" si="4"/>
        <v>0</v>
      </c>
      <c r="CK92" s="26">
        <f t="shared" si="5"/>
        <v>0</v>
      </c>
    </row>
    <row r="93" spans="1:89" ht="90" customHeight="1" x14ac:dyDescent="0.3">
      <c r="A93" s="13" t="s">
        <v>248</v>
      </c>
      <c r="B93" s="14" t="s">
        <v>8</v>
      </c>
      <c r="C93" s="15" t="s">
        <v>427</v>
      </c>
      <c r="D93" s="14" t="s">
        <v>68</v>
      </c>
      <c r="E93" s="13" t="s">
        <v>250</v>
      </c>
      <c r="F93" s="13" t="s">
        <v>250</v>
      </c>
      <c r="G93" s="14">
        <v>7</v>
      </c>
      <c r="H93" s="13" t="s">
        <v>461</v>
      </c>
      <c r="I93" s="15" t="s">
        <v>429</v>
      </c>
      <c r="J93" s="14" t="s">
        <v>12</v>
      </c>
      <c r="K93" s="15" t="s">
        <v>110</v>
      </c>
      <c r="L93" s="14">
        <v>80111620</v>
      </c>
      <c r="M93" s="14" t="s">
        <v>13</v>
      </c>
      <c r="N93" s="14" t="s">
        <v>253</v>
      </c>
      <c r="O93" s="15" t="s">
        <v>462</v>
      </c>
      <c r="P93" s="14" t="s">
        <v>255</v>
      </c>
      <c r="Q93" s="14" t="s">
        <v>255</v>
      </c>
      <c r="R93" s="14" t="s">
        <v>255</v>
      </c>
      <c r="S93" s="17">
        <v>330</v>
      </c>
      <c r="T93" s="14" t="s">
        <v>431</v>
      </c>
      <c r="U93" s="14" t="s">
        <v>257</v>
      </c>
      <c r="V93" s="14" t="s">
        <v>112</v>
      </c>
      <c r="W93" s="18">
        <v>36139950</v>
      </c>
      <c r="X93" s="18">
        <v>36139950</v>
      </c>
      <c r="Y93" s="19" t="s">
        <v>339</v>
      </c>
      <c r="Z93" s="19" t="s">
        <v>258</v>
      </c>
      <c r="AA93" s="19" t="s">
        <v>432</v>
      </c>
      <c r="AB93" s="14" t="s">
        <v>433</v>
      </c>
      <c r="AC93" s="14">
        <v>6012220601</v>
      </c>
      <c r="AD93" s="14" t="s">
        <v>434</v>
      </c>
      <c r="AE93" s="82">
        <v>36139950</v>
      </c>
      <c r="AF93" s="82">
        <v>0</v>
      </c>
      <c r="AG93" s="82">
        <v>0</v>
      </c>
      <c r="AH93" s="82">
        <v>0</v>
      </c>
      <c r="AI93" s="82">
        <v>0</v>
      </c>
      <c r="AJ93" s="82">
        <v>3285450</v>
      </c>
      <c r="AK93" s="82">
        <v>0</v>
      </c>
      <c r="AL93" s="82">
        <v>3285450</v>
      </c>
      <c r="AM93" s="82">
        <v>0</v>
      </c>
      <c r="AN93" s="82">
        <v>3285450</v>
      </c>
      <c r="AO93" s="82">
        <v>0</v>
      </c>
      <c r="AP93" s="82">
        <v>3285450</v>
      </c>
      <c r="AQ93" s="82">
        <v>0</v>
      </c>
      <c r="AR93" s="82">
        <v>3285450</v>
      </c>
      <c r="AS93" s="82">
        <v>0</v>
      </c>
      <c r="AT93" s="82">
        <v>3285450</v>
      </c>
      <c r="AU93" s="82">
        <v>0</v>
      </c>
      <c r="AV93" s="82">
        <v>3285450</v>
      </c>
      <c r="AW93" s="82">
        <v>0</v>
      </c>
      <c r="AX93" s="82">
        <v>3285450</v>
      </c>
      <c r="AY93" s="82">
        <v>0</v>
      </c>
      <c r="AZ93" s="82">
        <v>3285450</v>
      </c>
      <c r="BA93" s="82">
        <v>0</v>
      </c>
      <c r="BB93" s="82">
        <v>6570900</v>
      </c>
      <c r="BC93" s="82">
        <f t="shared" ref="BC93:BD93" si="174">AE93+AG93+AI93+AK93+AM93+AO93+AQ93+AS93+AU93+AW93+AY93+BA93</f>
        <v>36139950</v>
      </c>
      <c r="BD93" s="82">
        <f t="shared" si="174"/>
        <v>36139950</v>
      </c>
      <c r="BE93" s="83">
        <f t="shared" si="1"/>
        <v>0</v>
      </c>
      <c r="BF93" s="83">
        <f t="shared" si="2"/>
        <v>0</v>
      </c>
      <c r="BG93" s="14" t="str">
        <f ca="1">IFERROR(__xludf.DUMMYFUNCTION("REGEXEXTRACT(O87,""^\S+\s(.+)$"")"),"Prestar servicios profesionales para apoyar la documentación y actualización de los procesos y procedimientos de la Unidad de Planeación Minero Energética, así como la gestión documental que se genere en el marco de la implementación y seguimiento del Sis"&amp;"tema de Gestión Institucional y del Modelo Integrado de Planeación y Gestión (MIPG).")</f>
        <v>Prestar servicios profesionales para apoyar la documentación y actualización de los procesos y procedimientos de la Unidad de Planeación Minero Energética, así como la gestión documental que se genere en el marco de la implementación y seguimiento del Sistema de Gestión Institucional y del Modelo Integrado de Planeación y Gestión (MIPG).</v>
      </c>
      <c r="BH93" s="23">
        <v>36139950</v>
      </c>
      <c r="BI93" s="23"/>
      <c r="BJ93" s="23"/>
      <c r="BK93" s="23"/>
      <c r="BL93" s="23"/>
      <c r="BM93" s="23">
        <v>3285450</v>
      </c>
      <c r="BN93" s="23"/>
      <c r="BO93" s="23">
        <v>3285450</v>
      </c>
      <c r="BP93" s="23"/>
      <c r="BQ93" s="23">
        <v>3285450</v>
      </c>
      <c r="BR93" s="23"/>
      <c r="BS93" s="23">
        <v>3285450</v>
      </c>
      <c r="BT93" s="23"/>
      <c r="BU93" s="23">
        <v>3285450</v>
      </c>
      <c r="BV93" s="23"/>
      <c r="BW93" s="23">
        <v>3285450</v>
      </c>
      <c r="BX93" s="23"/>
      <c r="BY93" s="23">
        <v>3285450</v>
      </c>
      <c r="BZ93" s="23"/>
      <c r="CA93" s="23">
        <v>3285450</v>
      </c>
      <c r="CB93" s="23"/>
      <c r="CC93" s="23">
        <v>3285450</v>
      </c>
      <c r="CD93" s="23"/>
      <c r="CE93" s="23">
        <v>6570900</v>
      </c>
      <c r="CF93" s="28"/>
      <c r="CG93" s="28"/>
      <c r="CH93" s="25">
        <f t="shared" ref="CH93:CI93" si="175">BH93+BJ93+BL93+BN93+BP93+BR93+BT93+BV93+BX93+BZ93+CB93+CD93+CF93</f>
        <v>36139950</v>
      </c>
      <c r="CI93" s="25">
        <f t="shared" si="175"/>
        <v>36139950</v>
      </c>
      <c r="CJ93" s="26">
        <f t="shared" si="4"/>
        <v>0</v>
      </c>
      <c r="CK93" s="26">
        <f t="shared" si="5"/>
        <v>0</v>
      </c>
    </row>
    <row r="94" spans="1:89" ht="90" customHeight="1" x14ac:dyDescent="0.3">
      <c r="A94" s="13" t="s">
        <v>248</v>
      </c>
      <c r="B94" s="14" t="s">
        <v>8</v>
      </c>
      <c r="C94" s="15" t="s">
        <v>427</v>
      </c>
      <c r="D94" s="14" t="s">
        <v>68</v>
      </c>
      <c r="E94" s="13" t="s">
        <v>250</v>
      </c>
      <c r="F94" s="13" t="s">
        <v>250</v>
      </c>
      <c r="G94" s="14">
        <v>68</v>
      </c>
      <c r="H94" s="13" t="s">
        <v>463</v>
      </c>
      <c r="I94" s="15" t="s">
        <v>429</v>
      </c>
      <c r="J94" s="14" t="s">
        <v>12</v>
      </c>
      <c r="K94" s="15" t="s">
        <v>110</v>
      </c>
      <c r="L94" s="14">
        <v>80111620</v>
      </c>
      <c r="M94" s="14" t="s">
        <v>13</v>
      </c>
      <c r="N94" s="14" t="s">
        <v>253</v>
      </c>
      <c r="O94" s="15" t="s">
        <v>464</v>
      </c>
      <c r="P94" s="14" t="s">
        <v>255</v>
      </c>
      <c r="Q94" s="14" t="s">
        <v>255</v>
      </c>
      <c r="R94" s="14" t="s">
        <v>255</v>
      </c>
      <c r="S94" s="17">
        <v>330</v>
      </c>
      <c r="T94" s="14" t="s">
        <v>431</v>
      </c>
      <c r="U94" s="14" t="s">
        <v>257</v>
      </c>
      <c r="V94" s="14" t="s">
        <v>112</v>
      </c>
      <c r="W94" s="18">
        <v>26403357</v>
      </c>
      <c r="X94" s="18">
        <v>26403357</v>
      </c>
      <c r="Y94" s="19" t="s">
        <v>339</v>
      </c>
      <c r="Z94" s="19" t="s">
        <v>258</v>
      </c>
      <c r="AA94" s="19" t="s">
        <v>432</v>
      </c>
      <c r="AB94" s="14" t="s">
        <v>433</v>
      </c>
      <c r="AC94" s="14">
        <v>6012220601</v>
      </c>
      <c r="AD94" s="14" t="s">
        <v>434</v>
      </c>
      <c r="AE94" s="82">
        <v>26403357</v>
      </c>
      <c r="AF94" s="82">
        <v>0</v>
      </c>
      <c r="AG94" s="82">
        <v>0</v>
      </c>
      <c r="AH94" s="82">
        <v>0</v>
      </c>
      <c r="AI94" s="82">
        <v>0</v>
      </c>
      <c r="AJ94" s="82">
        <v>0</v>
      </c>
      <c r="AK94" s="82">
        <v>0</v>
      </c>
      <c r="AL94" s="82">
        <v>0</v>
      </c>
      <c r="AM94" s="82">
        <v>0</v>
      </c>
      <c r="AN94" s="82">
        <v>403357</v>
      </c>
      <c r="AO94" s="82">
        <v>0</v>
      </c>
      <c r="AP94" s="82">
        <v>7000000</v>
      </c>
      <c r="AQ94" s="82">
        <v>0</v>
      </c>
      <c r="AR94" s="82">
        <v>7000000</v>
      </c>
      <c r="AS94" s="82">
        <v>0</v>
      </c>
      <c r="AT94" s="82">
        <v>7000000</v>
      </c>
      <c r="AU94" s="82">
        <v>0</v>
      </c>
      <c r="AV94" s="82">
        <v>5000000</v>
      </c>
      <c r="AW94" s="82">
        <v>0</v>
      </c>
      <c r="AX94" s="82">
        <v>0</v>
      </c>
      <c r="AY94" s="82">
        <v>0</v>
      </c>
      <c r="AZ94" s="82">
        <v>0</v>
      </c>
      <c r="BA94" s="82">
        <v>0</v>
      </c>
      <c r="BB94" s="82">
        <v>0</v>
      </c>
      <c r="BC94" s="82">
        <f t="shared" ref="BC94:BD94" si="176">AE94+AG94+AI94+AK94+AM94+AO94+AQ94+AS94+AU94+AW94+AY94+BA94</f>
        <v>26403357</v>
      </c>
      <c r="BD94" s="82">
        <f t="shared" si="176"/>
        <v>26403357</v>
      </c>
      <c r="BE94" s="83">
        <f t="shared" si="1"/>
        <v>0</v>
      </c>
      <c r="BF94" s="83">
        <f t="shared" si="2"/>
        <v>0</v>
      </c>
      <c r="BG94" s="14" t="str">
        <f ca="1">IFERROR(__xludf.DUMMYFUNCTION("REGEXEXTRACT(O88,""^\S+\s(.+)$"")"),"Prestar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94" s="23">
        <v>26403357</v>
      </c>
      <c r="BI94" s="23"/>
      <c r="BJ94" s="23"/>
      <c r="BK94" s="23"/>
      <c r="BL94" s="23"/>
      <c r="BM94" s="23"/>
      <c r="BN94" s="23"/>
      <c r="BO94" s="23"/>
      <c r="BP94" s="23"/>
      <c r="BQ94" s="23">
        <v>403357</v>
      </c>
      <c r="BR94" s="23"/>
      <c r="BS94" s="23">
        <v>7000000</v>
      </c>
      <c r="BT94" s="23"/>
      <c r="BU94" s="23">
        <v>7000000</v>
      </c>
      <c r="BV94" s="23"/>
      <c r="BW94" s="23">
        <v>7000000</v>
      </c>
      <c r="BX94" s="23"/>
      <c r="BY94" s="23">
        <v>5000000</v>
      </c>
      <c r="BZ94" s="23"/>
      <c r="CA94" s="23"/>
      <c r="CB94" s="23"/>
      <c r="CC94" s="23"/>
      <c r="CD94" s="23"/>
      <c r="CE94" s="23"/>
      <c r="CF94" s="28"/>
      <c r="CG94" s="28"/>
      <c r="CH94" s="25">
        <f t="shared" ref="CH94:CI94" si="177">BH94+BJ94+BL94+BN94+BP94+BR94+BT94+BV94+BX94+BZ94+CB94+CD94+CF94</f>
        <v>26403357</v>
      </c>
      <c r="CI94" s="25">
        <f t="shared" si="177"/>
        <v>26403357</v>
      </c>
      <c r="CJ94" s="26">
        <f t="shared" si="4"/>
        <v>0</v>
      </c>
      <c r="CK94" s="26">
        <f t="shared" si="5"/>
        <v>0</v>
      </c>
    </row>
    <row r="95" spans="1:89" ht="90" customHeight="1" x14ac:dyDescent="0.3">
      <c r="A95" s="13" t="s">
        <v>248</v>
      </c>
      <c r="B95" s="14" t="s">
        <v>8</v>
      </c>
      <c r="C95" s="15" t="s">
        <v>427</v>
      </c>
      <c r="D95" s="14" t="s">
        <v>68</v>
      </c>
      <c r="E95" s="13" t="s">
        <v>250</v>
      </c>
      <c r="F95" s="13" t="s">
        <v>250</v>
      </c>
      <c r="G95" s="14">
        <v>68</v>
      </c>
      <c r="H95" s="13" t="s">
        <v>465</v>
      </c>
      <c r="I95" s="15" t="s">
        <v>429</v>
      </c>
      <c r="J95" s="14" t="s">
        <v>12</v>
      </c>
      <c r="K95" s="15" t="s">
        <v>110</v>
      </c>
      <c r="L95" s="14">
        <v>43233701</v>
      </c>
      <c r="M95" s="14" t="s">
        <v>13</v>
      </c>
      <c r="N95" s="14" t="s">
        <v>466</v>
      </c>
      <c r="O95" s="15" t="s">
        <v>467</v>
      </c>
      <c r="P95" s="14" t="s">
        <v>468</v>
      </c>
      <c r="Q95" s="14" t="s">
        <v>468</v>
      </c>
      <c r="R95" s="14" t="s">
        <v>468</v>
      </c>
      <c r="S95" s="17">
        <v>365</v>
      </c>
      <c r="T95" s="14" t="s">
        <v>431</v>
      </c>
      <c r="U95" s="14" t="s">
        <v>469</v>
      </c>
      <c r="V95" s="14" t="s">
        <v>112</v>
      </c>
      <c r="W95" s="18">
        <v>127210300</v>
      </c>
      <c r="X95" s="18">
        <v>127210300</v>
      </c>
      <c r="Y95" s="19" t="s">
        <v>339</v>
      </c>
      <c r="Z95" s="19" t="s">
        <v>258</v>
      </c>
      <c r="AA95" s="19" t="s">
        <v>432</v>
      </c>
      <c r="AB95" s="14" t="s">
        <v>433</v>
      </c>
      <c r="AC95" s="14">
        <v>6012220601</v>
      </c>
      <c r="AD95" s="14" t="s">
        <v>434</v>
      </c>
      <c r="AE95" s="82">
        <v>0</v>
      </c>
      <c r="AF95" s="82">
        <v>0</v>
      </c>
      <c r="AG95" s="82">
        <v>0</v>
      </c>
      <c r="AH95" s="82">
        <v>0</v>
      </c>
      <c r="AI95" s="82">
        <v>0</v>
      </c>
      <c r="AJ95" s="82">
        <v>0</v>
      </c>
      <c r="AK95" s="82">
        <v>0</v>
      </c>
      <c r="AL95" s="82">
        <v>0</v>
      </c>
      <c r="AM95" s="82">
        <v>0</v>
      </c>
      <c r="AN95" s="82">
        <v>0</v>
      </c>
      <c r="AO95" s="82">
        <v>0</v>
      </c>
      <c r="AP95" s="82">
        <v>0</v>
      </c>
      <c r="AQ95" s="82">
        <v>0</v>
      </c>
      <c r="AR95" s="82">
        <v>0</v>
      </c>
      <c r="AS95" s="82">
        <v>0</v>
      </c>
      <c r="AT95" s="82">
        <v>0</v>
      </c>
      <c r="AU95" s="82">
        <v>0</v>
      </c>
      <c r="AV95" s="82">
        <v>0</v>
      </c>
      <c r="AW95" s="82">
        <v>0</v>
      </c>
      <c r="AX95" s="82">
        <v>0</v>
      </c>
      <c r="AY95" s="82">
        <v>127210300</v>
      </c>
      <c r="AZ95" s="82">
        <v>0</v>
      </c>
      <c r="BA95" s="82">
        <v>0</v>
      </c>
      <c r="BB95" s="82">
        <v>127210300</v>
      </c>
      <c r="BC95" s="82">
        <f t="shared" ref="BC95:BD95" si="178">AE95+AG95+AI95+AK95+AM95+AO95+AQ95+AS95+AU95+AW95+AY95+BA95</f>
        <v>127210300</v>
      </c>
      <c r="BD95" s="82">
        <f t="shared" si="178"/>
        <v>127210300</v>
      </c>
      <c r="BE95" s="83">
        <f t="shared" si="1"/>
        <v>0</v>
      </c>
      <c r="BF95" s="83">
        <f t="shared" si="2"/>
        <v>0</v>
      </c>
      <c r="BG95" s="14" t="str">
        <f ca="1">IFERROR(__xludf.DUMMYFUNCTION("REGEXEXTRACT(O89,""^\S+\s(.+)$"")"),"Renovar la suscripción del sistema de información para la integración y administración de la planeación institucional y de los sistemas de gestión de la Unidad de Planeación Minero Energética.")</f>
        <v>Renovar la suscripción del sistema de información para la integración y administración de la planeación institucional y de los sistemas de gestión de la Unidad de Planeación Minero Energética.</v>
      </c>
      <c r="BH95" s="23"/>
      <c r="BI95" s="23"/>
      <c r="BJ95" s="23"/>
      <c r="BK95" s="23"/>
      <c r="BL95" s="23"/>
      <c r="BM95" s="23"/>
      <c r="BN95" s="23"/>
      <c r="BO95" s="23"/>
      <c r="BP95" s="23"/>
      <c r="BQ95" s="23"/>
      <c r="BR95" s="23"/>
      <c r="BS95" s="23"/>
      <c r="BT95" s="23"/>
      <c r="BU95" s="23"/>
      <c r="BV95" s="23"/>
      <c r="BW95" s="23"/>
      <c r="BX95" s="23"/>
      <c r="BY95" s="23"/>
      <c r="BZ95" s="23"/>
      <c r="CA95" s="23"/>
      <c r="CB95" s="23">
        <v>127210300</v>
      </c>
      <c r="CC95" s="23"/>
      <c r="CD95" s="23"/>
      <c r="CE95" s="23">
        <v>127210300</v>
      </c>
      <c r="CF95" s="28"/>
      <c r="CG95" s="28"/>
      <c r="CH95" s="25">
        <f t="shared" ref="CH95:CI95" si="179">BH95+BJ95+BL95+BN95+BP95+BR95+BT95+BV95+BX95+BZ95+CB95+CD95+CF95</f>
        <v>127210300</v>
      </c>
      <c r="CI95" s="25">
        <f t="shared" si="179"/>
        <v>127210300</v>
      </c>
      <c r="CJ95" s="26">
        <f t="shared" si="4"/>
        <v>0</v>
      </c>
      <c r="CK95" s="26">
        <f t="shared" si="5"/>
        <v>0</v>
      </c>
    </row>
    <row r="96" spans="1:89" ht="90" customHeight="1" x14ac:dyDescent="0.3">
      <c r="A96" s="13" t="s">
        <v>248</v>
      </c>
      <c r="B96" s="14" t="s">
        <v>8</v>
      </c>
      <c r="C96" s="15" t="s">
        <v>427</v>
      </c>
      <c r="D96" s="14" t="s">
        <v>68</v>
      </c>
      <c r="E96" s="13" t="s">
        <v>250</v>
      </c>
      <c r="F96" s="13" t="s">
        <v>250</v>
      </c>
      <c r="G96" s="14">
        <v>68</v>
      </c>
      <c r="H96" s="13" t="s">
        <v>470</v>
      </c>
      <c r="I96" s="15" t="s">
        <v>429</v>
      </c>
      <c r="J96" s="14" t="s">
        <v>12</v>
      </c>
      <c r="K96" s="15" t="s">
        <v>110</v>
      </c>
      <c r="L96" s="14">
        <v>84111603</v>
      </c>
      <c r="M96" s="14" t="s">
        <v>13</v>
      </c>
      <c r="N96" s="14" t="s">
        <v>471</v>
      </c>
      <c r="O96" s="15" t="s">
        <v>472</v>
      </c>
      <c r="P96" s="14" t="s">
        <v>473</v>
      </c>
      <c r="Q96" s="14" t="s">
        <v>473</v>
      </c>
      <c r="R96" s="14" t="s">
        <v>473</v>
      </c>
      <c r="S96" s="17">
        <v>1</v>
      </c>
      <c r="T96" s="14" t="s">
        <v>256</v>
      </c>
      <c r="U96" s="14" t="s">
        <v>474</v>
      </c>
      <c r="V96" s="14" t="s">
        <v>112</v>
      </c>
      <c r="W96" s="18">
        <v>15000000</v>
      </c>
      <c r="X96" s="18">
        <v>15000000</v>
      </c>
      <c r="Y96" s="19" t="s">
        <v>339</v>
      </c>
      <c r="Z96" s="19" t="s">
        <v>258</v>
      </c>
      <c r="AA96" s="19" t="s">
        <v>432</v>
      </c>
      <c r="AB96" s="14" t="s">
        <v>433</v>
      </c>
      <c r="AC96" s="14">
        <v>6012220601</v>
      </c>
      <c r="AD96" s="14" t="s">
        <v>434</v>
      </c>
      <c r="AE96" s="82">
        <v>0</v>
      </c>
      <c r="AF96" s="82">
        <v>0</v>
      </c>
      <c r="AG96" s="82">
        <v>0</v>
      </c>
      <c r="AH96" s="82">
        <v>0</v>
      </c>
      <c r="AI96" s="82">
        <v>0</v>
      </c>
      <c r="AJ96" s="82">
        <v>0</v>
      </c>
      <c r="AK96" s="82">
        <v>0</v>
      </c>
      <c r="AL96" s="82">
        <v>0</v>
      </c>
      <c r="AM96" s="82">
        <v>0</v>
      </c>
      <c r="AN96" s="82">
        <v>0</v>
      </c>
      <c r="AO96" s="82">
        <v>0</v>
      </c>
      <c r="AP96" s="82">
        <v>0</v>
      </c>
      <c r="AQ96" s="82">
        <v>0</v>
      </c>
      <c r="AR96" s="82">
        <v>0</v>
      </c>
      <c r="AS96" s="82">
        <v>0</v>
      </c>
      <c r="AT96" s="82">
        <v>0</v>
      </c>
      <c r="AU96" s="82">
        <v>0</v>
      </c>
      <c r="AV96" s="82">
        <v>0</v>
      </c>
      <c r="AW96" s="82">
        <v>15000000</v>
      </c>
      <c r="AX96" s="82">
        <v>0</v>
      </c>
      <c r="AY96" s="82">
        <v>0</v>
      </c>
      <c r="AZ96" s="82">
        <v>15000000</v>
      </c>
      <c r="BA96" s="82">
        <v>0</v>
      </c>
      <c r="BB96" s="82">
        <v>0</v>
      </c>
      <c r="BC96" s="82">
        <f t="shared" ref="BC96:BD96" si="180">AE96+AG96+AI96+AK96+AM96+AO96+AQ96+AS96+AU96+AW96+AY96+BA96</f>
        <v>15000000</v>
      </c>
      <c r="BD96" s="82">
        <f t="shared" si="180"/>
        <v>15000000</v>
      </c>
      <c r="BE96" s="83">
        <f t="shared" si="1"/>
        <v>0</v>
      </c>
      <c r="BF96" s="83">
        <f t="shared" si="2"/>
        <v>0</v>
      </c>
      <c r="BG96" s="14" t="str">
        <f ca="1">IFERROR(__xludf.DUMMYFUNCTION("REGEXEXTRACT(O90,""^\S+\s(.+)$"")"),"Realizar la auditoría interna al Sistema de Gestión Institucional de la UPME, con el propósito de validar el grado de cumplimiento de los requisitos establecidos en la Norma Técnica Colombiana NTC ISO 9001:2015.")</f>
        <v>Realizar la auditoría interna al Sistema de Gestión Institucional de la UPME, con el propósito de validar el grado de cumplimiento de los requisitos establecidos en la Norma Técnica Colombiana NTC ISO 9001:2015.</v>
      </c>
      <c r="BH96" s="23"/>
      <c r="BI96" s="23"/>
      <c r="BJ96" s="23"/>
      <c r="BK96" s="23"/>
      <c r="BL96" s="23"/>
      <c r="BM96" s="23"/>
      <c r="BN96" s="23"/>
      <c r="BO96" s="23"/>
      <c r="BP96" s="23"/>
      <c r="BQ96" s="23"/>
      <c r="BR96" s="23"/>
      <c r="BS96" s="23"/>
      <c r="BT96" s="23"/>
      <c r="BU96" s="23"/>
      <c r="BV96" s="23"/>
      <c r="BW96" s="23"/>
      <c r="BX96" s="23"/>
      <c r="BY96" s="23"/>
      <c r="BZ96" s="23">
        <v>15000000</v>
      </c>
      <c r="CA96" s="23"/>
      <c r="CB96" s="23"/>
      <c r="CC96" s="23">
        <v>15000000</v>
      </c>
      <c r="CD96" s="23"/>
      <c r="CE96" s="23"/>
      <c r="CF96" s="28"/>
      <c r="CG96" s="28"/>
      <c r="CH96" s="25">
        <f t="shared" ref="CH96:CI96" si="181">BH96+BJ96+BL96+BN96+BP96+BR96+BT96+BV96+BX96+BZ96+CB96+CD96+CF96</f>
        <v>15000000</v>
      </c>
      <c r="CI96" s="25">
        <f t="shared" si="181"/>
        <v>15000000</v>
      </c>
      <c r="CJ96" s="26">
        <f t="shared" si="4"/>
        <v>0</v>
      </c>
      <c r="CK96" s="26">
        <f t="shared" si="5"/>
        <v>0</v>
      </c>
    </row>
    <row r="97" spans="1:89" ht="90" customHeight="1" x14ac:dyDescent="0.3">
      <c r="A97" s="13" t="s">
        <v>248</v>
      </c>
      <c r="B97" s="14" t="s">
        <v>8</v>
      </c>
      <c r="C97" s="15" t="s">
        <v>427</v>
      </c>
      <c r="D97" s="14" t="s">
        <v>68</v>
      </c>
      <c r="E97" s="13" t="s">
        <v>250</v>
      </c>
      <c r="F97" s="13" t="s">
        <v>250</v>
      </c>
      <c r="G97" s="14">
        <v>68</v>
      </c>
      <c r="H97" s="13" t="s">
        <v>475</v>
      </c>
      <c r="I97" s="15" t="s">
        <v>429</v>
      </c>
      <c r="J97" s="14" t="s">
        <v>12</v>
      </c>
      <c r="K97" s="15" t="s">
        <v>110</v>
      </c>
      <c r="L97" s="14">
        <v>84111603</v>
      </c>
      <c r="M97" s="14" t="s">
        <v>13</v>
      </c>
      <c r="N97" s="14" t="s">
        <v>471</v>
      </c>
      <c r="O97" s="15" t="s">
        <v>476</v>
      </c>
      <c r="P97" s="14" t="s">
        <v>281</v>
      </c>
      <c r="Q97" s="14" t="s">
        <v>281</v>
      </c>
      <c r="R97" s="14" t="s">
        <v>477</v>
      </c>
      <c r="S97" s="17">
        <v>1</v>
      </c>
      <c r="T97" s="14" t="s">
        <v>256</v>
      </c>
      <c r="U97" s="14" t="s">
        <v>474</v>
      </c>
      <c r="V97" s="14" t="s">
        <v>112</v>
      </c>
      <c r="W97" s="18">
        <v>15700751</v>
      </c>
      <c r="X97" s="18">
        <v>15700751</v>
      </c>
      <c r="Y97" s="19" t="s">
        <v>339</v>
      </c>
      <c r="Z97" s="19" t="s">
        <v>258</v>
      </c>
      <c r="AA97" s="19" t="s">
        <v>432</v>
      </c>
      <c r="AB97" s="14" t="s">
        <v>433</v>
      </c>
      <c r="AC97" s="14">
        <v>6012220601</v>
      </c>
      <c r="AD97" s="14" t="s">
        <v>434</v>
      </c>
      <c r="AE97" s="82">
        <v>0</v>
      </c>
      <c r="AF97" s="82">
        <v>0</v>
      </c>
      <c r="AG97" s="82">
        <v>0</v>
      </c>
      <c r="AH97" s="82">
        <v>0</v>
      </c>
      <c r="AI97" s="82">
        <v>0</v>
      </c>
      <c r="AJ97" s="82">
        <v>0</v>
      </c>
      <c r="AK97" s="82">
        <v>0</v>
      </c>
      <c r="AL97" s="82">
        <v>0</v>
      </c>
      <c r="AM97" s="82">
        <v>0</v>
      </c>
      <c r="AN97" s="82">
        <v>0</v>
      </c>
      <c r="AO97" s="82">
        <v>15700751</v>
      </c>
      <c r="AP97" s="82">
        <v>0</v>
      </c>
      <c r="AQ97" s="82">
        <v>0</v>
      </c>
      <c r="AR97" s="82">
        <v>0</v>
      </c>
      <c r="AS97" s="82">
        <v>0</v>
      </c>
      <c r="AT97" s="82">
        <v>0</v>
      </c>
      <c r="AU97" s="82">
        <v>0</v>
      </c>
      <c r="AV97" s="82">
        <v>15700751</v>
      </c>
      <c r="AW97" s="82">
        <v>0</v>
      </c>
      <c r="AX97" s="82">
        <v>0</v>
      </c>
      <c r="AY97" s="82">
        <v>0</v>
      </c>
      <c r="AZ97" s="82">
        <v>0</v>
      </c>
      <c r="BA97" s="82">
        <v>0</v>
      </c>
      <c r="BB97" s="82">
        <v>0</v>
      </c>
      <c r="BC97" s="82">
        <f t="shared" ref="BC97:BD97" si="182">AE97+AG97+AI97+AK97+AM97+AO97+AQ97+AS97+AU97+AW97+AY97+BA97</f>
        <v>15700751</v>
      </c>
      <c r="BD97" s="82">
        <f t="shared" si="182"/>
        <v>15700751</v>
      </c>
      <c r="BE97" s="83">
        <f t="shared" si="1"/>
        <v>0</v>
      </c>
      <c r="BF97" s="83">
        <f t="shared" si="2"/>
        <v>0</v>
      </c>
      <c r="BG97" s="14" t="str">
        <f ca="1">IFERROR(__xludf.DUMMYFUNCTION("REGEXEXTRACT(O91,""^\S+\s(.+)$"")"),"Realizar la auditoría de certificación del Sistema de Gestión Institucional bajo la NTC ISO 9001:2015 en la UPME.")</f>
        <v>Realizar la auditoría de certificación del Sistema de Gestión Institucional bajo la NTC ISO 9001:2015 en la UPME.</v>
      </c>
      <c r="BH97" s="23"/>
      <c r="BI97" s="23"/>
      <c r="BJ97" s="23"/>
      <c r="BK97" s="23"/>
      <c r="BL97" s="23"/>
      <c r="BM97" s="23"/>
      <c r="BN97" s="23"/>
      <c r="BO97" s="23"/>
      <c r="BP97" s="23"/>
      <c r="BQ97" s="23"/>
      <c r="BR97" s="23">
        <v>15700751</v>
      </c>
      <c r="BS97" s="23"/>
      <c r="BT97" s="23"/>
      <c r="BU97" s="23"/>
      <c r="BV97" s="23"/>
      <c r="BW97" s="23"/>
      <c r="BX97" s="23"/>
      <c r="BY97" s="23">
        <v>15700751</v>
      </c>
      <c r="BZ97" s="23"/>
      <c r="CA97" s="23"/>
      <c r="CB97" s="23"/>
      <c r="CC97" s="23"/>
      <c r="CD97" s="23"/>
      <c r="CE97" s="23"/>
      <c r="CF97" s="28"/>
      <c r="CG97" s="28"/>
      <c r="CH97" s="25">
        <f t="shared" ref="CH97:CI97" si="183">BH97+BJ97+BL97+BN97+BP97+BR97+BT97+BV97+BX97+BZ97+CB97+CD97+CF97</f>
        <v>15700751</v>
      </c>
      <c r="CI97" s="25">
        <f t="shared" si="183"/>
        <v>15700751</v>
      </c>
      <c r="CJ97" s="26">
        <f t="shared" si="4"/>
        <v>0</v>
      </c>
      <c r="CK97" s="26">
        <f t="shared" si="5"/>
        <v>0</v>
      </c>
    </row>
    <row r="98" spans="1:89" ht="90" customHeight="1" x14ac:dyDescent="0.3">
      <c r="A98" s="13" t="s">
        <v>248</v>
      </c>
      <c r="B98" s="14" t="s">
        <v>8</v>
      </c>
      <c r="C98" s="15" t="s">
        <v>427</v>
      </c>
      <c r="D98" s="14" t="s">
        <v>68</v>
      </c>
      <c r="E98" s="13" t="s">
        <v>250</v>
      </c>
      <c r="F98" s="13" t="s">
        <v>250</v>
      </c>
      <c r="G98" s="14">
        <v>7</v>
      </c>
      <c r="H98" s="13" t="s">
        <v>478</v>
      </c>
      <c r="I98" s="15" t="s">
        <v>479</v>
      </c>
      <c r="J98" s="14" t="s">
        <v>4</v>
      </c>
      <c r="K98" s="15" t="s">
        <v>106</v>
      </c>
      <c r="L98" s="14">
        <v>80111620</v>
      </c>
      <c r="M98" s="14" t="s">
        <v>11</v>
      </c>
      <c r="N98" s="14" t="s">
        <v>253</v>
      </c>
      <c r="O98" s="15" t="s">
        <v>480</v>
      </c>
      <c r="P98" s="14" t="s">
        <v>255</v>
      </c>
      <c r="Q98" s="14" t="s">
        <v>255</v>
      </c>
      <c r="R98" s="14" t="s">
        <v>255</v>
      </c>
      <c r="S98" s="17">
        <v>330</v>
      </c>
      <c r="T98" s="14" t="s">
        <v>431</v>
      </c>
      <c r="U98" s="14" t="s">
        <v>257</v>
      </c>
      <c r="V98" s="14" t="s">
        <v>112</v>
      </c>
      <c r="W98" s="18">
        <v>110000000</v>
      </c>
      <c r="X98" s="18">
        <v>110000000</v>
      </c>
      <c r="Y98" s="19" t="s">
        <v>339</v>
      </c>
      <c r="Z98" s="19" t="s">
        <v>258</v>
      </c>
      <c r="AA98" s="19" t="s">
        <v>432</v>
      </c>
      <c r="AB98" s="14" t="s">
        <v>433</v>
      </c>
      <c r="AC98" s="14">
        <v>6012220601</v>
      </c>
      <c r="AD98" s="14" t="s">
        <v>434</v>
      </c>
      <c r="AE98" s="82">
        <v>0</v>
      </c>
      <c r="AF98" s="82">
        <v>0</v>
      </c>
      <c r="AG98" s="82">
        <v>110000000</v>
      </c>
      <c r="AH98" s="82">
        <v>0</v>
      </c>
      <c r="AI98" s="82">
        <v>0</v>
      </c>
      <c r="AJ98" s="82">
        <v>10000000</v>
      </c>
      <c r="AK98" s="82">
        <v>0</v>
      </c>
      <c r="AL98" s="82">
        <v>10000000</v>
      </c>
      <c r="AM98" s="82">
        <v>0</v>
      </c>
      <c r="AN98" s="82">
        <v>10000000</v>
      </c>
      <c r="AO98" s="82">
        <v>0</v>
      </c>
      <c r="AP98" s="82">
        <v>10000000</v>
      </c>
      <c r="AQ98" s="82">
        <v>0</v>
      </c>
      <c r="AR98" s="82">
        <v>10000000</v>
      </c>
      <c r="AS98" s="82">
        <v>0</v>
      </c>
      <c r="AT98" s="82">
        <v>10000000</v>
      </c>
      <c r="AU98" s="82">
        <v>0</v>
      </c>
      <c r="AV98" s="82">
        <v>10000000</v>
      </c>
      <c r="AW98" s="82">
        <v>0</v>
      </c>
      <c r="AX98" s="82">
        <v>10000000</v>
      </c>
      <c r="AY98" s="82">
        <v>0</v>
      </c>
      <c r="AZ98" s="82">
        <v>10000000</v>
      </c>
      <c r="BA98" s="82">
        <v>0</v>
      </c>
      <c r="BB98" s="82">
        <v>20000000</v>
      </c>
      <c r="BC98" s="82">
        <f t="shared" ref="BC98:BD98" si="184">AE98+AG98+AI98+AK98+AM98+AO98+AQ98+AS98+AU98+AW98+AY98+BA98</f>
        <v>110000000</v>
      </c>
      <c r="BD98" s="82">
        <f t="shared" si="184"/>
        <v>110000000</v>
      </c>
      <c r="BE98" s="83">
        <f t="shared" si="1"/>
        <v>0</v>
      </c>
      <c r="BF98" s="83">
        <f t="shared" si="2"/>
        <v>0</v>
      </c>
      <c r="BG98" s="14" t="str">
        <f ca="1">IFERROR(__xludf.DUMMYFUNCTION("REGEXEXTRACT(O92,""^\S+\s(.+)$"")"),"Prestar servicios profesionales en la coordinación de la implementación de la Política y Modelo de Gestión del Conocimiento e Innovación (Gesco+i) de la Entidad, para fortalecer la adopción, seguimiento y consolidación de las actividades establecidas en l"&amp;"a Política Institucional y la Hoja de Ruta Gesco+i, asegurando la articulación con la Planeación Estratégica Institucional y el MIPG, la gestión de buenas prácticas, lecciones aprendidas y la dinamización de la cultura de conocimiento e innovación.")</f>
        <v>Prestar servicios profesionales en la coordinación de la implementación de la Política y Modelo de Gestión del Conocimiento e Innovación (Gesco+i) de la Entidad, para fortalecer la adopción, seguimiento y consolidación de las actividades establecidas en la Política Institucional y la Hoja de Ruta Gesco+i, asegurando la articulación con la Planeación Estratégica Institucional y el MIPG, la gestión de buenas prácticas, lecciones aprendidas y la dinamización de la cultura de conocimiento e innovación.</v>
      </c>
      <c r="BH98" s="23"/>
      <c r="BI98" s="23"/>
      <c r="BJ98" s="23">
        <v>110000000</v>
      </c>
      <c r="BK98" s="23"/>
      <c r="BL98" s="23"/>
      <c r="BM98" s="23">
        <v>10000000</v>
      </c>
      <c r="BN98" s="23"/>
      <c r="BO98" s="23">
        <v>10000000</v>
      </c>
      <c r="BP98" s="23"/>
      <c r="BQ98" s="23">
        <v>10000000</v>
      </c>
      <c r="BR98" s="23"/>
      <c r="BS98" s="23">
        <v>10000000</v>
      </c>
      <c r="BT98" s="23"/>
      <c r="BU98" s="23">
        <v>10000000</v>
      </c>
      <c r="BV98" s="23"/>
      <c r="BW98" s="23">
        <v>10000000</v>
      </c>
      <c r="BX98" s="23"/>
      <c r="BY98" s="23">
        <v>10000000</v>
      </c>
      <c r="BZ98" s="23"/>
      <c r="CA98" s="23">
        <v>10000000</v>
      </c>
      <c r="CB98" s="23"/>
      <c r="CC98" s="23">
        <v>10000000</v>
      </c>
      <c r="CD98" s="23"/>
      <c r="CE98" s="23">
        <v>20000000</v>
      </c>
      <c r="CF98" s="28"/>
      <c r="CG98" s="28"/>
      <c r="CH98" s="25">
        <f t="shared" ref="CH98:CI98" si="185">BH98+BJ98+BL98+BN98+BP98+BR98+BT98+BV98+BX98+BZ98+CB98+CD98+CF98</f>
        <v>110000000</v>
      </c>
      <c r="CI98" s="25">
        <f t="shared" si="185"/>
        <v>110000000</v>
      </c>
      <c r="CJ98" s="26">
        <f t="shared" si="4"/>
        <v>0</v>
      </c>
      <c r="CK98" s="26">
        <f t="shared" si="5"/>
        <v>0</v>
      </c>
    </row>
    <row r="99" spans="1:89" ht="90" customHeight="1" x14ac:dyDescent="0.3">
      <c r="A99" s="13" t="s">
        <v>248</v>
      </c>
      <c r="B99" s="14" t="s">
        <v>8</v>
      </c>
      <c r="C99" s="15" t="s">
        <v>427</v>
      </c>
      <c r="D99" s="14" t="s">
        <v>68</v>
      </c>
      <c r="E99" s="13" t="s">
        <v>250</v>
      </c>
      <c r="F99" s="13" t="s">
        <v>250</v>
      </c>
      <c r="G99" s="14">
        <v>68</v>
      </c>
      <c r="H99" s="13" t="s">
        <v>481</v>
      </c>
      <c r="I99" s="15" t="s">
        <v>479</v>
      </c>
      <c r="J99" s="14" t="s">
        <v>4</v>
      </c>
      <c r="K99" s="15" t="s">
        <v>106</v>
      </c>
      <c r="L99" s="14">
        <v>80111620</v>
      </c>
      <c r="M99" s="14" t="s">
        <v>11</v>
      </c>
      <c r="N99" s="14" t="s">
        <v>253</v>
      </c>
      <c r="O99" s="15" t="s">
        <v>482</v>
      </c>
      <c r="P99" s="14" t="s">
        <v>255</v>
      </c>
      <c r="Q99" s="14" t="s">
        <v>255</v>
      </c>
      <c r="R99" s="14" t="s">
        <v>255</v>
      </c>
      <c r="S99" s="17">
        <v>330</v>
      </c>
      <c r="T99" s="14" t="s">
        <v>431</v>
      </c>
      <c r="U99" s="14" t="s">
        <v>257</v>
      </c>
      <c r="V99" s="14" t="s">
        <v>112</v>
      </c>
      <c r="W99" s="18">
        <v>38185934</v>
      </c>
      <c r="X99" s="18">
        <v>38185934</v>
      </c>
      <c r="Y99" s="19" t="s">
        <v>339</v>
      </c>
      <c r="Z99" s="19" t="s">
        <v>258</v>
      </c>
      <c r="AA99" s="19" t="s">
        <v>432</v>
      </c>
      <c r="AB99" s="14" t="s">
        <v>433</v>
      </c>
      <c r="AC99" s="14">
        <v>6012220601</v>
      </c>
      <c r="AD99" s="14" t="s">
        <v>434</v>
      </c>
      <c r="AE99" s="82">
        <v>38185934</v>
      </c>
      <c r="AF99" s="82">
        <v>0</v>
      </c>
      <c r="AG99" s="82">
        <v>0</v>
      </c>
      <c r="AH99" s="82">
        <v>3333333</v>
      </c>
      <c r="AI99" s="82">
        <v>0</v>
      </c>
      <c r="AJ99" s="82">
        <v>10000000</v>
      </c>
      <c r="AK99" s="82">
        <v>0</v>
      </c>
      <c r="AL99" s="82">
        <v>10000000</v>
      </c>
      <c r="AM99" s="82">
        <v>0</v>
      </c>
      <c r="AN99" s="82">
        <v>10000000</v>
      </c>
      <c r="AO99" s="82">
        <v>0</v>
      </c>
      <c r="AP99" s="82">
        <v>4852601</v>
      </c>
      <c r="AQ99" s="82">
        <v>0</v>
      </c>
      <c r="AR99" s="82">
        <v>0</v>
      </c>
      <c r="AS99" s="82">
        <v>0</v>
      </c>
      <c r="AT99" s="82">
        <v>0</v>
      </c>
      <c r="AU99" s="82">
        <v>0</v>
      </c>
      <c r="AV99" s="82">
        <v>0</v>
      </c>
      <c r="AW99" s="82">
        <v>0</v>
      </c>
      <c r="AX99" s="82">
        <v>0</v>
      </c>
      <c r="AY99" s="82">
        <v>0</v>
      </c>
      <c r="AZ99" s="82">
        <v>0</v>
      </c>
      <c r="BA99" s="82">
        <v>0</v>
      </c>
      <c r="BB99" s="82">
        <v>0</v>
      </c>
      <c r="BC99" s="82">
        <f t="shared" ref="BC99:BD99" si="186">AE99+AG99+AI99+AK99+AM99+AO99+AQ99+AS99+AU99+AW99+AY99+BA99</f>
        <v>38185934</v>
      </c>
      <c r="BD99" s="82">
        <f t="shared" si="186"/>
        <v>38185934</v>
      </c>
      <c r="BE99" s="83">
        <f t="shared" si="1"/>
        <v>0</v>
      </c>
      <c r="BF99" s="83">
        <f t="shared" si="2"/>
        <v>0</v>
      </c>
      <c r="BG99" s="14" t="str">
        <f ca="1">IFERROR(__xludf.DUMMYFUNCTION("REGEXEXTRACT(O93,""^\S+\s(.+)$"")"),"Prestar servicios profesionales para la implementación del Modelo Gestión del Conocimiento e Innovación – Gesco+i de la Entidad, para fortalecer la adopción, seguimiento y consolidación de las actividades establecidas en la Política Institucional y la Hoj"&amp;"a de Ruta Gesco+i establecida, asegurando la articulación institucional y con el MIPG, la gestión de buenas prácticas, lecciones aprendidas y la dinamización de la cultura de conocimiento e innovación institucional.")</f>
        <v>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v>
      </c>
      <c r="BH99" s="23">
        <v>38185934</v>
      </c>
      <c r="BI99" s="23"/>
      <c r="BJ99" s="23"/>
      <c r="BK99" s="23">
        <v>3333333</v>
      </c>
      <c r="BL99" s="23"/>
      <c r="BM99" s="23">
        <v>10000000</v>
      </c>
      <c r="BN99" s="23"/>
      <c r="BO99" s="23">
        <v>10000000</v>
      </c>
      <c r="BP99" s="23"/>
      <c r="BQ99" s="23">
        <v>10000000</v>
      </c>
      <c r="BR99" s="23"/>
      <c r="BS99" s="23">
        <v>4852601</v>
      </c>
      <c r="BT99" s="23"/>
      <c r="BU99" s="23"/>
      <c r="BV99" s="23"/>
      <c r="BW99" s="23"/>
      <c r="BX99" s="23"/>
      <c r="BY99" s="23"/>
      <c r="BZ99" s="23"/>
      <c r="CA99" s="23"/>
      <c r="CB99" s="23"/>
      <c r="CC99" s="23"/>
      <c r="CD99" s="23"/>
      <c r="CE99" s="23"/>
      <c r="CF99" s="28"/>
      <c r="CG99" s="28"/>
      <c r="CH99" s="25">
        <f t="shared" ref="CH99:CI99" si="187">BH99+BJ99+BL99+BN99+BP99+BR99+BT99+BV99+BX99+BZ99+CB99+CD99+CF99</f>
        <v>38185934</v>
      </c>
      <c r="CI99" s="25">
        <f t="shared" si="187"/>
        <v>38185934</v>
      </c>
      <c r="CJ99" s="26">
        <f t="shared" si="4"/>
        <v>0</v>
      </c>
      <c r="CK99" s="26">
        <f t="shared" si="5"/>
        <v>0</v>
      </c>
    </row>
    <row r="100" spans="1:89" ht="90" customHeight="1" x14ac:dyDescent="0.3">
      <c r="A100" s="13" t="s">
        <v>248</v>
      </c>
      <c r="B100" s="14" t="s">
        <v>8</v>
      </c>
      <c r="C100" s="15" t="s">
        <v>427</v>
      </c>
      <c r="D100" s="14" t="s">
        <v>68</v>
      </c>
      <c r="E100" s="13" t="s">
        <v>250</v>
      </c>
      <c r="F100" s="13" t="s">
        <v>250</v>
      </c>
      <c r="G100" s="14">
        <v>68</v>
      </c>
      <c r="H100" s="13" t="s">
        <v>483</v>
      </c>
      <c r="I100" s="15" t="s">
        <v>479</v>
      </c>
      <c r="J100" s="14" t="s">
        <v>4</v>
      </c>
      <c r="K100" s="15" t="s">
        <v>106</v>
      </c>
      <c r="L100" s="14">
        <v>80111620</v>
      </c>
      <c r="M100" s="14" t="s">
        <v>11</v>
      </c>
      <c r="N100" s="14" t="s">
        <v>253</v>
      </c>
      <c r="O100" s="15" t="s">
        <v>484</v>
      </c>
      <c r="P100" s="14" t="s">
        <v>255</v>
      </c>
      <c r="Q100" s="14" t="s">
        <v>255</v>
      </c>
      <c r="R100" s="14" t="s">
        <v>255</v>
      </c>
      <c r="S100" s="17">
        <v>330</v>
      </c>
      <c r="T100" s="14" t="s">
        <v>431</v>
      </c>
      <c r="U100" s="14" t="s">
        <v>257</v>
      </c>
      <c r="V100" s="14" t="s">
        <v>113</v>
      </c>
      <c r="W100" s="18">
        <v>71814066</v>
      </c>
      <c r="X100" s="18">
        <v>71814066</v>
      </c>
      <c r="Y100" s="19" t="s">
        <v>339</v>
      </c>
      <c r="Z100" s="19" t="s">
        <v>258</v>
      </c>
      <c r="AA100" s="19" t="s">
        <v>432</v>
      </c>
      <c r="AB100" s="14" t="s">
        <v>433</v>
      </c>
      <c r="AC100" s="14">
        <v>6012220601</v>
      </c>
      <c r="AD100" s="14" t="s">
        <v>434</v>
      </c>
      <c r="AE100" s="82">
        <v>71814066</v>
      </c>
      <c r="AF100" s="82">
        <v>0</v>
      </c>
      <c r="AG100" s="82">
        <v>0</v>
      </c>
      <c r="AH100" s="82">
        <v>0</v>
      </c>
      <c r="AI100" s="82">
        <v>0</v>
      </c>
      <c r="AJ100" s="82">
        <v>0</v>
      </c>
      <c r="AK100" s="82">
        <v>0</v>
      </c>
      <c r="AL100" s="82">
        <v>0</v>
      </c>
      <c r="AM100" s="82">
        <v>0</v>
      </c>
      <c r="AN100" s="82">
        <v>0</v>
      </c>
      <c r="AO100" s="82">
        <v>0</v>
      </c>
      <c r="AP100" s="82">
        <v>5147399</v>
      </c>
      <c r="AQ100" s="82">
        <v>0</v>
      </c>
      <c r="AR100" s="82">
        <v>10000000</v>
      </c>
      <c r="AS100" s="82">
        <v>0</v>
      </c>
      <c r="AT100" s="82">
        <v>10000000</v>
      </c>
      <c r="AU100" s="82">
        <v>0</v>
      </c>
      <c r="AV100" s="82">
        <v>10000000</v>
      </c>
      <c r="AW100" s="82">
        <v>0</v>
      </c>
      <c r="AX100" s="82">
        <v>10000000</v>
      </c>
      <c r="AY100" s="82">
        <v>0</v>
      </c>
      <c r="AZ100" s="82">
        <v>10000000</v>
      </c>
      <c r="BA100" s="82">
        <v>0</v>
      </c>
      <c r="BB100" s="82">
        <v>16666667</v>
      </c>
      <c r="BC100" s="82">
        <f t="shared" ref="BC100:BD100" si="188">AE100+AG100+AI100+AK100+AM100+AO100+AQ100+AS100+AU100+AW100+AY100+BA100</f>
        <v>71814066</v>
      </c>
      <c r="BD100" s="82">
        <f t="shared" si="188"/>
        <v>71814066</v>
      </c>
      <c r="BE100" s="83">
        <f t="shared" si="1"/>
        <v>0</v>
      </c>
      <c r="BF100" s="83">
        <f t="shared" si="2"/>
        <v>0</v>
      </c>
      <c r="BG100" s="14" t="str">
        <f ca="1">IFERROR(__xludf.DUMMYFUNCTION("REGEXEXTRACT(O94,""^\S+\s(.+)$"")"),"Prestar servicios profesionales para la implementación del Modelo Gestión del Conocimiento e Innovación – Gesco+i de la Entidad, para fortalecer la adopción, seguimiento y consolidación de las actividades establecidas en la Política Institucional y la Hoj"&amp;"a de Ruta Gesco+i establecida, asegurando la articulación institucional y con el MIPG, la gestión de buenas prácticas, lecciones aprendidas y la dinamización de la cultura de conocimiento e innovación institucional.")</f>
        <v>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v>
      </c>
      <c r="BH100" s="23">
        <v>71814066</v>
      </c>
      <c r="BI100" s="23"/>
      <c r="BJ100" s="23"/>
      <c r="BK100" s="23"/>
      <c r="BL100" s="23"/>
      <c r="BM100" s="23"/>
      <c r="BN100" s="23"/>
      <c r="BO100" s="23"/>
      <c r="BP100" s="23"/>
      <c r="BQ100" s="23"/>
      <c r="BR100" s="23"/>
      <c r="BS100" s="23">
        <v>5147399</v>
      </c>
      <c r="BT100" s="23"/>
      <c r="BU100" s="23">
        <v>10000000</v>
      </c>
      <c r="BV100" s="23"/>
      <c r="BW100" s="23">
        <v>10000000</v>
      </c>
      <c r="BX100" s="23"/>
      <c r="BY100" s="23">
        <v>10000000</v>
      </c>
      <c r="BZ100" s="23"/>
      <c r="CA100" s="23">
        <v>10000000</v>
      </c>
      <c r="CB100" s="23"/>
      <c r="CC100" s="23">
        <v>10000000</v>
      </c>
      <c r="CD100" s="23"/>
      <c r="CE100" s="23">
        <v>16666667</v>
      </c>
      <c r="CF100" s="28"/>
      <c r="CG100" s="28"/>
      <c r="CH100" s="25">
        <f t="shared" ref="CH100:CI100" si="189">BH100+BJ100+BL100+BN100+BP100+BR100+BT100+BV100+BX100+BZ100+CB100+CD100+CF100</f>
        <v>71814066</v>
      </c>
      <c r="CI100" s="25">
        <f t="shared" si="189"/>
        <v>71814066</v>
      </c>
      <c r="CJ100" s="26">
        <f t="shared" si="4"/>
        <v>0</v>
      </c>
      <c r="CK100" s="26">
        <f t="shared" si="5"/>
        <v>0</v>
      </c>
    </row>
    <row r="101" spans="1:89" ht="90" customHeight="1" x14ac:dyDescent="0.3">
      <c r="A101" s="13" t="s">
        <v>248</v>
      </c>
      <c r="B101" s="14" t="s">
        <v>8</v>
      </c>
      <c r="C101" s="15" t="s">
        <v>427</v>
      </c>
      <c r="D101" s="14" t="s">
        <v>68</v>
      </c>
      <c r="E101" s="13" t="s">
        <v>250</v>
      </c>
      <c r="F101" s="13" t="s">
        <v>250</v>
      </c>
      <c r="G101" s="14">
        <v>68</v>
      </c>
      <c r="H101" s="13" t="s">
        <v>485</v>
      </c>
      <c r="I101" s="15" t="s">
        <v>479</v>
      </c>
      <c r="J101" s="14" t="s">
        <v>4</v>
      </c>
      <c r="K101" s="15" t="s">
        <v>106</v>
      </c>
      <c r="L101" s="14">
        <v>80111620</v>
      </c>
      <c r="M101" s="14" t="s">
        <v>11</v>
      </c>
      <c r="N101" s="14" t="s">
        <v>253</v>
      </c>
      <c r="O101" s="15" t="s">
        <v>486</v>
      </c>
      <c r="P101" s="14" t="s">
        <v>255</v>
      </c>
      <c r="Q101" s="14" t="s">
        <v>255</v>
      </c>
      <c r="R101" s="14" t="s">
        <v>255</v>
      </c>
      <c r="S101" s="17">
        <v>330</v>
      </c>
      <c r="T101" s="14" t="s">
        <v>431</v>
      </c>
      <c r="U101" s="14" t="s">
        <v>257</v>
      </c>
      <c r="V101" s="14" t="s">
        <v>113</v>
      </c>
      <c r="W101" s="18">
        <v>36139950</v>
      </c>
      <c r="X101" s="18">
        <v>36139950</v>
      </c>
      <c r="Y101" s="19" t="s">
        <v>339</v>
      </c>
      <c r="Z101" s="19" t="s">
        <v>258</v>
      </c>
      <c r="AA101" s="19" t="s">
        <v>432</v>
      </c>
      <c r="AB101" s="14" t="s">
        <v>433</v>
      </c>
      <c r="AC101" s="14">
        <v>6012220601</v>
      </c>
      <c r="AD101" s="14" t="s">
        <v>434</v>
      </c>
      <c r="AE101" s="82">
        <v>0</v>
      </c>
      <c r="AF101" s="82">
        <v>0</v>
      </c>
      <c r="AG101" s="82">
        <v>36139950</v>
      </c>
      <c r="AH101" s="82">
        <v>0</v>
      </c>
      <c r="AI101" s="82">
        <v>0</v>
      </c>
      <c r="AJ101" s="82">
        <v>1095150</v>
      </c>
      <c r="AK101" s="82">
        <v>0</v>
      </c>
      <c r="AL101" s="82">
        <v>3285450</v>
      </c>
      <c r="AM101" s="82">
        <v>0</v>
      </c>
      <c r="AN101" s="82">
        <v>3285450</v>
      </c>
      <c r="AO101" s="82">
        <v>0</v>
      </c>
      <c r="AP101" s="82">
        <v>3285450</v>
      </c>
      <c r="AQ101" s="82">
        <v>0</v>
      </c>
      <c r="AR101" s="82">
        <v>3285450</v>
      </c>
      <c r="AS101" s="82">
        <v>0</v>
      </c>
      <c r="AT101" s="82">
        <v>3285450</v>
      </c>
      <c r="AU101" s="82">
        <v>0</v>
      </c>
      <c r="AV101" s="82">
        <v>3285450</v>
      </c>
      <c r="AW101" s="82">
        <v>0</v>
      </c>
      <c r="AX101" s="82">
        <v>3285450</v>
      </c>
      <c r="AY101" s="82">
        <v>0</v>
      </c>
      <c r="AZ101" s="82">
        <v>3285450</v>
      </c>
      <c r="BA101" s="82">
        <v>0</v>
      </c>
      <c r="BB101" s="82">
        <v>8761200</v>
      </c>
      <c r="BC101" s="82">
        <f t="shared" ref="BC101:BD101" si="190">AE101+AG101+AI101+AK101+AM101+AO101+AQ101+AS101+AU101+AW101+AY101+BA101</f>
        <v>36139950</v>
      </c>
      <c r="BD101" s="82">
        <f t="shared" si="190"/>
        <v>36139950</v>
      </c>
      <c r="BE101" s="83">
        <f t="shared" si="1"/>
        <v>0</v>
      </c>
      <c r="BF101" s="83">
        <f t="shared" si="2"/>
        <v>0</v>
      </c>
      <c r="BG101" s="14" t="str">
        <f ca="1">IFERROR(__xludf.DUMMYFUNCTION("REGEXEXTRACT(O95,""^\S+\s(.+)$"")"),"Prestar servicios profesionales para apoyar el fortalecimiento técnico, metodológico y operativo de las actividades establecidas en Política y Modelo de Gestión del Conocimiento e Innovación (Gesco+i) en el marco de la implementación del Modelo Integrado "&amp;"de Planeación y Gestión – MIPG en la Unidad de Planeación Minero Energética – UPME.")</f>
        <v>Prestar servicios profesionales para apoyar el fortalecimiento técnico, metodológico y operativo de las actividades establecidas en Política y Modelo de Gestión del Conocimiento e Innovación (Gesco+i) en el marco de la implementación del Modelo Integrado de Planeación y Gestión – MIPG en la Unidad de Planeación Minero Energética – UPME.</v>
      </c>
      <c r="BH101" s="23"/>
      <c r="BI101" s="23"/>
      <c r="BJ101" s="23">
        <v>36139950</v>
      </c>
      <c r="BK101" s="23"/>
      <c r="BL101" s="23"/>
      <c r="BM101" s="23">
        <v>1095150</v>
      </c>
      <c r="BN101" s="23"/>
      <c r="BO101" s="23">
        <v>3285450</v>
      </c>
      <c r="BP101" s="23"/>
      <c r="BQ101" s="23">
        <v>3285450</v>
      </c>
      <c r="BR101" s="23"/>
      <c r="BS101" s="23">
        <v>3285450</v>
      </c>
      <c r="BT101" s="23"/>
      <c r="BU101" s="23">
        <v>3285450</v>
      </c>
      <c r="BV101" s="23"/>
      <c r="BW101" s="23">
        <v>3285450</v>
      </c>
      <c r="BX101" s="23"/>
      <c r="BY101" s="23">
        <v>3285450</v>
      </c>
      <c r="BZ101" s="23"/>
      <c r="CA101" s="23">
        <v>3285450</v>
      </c>
      <c r="CB101" s="23"/>
      <c r="CC101" s="23">
        <v>3285450</v>
      </c>
      <c r="CD101" s="23"/>
      <c r="CE101" s="23">
        <v>8761200</v>
      </c>
      <c r="CF101" s="28"/>
      <c r="CG101" s="28"/>
      <c r="CH101" s="25">
        <f t="shared" ref="CH101:CI101" si="191">BH101+BJ101+BL101+BN101+BP101+BR101+BT101+BV101+BX101+BZ101+CB101+CD101+CF101</f>
        <v>36139950</v>
      </c>
      <c r="CI101" s="25">
        <f t="shared" si="191"/>
        <v>36139950</v>
      </c>
      <c r="CJ101" s="26">
        <f t="shared" si="4"/>
        <v>0</v>
      </c>
      <c r="CK101" s="26">
        <f t="shared" si="5"/>
        <v>0</v>
      </c>
    </row>
    <row r="102" spans="1:89" ht="90" customHeight="1" x14ac:dyDescent="0.3">
      <c r="A102" s="13" t="s">
        <v>248</v>
      </c>
      <c r="B102" s="14" t="s">
        <v>8</v>
      </c>
      <c r="C102" s="15" t="s">
        <v>427</v>
      </c>
      <c r="D102" s="14" t="s">
        <v>68</v>
      </c>
      <c r="E102" s="13" t="s">
        <v>250</v>
      </c>
      <c r="F102" s="13" t="s">
        <v>250</v>
      </c>
      <c r="G102" s="14">
        <v>68</v>
      </c>
      <c r="H102" s="13" t="s">
        <v>487</v>
      </c>
      <c r="I102" s="15" t="s">
        <v>479</v>
      </c>
      <c r="J102" s="14" t="s">
        <v>4</v>
      </c>
      <c r="K102" s="15" t="s">
        <v>106</v>
      </c>
      <c r="L102" s="14">
        <v>80111620</v>
      </c>
      <c r="M102" s="14" t="s">
        <v>11</v>
      </c>
      <c r="N102" s="14" t="s">
        <v>253</v>
      </c>
      <c r="O102" s="15" t="s">
        <v>488</v>
      </c>
      <c r="P102" s="14" t="s">
        <v>255</v>
      </c>
      <c r="Q102" s="14" t="s">
        <v>255</v>
      </c>
      <c r="R102" s="14" t="s">
        <v>255</v>
      </c>
      <c r="S102" s="17">
        <v>330</v>
      </c>
      <c r="T102" s="14" t="s">
        <v>431</v>
      </c>
      <c r="U102" s="14" t="s">
        <v>257</v>
      </c>
      <c r="V102" s="14" t="s">
        <v>113</v>
      </c>
      <c r="W102" s="18">
        <v>66000000</v>
      </c>
      <c r="X102" s="18">
        <v>66000000</v>
      </c>
      <c r="Y102" s="19" t="s">
        <v>339</v>
      </c>
      <c r="Z102" s="19" t="s">
        <v>258</v>
      </c>
      <c r="AA102" s="19" t="s">
        <v>432</v>
      </c>
      <c r="AB102" s="14" t="s">
        <v>433</v>
      </c>
      <c r="AC102" s="14">
        <v>6012220601</v>
      </c>
      <c r="AD102" s="14" t="s">
        <v>434</v>
      </c>
      <c r="AE102" s="82">
        <v>66000000</v>
      </c>
      <c r="AF102" s="82">
        <v>0</v>
      </c>
      <c r="AG102" s="82">
        <v>0</v>
      </c>
      <c r="AH102" s="82">
        <v>0</v>
      </c>
      <c r="AI102" s="82">
        <v>0</v>
      </c>
      <c r="AJ102" s="82">
        <v>6000000</v>
      </c>
      <c r="AK102" s="82">
        <v>0</v>
      </c>
      <c r="AL102" s="82">
        <v>6000000</v>
      </c>
      <c r="AM102" s="82">
        <v>0</v>
      </c>
      <c r="AN102" s="82">
        <v>6000000</v>
      </c>
      <c r="AO102" s="82">
        <v>0</v>
      </c>
      <c r="AP102" s="82">
        <v>6000000</v>
      </c>
      <c r="AQ102" s="82">
        <v>0</v>
      </c>
      <c r="AR102" s="82">
        <v>6000000</v>
      </c>
      <c r="AS102" s="82">
        <v>0</v>
      </c>
      <c r="AT102" s="82">
        <v>6000000</v>
      </c>
      <c r="AU102" s="82">
        <v>0</v>
      </c>
      <c r="AV102" s="82">
        <v>6000000</v>
      </c>
      <c r="AW102" s="82">
        <v>0</v>
      </c>
      <c r="AX102" s="82">
        <v>6000000</v>
      </c>
      <c r="AY102" s="82">
        <v>0</v>
      </c>
      <c r="AZ102" s="82">
        <v>6000000</v>
      </c>
      <c r="BA102" s="82">
        <v>0</v>
      </c>
      <c r="BB102" s="82">
        <v>12000000</v>
      </c>
      <c r="BC102" s="82">
        <f t="shared" ref="BC102:BD102" si="192">AE102+AG102+AI102+AK102+AM102+AO102+AQ102+AS102+AU102+AW102+AY102+BA102</f>
        <v>66000000</v>
      </c>
      <c r="BD102" s="82">
        <f t="shared" si="192"/>
        <v>66000000</v>
      </c>
      <c r="BE102" s="83">
        <f t="shared" si="1"/>
        <v>0</v>
      </c>
      <c r="BF102" s="83">
        <f t="shared" si="2"/>
        <v>0</v>
      </c>
      <c r="BG102" s="14" t="str">
        <f ca="1">IFERROR(__xludf.DUMMYFUNCTION("REGEXEXTRACT(O96,""^\S+\s(.+)$"")"),"Prestar servicios profesionales para realizar el análisis, procesamiento y visualización de datos relacionados con la ejecución presupuestal de los proyectos de inversión, el Sistema de Gestión Institucional, los planes institucionales y las políticas del"&amp;" Modelo Integrado de Planeación y Gestión (MIPG) de la Unidad de Planeación Minero Energética, mediante la construcción y actualización de tableros de control e insumos que apoyen la toma de decisiones.")</f>
        <v>Prestar servicios profesionales para realizar el análisis, procesamiento y visualización de datos relacionados con la ejecución presupuestal de los proyectos de inversión, el Sistema de Gestión Institucional, los planes institucionales y las políticas del Modelo Integrado de Planeación y Gestión (MIPG) de la Unidad de Planeación Minero Energética, mediante la construcción y actualización de tableros de control e insumos que apoyen la toma de decisiones.</v>
      </c>
      <c r="BH102" s="23">
        <v>66000000</v>
      </c>
      <c r="BI102" s="23"/>
      <c r="BJ102" s="23"/>
      <c r="BK102" s="23"/>
      <c r="BL102" s="23"/>
      <c r="BM102" s="23">
        <v>6000000</v>
      </c>
      <c r="BN102" s="23"/>
      <c r="BO102" s="23">
        <v>6000000</v>
      </c>
      <c r="BP102" s="23"/>
      <c r="BQ102" s="23">
        <v>6000000</v>
      </c>
      <c r="BR102" s="23"/>
      <c r="BS102" s="23">
        <v>6000000</v>
      </c>
      <c r="BT102" s="23"/>
      <c r="BU102" s="23">
        <v>6000000</v>
      </c>
      <c r="BV102" s="23"/>
      <c r="BW102" s="23">
        <v>6000000</v>
      </c>
      <c r="BX102" s="23"/>
      <c r="BY102" s="23">
        <v>6000000</v>
      </c>
      <c r="BZ102" s="23"/>
      <c r="CA102" s="23">
        <v>6000000</v>
      </c>
      <c r="CB102" s="23"/>
      <c r="CC102" s="23">
        <v>6000000</v>
      </c>
      <c r="CD102" s="23"/>
      <c r="CE102" s="23">
        <v>12000000</v>
      </c>
      <c r="CF102" s="28"/>
      <c r="CG102" s="28"/>
      <c r="CH102" s="25">
        <f t="shared" ref="CH102:CI102" si="193">BH102+BJ102+BL102+BN102+BP102+BR102+BT102+BV102+BX102+BZ102+CB102+CD102+CF102</f>
        <v>66000000</v>
      </c>
      <c r="CI102" s="25">
        <f t="shared" si="193"/>
        <v>66000000</v>
      </c>
      <c r="CJ102" s="26">
        <f t="shared" si="4"/>
        <v>0</v>
      </c>
      <c r="CK102" s="26">
        <f t="shared" si="5"/>
        <v>0</v>
      </c>
    </row>
    <row r="103" spans="1:89" ht="90" customHeight="1" x14ac:dyDescent="0.3">
      <c r="A103" s="13" t="s">
        <v>248</v>
      </c>
      <c r="B103" s="14" t="s">
        <v>8</v>
      </c>
      <c r="C103" s="15" t="s">
        <v>427</v>
      </c>
      <c r="D103" s="14" t="s">
        <v>68</v>
      </c>
      <c r="E103" s="13" t="s">
        <v>250</v>
      </c>
      <c r="F103" s="13" t="s">
        <v>250</v>
      </c>
      <c r="G103" s="14">
        <v>68</v>
      </c>
      <c r="H103" s="13" t="s">
        <v>489</v>
      </c>
      <c r="I103" s="15" t="s">
        <v>479</v>
      </c>
      <c r="J103" s="14" t="s">
        <v>4</v>
      </c>
      <c r="K103" s="15" t="s">
        <v>106</v>
      </c>
      <c r="L103" s="14">
        <v>80111620</v>
      </c>
      <c r="M103" s="14" t="s">
        <v>11</v>
      </c>
      <c r="N103" s="14" t="s">
        <v>253</v>
      </c>
      <c r="O103" s="15" t="s">
        <v>490</v>
      </c>
      <c r="P103" s="14" t="s">
        <v>255</v>
      </c>
      <c r="Q103" s="14" t="s">
        <v>255</v>
      </c>
      <c r="R103" s="14" t="s">
        <v>255</v>
      </c>
      <c r="S103" s="17">
        <v>330</v>
      </c>
      <c r="T103" s="14" t="s">
        <v>431</v>
      </c>
      <c r="U103" s="14" t="s">
        <v>257</v>
      </c>
      <c r="V103" s="14" t="s">
        <v>113</v>
      </c>
      <c r="W103" s="18">
        <v>38500000</v>
      </c>
      <c r="X103" s="18">
        <v>38500000</v>
      </c>
      <c r="Y103" s="19" t="s">
        <v>339</v>
      </c>
      <c r="Z103" s="19" t="s">
        <v>258</v>
      </c>
      <c r="AA103" s="19" t="s">
        <v>432</v>
      </c>
      <c r="AB103" s="14" t="s">
        <v>433</v>
      </c>
      <c r="AC103" s="14">
        <v>6012220601</v>
      </c>
      <c r="AD103" s="14" t="s">
        <v>434</v>
      </c>
      <c r="AE103" s="82">
        <v>0</v>
      </c>
      <c r="AF103" s="82">
        <v>0</v>
      </c>
      <c r="AG103" s="82">
        <v>38500000</v>
      </c>
      <c r="AH103" s="82">
        <v>0</v>
      </c>
      <c r="AI103" s="82">
        <v>0</v>
      </c>
      <c r="AJ103" s="82">
        <v>3500000</v>
      </c>
      <c r="AK103" s="82">
        <v>0</v>
      </c>
      <c r="AL103" s="82">
        <v>3500000</v>
      </c>
      <c r="AM103" s="82">
        <v>0</v>
      </c>
      <c r="AN103" s="82">
        <v>3500000</v>
      </c>
      <c r="AO103" s="82">
        <v>0</v>
      </c>
      <c r="AP103" s="82">
        <v>3500000</v>
      </c>
      <c r="AQ103" s="82">
        <v>0</v>
      </c>
      <c r="AR103" s="82">
        <v>3500000</v>
      </c>
      <c r="AS103" s="82">
        <v>0</v>
      </c>
      <c r="AT103" s="82">
        <v>3500000</v>
      </c>
      <c r="AU103" s="82">
        <v>0</v>
      </c>
      <c r="AV103" s="82">
        <v>3500000</v>
      </c>
      <c r="AW103" s="82">
        <v>0</v>
      </c>
      <c r="AX103" s="82">
        <v>3500000</v>
      </c>
      <c r="AY103" s="82">
        <v>0</v>
      </c>
      <c r="AZ103" s="82">
        <v>3500000</v>
      </c>
      <c r="BA103" s="82">
        <v>0</v>
      </c>
      <c r="BB103" s="82">
        <v>7000000</v>
      </c>
      <c r="BC103" s="82">
        <f t="shared" ref="BC103:BD103" si="194">AE103+AG103+AI103+AK103+AM103+AO103+AQ103+AS103+AU103+AW103+AY103+BA103</f>
        <v>38500000</v>
      </c>
      <c r="BD103" s="82">
        <f t="shared" si="194"/>
        <v>38500000</v>
      </c>
      <c r="BE103" s="83">
        <f t="shared" si="1"/>
        <v>0</v>
      </c>
      <c r="BF103" s="83">
        <f t="shared" si="2"/>
        <v>0</v>
      </c>
      <c r="BG103" s="14" t="str">
        <f ca="1">IFERROR(__xludf.DUMMYFUNCTION("REGEXEXTRACT(O97,""^\S+\s(.+)$"")"),"Prestar servicios profesionales para apoyar el diligenciamiento, administración y actualización de bases de datos institucionales, relacionadas con la ejecución presupuestal de los proyectos de inversión, el Sistema de Gestión Institucional y el seguimien"&amp;"to de las políticas del Modelo Integrado de Planeación y Gestión (MIPG) en la Unidad de Planeación Minero Energética.")</f>
        <v>Prestar servicios profesionales para apoyar el diligenciamiento, administración y actualización de bases de datos institucionales, relacionadas con la ejecución presupuestal de los proyectos de inversión, el Sistema de Gestión Institucional y el seguimiento de las políticas del Modelo Integrado de Planeación y Gestión (MIPG) en la Unidad de Planeación Minero Energética.</v>
      </c>
      <c r="BH103" s="23"/>
      <c r="BI103" s="23"/>
      <c r="BJ103" s="23">
        <v>38500000</v>
      </c>
      <c r="BK103" s="23"/>
      <c r="BL103" s="23"/>
      <c r="BM103" s="23">
        <v>3500000</v>
      </c>
      <c r="BN103" s="23"/>
      <c r="BO103" s="23">
        <v>3500000</v>
      </c>
      <c r="BP103" s="23"/>
      <c r="BQ103" s="23">
        <v>3500000</v>
      </c>
      <c r="BR103" s="23"/>
      <c r="BS103" s="23">
        <v>3500000</v>
      </c>
      <c r="BT103" s="23"/>
      <c r="BU103" s="23">
        <v>3500000</v>
      </c>
      <c r="BV103" s="23"/>
      <c r="BW103" s="23">
        <v>3500000</v>
      </c>
      <c r="BX103" s="23"/>
      <c r="BY103" s="23">
        <v>3500000</v>
      </c>
      <c r="BZ103" s="23"/>
      <c r="CA103" s="23">
        <v>3500000</v>
      </c>
      <c r="CB103" s="23"/>
      <c r="CC103" s="23">
        <v>3500000</v>
      </c>
      <c r="CD103" s="23"/>
      <c r="CE103" s="23">
        <v>7000000</v>
      </c>
      <c r="CF103" s="28"/>
      <c r="CG103" s="28"/>
      <c r="CH103" s="25">
        <f t="shared" ref="CH103:CI103" si="195">BH103+BJ103+BL103+BN103+BP103+BR103+BT103+BV103+BX103+BZ103+CB103+CD103+CF103</f>
        <v>38500000</v>
      </c>
      <c r="CI103" s="25">
        <f t="shared" si="195"/>
        <v>38500000</v>
      </c>
      <c r="CJ103" s="26">
        <f t="shared" si="4"/>
        <v>0</v>
      </c>
      <c r="CK103" s="26">
        <f t="shared" si="5"/>
        <v>0</v>
      </c>
    </row>
    <row r="104" spans="1:89" ht="90" customHeight="1" x14ac:dyDescent="0.3">
      <c r="A104" s="13" t="s">
        <v>248</v>
      </c>
      <c r="B104" s="14" t="s">
        <v>8</v>
      </c>
      <c r="C104" s="15" t="s">
        <v>427</v>
      </c>
      <c r="D104" s="14" t="s">
        <v>68</v>
      </c>
      <c r="E104" s="13" t="s">
        <v>250</v>
      </c>
      <c r="F104" s="13" t="s">
        <v>250</v>
      </c>
      <c r="G104" s="14">
        <v>68</v>
      </c>
      <c r="H104" s="13" t="s">
        <v>491</v>
      </c>
      <c r="I104" s="15" t="s">
        <v>479</v>
      </c>
      <c r="J104" s="14" t="s">
        <v>4</v>
      </c>
      <c r="K104" s="15" t="s">
        <v>106</v>
      </c>
      <c r="L104" s="14">
        <v>80111620</v>
      </c>
      <c r="M104" s="14" t="s">
        <v>11</v>
      </c>
      <c r="N104" s="14" t="s">
        <v>253</v>
      </c>
      <c r="O104" s="15" t="s">
        <v>492</v>
      </c>
      <c r="P104" s="14" t="s">
        <v>255</v>
      </c>
      <c r="Q104" s="14" t="s">
        <v>255</v>
      </c>
      <c r="R104" s="14" t="s">
        <v>255</v>
      </c>
      <c r="S104" s="17">
        <v>330</v>
      </c>
      <c r="T104" s="14" t="s">
        <v>431</v>
      </c>
      <c r="U104" s="14" t="s">
        <v>257</v>
      </c>
      <c r="V104" s="14" t="s">
        <v>113</v>
      </c>
      <c r="W104" s="18">
        <v>31726335</v>
      </c>
      <c r="X104" s="18">
        <v>31726335</v>
      </c>
      <c r="Y104" s="19" t="s">
        <v>339</v>
      </c>
      <c r="Z104" s="19" t="s">
        <v>258</v>
      </c>
      <c r="AA104" s="19" t="s">
        <v>432</v>
      </c>
      <c r="AB104" s="14" t="s">
        <v>433</v>
      </c>
      <c r="AC104" s="14">
        <v>6012220601</v>
      </c>
      <c r="AD104" s="14" t="s">
        <v>434</v>
      </c>
      <c r="AE104" s="82">
        <v>31726335</v>
      </c>
      <c r="AF104" s="82">
        <v>0</v>
      </c>
      <c r="AG104" s="82">
        <v>0</v>
      </c>
      <c r="AH104" s="82">
        <v>0</v>
      </c>
      <c r="AI104" s="82">
        <v>0</v>
      </c>
      <c r="AJ104" s="82">
        <v>0</v>
      </c>
      <c r="AK104" s="82">
        <v>0</v>
      </c>
      <c r="AL104" s="82">
        <v>0</v>
      </c>
      <c r="AM104" s="82">
        <v>0</v>
      </c>
      <c r="AN104" s="82">
        <v>0</v>
      </c>
      <c r="AO104" s="82">
        <v>0</v>
      </c>
      <c r="AP104" s="82">
        <v>0</v>
      </c>
      <c r="AQ104" s="82">
        <v>0</v>
      </c>
      <c r="AR104" s="82">
        <v>0</v>
      </c>
      <c r="AS104" s="82">
        <v>0</v>
      </c>
      <c r="AT104" s="82">
        <v>1726335</v>
      </c>
      <c r="AU104" s="82">
        <v>0</v>
      </c>
      <c r="AV104" s="82">
        <v>6000000</v>
      </c>
      <c r="AW104" s="82">
        <v>0</v>
      </c>
      <c r="AX104" s="82">
        <v>6000000</v>
      </c>
      <c r="AY104" s="82">
        <v>0</v>
      </c>
      <c r="AZ104" s="82">
        <v>6000000</v>
      </c>
      <c r="BA104" s="82">
        <v>0</v>
      </c>
      <c r="BB104" s="82">
        <v>12000000</v>
      </c>
      <c r="BC104" s="82">
        <f t="shared" ref="BC104:BD104" si="196">AE104+AG104+AI104+AK104+AM104+AO104+AQ104+AS104+AU104+AW104+AY104+BA104</f>
        <v>31726335</v>
      </c>
      <c r="BD104" s="82">
        <f t="shared" si="196"/>
        <v>31726335</v>
      </c>
      <c r="BE104" s="83">
        <f t="shared" si="1"/>
        <v>0</v>
      </c>
      <c r="BF104" s="83">
        <f t="shared" si="2"/>
        <v>0</v>
      </c>
      <c r="BG104" s="14" t="str">
        <f ca="1">IFERROR(__xludf.DUMMYFUNCTION("REGEXEXTRACT(O98,""^\S+\s(.+)$"")"),"Prestar servicios profesionales para la implementación, seguimiento y reporte de las políticas de gestión y desempeño institucional en materia de defensa jurídica, mejora normativa y fortalecimiento del Sistema de Gestión Institucional, conforme a los lin"&amp;"eamientos del Modelo Integrado de Planeación y Gestión – MIPG.")</f>
        <v>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v>
      </c>
      <c r="BH104" s="23">
        <v>31726335</v>
      </c>
      <c r="BI104" s="23"/>
      <c r="BJ104" s="23"/>
      <c r="BK104" s="23"/>
      <c r="BL104" s="23"/>
      <c r="BM104" s="23"/>
      <c r="BN104" s="23"/>
      <c r="BO104" s="23"/>
      <c r="BP104" s="23"/>
      <c r="BQ104" s="23"/>
      <c r="BR104" s="23"/>
      <c r="BS104" s="23"/>
      <c r="BT104" s="23"/>
      <c r="BU104" s="23"/>
      <c r="BV104" s="23"/>
      <c r="BW104" s="23">
        <v>1726335</v>
      </c>
      <c r="BX104" s="23"/>
      <c r="BY104" s="23">
        <v>6000000</v>
      </c>
      <c r="BZ104" s="23"/>
      <c r="CA104" s="23">
        <v>6000000</v>
      </c>
      <c r="CB104" s="23"/>
      <c r="CC104" s="23">
        <v>6000000</v>
      </c>
      <c r="CD104" s="23"/>
      <c r="CE104" s="23">
        <v>12000000</v>
      </c>
      <c r="CF104" s="28"/>
      <c r="CG104" s="28"/>
      <c r="CH104" s="25">
        <f t="shared" ref="CH104:CI104" si="197">BH104+BJ104+BL104+BN104+BP104+BR104+BT104+BV104+BX104+BZ104+CB104+CD104+CF104</f>
        <v>31726335</v>
      </c>
      <c r="CI104" s="25">
        <f t="shared" si="197"/>
        <v>31726335</v>
      </c>
      <c r="CJ104" s="26">
        <f t="shared" si="4"/>
        <v>0</v>
      </c>
      <c r="CK104" s="26">
        <f t="shared" si="5"/>
        <v>0</v>
      </c>
    </row>
    <row r="105" spans="1:89" ht="90" customHeight="1" x14ac:dyDescent="0.3">
      <c r="A105" s="13" t="s">
        <v>248</v>
      </c>
      <c r="B105" s="14" t="s">
        <v>8</v>
      </c>
      <c r="C105" s="15" t="s">
        <v>427</v>
      </c>
      <c r="D105" s="14" t="s">
        <v>68</v>
      </c>
      <c r="E105" s="13" t="s">
        <v>250</v>
      </c>
      <c r="F105" s="13" t="s">
        <v>250</v>
      </c>
      <c r="G105" s="14">
        <v>4</v>
      </c>
      <c r="H105" s="13" t="s">
        <v>493</v>
      </c>
      <c r="I105" s="15" t="s">
        <v>479</v>
      </c>
      <c r="J105" s="14" t="s">
        <v>4</v>
      </c>
      <c r="K105" s="15" t="s">
        <v>106</v>
      </c>
      <c r="L105" s="14">
        <v>80111620</v>
      </c>
      <c r="M105" s="14" t="s">
        <v>11</v>
      </c>
      <c r="N105" s="14" t="s">
        <v>253</v>
      </c>
      <c r="O105" s="15" t="s">
        <v>494</v>
      </c>
      <c r="P105" s="14" t="s">
        <v>255</v>
      </c>
      <c r="Q105" s="14" t="s">
        <v>255</v>
      </c>
      <c r="R105" s="14" t="s">
        <v>255</v>
      </c>
      <c r="S105" s="17">
        <v>330</v>
      </c>
      <c r="T105" s="14" t="s">
        <v>431</v>
      </c>
      <c r="U105" s="14" t="s">
        <v>257</v>
      </c>
      <c r="V105" s="14" t="s">
        <v>113</v>
      </c>
      <c r="W105" s="18">
        <v>55000000</v>
      </c>
      <c r="X105" s="18">
        <v>55000000</v>
      </c>
      <c r="Y105" s="19" t="s">
        <v>339</v>
      </c>
      <c r="Z105" s="19" t="s">
        <v>258</v>
      </c>
      <c r="AA105" s="19" t="s">
        <v>432</v>
      </c>
      <c r="AB105" s="14" t="s">
        <v>433</v>
      </c>
      <c r="AC105" s="14">
        <v>6012220601</v>
      </c>
      <c r="AD105" s="33" t="s">
        <v>434</v>
      </c>
      <c r="AE105" s="82">
        <v>0</v>
      </c>
      <c r="AF105" s="82">
        <v>0</v>
      </c>
      <c r="AG105" s="82">
        <v>55000000</v>
      </c>
      <c r="AH105" s="82">
        <v>0</v>
      </c>
      <c r="AI105" s="82">
        <v>0</v>
      </c>
      <c r="AJ105" s="82">
        <v>5000000</v>
      </c>
      <c r="AK105" s="82">
        <v>0</v>
      </c>
      <c r="AL105" s="82">
        <v>5000000</v>
      </c>
      <c r="AM105" s="82">
        <v>0</v>
      </c>
      <c r="AN105" s="82">
        <v>5000000</v>
      </c>
      <c r="AO105" s="82">
        <v>0</v>
      </c>
      <c r="AP105" s="82">
        <v>5000000</v>
      </c>
      <c r="AQ105" s="82">
        <v>0</v>
      </c>
      <c r="AR105" s="82">
        <v>5000000</v>
      </c>
      <c r="AS105" s="82">
        <v>0</v>
      </c>
      <c r="AT105" s="82">
        <v>5000000</v>
      </c>
      <c r="AU105" s="82">
        <v>0</v>
      </c>
      <c r="AV105" s="82">
        <v>5000000</v>
      </c>
      <c r="AW105" s="82">
        <v>0</v>
      </c>
      <c r="AX105" s="82">
        <v>5000000</v>
      </c>
      <c r="AY105" s="82">
        <v>0</v>
      </c>
      <c r="AZ105" s="82">
        <v>5000000</v>
      </c>
      <c r="BA105" s="82">
        <v>0</v>
      </c>
      <c r="BB105" s="82">
        <v>10000000</v>
      </c>
      <c r="BC105" s="82">
        <f t="shared" ref="BC105:BD105" si="198">AE105+AG105+AI105+AK105+AM105+AO105+AQ105+AS105+AU105+AW105+AY105+BA105</f>
        <v>55000000</v>
      </c>
      <c r="BD105" s="82">
        <f t="shared" si="198"/>
        <v>55000000</v>
      </c>
      <c r="BE105" s="83">
        <f t="shared" si="1"/>
        <v>0</v>
      </c>
      <c r="BF105" s="83">
        <f t="shared" si="2"/>
        <v>0</v>
      </c>
      <c r="BG105" s="14" t="str">
        <f ca="1">IFERROR(__xludf.DUMMYFUNCTION("REGEXEXTRACT(O99,""^\S+\s(.+)$"")"),"Prestar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05" s="23"/>
      <c r="BI105" s="23"/>
      <c r="BJ105" s="23">
        <v>55000000</v>
      </c>
      <c r="BK105" s="23"/>
      <c r="BL105" s="23"/>
      <c r="BM105" s="23">
        <v>5000000</v>
      </c>
      <c r="BN105" s="23"/>
      <c r="BO105" s="23">
        <v>5000000</v>
      </c>
      <c r="BP105" s="23"/>
      <c r="BQ105" s="23">
        <v>5000000</v>
      </c>
      <c r="BR105" s="23"/>
      <c r="BS105" s="23">
        <v>5000000</v>
      </c>
      <c r="BT105" s="23"/>
      <c r="BU105" s="23">
        <v>5000000</v>
      </c>
      <c r="BV105" s="23"/>
      <c r="BW105" s="23">
        <v>5000000</v>
      </c>
      <c r="BX105" s="23"/>
      <c r="BY105" s="23">
        <v>5000000</v>
      </c>
      <c r="BZ105" s="23"/>
      <c r="CA105" s="23">
        <v>5000000</v>
      </c>
      <c r="CB105" s="23"/>
      <c r="CC105" s="23">
        <v>5000000</v>
      </c>
      <c r="CD105" s="23"/>
      <c r="CE105" s="23">
        <v>10000000</v>
      </c>
      <c r="CF105" s="28"/>
      <c r="CG105" s="28"/>
      <c r="CH105" s="25">
        <f t="shared" ref="CH105:CI105" si="199">BH105+BJ105+BL105+BN105+BP105+BR105+BT105+BV105+BX105+BZ105+CB105+CD105+CF105</f>
        <v>55000000</v>
      </c>
      <c r="CI105" s="25">
        <f t="shared" si="199"/>
        <v>55000000</v>
      </c>
      <c r="CJ105" s="26">
        <f t="shared" si="4"/>
        <v>0</v>
      </c>
      <c r="CK105" s="26">
        <f t="shared" si="5"/>
        <v>0</v>
      </c>
    </row>
    <row r="106" spans="1:89" ht="90" customHeight="1" x14ac:dyDescent="0.3">
      <c r="A106" s="13" t="s">
        <v>248</v>
      </c>
      <c r="B106" s="14" t="s">
        <v>8</v>
      </c>
      <c r="C106" s="15" t="s">
        <v>427</v>
      </c>
      <c r="D106" s="14" t="s">
        <v>68</v>
      </c>
      <c r="E106" s="13" t="s">
        <v>250</v>
      </c>
      <c r="F106" s="13" t="s">
        <v>250</v>
      </c>
      <c r="G106" s="14">
        <v>68</v>
      </c>
      <c r="H106" s="13" t="s">
        <v>495</v>
      </c>
      <c r="I106" s="15" t="s">
        <v>479</v>
      </c>
      <c r="J106" s="14" t="s">
        <v>4</v>
      </c>
      <c r="K106" s="15" t="s">
        <v>106</v>
      </c>
      <c r="L106" s="14">
        <v>80111620</v>
      </c>
      <c r="M106" s="14" t="s">
        <v>11</v>
      </c>
      <c r="N106" s="14" t="s">
        <v>253</v>
      </c>
      <c r="O106" s="15" t="s">
        <v>496</v>
      </c>
      <c r="P106" s="14" t="s">
        <v>255</v>
      </c>
      <c r="Q106" s="14" t="s">
        <v>255</v>
      </c>
      <c r="R106" s="14" t="s">
        <v>255</v>
      </c>
      <c r="S106" s="17">
        <v>330</v>
      </c>
      <c r="T106" s="14" t="s">
        <v>431</v>
      </c>
      <c r="U106" s="14" t="s">
        <v>257</v>
      </c>
      <c r="V106" s="14" t="s">
        <v>113</v>
      </c>
      <c r="W106" s="18">
        <v>44000000</v>
      </c>
      <c r="X106" s="18">
        <v>44000000</v>
      </c>
      <c r="Y106" s="19" t="s">
        <v>339</v>
      </c>
      <c r="Z106" s="19" t="s">
        <v>258</v>
      </c>
      <c r="AA106" s="19" t="s">
        <v>432</v>
      </c>
      <c r="AB106" s="14" t="s">
        <v>433</v>
      </c>
      <c r="AC106" s="14">
        <v>6012220601</v>
      </c>
      <c r="AD106" s="33" t="s">
        <v>434</v>
      </c>
      <c r="AE106" s="82">
        <v>0</v>
      </c>
      <c r="AF106" s="82">
        <v>0</v>
      </c>
      <c r="AG106" s="82">
        <v>44000000</v>
      </c>
      <c r="AH106" s="82">
        <v>0</v>
      </c>
      <c r="AI106" s="82">
        <v>0</v>
      </c>
      <c r="AJ106" s="82">
        <v>4000000</v>
      </c>
      <c r="AK106" s="82">
        <v>0</v>
      </c>
      <c r="AL106" s="82">
        <v>4000000</v>
      </c>
      <c r="AM106" s="82">
        <v>0</v>
      </c>
      <c r="AN106" s="82">
        <v>4000000</v>
      </c>
      <c r="AO106" s="82">
        <v>0</v>
      </c>
      <c r="AP106" s="82">
        <v>4000000</v>
      </c>
      <c r="AQ106" s="82">
        <v>0</v>
      </c>
      <c r="AR106" s="82">
        <v>4000000</v>
      </c>
      <c r="AS106" s="82">
        <v>0</v>
      </c>
      <c r="AT106" s="82">
        <v>4000000</v>
      </c>
      <c r="AU106" s="82">
        <v>0</v>
      </c>
      <c r="AV106" s="82">
        <v>4000000</v>
      </c>
      <c r="AW106" s="82">
        <v>0</v>
      </c>
      <c r="AX106" s="82">
        <v>4000000</v>
      </c>
      <c r="AY106" s="82">
        <v>0</v>
      </c>
      <c r="AZ106" s="82">
        <v>4000000</v>
      </c>
      <c r="BA106" s="82">
        <v>0</v>
      </c>
      <c r="BB106" s="82">
        <v>8000000</v>
      </c>
      <c r="BC106" s="82">
        <f t="shared" ref="BC106:BD106" si="200">AE106+AG106+AI106+AK106+AM106+AO106+AQ106+AS106+AU106+AW106+AY106+BA106</f>
        <v>44000000</v>
      </c>
      <c r="BD106" s="82">
        <f t="shared" si="200"/>
        <v>44000000</v>
      </c>
      <c r="BE106" s="83">
        <f t="shared" si="1"/>
        <v>0</v>
      </c>
      <c r="BF106" s="83">
        <f t="shared" si="2"/>
        <v>0</v>
      </c>
      <c r="BG106" s="14" t="str">
        <f ca="1">IFERROR(__xludf.DUMMYFUNCTION("REGEXEXTRACT(O100,""^\S+\s(.+)$"")"),"Prestar servicios profesionales para el seguimiento como segunda línea de defensa de la política de Seguridad y Salud en el Trabajo, así como, articular las diferentes áreas de la entidad para la elaboración y actualización del Plan de Continuidad del Neg"&amp;"ocio.")</f>
        <v>Prestar servicios profesionales para el seguimiento como segunda línea de defensa de la política de Seguridad y Salud en el Trabajo, así como, articular las diferentes áreas de la entidad para la elaboración y actualización del Plan de Continuidad del Negocio.</v>
      </c>
      <c r="BH106" s="23"/>
      <c r="BI106" s="23"/>
      <c r="BJ106" s="23">
        <v>44000000</v>
      </c>
      <c r="BK106" s="23"/>
      <c r="BL106" s="23"/>
      <c r="BM106" s="23">
        <v>4000000</v>
      </c>
      <c r="BN106" s="23"/>
      <c r="BO106" s="23">
        <v>4000000</v>
      </c>
      <c r="BP106" s="23"/>
      <c r="BQ106" s="23">
        <v>4000000</v>
      </c>
      <c r="BR106" s="23"/>
      <c r="BS106" s="23">
        <v>4000000</v>
      </c>
      <c r="BT106" s="23"/>
      <c r="BU106" s="23">
        <v>4000000</v>
      </c>
      <c r="BV106" s="23"/>
      <c r="BW106" s="23">
        <v>4000000</v>
      </c>
      <c r="BX106" s="23"/>
      <c r="BY106" s="23">
        <v>4000000</v>
      </c>
      <c r="BZ106" s="23"/>
      <c r="CA106" s="23">
        <v>4000000</v>
      </c>
      <c r="CB106" s="23"/>
      <c r="CC106" s="23">
        <v>4000000</v>
      </c>
      <c r="CD106" s="23"/>
      <c r="CE106" s="23">
        <v>8000000</v>
      </c>
      <c r="CF106" s="28"/>
      <c r="CG106" s="28"/>
      <c r="CH106" s="25">
        <f t="shared" ref="CH106:CI106" si="201">BH106+BJ106+BL106+BN106+BP106+BR106+BT106+BV106+BX106+BZ106+CB106+CD106+CF106</f>
        <v>44000000</v>
      </c>
      <c r="CI106" s="25">
        <f t="shared" si="201"/>
        <v>44000000</v>
      </c>
      <c r="CJ106" s="26">
        <f t="shared" si="4"/>
        <v>0</v>
      </c>
      <c r="CK106" s="26">
        <f t="shared" si="5"/>
        <v>0</v>
      </c>
    </row>
    <row r="107" spans="1:89" ht="90" customHeight="1" x14ac:dyDescent="0.3">
      <c r="A107" s="13" t="s">
        <v>248</v>
      </c>
      <c r="B107" s="14" t="s">
        <v>8</v>
      </c>
      <c r="C107" s="15" t="s">
        <v>427</v>
      </c>
      <c r="D107" s="14" t="s">
        <v>68</v>
      </c>
      <c r="E107" s="13" t="s">
        <v>250</v>
      </c>
      <c r="F107" s="13" t="s">
        <v>250</v>
      </c>
      <c r="G107" s="14">
        <v>68</v>
      </c>
      <c r="H107" s="13" t="s">
        <v>497</v>
      </c>
      <c r="I107" s="15" t="s">
        <v>479</v>
      </c>
      <c r="J107" s="14" t="s">
        <v>4</v>
      </c>
      <c r="K107" s="15" t="s">
        <v>106</v>
      </c>
      <c r="L107" s="14">
        <v>84111603</v>
      </c>
      <c r="M107" s="14" t="s">
        <v>11</v>
      </c>
      <c r="N107" s="14" t="s">
        <v>471</v>
      </c>
      <c r="O107" s="15" t="s">
        <v>498</v>
      </c>
      <c r="P107" s="14" t="s">
        <v>281</v>
      </c>
      <c r="Q107" s="14" t="s">
        <v>281</v>
      </c>
      <c r="R107" s="14" t="s">
        <v>477</v>
      </c>
      <c r="S107" s="17">
        <v>1</v>
      </c>
      <c r="T107" s="14" t="s">
        <v>256</v>
      </c>
      <c r="U107" s="14" t="s">
        <v>474</v>
      </c>
      <c r="V107" s="14" t="s">
        <v>113</v>
      </c>
      <c r="W107" s="18">
        <v>1000000</v>
      </c>
      <c r="X107" s="18">
        <v>1000000</v>
      </c>
      <c r="Y107" s="19" t="s">
        <v>339</v>
      </c>
      <c r="Z107" s="19" t="s">
        <v>258</v>
      </c>
      <c r="AA107" s="19" t="s">
        <v>432</v>
      </c>
      <c r="AB107" s="14" t="s">
        <v>433</v>
      </c>
      <c r="AC107" s="14">
        <v>6012220601</v>
      </c>
      <c r="AD107" s="33" t="s">
        <v>434</v>
      </c>
      <c r="AE107" s="82">
        <v>0</v>
      </c>
      <c r="AF107" s="82">
        <v>0</v>
      </c>
      <c r="AG107" s="82">
        <v>0</v>
      </c>
      <c r="AH107" s="82">
        <v>0</v>
      </c>
      <c r="AI107" s="82">
        <v>0</v>
      </c>
      <c r="AJ107" s="82">
        <v>0</v>
      </c>
      <c r="AK107" s="82">
        <v>0</v>
      </c>
      <c r="AL107" s="82">
        <v>0</v>
      </c>
      <c r="AM107" s="82">
        <v>0</v>
      </c>
      <c r="AN107" s="82">
        <v>0</v>
      </c>
      <c r="AO107" s="82">
        <v>1000000</v>
      </c>
      <c r="AP107" s="82">
        <v>0</v>
      </c>
      <c r="AQ107" s="82">
        <v>0</v>
      </c>
      <c r="AR107" s="82">
        <v>0</v>
      </c>
      <c r="AS107" s="82">
        <v>0</v>
      </c>
      <c r="AT107" s="82">
        <v>0</v>
      </c>
      <c r="AU107" s="82">
        <v>0</v>
      </c>
      <c r="AV107" s="82">
        <v>1000000</v>
      </c>
      <c r="AW107" s="82">
        <v>0</v>
      </c>
      <c r="AX107" s="82">
        <v>0</v>
      </c>
      <c r="AY107" s="82">
        <v>0</v>
      </c>
      <c r="AZ107" s="82">
        <v>0</v>
      </c>
      <c r="BA107" s="82">
        <v>0</v>
      </c>
      <c r="BB107" s="82">
        <v>0</v>
      </c>
      <c r="BC107" s="82">
        <f t="shared" ref="BC107:BD107" si="202">AE107+AG107+AI107+AK107+AM107+AO107+AQ107+AS107+AU107+AW107+AY107+BA107</f>
        <v>1000000</v>
      </c>
      <c r="BD107" s="82">
        <f t="shared" si="202"/>
        <v>1000000</v>
      </c>
      <c r="BE107" s="83">
        <f t="shared" si="1"/>
        <v>0</v>
      </c>
      <c r="BF107" s="83">
        <f t="shared" si="2"/>
        <v>0</v>
      </c>
      <c r="BG107" s="14" t="str">
        <f ca="1">IFERROR(__xludf.DUMMYFUNCTION("REGEXEXTRACT(O101,""^\S+\s(.+)$"")"),"Realizar la auditoría de certificación del Sistema de Gestión Institucional bajo la NTC ISO 9001:2015 en la UPME.")</f>
        <v>Realizar la auditoría de certificación del Sistema de Gestión Institucional bajo la NTC ISO 9001:2015 en la UPME.</v>
      </c>
      <c r="BH107" s="23"/>
      <c r="BI107" s="23"/>
      <c r="BJ107" s="23"/>
      <c r="BK107" s="23"/>
      <c r="BL107" s="23"/>
      <c r="BM107" s="23"/>
      <c r="BN107" s="23"/>
      <c r="BO107" s="23"/>
      <c r="BP107" s="23"/>
      <c r="BQ107" s="23"/>
      <c r="BR107" s="23">
        <v>1000000</v>
      </c>
      <c r="BS107" s="23"/>
      <c r="BT107" s="23"/>
      <c r="BU107" s="23"/>
      <c r="BV107" s="23"/>
      <c r="BW107" s="23"/>
      <c r="BX107" s="23"/>
      <c r="BY107" s="23">
        <v>1000000</v>
      </c>
      <c r="BZ107" s="23"/>
      <c r="CA107" s="23"/>
      <c r="CB107" s="23"/>
      <c r="CC107" s="23"/>
      <c r="CD107" s="23"/>
      <c r="CE107" s="23"/>
      <c r="CF107" s="28"/>
      <c r="CG107" s="28"/>
      <c r="CH107" s="25">
        <f t="shared" ref="CH107:CI107" si="203">BH107+BJ107+BL107+BN107+BP107+BR107+BT107+BV107+BX107+BZ107+CB107+CD107+CF107</f>
        <v>1000000</v>
      </c>
      <c r="CI107" s="25">
        <f t="shared" si="203"/>
        <v>1000000</v>
      </c>
      <c r="CJ107" s="26">
        <f t="shared" si="4"/>
        <v>0</v>
      </c>
      <c r="CK107" s="26">
        <f t="shared" si="5"/>
        <v>0</v>
      </c>
    </row>
    <row r="108" spans="1:89" ht="90" customHeight="1" x14ac:dyDescent="0.3">
      <c r="A108" s="13" t="s">
        <v>248</v>
      </c>
      <c r="B108" s="14" t="s">
        <v>8</v>
      </c>
      <c r="C108" s="15" t="s">
        <v>427</v>
      </c>
      <c r="D108" s="14" t="s">
        <v>68</v>
      </c>
      <c r="E108" s="13" t="s">
        <v>250</v>
      </c>
      <c r="F108" s="13" t="s">
        <v>250</v>
      </c>
      <c r="G108" s="14">
        <v>68</v>
      </c>
      <c r="H108" s="13" t="s">
        <v>499</v>
      </c>
      <c r="I108" s="15" t="s">
        <v>479</v>
      </c>
      <c r="J108" s="14" t="s">
        <v>4</v>
      </c>
      <c r="K108" s="15" t="s">
        <v>106</v>
      </c>
      <c r="L108" s="14">
        <v>80111620</v>
      </c>
      <c r="M108" s="14" t="s">
        <v>11</v>
      </c>
      <c r="N108" s="14" t="s">
        <v>253</v>
      </c>
      <c r="O108" s="15" t="s">
        <v>500</v>
      </c>
      <c r="P108" s="14" t="s">
        <v>255</v>
      </c>
      <c r="Q108" s="14" t="s">
        <v>255</v>
      </c>
      <c r="R108" s="14" t="s">
        <v>255</v>
      </c>
      <c r="S108" s="17">
        <v>11.5</v>
      </c>
      <c r="T108" s="14" t="s">
        <v>256</v>
      </c>
      <c r="U108" s="14" t="s">
        <v>257</v>
      </c>
      <c r="V108" s="14" t="s">
        <v>113</v>
      </c>
      <c r="W108" s="18">
        <v>61009</v>
      </c>
      <c r="X108" s="18">
        <v>61009</v>
      </c>
      <c r="Y108" s="19" t="s">
        <v>339</v>
      </c>
      <c r="Z108" s="19" t="s">
        <v>258</v>
      </c>
      <c r="AA108" s="19" t="s">
        <v>432</v>
      </c>
      <c r="AB108" s="14" t="s">
        <v>433</v>
      </c>
      <c r="AC108" s="14">
        <v>6012220601</v>
      </c>
      <c r="AD108" s="14" t="s">
        <v>434</v>
      </c>
      <c r="AE108" s="82">
        <v>0</v>
      </c>
      <c r="AF108" s="82">
        <v>0</v>
      </c>
      <c r="AG108" s="82">
        <v>61009</v>
      </c>
      <c r="AH108" s="82">
        <v>0</v>
      </c>
      <c r="AI108" s="82">
        <v>0</v>
      </c>
      <c r="AJ108" s="82">
        <v>0</v>
      </c>
      <c r="AK108" s="82">
        <v>0</v>
      </c>
      <c r="AL108" s="82">
        <v>0</v>
      </c>
      <c r="AM108" s="82">
        <v>0</v>
      </c>
      <c r="AN108" s="82">
        <v>61009</v>
      </c>
      <c r="AO108" s="82">
        <v>0</v>
      </c>
      <c r="AP108" s="82">
        <v>0</v>
      </c>
      <c r="AQ108" s="82">
        <v>0</v>
      </c>
      <c r="AR108" s="82">
        <v>0</v>
      </c>
      <c r="AS108" s="82">
        <v>0</v>
      </c>
      <c r="AT108" s="82">
        <v>0</v>
      </c>
      <c r="AU108" s="82">
        <v>0</v>
      </c>
      <c r="AV108" s="82">
        <v>0</v>
      </c>
      <c r="AW108" s="82">
        <v>0</v>
      </c>
      <c r="AX108" s="82">
        <v>0</v>
      </c>
      <c r="AY108" s="82">
        <v>0</v>
      </c>
      <c r="AZ108" s="82">
        <v>0</v>
      </c>
      <c r="BA108" s="82">
        <v>0</v>
      </c>
      <c r="BB108" s="82">
        <v>0</v>
      </c>
      <c r="BC108" s="82">
        <f t="shared" ref="BC108:BD108" si="204">AE108+AG108+AI108+AK108+AM108+AO108+AQ108+AS108+AU108+AW108+AY108+BA108</f>
        <v>61009</v>
      </c>
      <c r="BD108" s="82">
        <f t="shared" si="204"/>
        <v>61009</v>
      </c>
      <c r="BE108" s="83">
        <f t="shared" si="1"/>
        <v>0</v>
      </c>
      <c r="BF108" s="83">
        <f t="shared" si="2"/>
        <v>0</v>
      </c>
      <c r="BG108" s="14" t="str">
        <f ca="1">IFERROR(__xludf.DUMMYFUNCTION("REGEXEXTRACT(O102,""^\S+\s(.+)$"")"),"Prestar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108" s="23"/>
      <c r="BI108" s="23"/>
      <c r="BJ108" s="23">
        <v>61009</v>
      </c>
      <c r="BK108" s="23"/>
      <c r="BL108" s="23"/>
      <c r="BM108" s="23"/>
      <c r="BN108" s="23"/>
      <c r="BO108" s="23"/>
      <c r="BP108" s="23"/>
      <c r="BQ108" s="23">
        <v>61009</v>
      </c>
      <c r="BR108" s="23"/>
      <c r="BS108" s="23"/>
      <c r="BT108" s="23"/>
      <c r="BU108" s="23"/>
      <c r="BV108" s="23"/>
      <c r="BW108" s="23"/>
      <c r="BX108" s="23"/>
      <c r="BY108" s="23"/>
      <c r="BZ108" s="23"/>
      <c r="CA108" s="23"/>
      <c r="CB108" s="23"/>
      <c r="CC108" s="23"/>
      <c r="CD108" s="23"/>
      <c r="CE108" s="23"/>
      <c r="CF108" s="28"/>
      <c r="CG108" s="28"/>
      <c r="CH108" s="25">
        <f t="shared" ref="CH108:CI108" si="205">BH108+BJ108+BL108+BN108+BP108+BR108+BT108+BV108+BX108+BZ108+CB108+CD108+CF108</f>
        <v>61009</v>
      </c>
      <c r="CI108" s="25">
        <f t="shared" si="205"/>
        <v>61009</v>
      </c>
      <c r="CJ108" s="26">
        <f t="shared" si="4"/>
        <v>0</v>
      </c>
      <c r="CK108" s="26">
        <f t="shared" si="5"/>
        <v>0</v>
      </c>
    </row>
    <row r="109" spans="1:89" ht="90" customHeight="1" x14ac:dyDescent="0.3">
      <c r="A109" s="13" t="s">
        <v>248</v>
      </c>
      <c r="B109" s="14" t="s">
        <v>8</v>
      </c>
      <c r="C109" s="15" t="s">
        <v>427</v>
      </c>
      <c r="D109" s="14" t="s">
        <v>68</v>
      </c>
      <c r="E109" s="13" t="s">
        <v>250</v>
      </c>
      <c r="F109" s="13" t="s">
        <v>250</v>
      </c>
      <c r="G109" s="14">
        <v>68</v>
      </c>
      <c r="H109" s="13" t="s">
        <v>501</v>
      </c>
      <c r="I109" s="15" t="s">
        <v>479</v>
      </c>
      <c r="J109" s="14" t="s">
        <v>4</v>
      </c>
      <c r="K109" s="15" t="s">
        <v>106</v>
      </c>
      <c r="L109" s="14">
        <v>80111620</v>
      </c>
      <c r="M109" s="14" t="s">
        <v>11</v>
      </c>
      <c r="N109" s="14" t="s">
        <v>253</v>
      </c>
      <c r="O109" s="15" t="s">
        <v>502</v>
      </c>
      <c r="P109" s="14" t="s">
        <v>255</v>
      </c>
      <c r="Q109" s="14" t="s">
        <v>255</v>
      </c>
      <c r="R109" s="14" t="s">
        <v>255</v>
      </c>
      <c r="S109" s="17">
        <v>11.5</v>
      </c>
      <c r="T109" s="14" t="s">
        <v>256</v>
      </c>
      <c r="U109" s="14" t="s">
        <v>257</v>
      </c>
      <c r="V109" s="14" t="s">
        <v>113</v>
      </c>
      <c r="W109" s="18">
        <v>3075304</v>
      </c>
      <c r="X109" s="18">
        <v>3075304</v>
      </c>
      <c r="Y109" s="19" t="s">
        <v>339</v>
      </c>
      <c r="Z109" s="19" t="s">
        <v>258</v>
      </c>
      <c r="AA109" s="19" t="s">
        <v>432</v>
      </c>
      <c r="AB109" s="14" t="s">
        <v>433</v>
      </c>
      <c r="AC109" s="14">
        <v>6012220601</v>
      </c>
      <c r="AD109" s="14" t="s">
        <v>434</v>
      </c>
      <c r="AE109" s="82">
        <v>0</v>
      </c>
      <c r="AF109" s="82">
        <v>0</v>
      </c>
      <c r="AG109" s="82">
        <v>0</v>
      </c>
      <c r="AH109" s="82">
        <v>0</v>
      </c>
      <c r="AI109" s="82">
        <v>0</v>
      </c>
      <c r="AJ109" s="82">
        <v>0</v>
      </c>
      <c r="AK109" s="82">
        <v>0</v>
      </c>
      <c r="AL109" s="82">
        <v>0</v>
      </c>
      <c r="AM109" s="82">
        <v>0</v>
      </c>
      <c r="AN109" s="82">
        <v>0</v>
      </c>
      <c r="AO109" s="82">
        <v>0</v>
      </c>
      <c r="AP109" s="82">
        <v>0</v>
      </c>
      <c r="AQ109" s="82">
        <v>3075304</v>
      </c>
      <c r="AR109" s="82">
        <v>0</v>
      </c>
      <c r="AS109" s="82">
        <v>0</v>
      </c>
      <c r="AT109" s="82">
        <v>0</v>
      </c>
      <c r="AU109" s="82">
        <v>0</v>
      </c>
      <c r="AV109" s="82">
        <v>0</v>
      </c>
      <c r="AW109" s="82">
        <v>0</v>
      </c>
      <c r="AX109" s="82">
        <v>1000000</v>
      </c>
      <c r="AY109" s="82">
        <v>0</v>
      </c>
      <c r="AZ109" s="82">
        <v>1000000</v>
      </c>
      <c r="BA109" s="82">
        <v>0</v>
      </c>
      <c r="BB109" s="82">
        <v>1075304</v>
      </c>
      <c r="BC109" s="82">
        <f t="shared" ref="BC109:BD109" si="206">AE109+AG109+AI109+AK109+AM109+AO109+AQ109+AS109+AU109+AW109+AY109+BA109</f>
        <v>3075304</v>
      </c>
      <c r="BD109" s="82">
        <f t="shared" si="206"/>
        <v>3075304</v>
      </c>
      <c r="BE109" s="83">
        <f t="shared" si="1"/>
        <v>0</v>
      </c>
      <c r="BF109" s="83">
        <f t="shared" si="2"/>
        <v>0</v>
      </c>
      <c r="BG109" s="14" t="str">
        <f ca="1">IFERROR(__xludf.DUMMYFUNCTION("REGEXEXTRACT(O103,""^\S+\s(.+)$"")"),"Prestar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109" s="23"/>
      <c r="BI109" s="23"/>
      <c r="BJ109" s="23"/>
      <c r="BK109" s="23"/>
      <c r="BL109" s="23"/>
      <c r="BM109" s="23"/>
      <c r="BN109" s="23"/>
      <c r="BO109" s="23"/>
      <c r="BP109" s="23"/>
      <c r="BQ109" s="23"/>
      <c r="BR109" s="23"/>
      <c r="BS109" s="23"/>
      <c r="BT109" s="23">
        <v>3075304</v>
      </c>
      <c r="BU109" s="23"/>
      <c r="BV109" s="23"/>
      <c r="BW109" s="23"/>
      <c r="BX109" s="23"/>
      <c r="BY109" s="23"/>
      <c r="BZ109" s="23"/>
      <c r="CA109" s="23">
        <v>1000000</v>
      </c>
      <c r="CB109" s="23"/>
      <c r="CC109" s="23">
        <v>1000000</v>
      </c>
      <c r="CD109" s="23"/>
      <c r="CE109" s="23">
        <v>1075304</v>
      </c>
      <c r="CF109" s="28"/>
      <c r="CG109" s="28"/>
      <c r="CH109" s="25">
        <f t="shared" ref="CH109:CI109" si="207">BH109+BJ109+BL109+BN109+BP109+BR109+BT109+BV109+BX109+BZ109+CB109+CD109+CF109</f>
        <v>3075304</v>
      </c>
      <c r="CI109" s="25">
        <f t="shared" si="207"/>
        <v>3075304</v>
      </c>
      <c r="CJ109" s="26">
        <f t="shared" si="4"/>
        <v>0</v>
      </c>
      <c r="CK109" s="26">
        <f t="shared" si="5"/>
        <v>0</v>
      </c>
    </row>
    <row r="110" spans="1:89" ht="90" customHeight="1" x14ac:dyDescent="0.3">
      <c r="A110" s="13" t="s">
        <v>248</v>
      </c>
      <c r="B110" s="14" t="s">
        <v>8</v>
      </c>
      <c r="C110" s="15" t="s">
        <v>427</v>
      </c>
      <c r="D110" s="14" t="s">
        <v>68</v>
      </c>
      <c r="E110" s="13" t="s">
        <v>250</v>
      </c>
      <c r="F110" s="13" t="s">
        <v>250</v>
      </c>
      <c r="G110" s="14">
        <v>68</v>
      </c>
      <c r="H110" s="13" t="s">
        <v>503</v>
      </c>
      <c r="I110" s="15" t="s">
        <v>479</v>
      </c>
      <c r="J110" s="14" t="s">
        <v>4</v>
      </c>
      <c r="K110" s="15" t="s">
        <v>106</v>
      </c>
      <c r="L110" s="14">
        <v>80111620</v>
      </c>
      <c r="M110" s="14" t="s">
        <v>11</v>
      </c>
      <c r="N110" s="14" t="s">
        <v>253</v>
      </c>
      <c r="O110" s="15" t="s">
        <v>504</v>
      </c>
      <c r="P110" s="14" t="s">
        <v>255</v>
      </c>
      <c r="Q110" s="14" t="s">
        <v>255</v>
      </c>
      <c r="R110" s="14" t="s">
        <v>255</v>
      </c>
      <c r="S110" s="17">
        <v>11.5</v>
      </c>
      <c r="T110" s="14" t="s">
        <v>256</v>
      </c>
      <c r="U110" s="14" t="s">
        <v>257</v>
      </c>
      <c r="V110" s="14" t="s">
        <v>113</v>
      </c>
      <c r="W110" s="18">
        <v>3075304</v>
      </c>
      <c r="X110" s="18">
        <v>3075304</v>
      </c>
      <c r="Y110" s="19" t="s">
        <v>339</v>
      </c>
      <c r="Z110" s="19" t="s">
        <v>258</v>
      </c>
      <c r="AA110" s="19" t="s">
        <v>432</v>
      </c>
      <c r="AB110" s="14" t="s">
        <v>433</v>
      </c>
      <c r="AC110" s="14">
        <v>6012220601</v>
      </c>
      <c r="AD110" s="14" t="s">
        <v>434</v>
      </c>
      <c r="AE110" s="82">
        <v>0</v>
      </c>
      <c r="AF110" s="82">
        <v>0</v>
      </c>
      <c r="AG110" s="82">
        <v>0</v>
      </c>
      <c r="AH110" s="82">
        <v>0</v>
      </c>
      <c r="AI110" s="82">
        <v>0</v>
      </c>
      <c r="AJ110" s="82">
        <v>0</v>
      </c>
      <c r="AK110" s="82">
        <v>0</v>
      </c>
      <c r="AL110" s="82">
        <v>0</v>
      </c>
      <c r="AM110" s="82">
        <v>0</v>
      </c>
      <c r="AN110" s="82">
        <v>0</v>
      </c>
      <c r="AO110" s="82">
        <v>0</v>
      </c>
      <c r="AP110" s="82">
        <v>0</v>
      </c>
      <c r="AQ110" s="82">
        <v>3075304</v>
      </c>
      <c r="AR110" s="82">
        <v>0</v>
      </c>
      <c r="AS110" s="82">
        <v>0</v>
      </c>
      <c r="AT110" s="82">
        <v>0</v>
      </c>
      <c r="AU110" s="82">
        <v>0</v>
      </c>
      <c r="AV110" s="82">
        <v>0</v>
      </c>
      <c r="AW110" s="82">
        <v>0</v>
      </c>
      <c r="AX110" s="82">
        <v>1000000</v>
      </c>
      <c r="AY110" s="82">
        <v>0</v>
      </c>
      <c r="AZ110" s="82">
        <v>1000000</v>
      </c>
      <c r="BA110" s="82">
        <v>0</v>
      </c>
      <c r="BB110" s="82">
        <v>1075304</v>
      </c>
      <c r="BC110" s="82">
        <f t="shared" ref="BC110:BD110" si="208">AE110+AG110+AI110+AK110+AM110+AO110+AQ110+AS110+AU110+AW110+AY110+BA110</f>
        <v>3075304</v>
      </c>
      <c r="BD110" s="82">
        <f t="shared" si="208"/>
        <v>3075304</v>
      </c>
      <c r="BE110" s="83">
        <f t="shared" si="1"/>
        <v>0</v>
      </c>
      <c r="BF110" s="83">
        <f t="shared" si="2"/>
        <v>0</v>
      </c>
      <c r="BG110" s="14" t="str">
        <f ca="1">IFERROR(__xludf.DUMMYFUNCTION("REGEXEXTRACT(O104,""^\S+\s(.+)$"")"),"Prestar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110" s="23"/>
      <c r="BI110" s="23"/>
      <c r="BJ110" s="23"/>
      <c r="BK110" s="23"/>
      <c r="BL110" s="23"/>
      <c r="BM110" s="23"/>
      <c r="BN110" s="23"/>
      <c r="BO110" s="23"/>
      <c r="BP110" s="23"/>
      <c r="BQ110" s="23"/>
      <c r="BR110" s="23"/>
      <c r="BS110" s="23"/>
      <c r="BT110" s="23">
        <v>3075304</v>
      </c>
      <c r="BU110" s="23"/>
      <c r="BV110" s="23"/>
      <c r="BW110" s="23"/>
      <c r="BX110" s="23"/>
      <c r="BY110" s="23"/>
      <c r="BZ110" s="23"/>
      <c r="CA110" s="23">
        <v>1000000</v>
      </c>
      <c r="CB110" s="23"/>
      <c r="CC110" s="23">
        <v>1000000</v>
      </c>
      <c r="CD110" s="23"/>
      <c r="CE110" s="23">
        <v>1075304</v>
      </c>
      <c r="CF110" s="28"/>
      <c r="CG110" s="28"/>
      <c r="CH110" s="25">
        <f t="shared" ref="CH110:CI110" si="209">BH110+BJ110+BL110+BN110+BP110+BR110+BT110+BV110+BX110+BZ110+CB110+CD110+CF110</f>
        <v>3075304</v>
      </c>
      <c r="CI110" s="25">
        <f t="shared" si="209"/>
        <v>3075304</v>
      </c>
      <c r="CJ110" s="26">
        <f t="shared" si="4"/>
        <v>0</v>
      </c>
      <c r="CK110" s="26">
        <f t="shared" si="5"/>
        <v>0</v>
      </c>
    </row>
    <row r="111" spans="1:89" ht="90" customHeight="1" x14ac:dyDescent="0.3">
      <c r="A111" s="13" t="s">
        <v>248</v>
      </c>
      <c r="B111" s="14" t="s">
        <v>8</v>
      </c>
      <c r="C111" s="15" t="s">
        <v>427</v>
      </c>
      <c r="D111" s="14" t="s">
        <v>68</v>
      </c>
      <c r="E111" s="13" t="s">
        <v>250</v>
      </c>
      <c r="F111" s="13" t="s">
        <v>250</v>
      </c>
      <c r="G111" s="14">
        <v>4</v>
      </c>
      <c r="H111" s="13" t="s">
        <v>505</v>
      </c>
      <c r="I111" s="15" t="s">
        <v>429</v>
      </c>
      <c r="J111" s="14" t="s">
        <v>12</v>
      </c>
      <c r="K111" s="15" t="s">
        <v>109</v>
      </c>
      <c r="L111" s="14">
        <v>80111620</v>
      </c>
      <c r="M111" s="14" t="s">
        <v>13</v>
      </c>
      <c r="N111" s="14" t="s">
        <v>253</v>
      </c>
      <c r="O111" s="15" t="s">
        <v>506</v>
      </c>
      <c r="P111" s="14" t="s">
        <v>255</v>
      </c>
      <c r="Q111" s="14" t="s">
        <v>255</v>
      </c>
      <c r="R111" s="14" t="s">
        <v>255</v>
      </c>
      <c r="S111" s="17">
        <v>11</v>
      </c>
      <c r="T111" s="14" t="s">
        <v>256</v>
      </c>
      <c r="U111" s="14" t="s">
        <v>257</v>
      </c>
      <c r="V111" s="14" t="s">
        <v>112</v>
      </c>
      <c r="W111" s="18">
        <v>4500000</v>
      </c>
      <c r="X111" s="18">
        <v>4500000</v>
      </c>
      <c r="Y111" s="19" t="s">
        <v>339</v>
      </c>
      <c r="Z111" s="19" t="s">
        <v>258</v>
      </c>
      <c r="AA111" s="19" t="s">
        <v>432</v>
      </c>
      <c r="AB111" s="14" t="s">
        <v>433</v>
      </c>
      <c r="AC111" s="14">
        <v>6012220601</v>
      </c>
      <c r="AD111" s="14" t="s">
        <v>434</v>
      </c>
      <c r="AE111" s="82">
        <v>0</v>
      </c>
      <c r="AF111" s="82">
        <v>0</v>
      </c>
      <c r="AG111" s="82">
        <v>4500000</v>
      </c>
      <c r="AH111" s="82">
        <v>0</v>
      </c>
      <c r="AI111" s="82">
        <v>0</v>
      </c>
      <c r="AJ111" s="82">
        <v>0</v>
      </c>
      <c r="AK111" s="82">
        <v>0</v>
      </c>
      <c r="AL111" s="82">
        <v>0</v>
      </c>
      <c r="AM111" s="82">
        <v>0</v>
      </c>
      <c r="AN111" s="82">
        <v>0</v>
      </c>
      <c r="AO111" s="82">
        <v>0</v>
      </c>
      <c r="AP111" s="82">
        <v>0</v>
      </c>
      <c r="AQ111" s="82">
        <v>0</v>
      </c>
      <c r="AR111" s="82">
        <v>0</v>
      </c>
      <c r="AS111" s="82">
        <v>0</v>
      </c>
      <c r="AT111" s="82">
        <v>0</v>
      </c>
      <c r="AU111" s="82">
        <v>0</v>
      </c>
      <c r="AV111" s="82">
        <v>0</v>
      </c>
      <c r="AW111" s="82">
        <v>0</v>
      </c>
      <c r="AX111" s="82">
        <v>0</v>
      </c>
      <c r="AY111" s="82">
        <v>0</v>
      </c>
      <c r="AZ111" s="82">
        <v>1000000</v>
      </c>
      <c r="BA111" s="82">
        <v>0</v>
      </c>
      <c r="BB111" s="82">
        <v>3500000</v>
      </c>
      <c r="BC111" s="82">
        <f t="shared" ref="BC111:BD111" si="210">AE111+AG111+AI111+AK111+AM111+AO111+AQ111+AS111+AU111+AW111+AY111+BA111</f>
        <v>4500000</v>
      </c>
      <c r="BD111" s="82">
        <f t="shared" si="210"/>
        <v>4500000</v>
      </c>
      <c r="BE111" s="83">
        <f t="shared" si="1"/>
        <v>0</v>
      </c>
      <c r="BF111" s="83">
        <f t="shared" si="2"/>
        <v>0</v>
      </c>
      <c r="BG111" s="14" t="str">
        <f ca="1">IFERROR(__xludf.DUMMYFUNCTION("REGEXEXTRACT(O105,""^\S+\s(.+)$"")"),"Prestar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11" s="23"/>
      <c r="BI111" s="23"/>
      <c r="BJ111" s="23">
        <v>4500000</v>
      </c>
      <c r="BK111" s="23"/>
      <c r="BL111" s="23"/>
      <c r="BM111" s="23"/>
      <c r="BN111" s="23"/>
      <c r="BO111" s="23"/>
      <c r="BP111" s="23"/>
      <c r="BQ111" s="23"/>
      <c r="BR111" s="23"/>
      <c r="BS111" s="23"/>
      <c r="BT111" s="23"/>
      <c r="BU111" s="23"/>
      <c r="BV111" s="23"/>
      <c r="BW111" s="23"/>
      <c r="BX111" s="23"/>
      <c r="BY111" s="23"/>
      <c r="BZ111" s="23"/>
      <c r="CA111" s="23"/>
      <c r="CB111" s="23"/>
      <c r="CC111" s="23">
        <v>1000000</v>
      </c>
      <c r="CD111" s="23"/>
      <c r="CE111" s="23">
        <v>3500000</v>
      </c>
      <c r="CF111" s="28"/>
      <c r="CG111" s="28"/>
      <c r="CH111" s="25">
        <f t="shared" ref="CH111:CI111" si="211">BH111+BJ111+BL111+BN111+BP111+BR111+BT111+BV111+BX111+BZ111+CB111+CD111+CF111</f>
        <v>4500000</v>
      </c>
      <c r="CI111" s="25">
        <f t="shared" si="211"/>
        <v>4500000</v>
      </c>
      <c r="CJ111" s="26">
        <f t="shared" si="4"/>
        <v>0</v>
      </c>
      <c r="CK111" s="26">
        <f t="shared" si="5"/>
        <v>0</v>
      </c>
    </row>
    <row r="112" spans="1:89" ht="90" customHeight="1" x14ac:dyDescent="0.3">
      <c r="A112" s="13" t="s">
        <v>248</v>
      </c>
      <c r="B112" s="14" t="s">
        <v>8</v>
      </c>
      <c r="C112" s="15" t="s">
        <v>427</v>
      </c>
      <c r="D112" s="14" t="s">
        <v>68</v>
      </c>
      <c r="E112" s="13" t="s">
        <v>250</v>
      </c>
      <c r="F112" s="13" t="s">
        <v>250</v>
      </c>
      <c r="G112" s="14">
        <v>4</v>
      </c>
      <c r="H112" s="13" t="s">
        <v>507</v>
      </c>
      <c r="I112" s="15" t="s">
        <v>429</v>
      </c>
      <c r="J112" s="14" t="s">
        <v>9</v>
      </c>
      <c r="K112" s="15" t="s">
        <v>104</v>
      </c>
      <c r="L112" s="14">
        <v>80111620</v>
      </c>
      <c r="M112" s="14" t="s">
        <v>10</v>
      </c>
      <c r="N112" s="14" t="s">
        <v>253</v>
      </c>
      <c r="O112" s="15" t="s">
        <v>508</v>
      </c>
      <c r="P112" s="14" t="s">
        <v>255</v>
      </c>
      <c r="Q112" s="14" t="s">
        <v>255</v>
      </c>
      <c r="R112" s="14" t="s">
        <v>255</v>
      </c>
      <c r="S112" s="17">
        <v>11</v>
      </c>
      <c r="T112" s="14" t="s">
        <v>256</v>
      </c>
      <c r="U112" s="14" t="s">
        <v>257</v>
      </c>
      <c r="V112" s="14" t="s">
        <v>112</v>
      </c>
      <c r="W112" s="18">
        <v>6500000</v>
      </c>
      <c r="X112" s="18">
        <v>6500000</v>
      </c>
      <c r="Y112" s="19" t="s">
        <v>339</v>
      </c>
      <c r="Z112" s="19" t="s">
        <v>258</v>
      </c>
      <c r="AA112" s="19" t="s">
        <v>432</v>
      </c>
      <c r="AB112" s="14" t="s">
        <v>433</v>
      </c>
      <c r="AC112" s="14">
        <v>6012220601</v>
      </c>
      <c r="AD112" s="14" t="s">
        <v>434</v>
      </c>
      <c r="AE112" s="82">
        <v>0</v>
      </c>
      <c r="AF112" s="82">
        <v>0</v>
      </c>
      <c r="AG112" s="82">
        <v>6500000</v>
      </c>
      <c r="AH112" s="82">
        <v>0</v>
      </c>
      <c r="AI112" s="82">
        <v>0</v>
      </c>
      <c r="AJ112" s="82">
        <v>0</v>
      </c>
      <c r="AK112" s="82">
        <v>0</v>
      </c>
      <c r="AL112" s="82">
        <v>0</v>
      </c>
      <c r="AM112" s="82">
        <v>0</v>
      </c>
      <c r="AN112" s="82">
        <v>0</v>
      </c>
      <c r="AO112" s="82">
        <v>0</v>
      </c>
      <c r="AP112" s="82">
        <v>0</v>
      </c>
      <c r="AQ112" s="82">
        <v>0</v>
      </c>
      <c r="AR112" s="82">
        <v>0</v>
      </c>
      <c r="AS112" s="82">
        <v>0</v>
      </c>
      <c r="AT112" s="82">
        <v>0</v>
      </c>
      <c r="AU112" s="82">
        <v>0</v>
      </c>
      <c r="AV112" s="82">
        <v>0</v>
      </c>
      <c r="AW112" s="82">
        <v>0</v>
      </c>
      <c r="AX112" s="82">
        <v>0</v>
      </c>
      <c r="AY112" s="82">
        <v>0</v>
      </c>
      <c r="AZ112" s="82">
        <v>0</v>
      </c>
      <c r="BA112" s="82">
        <v>0</v>
      </c>
      <c r="BB112" s="82">
        <v>6500000</v>
      </c>
      <c r="BC112" s="82">
        <f t="shared" ref="BC112:BD112" si="212">AE112+AG112+AI112+AK112+AM112+AO112+AQ112+AS112+AU112+AW112+AY112+BA112</f>
        <v>6500000</v>
      </c>
      <c r="BD112" s="82">
        <f t="shared" si="212"/>
        <v>6500000</v>
      </c>
      <c r="BE112" s="83">
        <f t="shared" si="1"/>
        <v>0</v>
      </c>
      <c r="BF112" s="83">
        <f t="shared" si="2"/>
        <v>0</v>
      </c>
      <c r="BG112" s="14" t="str">
        <f ca="1">IFERROR(__xludf.DUMMYFUNCTION("REGEXEXTRACT(O106,""^\S+\s(.+)$"")"),"Prestar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12" s="23"/>
      <c r="BI112" s="23"/>
      <c r="BJ112" s="23">
        <v>6500000</v>
      </c>
      <c r="BK112" s="23"/>
      <c r="BL112" s="23"/>
      <c r="BM112" s="23"/>
      <c r="BN112" s="23"/>
      <c r="BO112" s="23"/>
      <c r="BP112" s="23"/>
      <c r="BQ112" s="23"/>
      <c r="BR112" s="23"/>
      <c r="BS112" s="23"/>
      <c r="BT112" s="23"/>
      <c r="BU112" s="23"/>
      <c r="BV112" s="23"/>
      <c r="BW112" s="23"/>
      <c r="BX112" s="23"/>
      <c r="BY112" s="23"/>
      <c r="BZ112" s="23"/>
      <c r="CA112" s="23"/>
      <c r="CB112" s="23"/>
      <c r="CC112" s="23"/>
      <c r="CD112" s="23"/>
      <c r="CE112" s="23">
        <v>6500000</v>
      </c>
      <c r="CF112" s="28"/>
      <c r="CG112" s="28"/>
      <c r="CH112" s="25">
        <f t="shared" ref="CH112:CI112" si="213">BH112+BJ112+BL112+BN112+BP112+BR112+BT112+BV112+BX112+BZ112+CB112+CD112+CF112</f>
        <v>6500000</v>
      </c>
      <c r="CI112" s="25">
        <f t="shared" si="213"/>
        <v>6500000</v>
      </c>
      <c r="CJ112" s="26">
        <f t="shared" si="4"/>
        <v>0</v>
      </c>
      <c r="CK112" s="26">
        <f t="shared" si="5"/>
        <v>0</v>
      </c>
    </row>
    <row r="113" spans="1:89" ht="90" customHeight="1" x14ac:dyDescent="0.3">
      <c r="A113" s="13" t="s">
        <v>248</v>
      </c>
      <c r="B113" s="14" t="s">
        <v>8</v>
      </c>
      <c r="C113" s="15" t="s">
        <v>427</v>
      </c>
      <c r="D113" s="14" t="s">
        <v>68</v>
      </c>
      <c r="E113" s="13" t="s">
        <v>250</v>
      </c>
      <c r="F113" s="13" t="s">
        <v>250</v>
      </c>
      <c r="G113" s="14">
        <v>4</v>
      </c>
      <c r="H113" s="13" t="s">
        <v>509</v>
      </c>
      <c r="I113" s="15" t="s">
        <v>429</v>
      </c>
      <c r="J113" s="14" t="s">
        <v>9</v>
      </c>
      <c r="K113" s="15" t="s">
        <v>104</v>
      </c>
      <c r="L113" s="14">
        <v>84111603</v>
      </c>
      <c r="M113" s="14" t="s">
        <v>10</v>
      </c>
      <c r="N113" s="14" t="s">
        <v>471</v>
      </c>
      <c r="O113" s="15" t="s">
        <v>510</v>
      </c>
      <c r="P113" s="14" t="s">
        <v>281</v>
      </c>
      <c r="Q113" s="14" t="s">
        <v>281</v>
      </c>
      <c r="R113" s="14" t="s">
        <v>477</v>
      </c>
      <c r="S113" s="17">
        <v>3</v>
      </c>
      <c r="T113" s="14" t="s">
        <v>256</v>
      </c>
      <c r="U113" s="14" t="s">
        <v>511</v>
      </c>
      <c r="V113" s="14" t="s">
        <v>112</v>
      </c>
      <c r="W113" s="18">
        <v>1500000</v>
      </c>
      <c r="X113" s="18">
        <v>1500000</v>
      </c>
      <c r="Y113" s="19" t="s">
        <v>339</v>
      </c>
      <c r="Z113" s="19" t="s">
        <v>258</v>
      </c>
      <c r="AA113" s="19" t="s">
        <v>432</v>
      </c>
      <c r="AB113" s="14" t="s">
        <v>433</v>
      </c>
      <c r="AC113" s="14">
        <v>6012220601</v>
      </c>
      <c r="AD113" s="14" t="s">
        <v>434</v>
      </c>
      <c r="AE113" s="82">
        <v>0</v>
      </c>
      <c r="AF113" s="82">
        <v>0</v>
      </c>
      <c r="AG113" s="82">
        <v>0</v>
      </c>
      <c r="AH113" s="82">
        <v>0</v>
      </c>
      <c r="AI113" s="82">
        <v>0</v>
      </c>
      <c r="AJ113" s="82">
        <v>0</v>
      </c>
      <c r="AK113" s="82">
        <v>0</v>
      </c>
      <c r="AL113" s="82">
        <v>0</v>
      </c>
      <c r="AM113" s="82">
        <v>0</v>
      </c>
      <c r="AN113" s="82">
        <v>0</v>
      </c>
      <c r="AO113" s="82">
        <v>1500000</v>
      </c>
      <c r="AP113" s="82">
        <v>0</v>
      </c>
      <c r="AQ113" s="82">
        <v>0</v>
      </c>
      <c r="AR113" s="82">
        <v>0</v>
      </c>
      <c r="AS113" s="82">
        <v>0</v>
      </c>
      <c r="AT113" s="82">
        <v>0</v>
      </c>
      <c r="AU113" s="82">
        <v>0</v>
      </c>
      <c r="AV113" s="82">
        <v>1500000</v>
      </c>
      <c r="AW113" s="82">
        <v>0</v>
      </c>
      <c r="AX113" s="82">
        <v>0</v>
      </c>
      <c r="AY113" s="82">
        <v>0</v>
      </c>
      <c r="AZ113" s="82">
        <v>0</v>
      </c>
      <c r="BA113" s="82">
        <v>0</v>
      </c>
      <c r="BB113" s="82">
        <v>0</v>
      </c>
      <c r="BC113" s="82">
        <f t="shared" ref="BC113:BD113" si="214">AE113+AG113+AI113+AK113+AM113+AO113+AQ113+AS113+AU113+AW113+AY113+BA113</f>
        <v>1500000</v>
      </c>
      <c r="BD113" s="82">
        <f t="shared" si="214"/>
        <v>1500000</v>
      </c>
      <c r="BE113" s="83">
        <f t="shared" si="1"/>
        <v>0</v>
      </c>
      <c r="BF113" s="83">
        <f t="shared" si="2"/>
        <v>0</v>
      </c>
      <c r="BG113" s="14" t="str">
        <f ca="1">IFERROR(__xludf.DUMMYFUNCTION("REGEXEXTRACT(O107,""^\S+\s(.+)$"")"),"Realizar la auditoría de certificación del Sistema de Gestión Institucional bajo la NTC ISO 9001:2015 en la UPME.")</f>
        <v>Realizar la auditoría de certificación del Sistema de Gestión Institucional bajo la NTC ISO 9001:2015 en la UPME.</v>
      </c>
      <c r="BH113" s="23"/>
      <c r="BI113" s="23"/>
      <c r="BJ113" s="23"/>
      <c r="BK113" s="23"/>
      <c r="BL113" s="23"/>
      <c r="BM113" s="23"/>
      <c r="BN113" s="23"/>
      <c r="BO113" s="23"/>
      <c r="BP113" s="23"/>
      <c r="BQ113" s="23"/>
      <c r="BR113" s="23">
        <v>1500000</v>
      </c>
      <c r="BS113" s="23"/>
      <c r="BT113" s="23"/>
      <c r="BU113" s="23"/>
      <c r="BV113" s="23"/>
      <c r="BW113" s="23"/>
      <c r="BX113" s="23"/>
      <c r="BY113" s="23">
        <v>1500000</v>
      </c>
      <c r="BZ113" s="23"/>
      <c r="CA113" s="23"/>
      <c r="CB113" s="23"/>
      <c r="CC113" s="23"/>
      <c r="CD113" s="23"/>
      <c r="CE113" s="23"/>
      <c r="CF113" s="28"/>
      <c r="CG113" s="28"/>
      <c r="CH113" s="25">
        <f t="shared" ref="CH113:CI113" si="215">BH113+BJ113+BL113+BN113+BP113+BR113+BT113+BV113+BX113+BZ113+CB113+CD113+CF113</f>
        <v>1500000</v>
      </c>
      <c r="CI113" s="25">
        <f t="shared" si="215"/>
        <v>1500000</v>
      </c>
      <c r="CJ113" s="26">
        <f t="shared" si="4"/>
        <v>0</v>
      </c>
      <c r="CK113" s="26">
        <f t="shared" si="5"/>
        <v>0</v>
      </c>
    </row>
    <row r="114" spans="1:89" ht="90" customHeight="1" x14ac:dyDescent="0.3">
      <c r="A114" s="13" t="s">
        <v>248</v>
      </c>
      <c r="B114" s="14" t="s">
        <v>8</v>
      </c>
      <c r="C114" s="15" t="s">
        <v>427</v>
      </c>
      <c r="D114" s="14" t="s">
        <v>68</v>
      </c>
      <c r="E114" s="13" t="s">
        <v>250</v>
      </c>
      <c r="F114" s="13" t="s">
        <v>250</v>
      </c>
      <c r="G114" s="14">
        <v>7</v>
      </c>
      <c r="H114" s="13" t="s">
        <v>512</v>
      </c>
      <c r="I114" s="15" t="s">
        <v>429</v>
      </c>
      <c r="J114" s="14" t="s">
        <v>12</v>
      </c>
      <c r="K114" s="15" t="s">
        <v>109</v>
      </c>
      <c r="L114" s="14">
        <v>80111620</v>
      </c>
      <c r="M114" s="14" t="s">
        <v>13</v>
      </c>
      <c r="N114" s="14" t="s">
        <v>253</v>
      </c>
      <c r="O114" s="15" t="s">
        <v>513</v>
      </c>
      <c r="P114" s="14" t="s">
        <v>255</v>
      </c>
      <c r="Q114" s="14" t="s">
        <v>255</v>
      </c>
      <c r="R114" s="14" t="s">
        <v>255</v>
      </c>
      <c r="S114" s="17">
        <v>170</v>
      </c>
      <c r="T114" s="14" t="s">
        <v>514</v>
      </c>
      <c r="U114" s="14" t="s">
        <v>257</v>
      </c>
      <c r="V114" s="14" t="s">
        <v>112</v>
      </c>
      <c r="W114" s="18">
        <v>20865181</v>
      </c>
      <c r="X114" s="18">
        <v>20865181</v>
      </c>
      <c r="Y114" s="19" t="s">
        <v>339</v>
      </c>
      <c r="Z114" s="19" t="s">
        <v>258</v>
      </c>
      <c r="AA114" s="19" t="s">
        <v>432</v>
      </c>
      <c r="AB114" s="14" t="s">
        <v>433</v>
      </c>
      <c r="AC114" s="14">
        <v>6012220601</v>
      </c>
      <c r="AD114" s="14" t="s">
        <v>434</v>
      </c>
      <c r="AE114" s="82">
        <v>0</v>
      </c>
      <c r="AF114" s="82">
        <v>0</v>
      </c>
      <c r="AG114" s="82">
        <v>20865181</v>
      </c>
      <c r="AH114" s="82">
        <v>0</v>
      </c>
      <c r="AI114" s="82">
        <v>0</v>
      </c>
      <c r="AJ114" s="82">
        <v>5500000</v>
      </c>
      <c r="AK114" s="82">
        <v>0</v>
      </c>
      <c r="AL114" s="82">
        <v>5500000</v>
      </c>
      <c r="AM114" s="82">
        <v>0</v>
      </c>
      <c r="AN114" s="82">
        <v>5500000</v>
      </c>
      <c r="AO114" s="82">
        <v>0</v>
      </c>
      <c r="AP114" s="82">
        <v>4365181</v>
      </c>
      <c r="AQ114" s="82">
        <v>0</v>
      </c>
      <c r="AR114" s="82">
        <v>0</v>
      </c>
      <c r="AS114" s="82">
        <v>0</v>
      </c>
      <c r="AT114" s="82">
        <v>0</v>
      </c>
      <c r="AU114" s="82">
        <v>0</v>
      </c>
      <c r="AV114" s="82">
        <v>0</v>
      </c>
      <c r="AW114" s="82">
        <v>0</v>
      </c>
      <c r="AX114" s="82">
        <v>0</v>
      </c>
      <c r="AY114" s="82">
        <v>0</v>
      </c>
      <c r="AZ114" s="82">
        <v>0</v>
      </c>
      <c r="BA114" s="82">
        <v>0</v>
      </c>
      <c r="BB114" s="82">
        <v>0</v>
      </c>
      <c r="BC114" s="82">
        <f t="shared" ref="BC114:BD114" si="216">AE114+AG114+AI114+AK114+AM114+AO114+AQ114+AS114+AU114+AW114+AY114+BA114</f>
        <v>20865181</v>
      </c>
      <c r="BD114" s="82">
        <f t="shared" si="216"/>
        <v>20865181</v>
      </c>
      <c r="BE114" s="83">
        <f t="shared" si="1"/>
        <v>0</v>
      </c>
      <c r="BF114" s="83">
        <f t="shared" si="2"/>
        <v>0</v>
      </c>
      <c r="BG114" s="14" t="str">
        <f ca="1">IFERROR(__xludf.DUMMYFUNCTION("REGEXEXTRACT(O108,""^\S+\s(.+)$"")"),"Prestar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4" s="23"/>
      <c r="BI114" s="23"/>
      <c r="BJ114" s="23">
        <v>20865181</v>
      </c>
      <c r="BK114" s="23"/>
      <c r="BL114" s="23"/>
      <c r="BM114" s="23">
        <v>5500000</v>
      </c>
      <c r="BN114" s="23"/>
      <c r="BO114" s="23">
        <v>5500000</v>
      </c>
      <c r="BP114" s="23"/>
      <c r="BQ114" s="23">
        <v>5500000</v>
      </c>
      <c r="BR114" s="23"/>
      <c r="BS114" s="23">
        <v>4365181</v>
      </c>
      <c r="BT114" s="23"/>
      <c r="BU114" s="23"/>
      <c r="BV114" s="23"/>
      <c r="BW114" s="23"/>
      <c r="BX114" s="23"/>
      <c r="BY114" s="23"/>
      <c r="BZ114" s="23"/>
      <c r="CA114" s="23"/>
      <c r="CB114" s="23"/>
      <c r="CC114" s="23"/>
      <c r="CD114" s="23"/>
      <c r="CE114" s="23"/>
      <c r="CF114" s="28"/>
      <c r="CG114" s="28"/>
      <c r="CH114" s="25">
        <f t="shared" ref="CH114:CI114" si="217">BH114+BJ114+BL114+BN114+BP114+BR114+BT114+BV114+BX114+BZ114+CB114+CD114+CF114</f>
        <v>20865181</v>
      </c>
      <c r="CI114" s="25">
        <f t="shared" si="217"/>
        <v>20865181</v>
      </c>
      <c r="CJ114" s="26">
        <f t="shared" si="4"/>
        <v>0</v>
      </c>
      <c r="CK114" s="26">
        <f t="shared" si="5"/>
        <v>0</v>
      </c>
    </row>
    <row r="115" spans="1:89" ht="90" customHeight="1" x14ac:dyDescent="0.3">
      <c r="A115" s="13" t="s">
        <v>248</v>
      </c>
      <c r="B115" s="14" t="s">
        <v>8</v>
      </c>
      <c r="C115" s="15" t="s">
        <v>427</v>
      </c>
      <c r="D115" s="14" t="s">
        <v>68</v>
      </c>
      <c r="E115" s="13" t="s">
        <v>250</v>
      </c>
      <c r="F115" s="13" t="s">
        <v>250</v>
      </c>
      <c r="G115" s="14">
        <v>7</v>
      </c>
      <c r="H115" s="13" t="s">
        <v>515</v>
      </c>
      <c r="I115" s="15" t="s">
        <v>429</v>
      </c>
      <c r="J115" s="14" t="s">
        <v>12</v>
      </c>
      <c r="K115" s="15" t="s">
        <v>110</v>
      </c>
      <c r="L115" s="14">
        <v>80111620</v>
      </c>
      <c r="M115" s="14" t="s">
        <v>13</v>
      </c>
      <c r="N115" s="14" t="s">
        <v>253</v>
      </c>
      <c r="O115" s="15" t="s">
        <v>516</v>
      </c>
      <c r="P115" s="14" t="s">
        <v>255</v>
      </c>
      <c r="Q115" s="14" t="s">
        <v>255</v>
      </c>
      <c r="R115" s="14" t="s">
        <v>255</v>
      </c>
      <c r="S115" s="17">
        <v>170</v>
      </c>
      <c r="T115" s="14" t="s">
        <v>514</v>
      </c>
      <c r="U115" s="14" t="s">
        <v>257</v>
      </c>
      <c r="V115" s="14" t="s">
        <v>112</v>
      </c>
      <c r="W115" s="18">
        <v>2360050</v>
      </c>
      <c r="X115" s="18">
        <v>2360050</v>
      </c>
      <c r="Y115" s="19" t="s">
        <v>339</v>
      </c>
      <c r="Z115" s="19" t="s">
        <v>258</v>
      </c>
      <c r="AA115" s="19" t="s">
        <v>432</v>
      </c>
      <c r="AB115" s="14" t="s">
        <v>433</v>
      </c>
      <c r="AC115" s="14">
        <v>6012220601</v>
      </c>
      <c r="AD115" s="14" t="s">
        <v>434</v>
      </c>
      <c r="AE115" s="82">
        <v>0</v>
      </c>
      <c r="AF115" s="82">
        <v>0</v>
      </c>
      <c r="AG115" s="82">
        <v>2360050</v>
      </c>
      <c r="AH115" s="82">
        <v>0</v>
      </c>
      <c r="AI115" s="82">
        <v>0</v>
      </c>
      <c r="AJ115" s="82">
        <v>0</v>
      </c>
      <c r="AK115" s="82">
        <v>0</v>
      </c>
      <c r="AL115" s="82">
        <v>0</v>
      </c>
      <c r="AM115" s="82">
        <v>0</v>
      </c>
      <c r="AN115" s="82">
        <v>0</v>
      </c>
      <c r="AO115" s="82">
        <v>0</v>
      </c>
      <c r="AP115" s="82">
        <v>1134819</v>
      </c>
      <c r="AQ115" s="82">
        <v>0</v>
      </c>
      <c r="AR115" s="82">
        <v>1225231</v>
      </c>
      <c r="AS115" s="82">
        <v>0</v>
      </c>
      <c r="AT115" s="82">
        <v>0</v>
      </c>
      <c r="AU115" s="82">
        <v>0</v>
      </c>
      <c r="AV115" s="82">
        <v>0</v>
      </c>
      <c r="AW115" s="82">
        <v>0</v>
      </c>
      <c r="AX115" s="82">
        <v>0</v>
      </c>
      <c r="AY115" s="82">
        <v>0</v>
      </c>
      <c r="AZ115" s="82">
        <v>0</v>
      </c>
      <c r="BA115" s="82">
        <v>0</v>
      </c>
      <c r="BB115" s="82">
        <v>0</v>
      </c>
      <c r="BC115" s="82">
        <f t="shared" ref="BC115:BD115" si="218">AE115+AG115+AI115+AK115+AM115+AO115+AQ115+AS115+AU115+AW115+AY115+BA115</f>
        <v>2360050</v>
      </c>
      <c r="BD115" s="82">
        <f t="shared" si="218"/>
        <v>2360050</v>
      </c>
      <c r="BE115" s="83">
        <f t="shared" si="1"/>
        <v>0</v>
      </c>
      <c r="BF115" s="83">
        <f t="shared" si="2"/>
        <v>0</v>
      </c>
      <c r="BG115" s="14" t="str">
        <f ca="1">IFERROR(__xludf.DUMMYFUNCTION("REGEXEXTRACT(O109,""^\S+\s(.+)$"")"),"Prestar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5" s="23"/>
      <c r="BI115" s="23"/>
      <c r="BJ115" s="23">
        <v>2360050</v>
      </c>
      <c r="BK115" s="23"/>
      <c r="BL115" s="23"/>
      <c r="BM115" s="23"/>
      <c r="BN115" s="23"/>
      <c r="BO115" s="23"/>
      <c r="BP115" s="23"/>
      <c r="BQ115" s="23"/>
      <c r="BR115" s="23"/>
      <c r="BS115" s="23">
        <v>1134819</v>
      </c>
      <c r="BT115" s="23"/>
      <c r="BU115" s="23">
        <v>1225231</v>
      </c>
      <c r="BV115" s="23"/>
      <c r="BW115" s="23"/>
      <c r="BX115" s="23"/>
      <c r="BY115" s="23"/>
      <c r="BZ115" s="23"/>
      <c r="CA115" s="23"/>
      <c r="CB115" s="23"/>
      <c r="CC115" s="23"/>
      <c r="CD115" s="23"/>
      <c r="CE115" s="23"/>
      <c r="CF115" s="28"/>
      <c r="CG115" s="28"/>
      <c r="CH115" s="25">
        <f t="shared" ref="CH115:CI115" si="219">BH115+BJ115+BL115+BN115+BP115+BR115+BT115+BV115+BX115+BZ115+CB115+CD115+CF115</f>
        <v>2360050</v>
      </c>
      <c r="CI115" s="25">
        <f t="shared" si="219"/>
        <v>2360050</v>
      </c>
      <c r="CJ115" s="26">
        <f t="shared" si="4"/>
        <v>0</v>
      </c>
      <c r="CK115" s="26">
        <f t="shared" si="5"/>
        <v>0</v>
      </c>
    </row>
    <row r="116" spans="1:89" ht="90" customHeight="1" x14ac:dyDescent="0.3">
      <c r="A116" s="13" t="s">
        <v>248</v>
      </c>
      <c r="B116" s="14" t="s">
        <v>8</v>
      </c>
      <c r="C116" s="15" t="s">
        <v>427</v>
      </c>
      <c r="D116" s="14" t="s">
        <v>68</v>
      </c>
      <c r="E116" s="13" t="s">
        <v>250</v>
      </c>
      <c r="F116" s="13" t="s">
        <v>250</v>
      </c>
      <c r="G116" s="14">
        <v>7</v>
      </c>
      <c r="H116" s="13" t="s">
        <v>517</v>
      </c>
      <c r="I116" s="15" t="s">
        <v>479</v>
      </c>
      <c r="J116" s="14" t="s">
        <v>4</v>
      </c>
      <c r="K116" s="15" t="s">
        <v>106</v>
      </c>
      <c r="L116" s="14">
        <v>80111620</v>
      </c>
      <c r="M116" s="14" t="s">
        <v>11</v>
      </c>
      <c r="N116" s="14" t="s">
        <v>253</v>
      </c>
      <c r="O116" s="15" t="s">
        <v>518</v>
      </c>
      <c r="P116" s="14" t="s">
        <v>255</v>
      </c>
      <c r="Q116" s="14" t="s">
        <v>255</v>
      </c>
      <c r="R116" s="14" t="s">
        <v>255</v>
      </c>
      <c r="S116" s="17">
        <v>170</v>
      </c>
      <c r="T116" s="14" t="s">
        <v>514</v>
      </c>
      <c r="U116" s="14" t="s">
        <v>257</v>
      </c>
      <c r="V116" s="14" t="s">
        <v>112</v>
      </c>
      <c r="W116" s="18">
        <v>5000000</v>
      </c>
      <c r="X116" s="18">
        <v>5000000</v>
      </c>
      <c r="Y116" s="19" t="s">
        <v>339</v>
      </c>
      <c r="Z116" s="19" t="s">
        <v>258</v>
      </c>
      <c r="AA116" s="19" t="s">
        <v>432</v>
      </c>
      <c r="AB116" s="14" t="s">
        <v>433</v>
      </c>
      <c r="AC116" s="14">
        <v>6012220601</v>
      </c>
      <c r="AD116" s="14" t="s">
        <v>434</v>
      </c>
      <c r="AE116" s="82">
        <v>0</v>
      </c>
      <c r="AF116" s="82">
        <v>0</v>
      </c>
      <c r="AG116" s="82">
        <v>4446567</v>
      </c>
      <c r="AH116" s="82">
        <v>0</v>
      </c>
      <c r="AI116" s="82">
        <v>0</v>
      </c>
      <c r="AJ116" s="82">
        <v>0</v>
      </c>
      <c r="AK116" s="82">
        <v>0</v>
      </c>
      <c r="AL116" s="82">
        <v>0</v>
      </c>
      <c r="AM116" s="82">
        <v>0</v>
      </c>
      <c r="AN116" s="82">
        <v>0</v>
      </c>
      <c r="AO116" s="82">
        <v>0</v>
      </c>
      <c r="AP116" s="82">
        <v>0</v>
      </c>
      <c r="AQ116" s="82">
        <v>553433</v>
      </c>
      <c r="AR116" s="82">
        <v>4274769</v>
      </c>
      <c r="AS116" s="82">
        <v>0</v>
      </c>
      <c r="AT116" s="82">
        <v>725231</v>
      </c>
      <c r="AU116" s="82">
        <v>0</v>
      </c>
      <c r="AV116" s="82">
        <v>0</v>
      </c>
      <c r="AW116" s="82">
        <v>0</v>
      </c>
      <c r="AX116" s="82">
        <v>0</v>
      </c>
      <c r="AY116" s="82">
        <v>0</v>
      </c>
      <c r="AZ116" s="82">
        <v>0</v>
      </c>
      <c r="BA116" s="82">
        <v>0</v>
      </c>
      <c r="BB116" s="82">
        <v>0</v>
      </c>
      <c r="BC116" s="82">
        <f t="shared" ref="BC116:BD116" si="220">AE116+AG116+AI116+AK116+AM116+AO116+AQ116+AS116+AU116+AW116+AY116+BA116</f>
        <v>5000000</v>
      </c>
      <c r="BD116" s="82">
        <f t="shared" si="220"/>
        <v>5000000</v>
      </c>
      <c r="BE116" s="83">
        <f t="shared" si="1"/>
        <v>0</v>
      </c>
      <c r="BF116" s="83">
        <f t="shared" si="2"/>
        <v>0</v>
      </c>
      <c r="BG116" s="14" t="str">
        <f ca="1">IFERROR(__xludf.DUMMYFUNCTION("REGEXEXTRACT(O110,""^\S+\s(.+)$"")"),"Prestar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6" s="23"/>
      <c r="BI116" s="23"/>
      <c r="BJ116" s="23">
        <v>4446567</v>
      </c>
      <c r="BK116" s="23"/>
      <c r="BL116" s="23"/>
      <c r="BM116" s="23"/>
      <c r="BN116" s="23"/>
      <c r="BO116" s="23"/>
      <c r="BP116" s="23"/>
      <c r="BQ116" s="23"/>
      <c r="BR116" s="23"/>
      <c r="BS116" s="23"/>
      <c r="BT116" s="23">
        <v>553433</v>
      </c>
      <c r="BU116" s="23">
        <v>4274769</v>
      </c>
      <c r="BV116" s="23"/>
      <c r="BW116" s="23">
        <v>725231</v>
      </c>
      <c r="BX116" s="23"/>
      <c r="BY116" s="23"/>
      <c r="BZ116" s="23"/>
      <c r="CA116" s="23"/>
      <c r="CB116" s="23"/>
      <c r="CC116" s="23"/>
      <c r="CD116" s="23"/>
      <c r="CE116" s="23"/>
      <c r="CF116" s="28"/>
      <c r="CG116" s="28"/>
      <c r="CH116" s="25">
        <f t="shared" ref="CH116:CI116" si="221">BH116+BJ116+BL116+BN116+BP116+BR116+BT116+BV116+BX116+BZ116+CB116+CD116+CF116</f>
        <v>5000000</v>
      </c>
      <c r="CI116" s="25">
        <f t="shared" si="221"/>
        <v>5000000</v>
      </c>
      <c r="CJ116" s="26">
        <f t="shared" si="4"/>
        <v>0</v>
      </c>
      <c r="CK116" s="26">
        <f t="shared" si="5"/>
        <v>0</v>
      </c>
    </row>
    <row r="117" spans="1:89" ht="90" customHeight="1" x14ac:dyDescent="0.3">
      <c r="A117" s="13" t="s">
        <v>248</v>
      </c>
      <c r="B117" s="14" t="s">
        <v>14</v>
      </c>
      <c r="C117" s="15" t="s">
        <v>519</v>
      </c>
      <c r="D117" s="14" t="s">
        <v>63</v>
      </c>
      <c r="E117" s="13" t="s">
        <v>339</v>
      </c>
      <c r="F117" s="13" t="s">
        <v>250</v>
      </c>
      <c r="G117" s="14">
        <v>68</v>
      </c>
      <c r="H117" s="13" t="s">
        <v>520</v>
      </c>
      <c r="I117" s="15" t="s">
        <v>521</v>
      </c>
      <c r="J117" s="14" t="s">
        <v>18</v>
      </c>
      <c r="K117" s="15" t="s">
        <v>85</v>
      </c>
      <c r="L117" s="14" t="s">
        <v>258</v>
      </c>
      <c r="M117" s="14" t="s">
        <v>19</v>
      </c>
      <c r="N117" s="14" t="s">
        <v>341</v>
      </c>
      <c r="O117" s="15" t="s">
        <v>522</v>
      </c>
      <c r="P117" s="14" t="s">
        <v>258</v>
      </c>
      <c r="Q117" s="14" t="s">
        <v>258</v>
      </c>
      <c r="R117" s="14" t="s">
        <v>258</v>
      </c>
      <c r="S117" s="17" t="s">
        <v>258</v>
      </c>
      <c r="T117" s="14" t="s">
        <v>258</v>
      </c>
      <c r="U117" s="14" t="s">
        <v>258</v>
      </c>
      <c r="V117" s="14" t="s">
        <v>112</v>
      </c>
      <c r="W117" s="18">
        <v>45967360</v>
      </c>
      <c r="X117" s="18">
        <v>45967360</v>
      </c>
      <c r="Y117" s="19" t="s">
        <v>339</v>
      </c>
      <c r="Z117" s="19" t="s">
        <v>258</v>
      </c>
      <c r="AA117" s="14" t="s">
        <v>523</v>
      </c>
      <c r="AB117" s="14" t="s">
        <v>524</v>
      </c>
      <c r="AC117" s="14">
        <v>6012220601</v>
      </c>
      <c r="AD117" s="14" t="s">
        <v>525</v>
      </c>
      <c r="AE117" s="82">
        <v>0</v>
      </c>
      <c r="AF117" s="82">
        <v>0</v>
      </c>
      <c r="AG117" s="82">
        <v>0</v>
      </c>
      <c r="AH117" s="82">
        <v>0</v>
      </c>
      <c r="AI117" s="82">
        <v>5000000</v>
      </c>
      <c r="AJ117" s="82">
        <v>5000000</v>
      </c>
      <c r="AK117" s="82">
        <v>5000000</v>
      </c>
      <c r="AL117" s="82">
        <v>5000000</v>
      </c>
      <c r="AM117" s="82">
        <v>5000000</v>
      </c>
      <c r="AN117" s="82">
        <v>5000000</v>
      </c>
      <c r="AO117" s="82">
        <v>5000000</v>
      </c>
      <c r="AP117" s="82">
        <v>5000000</v>
      </c>
      <c r="AQ117" s="82">
        <v>5000000</v>
      </c>
      <c r="AR117" s="82">
        <v>5000000</v>
      </c>
      <c r="AS117" s="82">
        <v>5000000</v>
      </c>
      <c r="AT117" s="82">
        <v>5000000</v>
      </c>
      <c r="AU117" s="82">
        <v>5000000</v>
      </c>
      <c r="AV117" s="82">
        <v>5000000</v>
      </c>
      <c r="AW117" s="82">
        <v>5000000</v>
      </c>
      <c r="AX117" s="82">
        <v>5000000</v>
      </c>
      <c r="AY117" s="82">
        <v>5967360</v>
      </c>
      <c r="AZ117" s="82">
        <v>5967360</v>
      </c>
      <c r="BA117" s="82">
        <v>0</v>
      </c>
      <c r="BB117" s="82">
        <v>0</v>
      </c>
      <c r="BC117" s="82">
        <f t="shared" ref="BC117:BD117" si="222">AE117+AG117+AI117+AK117+AM117+AO117+AQ117+AS117+AU117+AW117+AY117+BA117</f>
        <v>45967360</v>
      </c>
      <c r="BD117" s="82">
        <f t="shared" si="222"/>
        <v>45967360</v>
      </c>
      <c r="BE117" s="83">
        <f t="shared" si="1"/>
        <v>0</v>
      </c>
      <c r="BF117" s="83">
        <f t="shared" si="2"/>
        <v>0</v>
      </c>
      <c r="BG117" s="14" t="str">
        <f ca="1">IFERROR(__xludf.DUMMYFUNCTION("REGEXEXTRACT(O111,""^\S+\s(.+)$"")"),"Viáticos o gastos de desplazamiento")</f>
        <v>Viáticos o gastos de desplazamiento</v>
      </c>
      <c r="BH117" s="23"/>
      <c r="BI117" s="23"/>
      <c r="BJ117" s="23"/>
      <c r="BK117" s="23"/>
      <c r="BL117" s="23">
        <v>5000000</v>
      </c>
      <c r="BM117" s="23">
        <v>5000000</v>
      </c>
      <c r="BN117" s="23">
        <v>5000000</v>
      </c>
      <c r="BO117" s="23">
        <v>5000000</v>
      </c>
      <c r="BP117" s="23">
        <v>5000000</v>
      </c>
      <c r="BQ117" s="23">
        <v>5000000</v>
      </c>
      <c r="BR117" s="23">
        <v>5000000</v>
      </c>
      <c r="BS117" s="23">
        <v>5000000</v>
      </c>
      <c r="BT117" s="23">
        <v>5000000</v>
      </c>
      <c r="BU117" s="23">
        <v>5000000</v>
      </c>
      <c r="BV117" s="23">
        <v>5000000</v>
      </c>
      <c r="BW117" s="23">
        <v>5000000</v>
      </c>
      <c r="BX117" s="23">
        <v>5000000</v>
      </c>
      <c r="BY117" s="23">
        <v>5000000</v>
      </c>
      <c r="BZ117" s="23">
        <v>5000000</v>
      </c>
      <c r="CA117" s="23">
        <v>5000000</v>
      </c>
      <c r="CB117" s="23">
        <v>5967360</v>
      </c>
      <c r="CC117" s="23">
        <v>5967360</v>
      </c>
      <c r="CD117" s="23"/>
      <c r="CE117" s="23"/>
      <c r="CF117" s="28"/>
      <c r="CG117" s="28"/>
      <c r="CH117" s="25">
        <f t="shared" ref="CH117:CI117" si="223">BH117+BJ117+BL117+BN117+BP117+BR117+BT117+BV117+BX117+BZ117+CB117+CD117+CF117</f>
        <v>45967360</v>
      </c>
      <c r="CI117" s="25">
        <f t="shared" si="223"/>
        <v>45967360</v>
      </c>
      <c r="CJ117" s="26">
        <f t="shared" si="4"/>
        <v>0</v>
      </c>
      <c r="CK117" s="26">
        <f t="shared" si="5"/>
        <v>0</v>
      </c>
    </row>
    <row r="118" spans="1:89" ht="90" customHeight="1" x14ac:dyDescent="0.3">
      <c r="A118" s="13" t="s">
        <v>248</v>
      </c>
      <c r="B118" s="14" t="s">
        <v>14</v>
      </c>
      <c r="C118" s="15" t="s">
        <v>519</v>
      </c>
      <c r="D118" s="14" t="s">
        <v>63</v>
      </c>
      <c r="E118" s="13" t="s">
        <v>250</v>
      </c>
      <c r="F118" s="13" t="s">
        <v>250</v>
      </c>
      <c r="G118" s="29" t="s">
        <v>335</v>
      </c>
      <c r="H118" s="13" t="s">
        <v>526</v>
      </c>
      <c r="I118" s="15" t="s">
        <v>521</v>
      </c>
      <c r="J118" s="14" t="s">
        <v>18</v>
      </c>
      <c r="K118" s="15" t="s">
        <v>86</v>
      </c>
      <c r="L118" s="14">
        <v>78111502</v>
      </c>
      <c r="M118" s="14" t="s">
        <v>19</v>
      </c>
      <c r="N118" s="14" t="s">
        <v>337</v>
      </c>
      <c r="O118" s="15" t="s">
        <v>527</v>
      </c>
      <c r="P118" s="14" t="s">
        <v>255</v>
      </c>
      <c r="Q118" s="14" t="s">
        <v>255</v>
      </c>
      <c r="R118" s="14" t="s">
        <v>255</v>
      </c>
      <c r="S118" s="17">
        <v>11</v>
      </c>
      <c r="T118" s="14" t="s">
        <v>256</v>
      </c>
      <c r="U118" s="14" t="s">
        <v>286</v>
      </c>
      <c r="V118" s="14" t="s">
        <v>112</v>
      </c>
      <c r="W118" s="18">
        <v>56640212</v>
      </c>
      <c r="X118" s="18">
        <v>56640212</v>
      </c>
      <c r="Y118" s="19" t="s">
        <v>339</v>
      </c>
      <c r="Z118" s="19" t="s">
        <v>258</v>
      </c>
      <c r="AA118" s="14" t="s">
        <v>523</v>
      </c>
      <c r="AB118" s="14" t="s">
        <v>524</v>
      </c>
      <c r="AC118" s="14">
        <v>6012220601</v>
      </c>
      <c r="AD118" s="14" t="s">
        <v>525</v>
      </c>
      <c r="AE118" s="82">
        <v>0</v>
      </c>
      <c r="AF118" s="82">
        <v>0</v>
      </c>
      <c r="AG118" s="82">
        <v>0</v>
      </c>
      <c r="AH118" s="82">
        <v>0</v>
      </c>
      <c r="AI118" s="82">
        <v>0</v>
      </c>
      <c r="AJ118" s="82">
        <v>0</v>
      </c>
      <c r="AK118" s="82">
        <v>0</v>
      </c>
      <c r="AL118" s="82">
        <v>0</v>
      </c>
      <c r="AM118" s="82">
        <v>0</v>
      </c>
      <c r="AN118" s="82">
        <v>0</v>
      </c>
      <c r="AO118" s="82">
        <v>0</v>
      </c>
      <c r="AP118" s="82">
        <v>0</v>
      </c>
      <c r="AQ118" s="82">
        <v>0</v>
      </c>
      <c r="AR118" s="82">
        <v>0</v>
      </c>
      <c r="AS118" s="82">
        <v>0</v>
      </c>
      <c r="AT118" s="82">
        <v>0</v>
      </c>
      <c r="AU118" s="82">
        <v>56640212</v>
      </c>
      <c r="AV118" s="82">
        <v>12000000</v>
      </c>
      <c r="AW118" s="82">
        <v>0</v>
      </c>
      <c r="AX118" s="82">
        <v>15000000</v>
      </c>
      <c r="AY118" s="82">
        <v>0</v>
      </c>
      <c r="AZ118" s="82">
        <v>18000000</v>
      </c>
      <c r="BA118" s="82">
        <v>0</v>
      </c>
      <c r="BB118" s="82">
        <v>11640212</v>
      </c>
      <c r="BC118" s="82">
        <f t="shared" ref="BC118:BD118" si="224">AE118+AG118+AI118+AK118+AM118+AO118+AQ118+AS118+AU118+AW118+AY118+BA118</f>
        <v>56640212</v>
      </c>
      <c r="BD118" s="82">
        <f t="shared" si="224"/>
        <v>56640212</v>
      </c>
      <c r="BE118" s="83">
        <f t="shared" si="1"/>
        <v>0</v>
      </c>
      <c r="BF118" s="83">
        <f t="shared" si="2"/>
        <v>0</v>
      </c>
      <c r="BG118" s="14" t="str">
        <f ca="1">IFERROR(__xludf.DUMMYFUNCTION("REGEXEXTRACT(O112,""^\S+\s(.+)$"")"),"Adquirir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118" s="23"/>
      <c r="BI118" s="23"/>
      <c r="BJ118" s="23"/>
      <c r="BK118" s="23"/>
      <c r="BL118" s="23"/>
      <c r="BM118" s="23"/>
      <c r="BN118" s="23"/>
      <c r="BO118" s="23"/>
      <c r="BP118" s="23"/>
      <c r="BQ118" s="23"/>
      <c r="BR118" s="23"/>
      <c r="BS118" s="23"/>
      <c r="BT118" s="23"/>
      <c r="BU118" s="23"/>
      <c r="BV118" s="23"/>
      <c r="BW118" s="23"/>
      <c r="BX118" s="23">
        <v>56640212</v>
      </c>
      <c r="BY118" s="23">
        <v>12000000</v>
      </c>
      <c r="BZ118" s="23"/>
      <c r="CA118" s="23">
        <v>15000000</v>
      </c>
      <c r="CB118" s="23"/>
      <c r="CC118" s="23">
        <v>18000000</v>
      </c>
      <c r="CD118" s="23"/>
      <c r="CE118" s="23">
        <v>11640212</v>
      </c>
      <c r="CF118" s="28"/>
      <c r="CG118" s="28"/>
      <c r="CH118" s="25">
        <f t="shared" ref="CH118:CI118" si="225">BH118+BJ118+BL118+BN118+BP118+BR118+BT118+BV118+BX118+BZ118+CB118+CD118+CF118</f>
        <v>56640212</v>
      </c>
      <c r="CI118" s="25">
        <f t="shared" si="225"/>
        <v>56640212</v>
      </c>
      <c r="CJ118" s="26">
        <f t="shared" si="4"/>
        <v>0</v>
      </c>
      <c r="CK118" s="26">
        <f t="shared" si="5"/>
        <v>0</v>
      </c>
    </row>
    <row r="119" spans="1:89" ht="90" customHeight="1" x14ac:dyDescent="0.3">
      <c r="A119" s="13" t="s">
        <v>248</v>
      </c>
      <c r="B119" s="14" t="s">
        <v>14</v>
      </c>
      <c r="C119" s="15" t="s">
        <v>519</v>
      </c>
      <c r="D119" s="14" t="s">
        <v>63</v>
      </c>
      <c r="E119" s="13" t="s">
        <v>250</v>
      </c>
      <c r="F119" s="13" t="s">
        <v>250</v>
      </c>
      <c r="G119" s="14">
        <v>3</v>
      </c>
      <c r="H119" s="13" t="s">
        <v>528</v>
      </c>
      <c r="I119" s="15" t="s">
        <v>521</v>
      </c>
      <c r="J119" s="14" t="s">
        <v>18</v>
      </c>
      <c r="K119" s="15" t="s">
        <v>86</v>
      </c>
      <c r="L119" s="14">
        <v>80111620</v>
      </c>
      <c r="M119" s="14" t="s">
        <v>19</v>
      </c>
      <c r="N119" s="14" t="s">
        <v>253</v>
      </c>
      <c r="O119" s="15" t="s">
        <v>529</v>
      </c>
      <c r="P119" s="14" t="s">
        <v>255</v>
      </c>
      <c r="Q119" s="14" t="s">
        <v>255</v>
      </c>
      <c r="R119" s="14" t="s">
        <v>255</v>
      </c>
      <c r="S119" s="17">
        <v>6</v>
      </c>
      <c r="T119" s="14" t="s">
        <v>256</v>
      </c>
      <c r="U119" s="14" t="s">
        <v>257</v>
      </c>
      <c r="V119" s="14" t="s">
        <v>112</v>
      </c>
      <c r="W119" s="18">
        <v>34479900</v>
      </c>
      <c r="X119" s="18">
        <v>34479900</v>
      </c>
      <c r="Y119" s="19" t="s">
        <v>339</v>
      </c>
      <c r="Z119" s="19" t="s">
        <v>258</v>
      </c>
      <c r="AA119" s="14" t="s">
        <v>530</v>
      </c>
      <c r="AB119" s="14" t="s">
        <v>524</v>
      </c>
      <c r="AC119" s="14">
        <v>6012220607</v>
      </c>
      <c r="AD119" s="14" t="s">
        <v>531</v>
      </c>
      <c r="AE119" s="82">
        <v>0</v>
      </c>
      <c r="AF119" s="82">
        <v>0</v>
      </c>
      <c r="AG119" s="82">
        <v>34479900</v>
      </c>
      <c r="AH119" s="82">
        <v>0</v>
      </c>
      <c r="AI119" s="82">
        <v>0</v>
      </c>
      <c r="AJ119" s="82">
        <v>5746650</v>
      </c>
      <c r="AK119" s="82">
        <v>0</v>
      </c>
      <c r="AL119" s="82">
        <v>5746650</v>
      </c>
      <c r="AM119" s="82">
        <v>0</v>
      </c>
      <c r="AN119" s="82">
        <v>5746650</v>
      </c>
      <c r="AO119" s="82">
        <v>0</v>
      </c>
      <c r="AP119" s="82">
        <v>5746650</v>
      </c>
      <c r="AQ119" s="82">
        <v>0</v>
      </c>
      <c r="AR119" s="82">
        <v>5746650</v>
      </c>
      <c r="AS119" s="82">
        <v>0</v>
      </c>
      <c r="AT119" s="82">
        <v>0</v>
      </c>
      <c r="AU119" s="82">
        <v>0</v>
      </c>
      <c r="AV119" s="82">
        <v>5746650</v>
      </c>
      <c r="AW119" s="82">
        <v>0</v>
      </c>
      <c r="AX119" s="82">
        <v>0</v>
      </c>
      <c r="AY119" s="82">
        <v>0</v>
      </c>
      <c r="AZ119" s="82">
        <v>0</v>
      </c>
      <c r="BA119" s="82">
        <v>0</v>
      </c>
      <c r="BB119" s="82">
        <v>0</v>
      </c>
      <c r="BC119" s="82">
        <f t="shared" ref="BC119:BD119" si="226">AE119+AG119+AI119+AK119+AM119+AO119+AQ119+AS119+AU119+AW119+AY119+BA119</f>
        <v>34479900</v>
      </c>
      <c r="BD119" s="82">
        <f t="shared" si="226"/>
        <v>34479900</v>
      </c>
      <c r="BE119" s="83">
        <f t="shared" si="1"/>
        <v>0</v>
      </c>
      <c r="BF119" s="83">
        <f t="shared" si="2"/>
        <v>0</v>
      </c>
      <c r="BG119" s="14" t="str">
        <f ca="1">IFERROR(__xludf.DUMMYFUNCTION("REGEXEXTRACT(O113,""^\S+\s(.+)$"")"),"Prestar los servicios profesionales para realizar el seguimiento y reporte de las actividades relacionadas con la planeación estratégica y el sistema de gestión de calidad de la Oficina de Gestión de Proyectos de Fondos de la UPME.")</f>
        <v>Prestar los servicios profesionales para realizar el seguimiento y reporte de las actividades relacionadas con la planeación estratégica y el sistema de gestión de calidad de la Oficina de Gestión de Proyectos de Fondos de la UPME.</v>
      </c>
      <c r="BH119" s="23"/>
      <c r="BI119" s="23"/>
      <c r="BJ119" s="23">
        <v>34479900</v>
      </c>
      <c r="BK119" s="23"/>
      <c r="BL119" s="23"/>
      <c r="BM119" s="23">
        <v>5746650</v>
      </c>
      <c r="BN119" s="23"/>
      <c r="BO119" s="23">
        <v>5746650</v>
      </c>
      <c r="BP119" s="23"/>
      <c r="BQ119" s="23">
        <v>5746650</v>
      </c>
      <c r="BR119" s="23"/>
      <c r="BS119" s="23">
        <v>5746650</v>
      </c>
      <c r="BT119" s="23"/>
      <c r="BU119" s="23">
        <v>5746650</v>
      </c>
      <c r="BV119" s="23"/>
      <c r="BW119" s="23"/>
      <c r="BX119" s="23"/>
      <c r="BY119" s="23">
        <v>5746650</v>
      </c>
      <c r="BZ119" s="23"/>
      <c r="CA119" s="23"/>
      <c r="CB119" s="23"/>
      <c r="CC119" s="23"/>
      <c r="CD119" s="23"/>
      <c r="CE119" s="23"/>
      <c r="CF119" s="28"/>
      <c r="CG119" s="28"/>
      <c r="CH119" s="25">
        <f t="shared" ref="CH119:CI119" si="227">BH119+BJ119+BL119+BN119+BP119+BR119+BT119+BV119+BX119+BZ119+CB119+CD119+CF119</f>
        <v>34479900</v>
      </c>
      <c r="CI119" s="25">
        <f t="shared" si="227"/>
        <v>34479900</v>
      </c>
      <c r="CJ119" s="26">
        <f t="shared" si="4"/>
        <v>0</v>
      </c>
      <c r="CK119" s="26">
        <f t="shared" si="5"/>
        <v>0</v>
      </c>
    </row>
    <row r="120" spans="1:89" ht="90" customHeight="1" x14ac:dyDescent="0.3">
      <c r="A120" s="13" t="s">
        <v>248</v>
      </c>
      <c r="B120" s="14" t="s">
        <v>14</v>
      </c>
      <c r="C120" s="15" t="s">
        <v>519</v>
      </c>
      <c r="D120" s="14" t="s">
        <v>63</v>
      </c>
      <c r="E120" s="13" t="s">
        <v>250</v>
      </c>
      <c r="F120" s="13" t="s">
        <v>250</v>
      </c>
      <c r="G120" s="14">
        <v>68</v>
      </c>
      <c r="H120" s="13" t="s">
        <v>532</v>
      </c>
      <c r="I120" s="15" t="s">
        <v>521</v>
      </c>
      <c r="J120" s="14" t="s">
        <v>18</v>
      </c>
      <c r="K120" s="15" t="s">
        <v>86</v>
      </c>
      <c r="L120" s="14">
        <v>80111620</v>
      </c>
      <c r="M120" s="14" t="s">
        <v>19</v>
      </c>
      <c r="N120" s="14" t="s">
        <v>253</v>
      </c>
      <c r="O120" s="15" t="s">
        <v>533</v>
      </c>
      <c r="P120" s="14" t="s">
        <v>255</v>
      </c>
      <c r="Q120" s="14" t="s">
        <v>255</v>
      </c>
      <c r="R120" s="14" t="s">
        <v>255</v>
      </c>
      <c r="S120" s="17">
        <v>11.5</v>
      </c>
      <c r="T120" s="14" t="s">
        <v>256</v>
      </c>
      <c r="U120" s="14" t="s">
        <v>257</v>
      </c>
      <c r="V120" s="14" t="s">
        <v>112</v>
      </c>
      <c r="W120" s="18">
        <v>66086475</v>
      </c>
      <c r="X120" s="18">
        <v>66086475</v>
      </c>
      <c r="Y120" s="19" t="s">
        <v>339</v>
      </c>
      <c r="Z120" s="19" t="s">
        <v>258</v>
      </c>
      <c r="AA120" s="14" t="s">
        <v>523</v>
      </c>
      <c r="AB120" s="14" t="s">
        <v>524</v>
      </c>
      <c r="AC120" s="14">
        <v>6012220603</v>
      </c>
      <c r="AD120" s="14" t="s">
        <v>525</v>
      </c>
      <c r="AE120" s="82">
        <v>63213150</v>
      </c>
      <c r="AF120" s="82">
        <v>0</v>
      </c>
      <c r="AG120" s="82">
        <v>0</v>
      </c>
      <c r="AH120" s="82">
        <v>2873325</v>
      </c>
      <c r="AI120" s="82">
        <v>0</v>
      </c>
      <c r="AJ120" s="82">
        <v>5746650</v>
      </c>
      <c r="AK120" s="82">
        <v>0</v>
      </c>
      <c r="AL120" s="82">
        <v>5746650</v>
      </c>
      <c r="AM120" s="82">
        <v>0</v>
      </c>
      <c r="AN120" s="82">
        <v>5746650</v>
      </c>
      <c r="AO120" s="82">
        <v>0</v>
      </c>
      <c r="AP120" s="82">
        <v>5746650</v>
      </c>
      <c r="AQ120" s="82">
        <v>0</v>
      </c>
      <c r="AR120" s="82">
        <v>5746650</v>
      </c>
      <c r="AS120" s="82">
        <v>0</v>
      </c>
      <c r="AT120" s="82">
        <v>5746650</v>
      </c>
      <c r="AU120" s="82">
        <v>0</v>
      </c>
      <c r="AV120" s="82">
        <v>5746650</v>
      </c>
      <c r="AW120" s="82">
        <v>0</v>
      </c>
      <c r="AX120" s="82">
        <v>5746650</v>
      </c>
      <c r="AY120" s="82">
        <v>0</v>
      </c>
      <c r="AZ120" s="82">
        <v>5746650</v>
      </c>
      <c r="BA120" s="82">
        <v>2873325</v>
      </c>
      <c r="BB120" s="82">
        <v>11493300</v>
      </c>
      <c r="BC120" s="82">
        <f t="shared" ref="BC120:BD120" si="228">AE120+AG120+AI120+AK120+AM120+AO120+AQ120+AS120+AU120+AW120+AY120+BA120</f>
        <v>66086475</v>
      </c>
      <c r="BD120" s="82">
        <f t="shared" si="228"/>
        <v>66086475</v>
      </c>
      <c r="BE120" s="83">
        <f t="shared" si="1"/>
        <v>0</v>
      </c>
      <c r="BF120" s="83">
        <f t="shared" si="2"/>
        <v>0</v>
      </c>
      <c r="BG120" s="14" t="str">
        <f ca="1">IFERROR(__xludf.DUMMYFUNCTION("REGEXEXTRACT(O114,""^\S+\s(.+)$"")"),"Prestar servicios profesionales para realizar la atención de PQRS, capacitación externa e interna, levantamiento de requerimientos de la plataforma SUU en marco del proceso de emisión de conceptos de la oficina de gestión de proyectos de fondos de la UPME"&amp;" y apoyo a tareas de gestión del manejo de bases de datos y sistemas de información asociadas.")</f>
        <v>Prestar servicios profesionales para realizar la atención de PQRS, capacitación externa e interna, levantamiento de requerimientos de la plataforma SUU en marco del proceso de emisión de conceptos de la oficina de gestión de proyectos de fondos de la UPME y apoyo a tareas de gestión del manejo de bases de datos y sistemas de información asociadas.</v>
      </c>
      <c r="BH120" s="23">
        <v>63213150</v>
      </c>
      <c r="BI120" s="23"/>
      <c r="BJ120" s="23"/>
      <c r="BK120" s="23">
        <v>2873325</v>
      </c>
      <c r="BL120" s="23"/>
      <c r="BM120" s="23">
        <v>5746650</v>
      </c>
      <c r="BN120" s="23"/>
      <c r="BO120" s="23">
        <v>5746650</v>
      </c>
      <c r="BP120" s="23"/>
      <c r="BQ120" s="23">
        <v>5746650</v>
      </c>
      <c r="BR120" s="23"/>
      <c r="BS120" s="23">
        <v>5746650</v>
      </c>
      <c r="BT120" s="23"/>
      <c r="BU120" s="23">
        <v>5746650</v>
      </c>
      <c r="BV120" s="23"/>
      <c r="BW120" s="23">
        <v>5746650</v>
      </c>
      <c r="BX120" s="23"/>
      <c r="BY120" s="23">
        <v>5746650</v>
      </c>
      <c r="BZ120" s="23"/>
      <c r="CA120" s="23">
        <v>5746650</v>
      </c>
      <c r="CB120" s="23"/>
      <c r="CC120" s="23">
        <v>5746650</v>
      </c>
      <c r="CD120" s="23">
        <v>2873325</v>
      </c>
      <c r="CE120" s="23">
        <v>11493300</v>
      </c>
      <c r="CF120" s="28"/>
      <c r="CG120" s="28"/>
      <c r="CH120" s="25">
        <f t="shared" ref="CH120:CI120" si="229">BH120+BJ120+BL120+BN120+BP120+BR120+BT120+BV120+BX120+BZ120+CB120+CD120+CF120</f>
        <v>66086475</v>
      </c>
      <c r="CI120" s="25">
        <f t="shared" si="229"/>
        <v>66086475</v>
      </c>
      <c r="CJ120" s="26">
        <f t="shared" si="4"/>
        <v>0</v>
      </c>
      <c r="CK120" s="26">
        <f t="shared" si="5"/>
        <v>0</v>
      </c>
    </row>
    <row r="121" spans="1:89" ht="90" customHeight="1" x14ac:dyDescent="0.3">
      <c r="A121" s="13" t="s">
        <v>248</v>
      </c>
      <c r="B121" s="14" t="s">
        <v>14</v>
      </c>
      <c r="C121" s="15" t="s">
        <v>519</v>
      </c>
      <c r="D121" s="14" t="s">
        <v>63</v>
      </c>
      <c r="E121" s="13" t="s">
        <v>250</v>
      </c>
      <c r="F121" s="13" t="s">
        <v>250</v>
      </c>
      <c r="G121" s="14">
        <v>20</v>
      </c>
      <c r="H121" s="13" t="s">
        <v>534</v>
      </c>
      <c r="I121" s="15" t="s">
        <v>521</v>
      </c>
      <c r="J121" s="14" t="s">
        <v>18</v>
      </c>
      <c r="K121" s="15" t="s">
        <v>86</v>
      </c>
      <c r="L121" s="14">
        <v>80111620</v>
      </c>
      <c r="M121" s="14" t="s">
        <v>19</v>
      </c>
      <c r="N121" s="14" t="s">
        <v>253</v>
      </c>
      <c r="O121" s="15" t="s">
        <v>535</v>
      </c>
      <c r="P121" s="14" t="s">
        <v>255</v>
      </c>
      <c r="Q121" s="14" t="s">
        <v>255</v>
      </c>
      <c r="R121" s="14" t="s">
        <v>255</v>
      </c>
      <c r="S121" s="17">
        <v>2.1</v>
      </c>
      <c r="T121" s="14" t="s">
        <v>256</v>
      </c>
      <c r="U121" s="14" t="s">
        <v>257</v>
      </c>
      <c r="V121" s="14" t="s">
        <v>112</v>
      </c>
      <c r="W121" s="18">
        <v>46670167</v>
      </c>
      <c r="X121" s="18">
        <v>46670167</v>
      </c>
      <c r="Y121" s="19" t="s">
        <v>339</v>
      </c>
      <c r="Z121" s="19" t="s">
        <v>258</v>
      </c>
      <c r="AA121" s="14" t="s">
        <v>523</v>
      </c>
      <c r="AB121" s="14" t="s">
        <v>524</v>
      </c>
      <c r="AC121" s="14">
        <v>6012220604</v>
      </c>
      <c r="AD121" s="14" t="s">
        <v>525</v>
      </c>
      <c r="AE121" s="82">
        <v>81034800</v>
      </c>
      <c r="AF121" s="82">
        <v>0</v>
      </c>
      <c r="AG121" s="82">
        <v>0</v>
      </c>
      <c r="AH121" s="82">
        <v>3683400</v>
      </c>
      <c r="AI121" s="82">
        <v>0</v>
      </c>
      <c r="AJ121" s="82">
        <v>7366800</v>
      </c>
      <c r="AK121" s="82">
        <v>0</v>
      </c>
      <c r="AL121" s="82">
        <v>7366800</v>
      </c>
      <c r="AM121" s="82">
        <v>0</v>
      </c>
      <c r="AN121" s="82">
        <v>7366800</v>
      </c>
      <c r="AO121" s="82">
        <v>0</v>
      </c>
      <c r="AP121" s="82">
        <v>7366800</v>
      </c>
      <c r="AQ121" s="82">
        <v>0</v>
      </c>
      <c r="AR121" s="82">
        <v>7366800</v>
      </c>
      <c r="AS121" s="82">
        <v>0</v>
      </c>
      <c r="AT121" s="82">
        <v>7366800</v>
      </c>
      <c r="AU121" s="82">
        <v>0</v>
      </c>
      <c r="AV121" s="82">
        <v>7366800</v>
      </c>
      <c r="AW121" s="82">
        <v>0</v>
      </c>
      <c r="AX121" s="82">
        <v>7366800</v>
      </c>
      <c r="AY121" s="82">
        <v>0</v>
      </c>
      <c r="AZ121" s="82">
        <v>7366800</v>
      </c>
      <c r="BA121" s="82">
        <v>3683400</v>
      </c>
      <c r="BB121" s="82">
        <v>14733600</v>
      </c>
      <c r="BC121" s="82">
        <f t="shared" ref="BC121:BD121" si="230">AE121+AG121+AI121+AK121+AM121+AO121+AQ121+AS121+AU121+AW121+AY121+BA121</f>
        <v>84718200</v>
      </c>
      <c r="BD121" s="82">
        <f t="shared" si="230"/>
        <v>84718200</v>
      </c>
      <c r="BE121" s="83">
        <f t="shared" si="1"/>
        <v>-38048033</v>
      </c>
      <c r="BF121" s="83">
        <f t="shared" si="2"/>
        <v>-38048033</v>
      </c>
      <c r="BG121" s="14" t="str">
        <f ca="1">IFERROR(__xludf.DUMMYFUNCTION("REGEXEXTRACT(O115,""^\S+\s(.+)$"")"),"Prestar servicios profesionales especializados en el desarrollo, implementación y mantenimiento de soluciones tecnológicas para la Oficina de Gestión de Proyectos de Fondos (OGPF) de la UPME.")</f>
        <v>Prestar servicios profesionales especializados en el desarrollo, implementación y mantenimiento de soluciones tecnológicas para la Oficina de Gestión de Proyectos de Fondos (OGPF) de la UPME.</v>
      </c>
      <c r="BH121" s="23">
        <v>84718200</v>
      </c>
      <c r="BI121" s="23">
        <v>0</v>
      </c>
      <c r="BJ121" s="23">
        <v>0</v>
      </c>
      <c r="BK121" s="23">
        <v>982240</v>
      </c>
      <c r="BL121" s="23">
        <v>0</v>
      </c>
      <c r="BM121" s="23">
        <v>7366800</v>
      </c>
      <c r="BN121" s="23">
        <v>-38048033</v>
      </c>
      <c r="BO121" s="23">
        <v>7366800</v>
      </c>
      <c r="BP121" s="23">
        <v>0</v>
      </c>
      <c r="BQ121" s="23">
        <v>0</v>
      </c>
      <c r="BR121" s="23">
        <v>0</v>
      </c>
      <c r="BS121" s="23">
        <v>0</v>
      </c>
      <c r="BT121" s="23">
        <v>0</v>
      </c>
      <c r="BU121" s="23">
        <v>30954327</v>
      </c>
      <c r="BV121" s="23">
        <v>0</v>
      </c>
      <c r="BW121" s="23">
        <v>0</v>
      </c>
      <c r="BX121" s="23">
        <v>0</v>
      </c>
      <c r="BY121" s="23">
        <v>0</v>
      </c>
      <c r="BZ121" s="23">
        <v>0</v>
      </c>
      <c r="CA121" s="23">
        <v>0</v>
      </c>
      <c r="CB121" s="23">
        <v>0</v>
      </c>
      <c r="CC121" s="23">
        <v>0</v>
      </c>
      <c r="CD121" s="23">
        <v>0</v>
      </c>
      <c r="CE121" s="23">
        <v>0</v>
      </c>
      <c r="CF121" s="28"/>
      <c r="CG121" s="28"/>
      <c r="CH121" s="25">
        <f t="shared" ref="CH121:CI121" si="231">BH121+BJ121+BL121+BN121+BP121+BR121+BT121+BV121+BX121+BZ121+CB121+CD121+CF121</f>
        <v>46670167</v>
      </c>
      <c r="CI121" s="25">
        <f t="shared" si="231"/>
        <v>46670167</v>
      </c>
      <c r="CJ121" s="26">
        <f t="shared" si="4"/>
        <v>0</v>
      </c>
      <c r="CK121" s="26">
        <f t="shared" si="5"/>
        <v>0</v>
      </c>
    </row>
    <row r="122" spans="1:89" ht="90" customHeight="1" x14ac:dyDescent="0.3">
      <c r="A122" s="13" t="s">
        <v>248</v>
      </c>
      <c r="B122" s="14" t="s">
        <v>14</v>
      </c>
      <c r="C122" s="15" t="s">
        <v>519</v>
      </c>
      <c r="D122" s="14" t="s">
        <v>63</v>
      </c>
      <c r="E122" s="13" t="s">
        <v>250</v>
      </c>
      <c r="F122" s="13" t="s">
        <v>250</v>
      </c>
      <c r="G122" s="14">
        <v>68</v>
      </c>
      <c r="H122" s="13" t="s">
        <v>536</v>
      </c>
      <c r="I122" s="15" t="s">
        <v>521</v>
      </c>
      <c r="J122" s="14" t="s">
        <v>18</v>
      </c>
      <c r="K122" s="15" t="s">
        <v>86</v>
      </c>
      <c r="L122" s="14">
        <v>80111620</v>
      </c>
      <c r="M122" s="14" t="s">
        <v>19</v>
      </c>
      <c r="N122" s="14" t="s">
        <v>253</v>
      </c>
      <c r="O122" s="15" t="s">
        <v>537</v>
      </c>
      <c r="P122" s="14" t="s">
        <v>255</v>
      </c>
      <c r="Q122" s="14" t="s">
        <v>255</v>
      </c>
      <c r="R122" s="14" t="s">
        <v>255</v>
      </c>
      <c r="S122" s="17">
        <v>11.5</v>
      </c>
      <c r="T122" s="14" t="s">
        <v>256</v>
      </c>
      <c r="U122" s="14" t="s">
        <v>257</v>
      </c>
      <c r="V122" s="14" t="s">
        <v>112</v>
      </c>
      <c r="W122" s="18">
        <v>71604750</v>
      </c>
      <c r="X122" s="18">
        <v>71604750</v>
      </c>
      <c r="Y122" s="19" t="s">
        <v>339</v>
      </c>
      <c r="Z122" s="19" t="s">
        <v>258</v>
      </c>
      <c r="AA122" s="14" t="s">
        <v>523</v>
      </c>
      <c r="AB122" s="14" t="s">
        <v>524</v>
      </c>
      <c r="AC122" s="14">
        <v>6012220605</v>
      </c>
      <c r="AD122" s="14" t="s">
        <v>525</v>
      </c>
      <c r="AE122" s="82">
        <v>68491500</v>
      </c>
      <c r="AF122" s="82">
        <v>0</v>
      </c>
      <c r="AG122" s="82">
        <v>0</v>
      </c>
      <c r="AH122" s="82">
        <v>3113250</v>
      </c>
      <c r="AI122" s="82">
        <v>0</v>
      </c>
      <c r="AJ122" s="82">
        <v>6226500</v>
      </c>
      <c r="AK122" s="82">
        <v>0</v>
      </c>
      <c r="AL122" s="82">
        <v>6226500</v>
      </c>
      <c r="AM122" s="82">
        <v>0</v>
      </c>
      <c r="AN122" s="82">
        <v>6226500</v>
      </c>
      <c r="AO122" s="82">
        <v>0</v>
      </c>
      <c r="AP122" s="82">
        <v>6226500</v>
      </c>
      <c r="AQ122" s="82">
        <v>0</v>
      </c>
      <c r="AR122" s="82">
        <v>6226500</v>
      </c>
      <c r="AS122" s="82">
        <v>0</v>
      </c>
      <c r="AT122" s="82">
        <v>6226500</v>
      </c>
      <c r="AU122" s="82">
        <v>0</v>
      </c>
      <c r="AV122" s="82">
        <v>6226500</v>
      </c>
      <c r="AW122" s="82">
        <v>0</v>
      </c>
      <c r="AX122" s="82">
        <v>6226500</v>
      </c>
      <c r="AY122" s="82">
        <v>0</v>
      </c>
      <c r="AZ122" s="82">
        <v>6226500</v>
      </c>
      <c r="BA122" s="82">
        <v>3113250</v>
      </c>
      <c r="BB122" s="82">
        <v>12453000</v>
      </c>
      <c r="BC122" s="82">
        <f t="shared" ref="BC122:BD122" si="232">AE122+AG122+AI122+AK122+AM122+AO122+AQ122+AS122+AU122+AW122+AY122+BA122</f>
        <v>71604750</v>
      </c>
      <c r="BD122" s="82">
        <f t="shared" si="232"/>
        <v>71604750</v>
      </c>
      <c r="BE122" s="83">
        <f t="shared" si="1"/>
        <v>0</v>
      </c>
      <c r="BF122" s="83">
        <f t="shared" si="2"/>
        <v>0</v>
      </c>
      <c r="BG122" s="14" t="str">
        <f ca="1">IFERROR(__xludf.DUMMYFUNCTION("REGEXEXTRACT(O116,""^\S+\s(.+)$"")"),"Prestar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22" s="23">
        <v>68491500</v>
      </c>
      <c r="BI122" s="23"/>
      <c r="BJ122" s="23"/>
      <c r="BK122" s="23">
        <v>3113250</v>
      </c>
      <c r="BL122" s="23"/>
      <c r="BM122" s="23">
        <v>6226500</v>
      </c>
      <c r="BN122" s="23"/>
      <c r="BO122" s="23">
        <v>6226500</v>
      </c>
      <c r="BP122" s="23"/>
      <c r="BQ122" s="23">
        <v>6226500</v>
      </c>
      <c r="BR122" s="23"/>
      <c r="BS122" s="23">
        <v>6226500</v>
      </c>
      <c r="BT122" s="23"/>
      <c r="BU122" s="23">
        <v>6226500</v>
      </c>
      <c r="BV122" s="23"/>
      <c r="BW122" s="23">
        <v>6226500</v>
      </c>
      <c r="BX122" s="23"/>
      <c r="BY122" s="23">
        <v>6226500</v>
      </c>
      <c r="BZ122" s="23"/>
      <c r="CA122" s="23">
        <v>6226500</v>
      </c>
      <c r="CB122" s="23"/>
      <c r="CC122" s="23">
        <v>6226500</v>
      </c>
      <c r="CD122" s="23">
        <v>3113250</v>
      </c>
      <c r="CE122" s="23">
        <v>12453000</v>
      </c>
      <c r="CF122" s="28"/>
      <c r="CG122" s="28"/>
      <c r="CH122" s="25">
        <f t="shared" ref="CH122:CI122" si="233">BH122+BJ122+BL122+BN122+BP122+BR122+BT122+BV122+BX122+BZ122+CB122+CD122+CF122</f>
        <v>71604750</v>
      </c>
      <c r="CI122" s="25">
        <f t="shared" si="233"/>
        <v>71604750</v>
      </c>
      <c r="CJ122" s="26">
        <f t="shared" si="4"/>
        <v>0</v>
      </c>
      <c r="CK122" s="26">
        <f t="shared" si="5"/>
        <v>0</v>
      </c>
    </row>
    <row r="123" spans="1:89" ht="90" customHeight="1" x14ac:dyDescent="0.3">
      <c r="A123" s="13" t="s">
        <v>248</v>
      </c>
      <c r="B123" s="14" t="s">
        <v>14</v>
      </c>
      <c r="C123" s="15" t="s">
        <v>519</v>
      </c>
      <c r="D123" s="14" t="s">
        <v>63</v>
      </c>
      <c r="E123" s="13" t="s">
        <v>250</v>
      </c>
      <c r="F123" s="13" t="s">
        <v>250</v>
      </c>
      <c r="G123" s="14">
        <v>68</v>
      </c>
      <c r="H123" s="13" t="s">
        <v>538</v>
      </c>
      <c r="I123" s="15" t="s">
        <v>521</v>
      </c>
      <c r="J123" s="14" t="s">
        <v>18</v>
      </c>
      <c r="K123" s="15" t="s">
        <v>86</v>
      </c>
      <c r="L123" s="14">
        <v>80111620</v>
      </c>
      <c r="M123" s="14" t="s">
        <v>19</v>
      </c>
      <c r="N123" s="14" t="s">
        <v>253</v>
      </c>
      <c r="O123" s="15" t="s">
        <v>539</v>
      </c>
      <c r="P123" s="14" t="s">
        <v>255</v>
      </c>
      <c r="Q123" s="14" t="s">
        <v>255</v>
      </c>
      <c r="R123" s="14" t="s">
        <v>255</v>
      </c>
      <c r="S123" s="17">
        <v>11.5</v>
      </c>
      <c r="T123" s="14" t="s">
        <v>256</v>
      </c>
      <c r="U123" s="14" t="s">
        <v>257</v>
      </c>
      <c r="V123" s="14" t="s">
        <v>112</v>
      </c>
      <c r="W123" s="18">
        <v>6009896</v>
      </c>
      <c r="X123" s="18">
        <v>6009896</v>
      </c>
      <c r="Y123" s="19" t="s">
        <v>339</v>
      </c>
      <c r="Z123" s="19" t="s">
        <v>258</v>
      </c>
      <c r="AA123" s="14" t="s">
        <v>523</v>
      </c>
      <c r="AB123" s="14" t="s">
        <v>524</v>
      </c>
      <c r="AC123" s="14">
        <v>6012220607</v>
      </c>
      <c r="AD123" s="14" t="s">
        <v>525</v>
      </c>
      <c r="AE123" s="82">
        <v>0</v>
      </c>
      <c r="AF123" s="82">
        <v>0</v>
      </c>
      <c r="AG123" s="82">
        <v>6009896</v>
      </c>
      <c r="AH123" s="82">
        <v>0</v>
      </c>
      <c r="AI123" s="82">
        <v>0</v>
      </c>
      <c r="AJ123" s="82">
        <v>0</v>
      </c>
      <c r="AK123" s="82">
        <v>0</v>
      </c>
      <c r="AL123" s="82">
        <v>0</v>
      </c>
      <c r="AM123" s="82">
        <v>0</v>
      </c>
      <c r="AN123" s="82">
        <v>0</v>
      </c>
      <c r="AO123" s="82">
        <v>0</v>
      </c>
      <c r="AP123" s="82">
        <v>0</v>
      </c>
      <c r="AQ123" s="82">
        <v>0</v>
      </c>
      <c r="AR123" s="82">
        <v>0</v>
      </c>
      <c r="AS123" s="82">
        <v>0</v>
      </c>
      <c r="AT123" s="82">
        <v>0</v>
      </c>
      <c r="AU123" s="82">
        <v>0</v>
      </c>
      <c r="AV123" s="82">
        <v>0</v>
      </c>
      <c r="AW123" s="82">
        <v>0</v>
      </c>
      <c r="AX123" s="82">
        <v>0</v>
      </c>
      <c r="AY123" s="82">
        <v>0</v>
      </c>
      <c r="AZ123" s="82">
        <v>0</v>
      </c>
      <c r="BA123" s="82">
        <v>0</v>
      </c>
      <c r="BB123" s="82">
        <v>6009896</v>
      </c>
      <c r="BC123" s="82">
        <f t="shared" ref="BC123:BD123" si="234">AE123+AG123+AI123+AK123+AM123+AO123+AQ123+AS123+AU123+AW123+AY123+BA123</f>
        <v>6009896</v>
      </c>
      <c r="BD123" s="82">
        <f t="shared" si="234"/>
        <v>6009896</v>
      </c>
      <c r="BE123" s="83">
        <f t="shared" si="1"/>
        <v>0</v>
      </c>
      <c r="BF123" s="83">
        <f t="shared" si="2"/>
        <v>0</v>
      </c>
      <c r="BG123" s="14" t="str">
        <f ca="1">IFERROR(__xludf.DUMMYFUNCTION("REGEXEXTRACT(O117,""^\S+\s(.+)$"")"),"Prestar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123" s="23"/>
      <c r="BI123" s="23"/>
      <c r="BJ123" s="23">
        <v>6009896</v>
      </c>
      <c r="BK123" s="23"/>
      <c r="BL123" s="23"/>
      <c r="BM123" s="23"/>
      <c r="BN123" s="23"/>
      <c r="BO123" s="23"/>
      <c r="BP123" s="23"/>
      <c r="BQ123" s="23"/>
      <c r="BR123" s="23"/>
      <c r="BS123" s="23"/>
      <c r="BT123" s="23"/>
      <c r="BU123" s="23"/>
      <c r="BV123" s="23"/>
      <c r="BW123" s="23"/>
      <c r="BX123" s="23"/>
      <c r="BY123" s="23"/>
      <c r="BZ123" s="23"/>
      <c r="CA123" s="23"/>
      <c r="CB123" s="23"/>
      <c r="CC123" s="23"/>
      <c r="CD123" s="23"/>
      <c r="CE123" s="23">
        <v>6009896</v>
      </c>
      <c r="CF123" s="28"/>
      <c r="CG123" s="28"/>
      <c r="CH123" s="25">
        <f t="shared" ref="CH123:CI123" si="235">BH123+BJ123+BL123+BN123+BP123+BR123+BT123+BV123+BX123+BZ123+CB123+CD123+CF123</f>
        <v>6009896</v>
      </c>
      <c r="CI123" s="25">
        <f t="shared" si="235"/>
        <v>6009896</v>
      </c>
      <c r="CJ123" s="26">
        <f t="shared" si="4"/>
        <v>0</v>
      </c>
      <c r="CK123" s="26">
        <f t="shared" si="5"/>
        <v>0</v>
      </c>
    </row>
    <row r="124" spans="1:89" ht="90" customHeight="1" x14ac:dyDescent="0.3">
      <c r="A124" s="13" t="s">
        <v>248</v>
      </c>
      <c r="B124" s="14" t="s">
        <v>14</v>
      </c>
      <c r="C124" s="15" t="s">
        <v>519</v>
      </c>
      <c r="D124" s="14" t="s">
        <v>63</v>
      </c>
      <c r="E124" s="13" t="s">
        <v>250</v>
      </c>
      <c r="F124" s="13" t="s">
        <v>250</v>
      </c>
      <c r="G124" s="14">
        <v>68</v>
      </c>
      <c r="H124" s="13" t="s">
        <v>540</v>
      </c>
      <c r="I124" s="15" t="s">
        <v>521</v>
      </c>
      <c r="J124" s="14" t="s">
        <v>18</v>
      </c>
      <c r="K124" s="15" t="s">
        <v>86</v>
      </c>
      <c r="L124" s="14">
        <v>80111620</v>
      </c>
      <c r="M124" s="14" t="s">
        <v>19</v>
      </c>
      <c r="N124" s="14" t="s">
        <v>253</v>
      </c>
      <c r="O124" s="15" t="s">
        <v>541</v>
      </c>
      <c r="P124" s="14" t="s">
        <v>255</v>
      </c>
      <c r="Q124" s="14" t="s">
        <v>255</v>
      </c>
      <c r="R124" s="14" t="s">
        <v>255</v>
      </c>
      <c r="S124" s="17">
        <v>11.5</v>
      </c>
      <c r="T124" s="14" t="s">
        <v>256</v>
      </c>
      <c r="U124" s="14" t="s">
        <v>257</v>
      </c>
      <c r="V124" s="14" t="s">
        <v>112</v>
      </c>
      <c r="W124" s="18">
        <v>6009896</v>
      </c>
      <c r="X124" s="18">
        <v>6009896</v>
      </c>
      <c r="Y124" s="19" t="s">
        <v>339</v>
      </c>
      <c r="Z124" s="19" t="s">
        <v>258</v>
      </c>
      <c r="AA124" s="14" t="s">
        <v>523</v>
      </c>
      <c r="AB124" s="14" t="s">
        <v>524</v>
      </c>
      <c r="AC124" s="14">
        <v>6012220607</v>
      </c>
      <c r="AD124" s="14" t="s">
        <v>525</v>
      </c>
      <c r="AE124" s="82">
        <v>0</v>
      </c>
      <c r="AF124" s="82">
        <v>0</v>
      </c>
      <c r="AG124" s="82">
        <v>0</v>
      </c>
      <c r="AH124" s="82">
        <v>0</v>
      </c>
      <c r="AI124" s="82">
        <v>0</v>
      </c>
      <c r="AJ124" s="82">
        <v>0</v>
      </c>
      <c r="AK124" s="82">
        <v>0</v>
      </c>
      <c r="AL124" s="82">
        <v>0</v>
      </c>
      <c r="AM124" s="82">
        <v>0</v>
      </c>
      <c r="AN124" s="82">
        <v>0</v>
      </c>
      <c r="AO124" s="82">
        <v>0</v>
      </c>
      <c r="AP124" s="82">
        <v>0</v>
      </c>
      <c r="AQ124" s="82">
        <v>6009896</v>
      </c>
      <c r="AR124" s="82">
        <v>0</v>
      </c>
      <c r="AS124" s="82">
        <v>0</v>
      </c>
      <c r="AT124" s="82">
        <v>0</v>
      </c>
      <c r="AU124" s="82">
        <v>0</v>
      </c>
      <c r="AV124" s="82">
        <v>0</v>
      </c>
      <c r="AW124" s="82">
        <v>0</v>
      </c>
      <c r="AX124" s="82">
        <v>2000000</v>
      </c>
      <c r="AY124" s="82">
        <v>0</v>
      </c>
      <c r="AZ124" s="82">
        <v>2000000</v>
      </c>
      <c r="BA124" s="82">
        <v>0</v>
      </c>
      <c r="BB124" s="82">
        <v>2009896</v>
      </c>
      <c r="BC124" s="82">
        <f t="shared" ref="BC124:BD124" si="236">AE124+AG124+AI124+AK124+AM124+AO124+AQ124+AS124+AU124+AW124+AY124+BA124</f>
        <v>6009896</v>
      </c>
      <c r="BD124" s="82">
        <f t="shared" si="236"/>
        <v>6009896</v>
      </c>
      <c r="BE124" s="83">
        <f t="shared" si="1"/>
        <v>0</v>
      </c>
      <c r="BF124" s="83">
        <f t="shared" si="2"/>
        <v>0</v>
      </c>
      <c r="BG124" s="14" t="str">
        <f ca="1">IFERROR(__xludf.DUMMYFUNCTION("REGEXEXTRACT(O118,""^\S+\s(.+)$"")"),"Prestar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124" s="23"/>
      <c r="BI124" s="23"/>
      <c r="BJ124" s="23"/>
      <c r="BK124" s="23"/>
      <c r="BL124" s="23"/>
      <c r="BM124" s="23"/>
      <c r="BN124" s="23"/>
      <c r="BO124" s="23"/>
      <c r="BP124" s="23"/>
      <c r="BQ124" s="23"/>
      <c r="BR124" s="23"/>
      <c r="BS124" s="23"/>
      <c r="BT124" s="23">
        <v>6009896</v>
      </c>
      <c r="BU124" s="23"/>
      <c r="BV124" s="23"/>
      <c r="BW124" s="23"/>
      <c r="BX124" s="23"/>
      <c r="BY124" s="23"/>
      <c r="BZ124" s="23"/>
      <c r="CA124" s="23">
        <v>2000000</v>
      </c>
      <c r="CB124" s="23"/>
      <c r="CC124" s="23">
        <v>2000000</v>
      </c>
      <c r="CD124" s="23"/>
      <c r="CE124" s="23">
        <v>2009896</v>
      </c>
      <c r="CF124" s="28"/>
      <c r="CG124" s="28"/>
      <c r="CH124" s="25">
        <f t="shared" ref="CH124:CI124" si="237">BH124+BJ124+BL124+BN124+BP124+BR124+BT124+BV124+BX124+BZ124+CB124+CD124+CF124</f>
        <v>6009896</v>
      </c>
      <c r="CI124" s="25">
        <f t="shared" si="237"/>
        <v>6009896</v>
      </c>
      <c r="CJ124" s="26">
        <f t="shared" si="4"/>
        <v>0</v>
      </c>
      <c r="CK124" s="26">
        <f t="shared" si="5"/>
        <v>0</v>
      </c>
    </row>
    <row r="125" spans="1:89" ht="90" customHeight="1" x14ac:dyDescent="0.3">
      <c r="A125" s="13" t="s">
        <v>248</v>
      </c>
      <c r="B125" s="14" t="s">
        <v>14</v>
      </c>
      <c r="C125" s="15" t="s">
        <v>519</v>
      </c>
      <c r="D125" s="14" t="s">
        <v>63</v>
      </c>
      <c r="E125" s="13" t="s">
        <v>250</v>
      </c>
      <c r="F125" s="13" t="s">
        <v>250</v>
      </c>
      <c r="G125" s="14">
        <v>68</v>
      </c>
      <c r="H125" s="13" t="s">
        <v>542</v>
      </c>
      <c r="I125" s="15" t="s">
        <v>521</v>
      </c>
      <c r="J125" s="14" t="s">
        <v>18</v>
      </c>
      <c r="K125" s="15" t="s">
        <v>86</v>
      </c>
      <c r="L125" s="14">
        <v>80111620</v>
      </c>
      <c r="M125" s="14" t="s">
        <v>19</v>
      </c>
      <c r="N125" s="14" t="s">
        <v>253</v>
      </c>
      <c r="O125" s="15" t="s">
        <v>543</v>
      </c>
      <c r="P125" s="14" t="s">
        <v>255</v>
      </c>
      <c r="Q125" s="14" t="s">
        <v>255</v>
      </c>
      <c r="R125" s="14" t="s">
        <v>255</v>
      </c>
      <c r="S125" s="17">
        <v>11.5</v>
      </c>
      <c r="T125" s="14" t="s">
        <v>256</v>
      </c>
      <c r="U125" s="14" t="s">
        <v>257</v>
      </c>
      <c r="V125" s="14" t="s">
        <v>112</v>
      </c>
      <c r="W125" s="18">
        <v>6009896</v>
      </c>
      <c r="X125" s="18">
        <v>6009896</v>
      </c>
      <c r="Y125" s="19" t="s">
        <v>339</v>
      </c>
      <c r="Z125" s="19" t="s">
        <v>258</v>
      </c>
      <c r="AA125" s="14" t="s">
        <v>523</v>
      </c>
      <c r="AB125" s="14" t="s">
        <v>524</v>
      </c>
      <c r="AC125" s="14">
        <v>6012220607</v>
      </c>
      <c r="AD125" s="14" t="s">
        <v>525</v>
      </c>
      <c r="AE125" s="82">
        <v>0</v>
      </c>
      <c r="AF125" s="82">
        <v>0</v>
      </c>
      <c r="AG125" s="82">
        <v>0</v>
      </c>
      <c r="AH125" s="82">
        <v>0</v>
      </c>
      <c r="AI125" s="82">
        <v>0</v>
      </c>
      <c r="AJ125" s="82">
        <v>0</v>
      </c>
      <c r="AK125" s="82">
        <v>0</v>
      </c>
      <c r="AL125" s="82">
        <v>0</v>
      </c>
      <c r="AM125" s="82">
        <v>0</v>
      </c>
      <c r="AN125" s="82">
        <v>0</v>
      </c>
      <c r="AO125" s="82">
        <v>0</v>
      </c>
      <c r="AP125" s="82">
        <v>0</v>
      </c>
      <c r="AQ125" s="82">
        <v>6009896</v>
      </c>
      <c r="AR125" s="82">
        <v>0</v>
      </c>
      <c r="AS125" s="82">
        <v>0</v>
      </c>
      <c r="AT125" s="82">
        <v>0</v>
      </c>
      <c r="AU125" s="82">
        <v>0</v>
      </c>
      <c r="AV125" s="82">
        <v>0</v>
      </c>
      <c r="AW125" s="82">
        <v>0</v>
      </c>
      <c r="AX125" s="82">
        <v>2000000</v>
      </c>
      <c r="AY125" s="82">
        <v>0</v>
      </c>
      <c r="AZ125" s="82">
        <v>2000000</v>
      </c>
      <c r="BA125" s="82">
        <v>0</v>
      </c>
      <c r="BB125" s="82">
        <v>2009896</v>
      </c>
      <c r="BC125" s="82">
        <f t="shared" ref="BC125:BD125" si="238">AE125+AG125+AI125+AK125+AM125+AO125+AQ125+AS125+AU125+AW125+AY125+BA125</f>
        <v>6009896</v>
      </c>
      <c r="BD125" s="82">
        <f t="shared" si="238"/>
        <v>6009896</v>
      </c>
      <c r="BE125" s="83">
        <f t="shared" si="1"/>
        <v>0</v>
      </c>
      <c r="BF125" s="83">
        <f t="shared" si="2"/>
        <v>0</v>
      </c>
      <c r="BG125" s="14" t="str">
        <f ca="1">IFERROR(__xludf.DUMMYFUNCTION("REGEXEXTRACT(O119,""^\S+\s(.+)$"")"),"Prestar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125" s="23"/>
      <c r="BI125" s="23"/>
      <c r="BJ125" s="23"/>
      <c r="BK125" s="23"/>
      <c r="BL125" s="23"/>
      <c r="BM125" s="23"/>
      <c r="BN125" s="23"/>
      <c r="BO125" s="23"/>
      <c r="BP125" s="23"/>
      <c r="BQ125" s="23"/>
      <c r="BR125" s="23"/>
      <c r="BS125" s="23"/>
      <c r="BT125" s="23">
        <v>6009896</v>
      </c>
      <c r="BU125" s="23"/>
      <c r="BV125" s="23"/>
      <c r="BW125" s="23"/>
      <c r="BX125" s="23"/>
      <c r="BY125" s="23"/>
      <c r="BZ125" s="23"/>
      <c r="CA125" s="23">
        <v>2000000</v>
      </c>
      <c r="CB125" s="23"/>
      <c r="CC125" s="23">
        <v>2000000</v>
      </c>
      <c r="CD125" s="23"/>
      <c r="CE125" s="23">
        <v>2009896</v>
      </c>
      <c r="CF125" s="28"/>
      <c r="CG125" s="28"/>
      <c r="CH125" s="25">
        <f t="shared" ref="CH125:CI125" si="239">BH125+BJ125+BL125+BN125+BP125+BR125+BT125+BV125+BX125+BZ125+CB125+CD125+CF125</f>
        <v>6009896</v>
      </c>
      <c r="CI125" s="25">
        <f t="shared" si="239"/>
        <v>6009896</v>
      </c>
      <c r="CJ125" s="26">
        <f t="shared" si="4"/>
        <v>0</v>
      </c>
      <c r="CK125" s="26">
        <f t="shared" si="5"/>
        <v>0</v>
      </c>
    </row>
    <row r="126" spans="1:89" ht="90" customHeight="1" x14ac:dyDescent="0.3">
      <c r="A126" s="13" t="s">
        <v>248</v>
      </c>
      <c r="B126" s="14" t="s">
        <v>14</v>
      </c>
      <c r="C126" s="15" t="s">
        <v>519</v>
      </c>
      <c r="D126" s="14" t="s">
        <v>63</v>
      </c>
      <c r="E126" s="13" t="s">
        <v>250</v>
      </c>
      <c r="F126" s="13" t="s">
        <v>250</v>
      </c>
      <c r="G126" s="14">
        <v>20</v>
      </c>
      <c r="H126" s="13" t="s">
        <v>544</v>
      </c>
      <c r="I126" s="15" t="s">
        <v>521</v>
      </c>
      <c r="J126" s="14" t="s">
        <v>18</v>
      </c>
      <c r="K126" s="15" t="s">
        <v>86</v>
      </c>
      <c r="L126" s="14" t="s">
        <v>277</v>
      </c>
      <c r="M126" s="14" t="s">
        <v>19</v>
      </c>
      <c r="N126" s="14" t="s">
        <v>278</v>
      </c>
      <c r="O126" s="85" t="s">
        <v>545</v>
      </c>
      <c r="P126" s="14" t="s">
        <v>280</v>
      </c>
      <c r="Q126" s="14" t="s">
        <v>280</v>
      </c>
      <c r="R126" s="14" t="s">
        <v>281</v>
      </c>
      <c r="S126" s="17">
        <v>8</v>
      </c>
      <c r="T126" s="14" t="s">
        <v>256</v>
      </c>
      <c r="U126" s="14" t="s">
        <v>347</v>
      </c>
      <c r="V126" s="14" t="s">
        <v>112</v>
      </c>
      <c r="W126" s="18">
        <v>150000000</v>
      </c>
      <c r="X126" s="18">
        <v>150000000</v>
      </c>
      <c r="Y126" s="19" t="s">
        <v>339</v>
      </c>
      <c r="Z126" s="19" t="s">
        <v>258</v>
      </c>
      <c r="AA126" s="14" t="s">
        <v>523</v>
      </c>
      <c r="AB126" s="14" t="s">
        <v>524</v>
      </c>
      <c r="AC126" s="14">
        <v>6012220607</v>
      </c>
      <c r="AD126" s="14" t="s">
        <v>525</v>
      </c>
      <c r="AE126" s="82">
        <v>0</v>
      </c>
      <c r="AF126" s="82">
        <v>0</v>
      </c>
      <c r="AG126" s="82">
        <v>0</v>
      </c>
      <c r="AH126" s="82">
        <v>0</v>
      </c>
      <c r="AI126" s="82">
        <v>0</v>
      </c>
      <c r="AJ126" s="82">
        <v>0</v>
      </c>
      <c r="AK126" s="82">
        <v>46309367</v>
      </c>
      <c r="AL126" s="82">
        <v>0</v>
      </c>
      <c r="AM126" s="82">
        <v>0</v>
      </c>
      <c r="AN126" s="82">
        <v>0</v>
      </c>
      <c r="AO126" s="82">
        <v>0</v>
      </c>
      <c r="AP126" s="82">
        <v>46309367</v>
      </c>
      <c r="AQ126" s="82">
        <v>0</v>
      </c>
      <c r="AR126" s="82">
        <v>0</v>
      </c>
      <c r="AS126" s="82">
        <v>0</v>
      </c>
      <c r="AT126" s="82">
        <v>0</v>
      </c>
      <c r="AU126" s="82">
        <v>0</v>
      </c>
      <c r="AV126" s="82">
        <v>0</v>
      </c>
      <c r="AW126" s="82">
        <v>0</v>
      </c>
      <c r="AX126" s="82">
        <v>0</v>
      </c>
      <c r="AY126" s="82">
        <v>0</v>
      </c>
      <c r="AZ126" s="82">
        <v>0</v>
      </c>
      <c r="BA126" s="82">
        <v>0</v>
      </c>
      <c r="BB126" s="82">
        <v>0</v>
      </c>
      <c r="BC126" s="82">
        <f t="shared" ref="BC126:BD126" si="240">AE126+AG126+AI126+AK126+AM126+AO126+AQ126+AS126+AU126+AW126+AY126+BA126</f>
        <v>46309367</v>
      </c>
      <c r="BD126" s="82">
        <f t="shared" si="240"/>
        <v>46309367</v>
      </c>
      <c r="BE126" s="83">
        <f t="shared" si="1"/>
        <v>103690633</v>
      </c>
      <c r="BF126" s="83">
        <f t="shared" si="2"/>
        <v>103690633</v>
      </c>
      <c r="BG126" s="14" t="str">
        <f ca="1">IFERROR(__xludf.DUMMYFUNCTION("REGEXEXTRACT(O120,""^\S+\s(.+)$"")"),"Adquirir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26" s="23">
        <v>0</v>
      </c>
      <c r="BI126" s="23">
        <v>0</v>
      </c>
      <c r="BJ126" s="23">
        <v>0</v>
      </c>
      <c r="BK126" s="23">
        <v>0</v>
      </c>
      <c r="BL126" s="23">
        <v>0</v>
      </c>
      <c r="BM126" s="23">
        <v>0</v>
      </c>
      <c r="BN126" s="23">
        <v>0</v>
      </c>
      <c r="BO126" s="23">
        <v>0</v>
      </c>
      <c r="BP126" s="23">
        <v>0</v>
      </c>
      <c r="BQ126" s="23">
        <v>0</v>
      </c>
      <c r="BR126" s="23">
        <v>150000000</v>
      </c>
      <c r="BS126" s="23">
        <v>0</v>
      </c>
      <c r="BT126" s="23">
        <v>0</v>
      </c>
      <c r="BU126" s="23">
        <v>150000000</v>
      </c>
      <c r="BV126" s="23">
        <v>0</v>
      </c>
      <c r="BW126" s="23">
        <v>0</v>
      </c>
      <c r="BX126" s="23">
        <v>0</v>
      </c>
      <c r="BY126" s="23">
        <v>0</v>
      </c>
      <c r="BZ126" s="23">
        <v>0</v>
      </c>
      <c r="CA126" s="23">
        <v>0</v>
      </c>
      <c r="CB126" s="23">
        <v>0</v>
      </c>
      <c r="CC126" s="23">
        <v>0</v>
      </c>
      <c r="CD126" s="23">
        <v>0</v>
      </c>
      <c r="CE126" s="23">
        <v>0</v>
      </c>
      <c r="CF126" s="28"/>
      <c r="CG126" s="28"/>
      <c r="CH126" s="25">
        <f t="shared" ref="CH126:CI126" si="241">BH126+BJ126+BL126+BN126+BP126+BR126+BT126+BV126+BX126+BZ126+CB126+CD126+CF126</f>
        <v>150000000</v>
      </c>
      <c r="CI126" s="25">
        <f t="shared" si="241"/>
        <v>150000000</v>
      </c>
      <c r="CJ126" s="26">
        <f t="shared" si="4"/>
        <v>0</v>
      </c>
      <c r="CK126" s="26">
        <f t="shared" si="5"/>
        <v>0</v>
      </c>
    </row>
    <row r="127" spans="1:89" ht="90" customHeight="1" x14ac:dyDescent="0.3">
      <c r="A127" s="13" t="s">
        <v>248</v>
      </c>
      <c r="B127" s="14" t="s">
        <v>14</v>
      </c>
      <c r="C127" s="15" t="s">
        <v>519</v>
      </c>
      <c r="D127" s="14" t="s">
        <v>63</v>
      </c>
      <c r="E127" s="13" t="s">
        <v>250</v>
      </c>
      <c r="F127" s="13" t="s">
        <v>250</v>
      </c>
      <c r="G127" s="14" t="s">
        <v>546</v>
      </c>
      <c r="H127" s="13" t="s">
        <v>547</v>
      </c>
      <c r="I127" s="15" t="s">
        <v>521</v>
      </c>
      <c r="J127" s="14" t="s">
        <v>18</v>
      </c>
      <c r="K127" s="15" t="s">
        <v>86</v>
      </c>
      <c r="L127" s="14" t="s">
        <v>277</v>
      </c>
      <c r="M127" s="14" t="s">
        <v>19</v>
      </c>
      <c r="N127" s="14" t="s">
        <v>278</v>
      </c>
      <c r="O127" s="85" t="s">
        <v>548</v>
      </c>
      <c r="P127" s="14" t="s">
        <v>549</v>
      </c>
      <c r="Q127" s="14" t="s">
        <v>549</v>
      </c>
      <c r="R127" s="14" t="s">
        <v>280</v>
      </c>
      <c r="S127" s="17">
        <v>12</v>
      </c>
      <c r="T127" s="14" t="s">
        <v>256</v>
      </c>
      <c r="U127" s="14" t="s">
        <v>347</v>
      </c>
      <c r="V127" s="14" t="s">
        <v>113</v>
      </c>
      <c r="W127" s="18">
        <v>541383</v>
      </c>
      <c r="X127" s="18">
        <v>541383</v>
      </c>
      <c r="Y127" s="19" t="s">
        <v>339</v>
      </c>
      <c r="Z127" s="19" t="s">
        <v>258</v>
      </c>
      <c r="AA127" s="14" t="s">
        <v>530</v>
      </c>
      <c r="AB127" s="14" t="s">
        <v>524</v>
      </c>
      <c r="AC127" s="14">
        <v>6012220607</v>
      </c>
      <c r="AD127" s="14" t="s">
        <v>531</v>
      </c>
      <c r="AE127" s="82">
        <v>0</v>
      </c>
      <c r="AF127" s="82">
        <v>0</v>
      </c>
      <c r="AG127" s="82">
        <v>0</v>
      </c>
      <c r="AH127" s="82">
        <v>0</v>
      </c>
      <c r="AI127" s="82">
        <v>0</v>
      </c>
      <c r="AJ127" s="82">
        <v>0</v>
      </c>
      <c r="AK127" s="82">
        <v>541383</v>
      </c>
      <c r="AL127" s="82">
        <v>0</v>
      </c>
      <c r="AM127" s="82">
        <v>0</v>
      </c>
      <c r="AN127" s="82">
        <v>0</v>
      </c>
      <c r="AO127" s="82">
        <v>0</v>
      </c>
      <c r="AP127" s="82">
        <v>541383</v>
      </c>
      <c r="AQ127" s="82">
        <v>0</v>
      </c>
      <c r="AR127" s="82">
        <v>0</v>
      </c>
      <c r="AS127" s="82">
        <v>0</v>
      </c>
      <c r="AT127" s="82">
        <v>0</v>
      </c>
      <c r="AU127" s="82">
        <v>0</v>
      </c>
      <c r="AV127" s="82">
        <v>0</v>
      </c>
      <c r="AW127" s="82">
        <v>0</v>
      </c>
      <c r="AX127" s="82">
        <v>0</v>
      </c>
      <c r="AY127" s="82">
        <v>0</v>
      </c>
      <c r="AZ127" s="82">
        <v>0</v>
      </c>
      <c r="BA127" s="82">
        <v>0</v>
      </c>
      <c r="BB127" s="82">
        <v>0</v>
      </c>
      <c r="BC127" s="82">
        <f t="shared" ref="BC127:BD127" si="242">AE127+AG127+AI127+AK127+AM127+AO127+AQ127+AS127+AU127+AW127+AY127+BA127</f>
        <v>541383</v>
      </c>
      <c r="BD127" s="82">
        <f t="shared" si="242"/>
        <v>541383</v>
      </c>
      <c r="BE127" s="83">
        <f t="shared" si="1"/>
        <v>0</v>
      </c>
      <c r="BF127" s="83">
        <f t="shared" si="2"/>
        <v>0</v>
      </c>
      <c r="BG127" s="14" t="str">
        <f ca="1">IFERROR(__xludf.DUMMYFUNCTION("REGEXEXTRACT(O121,""^\S+\s(.+)$"")"),"Adquirir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27" s="23"/>
      <c r="BI127" s="23"/>
      <c r="BJ127" s="23"/>
      <c r="BK127" s="23"/>
      <c r="BL127" s="23"/>
      <c r="BM127" s="23"/>
      <c r="BN127" s="23">
        <v>541383</v>
      </c>
      <c r="BO127" s="23"/>
      <c r="BP127" s="23"/>
      <c r="BQ127" s="23"/>
      <c r="BR127" s="23"/>
      <c r="BS127" s="23">
        <v>541383</v>
      </c>
      <c r="BT127" s="23"/>
      <c r="BU127" s="23"/>
      <c r="BV127" s="23"/>
      <c r="BW127" s="23"/>
      <c r="BX127" s="23"/>
      <c r="BY127" s="23"/>
      <c r="BZ127" s="23"/>
      <c r="CA127" s="23"/>
      <c r="CB127" s="23"/>
      <c r="CC127" s="23"/>
      <c r="CD127" s="23"/>
      <c r="CE127" s="23"/>
      <c r="CF127" s="28"/>
      <c r="CG127" s="28"/>
      <c r="CH127" s="25">
        <f t="shared" ref="CH127:CI127" si="243">BH127+BJ127+BL127+BN127+BP127+BR127+BT127+BV127+BX127+BZ127+CB127+CD127+CF127</f>
        <v>541383</v>
      </c>
      <c r="CI127" s="25">
        <f t="shared" si="243"/>
        <v>541383</v>
      </c>
      <c r="CJ127" s="26">
        <f t="shared" si="4"/>
        <v>0</v>
      </c>
      <c r="CK127" s="26">
        <f t="shared" si="5"/>
        <v>0</v>
      </c>
    </row>
    <row r="128" spans="1:89" ht="90" customHeight="1" x14ac:dyDescent="0.3">
      <c r="A128" s="13" t="s">
        <v>248</v>
      </c>
      <c r="B128" s="14" t="s">
        <v>14</v>
      </c>
      <c r="C128" s="15" t="s">
        <v>519</v>
      </c>
      <c r="D128" s="14" t="s">
        <v>63</v>
      </c>
      <c r="E128" s="13" t="s">
        <v>250</v>
      </c>
      <c r="F128" s="13" t="s">
        <v>250</v>
      </c>
      <c r="G128" s="14">
        <v>20</v>
      </c>
      <c r="H128" s="13" t="s">
        <v>550</v>
      </c>
      <c r="I128" s="15" t="s">
        <v>521</v>
      </c>
      <c r="J128" s="14" t="s">
        <v>18</v>
      </c>
      <c r="K128" s="15" t="s">
        <v>86</v>
      </c>
      <c r="L128" s="14">
        <v>80111620</v>
      </c>
      <c r="M128" s="14" t="s">
        <v>19</v>
      </c>
      <c r="N128" s="14" t="s">
        <v>253</v>
      </c>
      <c r="O128" s="15" t="s">
        <v>551</v>
      </c>
      <c r="P128" s="14" t="s">
        <v>255</v>
      </c>
      <c r="Q128" s="14" t="s">
        <v>255</v>
      </c>
      <c r="R128" s="14" t="s">
        <v>255</v>
      </c>
      <c r="S128" s="17">
        <v>7</v>
      </c>
      <c r="T128" s="14" t="s">
        <v>256</v>
      </c>
      <c r="U128" s="14" t="s">
        <v>257</v>
      </c>
      <c r="V128" s="14" t="s">
        <v>112</v>
      </c>
      <c r="W128" s="18">
        <v>84000000</v>
      </c>
      <c r="X128" s="18">
        <v>84000000</v>
      </c>
      <c r="Y128" s="19" t="s">
        <v>339</v>
      </c>
      <c r="Z128" s="19" t="s">
        <v>258</v>
      </c>
      <c r="AA128" s="14" t="s">
        <v>523</v>
      </c>
      <c r="AB128" s="14" t="s">
        <v>524</v>
      </c>
      <c r="AC128" s="14">
        <v>6012220607</v>
      </c>
      <c r="AD128" s="14" t="s">
        <v>525</v>
      </c>
      <c r="AE128" s="82">
        <v>0</v>
      </c>
      <c r="AF128" s="82">
        <v>0</v>
      </c>
      <c r="AG128" s="82">
        <v>95450000</v>
      </c>
      <c r="AH128" s="82">
        <v>0</v>
      </c>
      <c r="AI128" s="82">
        <v>0</v>
      </c>
      <c r="AJ128" s="82">
        <v>8300000</v>
      </c>
      <c r="AK128" s="82">
        <v>0</v>
      </c>
      <c r="AL128" s="82">
        <v>8300000</v>
      </c>
      <c r="AM128" s="82">
        <v>0</v>
      </c>
      <c r="AN128" s="82">
        <v>8300000</v>
      </c>
      <c r="AO128" s="82">
        <v>0</v>
      </c>
      <c r="AP128" s="82">
        <v>8300000</v>
      </c>
      <c r="AQ128" s="82">
        <v>0</v>
      </c>
      <c r="AR128" s="82">
        <v>8300000</v>
      </c>
      <c r="AS128" s="82">
        <v>0</v>
      </c>
      <c r="AT128" s="82">
        <v>8300000</v>
      </c>
      <c r="AU128" s="82">
        <v>0</v>
      </c>
      <c r="AV128" s="82">
        <v>8300000</v>
      </c>
      <c r="AW128" s="82">
        <v>0</v>
      </c>
      <c r="AX128" s="82">
        <v>8300000</v>
      </c>
      <c r="AY128" s="82">
        <v>0</v>
      </c>
      <c r="AZ128" s="82">
        <v>8300000</v>
      </c>
      <c r="BA128" s="82">
        <v>0</v>
      </c>
      <c r="BB128" s="82">
        <v>20750000</v>
      </c>
      <c r="BC128" s="82">
        <f t="shared" ref="BC128:BD128" si="244">AE128+AG128+AI128+AK128+AM128+AO128+AQ128+AS128+AU128+AW128+AY128+BA128</f>
        <v>95450000</v>
      </c>
      <c r="BD128" s="82">
        <f t="shared" si="244"/>
        <v>95450000</v>
      </c>
      <c r="BE128" s="83">
        <f t="shared" si="1"/>
        <v>-11450000</v>
      </c>
      <c r="BF128" s="83">
        <f t="shared" si="2"/>
        <v>-11450000</v>
      </c>
      <c r="BG128" s="14" t="str">
        <f ca="1">IFERROR(__xludf.DUMMYFUNCTION("REGEXEXTRACT(O122,""^\S+\s(.+)$"")"),"Prestar servicios profesionales en comunicación estratégica para la planeación, desarrollo y ejecución de acciones de free press que promuevan la visibilidad institucional y la articulación intra e intersectorial de la Unidad de Planeación Minero Energéti"&amp;"ca – UPME, en el marco del proyecto Enfoque Territorial y bajo las orientaciones de la Dirección General.")</f>
        <v>Prestar servicios profesionales en comunicación estratégica para la planeación, desarrollo y ejecución de acciones de free press que promuevan la visibilidad institucional y la articulación intra e intersectorial de la Unidad de Planeación Minero Energética – UPME, en el marco del proyecto Enfoque Territorial y bajo las orientaciones de la Dirección General.</v>
      </c>
      <c r="BH128" s="23">
        <v>95450000</v>
      </c>
      <c r="BI128" s="23">
        <v>0</v>
      </c>
      <c r="BJ128" s="23">
        <v>0</v>
      </c>
      <c r="BK128" s="23">
        <v>12000000</v>
      </c>
      <c r="BL128" s="23">
        <v>0</v>
      </c>
      <c r="BM128" s="23">
        <v>12000000</v>
      </c>
      <c r="BN128" s="23">
        <v>-11450000</v>
      </c>
      <c r="BO128" s="23">
        <v>12000000</v>
      </c>
      <c r="BP128" s="23">
        <v>0</v>
      </c>
      <c r="BQ128" s="23">
        <v>12000000</v>
      </c>
      <c r="BR128" s="23">
        <v>0</v>
      </c>
      <c r="BS128" s="23">
        <v>12000000</v>
      </c>
      <c r="BT128" s="23">
        <v>0</v>
      </c>
      <c r="BU128" s="23">
        <v>12000000</v>
      </c>
      <c r="BV128" s="23">
        <v>0</v>
      </c>
      <c r="BW128" s="23">
        <v>12000000</v>
      </c>
      <c r="BX128" s="23">
        <v>0</v>
      </c>
      <c r="BY128" s="23"/>
      <c r="BZ128" s="23">
        <v>0</v>
      </c>
      <c r="CA128" s="23"/>
      <c r="CB128" s="23">
        <v>0</v>
      </c>
      <c r="CC128" s="23">
        <v>0</v>
      </c>
      <c r="CD128" s="23">
        <v>0</v>
      </c>
      <c r="CE128" s="23">
        <v>0</v>
      </c>
      <c r="CF128" s="28"/>
      <c r="CG128" s="28"/>
      <c r="CH128" s="25">
        <f t="shared" ref="CH128:CI128" si="245">BH128+BJ128+BL128+BN128+BP128+BR128+BT128+BV128+BX128+BZ128+CB128+CD128+CF128</f>
        <v>84000000</v>
      </c>
      <c r="CI128" s="25">
        <f t="shared" si="245"/>
        <v>84000000</v>
      </c>
      <c r="CJ128" s="26">
        <f t="shared" si="4"/>
        <v>0</v>
      </c>
      <c r="CK128" s="26">
        <f t="shared" si="5"/>
        <v>0</v>
      </c>
    </row>
    <row r="129" spans="1:89" ht="90" customHeight="1" x14ac:dyDescent="0.3">
      <c r="A129" s="13" t="s">
        <v>248</v>
      </c>
      <c r="B129" s="14" t="s">
        <v>14</v>
      </c>
      <c r="C129" s="15" t="s">
        <v>519</v>
      </c>
      <c r="D129" s="14" t="s">
        <v>63</v>
      </c>
      <c r="E129" s="13" t="s">
        <v>250</v>
      </c>
      <c r="F129" s="13" t="s">
        <v>250</v>
      </c>
      <c r="G129" s="14">
        <v>68</v>
      </c>
      <c r="H129" s="13" t="s">
        <v>552</v>
      </c>
      <c r="I129" s="15" t="s">
        <v>521</v>
      </c>
      <c r="J129" s="14" t="s">
        <v>15</v>
      </c>
      <c r="K129" s="15" t="s">
        <v>70</v>
      </c>
      <c r="L129" s="14">
        <v>80111620</v>
      </c>
      <c r="M129" s="14" t="s">
        <v>16</v>
      </c>
      <c r="N129" s="14" t="s">
        <v>253</v>
      </c>
      <c r="O129" s="15" t="s">
        <v>553</v>
      </c>
      <c r="P129" s="14" t="s">
        <v>255</v>
      </c>
      <c r="Q129" s="14" t="s">
        <v>255</v>
      </c>
      <c r="R129" s="14" t="s">
        <v>255</v>
      </c>
      <c r="S129" s="17">
        <v>11.5</v>
      </c>
      <c r="T129" s="14" t="s">
        <v>256</v>
      </c>
      <c r="U129" s="14" t="s">
        <v>257</v>
      </c>
      <c r="V129" s="14" t="s">
        <v>112</v>
      </c>
      <c r="W129" s="18">
        <v>84718200</v>
      </c>
      <c r="X129" s="18">
        <v>84718200</v>
      </c>
      <c r="Y129" s="19" t="s">
        <v>339</v>
      </c>
      <c r="Z129" s="19" t="s">
        <v>258</v>
      </c>
      <c r="AA129" s="14" t="s">
        <v>523</v>
      </c>
      <c r="AB129" s="14" t="s">
        <v>524</v>
      </c>
      <c r="AC129" s="14">
        <v>6012220607</v>
      </c>
      <c r="AD129" s="14" t="s">
        <v>525</v>
      </c>
      <c r="AE129" s="82">
        <v>84718200</v>
      </c>
      <c r="AF129" s="82">
        <v>0</v>
      </c>
      <c r="AG129" s="82">
        <v>0</v>
      </c>
      <c r="AH129" s="82">
        <v>3683400</v>
      </c>
      <c r="AI129" s="82">
        <v>0</v>
      </c>
      <c r="AJ129" s="82">
        <v>7366800</v>
      </c>
      <c r="AK129" s="82">
        <v>0</v>
      </c>
      <c r="AL129" s="82">
        <v>7366800</v>
      </c>
      <c r="AM129" s="82">
        <v>0</v>
      </c>
      <c r="AN129" s="82">
        <v>7366800</v>
      </c>
      <c r="AO129" s="82">
        <v>0</v>
      </c>
      <c r="AP129" s="82">
        <v>7366800</v>
      </c>
      <c r="AQ129" s="82">
        <v>0</v>
      </c>
      <c r="AR129" s="82">
        <v>7366800</v>
      </c>
      <c r="AS129" s="82">
        <v>0</v>
      </c>
      <c r="AT129" s="82">
        <v>7366800</v>
      </c>
      <c r="AU129" s="82">
        <v>0</v>
      </c>
      <c r="AV129" s="82">
        <v>7366800</v>
      </c>
      <c r="AW129" s="82">
        <v>0</v>
      </c>
      <c r="AX129" s="82">
        <v>7366800</v>
      </c>
      <c r="AY129" s="82">
        <v>0</v>
      </c>
      <c r="AZ129" s="82">
        <v>7366800</v>
      </c>
      <c r="BA129" s="82">
        <v>0</v>
      </c>
      <c r="BB129" s="82">
        <v>14733600</v>
      </c>
      <c r="BC129" s="82">
        <f t="shared" ref="BC129:BD129" si="246">AE129+AG129+AI129+AK129+AM129+AO129+AQ129+AS129+AU129+AW129+AY129+BA129</f>
        <v>84718200</v>
      </c>
      <c r="BD129" s="82">
        <f t="shared" si="246"/>
        <v>84718200</v>
      </c>
      <c r="BE129" s="83">
        <f t="shared" si="1"/>
        <v>0</v>
      </c>
      <c r="BF129" s="83">
        <f t="shared" si="2"/>
        <v>0</v>
      </c>
      <c r="BG129" s="14" t="str">
        <f ca="1">IFERROR(__xludf.DUMMYFUNCTION("REGEXEXTRACT(O123,""^\S+\s(.+)$"")"),"Prestar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29" s="23">
        <v>84718200</v>
      </c>
      <c r="BI129" s="23"/>
      <c r="BJ129" s="23"/>
      <c r="BK129" s="23">
        <v>3683400</v>
      </c>
      <c r="BL129" s="23"/>
      <c r="BM129" s="23">
        <v>7366800</v>
      </c>
      <c r="BN129" s="23"/>
      <c r="BO129" s="23">
        <v>7366800</v>
      </c>
      <c r="BP129" s="23"/>
      <c r="BQ129" s="23">
        <v>7366800</v>
      </c>
      <c r="BR129" s="23"/>
      <c r="BS129" s="23">
        <v>7366800</v>
      </c>
      <c r="BT129" s="23"/>
      <c r="BU129" s="23">
        <v>7366800</v>
      </c>
      <c r="BV129" s="23"/>
      <c r="BW129" s="23">
        <v>7366800</v>
      </c>
      <c r="BX129" s="23"/>
      <c r="BY129" s="23">
        <v>7366800</v>
      </c>
      <c r="BZ129" s="23"/>
      <c r="CA129" s="23">
        <v>7366800</v>
      </c>
      <c r="CB129" s="23"/>
      <c r="CC129" s="23">
        <v>7366800</v>
      </c>
      <c r="CD129" s="23"/>
      <c r="CE129" s="23">
        <v>14733600</v>
      </c>
      <c r="CF129" s="28"/>
      <c r="CG129" s="28"/>
      <c r="CH129" s="25">
        <f t="shared" ref="CH129:CI129" si="247">BH129+BJ129+BL129+BN129+BP129+BR129+BT129+BV129+BX129+BZ129+CB129+CD129+CF129</f>
        <v>84718200</v>
      </c>
      <c r="CI129" s="25">
        <f t="shared" si="247"/>
        <v>84718200</v>
      </c>
      <c r="CJ129" s="26">
        <f t="shared" si="4"/>
        <v>0</v>
      </c>
      <c r="CK129" s="26">
        <f t="shared" si="5"/>
        <v>0</v>
      </c>
    </row>
    <row r="130" spans="1:89" ht="90" customHeight="1" x14ac:dyDescent="0.3">
      <c r="A130" s="13" t="s">
        <v>248</v>
      </c>
      <c r="B130" s="14" t="s">
        <v>14</v>
      </c>
      <c r="C130" s="15" t="s">
        <v>519</v>
      </c>
      <c r="D130" s="14" t="s">
        <v>63</v>
      </c>
      <c r="E130" s="13" t="s">
        <v>250</v>
      </c>
      <c r="F130" s="13" t="s">
        <v>250</v>
      </c>
      <c r="G130" s="29" t="s">
        <v>554</v>
      </c>
      <c r="H130" s="13" t="s">
        <v>555</v>
      </c>
      <c r="I130" s="15" t="s">
        <v>521</v>
      </c>
      <c r="J130" s="14" t="s">
        <v>15</v>
      </c>
      <c r="K130" s="15" t="s">
        <v>70</v>
      </c>
      <c r="L130" s="14">
        <v>80141607</v>
      </c>
      <c r="M130" s="14" t="s">
        <v>16</v>
      </c>
      <c r="N130" s="14" t="s">
        <v>284</v>
      </c>
      <c r="O130" s="15" t="s">
        <v>556</v>
      </c>
      <c r="P130" s="14" t="s">
        <v>255</v>
      </c>
      <c r="Q130" s="14" t="s">
        <v>255</v>
      </c>
      <c r="R130" s="14" t="s">
        <v>255</v>
      </c>
      <c r="S130" s="17">
        <v>11</v>
      </c>
      <c r="T130" s="14" t="s">
        <v>256</v>
      </c>
      <c r="U130" s="14" t="s">
        <v>286</v>
      </c>
      <c r="V130" s="14" t="s">
        <v>112</v>
      </c>
      <c r="W130" s="18">
        <v>4918152</v>
      </c>
      <c r="X130" s="18">
        <v>4918152</v>
      </c>
      <c r="Y130" s="19" t="s">
        <v>339</v>
      </c>
      <c r="Z130" s="19" t="s">
        <v>258</v>
      </c>
      <c r="AA130" s="14" t="s">
        <v>523</v>
      </c>
      <c r="AB130" s="14" t="s">
        <v>524</v>
      </c>
      <c r="AC130" s="14">
        <v>6012220607</v>
      </c>
      <c r="AD130" s="14" t="s">
        <v>525</v>
      </c>
      <c r="AE130" s="82">
        <v>4918152</v>
      </c>
      <c r="AF130" s="82">
        <v>0</v>
      </c>
      <c r="AG130" s="82">
        <v>0</v>
      </c>
      <c r="AH130" s="82">
        <v>0</v>
      </c>
      <c r="AI130" s="82">
        <v>0</v>
      </c>
      <c r="AJ130" s="82">
        <v>0</v>
      </c>
      <c r="AK130" s="82">
        <v>0</v>
      </c>
      <c r="AL130" s="82">
        <v>0</v>
      </c>
      <c r="AM130" s="82">
        <v>0</v>
      </c>
      <c r="AN130" s="82">
        <v>0</v>
      </c>
      <c r="AO130" s="82">
        <v>0</v>
      </c>
      <c r="AP130" s="82">
        <v>0</v>
      </c>
      <c r="AQ130" s="82">
        <v>0</v>
      </c>
      <c r="AR130" s="82">
        <v>0</v>
      </c>
      <c r="AS130" s="82">
        <v>0</v>
      </c>
      <c r="AT130" s="82">
        <v>0</v>
      </c>
      <c r="AU130" s="82">
        <v>0</v>
      </c>
      <c r="AV130" s="82">
        <v>0</v>
      </c>
      <c r="AW130" s="82">
        <v>0</v>
      </c>
      <c r="AX130" s="82">
        <v>0</v>
      </c>
      <c r="AY130" s="82">
        <v>0</v>
      </c>
      <c r="AZ130" s="82">
        <v>0</v>
      </c>
      <c r="BA130" s="82">
        <v>0</v>
      </c>
      <c r="BB130" s="82">
        <v>4918152</v>
      </c>
      <c r="BC130" s="82">
        <f t="shared" ref="BC130:BD130" si="248">AE130+AG130+AI130+AK130+AM130+AO130+AQ130+AS130+AU130+AW130+AY130+BA130</f>
        <v>4918152</v>
      </c>
      <c r="BD130" s="82">
        <f t="shared" si="248"/>
        <v>4918152</v>
      </c>
      <c r="BE130" s="83">
        <f t="shared" si="1"/>
        <v>0</v>
      </c>
      <c r="BF130" s="83">
        <f t="shared" si="2"/>
        <v>0</v>
      </c>
      <c r="BG130" s="14" t="str">
        <f ca="1">IFERROR(__xludf.DUMMYFUNCTION("REGEXEXTRACT(O124,""^\S+\s(.+)$"")"),"Prestación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130" s="23">
        <v>4918152</v>
      </c>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v>4918152</v>
      </c>
      <c r="CF130" s="28"/>
      <c r="CG130" s="28"/>
      <c r="CH130" s="25">
        <f t="shared" ref="CH130:CI130" si="249">BH130+BJ130+BL130+BN130+BP130+BR130+BT130+BV130+BX130+BZ130+CB130+CD130+CF130</f>
        <v>4918152</v>
      </c>
      <c r="CI130" s="25">
        <f t="shared" si="249"/>
        <v>4918152</v>
      </c>
      <c r="CJ130" s="26">
        <f t="shared" si="4"/>
        <v>0</v>
      </c>
      <c r="CK130" s="26">
        <f t="shared" si="5"/>
        <v>0</v>
      </c>
    </row>
    <row r="131" spans="1:89" ht="90" customHeight="1" x14ac:dyDescent="0.3">
      <c r="A131" s="13" t="s">
        <v>248</v>
      </c>
      <c r="B131" s="14" t="s">
        <v>14</v>
      </c>
      <c r="C131" s="15" t="s">
        <v>519</v>
      </c>
      <c r="D131" s="14" t="s">
        <v>63</v>
      </c>
      <c r="E131" s="13" t="s">
        <v>250</v>
      </c>
      <c r="F131" s="13" t="s">
        <v>250</v>
      </c>
      <c r="G131" s="14">
        <v>68</v>
      </c>
      <c r="H131" s="13" t="s">
        <v>557</v>
      </c>
      <c r="I131" s="15" t="s">
        <v>521</v>
      </c>
      <c r="J131" s="14" t="s">
        <v>15</v>
      </c>
      <c r="K131" s="15" t="s">
        <v>71</v>
      </c>
      <c r="L131" s="14">
        <v>80111620</v>
      </c>
      <c r="M131" s="14" t="s">
        <v>16</v>
      </c>
      <c r="N131" s="14" t="s">
        <v>253</v>
      </c>
      <c r="O131" s="15" t="s">
        <v>558</v>
      </c>
      <c r="P131" s="14" t="s">
        <v>255</v>
      </c>
      <c r="Q131" s="14" t="s">
        <v>255</v>
      </c>
      <c r="R131" s="14" t="s">
        <v>255</v>
      </c>
      <c r="S131" s="17">
        <v>11.5</v>
      </c>
      <c r="T131" s="14" t="s">
        <v>256</v>
      </c>
      <c r="U131" s="14" t="s">
        <v>257</v>
      </c>
      <c r="V131" s="14" t="s">
        <v>112</v>
      </c>
      <c r="W131" s="18">
        <v>96068700</v>
      </c>
      <c r="X131" s="18">
        <v>96068700</v>
      </c>
      <c r="Y131" s="19" t="s">
        <v>339</v>
      </c>
      <c r="Z131" s="19" t="s">
        <v>258</v>
      </c>
      <c r="AA131" s="14" t="s">
        <v>523</v>
      </c>
      <c r="AB131" s="14" t="s">
        <v>524</v>
      </c>
      <c r="AC131" s="14">
        <v>6012220608</v>
      </c>
      <c r="AD131" s="14" t="s">
        <v>525</v>
      </c>
      <c r="AE131" s="82">
        <v>96068700</v>
      </c>
      <c r="AF131" s="82">
        <v>0</v>
      </c>
      <c r="AG131" s="82">
        <v>0</v>
      </c>
      <c r="AH131" s="82">
        <v>4176900</v>
      </c>
      <c r="AI131" s="82">
        <v>0</v>
      </c>
      <c r="AJ131" s="82">
        <v>8353800</v>
      </c>
      <c r="AK131" s="82">
        <v>0</v>
      </c>
      <c r="AL131" s="82">
        <v>8353800</v>
      </c>
      <c r="AM131" s="82">
        <v>0</v>
      </c>
      <c r="AN131" s="82">
        <v>8353800</v>
      </c>
      <c r="AO131" s="82">
        <v>0</v>
      </c>
      <c r="AP131" s="82">
        <v>8353800</v>
      </c>
      <c r="AQ131" s="82">
        <v>0</v>
      </c>
      <c r="AR131" s="82">
        <v>8353800</v>
      </c>
      <c r="AS131" s="82">
        <v>0</v>
      </c>
      <c r="AT131" s="82">
        <v>8353800</v>
      </c>
      <c r="AU131" s="82">
        <v>0</v>
      </c>
      <c r="AV131" s="82">
        <v>8353800</v>
      </c>
      <c r="AW131" s="82">
        <v>0</v>
      </c>
      <c r="AX131" s="82">
        <v>8353800</v>
      </c>
      <c r="AY131" s="82">
        <v>0</v>
      </c>
      <c r="AZ131" s="82">
        <v>8353800</v>
      </c>
      <c r="BA131" s="82">
        <v>0</v>
      </c>
      <c r="BB131" s="82">
        <v>16707600</v>
      </c>
      <c r="BC131" s="82">
        <f t="shared" ref="BC131:BD131" si="250">AE131+AG131+AI131+AK131+AM131+AO131+AQ131+AS131+AU131+AW131+AY131+BA131</f>
        <v>96068700</v>
      </c>
      <c r="BD131" s="82">
        <f t="shared" si="250"/>
        <v>96068700</v>
      </c>
      <c r="BE131" s="83">
        <f t="shared" si="1"/>
        <v>0</v>
      </c>
      <c r="BF131" s="83">
        <f t="shared" si="2"/>
        <v>0</v>
      </c>
      <c r="BG131" s="14" t="str">
        <f ca="1">IFERROR(__xludf.DUMMYFUNCTION("REGEXEXTRACT(O125,""^\S+\s(.+)$"")"),"Prestar servicios profesionales para llevar a cabo la evaluación técnica y financiera de los proyectos energéticos que solicitan recursos a los diferentes fondos y mecanismos de financiación evaluados por la UPME, así como, liderar mesas técnicas, contrib"&amp;"uir en la definición de criterios de evaluación y brindar acompañamiento a nivel interno y externo en modalidad de capacitación.")</f>
        <v>Prestar servicios profesionales para llevar a cabo la evaluación técnica y financiera de los proyectos energéticos que solicitan recursos a los diferentes fondos y mecanismos de financiación evaluados por la UPME, así como, liderar mesas técnicas, contribuir en la definición de criterios de evaluación y brindar acompañamiento a nivel interno y externo en modalidad de capacitación.</v>
      </c>
      <c r="BH131" s="23">
        <v>96068700</v>
      </c>
      <c r="BI131" s="23"/>
      <c r="BJ131" s="23"/>
      <c r="BK131" s="23">
        <v>4176900</v>
      </c>
      <c r="BL131" s="23"/>
      <c r="BM131" s="23">
        <v>8353800</v>
      </c>
      <c r="BN131" s="23"/>
      <c r="BO131" s="23">
        <v>8353800</v>
      </c>
      <c r="BP131" s="23"/>
      <c r="BQ131" s="23">
        <v>8353800</v>
      </c>
      <c r="BR131" s="23"/>
      <c r="BS131" s="23">
        <v>8353800</v>
      </c>
      <c r="BT131" s="23"/>
      <c r="BU131" s="23">
        <v>8353800</v>
      </c>
      <c r="BV131" s="23"/>
      <c r="BW131" s="23">
        <v>8353800</v>
      </c>
      <c r="BX131" s="23"/>
      <c r="BY131" s="23">
        <v>8353800</v>
      </c>
      <c r="BZ131" s="23"/>
      <c r="CA131" s="23">
        <v>8353800</v>
      </c>
      <c r="CB131" s="23"/>
      <c r="CC131" s="23">
        <v>8353800</v>
      </c>
      <c r="CD131" s="23"/>
      <c r="CE131" s="23">
        <v>16707600</v>
      </c>
      <c r="CF131" s="28"/>
      <c r="CG131" s="28"/>
      <c r="CH131" s="25">
        <f t="shared" ref="CH131:CI131" si="251">BH131+BJ131+BL131+BN131+BP131+BR131+BT131+BV131+BX131+BZ131+CB131+CD131+CF131</f>
        <v>96068700</v>
      </c>
      <c r="CI131" s="25">
        <f t="shared" si="251"/>
        <v>96068700</v>
      </c>
      <c r="CJ131" s="26">
        <f t="shared" si="4"/>
        <v>0</v>
      </c>
      <c r="CK131" s="26">
        <f t="shared" si="5"/>
        <v>0</v>
      </c>
    </row>
    <row r="132" spans="1:89" ht="90" customHeight="1" x14ac:dyDescent="0.3">
      <c r="A132" s="13" t="s">
        <v>248</v>
      </c>
      <c r="B132" s="14" t="s">
        <v>14</v>
      </c>
      <c r="C132" s="15" t="s">
        <v>519</v>
      </c>
      <c r="D132" s="14" t="s">
        <v>63</v>
      </c>
      <c r="E132" s="13" t="s">
        <v>250</v>
      </c>
      <c r="F132" s="13" t="s">
        <v>250</v>
      </c>
      <c r="G132" s="14">
        <v>3</v>
      </c>
      <c r="H132" s="13" t="s">
        <v>559</v>
      </c>
      <c r="I132" s="15" t="s">
        <v>521</v>
      </c>
      <c r="J132" s="14" t="s">
        <v>15</v>
      </c>
      <c r="K132" s="15" t="s">
        <v>71</v>
      </c>
      <c r="L132" s="14">
        <v>80111620</v>
      </c>
      <c r="M132" s="14" t="s">
        <v>16</v>
      </c>
      <c r="N132" s="14" t="s">
        <v>253</v>
      </c>
      <c r="O132" s="15" t="s">
        <v>560</v>
      </c>
      <c r="P132" s="14" t="s">
        <v>255</v>
      </c>
      <c r="Q132" s="14" t="s">
        <v>255</v>
      </c>
      <c r="R132" s="14" t="s">
        <v>255</v>
      </c>
      <c r="S132" s="17">
        <v>6</v>
      </c>
      <c r="T132" s="14" t="s">
        <v>256</v>
      </c>
      <c r="U132" s="14" t="s">
        <v>257</v>
      </c>
      <c r="V132" s="14" t="s">
        <v>112</v>
      </c>
      <c r="W132" s="18">
        <v>47653200</v>
      </c>
      <c r="X132" s="18">
        <v>47653200</v>
      </c>
      <c r="Y132" s="19" t="s">
        <v>339</v>
      </c>
      <c r="Z132" s="19" t="s">
        <v>258</v>
      </c>
      <c r="AA132" s="14" t="s">
        <v>530</v>
      </c>
      <c r="AB132" s="14" t="s">
        <v>524</v>
      </c>
      <c r="AC132" s="14">
        <v>6012220607</v>
      </c>
      <c r="AD132" s="14" t="s">
        <v>531</v>
      </c>
      <c r="AE132" s="82">
        <v>47653200</v>
      </c>
      <c r="AF132" s="82">
        <v>0</v>
      </c>
      <c r="AG132" s="82">
        <v>0</v>
      </c>
      <c r="AH132" s="82">
        <v>7942200</v>
      </c>
      <c r="AI132" s="82">
        <v>0</v>
      </c>
      <c r="AJ132" s="82">
        <v>7942200</v>
      </c>
      <c r="AK132" s="82">
        <v>0</v>
      </c>
      <c r="AL132" s="82">
        <v>7942200</v>
      </c>
      <c r="AM132" s="82">
        <v>0</v>
      </c>
      <c r="AN132" s="82">
        <v>7942200</v>
      </c>
      <c r="AO132" s="82">
        <v>0</v>
      </c>
      <c r="AP132" s="82">
        <v>7942200</v>
      </c>
      <c r="AQ132" s="82">
        <v>0</v>
      </c>
      <c r="AR132" s="82">
        <v>7942200</v>
      </c>
      <c r="AS132" s="82">
        <v>0</v>
      </c>
      <c r="AT132" s="82">
        <v>0</v>
      </c>
      <c r="AU132" s="82">
        <v>0</v>
      </c>
      <c r="AV132" s="82">
        <v>0</v>
      </c>
      <c r="AW132" s="82">
        <v>0</v>
      </c>
      <c r="AX132" s="82">
        <v>0</v>
      </c>
      <c r="AY132" s="82">
        <v>0</v>
      </c>
      <c r="AZ132" s="82">
        <v>0</v>
      </c>
      <c r="BA132" s="82">
        <v>0</v>
      </c>
      <c r="BB132" s="82">
        <v>0</v>
      </c>
      <c r="BC132" s="82">
        <f t="shared" ref="BC132:BD132" si="252">AE132+AG132+AI132+AK132+AM132+AO132+AQ132+AS132+AU132+AW132+AY132+BA132</f>
        <v>47653200</v>
      </c>
      <c r="BD132" s="82">
        <f t="shared" si="252"/>
        <v>47653200</v>
      </c>
      <c r="BE132" s="83">
        <f t="shared" si="1"/>
        <v>0</v>
      </c>
      <c r="BF132" s="83">
        <f t="shared" si="2"/>
        <v>0</v>
      </c>
      <c r="BG132" s="14" t="str">
        <f ca="1">IFERROR(__xludf.DUMMYFUNCTION("REGEXEXTRACT(O126,""^\S+\s(.+)$"")"),"Prestar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32" s="23">
        <v>47653200</v>
      </c>
      <c r="BI132" s="23"/>
      <c r="BJ132" s="23"/>
      <c r="BK132" s="23">
        <v>7942200</v>
      </c>
      <c r="BL132" s="23"/>
      <c r="BM132" s="23">
        <v>7942200</v>
      </c>
      <c r="BN132" s="23"/>
      <c r="BO132" s="23">
        <v>7942200</v>
      </c>
      <c r="BP132" s="23"/>
      <c r="BQ132" s="23">
        <v>7942200</v>
      </c>
      <c r="BR132" s="23"/>
      <c r="BS132" s="23">
        <v>7942200</v>
      </c>
      <c r="BT132" s="23"/>
      <c r="BU132" s="23">
        <v>7942200</v>
      </c>
      <c r="BV132" s="23"/>
      <c r="BW132" s="23"/>
      <c r="BX132" s="23"/>
      <c r="BY132" s="23"/>
      <c r="BZ132" s="23"/>
      <c r="CA132" s="23"/>
      <c r="CB132" s="23"/>
      <c r="CC132" s="23"/>
      <c r="CD132" s="23"/>
      <c r="CE132" s="23"/>
      <c r="CF132" s="28"/>
      <c r="CG132" s="28"/>
      <c r="CH132" s="25">
        <f t="shared" ref="CH132:CI132" si="253">BH132+BJ132+BL132+BN132+BP132+BR132+BT132+BV132+BX132+BZ132+CB132+CD132+CF132</f>
        <v>47653200</v>
      </c>
      <c r="CI132" s="25">
        <f t="shared" si="253"/>
        <v>47653200</v>
      </c>
      <c r="CJ132" s="26">
        <f t="shared" si="4"/>
        <v>0</v>
      </c>
      <c r="CK132" s="26">
        <f t="shared" si="5"/>
        <v>0</v>
      </c>
    </row>
    <row r="133" spans="1:89" ht="90" customHeight="1" x14ac:dyDescent="0.3">
      <c r="A133" s="13" t="s">
        <v>248</v>
      </c>
      <c r="B133" s="14" t="s">
        <v>14</v>
      </c>
      <c r="C133" s="15" t="s">
        <v>519</v>
      </c>
      <c r="D133" s="14" t="s">
        <v>63</v>
      </c>
      <c r="E133" s="13" t="s">
        <v>250</v>
      </c>
      <c r="F133" s="13" t="s">
        <v>250</v>
      </c>
      <c r="G133" s="14">
        <v>68</v>
      </c>
      <c r="H133" s="13" t="s">
        <v>561</v>
      </c>
      <c r="I133" s="15" t="s">
        <v>521</v>
      </c>
      <c r="J133" s="14" t="s">
        <v>15</v>
      </c>
      <c r="K133" s="15" t="s">
        <v>71</v>
      </c>
      <c r="L133" s="14">
        <v>80111620</v>
      </c>
      <c r="M133" s="14" t="s">
        <v>16</v>
      </c>
      <c r="N133" s="14" t="s">
        <v>253</v>
      </c>
      <c r="O133" s="15" t="s">
        <v>562</v>
      </c>
      <c r="P133" s="14" t="s">
        <v>255</v>
      </c>
      <c r="Q133" s="14" t="s">
        <v>255</v>
      </c>
      <c r="R133" s="14" t="s">
        <v>255</v>
      </c>
      <c r="S133" s="17">
        <v>11.5</v>
      </c>
      <c r="T133" s="14" t="s">
        <v>256</v>
      </c>
      <c r="U133" s="14" t="s">
        <v>257</v>
      </c>
      <c r="V133" s="14" t="s">
        <v>112</v>
      </c>
      <c r="W133" s="18">
        <v>84718200</v>
      </c>
      <c r="X133" s="18">
        <v>84718200</v>
      </c>
      <c r="Y133" s="19" t="s">
        <v>339</v>
      </c>
      <c r="Z133" s="19" t="s">
        <v>258</v>
      </c>
      <c r="AA133" s="14" t="s">
        <v>523</v>
      </c>
      <c r="AB133" s="14" t="s">
        <v>524</v>
      </c>
      <c r="AC133" s="14">
        <v>6012220609</v>
      </c>
      <c r="AD133" s="14" t="s">
        <v>525</v>
      </c>
      <c r="AE133" s="82">
        <v>84718200</v>
      </c>
      <c r="AF133" s="82">
        <v>0</v>
      </c>
      <c r="AG133" s="82">
        <v>0</v>
      </c>
      <c r="AH133" s="82">
        <v>3683400</v>
      </c>
      <c r="AI133" s="82">
        <v>0</v>
      </c>
      <c r="AJ133" s="82">
        <v>7366800</v>
      </c>
      <c r="AK133" s="82">
        <v>0</v>
      </c>
      <c r="AL133" s="82">
        <v>7366800</v>
      </c>
      <c r="AM133" s="82">
        <v>0</v>
      </c>
      <c r="AN133" s="82">
        <v>7366800</v>
      </c>
      <c r="AO133" s="82">
        <v>0</v>
      </c>
      <c r="AP133" s="82">
        <v>7366800</v>
      </c>
      <c r="AQ133" s="82">
        <v>0</v>
      </c>
      <c r="AR133" s="82">
        <v>7366800</v>
      </c>
      <c r="AS133" s="82">
        <v>0</v>
      </c>
      <c r="AT133" s="82">
        <v>7366800</v>
      </c>
      <c r="AU133" s="82">
        <v>0</v>
      </c>
      <c r="AV133" s="82">
        <v>7366800</v>
      </c>
      <c r="AW133" s="82">
        <v>0</v>
      </c>
      <c r="AX133" s="82">
        <v>7366800</v>
      </c>
      <c r="AY133" s="82">
        <v>0</v>
      </c>
      <c r="AZ133" s="82">
        <v>7366800</v>
      </c>
      <c r="BA133" s="82">
        <v>0</v>
      </c>
      <c r="BB133" s="82">
        <v>14733600</v>
      </c>
      <c r="BC133" s="82">
        <f t="shared" ref="BC133:BD133" si="254">AE133+AG133+AI133+AK133+AM133+AO133+AQ133+AS133+AU133+AW133+AY133+BA133</f>
        <v>84718200</v>
      </c>
      <c r="BD133" s="82">
        <f t="shared" si="254"/>
        <v>84718200</v>
      </c>
      <c r="BE133" s="83">
        <f t="shared" si="1"/>
        <v>0</v>
      </c>
      <c r="BF133" s="83">
        <f t="shared" si="2"/>
        <v>0</v>
      </c>
      <c r="BG133" s="14" t="str">
        <f ca="1">IFERROR(__xludf.DUMMYFUNCTION("REGEXEXTRACT(O127,""^\S+\s(.+)$"")"),"Prestar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33" s="23">
        <v>84718200</v>
      </c>
      <c r="BI133" s="23"/>
      <c r="BJ133" s="23"/>
      <c r="BK133" s="23">
        <v>3683400</v>
      </c>
      <c r="BL133" s="23"/>
      <c r="BM133" s="23">
        <v>7366800</v>
      </c>
      <c r="BN133" s="23"/>
      <c r="BO133" s="23">
        <v>7366800</v>
      </c>
      <c r="BP133" s="23"/>
      <c r="BQ133" s="23">
        <v>7366800</v>
      </c>
      <c r="BR133" s="23"/>
      <c r="BS133" s="23">
        <v>7366800</v>
      </c>
      <c r="BT133" s="23"/>
      <c r="BU133" s="23">
        <v>7366800</v>
      </c>
      <c r="BV133" s="23"/>
      <c r="BW133" s="23">
        <v>7366800</v>
      </c>
      <c r="BX133" s="23"/>
      <c r="BY133" s="23">
        <v>7366800</v>
      </c>
      <c r="BZ133" s="23"/>
      <c r="CA133" s="23">
        <v>7366800</v>
      </c>
      <c r="CB133" s="23"/>
      <c r="CC133" s="23">
        <v>7366800</v>
      </c>
      <c r="CD133" s="23"/>
      <c r="CE133" s="23">
        <v>14733600</v>
      </c>
      <c r="CF133" s="28"/>
      <c r="CG133" s="28"/>
      <c r="CH133" s="25">
        <f t="shared" ref="CH133:CI133" si="255">BH133+BJ133+BL133+BN133+BP133+BR133+BT133+BV133+BX133+BZ133+CB133+CD133+CF133</f>
        <v>84718200</v>
      </c>
      <c r="CI133" s="25">
        <f t="shared" si="255"/>
        <v>84718200</v>
      </c>
      <c r="CJ133" s="26">
        <f t="shared" si="4"/>
        <v>0</v>
      </c>
      <c r="CK133" s="26">
        <f t="shared" si="5"/>
        <v>0</v>
      </c>
    </row>
    <row r="134" spans="1:89" ht="90" customHeight="1" x14ac:dyDescent="0.3">
      <c r="A134" s="13" t="s">
        <v>248</v>
      </c>
      <c r="B134" s="14" t="s">
        <v>14</v>
      </c>
      <c r="C134" s="15" t="s">
        <v>519</v>
      </c>
      <c r="D134" s="14" t="s">
        <v>63</v>
      </c>
      <c r="E134" s="13" t="s">
        <v>250</v>
      </c>
      <c r="F134" s="13" t="s">
        <v>250</v>
      </c>
      <c r="G134" s="14">
        <v>3</v>
      </c>
      <c r="H134" s="13" t="s">
        <v>563</v>
      </c>
      <c r="I134" s="15" t="s">
        <v>521</v>
      </c>
      <c r="J134" s="14" t="s">
        <v>15</v>
      </c>
      <c r="K134" s="15" t="s">
        <v>71</v>
      </c>
      <c r="L134" s="14">
        <v>80111620</v>
      </c>
      <c r="M134" s="14" t="s">
        <v>16</v>
      </c>
      <c r="N134" s="14" t="s">
        <v>253</v>
      </c>
      <c r="O134" s="15" t="s">
        <v>564</v>
      </c>
      <c r="P134" s="14" t="s">
        <v>255</v>
      </c>
      <c r="Q134" s="14" t="s">
        <v>255</v>
      </c>
      <c r="R134" s="14" t="s">
        <v>255</v>
      </c>
      <c r="S134" s="17">
        <v>6</v>
      </c>
      <c r="T134" s="14" t="s">
        <v>256</v>
      </c>
      <c r="U134" s="14" t="s">
        <v>257</v>
      </c>
      <c r="V134" s="14" t="s">
        <v>112</v>
      </c>
      <c r="W134" s="18">
        <v>47653200</v>
      </c>
      <c r="X134" s="18">
        <v>47653200</v>
      </c>
      <c r="Y134" s="19" t="s">
        <v>339</v>
      </c>
      <c r="Z134" s="19" t="s">
        <v>258</v>
      </c>
      <c r="AA134" s="14" t="s">
        <v>530</v>
      </c>
      <c r="AB134" s="14" t="s">
        <v>524</v>
      </c>
      <c r="AC134" s="14">
        <v>6012220607</v>
      </c>
      <c r="AD134" s="14" t="s">
        <v>531</v>
      </c>
      <c r="AE134" s="82">
        <v>37359000</v>
      </c>
      <c r="AF134" s="82">
        <v>0</v>
      </c>
      <c r="AG134" s="82">
        <v>0</v>
      </c>
      <c r="AH134" s="82">
        <v>0</v>
      </c>
      <c r="AI134" s="82">
        <v>0</v>
      </c>
      <c r="AJ134" s="82">
        <v>5590000</v>
      </c>
      <c r="AK134" s="82">
        <v>0</v>
      </c>
      <c r="AL134" s="82">
        <v>7942200</v>
      </c>
      <c r="AM134" s="82">
        <v>0</v>
      </c>
      <c r="AN134" s="82">
        <v>7942200</v>
      </c>
      <c r="AO134" s="82">
        <v>0</v>
      </c>
      <c r="AP134" s="82">
        <v>7942200</v>
      </c>
      <c r="AQ134" s="82">
        <v>0</v>
      </c>
      <c r="AR134" s="82">
        <v>7942200</v>
      </c>
      <c r="AS134" s="82">
        <v>10294200</v>
      </c>
      <c r="AT134" s="82">
        <v>7942200</v>
      </c>
      <c r="AU134" s="82">
        <v>0</v>
      </c>
      <c r="AV134" s="82">
        <v>2352200</v>
      </c>
      <c r="AW134" s="82">
        <v>0</v>
      </c>
      <c r="AX134" s="82">
        <v>0</v>
      </c>
      <c r="AY134" s="82">
        <v>0</v>
      </c>
      <c r="AZ134" s="82">
        <v>0</v>
      </c>
      <c r="BA134" s="82">
        <v>0</v>
      </c>
      <c r="BB134" s="82">
        <v>0</v>
      </c>
      <c r="BC134" s="82">
        <f t="shared" ref="BC134:BD134" si="256">AE134+AG134+AI134+AK134+AM134+AO134+AQ134+AS134+AU134+AW134+AY134+BA134</f>
        <v>47653200</v>
      </c>
      <c r="BD134" s="82">
        <f t="shared" si="256"/>
        <v>47653200</v>
      </c>
      <c r="BE134" s="83">
        <f t="shared" si="1"/>
        <v>0</v>
      </c>
      <c r="BF134" s="83">
        <f t="shared" si="2"/>
        <v>0</v>
      </c>
      <c r="BG134" s="14" t="str">
        <f ca="1">IFERROR(__xludf.DUMMYFUNCTION("REGEXEXTRACT(O128,""^\S+\s(.+)$"")"),"Prestar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34" s="23">
        <v>37359000</v>
      </c>
      <c r="BI134" s="23"/>
      <c r="BJ134" s="23"/>
      <c r="BK134" s="23"/>
      <c r="BL134" s="23"/>
      <c r="BM134" s="23">
        <v>5590000</v>
      </c>
      <c r="BN134" s="23"/>
      <c r="BO134" s="23">
        <v>7942200</v>
      </c>
      <c r="BP134" s="23"/>
      <c r="BQ134" s="23">
        <v>7942200</v>
      </c>
      <c r="BR134" s="23"/>
      <c r="BS134" s="23">
        <v>7942200</v>
      </c>
      <c r="BT134" s="23"/>
      <c r="BU134" s="23">
        <v>7942200</v>
      </c>
      <c r="BV134" s="23">
        <v>10294200</v>
      </c>
      <c r="BW134" s="23">
        <v>7942200</v>
      </c>
      <c r="BX134" s="23"/>
      <c r="BY134" s="23">
        <v>2352200</v>
      </c>
      <c r="BZ134" s="23"/>
      <c r="CA134" s="23"/>
      <c r="CB134" s="23"/>
      <c r="CC134" s="23"/>
      <c r="CD134" s="23"/>
      <c r="CE134" s="23"/>
      <c r="CF134" s="28"/>
      <c r="CG134" s="28"/>
      <c r="CH134" s="25">
        <f t="shared" ref="CH134:CI134" si="257">BH134+BJ134+BL134+BN134+BP134+BR134+BT134+BV134+BX134+BZ134+CB134+CD134+CF134</f>
        <v>47653200</v>
      </c>
      <c r="CI134" s="25">
        <f t="shared" si="257"/>
        <v>47653200</v>
      </c>
      <c r="CJ134" s="26">
        <f t="shared" si="4"/>
        <v>0</v>
      </c>
      <c r="CK134" s="26">
        <f t="shared" si="5"/>
        <v>0</v>
      </c>
    </row>
    <row r="135" spans="1:89" ht="90" customHeight="1" x14ac:dyDescent="0.3">
      <c r="A135" s="13" t="s">
        <v>248</v>
      </c>
      <c r="B135" s="14" t="s">
        <v>14</v>
      </c>
      <c r="C135" s="15" t="s">
        <v>519</v>
      </c>
      <c r="D135" s="14" t="s">
        <v>63</v>
      </c>
      <c r="E135" s="13" t="s">
        <v>250</v>
      </c>
      <c r="F135" s="13" t="s">
        <v>250</v>
      </c>
      <c r="G135" s="14">
        <v>68</v>
      </c>
      <c r="H135" s="13" t="s">
        <v>565</v>
      </c>
      <c r="I135" s="15" t="s">
        <v>521</v>
      </c>
      <c r="J135" s="14" t="s">
        <v>15</v>
      </c>
      <c r="K135" s="15" t="s">
        <v>71</v>
      </c>
      <c r="L135" s="14">
        <v>80111620</v>
      </c>
      <c r="M135" s="14" t="s">
        <v>16</v>
      </c>
      <c r="N135" s="14" t="s">
        <v>253</v>
      </c>
      <c r="O135" s="15" t="s">
        <v>566</v>
      </c>
      <c r="P135" s="14" t="s">
        <v>255</v>
      </c>
      <c r="Q135" s="14" t="s">
        <v>255</v>
      </c>
      <c r="R135" s="14" t="s">
        <v>255</v>
      </c>
      <c r="S135" s="17">
        <v>11.5</v>
      </c>
      <c r="T135" s="14" t="s">
        <v>256</v>
      </c>
      <c r="U135" s="14" t="s">
        <v>257</v>
      </c>
      <c r="V135" s="14" t="s">
        <v>112</v>
      </c>
      <c r="W135" s="18">
        <v>76627950</v>
      </c>
      <c r="X135" s="18">
        <v>76627950</v>
      </c>
      <c r="Y135" s="19" t="s">
        <v>339</v>
      </c>
      <c r="Z135" s="19" t="s">
        <v>258</v>
      </c>
      <c r="AA135" s="14" t="s">
        <v>523</v>
      </c>
      <c r="AB135" s="14" t="s">
        <v>524</v>
      </c>
      <c r="AC135" s="14">
        <v>6012220610</v>
      </c>
      <c r="AD135" s="14" t="s">
        <v>525</v>
      </c>
      <c r="AE135" s="82">
        <v>76627950</v>
      </c>
      <c r="AF135" s="82">
        <v>0</v>
      </c>
      <c r="AG135" s="82">
        <v>0</v>
      </c>
      <c r="AH135" s="82">
        <v>3331650</v>
      </c>
      <c r="AI135" s="82">
        <v>0</v>
      </c>
      <c r="AJ135" s="82">
        <v>6663300</v>
      </c>
      <c r="AK135" s="82">
        <v>0</v>
      </c>
      <c r="AL135" s="82">
        <v>6663300</v>
      </c>
      <c r="AM135" s="82">
        <v>0</v>
      </c>
      <c r="AN135" s="82">
        <v>6663300</v>
      </c>
      <c r="AO135" s="82">
        <v>0</v>
      </c>
      <c r="AP135" s="82">
        <v>6663300</v>
      </c>
      <c r="AQ135" s="82">
        <v>0</v>
      </c>
      <c r="AR135" s="82">
        <v>6663300</v>
      </c>
      <c r="AS135" s="82">
        <v>0</v>
      </c>
      <c r="AT135" s="82">
        <v>6663300</v>
      </c>
      <c r="AU135" s="82">
        <v>0</v>
      </c>
      <c r="AV135" s="82">
        <v>6663300</v>
      </c>
      <c r="AW135" s="82">
        <v>0</v>
      </c>
      <c r="AX135" s="82">
        <v>6663300</v>
      </c>
      <c r="AY135" s="82">
        <v>0</v>
      </c>
      <c r="AZ135" s="82">
        <v>6663300</v>
      </c>
      <c r="BA135" s="82">
        <v>0</v>
      </c>
      <c r="BB135" s="82">
        <v>13326600</v>
      </c>
      <c r="BC135" s="82">
        <f t="shared" ref="BC135:BD135" si="258">AE135+AG135+AI135+AK135+AM135+AO135+AQ135+AS135+AU135+AW135+AY135+BA135</f>
        <v>76627950</v>
      </c>
      <c r="BD135" s="82">
        <f t="shared" si="258"/>
        <v>76627950</v>
      </c>
      <c r="BE135" s="83">
        <f t="shared" si="1"/>
        <v>0</v>
      </c>
      <c r="BF135" s="83">
        <f t="shared" si="2"/>
        <v>0</v>
      </c>
      <c r="BG135" s="14" t="str">
        <f ca="1">IFERROR(__xludf.DUMMYFUNCTION("REGEXEXTRACT(O129,""^\S+\s(.+)$"")"),"Prestar servicios profesionales para llevar a cabo la evaluación técnica y financiera de proyectos energéticos que solicitan recursos a los fondos y mecanismos de financiación evaluados por la UPME, participar en mesas técnicas y apoyar en la definición d"&amp;"e criterios de evaluación de los mismos.")</f>
        <v>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v>
      </c>
      <c r="BH135" s="23">
        <v>76627950</v>
      </c>
      <c r="BI135" s="23"/>
      <c r="BJ135" s="23"/>
      <c r="BK135" s="23">
        <v>3331650</v>
      </c>
      <c r="BL135" s="23"/>
      <c r="BM135" s="23">
        <v>6663300</v>
      </c>
      <c r="BN135" s="23"/>
      <c r="BO135" s="23">
        <v>6663300</v>
      </c>
      <c r="BP135" s="23"/>
      <c r="BQ135" s="23">
        <v>6663300</v>
      </c>
      <c r="BR135" s="23"/>
      <c r="BS135" s="23">
        <v>6663300</v>
      </c>
      <c r="BT135" s="23"/>
      <c r="BU135" s="23">
        <v>6663300</v>
      </c>
      <c r="BV135" s="23"/>
      <c r="BW135" s="23">
        <v>6663300</v>
      </c>
      <c r="BX135" s="23"/>
      <c r="BY135" s="23">
        <v>6663300</v>
      </c>
      <c r="BZ135" s="23"/>
      <c r="CA135" s="23">
        <v>6663300</v>
      </c>
      <c r="CB135" s="23"/>
      <c r="CC135" s="23">
        <v>6663300</v>
      </c>
      <c r="CD135" s="23"/>
      <c r="CE135" s="23">
        <v>13326600</v>
      </c>
      <c r="CF135" s="28"/>
      <c r="CG135" s="28"/>
      <c r="CH135" s="25">
        <f t="shared" ref="CH135:CI135" si="259">BH135+BJ135+BL135+BN135+BP135+BR135+BT135+BV135+BX135+BZ135+CB135+CD135+CF135</f>
        <v>76627950</v>
      </c>
      <c r="CI135" s="25">
        <f t="shared" si="259"/>
        <v>76627950</v>
      </c>
      <c r="CJ135" s="26">
        <f t="shared" si="4"/>
        <v>0</v>
      </c>
      <c r="CK135" s="26">
        <f t="shared" si="5"/>
        <v>0</v>
      </c>
    </row>
    <row r="136" spans="1:89" ht="90" customHeight="1" x14ac:dyDescent="0.3">
      <c r="A136" s="13" t="s">
        <v>248</v>
      </c>
      <c r="B136" s="14" t="s">
        <v>14</v>
      </c>
      <c r="C136" s="15" t="s">
        <v>519</v>
      </c>
      <c r="D136" s="14" t="s">
        <v>63</v>
      </c>
      <c r="E136" s="13" t="s">
        <v>250</v>
      </c>
      <c r="F136" s="13" t="s">
        <v>250</v>
      </c>
      <c r="G136" s="14">
        <v>68</v>
      </c>
      <c r="H136" s="13" t="s">
        <v>567</v>
      </c>
      <c r="I136" s="15" t="s">
        <v>521</v>
      </c>
      <c r="J136" s="14" t="s">
        <v>15</v>
      </c>
      <c r="K136" s="15" t="s">
        <v>71</v>
      </c>
      <c r="L136" s="14">
        <v>80111620</v>
      </c>
      <c r="M136" s="14" t="s">
        <v>16</v>
      </c>
      <c r="N136" s="14" t="s">
        <v>253</v>
      </c>
      <c r="O136" s="15" t="s">
        <v>568</v>
      </c>
      <c r="P136" s="14" t="s">
        <v>255</v>
      </c>
      <c r="Q136" s="14" t="s">
        <v>255</v>
      </c>
      <c r="R136" s="14" t="s">
        <v>255</v>
      </c>
      <c r="S136" s="17">
        <v>11.5</v>
      </c>
      <c r="T136" s="14" t="s">
        <v>256</v>
      </c>
      <c r="U136" s="14" t="s">
        <v>257</v>
      </c>
      <c r="V136" s="14" t="s">
        <v>112</v>
      </c>
      <c r="W136" s="18">
        <v>76627950</v>
      </c>
      <c r="X136" s="18">
        <v>76627950</v>
      </c>
      <c r="Y136" s="19" t="s">
        <v>339</v>
      </c>
      <c r="Z136" s="19" t="s">
        <v>258</v>
      </c>
      <c r="AA136" s="14" t="s">
        <v>523</v>
      </c>
      <c r="AB136" s="14" t="s">
        <v>524</v>
      </c>
      <c r="AC136" s="14">
        <v>6012220611</v>
      </c>
      <c r="AD136" s="14" t="s">
        <v>525</v>
      </c>
      <c r="AE136" s="82">
        <v>76627950</v>
      </c>
      <c r="AF136" s="82">
        <v>0</v>
      </c>
      <c r="AG136" s="82">
        <v>0</v>
      </c>
      <c r="AH136" s="82">
        <v>3331650</v>
      </c>
      <c r="AI136" s="82">
        <v>0</v>
      </c>
      <c r="AJ136" s="82">
        <v>6663300</v>
      </c>
      <c r="AK136" s="82">
        <v>0</v>
      </c>
      <c r="AL136" s="82">
        <v>6663300</v>
      </c>
      <c r="AM136" s="82">
        <v>0</v>
      </c>
      <c r="AN136" s="82">
        <v>6663300</v>
      </c>
      <c r="AO136" s="82">
        <v>0</v>
      </c>
      <c r="AP136" s="82">
        <v>6663300</v>
      </c>
      <c r="AQ136" s="82">
        <v>0</v>
      </c>
      <c r="AR136" s="82">
        <v>6663300</v>
      </c>
      <c r="AS136" s="82">
        <v>0</v>
      </c>
      <c r="AT136" s="82">
        <v>6663300</v>
      </c>
      <c r="AU136" s="82">
        <v>0</v>
      </c>
      <c r="AV136" s="82">
        <v>6663300</v>
      </c>
      <c r="AW136" s="82">
        <v>0</v>
      </c>
      <c r="AX136" s="82">
        <v>6663300</v>
      </c>
      <c r="AY136" s="82">
        <v>0</v>
      </c>
      <c r="AZ136" s="82">
        <v>6663300</v>
      </c>
      <c r="BA136" s="82">
        <v>0</v>
      </c>
      <c r="BB136" s="82">
        <v>13326600</v>
      </c>
      <c r="BC136" s="82">
        <f t="shared" ref="BC136:BD136" si="260">AE136+AG136+AI136+AK136+AM136+AO136+AQ136+AS136+AU136+AW136+AY136+BA136</f>
        <v>76627950</v>
      </c>
      <c r="BD136" s="82">
        <f t="shared" si="260"/>
        <v>76627950</v>
      </c>
      <c r="BE136" s="83">
        <f t="shared" si="1"/>
        <v>0</v>
      </c>
      <c r="BF136" s="83">
        <f t="shared" si="2"/>
        <v>0</v>
      </c>
      <c r="BG136" s="14" t="str">
        <f ca="1">IFERROR(__xludf.DUMMYFUNCTION("REGEXEXTRACT(O130,""^\S+\s(.+)$"")"),"Prestar servicios profesionales para llevar a cabo la evaluación técnica y financiera de proyectos energéticos que solicitan recursos a los fondos y mecanismos de financiación evaluados por la UPME, participar en mesas técnicas y apoyar en la definición d"&amp;"e criterios de evaluación de los mismos.")</f>
        <v>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v>
      </c>
      <c r="BH136" s="23">
        <v>76627950</v>
      </c>
      <c r="BI136" s="23"/>
      <c r="BJ136" s="23"/>
      <c r="BK136" s="23">
        <v>3331650</v>
      </c>
      <c r="BL136" s="23"/>
      <c r="BM136" s="23">
        <v>6663300</v>
      </c>
      <c r="BN136" s="23"/>
      <c r="BO136" s="23">
        <v>6663300</v>
      </c>
      <c r="BP136" s="23"/>
      <c r="BQ136" s="23">
        <v>6663300</v>
      </c>
      <c r="BR136" s="23"/>
      <c r="BS136" s="23">
        <v>6663300</v>
      </c>
      <c r="BT136" s="23"/>
      <c r="BU136" s="23">
        <v>6663300</v>
      </c>
      <c r="BV136" s="23"/>
      <c r="BW136" s="23">
        <v>6663300</v>
      </c>
      <c r="BX136" s="23"/>
      <c r="BY136" s="23">
        <v>6663300</v>
      </c>
      <c r="BZ136" s="23"/>
      <c r="CA136" s="23">
        <v>6663300</v>
      </c>
      <c r="CB136" s="23"/>
      <c r="CC136" s="23">
        <v>6663300</v>
      </c>
      <c r="CD136" s="23"/>
      <c r="CE136" s="23">
        <v>13326600</v>
      </c>
      <c r="CF136" s="28"/>
      <c r="CG136" s="28"/>
      <c r="CH136" s="25">
        <f t="shared" ref="CH136:CI136" si="261">BH136+BJ136+BL136+BN136+BP136+BR136+BT136+BV136+BX136+BZ136+CB136+CD136+CF136</f>
        <v>76627950</v>
      </c>
      <c r="CI136" s="25">
        <f t="shared" si="261"/>
        <v>76627950</v>
      </c>
      <c r="CJ136" s="26">
        <f t="shared" si="4"/>
        <v>0</v>
      </c>
      <c r="CK136" s="26">
        <f t="shared" si="5"/>
        <v>0</v>
      </c>
    </row>
    <row r="137" spans="1:89" ht="90" customHeight="1" x14ac:dyDescent="0.3">
      <c r="A137" s="13" t="s">
        <v>248</v>
      </c>
      <c r="B137" s="14" t="s">
        <v>14</v>
      </c>
      <c r="C137" s="15" t="s">
        <v>519</v>
      </c>
      <c r="D137" s="14" t="s">
        <v>63</v>
      </c>
      <c r="E137" s="13" t="s">
        <v>250</v>
      </c>
      <c r="F137" s="13" t="s">
        <v>250</v>
      </c>
      <c r="G137" s="14">
        <v>68</v>
      </c>
      <c r="H137" s="13" t="s">
        <v>569</v>
      </c>
      <c r="I137" s="15" t="s">
        <v>521</v>
      </c>
      <c r="J137" s="14" t="s">
        <v>15</v>
      </c>
      <c r="K137" s="15" t="s">
        <v>71</v>
      </c>
      <c r="L137" s="14">
        <v>80111620</v>
      </c>
      <c r="M137" s="14" t="s">
        <v>16</v>
      </c>
      <c r="N137" s="14" t="s">
        <v>253</v>
      </c>
      <c r="O137" s="15" t="s">
        <v>570</v>
      </c>
      <c r="P137" s="14" t="s">
        <v>255</v>
      </c>
      <c r="Q137" s="14" t="s">
        <v>255</v>
      </c>
      <c r="R137" s="14" t="s">
        <v>255</v>
      </c>
      <c r="S137" s="17">
        <v>11.5</v>
      </c>
      <c r="T137" s="14" t="s">
        <v>256</v>
      </c>
      <c r="U137" s="14" t="s">
        <v>257</v>
      </c>
      <c r="V137" s="14" t="s">
        <v>112</v>
      </c>
      <c r="W137" s="18">
        <v>71604750</v>
      </c>
      <c r="X137" s="18">
        <v>71604750</v>
      </c>
      <c r="Y137" s="19" t="s">
        <v>339</v>
      </c>
      <c r="Z137" s="19" t="s">
        <v>258</v>
      </c>
      <c r="AA137" s="14" t="s">
        <v>523</v>
      </c>
      <c r="AB137" s="14" t="s">
        <v>524</v>
      </c>
      <c r="AC137" s="14">
        <v>6012220612</v>
      </c>
      <c r="AD137" s="14" t="s">
        <v>525</v>
      </c>
      <c r="AE137" s="82">
        <v>68491500</v>
      </c>
      <c r="AF137" s="82">
        <v>0</v>
      </c>
      <c r="AG137" s="82">
        <v>0</v>
      </c>
      <c r="AH137" s="82">
        <v>3113250</v>
      </c>
      <c r="AI137" s="82">
        <v>0</v>
      </c>
      <c r="AJ137" s="82">
        <v>6226500</v>
      </c>
      <c r="AK137" s="82">
        <v>0</v>
      </c>
      <c r="AL137" s="82">
        <v>6226500</v>
      </c>
      <c r="AM137" s="82">
        <v>0</v>
      </c>
      <c r="AN137" s="82">
        <v>6226500</v>
      </c>
      <c r="AO137" s="82">
        <v>0</v>
      </c>
      <c r="AP137" s="82">
        <v>6226500</v>
      </c>
      <c r="AQ137" s="82">
        <v>0</v>
      </c>
      <c r="AR137" s="82">
        <v>6226500</v>
      </c>
      <c r="AS137" s="82">
        <v>0</v>
      </c>
      <c r="AT137" s="82">
        <v>6226500</v>
      </c>
      <c r="AU137" s="82">
        <v>0</v>
      </c>
      <c r="AV137" s="82">
        <v>6226500</v>
      </c>
      <c r="AW137" s="82">
        <v>0</v>
      </c>
      <c r="AX137" s="82">
        <v>6226500</v>
      </c>
      <c r="AY137" s="82">
        <v>0</v>
      </c>
      <c r="AZ137" s="82">
        <v>6226500</v>
      </c>
      <c r="BA137" s="82">
        <v>3113250</v>
      </c>
      <c r="BB137" s="82">
        <v>12453000</v>
      </c>
      <c r="BC137" s="82">
        <f t="shared" ref="BC137:BD137" si="262">AE137+AG137+AI137+AK137+AM137+AO137+AQ137+AS137+AU137+AW137+AY137+BA137</f>
        <v>71604750</v>
      </c>
      <c r="BD137" s="82">
        <f t="shared" si="262"/>
        <v>71604750</v>
      </c>
      <c r="BE137" s="83">
        <f t="shared" si="1"/>
        <v>0</v>
      </c>
      <c r="BF137" s="83">
        <f t="shared" si="2"/>
        <v>0</v>
      </c>
      <c r="BG137" s="14" t="str">
        <f ca="1">IFERROR(__xludf.DUMMYFUNCTION("REGEXEXTRACT(O131,""^\S+\s(.+)$"")"),"Prestar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37" s="23">
        <v>68491500</v>
      </c>
      <c r="BI137" s="23"/>
      <c r="BJ137" s="23"/>
      <c r="BK137" s="23">
        <v>3113250</v>
      </c>
      <c r="BL137" s="23"/>
      <c r="BM137" s="23">
        <v>6226500</v>
      </c>
      <c r="BN137" s="23"/>
      <c r="BO137" s="23">
        <v>6226500</v>
      </c>
      <c r="BP137" s="23"/>
      <c r="BQ137" s="23">
        <v>6226500</v>
      </c>
      <c r="BR137" s="23"/>
      <c r="BS137" s="23">
        <v>6226500</v>
      </c>
      <c r="BT137" s="23"/>
      <c r="BU137" s="23">
        <v>6226500</v>
      </c>
      <c r="BV137" s="23"/>
      <c r="BW137" s="23">
        <v>6226500</v>
      </c>
      <c r="BX137" s="23"/>
      <c r="BY137" s="23">
        <v>6226500</v>
      </c>
      <c r="BZ137" s="23"/>
      <c r="CA137" s="23">
        <v>6226500</v>
      </c>
      <c r="CB137" s="23"/>
      <c r="CC137" s="23">
        <v>6226500</v>
      </c>
      <c r="CD137" s="23">
        <v>3113250</v>
      </c>
      <c r="CE137" s="23">
        <v>12453000</v>
      </c>
      <c r="CF137" s="28"/>
      <c r="CG137" s="28"/>
      <c r="CH137" s="25">
        <f t="shared" ref="CH137:CI137" si="263">BH137+BJ137+BL137+BN137+BP137+BR137+BT137+BV137+BX137+BZ137+CB137+CD137+CF137</f>
        <v>71604750</v>
      </c>
      <c r="CI137" s="25">
        <f t="shared" si="263"/>
        <v>71604750</v>
      </c>
      <c r="CJ137" s="26">
        <f t="shared" si="4"/>
        <v>0</v>
      </c>
      <c r="CK137" s="26">
        <f t="shared" si="5"/>
        <v>0</v>
      </c>
    </row>
    <row r="138" spans="1:89" ht="90" customHeight="1" x14ac:dyDescent="0.3">
      <c r="A138" s="13" t="s">
        <v>248</v>
      </c>
      <c r="B138" s="14" t="s">
        <v>14</v>
      </c>
      <c r="C138" s="15" t="s">
        <v>519</v>
      </c>
      <c r="D138" s="14" t="s">
        <v>63</v>
      </c>
      <c r="E138" s="13" t="s">
        <v>250</v>
      </c>
      <c r="F138" s="13" t="s">
        <v>250</v>
      </c>
      <c r="G138" s="14">
        <v>68</v>
      </c>
      <c r="H138" s="13" t="s">
        <v>571</v>
      </c>
      <c r="I138" s="15" t="s">
        <v>521</v>
      </c>
      <c r="J138" s="14" t="s">
        <v>15</v>
      </c>
      <c r="K138" s="15" t="s">
        <v>71</v>
      </c>
      <c r="L138" s="14">
        <v>80111620</v>
      </c>
      <c r="M138" s="14" t="s">
        <v>16</v>
      </c>
      <c r="N138" s="14" t="s">
        <v>253</v>
      </c>
      <c r="O138" s="15" t="s">
        <v>572</v>
      </c>
      <c r="P138" s="14" t="s">
        <v>255</v>
      </c>
      <c r="Q138" s="14" t="s">
        <v>255</v>
      </c>
      <c r="R138" s="14" t="s">
        <v>255</v>
      </c>
      <c r="S138" s="17">
        <v>11.5</v>
      </c>
      <c r="T138" s="14" t="s">
        <v>256</v>
      </c>
      <c r="U138" s="14" t="s">
        <v>257</v>
      </c>
      <c r="V138" s="14" t="s">
        <v>112</v>
      </c>
      <c r="W138" s="18">
        <v>71604750</v>
      </c>
      <c r="X138" s="18">
        <v>71604750</v>
      </c>
      <c r="Y138" s="19" t="s">
        <v>339</v>
      </c>
      <c r="Z138" s="19" t="s">
        <v>258</v>
      </c>
      <c r="AA138" s="14" t="s">
        <v>523</v>
      </c>
      <c r="AB138" s="14" t="s">
        <v>524</v>
      </c>
      <c r="AC138" s="14">
        <v>6012220613</v>
      </c>
      <c r="AD138" s="14" t="s">
        <v>525</v>
      </c>
      <c r="AE138" s="82">
        <v>71604750</v>
      </c>
      <c r="AF138" s="82">
        <v>0</v>
      </c>
      <c r="AG138" s="82">
        <v>0</v>
      </c>
      <c r="AH138" s="82">
        <v>3113250</v>
      </c>
      <c r="AI138" s="82">
        <v>0</v>
      </c>
      <c r="AJ138" s="82">
        <v>6226500</v>
      </c>
      <c r="AK138" s="82">
        <v>0</v>
      </c>
      <c r="AL138" s="82">
        <v>6226500</v>
      </c>
      <c r="AM138" s="82">
        <v>0</v>
      </c>
      <c r="AN138" s="82">
        <v>6226500</v>
      </c>
      <c r="AO138" s="82">
        <v>0</v>
      </c>
      <c r="AP138" s="82">
        <v>6226500</v>
      </c>
      <c r="AQ138" s="82">
        <v>0</v>
      </c>
      <c r="AR138" s="82">
        <v>6226500</v>
      </c>
      <c r="AS138" s="82">
        <v>0</v>
      </c>
      <c r="AT138" s="82">
        <v>6226500</v>
      </c>
      <c r="AU138" s="82">
        <v>0</v>
      </c>
      <c r="AV138" s="82">
        <v>6226500</v>
      </c>
      <c r="AW138" s="82">
        <v>0</v>
      </c>
      <c r="AX138" s="82">
        <v>6226500</v>
      </c>
      <c r="AY138" s="82">
        <v>0</v>
      </c>
      <c r="AZ138" s="82">
        <v>6226500</v>
      </c>
      <c r="BA138" s="82">
        <v>0</v>
      </c>
      <c r="BB138" s="82">
        <v>12453000</v>
      </c>
      <c r="BC138" s="82">
        <f t="shared" ref="BC138:BD138" si="264">AE138+AG138+AI138+AK138+AM138+AO138+AQ138+AS138+AU138+AW138+AY138+BA138</f>
        <v>71604750</v>
      </c>
      <c r="BD138" s="82">
        <f t="shared" si="264"/>
        <v>71604750</v>
      </c>
      <c r="BE138" s="83">
        <f t="shared" si="1"/>
        <v>0</v>
      </c>
      <c r="BF138" s="83">
        <f t="shared" si="2"/>
        <v>0</v>
      </c>
      <c r="BG138" s="14" t="str">
        <f ca="1">IFERROR(__xludf.DUMMYFUNCTION("REGEXEXTRACT(O132,""^\S+\s(.+)$"")"),"Prestar servicios profesionales para realizar la evaluación técnica, financiera y ambiental de los proyectos energéticos que solicitan recursos a los diferentes fondos y mecanismos de financiación del Ministerio de Minas y Energía (MME) evaluados por la U"&amp;"PME, así como participar en mesas técnicas solicitadas.")</f>
        <v>Prestar servicios profesionales para realizar la evaluación técnica, financiera y ambiental de los proyectos energéticos que solicitan recursos a los diferentes fondos y mecanismos de financiación del Ministerio de Minas y Energía (MME) evaluados por la UPME, así como participar en mesas técnicas solicitadas.</v>
      </c>
      <c r="BH138" s="23">
        <v>71604750</v>
      </c>
      <c r="BI138" s="23"/>
      <c r="BJ138" s="23"/>
      <c r="BK138" s="23">
        <v>3113250</v>
      </c>
      <c r="BL138" s="23"/>
      <c r="BM138" s="23">
        <v>6226500</v>
      </c>
      <c r="BN138" s="23"/>
      <c r="BO138" s="23">
        <v>6226500</v>
      </c>
      <c r="BP138" s="23"/>
      <c r="BQ138" s="23">
        <v>6226500</v>
      </c>
      <c r="BR138" s="23"/>
      <c r="BS138" s="23">
        <v>6226500</v>
      </c>
      <c r="BT138" s="23"/>
      <c r="BU138" s="23">
        <v>6226500</v>
      </c>
      <c r="BV138" s="23"/>
      <c r="BW138" s="23">
        <v>6226500</v>
      </c>
      <c r="BX138" s="23"/>
      <c r="BY138" s="23">
        <v>6226500</v>
      </c>
      <c r="BZ138" s="23"/>
      <c r="CA138" s="23">
        <v>6226500</v>
      </c>
      <c r="CB138" s="23"/>
      <c r="CC138" s="23">
        <v>6226500</v>
      </c>
      <c r="CD138" s="23"/>
      <c r="CE138" s="23">
        <v>12453000</v>
      </c>
      <c r="CF138" s="28"/>
      <c r="CG138" s="28"/>
      <c r="CH138" s="25">
        <f t="shared" ref="CH138:CI138" si="265">BH138+BJ138+BL138+BN138+BP138+BR138+BT138+BV138+BX138+BZ138+CB138+CD138+CF138</f>
        <v>71604750</v>
      </c>
      <c r="CI138" s="25">
        <f t="shared" si="265"/>
        <v>71604750</v>
      </c>
      <c r="CJ138" s="26">
        <f t="shared" si="4"/>
        <v>0</v>
      </c>
      <c r="CK138" s="26">
        <f t="shared" si="5"/>
        <v>0</v>
      </c>
    </row>
    <row r="139" spans="1:89" ht="90" customHeight="1" x14ac:dyDescent="0.3">
      <c r="A139" s="13" t="s">
        <v>248</v>
      </c>
      <c r="B139" s="14" t="s">
        <v>14</v>
      </c>
      <c r="C139" s="15" t="s">
        <v>519</v>
      </c>
      <c r="D139" s="14" t="s">
        <v>63</v>
      </c>
      <c r="E139" s="13" t="s">
        <v>250</v>
      </c>
      <c r="F139" s="13" t="s">
        <v>250</v>
      </c>
      <c r="G139" s="14">
        <v>3</v>
      </c>
      <c r="H139" s="13" t="s">
        <v>573</v>
      </c>
      <c r="I139" s="15" t="s">
        <v>521</v>
      </c>
      <c r="J139" s="14" t="s">
        <v>15</v>
      </c>
      <c r="K139" s="15" t="s">
        <v>71</v>
      </c>
      <c r="L139" s="14">
        <v>80111620</v>
      </c>
      <c r="M139" s="14" t="s">
        <v>16</v>
      </c>
      <c r="N139" s="14" t="s">
        <v>253</v>
      </c>
      <c r="O139" s="15" t="s">
        <v>574</v>
      </c>
      <c r="P139" s="14" t="s">
        <v>255</v>
      </c>
      <c r="Q139" s="14" t="s">
        <v>255</v>
      </c>
      <c r="R139" s="14" t="s">
        <v>255</v>
      </c>
      <c r="S139" s="17">
        <v>6</v>
      </c>
      <c r="T139" s="14" t="s">
        <v>256</v>
      </c>
      <c r="U139" s="14" t="s">
        <v>257</v>
      </c>
      <c r="V139" s="14" t="s">
        <v>112</v>
      </c>
      <c r="W139" s="18">
        <v>37359000</v>
      </c>
      <c r="X139" s="18">
        <v>37359000</v>
      </c>
      <c r="Y139" s="19" t="s">
        <v>339</v>
      </c>
      <c r="Z139" s="19" t="s">
        <v>258</v>
      </c>
      <c r="AA139" s="14" t="s">
        <v>530</v>
      </c>
      <c r="AB139" s="14" t="s">
        <v>524</v>
      </c>
      <c r="AC139" s="14">
        <v>6012220607</v>
      </c>
      <c r="AD139" s="14" t="s">
        <v>531</v>
      </c>
      <c r="AE139" s="82">
        <v>37359000</v>
      </c>
      <c r="AF139" s="82">
        <v>0</v>
      </c>
      <c r="AG139" s="82">
        <v>0</v>
      </c>
      <c r="AH139" s="82">
        <v>6226500</v>
      </c>
      <c r="AI139" s="82">
        <v>0</v>
      </c>
      <c r="AJ139" s="82">
        <v>6226500</v>
      </c>
      <c r="AK139" s="82">
        <v>0</v>
      </c>
      <c r="AL139" s="82">
        <v>6226500</v>
      </c>
      <c r="AM139" s="82">
        <v>0</v>
      </c>
      <c r="AN139" s="82">
        <v>6226500</v>
      </c>
      <c r="AO139" s="82">
        <v>0</v>
      </c>
      <c r="AP139" s="82">
        <v>6226500</v>
      </c>
      <c r="AQ139" s="82">
        <v>0</v>
      </c>
      <c r="AR139" s="82">
        <v>6226500</v>
      </c>
      <c r="AS139" s="82">
        <v>0</v>
      </c>
      <c r="AT139" s="82">
        <v>0</v>
      </c>
      <c r="AU139" s="82">
        <v>0</v>
      </c>
      <c r="AV139" s="82">
        <v>0</v>
      </c>
      <c r="AW139" s="82">
        <v>0</v>
      </c>
      <c r="AX139" s="82">
        <v>0</v>
      </c>
      <c r="AY139" s="82">
        <v>0</v>
      </c>
      <c r="AZ139" s="82">
        <v>0</v>
      </c>
      <c r="BA139" s="82">
        <v>0</v>
      </c>
      <c r="BB139" s="82">
        <v>0</v>
      </c>
      <c r="BC139" s="82">
        <f t="shared" ref="BC139:BD139" si="266">AE139+AG139+AI139+AK139+AM139+AO139+AQ139+AS139+AU139+AW139+AY139+BA139</f>
        <v>37359000</v>
      </c>
      <c r="BD139" s="82">
        <f t="shared" si="266"/>
        <v>37359000</v>
      </c>
      <c r="BE139" s="83">
        <f t="shared" si="1"/>
        <v>0</v>
      </c>
      <c r="BF139" s="83">
        <f t="shared" si="2"/>
        <v>0</v>
      </c>
      <c r="BG139" s="14" t="str">
        <f ca="1">IFERROR(__xludf.DUMMYFUNCTION("REGEXEXTRACT(O133,""^\S+\s(.+)$"")"),"Prestar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39" s="23">
        <v>37359000</v>
      </c>
      <c r="BI139" s="23"/>
      <c r="BJ139" s="23"/>
      <c r="BK139" s="23">
        <v>6226500</v>
      </c>
      <c r="BL139" s="23"/>
      <c r="BM139" s="23">
        <v>6226500</v>
      </c>
      <c r="BN139" s="23"/>
      <c r="BO139" s="23">
        <v>6226500</v>
      </c>
      <c r="BP139" s="23"/>
      <c r="BQ139" s="23">
        <v>6226500</v>
      </c>
      <c r="BR139" s="23"/>
      <c r="BS139" s="23">
        <v>6226500</v>
      </c>
      <c r="BT139" s="23"/>
      <c r="BU139" s="23">
        <v>6226500</v>
      </c>
      <c r="BV139" s="23"/>
      <c r="BW139" s="23"/>
      <c r="BX139" s="23"/>
      <c r="BY139" s="23"/>
      <c r="BZ139" s="23"/>
      <c r="CA139" s="23"/>
      <c r="CB139" s="23"/>
      <c r="CC139" s="23"/>
      <c r="CD139" s="23"/>
      <c r="CE139" s="23"/>
      <c r="CF139" s="28"/>
      <c r="CG139" s="28"/>
      <c r="CH139" s="25">
        <f t="shared" ref="CH139:CI139" si="267">BH139+BJ139+BL139+BN139+BP139+BR139+BT139+BV139+BX139+BZ139+CB139+CD139+CF139</f>
        <v>37359000</v>
      </c>
      <c r="CI139" s="25">
        <f t="shared" si="267"/>
        <v>37359000</v>
      </c>
      <c r="CJ139" s="26">
        <f t="shared" si="4"/>
        <v>0</v>
      </c>
      <c r="CK139" s="26">
        <f t="shared" si="5"/>
        <v>0</v>
      </c>
    </row>
    <row r="140" spans="1:89" ht="90" customHeight="1" x14ac:dyDescent="0.3">
      <c r="A140" s="13" t="s">
        <v>248</v>
      </c>
      <c r="B140" s="14" t="s">
        <v>14</v>
      </c>
      <c r="C140" s="15" t="s">
        <v>519</v>
      </c>
      <c r="D140" s="14" t="s">
        <v>63</v>
      </c>
      <c r="E140" s="13" t="s">
        <v>250</v>
      </c>
      <c r="F140" s="13" t="s">
        <v>250</v>
      </c>
      <c r="G140" s="14">
        <v>9</v>
      </c>
      <c r="H140" s="13" t="s">
        <v>575</v>
      </c>
      <c r="I140" s="15" t="s">
        <v>521</v>
      </c>
      <c r="J140" s="14" t="s">
        <v>15</v>
      </c>
      <c r="K140" s="15" t="s">
        <v>71</v>
      </c>
      <c r="L140" s="14">
        <v>80111620</v>
      </c>
      <c r="M140" s="14" t="s">
        <v>16</v>
      </c>
      <c r="N140" s="14" t="s">
        <v>253</v>
      </c>
      <c r="O140" s="15" t="s">
        <v>576</v>
      </c>
      <c r="P140" s="14" t="s">
        <v>255</v>
      </c>
      <c r="Q140" s="14" t="s">
        <v>255</v>
      </c>
      <c r="R140" s="14" t="s">
        <v>255</v>
      </c>
      <c r="S140" s="17">
        <v>6</v>
      </c>
      <c r="T140" s="14" t="s">
        <v>256</v>
      </c>
      <c r="U140" s="14" t="s">
        <v>257</v>
      </c>
      <c r="V140" s="14" t="s">
        <v>112</v>
      </c>
      <c r="W140" s="18">
        <v>53984700</v>
      </c>
      <c r="X140" s="18">
        <v>53984700</v>
      </c>
      <c r="Y140" s="19" t="s">
        <v>339</v>
      </c>
      <c r="Z140" s="19" t="s">
        <v>258</v>
      </c>
      <c r="AA140" s="14" t="s">
        <v>530</v>
      </c>
      <c r="AB140" s="14" t="s">
        <v>524</v>
      </c>
      <c r="AC140" s="14">
        <v>6012220607</v>
      </c>
      <c r="AD140" s="14" t="s">
        <v>531</v>
      </c>
      <c r="AE140" s="82">
        <v>0</v>
      </c>
      <c r="AF140" s="82">
        <v>0</v>
      </c>
      <c r="AG140" s="82">
        <v>53984700</v>
      </c>
      <c r="AH140" s="82">
        <v>0</v>
      </c>
      <c r="AI140" s="82">
        <v>0</v>
      </c>
      <c r="AJ140" s="82">
        <v>8997450</v>
      </c>
      <c r="AK140" s="82">
        <v>0</v>
      </c>
      <c r="AL140" s="82">
        <v>8997450</v>
      </c>
      <c r="AM140" s="82">
        <v>0</v>
      </c>
      <c r="AN140" s="82">
        <v>8997450</v>
      </c>
      <c r="AO140" s="82">
        <v>0</v>
      </c>
      <c r="AP140" s="82">
        <v>8997450</v>
      </c>
      <c r="AQ140" s="82">
        <v>0</v>
      </c>
      <c r="AR140" s="82">
        <v>8997450</v>
      </c>
      <c r="AS140" s="82">
        <v>0</v>
      </c>
      <c r="AT140" s="82">
        <v>8997450</v>
      </c>
      <c r="AU140" s="82">
        <v>0</v>
      </c>
      <c r="AV140" s="82">
        <v>0</v>
      </c>
      <c r="AW140" s="82">
        <v>0</v>
      </c>
      <c r="AX140" s="82">
        <v>0</v>
      </c>
      <c r="AY140" s="82">
        <v>0</v>
      </c>
      <c r="AZ140" s="82">
        <v>0</v>
      </c>
      <c r="BA140" s="82">
        <v>0</v>
      </c>
      <c r="BB140" s="82">
        <v>0</v>
      </c>
      <c r="BC140" s="82">
        <f t="shared" ref="BC140:BD140" si="268">AE140+AG140+AI140+AK140+AM140+AO140+AQ140+AS140+AU140+AW140+AY140+BA140</f>
        <v>53984700</v>
      </c>
      <c r="BD140" s="82">
        <f t="shared" si="268"/>
        <v>53984700</v>
      </c>
      <c r="BE140" s="83">
        <f t="shared" si="1"/>
        <v>0</v>
      </c>
      <c r="BF140" s="83">
        <f t="shared" si="2"/>
        <v>0</v>
      </c>
      <c r="BG140" s="14" t="str">
        <f ca="1">IFERROR(__xludf.DUMMYFUNCTION("REGEXEXTRACT(O134,""^\S+\s(.+)$"")"),"Prestar los servicios profesionales en la construcción de herramientas y documentos con criterio social en marcado en procesos de la dirección general de la UPME.")</f>
        <v>Prestar los servicios profesionales en la construcción de herramientas y documentos con criterio social en marcado en procesos de la dirección general de la UPME.</v>
      </c>
      <c r="BH140" s="23"/>
      <c r="BI140" s="23"/>
      <c r="BJ140" s="23">
        <v>53984700</v>
      </c>
      <c r="BK140" s="23"/>
      <c r="BL140" s="23"/>
      <c r="BM140" s="23">
        <v>8997450</v>
      </c>
      <c r="BN140" s="23"/>
      <c r="BO140" s="23">
        <v>8997450</v>
      </c>
      <c r="BP140" s="23"/>
      <c r="BQ140" s="23">
        <v>8997450</v>
      </c>
      <c r="BR140" s="23"/>
      <c r="BS140" s="23">
        <v>8997450</v>
      </c>
      <c r="BT140" s="23"/>
      <c r="BU140" s="23">
        <v>8997450</v>
      </c>
      <c r="BV140" s="23"/>
      <c r="BW140" s="23">
        <v>8997450</v>
      </c>
      <c r="BX140" s="23"/>
      <c r="BY140" s="23"/>
      <c r="BZ140" s="23"/>
      <c r="CA140" s="23"/>
      <c r="CB140" s="23"/>
      <c r="CC140" s="23"/>
      <c r="CD140" s="23"/>
      <c r="CE140" s="23"/>
      <c r="CF140" s="28"/>
      <c r="CG140" s="28"/>
      <c r="CH140" s="25">
        <f t="shared" ref="CH140:CI140" si="269">BH140+BJ140+BL140+BN140+BP140+BR140+BT140+BV140+BX140+BZ140+CB140+CD140+CF140</f>
        <v>53984700</v>
      </c>
      <c r="CI140" s="25">
        <f t="shared" si="269"/>
        <v>53984700</v>
      </c>
      <c r="CJ140" s="26">
        <f t="shared" si="4"/>
        <v>0</v>
      </c>
      <c r="CK140" s="26">
        <f t="shared" si="5"/>
        <v>0</v>
      </c>
    </row>
    <row r="141" spans="1:89" ht="90" customHeight="1" x14ac:dyDescent="0.3">
      <c r="A141" s="13" t="s">
        <v>248</v>
      </c>
      <c r="B141" s="14" t="s">
        <v>14</v>
      </c>
      <c r="C141" s="15" t="s">
        <v>519</v>
      </c>
      <c r="D141" s="14" t="s">
        <v>63</v>
      </c>
      <c r="E141" s="13" t="s">
        <v>250</v>
      </c>
      <c r="F141" s="13" t="s">
        <v>250</v>
      </c>
      <c r="G141" s="14">
        <v>68</v>
      </c>
      <c r="H141" s="13" t="s">
        <v>577</v>
      </c>
      <c r="I141" s="15" t="s">
        <v>521</v>
      </c>
      <c r="J141" s="14" t="s">
        <v>15</v>
      </c>
      <c r="K141" s="15" t="s">
        <v>71</v>
      </c>
      <c r="L141" s="14">
        <v>80111620</v>
      </c>
      <c r="M141" s="14" t="s">
        <v>16</v>
      </c>
      <c r="N141" s="14" t="s">
        <v>253</v>
      </c>
      <c r="O141" s="15" t="s">
        <v>578</v>
      </c>
      <c r="P141" s="14" t="s">
        <v>255</v>
      </c>
      <c r="Q141" s="14" t="s">
        <v>255</v>
      </c>
      <c r="R141" s="14" t="s">
        <v>255</v>
      </c>
      <c r="S141" s="17">
        <v>11.5</v>
      </c>
      <c r="T141" s="14" t="s">
        <v>256</v>
      </c>
      <c r="U141" s="14" t="s">
        <v>257</v>
      </c>
      <c r="V141" s="14" t="s">
        <v>112</v>
      </c>
      <c r="W141" s="18">
        <v>71604750</v>
      </c>
      <c r="X141" s="18">
        <v>71604750</v>
      </c>
      <c r="Y141" s="19" t="s">
        <v>339</v>
      </c>
      <c r="Z141" s="19" t="s">
        <v>258</v>
      </c>
      <c r="AA141" s="14" t="s">
        <v>523</v>
      </c>
      <c r="AB141" s="14" t="s">
        <v>524</v>
      </c>
      <c r="AC141" s="14">
        <v>6012220616</v>
      </c>
      <c r="AD141" s="14" t="s">
        <v>525</v>
      </c>
      <c r="AE141" s="82">
        <v>68491500</v>
      </c>
      <c r="AF141" s="82">
        <v>0</v>
      </c>
      <c r="AG141" s="82">
        <v>0</v>
      </c>
      <c r="AH141" s="82">
        <v>3113250</v>
      </c>
      <c r="AI141" s="82">
        <v>0</v>
      </c>
      <c r="AJ141" s="82">
        <v>6226500</v>
      </c>
      <c r="AK141" s="82">
        <v>0</v>
      </c>
      <c r="AL141" s="82">
        <v>6226500</v>
      </c>
      <c r="AM141" s="82">
        <v>0</v>
      </c>
      <c r="AN141" s="82">
        <v>6226500</v>
      </c>
      <c r="AO141" s="82">
        <v>0</v>
      </c>
      <c r="AP141" s="82">
        <v>6226500</v>
      </c>
      <c r="AQ141" s="82">
        <v>0</v>
      </c>
      <c r="AR141" s="82">
        <v>6226500</v>
      </c>
      <c r="AS141" s="82">
        <v>0</v>
      </c>
      <c r="AT141" s="82">
        <v>6226500</v>
      </c>
      <c r="AU141" s="82">
        <v>0</v>
      </c>
      <c r="AV141" s="82">
        <v>6226500</v>
      </c>
      <c r="AW141" s="82">
        <v>0</v>
      </c>
      <c r="AX141" s="82">
        <v>6226500</v>
      </c>
      <c r="AY141" s="82">
        <v>0</v>
      </c>
      <c r="AZ141" s="82">
        <v>6226500</v>
      </c>
      <c r="BA141" s="82">
        <v>3113250</v>
      </c>
      <c r="BB141" s="82">
        <v>12453000</v>
      </c>
      <c r="BC141" s="82">
        <f t="shared" ref="BC141:BD141" si="270">AE141+AG141+AI141+AK141+AM141+AO141+AQ141+AS141+AU141+AW141+AY141+BA141</f>
        <v>71604750</v>
      </c>
      <c r="BD141" s="82">
        <f t="shared" si="270"/>
        <v>71604750</v>
      </c>
      <c r="BE141" s="83">
        <f t="shared" si="1"/>
        <v>0</v>
      </c>
      <c r="BF141" s="83">
        <f t="shared" si="2"/>
        <v>0</v>
      </c>
      <c r="BG141" s="14" t="str">
        <f ca="1">IFERROR(__xludf.DUMMYFUNCTION("REGEXEXTRACT(O135,""^\S+\s(.+)$"")"),"Prestar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41" s="23">
        <v>68491500</v>
      </c>
      <c r="BI141" s="23"/>
      <c r="BJ141" s="23"/>
      <c r="BK141" s="23">
        <v>3113250</v>
      </c>
      <c r="BL141" s="23"/>
      <c r="BM141" s="23">
        <v>6226500</v>
      </c>
      <c r="BN141" s="23"/>
      <c r="BO141" s="23">
        <v>6226500</v>
      </c>
      <c r="BP141" s="23"/>
      <c r="BQ141" s="23">
        <v>6226500</v>
      </c>
      <c r="BR141" s="23"/>
      <c r="BS141" s="23">
        <v>6226500</v>
      </c>
      <c r="BT141" s="23"/>
      <c r="BU141" s="23">
        <v>6226500</v>
      </c>
      <c r="BV141" s="23"/>
      <c r="BW141" s="23">
        <v>6226500</v>
      </c>
      <c r="BX141" s="23"/>
      <c r="BY141" s="23">
        <v>6226500</v>
      </c>
      <c r="BZ141" s="23"/>
      <c r="CA141" s="23">
        <v>6226500</v>
      </c>
      <c r="CB141" s="23"/>
      <c r="CC141" s="23">
        <v>6226500</v>
      </c>
      <c r="CD141" s="23">
        <v>3113250</v>
      </c>
      <c r="CE141" s="23">
        <v>12453000</v>
      </c>
      <c r="CF141" s="28"/>
      <c r="CG141" s="28"/>
      <c r="CH141" s="25">
        <f t="shared" ref="CH141:CI141" si="271">BH141+BJ141+BL141+BN141+BP141+BR141+BT141+BV141+BX141+BZ141+CB141+CD141+CF141</f>
        <v>71604750</v>
      </c>
      <c r="CI141" s="25">
        <f t="shared" si="271"/>
        <v>71604750</v>
      </c>
      <c r="CJ141" s="26">
        <f t="shared" si="4"/>
        <v>0</v>
      </c>
      <c r="CK141" s="26">
        <f t="shared" si="5"/>
        <v>0</v>
      </c>
    </row>
    <row r="142" spans="1:89" ht="90" customHeight="1" x14ac:dyDescent="0.3">
      <c r="A142" s="13" t="s">
        <v>248</v>
      </c>
      <c r="B142" s="14" t="s">
        <v>14</v>
      </c>
      <c r="C142" s="15" t="s">
        <v>519</v>
      </c>
      <c r="D142" s="14" t="s">
        <v>63</v>
      </c>
      <c r="E142" s="13" t="s">
        <v>250</v>
      </c>
      <c r="F142" s="13" t="s">
        <v>250</v>
      </c>
      <c r="G142" s="14">
        <v>68</v>
      </c>
      <c r="H142" s="13" t="s">
        <v>579</v>
      </c>
      <c r="I142" s="15" t="s">
        <v>521</v>
      </c>
      <c r="J142" s="14" t="s">
        <v>15</v>
      </c>
      <c r="K142" s="15" t="s">
        <v>71</v>
      </c>
      <c r="L142" s="14">
        <v>80111620</v>
      </c>
      <c r="M142" s="14" t="s">
        <v>16</v>
      </c>
      <c r="N142" s="14" t="s">
        <v>253</v>
      </c>
      <c r="O142" s="15" t="s">
        <v>580</v>
      </c>
      <c r="P142" s="14" t="s">
        <v>255</v>
      </c>
      <c r="Q142" s="14" t="s">
        <v>255</v>
      </c>
      <c r="R142" s="14" t="s">
        <v>255</v>
      </c>
      <c r="S142" s="17">
        <v>11.5</v>
      </c>
      <c r="T142" s="14" t="s">
        <v>256</v>
      </c>
      <c r="U142" s="14" t="s">
        <v>257</v>
      </c>
      <c r="V142" s="14" t="s">
        <v>113</v>
      </c>
      <c r="W142" s="18">
        <v>48613950</v>
      </c>
      <c r="X142" s="18">
        <v>48613950</v>
      </c>
      <c r="Y142" s="19" t="s">
        <v>339</v>
      </c>
      <c r="Z142" s="19" t="s">
        <v>258</v>
      </c>
      <c r="AA142" s="14" t="s">
        <v>523</v>
      </c>
      <c r="AB142" s="14" t="s">
        <v>524</v>
      </c>
      <c r="AC142" s="14">
        <v>6012220617</v>
      </c>
      <c r="AD142" s="14" t="s">
        <v>525</v>
      </c>
      <c r="AE142" s="82">
        <v>46500300</v>
      </c>
      <c r="AF142" s="82">
        <v>0</v>
      </c>
      <c r="AG142" s="82">
        <v>0</v>
      </c>
      <c r="AH142" s="82">
        <v>2113650</v>
      </c>
      <c r="AI142" s="82">
        <v>0</v>
      </c>
      <c r="AJ142" s="82">
        <v>4227300</v>
      </c>
      <c r="AK142" s="82">
        <v>0</v>
      </c>
      <c r="AL142" s="82">
        <v>4227300</v>
      </c>
      <c r="AM142" s="82">
        <v>0</v>
      </c>
      <c r="AN142" s="82">
        <v>4227300</v>
      </c>
      <c r="AO142" s="82">
        <v>0</v>
      </c>
      <c r="AP142" s="82">
        <v>4227300</v>
      </c>
      <c r="AQ142" s="82">
        <v>0</v>
      </c>
      <c r="AR142" s="82">
        <v>4227300</v>
      </c>
      <c r="AS142" s="82">
        <v>0</v>
      </c>
      <c r="AT142" s="82">
        <v>4227300</v>
      </c>
      <c r="AU142" s="82">
        <v>0</v>
      </c>
      <c r="AV142" s="82">
        <v>4227300</v>
      </c>
      <c r="AW142" s="82">
        <v>0</v>
      </c>
      <c r="AX142" s="82">
        <v>4227300</v>
      </c>
      <c r="AY142" s="82">
        <v>0</v>
      </c>
      <c r="AZ142" s="82">
        <v>4227300</v>
      </c>
      <c r="BA142" s="82">
        <v>2113650</v>
      </c>
      <c r="BB142" s="82">
        <v>8454600</v>
      </c>
      <c r="BC142" s="82">
        <f t="shared" ref="BC142:BD142" si="272">AE142+AG142+AI142+AK142+AM142+AO142+AQ142+AS142+AU142+AW142+AY142+BA142</f>
        <v>48613950</v>
      </c>
      <c r="BD142" s="82">
        <f t="shared" si="272"/>
        <v>48613950</v>
      </c>
      <c r="BE142" s="83">
        <f t="shared" si="1"/>
        <v>0</v>
      </c>
      <c r="BF142" s="83">
        <f t="shared" si="2"/>
        <v>0</v>
      </c>
      <c r="BG142" s="14" t="str">
        <f ca="1">IFERROR(__xludf.DUMMYFUNCTION("REGEXEXTRACT(O136,""^\S+\s(.+)$"")"),"Prestar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2" s="23">
        <v>46500300</v>
      </c>
      <c r="BI142" s="23"/>
      <c r="BJ142" s="23"/>
      <c r="BK142" s="23">
        <v>2113650</v>
      </c>
      <c r="BL142" s="23"/>
      <c r="BM142" s="23">
        <v>4227300</v>
      </c>
      <c r="BN142" s="23"/>
      <c r="BO142" s="23">
        <v>4227300</v>
      </c>
      <c r="BP142" s="23"/>
      <c r="BQ142" s="23">
        <v>4227300</v>
      </c>
      <c r="BR142" s="23"/>
      <c r="BS142" s="23">
        <v>4227300</v>
      </c>
      <c r="BT142" s="23"/>
      <c r="BU142" s="23">
        <v>4227300</v>
      </c>
      <c r="BV142" s="23"/>
      <c r="BW142" s="23">
        <v>4227300</v>
      </c>
      <c r="BX142" s="23"/>
      <c r="BY142" s="23">
        <v>4227300</v>
      </c>
      <c r="BZ142" s="23"/>
      <c r="CA142" s="23">
        <v>4227300</v>
      </c>
      <c r="CB142" s="23"/>
      <c r="CC142" s="23">
        <v>4227300</v>
      </c>
      <c r="CD142" s="23">
        <v>2113650</v>
      </c>
      <c r="CE142" s="23">
        <v>8454600</v>
      </c>
      <c r="CF142" s="28"/>
      <c r="CG142" s="28"/>
      <c r="CH142" s="25">
        <f t="shared" ref="CH142:CI142" si="273">BH142+BJ142+BL142+BN142+BP142+BR142+BT142+BV142+BX142+BZ142+CB142+CD142+CF142</f>
        <v>48613950</v>
      </c>
      <c r="CI142" s="25">
        <f t="shared" si="273"/>
        <v>48613950</v>
      </c>
      <c r="CJ142" s="26">
        <f t="shared" si="4"/>
        <v>0</v>
      </c>
      <c r="CK142" s="26">
        <f t="shared" si="5"/>
        <v>0</v>
      </c>
    </row>
    <row r="143" spans="1:89" ht="90" customHeight="1" x14ac:dyDescent="0.3">
      <c r="A143" s="13" t="s">
        <v>248</v>
      </c>
      <c r="B143" s="14" t="s">
        <v>14</v>
      </c>
      <c r="C143" s="15" t="s">
        <v>519</v>
      </c>
      <c r="D143" s="14" t="s">
        <v>63</v>
      </c>
      <c r="E143" s="13" t="s">
        <v>250</v>
      </c>
      <c r="F143" s="13" t="s">
        <v>250</v>
      </c>
      <c r="G143" s="14">
        <v>3</v>
      </c>
      <c r="H143" s="13" t="s">
        <v>581</v>
      </c>
      <c r="I143" s="15" t="s">
        <v>521</v>
      </c>
      <c r="J143" s="14" t="s">
        <v>15</v>
      </c>
      <c r="K143" s="15" t="s">
        <v>71</v>
      </c>
      <c r="L143" s="14">
        <v>80111620</v>
      </c>
      <c r="M143" s="14" t="s">
        <v>16</v>
      </c>
      <c r="N143" s="14" t="s">
        <v>253</v>
      </c>
      <c r="O143" s="15" t="s">
        <v>582</v>
      </c>
      <c r="P143" s="14" t="s">
        <v>255</v>
      </c>
      <c r="Q143" s="14" t="s">
        <v>255</v>
      </c>
      <c r="R143" s="14" t="s">
        <v>255</v>
      </c>
      <c r="S143" s="14">
        <v>10.5</v>
      </c>
      <c r="T143" s="14" t="s">
        <v>256</v>
      </c>
      <c r="U143" s="14" t="s">
        <v>257</v>
      </c>
      <c r="V143" s="14" t="s">
        <v>113</v>
      </c>
      <c r="W143" s="18">
        <v>45647760</v>
      </c>
      <c r="X143" s="18">
        <v>45647760</v>
      </c>
      <c r="Y143" s="19" t="s">
        <v>339</v>
      </c>
      <c r="Z143" s="19" t="s">
        <v>258</v>
      </c>
      <c r="AA143" s="14" t="s">
        <v>530</v>
      </c>
      <c r="AB143" s="14" t="s">
        <v>524</v>
      </c>
      <c r="AC143" s="14">
        <v>6012220607</v>
      </c>
      <c r="AD143" s="14" t="s">
        <v>531</v>
      </c>
      <c r="AE143" s="82">
        <v>44386650</v>
      </c>
      <c r="AF143" s="82">
        <v>0</v>
      </c>
      <c r="AG143" s="82">
        <v>0</v>
      </c>
      <c r="AH143" s="82">
        <v>4227300</v>
      </c>
      <c r="AI143" s="82">
        <v>0</v>
      </c>
      <c r="AJ143" s="82">
        <v>4227300</v>
      </c>
      <c r="AK143" s="82">
        <v>0</v>
      </c>
      <c r="AL143" s="82">
        <v>4227300</v>
      </c>
      <c r="AM143" s="82">
        <v>0</v>
      </c>
      <c r="AN143" s="82">
        <v>4227300</v>
      </c>
      <c r="AO143" s="82">
        <v>0</v>
      </c>
      <c r="AP143" s="82">
        <v>4227300</v>
      </c>
      <c r="AQ143" s="82">
        <v>0</v>
      </c>
      <c r="AR143" s="82">
        <v>4227300</v>
      </c>
      <c r="AS143" s="82">
        <v>0</v>
      </c>
      <c r="AT143" s="82">
        <v>4227300</v>
      </c>
      <c r="AU143" s="82">
        <v>0</v>
      </c>
      <c r="AV143" s="82">
        <v>4227300</v>
      </c>
      <c r="AW143" s="82">
        <v>0</v>
      </c>
      <c r="AX143" s="82">
        <v>4227300</v>
      </c>
      <c r="AY143" s="82">
        <v>0</v>
      </c>
      <c r="AZ143" s="82">
        <v>4227300</v>
      </c>
      <c r="BA143" s="82">
        <v>1261110</v>
      </c>
      <c r="BB143" s="82">
        <v>3374760</v>
      </c>
      <c r="BC143" s="82">
        <f t="shared" ref="BC143:BD143" si="274">AE143+AG143+AI143+AK143+AM143+AO143+AQ143+AS143+AU143+AW143+AY143+BA143</f>
        <v>45647760</v>
      </c>
      <c r="BD143" s="82">
        <f t="shared" si="274"/>
        <v>45647760</v>
      </c>
      <c r="BE143" s="83">
        <f t="shared" si="1"/>
        <v>0</v>
      </c>
      <c r="BF143" s="83">
        <f t="shared" si="2"/>
        <v>0</v>
      </c>
      <c r="BG143" s="14" t="str">
        <f ca="1">IFERROR(__xludf.DUMMYFUNCTION("REGEXEXTRACT(O137,""^\S+\s(.+)$"")"),"Prestar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3" s="23">
        <v>44386650</v>
      </c>
      <c r="BI143" s="23"/>
      <c r="BJ143" s="23"/>
      <c r="BK143" s="23">
        <v>4227300</v>
      </c>
      <c r="BL143" s="23"/>
      <c r="BM143" s="23">
        <v>4227300</v>
      </c>
      <c r="BN143" s="23"/>
      <c r="BO143" s="23">
        <v>4227300</v>
      </c>
      <c r="BP143" s="23"/>
      <c r="BQ143" s="23">
        <v>4227300</v>
      </c>
      <c r="BR143" s="23"/>
      <c r="BS143" s="23">
        <v>4227300</v>
      </c>
      <c r="BT143" s="23"/>
      <c r="BU143" s="23">
        <v>4227300</v>
      </c>
      <c r="BV143" s="23"/>
      <c r="BW143" s="23">
        <v>4227300</v>
      </c>
      <c r="BX143" s="23"/>
      <c r="BY143" s="23">
        <v>4227300</v>
      </c>
      <c r="BZ143" s="23"/>
      <c r="CA143" s="23">
        <v>4227300</v>
      </c>
      <c r="CB143" s="23"/>
      <c r="CC143" s="23">
        <v>4227300</v>
      </c>
      <c r="CD143" s="23">
        <v>1261110</v>
      </c>
      <c r="CE143" s="23">
        <v>3374760</v>
      </c>
      <c r="CF143" s="28"/>
      <c r="CG143" s="28"/>
      <c r="CH143" s="25">
        <f t="shared" ref="CH143:CI143" si="275">BH143+BJ143+BL143+BN143+BP143+BR143+BT143+BV143+BX143+BZ143+CB143+CD143+CF143</f>
        <v>45647760</v>
      </c>
      <c r="CI143" s="25">
        <f t="shared" si="275"/>
        <v>45647760</v>
      </c>
      <c r="CJ143" s="26">
        <f t="shared" si="4"/>
        <v>0</v>
      </c>
      <c r="CK143" s="26">
        <f t="shared" si="5"/>
        <v>0</v>
      </c>
    </row>
    <row r="144" spans="1:89" ht="90" customHeight="1" x14ac:dyDescent="0.3">
      <c r="A144" s="13" t="s">
        <v>248</v>
      </c>
      <c r="B144" s="14" t="s">
        <v>14</v>
      </c>
      <c r="C144" s="15" t="s">
        <v>519</v>
      </c>
      <c r="D144" s="14" t="s">
        <v>63</v>
      </c>
      <c r="E144" s="13" t="s">
        <v>250</v>
      </c>
      <c r="F144" s="13" t="s">
        <v>250</v>
      </c>
      <c r="G144" s="14">
        <v>68</v>
      </c>
      <c r="H144" s="13" t="s">
        <v>583</v>
      </c>
      <c r="I144" s="15" t="s">
        <v>521</v>
      </c>
      <c r="J144" s="14" t="s">
        <v>15</v>
      </c>
      <c r="K144" s="15" t="s">
        <v>71</v>
      </c>
      <c r="L144" s="14">
        <v>80111620</v>
      </c>
      <c r="M144" s="14" t="s">
        <v>16</v>
      </c>
      <c r="N144" s="14" t="s">
        <v>253</v>
      </c>
      <c r="O144" s="15" t="s">
        <v>584</v>
      </c>
      <c r="P144" s="14" t="s">
        <v>255</v>
      </c>
      <c r="Q144" s="14" t="s">
        <v>255</v>
      </c>
      <c r="R144" s="14" t="s">
        <v>255</v>
      </c>
      <c r="S144" s="17">
        <v>11.5</v>
      </c>
      <c r="T144" s="14" t="s">
        <v>256</v>
      </c>
      <c r="U144" s="14" t="s">
        <v>257</v>
      </c>
      <c r="V144" s="14" t="s">
        <v>113</v>
      </c>
      <c r="W144" s="18">
        <v>48613950</v>
      </c>
      <c r="X144" s="18">
        <v>48613950</v>
      </c>
      <c r="Y144" s="19" t="s">
        <v>339</v>
      </c>
      <c r="Z144" s="19" t="s">
        <v>258</v>
      </c>
      <c r="AA144" s="14" t="s">
        <v>523</v>
      </c>
      <c r="AB144" s="14" t="s">
        <v>524</v>
      </c>
      <c r="AC144" s="14">
        <v>6012220619</v>
      </c>
      <c r="AD144" s="14" t="s">
        <v>525</v>
      </c>
      <c r="AE144" s="82">
        <v>48613950</v>
      </c>
      <c r="AF144" s="82">
        <v>0</v>
      </c>
      <c r="AG144" s="82">
        <v>0</v>
      </c>
      <c r="AH144" s="82">
        <v>2113650</v>
      </c>
      <c r="AI144" s="82">
        <v>0</v>
      </c>
      <c r="AJ144" s="82">
        <v>4227300</v>
      </c>
      <c r="AK144" s="82">
        <v>0</v>
      </c>
      <c r="AL144" s="82">
        <v>4227300</v>
      </c>
      <c r="AM144" s="82">
        <v>0</v>
      </c>
      <c r="AN144" s="82">
        <v>4227300</v>
      </c>
      <c r="AO144" s="82">
        <v>0</v>
      </c>
      <c r="AP144" s="82">
        <v>4227300</v>
      </c>
      <c r="AQ144" s="82">
        <v>0</v>
      </c>
      <c r="AR144" s="82">
        <v>4227300</v>
      </c>
      <c r="AS144" s="82">
        <v>0</v>
      </c>
      <c r="AT144" s="82">
        <v>4227300</v>
      </c>
      <c r="AU144" s="82">
        <v>0</v>
      </c>
      <c r="AV144" s="82">
        <v>4227300</v>
      </c>
      <c r="AW144" s="82">
        <v>0</v>
      </c>
      <c r="AX144" s="82">
        <v>4227300</v>
      </c>
      <c r="AY144" s="82">
        <v>0</v>
      </c>
      <c r="AZ144" s="82">
        <v>4227300</v>
      </c>
      <c r="BA144" s="82">
        <v>0</v>
      </c>
      <c r="BB144" s="82">
        <v>8454600</v>
      </c>
      <c r="BC144" s="82">
        <f t="shared" ref="BC144:BD144" si="276">AE144+AG144+AI144+AK144+AM144+AO144+AQ144+AS144+AU144+AW144+AY144+BA144</f>
        <v>48613950</v>
      </c>
      <c r="BD144" s="82">
        <f t="shared" si="276"/>
        <v>48613950</v>
      </c>
      <c r="BE144" s="83">
        <f t="shared" si="1"/>
        <v>0</v>
      </c>
      <c r="BF144" s="83">
        <f t="shared" si="2"/>
        <v>0</v>
      </c>
      <c r="BG144" s="14" t="str">
        <f ca="1">IFERROR(__xludf.DUMMYFUNCTION("REGEXEXTRACT(O138,""^\S+\s(.+)$"")"),"Prestar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4" s="23">
        <v>48613950</v>
      </c>
      <c r="BI144" s="23"/>
      <c r="BJ144" s="23"/>
      <c r="BK144" s="23">
        <v>2113650</v>
      </c>
      <c r="BL144" s="23"/>
      <c r="BM144" s="23">
        <v>4227300</v>
      </c>
      <c r="BN144" s="23"/>
      <c r="BO144" s="23">
        <v>4227300</v>
      </c>
      <c r="BP144" s="23"/>
      <c r="BQ144" s="23">
        <v>4227300</v>
      </c>
      <c r="BR144" s="23"/>
      <c r="BS144" s="23">
        <v>4227300</v>
      </c>
      <c r="BT144" s="23"/>
      <c r="BU144" s="23">
        <v>4227300</v>
      </c>
      <c r="BV144" s="23"/>
      <c r="BW144" s="23">
        <v>4227300</v>
      </c>
      <c r="BX144" s="23"/>
      <c r="BY144" s="23">
        <v>4227300</v>
      </c>
      <c r="BZ144" s="23"/>
      <c r="CA144" s="23">
        <v>4227300</v>
      </c>
      <c r="CB144" s="23"/>
      <c r="CC144" s="23">
        <v>4227300</v>
      </c>
      <c r="CD144" s="23"/>
      <c r="CE144" s="23">
        <v>8454600</v>
      </c>
      <c r="CF144" s="28"/>
      <c r="CG144" s="28"/>
      <c r="CH144" s="25">
        <f t="shared" ref="CH144:CI144" si="277">BH144+BJ144+BL144+BN144+BP144+BR144+BT144+BV144+BX144+BZ144+CB144+CD144+CF144</f>
        <v>48613950</v>
      </c>
      <c r="CI144" s="25">
        <f t="shared" si="277"/>
        <v>48613950</v>
      </c>
      <c r="CJ144" s="26">
        <f t="shared" si="4"/>
        <v>0</v>
      </c>
      <c r="CK144" s="26">
        <f t="shared" si="5"/>
        <v>0</v>
      </c>
    </row>
    <row r="145" spans="1:89" ht="90" customHeight="1" x14ac:dyDescent="0.3">
      <c r="A145" s="13" t="s">
        <v>248</v>
      </c>
      <c r="B145" s="14" t="s">
        <v>14</v>
      </c>
      <c r="C145" s="15" t="s">
        <v>519</v>
      </c>
      <c r="D145" s="14" t="s">
        <v>63</v>
      </c>
      <c r="E145" s="13" t="s">
        <v>250</v>
      </c>
      <c r="F145" s="13" t="s">
        <v>250</v>
      </c>
      <c r="G145" s="14">
        <v>68</v>
      </c>
      <c r="H145" s="13" t="s">
        <v>585</v>
      </c>
      <c r="I145" s="15" t="s">
        <v>521</v>
      </c>
      <c r="J145" s="14" t="s">
        <v>15</v>
      </c>
      <c r="K145" s="15" t="s">
        <v>71</v>
      </c>
      <c r="L145" s="14">
        <v>80111620</v>
      </c>
      <c r="M145" s="14" t="s">
        <v>16</v>
      </c>
      <c r="N145" s="14" t="s">
        <v>253</v>
      </c>
      <c r="O145" s="15" t="s">
        <v>586</v>
      </c>
      <c r="P145" s="14" t="s">
        <v>255</v>
      </c>
      <c r="Q145" s="14" t="s">
        <v>255</v>
      </c>
      <c r="R145" s="14" t="s">
        <v>255</v>
      </c>
      <c r="S145" s="17">
        <v>6</v>
      </c>
      <c r="T145" s="14" t="s">
        <v>256</v>
      </c>
      <c r="U145" s="14" t="s">
        <v>257</v>
      </c>
      <c r="V145" s="14" t="s">
        <v>113</v>
      </c>
      <c r="W145" s="18">
        <v>19712700</v>
      </c>
      <c r="X145" s="18">
        <v>19712700</v>
      </c>
      <c r="Y145" s="19" t="s">
        <v>339</v>
      </c>
      <c r="Z145" s="19" t="s">
        <v>258</v>
      </c>
      <c r="AA145" s="14" t="s">
        <v>523</v>
      </c>
      <c r="AB145" s="14" t="s">
        <v>524</v>
      </c>
      <c r="AC145" s="14">
        <v>6012220620</v>
      </c>
      <c r="AD145" s="14" t="s">
        <v>525</v>
      </c>
      <c r="AE145" s="82">
        <v>19712700</v>
      </c>
      <c r="AF145" s="82">
        <v>0</v>
      </c>
      <c r="AG145" s="82">
        <v>0</v>
      </c>
      <c r="AH145" s="82">
        <v>1642725</v>
      </c>
      <c r="AI145" s="82">
        <v>0</v>
      </c>
      <c r="AJ145" s="82">
        <v>3285450</v>
      </c>
      <c r="AK145" s="82">
        <v>0</v>
      </c>
      <c r="AL145" s="82">
        <v>3285450</v>
      </c>
      <c r="AM145" s="82">
        <v>0</v>
      </c>
      <c r="AN145" s="82">
        <v>3285450</v>
      </c>
      <c r="AO145" s="82">
        <v>0</v>
      </c>
      <c r="AP145" s="82">
        <v>3285450</v>
      </c>
      <c r="AQ145" s="82">
        <v>0</v>
      </c>
      <c r="AR145" s="82">
        <v>3285450</v>
      </c>
      <c r="AS145" s="82">
        <v>0</v>
      </c>
      <c r="AT145" s="82">
        <v>1642725</v>
      </c>
      <c r="AU145" s="82">
        <v>0</v>
      </c>
      <c r="AV145" s="82">
        <v>0</v>
      </c>
      <c r="AW145" s="82">
        <v>0</v>
      </c>
      <c r="AX145" s="82">
        <v>0</v>
      </c>
      <c r="AY145" s="82">
        <v>0</v>
      </c>
      <c r="AZ145" s="82">
        <v>0</v>
      </c>
      <c r="BA145" s="82">
        <v>0</v>
      </c>
      <c r="BB145" s="82">
        <v>0</v>
      </c>
      <c r="BC145" s="82">
        <f t="shared" ref="BC145:BD145" si="278">AE145+AG145+AI145+AK145+AM145+AO145+AQ145+AS145+AU145+AW145+AY145+BA145</f>
        <v>19712700</v>
      </c>
      <c r="BD145" s="82">
        <f t="shared" si="278"/>
        <v>19712700</v>
      </c>
      <c r="BE145" s="83">
        <f t="shared" si="1"/>
        <v>0</v>
      </c>
      <c r="BF145" s="83">
        <f t="shared" si="2"/>
        <v>0</v>
      </c>
      <c r="BG145" s="14" t="str">
        <f ca="1">IFERROR(__xludf.DUMMYFUNCTION("REGEXEXTRACT(O139,""^\S+\s(.+)$"")"),"Prestar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45" s="23">
        <v>19712700</v>
      </c>
      <c r="BI145" s="23"/>
      <c r="BJ145" s="23"/>
      <c r="BK145" s="23">
        <v>1642725</v>
      </c>
      <c r="BL145" s="23"/>
      <c r="BM145" s="23">
        <v>3285450</v>
      </c>
      <c r="BN145" s="23"/>
      <c r="BO145" s="23">
        <v>3285450</v>
      </c>
      <c r="BP145" s="23"/>
      <c r="BQ145" s="23">
        <v>3285450</v>
      </c>
      <c r="BR145" s="23"/>
      <c r="BS145" s="23">
        <v>3285450</v>
      </c>
      <c r="BT145" s="23"/>
      <c r="BU145" s="23">
        <v>3285450</v>
      </c>
      <c r="BV145" s="23"/>
      <c r="BW145" s="23">
        <v>1642725</v>
      </c>
      <c r="BX145" s="23"/>
      <c r="BY145" s="23"/>
      <c r="BZ145" s="23"/>
      <c r="CA145" s="23"/>
      <c r="CB145" s="23"/>
      <c r="CC145" s="23"/>
      <c r="CD145" s="23"/>
      <c r="CE145" s="23"/>
      <c r="CF145" s="28"/>
      <c r="CG145" s="28"/>
      <c r="CH145" s="25">
        <f t="shared" ref="CH145:CI145" si="279">BH145+BJ145+BL145+BN145+BP145+BR145+BT145+BV145+BX145+BZ145+CB145+CD145+CF145</f>
        <v>19712700</v>
      </c>
      <c r="CI145" s="25">
        <f t="shared" si="279"/>
        <v>19712700</v>
      </c>
      <c r="CJ145" s="26">
        <f t="shared" si="4"/>
        <v>0</v>
      </c>
      <c r="CK145" s="26">
        <f t="shared" si="5"/>
        <v>0</v>
      </c>
    </row>
    <row r="146" spans="1:89" ht="90" customHeight="1" x14ac:dyDescent="0.3">
      <c r="A146" s="13" t="s">
        <v>248</v>
      </c>
      <c r="B146" s="14" t="s">
        <v>14</v>
      </c>
      <c r="C146" s="15" t="s">
        <v>519</v>
      </c>
      <c r="D146" s="14" t="s">
        <v>63</v>
      </c>
      <c r="E146" s="13" t="s">
        <v>250</v>
      </c>
      <c r="F146" s="13" t="s">
        <v>250</v>
      </c>
      <c r="G146" s="14">
        <v>3</v>
      </c>
      <c r="H146" s="13" t="s">
        <v>587</v>
      </c>
      <c r="I146" s="15" t="s">
        <v>521</v>
      </c>
      <c r="J146" s="14" t="s">
        <v>15</v>
      </c>
      <c r="K146" s="15" t="s">
        <v>71</v>
      </c>
      <c r="L146" s="14">
        <v>80111620</v>
      </c>
      <c r="M146" s="14" t="s">
        <v>16</v>
      </c>
      <c r="N146" s="14" t="s">
        <v>253</v>
      </c>
      <c r="O146" s="15" t="s">
        <v>588</v>
      </c>
      <c r="P146" s="14" t="s">
        <v>255</v>
      </c>
      <c r="Q146" s="14" t="s">
        <v>255</v>
      </c>
      <c r="R146" s="14" t="s">
        <v>255</v>
      </c>
      <c r="S146" s="17">
        <v>6</v>
      </c>
      <c r="T146" s="14" t="s">
        <v>256</v>
      </c>
      <c r="U146" s="14" t="s">
        <v>257</v>
      </c>
      <c r="V146" s="14" t="s">
        <v>113</v>
      </c>
      <c r="W146" s="18">
        <v>37359000</v>
      </c>
      <c r="X146" s="18">
        <v>37359000</v>
      </c>
      <c r="Y146" s="19" t="s">
        <v>339</v>
      </c>
      <c r="Z146" s="19" t="s">
        <v>258</v>
      </c>
      <c r="AA146" s="14" t="s">
        <v>530</v>
      </c>
      <c r="AB146" s="14" t="s">
        <v>524</v>
      </c>
      <c r="AC146" s="14">
        <v>6012220607</v>
      </c>
      <c r="AD146" s="14" t="s">
        <v>531</v>
      </c>
      <c r="AE146" s="82">
        <v>0</v>
      </c>
      <c r="AF146" s="82">
        <v>0</v>
      </c>
      <c r="AG146" s="82">
        <v>37359000</v>
      </c>
      <c r="AH146" s="82">
        <v>0</v>
      </c>
      <c r="AI146" s="82">
        <v>0</v>
      </c>
      <c r="AJ146" s="82">
        <v>6226500</v>
      </c>
      <c r="AK146" s="82">
        <v>0</v>
      </c>
      <c r="AL146" s="82">
        <v>6226500</v>
      </c>
      <c r="AM146" s="82">
        <v>0</v>
      </c>
      <c r="AN146" s="82">
        <v>6226500</v>
      </c>
      <c r="AO146" s="82">
        <v>0</v>
      </c>
      <c r="AP146" s="82">
        <v>6226500</v>
      </c>
      <c r="AQ146" s="82">
        <v>0</v>
      </c>
      <c r="AR146" s="82">
        <v>6226500</v>
      </c>
      <c r="AS146" s="82">
        <v>0</v>
      </c>
      <c r="AT146" s="82">
        <v>6226500</v>
      </c>
      <c r="AU146" s="82">
        <v>0</v>
      </c>
      <c r="AV146" s="82">
        <v>0</v>
      </c>
      <c r="AW146" s="82">
        <v>0</v>
      </c>
      <c r="AX146" s="82">
        <v>0</v>
      </c>
      <c r="AY146" s="82">
        <v>0</v>
      </c>
      <c r="AZ146" s="82">
        <v>0</v>
      </c>
      <c r="BA146" s="82">
        <v>0</v>
      </c>
      <c r="BB146" s="82">
        <v>0</v>
      </c>
      <c r="BC146" s="82">
        <f t="shared" ref="BC146:BD146" si="280">AE146+AG146+AI146+AK146+AM146+AO146+AQ146+AS146+AU146+AW146+AY146+BA146</f>
        <v>37359000</v>
      </c>
      <c r="BD146" s="82">
        <f t="shared" si="280"/>
        <v>37359000</v>
      </c>
      <c r="BE146" s="83">
        <f t="shared" si="1"/>
        <v>0</v>
      </c>
      <c r="BF146" s="83">
        <f t="shared" si="2"/>
        <v>0</v>
      </c>
      <c r="BG146" s="14" t="str">
        <f ca="1">IFERROR(__xludf.DUMMYFUNCTION("REGEXEXTRACT(O140,""^\S+\s(.+)$"")"),"Prestar servicios profesionales para llevar a cabo la evaluación técnica y financiera de proyectos energéticos que solicitan recursos a los fondos y mecanismos de financiación evaluados por la UPME, liderar en mesas técnicas, contribuir en la definición d"&amp;"e criterios de evaluación y brindar acompañamiento a nivel interno y externo en modalidad de capacitación. ")</f>
        <v xml:space="preserve">Prestar servicios profesionales para llevar a cabo la evaluación técnica y financiera de proyectos energéticos que solicitan recursos a los fondos y mecanismos de financiación evaluados por la UPME, liderar en mesas técnicas, contribuir en la definición de criterios de evaluación y brindar acompañamiento a nivel interno y externo en modalidad de capacitación. </v>
      </c>
      <c r="BH146" s="23"/>
      <c r="BI146" s="23"/>
      <c r="BJ146" s="23">
        <v>37359000</v>
      </c>
      <c r="BK146" s="23"/>
      <c r="BL146" s="23"/>
      <c r="BM146" s="23">
        <v>6226500</v>
      </c>
      <c r="BN146" s="23"/>
      <c r="BO146" s="23">
        <v>6226500</v>
      </c>
      <c r="BP146" s="23"/>
      <c r="BQ146" s="23">
        <v>6226500</v>
      </c>
      <c r="BR146" s="23"/>
      <c r="BS146" s="23">
        <v>6226500</v>
      </c>
      <c r="BT146" s="23"/>
      <c r="BU146" s="23">
        <v>6226500</v>
      </c>
      <c r="BV146" s="23"/>
      <c r="BW146" s="23">
        <v>6226500</v>
      </c>
      <c r="BX146" s="23"/>
      <c r="BY146" s="23"/>
      <c r="BZ146" s="23"/>
      <c r="CA146" s="23"/>
      <c r="CB146" s="23"/>
      <c r="CC146" s="23"/>
      <c r="CD146" s="23"/>
      <c r="CE146" s="23"/>
      <c r="CF146" s="28"/>
      <c r="CG146" s="28"/>
      <c r="CH146" s="25">
        <f t="shared" ref="CH146:CI146" si="281">BH146+BJ146+BL146+BN146+BP146+BR146+BT146+BV146+BX146+BZ146+CB146+CD146+CF146</f>
        <v>37359000</v>
      </c>
      <c r="CI146" s="25">
        <f t="shared" si="281"/>
        <v>37359000</v>
      </c>
      <c r="CJ146" s="26">
        <f t="shared" si="4"/>
        <v>0</v>
      </c>
      <c r="CK146" s="26">
        <f t="shared" si="5"/>
        <v>0</v>
      </c>
    </row>
    <row r="147" spans="1:89" ht="90" customHeight="1" x14ac:dyDescent="0.3">
      <c r="A147" s="13" t="s">
        <v>248</v>
      </c>
      <c r="B147" s="14" t="s">
        <v>14</v>
      </c>
      <c r="C147" s="15" t="s">
        <v>519</v>
      </c>
      <c r="D147" s="14" t="s">
        <v>63</v>
      </c>
      <c r="E147" s="13" t="s">
        <v>250</v>
      </c>
      <c r="F147" s="13" t="s">
        <v>250</v>
      </c>
      <c r="G147" s="14">
        <v>68</v>
      </c>
      <c r="H147" s="13" t="s">
        <v>589</v>
      </c>
      <c r="I147" s="15" t="s">
        <v>521</v>
      </c>
      <c r="J147" s="14" t="s">
        <v>15</v>
      </c>
      <c r="K147" s="15" t="s">
        <v>71</v>
      </c>
      <c r="L147" s="14">
        <v>80111620</v>
      </c>
      <c r="M147" s="14" t="s">
        <v>16</v>
      </c>
      <c r="N147" s="14" t="s">
        <v>253</v>
      </c>
      <c r="O147" s="15" t="s">
        <v>590</v>
      </c>
      <c r="P147" s="14" t="s">
        <v>255</v>
      </c>
      <c r="Q147" s="14" t="s">
        <v>255</v>
      </c>
      <c r="R147" s="14" t="s">
        <v>255</v>
      </c>
      <c r="S147" s="17">
        <v>6</v>
      </c>
      <c r="T147" s="14" t="s">
        <v>256</v>
      </c>
      <c r="U147" s="14" t="s">
        <v>257</v>
      </c>
      <c r="V147" s="14" t="s">
        <v>113</v>
      </c>
      <c r="W147" s="18">
        <v>53984700</v>
      </c>
      <c r="X147" s="18">
        <v>53984700</v>
      </c>
      <c r="Y147" s="19" t="s">
        <v>339</v>
      </c>
      <c r="Z147" s="19" t="s">
        <v>258</v>
      </c>
      <c r="AA147" s="14" t="s">
        <v>523</v>
      </c>
      <c r="AB147" s="14" t="s">
        <v>524</v>
      </c>
      <c r="AC147" s="14">
        <v>6012220621</v>
      </c>
      <c r="AD147" s="14" t="s">
        <v>525</v>
      </c>
      <c r="AE147" s="82">
        <v>53984700</v>
      </c>
      <c r="AF147" s="82">
        <v>0</v>
      </c>
      <c r="AG147" s="82">
        <v>0</v>
      </c>
      <c r="AH147" s="82">
        <v>4498725</v>
      </c>
      <c r="AI147" s="82">
        <v>0</v>
      </c>
      <c r="AJ147" s="82">
        <v>8997450</v>
      </c>
      <c r="AK147" s="82">
        <v>0</v>
      </c>
      <c r="AL147" s="82">
        <v>8997450</v>
      </c>
      <c r="AM147" s="82">
        <v>0</v>
      </c>
      <c r="AN147" s="82">
        <v>8997450</v>
      </c>
      <c r="AO147" s="82">
        <v>0</v>
      </c>
      <c r="AP147" s="82">
        <v>8997450</v>
      </c>
      <c r="AQ147" s="82">
        <v>0</v>
      </c>
      <c r="AR147" s="82">
        <v>8997450</v>
      </c>
      <c r="AS147" s="82">
        <v>0</v>
      </c>
      <c r="AT147" s="82">
        <v>4498725</v>
      </c>
      <c r="AU147" s="82">
        <v>0</v>
      </c>
      <c r="AV147" s="82">
        <v>0</v>
      </c>
      <c r="AW147" s="82">
        <v>0</v>
      </c>
      <c r="AX147" s="82">
        <v>0</v>
      </c>
      <c r="AY147" s="82">
        <v>0</v>
      </c>
      <c r="AZ147" s="82">
        <v>0</v>
      </c>
      <c r="BA147" s="82">
        <v>0</v>
      </c>
      <c r="BB147" s="82">
        <v>0</v>
      </c>
      <c r="BC147" s="82">
        <f t="shared" ref="BC147:BD147" si="282">AE147+AG147+AI147+AK147+AM147+AO147+AQ147+AS147+AU147+AW147+AY147+BA147</f>
        <v>53984700</v>
      </c>
      <c r="BD147" s="82">
        <f t="shared" si="282"/>
        <v>53984700</v>
      </c>
      <c r="BE147" s="83">
        <f t="shared" si="1"/>
        <v>0</v>
      </c>
      <c r="BF147" s="83">
        <f t="shared" si="2"/>
        <v>0</v>
      </c>
      <c r="BG147" s="14" t="str">
        <f ca="1">IFERROR(__xludf.DUMMYFUNCTION("REGEXEXTRACT(O141,""^\S+\s(.+)$"")"),"Prestar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47" s="23">
        <v>53984700</v>
      </c>
      <c r="BI147" s="23"/>
      <c r="BJ147" s="23"/>
      <c r="BK147" s="23">
        <v>4498725</v>
      </c>
      <c r="BL147" s="23"/>
      <c r="BM147" s="23">
        <v>8997450</v>
      </c>
      <c r="BN147" s="23"/>
      <c r="BO147" s="23">
        <v>8997450</v>
      </c>
      <c r="BP147" s="23"/>
      <c r="BQ147" s="23">
        <v>8997450</v>
      </c>
      <c r="BR147" s="23"/>
      <c r="BS147" s="23">
        <v>8997450</v>
      </c>
      <c r="BT147" s="23"/>
      <c r="BU147" s="23">
        <v>8997450</v>
      </c>
      <c r="BV147" s="23"/>
      <c r="BW147" s="23">
        <v>4498725</v>
      </c>
      <c r="BX147" s="23"/>
      <c r="BY147" s="23"/>
      <c r="BZ147" s="23"/>
      <c r="CA147" s="23"/>
      <c r="CB147" s="23"/>
      <c r="CC147" s="23"/>
      <c r="CD147" s="23"/>
      <c r="CE147" s="23"/>
      <c r="CF147" s="28"/>
      <c r="CG147" s="28"/>
      <c r="CH147" s="25">
        <f t="shared" ref="CH147:CI147" si="283">BH147+BJ147+BL147+BN147+BP147+BR147+BT147+BV147+BX147+BZ147+CB147+CD147+CF147</f>
        <v>53984700</v>
      </c>
      <c r="CI147" s="25">
        <f t="shared" si="283"/>
        <v>53984700</v>
      </c>
      <c r="CJ147" s="26">
        <f t="shared" si="4"/>
        <v>0</v>
      </c>
      <c r="CK147" s="26">
        <f t="shared" si="5"/>
        <v>0</v>
      </c>
    </row>
    <row r="148" spans="1:89" ht="90" customHeight="1" x14ac:dyDescent="0.3">
      <c r="A148" s="13" t="s">
        <v>248</v>
      </c>
      <c r="B148" s="14" t="s">
        <v>14</v>
      </c>
      <c r="C148" s="15" t="s">
        <v>519</v>
      </c>
      <c r="D148" s="14" t="s">
        <v>63</v>
      </c>
      <c r="E148" s="13" t="s">
        <v>250</v>
      </c>
      <c r="F148" s="13" t="s">
        <v>250</v>
      </c>
      <c r="G148" s="14">
        <v>68</v>
      </c>
      <c r="H148" s="13" t="s">
        <v>591</v>
      </c>
      <c r="I148" s="15" t="s">
        <v>521</v>
      </c>
      <c r="J148" s="14" t="s">
        <v>15</v>
      </c>
      <c r="K148" s="15" t="s">
        <v>71</v>
      </c>
      <c r="L148" s="14">
        <v>80111620</v>
      </c>
      <c r="M148" s="14" t="s">
        <v>16</v>
      </c>
      <c r="N148" s="14" t="s">
        <v>253</v>
      </c>
      <c r="O148" s="15" t="s">
        <v>592</v>
      </c>
      <c r="P148" s="14" t="s">
        <v>255</v>
      </c>
      <c r="Q148" s="14" t="s">
        <v>255</v>
      </c>
      <c r="R148" s="14" t="s">
        <v>255</v>
      </c>
      <c r="S148" s="17">
        <v>6</v>
      </c>
      <c r="T148" s="14" t="s">
        <v>256</v>
      </c>
      <c r="U148" s="14" t="s">
        <v>257</v>
      </c>
      <c r="V148" s="14" t="s">
        <v>113</v>
      </c>
      <c r="W148" s="18">
        <v>47653200</v>
      </c>
      <c r="X148" s="18">
        <v>47653200</v>
      </c>
      <c r="Y148" s="19" t="s">
        <v>339</v>
      </c>
      <c r="Z148" s="19" t="s">
        <v>258</v>
      </c>
      <c r="AA148" s="14" t="s">
        <v>523</v>
      </c>
      <c r="AB148" s="14" t="s">
        <v>524</v>
      </c>
      <c r="AC148" s="14">
        <v>6012220621</v>
      </c>
      <c r="AD148" s="14" t="s">
        <v>525</v>
      </c>
      <c r="AE148" s="82">
        <v>47653200</v>
      </c>
      <c r="AF148" s="82">
        <v>0</v>
      </c>
      <c r="AG148" s="82">
        <v>0</v>
      </c>
      <c r="AH148" s="82">
        <v>3971100</v>
      </c>
      <c r="AI148" s="82">
        <v>0</v>
      </c>
      <c r="AJ148" s="82">
        <v>7942200</v>
      </c>
      <c r="AK148" s="82">
        <v>0</v>
      </c>
      <c r="AL148" s="82">
        <v>7942200</v>
      </c>
      <c r="AM148" s="82">
        <v>0</v>
      </c>
      <c r="AN148" s="82">
        <v>7942200</v>
      </c>
      <c r="AO148" s="82">
        <v>0</v>
      </c>
      <c r="AP148" s="82">
        <v>7942200</v>
      </c>
      <c r="AQ148" s="82">
        <v>0</v>
      </c>
      <c r="AR148" s="82">
        <v>7942200</v>
      </c>
      <c r="AS148" s="82">
        <v>0</v>
      </c>
      <c r="AT148" s="82">
        <v>3971100</v>
      </c>
      <c r="AU148" s="82">
        <v>0</v>
      </c>
      <c r="AV148" s="82">
        <v>0</v>
      </c>
      <c r="AW148" s="82">
        <v>0</v>
      </c>
      <c r="AX148" s="82">
        <v>0</v>
      </c>
      <c r="AY148" s="82">
        <v>0</v>
      </c>
      <c r="AZ148" s="82">
        <v>0</v>
      </c>
      <c r="BA148" s="82">
        <v>0</v>
      </c>
      <c r="BB148" s="82">
        <v>0</v>
      </c>
      <c r="BC148" s="82">
        <f t="shared" ref="BC148:BD148" si="284">AE148+AG148+AI148+AK148+AM148+AO148+AQ148+AS148+AU148+AW148+AY148+BA148</f>
        <v>47653200</v>
      </c>
      <c r="BD148" s="82">
        <f t="shared" si="284"/>
        <v>47653200</v>
      </c>
      <c r="BE148" s="83">
        <f t="shared" si="1"/>
        <v>0</v>
      </c>
      <c r="BF148" s="83">
        <f t="shared" si="2"/>
        <v>0</v>
      </c>
      <c r="BG148" s="14" t="str">
        <f ca="1">IFERROR(__xludf.DUMMYFUNCTION("REGEXEXTRACT(O142,""^\S+\s(.+)$"")"),"Prestar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48" s="23">
        <v>47653200</v>
      </c>
      <c r="BI148" s="23"/>
      <c r="BJ148" s="23"/>
      <c r="BK148" s="23">
        <v>3971100</v>
      </c>
      <c r="BL148" s="23"/>
      <c r="BM148" s="23">
        <v>7942200</v>
      </c>
      <c r="BN148" s="23"/>
      <c r="BO148" s="23">
        <v>7942200</v>
      </c>
      <c r="BP148" s="23"/>
      <c r="BQ148" s="23">
        <v>7942200</v>
      </c>
      <c r="BR148" s="23"/>
      <c r="BS148" s="23">
        <v>7942200</v>
      </c>
      <c r="BT148" s="23"/>
      <c r="BU148" s="23">
        <v>7942200</v>
      </c>
      <c r="BV148" s="23"/>
      <c r="BW148" s="23">
        <v>3971100</v>
      </c>
      <c r="BX148" s="23"/>
      <c r="BY148" s="23"/>
      <c r="BZ148" s="23"/>
      <c r="CA148" s="23"/>
      <c r="CB148" s="23"/>
      <c r="CC148" s="23"/>
      <c r="CD148" s="23"/>
      <c r="CE148" s="23"/>
      <c r="CF148" s="28"/>
      <c r="CG148" s="28"/>
      <c r="CH148" s="25">
        <f t="shared" ref="CH148:CI148" si="285">BH148+BJ148+BL148+BN148+BP148+BR148+BT148+BV148+BX148+BZ148+CB148+CD148+CF148</f>
        <v>47653200</v>
      </c>
      <c r="CI148" s="25">
        <f t="shared" si="285"/>
        <v>47653200</v>
      </c>
      <c r="CJ148" s="26">
        <f t="shared" si="4"/>
        <v>0</v>
      </c>
      <c r="CK148" s="26">
        <f t="shared" si="5"/>
        <v>0</v>
      </c>
    </row>
    <row r="149" spans="1:89" ht="90" customHeight="1" x14ac:dyDescent="0.3">
      <c r="A149" s="13" t="s">
        <v>248</v>
      </c>
      <c r="B149" s="14" t="s">
        <v>14</v>
      </c>
      <c r="C149" s="15" t="s">
        <v>519</v>
      </c>
      <c r="D149" s="14" t="s">
        <v>63</v>
      </c>
      <c r="E149" s="13" t="s">
        <v>250</v>
      </c>
      <c r="F149" s="13" t="s">
        <v>250</v>
      </c>
      <c r="G149" s="14">
        <v>68</v>
      </c>
      <c r="H149" s="13" t="s">
        <v>593</v>
      </c>
      <c r="I149" s="15" t="s">
        <v>521</v>
      </c>
      <c r="J149" s="14" t="s">
        <v>15</v>
      </c>
      <c r="K149" s="15" t="s">
        <v>71</v>
      </c>
      <c r="L149" s="14">
        <v>80111620</v>
      </c>
      <c r="M149" s="14" t="s">
        <v>16</v>
      </c>
      <c r="N149" s="14" t="s">
        <v>253</v>
      </c>
      <c r="O149" s="15" t="s">
        <v>594</v>
      </c>
      <c r="P149" s="14" t="s">
        <v>255</v>
      </c>
      <c r="Q149" s="14" t="s">
        <v>255</v>
      </c>
      <c r="R149" s="14" t="s">
        <v>255</v>
      </c>
      <c r="S149" s="17">
        <v>11.5</v>
      </c>
      <c r="T149" s="14" t="s">
        <v>256</v>
      </c>
      <c r="U149" s="14" t="s">
        <v>257</v>
      </c>
      <c r="V149" s="14" t="s">
        <v>113</v>
      </c>
      <c r="W149" s="18">
        <v>37782675</v>
      </c>
      <c r="X149" s="18">
        <v>37782675</v>
      </c>
      <c r="Y149" s="19" t="s">
        <v>339</v>
      </c>
      <c r="Z149" s="19" t="s">
        <v>258</v>
      </c>
      <c r="AA149" s="14" t="s">
        <v>523</v>
      </c>
      <c r="AB149" s="14" t="s">
        <v>524</v>
      </c>
      <c r="AC149" s="14">
        <v>6012220621</v>
      </c>
      <c r="AD149" s="14" t="s">
        <v>525</v>
      </c>
      <c r="AE149" s="82">
        <v>36139950</v>
      </c>
      <c r="AF149" s="82">
        <v>0</v>
      </c>
      <c r="AG149" s="82">
        <v>0</v>
      </c>
      <c r="AH149" s="82">
        <v>1642725</v>
      </c>
      <c r="AI149" s="82">
        <v>0</v>
      </c>
      <c r="AJ149" s="82">
        <v>3285450</v>
      </c>
      <c r="AK149" s="82">
        <v>0</v>
      </c>
      <c r="AL149" s="82">
        <v>3285450</v>
      </c>
      <c r="AM149" s="82">
        <v>0</v>
      </c>
      <c r="AN149" s="82">
        <v>3285450</v>
      </c>
      <c r="AO149" s="82">
        <v>0</v>
      </c>
      <c r="AP149" s="82">
        <v>3285450</v>
      </c>
      <c r="AQ149" s="82">
        <v>0</v>
      </c>
      <c r="AR149" s="82">
        <v>3285450</v>
      </c>
      <c r="AS149" s="82">
        <v>0</v>
      </c>
      <c r="AT149" s="82">
        <v>3285450</v>
      </c>
      <c r="AU149" s="82">
        <v>0</v>
      </c>
      <c r="AV149" s="82">
        <v>3285450</v>
      </c>
      <c r="AW149" s="82">
        <v>0</v>
      </c>
      <c r="AX149" s="82">
        <v>3285450</v>
      </c>
      <c r="AY149" s="82">
        <v>0</v>
      </c>
      <c r="AZ149" s="82">
        <v>3285450</v>
      </c>
      <c r="BA149" s="82">
        <v>1642725</v>
      </c>
      <c r="BB149" s="82">
        <v>6570900</v>
      </c>
      <c r="BC149" s="82">
        <f t="shared" ref="BC149:BD149" si="286">AE149+AG149+AI149+AK149+AM149+AO149+AQ149+AS149+AU149+AW149+AY149+BA149</f>
        <v>37782675</v>
      </c>
      <c r="BD149" s="82">
        <f t="shared" si="286"/>
        <v>37782675</v>
      </c>
      <c r="BE149" s="83">
        <f t="shared" si="1"/>
        <v>0</v>
      </c>
      <c r="BF149" s="83">
        <f t="shared" si="2"/>
        <v>0</v>
      </c>
      <c r="BG149" s="14" t="str">
        <f ca="1">IFERROR(__xludf.DUMMYFUNCTION("REGEXEXTRACT(O143,""^\S+\s(.+)$"")"),"Prestar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49" s="23">
        <v>36139950</v>
      </c>
      <c r="BI149" s="23"/>
      <c r="BJ149" s="23"/>
      <c r="BK149" s="23">
        <v>1642725</v>
      </c>
      <c r="BL149" s="23"/>
      <c r="BM149" s="23">
        <v>3285450</v>
      </c>
      <c r="BN149" s="23"/>
      <c r="BO149" s="23">
        <v>3285450</v>
      </c>
      <c r="BP149" s="23"/>
      <c r="BQ149" s="23">
        <v>3285450</v>
      </c>
      <c r="BR149" s="23"/>
      <c r="BS149" s="23">
        <v>3285450</v>
      </c>
      <c r="BT149" s="23"/>
      <c r="BU149" s="23">
        <v>3285450</v>
      </c>
      <c r="BV149" s="23"/>
      <c r="BW149" s="23">
        <v>3285450</v>
      </c>
      <c r="BX149" s="23"/>
      <c r="BY149" s="23">
        <v>3285450</v>
      </c>
      <c r="BZ149" s="23"/>
      <c r="CA149" s="23">
        <v>3285450</v>
      </c>
      <c r="CB149" s="23"/>
      <c r="CC149" s="23">
        <v>3285450</v>
      </c>
      <c r="CD149" s="23">
        <v>1642725</v>
      </c>
      <c r="CE149" s="23">
        <v>6570900</v>
      </c>
      <c r="CF149" s="28"/>
      <c r="CG149" s="28"/>
      <c r="CH149" s="25">
        <f t="shared" ref="CH149:CI149" si="287">BH149+BJ149+BL149+BN149+BP149+BR149+BT149+BV149+BX149+BZ149+CB149+CD149+CF149</f>
        <v>37782675</v>
      </c>
      <c r="CI149" s="25">
        <f t="shared" si="287"/>
        <v>37782675</v>
      </c>
      <c r="CJ149" s="26">
        <f t="shared" si="4"/>
        <v>0</v>
      </c>
      <c r="CK149" s="26">
        <f t="shared" si="5"/>
        <v>0</v>
      </c>
    </row>
    <row r="150" spans="1:89" ht="90" customHeight="1" x14ac:dyDescent="0.3">
      <c r="A150" s="13" t="s">
        <v>248</v>
      </c>
      <c r="B150" s="14" t="s">
        <v>14</v>
      </c>
      <c r="C150" s="15" t="s">
        <v>519</v>
      </c>
      <c r="D150" s="14" t="s">
        <v>63</v>
      </c>
      <c r="E150" s="13" t="s">
        <v>250</v>
      </c>
      <c r="F150" s="13" t="s">
        <v>250</v>
      </c>
      <c r="G150" s="14">
        <v>68</v>
      </c>
      <c r="H150" s="13" t="s">
        <v>595</v>
      </c>
      <c r="I150" s="15" t="s">
        <v>521</v>
      </c>
      <c r="J150" s="14" t="s">
        <v>15</v>
      </c>
      <c r="K150" s="15" t="s">
        <v>71</v>
      </c>
      <c r="L150" s="14">
        <v>80111620</v>
      </c>
      <c r="M150" s="14" t="s">
        <v>16</v>
      </c>
      <c r="N150" s="14" t="s">
        <v>253</v>
      </c>
      <c r="O150" s="15" t="s">
        <v>596</v>
      </c>
      <c r="P150" s="14" t="s">
        <v>255</v>
      </c>
      <c r="Q150" s="14" t="s">
        <v>255</v>
      </c>
      <c r="R150" s="14" t="s">
        <v>255</v>
      </c>
      <c r="S150" s="17">
        <v>6</v>
      </c>
      <c r="T150" s="14" t="s">
        <v>256</v>
      </c>
      <c r="U150" s="14" t="s">
        <v>257</v>
      </c>
      <c r="V150" s="14" t="s">
        <v>113</v>
      </c>
      <c r="W150" s="18">
        <v>19712700</v>
      </c>
      <c r="X150" s="18">
        <v>19712700</v>
      </c>
      <c r="Y150" s="19" t="s">
        <v>339</v>
      </c>
      <c r="Z150" s="19" t="s">
        <v>258</v>
      </c>
      <c r="AA150" s="14" t="s">
        <v>523</v>
      </c>
      <c r="AB150" s="14" t="s">
        <v>524</v>
      </c>
      <c r="AC150" s="14">
        <v>6012220621</v>
      </c>
      <c r="AD150" s="14" t="s">
        <v>525</v>
      </c>
      <c r="AE150" s="82">
        <v>19712700</v>
      </c>
      <c r="AF150" s="82">
        <v>0</v>
      </c>
      <c r="AG150" s="82">
        <v>0</v>
      </c>
      <c r="AH150" s="82">
        <v>1642725</v>
      </c>
      <c r="AI150" s="82">
        <v>0</v>
      </c>
      <c r="AJ150" s="82">
        <v>3285450</v>
      </c>
      <c r="AK150" s="82">
        <v>0</v>
      </c>
      <c r="AL150" s="82">
        <v>3285450</v>
      </c>
      <c r="AM150" s="82">
        <v>0</v>
      </c>
      <c r="AN150" s="82">
        <v>3285450</v>
      </c>
      <c r="AO150" s="82">
        <v>0</v>
      </c>
      <c r="AP150" s="82">
        <v>3285450</v>
      </c>
      <c r="AQ150" s="82">
        <v>0</v>
      </c>
      <c r="AR150" s="82">
        <v>3285450</v>
      </c>
      <c r="AS150" s="82">
        <v>0</v>
      </c>
      <c r="AT150" s="82">
        <v>1642725</v>
      </c>
      <c r="AU150" s="82">
        <v>0</v>
      </c>
      <c r="AV150" s="82">
        <v>0</v>
      </c>
      <c r="AW150" s="82">
        <v>0</v>
      </c>
      <c r="AX150" s="82">
        <v>0</v>
      </c>
      <c r="AY150" s="82">
        <v>0</v>
      </c>
      <c r="AZ150" s="82">
        <v>0</v>
      </c>
      <c r="BA150" s="82">
        <v>0</v>
      </c>
      <c r="BB150" s="82">
        <v>0</v>
      </c>
      <c r="BC150" s="82">
        <f t="shared" ref="BC150:BD150" si="288">AE150+AG150+AI150+AK150+AM150+AO150+AQ150+AS150+AU150+AW150+AY150+BA150</f>
        <v>19712700</v>
      </c>
      <c r="BD150" s="82">
        <f t="shared" si="288"/>
        <v>19712700</v>
      </c>
      <c r="BE150" s="83">
        <f t="shared" si="1"/>
        <v>0</v>
      </c>
      <c r="BF150" s="83">
        <f t="shared" si="2"/>
        <v>0</v>
      </c>
      <c r="BG150" s="14" t="str">
        <f ca="1">IFERROR(__xludf.DUMMYFUNCTION("REGEXEXTRACT(O144,""^\S+\s(.+)$"")"),"Prestar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50" s="23">
        <v>19712700</v>
      </c>
      <c r="BI150" s="23"/>
      <c r="BJ150" s="23"/>
      <c r="BK150" s="23">
        <v>1642725</v>
      </c>
      <c r="BL150" s="23"/>
      <c r="BM150" s="23">
        <v>3285450</v>
      </c>
      <c r="BN150" s="23"/>
      <c r="BO150" s="23">
        <v>3285450</v>
      </c>
      <c r="BP150" s="23"/>
      <c r="BQ150" s="23">
        <v>3285450</v>
      </c>
      <c r="BR150" s="23"/>
      <c r="BS150" s="23">
        <v>3285450</v>
      </c>
      <c r="BT150" s="23"/>
      <c r="BU150" s="23">
        <v>3285450</v>
      </c>
      <c r="BV150" s="23"/>
      <c r="BW150" s="23">
        <v>1642725</v>
      </c>
      <c r="BX150" s="23"/>
      <c r="BY150" s="23"/>
      <c r="BZ150" s="23"/>
      <c r="CA150" s="23"/>
      <c r="CB150" s="23"/>
      <c r="CC150" s="23"/>
      <c r="CD150" s="23"/>
      <c r="CE150" s="23"/>
      <c r="CF150" s="28"/>
      <c r="CG150" s="28"/>
      <c r="CH150" s="25">
        <f t="shared" ref="CH150:CI150" si="289">BH150+BJ150+BL150+BN150+BP150+BR150+BT150+BV150+BX150+BZ150+CB150+CD150+CF150</f>
        <v>19712700</v>
      </c>
      <c r="CI150" s="25">
        <f t="shared" si="289"/>
        <v>19712700</v>
      </c>
      <c r="CJ150" s="26">
        <f t="shared" si="4"/>
        <v>0</v>
      </c>
      <c r="CK150" s="26">
        <f t="shared" si="5"/>
        <v>0</v>
      </c>
    </row>
    <row r="151" spans="1:89" ht="90" customHeight="1" x14ac:dyDescent="0.3">
      <c r="A151" s="13" t="s">
        <v>248</v>
      </c>
      <c r="B151" s="14" t="s">
        <v>14</v>
      </c>
      <c r="C151" s="15" t="s">
        <v>519</v>
      </c>
      <c r="D151" s="14" t="s">
        <v>63</v>
      </c>
      <c r="E151" s="13" t="s">
        <v>250</v>
      </c>
      <c r="F151" s="13" t="s">
        <v>250</v>
      </c>
      <c r="G151" s="14">
        <v>7</v>
      </c>
      <c r="H151" s="13" t="s">
        <v>597</v>
      </c>
      <c r="I151" s="15" t="s">
        <v>521</v>
      </c>
      <c r="J151" s="14" t="s">
        <v>15</v>
      </c>
      <c r="K151" s="15" t="s">
        <v>71</v>
      </c>
      <c r="L151" s="14">
        <v>80111620</v>
      </c>
      <c r="M151" s="14" t="s">
        <v>16</v>
      </c>
      <c r="N151" s="14" t="s">
        <v>253</v>
      </c>
      <c r="O151" s="15" t="s">
        <v>598</v>
      </c>
      <c r="P151" s="14" t="s">
        <v>255</v>
      </c>
      <c r="Q151" s="14" t="s">
        <v>255</v>
      </c>
      <c r="R151" s="14" t="s">
        <v>255</v>
      </c>
      <c r="S151" s="17">
        <v>6</v>
      </c>
      <c r="T151" s="14" t="s">
        <v>256</v>
      </c>
      <c r="U151" s="14" t="s">
        <v>257</v>
      </c>
      <c r="V151" s="14" t="s">
        <v>113</v>
      </c>
      <c r="W151" s="18">
        <v>19712700</v>
      </c>
      <c r="X151" s="18">
        <v>19712700</v>
      </c>
      <c r="Y151" s="19" t="s">
        <v>339</v>
      </c>
      <c r="Z151" s="19" t="s">
        <v>258</v>
      </c>
      <c r="AA151" s="14" t="s">
        <v>523</v>
      </c>
      <c r="AB151" s="14" t="s">
        <v>524</v>
      </c>
      <c r="AC151" s="14">
        <v>6012220622</v>
      </c>
      <c r="AD151" s="14" t="s">
        <v>525</v>
      </c>
      <c r="AE151" s="82">
        <v>0</v>
      </c>
      <c r="AF151" s="82">
        <v>0</v>
      </c>
      <c r="AG151" s="82">
        <v>0</v>
      </c>
      <c r="AH151" s="82">
        <v>0</v>
      </c>
      <c r="AI151" s="82">
        <v>0</v>
      </c>
      <c r="AJ151" s="82">
        <v>0</v>
      </c>
      <c r="AK151" s="82">
        <v>0</v>
      </c>
      <c r="AL151" s="82">
        <v>0</v>
      </c>
      <c r="AM151" s="82">
        <v>0</v>
      </c>
      <c r="AN151" s="82">
        <v>0</v>
      </c>
      <c r="AO151" s="82">
        <v>19712700</v>
      </c>
      <c r="AP151" s="82">
        <v>3285450</v>
      </c>
      <c r="AQ151" s="82">
        <v>0</v>
      </c>
      <c r="AR151" s="82">
        <v>3285450</v>
      </c>
      <c r="AS151" s="82">
        <v>0</v>
      </c>
      <c r="AT151" s="82">
        <v>3285450</v>
      </c>
      <c r="AU151" s="82">
        <v>0</v>
      </c>
      <c r="AV151" s="82">
        <v>3285450</v>
      </c>
      <c r="AW151" s="82">
        <v>0</v>
      </c>
      <c r="AX151" s="82">
        <v>3285450</v>
      </c>
      <c r="AY151" s="82">
        <v>0</v>
      </c>
      <c r="AZ151" s="82">
        <v>3285450</v>
      </c>
      <c r="BA151" s="82">
        <v>0</v>
      </c>
      <c r="BB151" s="82">
        <v>0</v>
      </c>
      <c r="BC151" s="82">
        <f t="shared" ref="BC151:BD151" si="290">AE151+AG151+AI151+AK151+AM151+AO151+AQ151+AS151+AU151+AW151+AY151+BA151</f>
        <v>19712700</v>
      </c>
      <c r="BD151" s="82">
        <f t="shared" si="290"/>
        <v>19712700</v>
      </c>
      <c r="BE151" s="83">
        <f t="shared" si="1"/>
        <v>0</v>
      </c>
      <c r="BF151" s="83">
        <f t="shared" si="2"/>
        <v>0</v>
      </c>
      <c r="BG151" s="14" t="str">
        <f ca="1">IFERROR(__xludf.DUMMYFUNCTION("REGEXEXTRACT(O145,""^\S+\s(.+)$"")"),"Prestar servicios profesionales para apoyar la evaluación de  proyectos en los componentes constructivos que solicitan recursos a los fondos y mecanismos de financiación evaluados por la UPME, ademas de la consolidación de información de referencia de los"&amp;" fondos en base a los proyectos evaluados por la OGPF")</f>
        <v>Prestar servicios profesionales para apoyar la evaluación de  proyectos en los componentes constructivos que solicitan recursos a los fondos y mecanismos de financiación evaluados por la UPME, ademas de la consolidación de información de referencia de los fondos en base a los proyectos evaluados por la OGPF</v>
      </c>
      <c r="BH151" s="23"/>
      <c r="BI151" s="23"/>
      <c r="BJ151" s="23"/>
      <c r="BK151" s="23"/>
      <c r="BL151" s="23"/>
      <c r="BM151" s="23"/>
      <c r="BN151" s="23"/>
      <c r="BO151" s="23"/>
      <c r="BP151" s="23"/>
      <c r="BQ151" s="23"/>
      <c r="BR151" s="23">
        <v>19712700</v>
      </c>
      <c r="BS151" s="23">
        <v>3285450</v>
      </c>
      <c r="BT151" s="23"/>
      <c r="BU151" s="23">
        <v>3285450</v>
      </c>
      <c r="BV151" s="23"/>
      <c r="BW151" s="23">
        <v>3285450</v>
      </c>
      <c r="BX151" s="23"/>
      <c r="BY151" s="23">
        <v>3285450</v>
      </c>
      <c r="BZ151" s="23"/>
      <c r="CA151" s="23">
        <v>3285450</v>
      </c>
      <c r="CB151" s="23"/>
      <c r="CC151" s="23">
        <v>3285450</v>
      </c>
      <c r="CD151" s="23"/>
      <c r="CE151" s="23"/>
      <c r="CF151" s="28"/>
      <c r="CG151" s="28"/>
      <c r="CH151" s="25">
        <f t="shared" ref="CH151:CI151" si="291">BH151+BJ151+BL151+BN151+BP151+BR151+BT151+BV151+BX151+BZ151+CB151+CD151+CF151</f>
        <v>19712700</v>
      </c>
      <c r="CI151" s="25">
        <f t="shared" si="291"/>
        <v>19712700</v>
      </c>
      <c r="CJ151" s="26">
        <f t="shared" si="4"/>
        <v>0</v>
      </c>
      <c r="CK151" s="26">
        <f t="shared" si="5"/>
        <v>0</v>
      </c>
    </row>
    <row r="152" spans="1:89" ht="90" customHeight="1" x14ac:dyDescent="0.3">
      <c r="A152" s="13" t="s">
        <v>248</v>
      </c>
      <c r="B152" s="14" t="s">
        <v>14</v>
      </c>
      <c r="C152" s="15" t="s">
        <v>519</v>
      </c>
      <c r="D152" s="14" t="s">
        <v>63</v>
      </c>
      <c r="E152" s="13" t="s">
        <v>250</v>
      </c>
      <c r="F152" s="13" t="s">
        <v>250</v>
      </c>
      <c r="G152" s="14">
        <v>6</v>
      </c>
      <c r="H152" s="13" t="s">
        <v>599</v>
      </c>
      <c r="I152" s="15" t="s">
        <v>521</v>
      </c>
      <c r="J152" s="14" t="s">
        <v>15</v>
      </c>
      <c r="K152" s="15" t="s">
        <v>71</v>
      </c>
      <c r="L152" s="14">
        <v>80111620</v>
      </c>
      <c r="M152" s="14" t="s">
        <v>16</v>
      </c>
      <c r="N152" s="14" t="s">
        <v>253</v>
      </c>
      <c r="O152" s="15" t="s">
        <v>600</v>
      </c>
      <c r="P152" s="14" t="s">
        <v>255</v>
      </c>
      <c r="Q152" s="14" t="s">
        <v>255</v>
      </c>
      <c r="R152" s="14" t="s">
        <v>255</v>
      </c>
      <c r="S152" s="17">
        <v>10</v>
      </c>
      <c r="T152" s="14" t="s">
        <v>256</v>
      </c>
      <c r="U152" s="14" t="s">
        <v>257</v>
      </c>
      <c r="V152" s="14" t="s">
        <v>113</v>
      </c>
      <c r="W152" s="18">
        <v>60000000</v>
      </c>
      <c r="X152" s="18">
        <v>60000000</v>
      </c>
      <c r="Y152" s="19" t="s">
        <v>339</v>
      </c>
      <c r="Z152" s="19" t="s">
        <v>258</v>
      </c>
      <c r="AA152" s="14" t="s">
        <v>523</v>
      </c>
      <c r="AB152" s="14" t="s">
        <v>524</v>
      </c>
      <c r="AC152" s="14">
        <v>6012220622</v>
      </c>
      <c r="AD152" s="14" t="s">
        <v>525</v>
      </c>
      <c r="AE152" s="82">
        <v>0</v>
      </c>
      <c r="AF152" s="82">
        <v>0</v>
      </c>
      <c r="AG152" s="82">
        <v>42273000</v>
      </c>
      <c r="AH152" s="82">
        <v>0</v>
      </c>
      <c r="AI152" s="82">
        <v>0</v>
      </c>
      <c r="AJ152" s="82">
        <v>4227300</v>
      </c>
      <c r="AK152" s="82">
        <v>0</v>
      </c>
      <c r="AL152" s="82">
        <v>4227300</v>
      </c>
      <c r="AM152" s="82">
        <v>0</v>
      </c>
      <c r="AN152" s="82">
        <v>4227300</v>
      </c>
      <c r="AO152" s="82">
        <v>0</v>
      </c>
      <c r="AP152" s="82">
        <v>4227300</v>
      </c>
      <c r="AQ152" s="82">
        <v>0</v>
      </c>
      <c r="AR152" s="82">
        <v>4227300</v>
      </c>
      <c r="AS152" s="82">
        <v>0</v>
      </c>
      <c r="AT152" s="82">
        <v>4227300</v>
      </c>
      <c r="AU152" s="82">
        <v>0</v>
      </c>
      <c r="AV152" s="82">
        <v>4227300</v>
      </c>
      <c r="AW152" s="82">
        <v>0</v>
      </c>
      <c r="AX152" s="82">
        <v>4227300</v>
      </c>
      <c r="AY152" s="82">
        <v>0</v>
      </c>
      <c r="AZ152" s="82">
        <v>4227300</v>
      </c>
      <c r="BA152" s="82">
        <v>17727000</v>
      </c>
      <c r="BB152" s="82">
        <v>21954300</v>
      </c>
      <c r="BC152" s="82">
        <f t="shared" ref="BC152:BD152" si="292">AE152+AG152+AI152+AK152+AM152+AO152+AQ152+AS152+AU152+AW152+AY152+BA152</f>
        <v>60000000</v>
      </c>
      <c r="BD152" s="82">
        <f t="shared" si="292"/>
        <v>60000000</v>
      </c>
      <c r="BE152" s="83">
        <f t="shared" si="1"/>
        <v>0</v>
      </c>
      <c r="BF152" s="83">
        <f t="shared" si="2"/>
        <v>0</v>
      </c>
      <c r="BG152" s="14" t="str">
        <f ca="1">IFERROR(__xludf.DUMMYFUNCTION("REGEXEXTRACT(O146,""^\S+\s(.+)$"")"),"Prestar servicios profesionales para el desarrollo, implementación y mantenimiento de modelos geoespaciales en SIG basados en Python (scripts, modelos analíticos y flujos automatizados), orientados al análisis espacial requeridos en la Oficina de Gestión "&amp;"de Proyectos de Fondos")</f>
        <v>Prestar servicios profesionales para el desarrollo, implementación y mantenimiento de modelos geoespaciales en SIG basados en Python (scripts, modelos analíticos y flujos automatizados), orientados al análisis espacial requeridos en la Oficina de Gestión de Proyectos de Fondos</v>
      </c>
      <c r="BH152" s="23"/>
      <c r="BI152" s="23"/>
      <c r="BJ152" s="23">
        <v>42273000</v>
      </c>
      <c r="BK152" s="23"/>
      <c r="BL152" s="23"/>
      <c r="BM152" s="23">
        <v>4227300</v>
      </c>
      <c r="BN152" s="23"/>
      <c r="BO152" s="23">
        <v>4227300</v>
      </c>
      <c r="BP152" s="23"/>
      <c r="BQ152" s="23">
        <v>4227300</v>
      </c>
      <c r="BR152" s="23"/>
      <c r="BS152" s="23">
        <v>4227300</v>
      </c>
      <c r="BT152" s="23"/>
      <c r="BU152" s="23">
        <v>4227300</v>
      </c>
      <c r="BV152" s="23"/>
      <c r="BW152" s="23">
        <v>4227300</v>
      </c>
      <c r="BX152" s="23"/>
      <c r="BY152" s="23">
        <v>4227300</v>
      </c>
      <c r="BZ152" s="23"/>
      <c r="CA152" s="23">
        <v>4227300</v>
      </c>
      <c r="CB152" s="23"/>
      <c r="CC152" s="23">
        <v>4227300</v>
      </c>
      <c r="CD152" s="23">
        <v>17727000</v>
      </c>
      <c r="CE152" s="23">
        <v>21954300</v>
      </c>
      <c r="CF152" s="28"/>
      <c r="CG152" s="28"/>
      <c r="CH152" s="25">
        <f t="shared" ref="CH152:CI152" si="293">BH152+BJ152+BL152+BN152+BP152+BR152+BT152+BV152+BX152+BZ152+CB152+CD152+CF152</f>
        <v>60000000</v>
      </c>
      <c r="CI152" s="25">
        <f t="shared" si="293"/>
        <v>60000000</v>
      </c>
      <c r="CJ152" s="26">
        <f t="shared" si="4"/>
        <v>0</v>
      </c>
      <c r="CK152" s="26">
        <f t="shared" si="5"/>
        <v>0</v>
      </c>
    </row>
    <row r="153" spans="1:89" ht="90" customHeight="1" x14ac:dyDescent="0.3">
      <c r="A153" s="13" t="s">
        <v>248</v>
      </c>
      <c r="B153" s="14" t="s">
        <v>14</v>
      </c>
      <c r="C153" s="15" t="s">
        <v>519</v>
      </c>
      <c r="D153" s="14" t="s">
        <v>63</v>
      </c>
      <c r="E153" s="13" t="s">
        <v>339</v>
      </c>
      <c r="F153" s="13" t="s">
        <v>250</v>
      </c>
      <c r="G153" s="14">
        <v>68</v>
      </c>
      <c r="H153" s="13" t="s">
        <v>601</v>
      </c>
      <c r="I153" s="15" t="s">
        <v>521</v>
      </c>
      <c r="J153" s="14" t="s">
        <v>15</v>
      </c>
      <c r="K153" s="15" t="s">
        <v>71</v>
      </c>
      <c r="L153" s="14" t="s">
        <v>258</v>
      </c>
      <c r="M153" s="14" t="s">
        <v>16</v>
      </c>
      <c r="N153" s="14" t="s">
        <v>602</v>
      </c>
      <c r="O153" s="15" t="s">
        <v>603</v>
      </c>
      <c r="P153" s="14" t="s">
        <v>258</v>
      </c>
      <c r="Q153" s="14" t="s">
        <v>258</v>
      </c>
      <c r="R153" s="14" t="s">
        <v>258</v>
      </c>
      <c r="S153" s="17" t="s">
        <v>258</v>
      </c>
      <c r="T153" s="14" t="s">
        <v>258</v>
      </c>
      <c r="U153" s="14" t="s">
        <v>258</v>
      </c>
      <c r="V153" s="14" t="s">
        <v>113</v>
      </c>
      <c r="W153" s="18">
        <v>464024227</v>
      </c>
      <c r="X153" s="18">
        <v>464024227</v>
      </c>
      <c r="Y153" s="19" t="s">
        <v>339</v>
      </c>
      <c r="Z153" s="19" t="s">
        <v>258</v>
      </c>
      <c r="AA153" s="14" t="s">
        <v>523</v>
      </c>
      <c r="AB153" s="14" t="s">
        <v>524</v>
      </c>
      <c r="AC153" s="14">
        <v>6012220622</v>
      </c>
      <c r="AD153" s="14" t="s">
        <v>525</v>
      </c>
      <c r="AE153" s="82">
        <v>0</v>
      </c>
      <c r="AF153" s="82">
        <v>0</v>
      </c>
      <c r="AG153" s="82">
        <v>0</v>
      </c>
      <c r="AH153" s="82">
        <v>0</v>
      </c>
      <c r="AI153" s="82">
        <v>0</v>
      </c>
      <c r="AJ153" s="82">
        <v>0</v>
      </c>
      <c r="AK153" s="82">
        <v>0</v>
      </c>
      <c r="AL153" s="82">
        <v>0</v>
      </c>
      <c r="AM153" s="82">
        <v>0</v>
      </c>
      <c r="AN153" s="82">
        <v>0</v>
      </c>
      <c r="AO153" s="82">
        <v>0</v>
      </c>
      <c r="AP153" s="82">
        <v>0</v>
      </c>
      <c r="AQ153" s="82">
        <v>76975384</v>
      </c>
      <c r="AR153" s="82">
        <v>76975384</v>
      </c>
      <c r="AS153" s="82">
        <v>76975384</v>
      </c>
      <c r="AT153" s="82">
        <v>76975384</v>
      </c>
      <c r="AU153" s="82">
        <v>76975384</v>
      </c>
      <c r="AV153" s="82">
        <v>76975384</v>
      </c>
      <c r="AW153" s="82">
        <v>76975384</v>
      </c>
      <c r="AX153" s="82">
        <v>76975384</v>
      </c>
      <c r="AY153" s="82">
        <v>76975384</v>
      </c>
      <c r="AZ153" s="82">
        <v>76975384</v>
      </c>
      <c r="BA153" s="82">
        <v>79147307</v>
      </c>
      <c r="BB153" s="82">
        <v>79147307</v>
      </c>
      <c r="BC153" s="82">
        <f t="shared" ref="BC153:BD153" si="294">AE153+AG153+AI153+AK153+AM153+AO153+AQ153+AS153+AU153+AW153+AY153+BA153</f>
        <v>464024227</v>
      </c>
      <c r="BD153" s="82">
        <f t="shared" si="294"/>
        <v>464024227</v>
      </c>
      <c r="BE153" s="83">
        <f t="shared" si="1"/>
        <v>0</v>
      </c>
      <c r="BF153" s="83">
        <f t="shared" si="2"/>
        <v>0</v>
      </c>
      <c r="BG153" s="14" t="str">
        <f ca="1">IFERROR(__xludf.DUMMYFUNCTION("REGEXEXTRACT(O147,""^\S+\s(.+)$"")"),"Gastos de personal de los empleos de la planta temporal")</f>
        <v>Gastos de personal de los empleos de la planta temporal</v>
      </c>
      <c r="BH153" s="23"/>
      <c r="BI153" s="23"/>
      <c r="BJ153" s="23"/>
      <c r="BK153" s="23"/>
      <c r="BL153" s="23"/>
      <c r="BM153" s="23"/>
      <c r="BN153" s="23"/>
      <c r="BO153" s="23"/>
      <c r="BP153" s="23"/>
      <c r="BQ153" s="23"/>
      <c r="BR153" s="23"/>
      <c r="BS153" s="23"/>
      <c r="BT153" s="23">
        <v>76975384</v>
      </c>
      <c r="BU153" s="23">
        <v>76975384</v>
      </c>
      <c r="BV153" s="23">
        <v>76975384</v>
      </c>
      <c r="BW153" s="23">
        <v>76975384</v>
      </c>
      <c r="BX153" s="23">
        <v>76975384</v>
      </c>
      <c r="BY153" s="23">
        <v>76975384</v>
      </c>
      <c r="BZ153" s="23">
        <v>76975384</v>
      </c>
      <c r="CA153" s="23">
        <v>76975384</v>
      </c>
      <c r="CB153" s="23">
        <v>76975384</v>
      </c>
      <c r="CC153" s="23">
        <v>76975384</v>
      </c>
      <c r="CD153" s="23">
        <v>79147307</v>
      </c>
      <c r="CE153" s="23">
        <v>79147307</v>
      </c>
      <c r="CF153" s="28"/>
      <c r="CG153" s="28"/>
      <c r="CH153" s="25">
        <f t="shared" ref="CH153:CI153" si="295">BH153+BJ153+BL153+BN153+BP153+BR153+BT153+BV153+BX153+BZ153+CB153+CD153+CF153</f>
        <v>464024227</v>
      </c>
      <c r="CI153" s="25">
        <f t="shared" si="295"/>
        <v>464024227</v>
      </c>
      <c r="CJ153" s="26">
        <f t="shared" si="4"/>
        <v>0</v>
      </c>
      <c r="CK153" s="26">
        <f t="shared" si="5"/>
        <v>0</v>
      </c>
    </row>
    <row r="154" spans="1:89" ht="90" customHeight="1" x14ac:dyDescent="0.3">
      <c r="A154" s="13" t="s">
        <v>248</v>
      </c>
      <c r="B154" s="14" t="s">
        <v>14</v>
      </c>
      <c r="C154" s="15" t="s">
        <v>519</v>
      </c>
      <c r="D154" s="14" t="s">
        <v>63</v>
      </c>
      <c r="E154" s="13" t="s">
        <v>339</v>
      </c>
      <c r="F154" s="13" t="s">
        <v>250</v>
      </c>
      <c r="G154" s="14">
        <v>68</v>
      </c>
      <c r="H154" s="13" t="s">
        <v>604</v>
      </c>
      <c r="I154" s="15" t="s">
        <v>521</v>
      </c>
      <c r="J154" s="14" t="s">
        <v>15</v>
      </c>
      <c r="K154" s="15" t="s">
        <v>71</v>
      </c>
      <c r="L154" s="14" t="s">
        <v>258</v>
      </c>
      <c r="M154" s="14" t="s">
        <v>16</v>
      </c>
      <c r="N154" s="14" t="s">
        <v>602</v>
      </c>
      <c r="O154" s="15" t="s">
        <v>605</v>
      </c>
      <c r="P154" s="14" t="s">
        <v>258</v>
      </c>
      <c r="Q154" s="14" t="s">
        <v>258</v>
      </c>
      <c r="R154" s="14" t="s">
        <v>258</v>
      </c>
      <c r="S154" s="17" t="s">
        <v>258</v>
      </c>
      <c r="T154" s="14" t="s">
        <v>258</v>
      </c>
      <c r="U154" s="14" t="s">
        <v>258</v>
      </c>
      <c r="V154" s="14" t="s">
        <v>113</v>
      </c>
      <c r="W154" s="18">
        <v>95793924</v>
      </c>
      <c r="X154" s="18">
        <v>95793924</v>
      </c>
      <c r="Y154" s="19" t="s">
        <v>339</v>
      </c>
      <c r="Z154" s="19" t="s">
        <v>258</v>
      </c>
      <c r="AA154" s="14" t="s">
        <v>523</v>
      </c>
      <c r="AB154" s="14" t="s">
        <v>524</v>
      </c>
      <c r="AC154" s="14">
        <v>6012220622</v>
      </c>
      <c r="AD154" s="14" t="s">
        <v>525</v>
      </c>
      <c r="AE154" s="82">
        <v>0</v>
      </c>
      <c r="AF154" s="82">
        <v>0</v>
      </c>
      <c r="AG154" s="82">
        <v>0</v>
      </c>
      <c r="AH154" s="82">
        <v>0</v>
      </c>
      <c r="AI154" s="82">
        <v>0</v>
      </c>
      <c r="AJ154" s="82">
        <v>0</v>
      </c>
      <c r="AK154" s="82">
        <v>0</v>
      </c>
      <c r="AL154" s="82">
        <v>0</v>
      </c>
      <c r="AM154" s="82">
        <v>0</v>
      </c>
      <c r="AN154" s="82">
        <v>0</v>
      </c>
      <c r="AO154" s="82">
        <v>0</v>
      </c>
      <c r="AP154" s="82">
        <v>0</v>
      </c>
      <c r="AQ154" s="82">
        <v>15965654</v>
      </c>
      <c r="AR154" s="82">
        <v>15965654</v>
      </c>
      <c r="AS154" s="82">
        <v>15965654</v>
      </c>
      <c r="AT154" s="82">
        <v>15965654</v>
      </c>
      <c r="AU154" s="82">
        <v>15965654</v>
      </c>
      <c r="AV154" s="82">
        <v>15965654</v>
      </c>
      <c r="AW154" s="82">
        <v>15965654</v>
      </c>
      <c r="AX154" s="82">
        <v>15965654</v>
      </c>
      <c r="AY154" s="82">
        <v>15965654</v>
      </c>
      <c r="AZ154" s="82">
        <v>15965654</v>
      </c>
      <c r="BA154" s="82">
        <v>15965654</v>
      </c>
      <c r="BB154" s="82">
        <v>15965654</v>
      </c>
      <c r="BC154" s="82">
        <f t="shared" ref="BC154:BD154" si="296">AE154+AG154+AI154+AK154+AM154+AO154+AQ154+AS154+AU154+AW154+AY154+BA154</f>
        <v>95793924</v>
      </c>
      <c r="BD154" s="82">
        <f t="shared" si="296"/>
        <v>95793924</v>
      </c>
      <c r="BE154" s="83">
        <f t="shared" si="1"/>
        <v>0</v>
      </c>
      <c r="BF154" s="83">
        <f t="shared" si="2"/>
        <v>0</v>
      </c>
      <c r="BG154" s="14" t="str">
        <f ca="1">IFERROR(__xludf.DUMMYFUNCTION("REGEXEXTRACT(O148,""^\S+\s(.+)$"")"),"Gastos administrativos por puestos de trabajo empleos de la planta temporal")</f>
        <v>Gastos administrativos por puestos de trabajo empleos de la planta temporal</v>
      </c>
      <c r="BH154" s="23"/>
      <c r="BI154" s="23"/>
      <c r="BJ154" s="23"/>
      <c r="BK154" s="23"/>
      <c r="BL154" s="23"/>
      <c r="BM154" s="23"/>
      <c r="BN154" s="23"/>
      <c r="BO154" s="23"/>
      <c r="BP154" s="23"/>
      <c r="BQ154" s="23"/>
      <c r="BR154" s="23"/>
      <c r="BS154" s="23"/>
      <c r="BT154" s="23">
        <v>15965654</v>
      </c>
      <c r="BU154" s="23">
        <v>15965654</v>
      </c>
      <c r="BV154" s="23">
        <v>15965654</v>
      </c>
      <c r="BW154" s="23">
        <v>15965654</v>
      </c>
      <c r="BX154" s="23">
        <v>15965654</v>
      </c>
      <c r="BY154" s="23">
        <v>15965654</v>
      </c>
      <c r="BZ154" s="23">
        <v>15965654</v>
      </c>
      <c r="CA154" s="23">
        <v>15965654</v>
      </c>
      <c r="CB154" s="23">
        <v>15965654</v>
      </c>
      <c r="CC154" s="23">
        <v>15965654</v>
      </c>
      <c r="CD154" s="23">
        <v>15965654</v>
      </c>
      <c r="CE154" s="23">
        <v>15965654</v>
      </c>
      <c r="CF154" s="28"/>
      <c r="CG154" s="28"/>
      <c r="CH154" s="25">
        <f t="shared" ref="CH154:CI154" si="297">BH154+BJ154+BL154+BN154+BP154+BR154+BT154+BV154+BX154+BZ154+CB154+CD154+CF154</f>
        <v>95793924</v>
      </c>
      <c r="CI154" s="25">
        <f t="shared" si="297"/>
        <v>95793924</v>
      </c>
      <c r="CJ154" s="26">
        <f t="shared" si="4"/>
        <v>0</v>
      </c>
      <c r="CK154" s="26">
        <f t="shared" si="5"/>
        <v>0</v>
      </c>
    </row>
    <row r="155" spans="1:89" ht="90" customHeight="1" x14ac:dyDescent="0.3">
      <c r="A155" s="13" t="s">
        <v>248</v>
      </c>
      <c r="B155" s="14" t="s">
        <v>14</v>
      </c>
      <c r="C155" s="15" t="s">
        <v>519</v>
      </c>
      <c r="D155" s="14" t="s">
        <v>63</v>
      </c>
      <c r="E155" s="13" t="s">
        <v>250</v>
      </c>
      <c r="F155" s="13" t="s">
        <v>250</v>
      </c>
      <c r="G155" s="14">
        <v>68</v>
      </c>
      <c r="H155" s="13" t="s">
        <v>606</v>
      </c>
      <c r="I155" s="15" t="s">
        <v>607</v>
      </c>
      <c r="J155" s="14" t="s">
        <v>9</v>
      </c>
      <c r="K155" s="15" t="s">
        <v>84</v>
      </c>
      <c r="L155" s="14">
        <v>80111620</v>
      </c>
      <c r="M155" s="14" t="s">
        <v>17</v>
      </c>
      <c r="N155" s="14" t="s">
        <v>253</v>
      </c>
      <c r="O155" s="15" t="s">
        <v>608</v>
      </c>
      <c r="P155" s="14" t="s">
        <v>255</v>
      </c>
      <c r="Q155" s="14" t="s">
        <v>255</v>
      </c>
      <c r="R155" s="14" t="s">
        <v>255</v>
      </c>
      <c r="S155" s="17">
        <v>11.5</v>
      </c>
      <c r="T155" s="14" t="s">
        <v>256</v>
      </c>
      <c r="U155" s="14" t="s">
        <v>257</v>
      </c>
      <c r="V155" s="14" t="s">
        <v>113</v>
      </c>
      <c r="W155" s="18">
        <v>103470675</v>
      </c>
      <c r="X155" s="18">
        <v>103470675</v>
      </c>
      <c r="Y155" s="19" t="s">
        <v>339</v>
      </c>
      <c r="Z155" s="19" t="s">
        <v>258</v>
      </c>
      <c r="AA155" s="14" t="s">
        <v>523</v>
      </c>
      <c r="AB155" s="14" t="s">
        <v>524</v>
      </c>
      <c r="AC155" s="14">
        <v>6012220622</v>
      </c>
      <c r="AD155" s="14" t="s">
        <v>525</v>
      </c>
      <c r="AE155" s="82">
        <v>103470675</v>
      </c>
      <c r="AF155" s="82">
        <v>0</v>
      </c>
      <c r="AG155" s="82">
        <v>0</v>
      </c>
      <c r="AH155" s="82">
        <v>4498725</v>
      </c>
      <c r="AI155" s="82">
        <v>0</v>
      </c>
      <c r="AJ155" s="82">
        <v>8997450</v>
      </c>
      <c r="AK155" s="82">
        <v>0</v>
      </c>
      <c r="AL155" s="82">
        <v>8997450</v>
      </c>
      <c r="AM155" s="82">
        <v>0</v>
      </c>
      <c r="AN155" s="82">
        <v>8997450</v>
      </c>
      <c r="AO155" s="82">
        <v>0</v>
      </c>
      <c r="AP155" s="82">
        <v>8997450</v>
      </c>
      <c r="AQ155" s="82">
        <v>0</v>
      </c>
      <c r="AR155" s="82">
        <v>8997450</v>
      </c>
      <c r="AS155" s="82">
        <v>0</v>
      </c>
      <c r="AT155" s="82">
        <v>8997450</v>
      </c>
      <c r="AU155" s="82">
        <v>0</v>
      </c>
      <c r="AV155" s="82">
        <v>8997450</v>
      </c>
      <c r="AW155" s="82">
        <v>0</v>
      </c>
      <c r="AX155" s="82">
        <v>8997450</v>
      </c>
      <c r="AY155" s="82">
        <v>0</v>
      </c>
      <c r="AZ155" s="82">
        <v>8997450</v>
      </c>
      <c r="BA155" s="82">
        <v>0</v>
      </c>
      <c r="BB155" s="82">
        <v>17994900</v>
      </c>
      <c r="BC155" s="82">
        <f t="shared" ref="BC155:BD155" si="298">AE155+AG155+AI155+AK155+AM155+AO155+AQ155+AS155+AU155+AW155+AY155+BA155</f>
        <v>103470675</v>
      </c>
      <c r="BD155" s="82">
        <f t="shared" si="298"/>
        <v>103470675</v>
      </c>
      <c r="BE155" s="83">
        <f t="shared" si="1"/>
        <v>0</v>
      </c>
      <c r="BF155" s="83">
        <f t="shared" si="2"/>
        <v>0</v>
      </c>
      <c r="BG155" s="14" t="str">
        <f ca="1">IFERROR(__xludf.DUMMYFUNCTION("REGEXEXTRACT(O149,""^\S+\s(.+)$"")"),"Prestar los servicios profesionales para asesorar la Oficina de Gestión de Proyectos de Fondos en el diseño, desarrollo y seguimiento de procesos de planeación energética y ampliación de cobertura de gas combustible y apoyo en definición de criterios acor"&amp;"de con las nuevas tecnologías y aplicaciones de este sector, así como asistencia y capacitación técnica en planeación energética y formulación de proyectos de la OGPF")</f>
        <v>Prestar los servicios profesionales para asesorar la Oficina de Gestión de Proyectos de Fondos en el diseño, desarrollo y seguimiento de procesos de planeación energética y ampliación de cobertura de gas combustible y apoyo en definición de criterios acorde con las nuevas tecnologías y aplicaciones de este sector, así como asistencia y capacitación técnica en planeación energética y formulación de proyectos de la OGPF</v>
      </c>
      <c r="BH155" s="23">
        <v>103470675</v>
      </c>
      <c r="BI155" s="23"/>
      <c r="BJ155" s="23"/>
      <c r="BK155" s="23">
        <v>4498725</v>
      </c>
      <c r="BL155" s="23"/>
      <c r="BM155" s="23">
        <v>8997450</v>
      </c>
      <c r="BN155" s="23"/>
      <c r="BO155" s="23">
        <v>8997450</v>
      </c>
      <c r="BP155" s="23"/>
      <c r="BQ155" s="23">
        <v>8997450</v>
      </c>
      <c r="BR155" s="23"/>
      <c r="BS155" s="23">
        <v>8997450</v>
      </c>
      <c r="BT155" s="23"/>
      <c r="BU155" s="23">
        <v>8997450</v>
      </c>
      <c r="BV155" s="23"/>
      <c r="BW155" s="23">
        <v>8997450</v>
      </c>
      <c r="BX155" s="23"/>
      <c r="BY155" s="23">
        <v>8997450</v>
      </c>
      <c r="BZ155" s="23"/>
      <c r="CA155" s="23">
        <v>8997450</v>
      </c>
      <c r="CB155" s="23"/>
      <c r="CC155" s="23">
        <v>8997450</v>
      </c>
      <c r="CD155" s="23"/>
      <c r="CE155" s="23">
        <v>17994900</v>
      </c>
      <c r="CF155" s="28"/>
      <c r="CG155" s="28"/>
      <c r="CH155" s="25">
        <f t="shared" ref="CH155:CI155" si="299">BH155+BJ155+BL155+BN155+BP155+BR155+BT155+BV155+BX155+BZ155+CB155+CD155+CF155</f>
        <v>103470675</v>
      </c>
      <c r="CI155" s="25">
        <f t="shared" si="299"/>
        <v>103470675</v>
      </c>
      <c r="CJ155" s="26">
        <f t="shared" si="4"/>
        <v>0</v>
      </c>
      <c r="CK155" s="26">
        <f t="shared" si="5"/>
        <v>0</v>
      </c>
    </row>
    <row r="156" spans="1:89" ht="90" customHeight="1" x14ac:dyDescent="0.3">
      <c r="A156" s="13" t="s">
        <v>248</v>
      </c>
      <c r="B156" s="14" t="s">
        <v>14</v>
      </c>
      <c r="C156" s="15" t="s">
        <v>519</v>
      </c>
      <c r="D156" s="14" t="s">
        <v>63</v>
      </c>
      <c r="E156" s="13" t="s">
        <v>250</v>
      </c>
      <c r="F156" s="13" t="s">
        <v>250</v>
      </c>
      <c r="G156" s="14">
        <v>68</v>
      </c>
      <c r="H156" s="13" t="s">
        <v>609</v>
      </c>
      <c r="I156" s="15" t="s">
        <v>607</v>
      </c>
      <c r="J156" s="14" t="s">
        <v>9</v>
      </c>
      <c r="K156" s="15" t="s">
        <v>84</v>
      </c>
      <c r="L156" s="14">
        <v>80111620</v>
      </c>
      <c r="M156" s="14" t="s">
        <v>17</v>
      </c>
      <c r="N156" s="14" t="s">
        <v>253</v>
      </c>
      <c r="O156" s="15" t="s">
        <v>610</v>
      </c>
      <c r="P156" s="14" t="s">
        <v>255</v>
      </c>
      <c r="Q156" s="14" t="s">
        <v>255</v>
      </c>
      <c r="R156" s="14" t="s">
        <v>255</v>
      </c>
      <c r="S156" s="17">
        <v>11.5</v>
      </c>
      <c r="T156" s="14" t="s">
        <v>256</v>
      </c>
      <c r="U156" s="14" t="s">
        <v>257</v>
      </c>
      <c r="V156" s="14" t="s">
        <v>113</v>
      </c>
      <c r="W156" s="18">
        <v>103470675</v>
      </c>
      <c r="X156" s="18">
        <v>103470675</v>
      </c>
      <c r="Y156" s="19" t="s">
        <v>339</v>
      </c>
      <c r="Z156" s="19" t="s">
        <v>258</v>
      </c>
      <c r="AA156" s="14" t="s">
        <v>523</v>
      </c>
      <c r="AB156" s="14" t="s">
        <v>524</v>
      </c>
      <c r="AC156" s="14">
        <v>6012220622</v>
      </c>
      <c r="AD156" s="14" t="s">
        <v>525</v>
      </c>
      <c r="AE156" s="82">
        <v>103470675</v>
      </c>
      <c r="AF156" s="82">
        <v>0</v>
      </c>
      <c r="AG156" s="82">
        <v>0</v>
      </c>
      <c r="AH156" s="82">
        <v>4498725</v>
      </c>
      <c r="AI156" s="82">
        <v>0</v>
      </c>
      <c r="AJ156" s="82">
        <v>8997450</v>
      </c>
      <c r="AK156" s="82">
        <v>0</v>
      </c>
      <c r="AL156" s="82">
        <v>8997450</v>
      </c>
      <c r="AM156" s="82">
        <v>0</v>
      </c>
      <c r="AN156" s="82">
        <v>8997450</v>
      </c>
      <c r="AO156" s="82">
        <v>0</v>
      </c>
      <c r="AP156" s="82">
        <v>8997450</v>
      </c>
      <c r="AQ156" s="82">
        <v>0</v>
      </c>
      <c r="AR156" s="82">
        <v>8997450</v>
      </c>
      <c r="AS156" s="82">
        <v>0</v>
      </c>
      <c r="AT156" s="82">
        <v>8997450</v>
      </c>
      <c r="AU156" s="82">
        <v>0</v>
      </c>
      <c r="AV156" s="82">
        <v>8997450</v>
      </c>
      <c r="AW156" s="82">
        <v>0</v>
      </c>
      <c r="AX156" s="82">
        <v>8997450</v>
      </c>
      <c r="AY156" s="82">
        <v>0</v>
      </c>
      <c r="AZ156" s="82">
        <v>8997450</v>
      </c>
      <c r="BA156" s="82">
        <v>0</v>
      </c>
      <c r="BB156" s="82">
        <v>17994900</v>
      </c>
      <c r="BC156" s="82">
        <f t="shared" ref="BC156:BD156" si="300">AE156+AG156+AI156+AK156+AM156+AO156+AQ156+AS156+AU156+AW156+AY156+BA156</f>
        <v>103470675</v>
      </c>
      <c r="BD156" s="82">
        <f t="shared" si="300"/>
        <v>103470675</v>
      </c>
      <c r="BE156" s="83">
        <f t="shared" si="1"/>
        <v>0</v>
      </c>
      <c r="BF156" s="83">
        <f t="shared" si="2"/>
        <v>0</v>
      </c>
      <c r="BG156" s="14" t="str">
        <f ca="1">IFERROR(__xludf.DUMMYFUNCTION("REGEXEXTRACT(O150,""^\S+\s(.+)$"")"),"Prestar los servicios profesionales para asesorar a la Oficina de Gestión de Proyectos de Fondos en el diseño, desarrollo y seguimiento de procesos de planeación energética y definición de estrategias de energización de las regiones del país, apoyando la "&amp;"formulación de lineamientos técnicos, la articulación interinstitucional y el fortalecimiento de las acciones orientadas a ampliar la cobertura de energía eléctrica en el país, así como asistencia y capacitación técnica en planeación energética  y formula"&amp;"ción de proyectos de la OGPF")</f>
        <v>Prestar los servicios profesionales para asesorar a la Oficina de Gestión de Proyectos de Fondos en el diseño, desarrollo y seguimiento de procesos de planeación energética y definición de estrategias de energización de las regiones del país, apoyando la formulación de lineamientos técnicos, la articulación interinstitucional y el fortalecimiento de las acciones orientadas a ampliar la cobertura de energía eléctrica en el país, así como asistencia y capacitación técnica en planeación energética  y formulación de proyectos de la OGPF</v>
      </c>
      <c r="BH156" s="23">
        <v>103470675</v>
      </c>
      <c r="BI156" s="23"/>
      <c r="BJ156" s="23"/>
      <c r="BK156" s="23">
        <v>4498725</v>
      </c>
      <c r="BL156" s="23"/>
      <c r="BM156" s="23">
        <v>8997450</v>
      </c>
      <c r="BN156" s="23"/>
      <c r="BO156" s="23">
        <v>8997450</v>
      </c>
      <c r="BP156" s="23"/>
      <c r="BQ156" s="23">
        <v>8997450</v>
      </c>
      <c r="BR156" s="23"/>
      <c r="BS156" s="23">
        <v>8997450</v>
      </c>
      <c r="BT156" s="23"/>
      <c r="BU156" s="23">
        <v>8997450</v>
      </c>
      <c r="BV156" s="23"/>
      <c r="BW156" s="23">
        <v>8997450</v>
      </c>
      <c r="BX156" s="23"/>
      <c r="BY156" s="23">
        <v>8997450</v>
      </c>
      <c r="BZ156" s="23"/>
      <c r="CA156" s="23">
        <v>8997450</v>
      </c>
      <c r="CB156" s="23"/>
      <c r="CC156" s="23">
        <v>8997450</v>
      </c>
      <c r="CD156" s="23"/>
      <c r="CE156" s="23">
        <v>17994900</v>
      </c>
      <c r="CF156" s="28"/>
      <c r="CG156" s="28"/>
      <c r="CH156" s="25">
        <f t="shared" ref="CH156:CI156" si="301">BH156+BJ156+BL156+BN156+BP156+BR156+BT156+BV156+BX156+BZ156+CB156+CD156+CF156</f>
        <v>103470675</v>
      </c>
      <c r="CI156" s="25">
        <f t="shared" si="301"/>
        <v>103470675</v>
      </c>
      <c r="CJ156" s="26">
        <f t="shared" si="4"/>
        <v>0</v>
      </c>
      <c r="CK156" s="26">
        <f t="shared" si="5"/>
        <v>0</v>
      </c>
    </row>
    <row r="157" spans="1:89" ht="90" customHeight="1" x14ac:dyDescent="0.3">
      <c r="A157" s="13" t="s">
        <v>248</v>
      </c>
      <c r="B157" s="14" t="s">
        <v>14</v>
      </c>
      <c r="C157" s="15" t="s">
        <v>519</v>
      </c>
      <c r="D157" s="14" t="s">
        <v>63</v>
      </c>
      <c r="E157" s="13" t="s">
        <v>250</v>
      </c>
      <c r="F157" s="13" t="s">
        <v>250</v>
      </c>
      <c r="G157" s="14">
        <v>68</v>
      </c>
      <c r="H157" s="13" t="s">
        <v>611</v>
      </c>
      <c r="I157" s="15" t="s">
        <v>607</v>
      </c>
      <c r="J157" s="14" t="s">
        <v>9</v>
      </c>
      <c r="K157" s="15" t="s">
        <v>84</v>
      </c>
      <c r="L157" s="14">
        <v>81101516</v>
      </c>
      <c r="M157" s="14" t="s">
        <v>17</v>
      </c>
      <c r="N157" s="14" t="s">
        <v>612</v>
      </c>
      <c r="O157" s="15" t="s">
        <v>613</v>
      </c>
      <c r="P157" s="14" t="s">
        <v>477</v>
      </c>
      <c r="Q157" s="14" t="s">
        <v>477</v>
      </c>
      <c r="R157" s="14" t="s">
        <v>614</v>
      </c>
      <c r="S157" s="17">
        <v>6</v>
      </c>
      <c r="T157" s="14" t="s">
        <v>256</v>
      </c>
      <c r="U157" s="14" t="s">
        <v>347</v>
      </c>
      <c r="V157" s="14" t="s">
        <v>113</v>
      </c>
      <c r="W157" s="18">
        <v>195273050</v>
      </c>
      <c r="X157" s="18">
        <v>195273050</v>
      </c>
      <c r="Y157" s="19" t="s">
        <v>339</v>
      </c>
      <c r="Z157" s="19" t="s">
        <v>258</v>
      </c>
      <c r="AA157" s="14" t="s">
        <v>523</v>
      </c>
      <c r="AB157" s="14" t="s">
        <v>524</v>
      </c>
      <c r="AC157" s="14">
        <v>6012220607</v>
      </c>
      <c r="AD157" s="14" t="s">
        <v>525</v>
      </c>
      <c r="AE157" s="82">
        <v>0</v>
      </c>
      <c r="AF157" s="82">
        <v>0</v>
      </c>
      <c r="AG157" s="82">
        <v>0</v>
      </c>
      <c r="AH157" s="82">
        <v>0</v>
      </c>
      <c r="AI157" s="82">
        <v>0</v>
      </c>
      <c r="AJ157" s="82">
        <v>0</v>
      </c>
      <c r="AK157" s="82">
        <v>0</v>
      </c>
      <c r="AL157" s="82">
        <v>0</v>
      </c>
      <c r="AM157" s="82">
        <v>0</v>
      </c>
      <c r="AN157" s="82">
        <v>0</v>
      </c>
      <c r="AO157" s="82">
        <v>0</v>
      </c>
      <c r="AP157" s="82">
        <v>0</v>
      </c>
      <c r="AQ157" s="82">
        <v>195273050</v>
      </c>
      <c r="AR157" s="82">
        <v>0</v>
      </c>
      <c r="AS157" s="82">
        <v>0</v>
      </c>
      <c r="AT157" s="82">
        <v>100000000</v>
      </c>
      <c r="AU157" s="82">
        <v>0</v>
      </c>
      <c r="AV157" s="82">
        <v>50000000</v>
      </c>
      <c r="AW157" s="82">
        <v>0</v>
      </c>
      <c r="AX157" s="82">
        <v>45273050</v>
      </c>
      <c r="AY157" s="82">
        <v>0</v>
      </c>
      <c r="AZ157" s="82">
        <v>0</v>
      </c>
      <c r="BA157" s="82">
        <v>0</v>
      </c>
      <c r="BB157" s="82">
        <v>0</v>
      </c>
      <c r="BC157" s="82">
        <f t="shared" ref="BC157:BD157" si="302">AE157+AG157+AI157+AK157+AM157+AO157+AQ157+AS157+AU157+AW157+AY157+BA157</f>
        <v>195273050</v>
      </c>
      <c r="BD157" s="82">
        <f t="shared" si="302"/>
        <v>195273050</v>
      </c>
      <c r="BE157" s="83">
        <f t="shared" si="1"/>
        <v>0</v>
      </c>
      <c r="BF157" s="83">
        <f t="shared" si="2"/>
        <v>0</v>
      </c>
      <c r="BG157" s="14" t="str">
        <f ca="1">IFERROR(__xludf.DUMMYFUNCTION("REGEXEXTRACT(O151,""^\S+\s(.+)$"")"),"Desarrollar estrategias de energización en la región como insumo para la planeación territorial")</f>
        <v>Desarrollar estrategias de energización en la región como insumo para la planeación territorial</v>
      </c>
      <c r="BH157" s="23"/>
      <c r="BI157" s="23"/>
      <c r="BJ157" s="23"/>
      <c r="BK157" s="23"/>
      <c r="BL157" s="23"/>
      <c r="BM157" s="23"/>
      <c r="BN157" s="23"/>
      <c r="BO157" s="23"/>
      <c r="BP157" s="23"/>
      <c r="BQ157" s="23"/>
      <c r="BR157" s="23"/>
      <c r="BS157" s="23"/>
      <c r="BT157" s="23">
        <v>195273050</v>
      </c>
      <c r="BU157" s="23"/>
      <c r="BV157" s="23"/>
      <c r="BW157" s="23">
        <v>100000000</v>
      </c>
      <c r="BX157" s="23"/>
      <c r="BY157" s="23">
        <v>50000000</v>
      </c>
      <c r="BZ157" s="23"/>
      <c r="CA157" s="23">
        <v>45273050</v>
      </c>
      <c r="CB157" s="23"/>
      <c r="CC157" s="23"/>
      <c r="CD157" s="23"/>
      <c r="CE157" s="23"/>
      <c r="CF157" s="28"/>
      <c r="CG157" s="28"/>
      <c r="CH157" s="25">
        <f t="shared" ref="CH157:CI157" si="303">BH157+BJ157+BL157+BN157+BP157+BR157+BT157+BV157+BX157+BZ157+CB157+CD157+CF157</f>
        <v>195273050</v>
      </c>
      <c r="CI157" s="25">
        <f t="shared" si="303"/>
        <v>195273050</v>
      </c>
      <c r="CJ157" s="26">
        <f t="shared" si="4"/>
        <v>0</v>
      </c>
      <c r="CK157" s="26">
        <f t="shared" si="5"/>
        <v>0</v>
      </c>
    </row>
    <row r="158" spans="1:89" ht="90" customHeight="1" x14ac:dyDescent="0.3">
      <c r="A158" s="13" t="s">
        <v>248</v>
      </c>
      <c r="B158" s="14" t="s">
        <v>14</v>
      </c>
      <c r="C158" s="15" t="s">
        <v>519</v>
      </c>
      <c r="D158" s="14" t="s">
        <v>63</v>
      </c>
      <c r="E158" s="13" t="s">
        <v>250</v>
      </c>
      <c r="F158" s="13" t="s">
        <v>250</v>
      </c>
      <c r="G158" s="14">
        <v>68</v>
      </c>
      <c r="H158" s="13" t="s">
        <v>615</v>
      </c>
      <c r="I158" s="15" t="s">
        <v>607</v>
      </c>
      <c r="J158" s="14" t="s">
        <v>9</v>
      </c>
      <c r="K158" s="15" t="s">
        <v>77</v>
      </c>
      <c r="L158" s="14">
        <v>81101516</v>
      </c>
      <c r="M158" s="14" t="s">
        <v>17</v>
      </c>
      <c r="N158" s="14" t="s">
        <v>612</v>
      </c>
      <c r="O158" s="15" t="s">
        <v>616</v>
      </c>
      <c r="P158" s="14" t="s">
        <v>477</v>
      </c>
      <c r="Q158" s="14" t="s">
        <v>477</v>
      </c>
      <c r="R158" s="14" t="s">
        <v>614</v>
      </c>
      <c r="S158" s="17">
        <v>6</v>
      </c>
      <c r="T158" s="14" t="s">
        <v>256</v>
      </c>
      <c r="U158" s="14" t="s">
        <v>347</v>
      </c>
      <c r="V158" s="14" t="s">
        <v>113</v>
      </c>
      <c r="W158" s="18">
        <v>605317665</v>
      </c>
      <c r="X158" s="18">
        <v>605317665</v>
      </c>
      <c r="Y158" s="19" t="s">
        <v>339</v>
      </c>
      <c r="Z158" s="19" t="s">
        <v>258</v>
      </c>
      <c r="AA158" s="14" t="s">
        <v>523</v>
      </c>
      <c r="AB158" s="14" t="s">
        <v>524</v>
      </c>
      <c r="AC158" s="14">
        <v>6012220607</v>
      </c>
      <c r="AD158" s="14" t="s">
        <v>525</v>
      </c>
      <c r="AE158" s="82">
        <v>0</v>
      </c>
      <c r="AF158" s="82">
        <v>0</v>
      </c>
      <c r="AG158" s="82">
        <v>0</v>
      </c>
      <c r="AH158" s="82">
        <v>0</v>
      </c>
      <c r="AI158" s="82">
        <v>0</v>
      </c>
      <c r="AJ158" s="82">
        <v>0</v>
      </c>
      <c r="AK158" s="82">
        <v>0</v>
      </c>
      <c r="AL158" s="82">
        <v>0</v>
      </c>
      <c r="AM158" s="82">
        <v>0</v>
      </c>
      <c r="AN158" s="82">
        <v>0</v>
      </c>
      <c r="AO158" s="82">
        <v>0</v>
      </c>
      <c r="AP158" s="82">
        <v>0</v>
      </c>
      <c r="AQ158" s="82">
        <v>605317665</v>
      </c>
      <c r="AR158" s="82">
        <v>0</v>
      </c>
      <c r="AS158" s="82">
        <v>0</v>
      </c>
      <c r="AT158" s="82">
        <v>200000000</v>
      </c>
      <c r="AU158" s="82">
        <v>0</v>
      </c>
      <c r="AV158" s="82">
        <v>200000000</v>
      </c>
      <c r="AW158" s="82">
        <v>0</v>
      </c>
      <c r="AX158" s="82">
        <v>205317665</v>
      </c>
      <c r="AY158" s="82">
        <v>0</v>
      </c>
      <c r="AZ158" s="82">
        <v>0</v>
      </c>
      <c r="BA158" s="82">
        <v>0</v>
      </c>
      <c r="BB158" s="82">
        <v>0</v>
      </c>
      <c r="BC158" s="82">
        <f t="shared" ref="BC158:BD158" si="304">AE158+AG158+AI158+AK158+AM158+AO158+AQ158+AS158+AU158+AW158+AY158+BA158</f>
        <v>605317665</v>
      </c>
      <c r="BD158" s="82">
        <f t="shared" si="304"/>
        <v>605317665</v>
      </c>
      <c r="BE158" s="83">
        <f t="shared" si="1"/>
        <v>0</v>
      </c>
      <c r="BF158" s="83">
        <f t="shared" si="2"/>
        <v>0</v>
      </c>
      <c r="BG158" s="14" t="str">
        <f ca="1">IFERROR(__xludf.DUMMYFUNCTION("REGEXEXTRACT(O152,""^\S+\s(.+)$"")"),"Desarrollar estrategias de energización en la región como insumo para la planeación territorial")</f>
        <v>Desarrollar estrategias de energización en la región como insumo para la planeación territorial</v>
      </c>
      <c r="BH158" s="23"/>
      <c r="BI158" s="23"/>
      <c r="BJ158" s="23"/>
      <c r="BK158" s="23"/>
      <c r="BL158" s="23"/>
      <c r="BM158" s="23"/>
      <c r="BN158" s="23"/>
      <c r="BO158" s="23"/>
      <c r="BP158" s="23"/>
      <c r="BQ158" s="23"/>
      <c r="BR158" s="23"/>
      <c r="BS158" s="23"/>
      <c r="BT158" s="23">
        <v>605317665</v>
      </c>
      <c r="BU158" s="23"/>
      <c r="BV158" s="23"/>
      <c r="BW158" s="23">
        <v>200000000</v>
      </c>
      <c r="BX158" s="23"/>
      <c r="BY158" s="23">
        <v>200000000</v>
      </c>
      <c r="BZ158" s="23"/>
      <c r="CA158" s="23">
        <v>205317665</v>
      </c>
      <c r="CB158" s="23"/>
      <c r="CC158" s="23"/>
      <c r="CD158" s="23"/>
      <c r="CE158" s="23"/>
      <c r="CF158" s="28"/>
      <c r="CG158" s="28"/>
      <c r="CH158" s="25">
        <f t="shared" ref="CH158:CI158" si="305">BH158+BJ158+BL158+BN158+BP158+BR158+BT158+BV158+BX158+BZ158+CB158+CD158+CF158</f>
        <v>605317665</v>
      </c>
      <c r="CI158" s="25">
        <f t="shared" si="305"/>
        <v>605317665</v>
      </c>
      <c r="CJ158" s="26">
        <f t="shared" si="4"/>
        <v>0</v>
      </c>
      <c r="CK158" s="26">
        <f t="shared" si="5"/>
        <v>0</v>
      </c>
    </row>
    <row r="159" spans="1:89" ht="90" customHeight="1" x14ac:dyDescent="0.3">
      <c r="A159" s="13" t="s">
        <v>248</v>
      </c>
      <c r="B159" s="14" t="s">
        <v>14</v>
      </c>
      <c r="C159" s="15" t="s">
        <v>519</v>
      </c>
      <c r="D159" s="14" t="s">
        <v>63</v>
      </c>
      <c r="E159" s="13" t="s">
        <v>250</v>
      </c>
      <c r="F159" s="13" t="s">
        <v>250</v>
      </c>
      <c r="G159" s="14">
        <v>3</v>
      </c>
      <c r="H159" s="13" t="s">
        <v>617</v>
      </c>
      <c r="I159" s="15" t="s">
        <v>521</v>
      </c>
      <c r="J159" s="14" t="s">
        <v>15</v>
      </c>
      <c r="K159" s="15" t="s">
        <v>71</v>
      </c>
      <c r="L159" s="14">
        <v>80111620</v>
      </c>
      <c r="M159" s="14" t="s">
        <v>16</v>
      </c>
      <c r="N159" s="14" t="s">
        <v>253</v>
      </c>
      <c r="O159" s="15" t="s">
        <v>618</v>
      </c>
      <c r="P159" s="14" t="s">
        <v>255</v>
      </c>
      <c r="Q159" s="14" t="s">
        <v>255</v>
      </c>
      <c r="R159" s="14" t="s">
        <v>255</v>
      </c>
      <c r="S159" s="17">
        <v>7</v>
      </c>
      <c r="T159" s="14" t="s">
        <v>256</v>
      </c>
      <c r="U159" s="14" t="s">
        <v>257</v>
      </c>
      <c r="V159" s="14" t="s">
        <v>113</v>
      </c>
      <c r="W159" s="18">
        <v>84000000</v>
      </c>
      <c r="X159" s="18">
        <v>84000000</v>
      </c>
      <c r="Y159" s="19" t="s">
        <v>339</v>
      </c>
      <c r="Z159" s="19" t="s">
        <v>258</v>
      </c>
      <c r="AA159" s="14" t="s">
        <v>530</v>
      </c>
      <c r="AB159" s="14" t="s">
        <v>524</v>
      </c>
      <c r="AC159" s="14">
        <v>6012220607</v>
      </c>
      <c r="AD159" s="14" t="s">
        <v>531</v>
      </c>
      <c r="AE159" s="82">
        <v>0</v>
      </c>
      <c r="AF159" s="82">
        <v>0</v>
      </c>
      <c r="AG159" s="82">
        <v>49000000</v>
      </c>
      <c r="AH159" s="82">
        <v>0</v>
      </c>
      <c r="AI159" s="82">
        <v>0</v>
      </c>
      <c r="AJ159" s="82">
        <v>7000000</v>
      </c>
      <c r="AK159" s="82">
        <v>0</v>
      </c>
      <c r="AL159" s="82">
        <v>7000000</v>
      </c>
      <c r="AM159" s="82">
        <v>0</v>
      </c>
      <c r="AN159" s="82">
        <v>7000000</v>
      </c>
      <c r="AO159" s="82">
        <v>0</v>
      </c>
      <c r="AP159" s="82">
        <v>7000000</v>
      </c>
      <c r="AQ159" s="82">
        <v>0</v>
      </c>
      <c r="AR159" s="82">
        <v>7000000</v>
      </c>
      <c r="AS159" s="82">
        <v>0</v>
      </c>
      <c r="AT159" s="82">
        <v>7000000</v>
      </c>
      <c r="AU159" s="82">
        <v>0</v>
      </c>
      <c r="AV159" s="82">
        <v>7000000</v>
      </c>
      <c r="AW159" s="82">
        <v>35000000</v>
      </c>
      <c r="AX159" s="82">
        <v>35000000</v>
      </c>
      <c r="AY159" s="82">
        <v>0</v>
      </c>
      <c r="AZ159" s="82">
        <v>0</v>
      </c>
      <c r="BA159" s="82">
        <v>0</v>
      </c>
      <c r="BB159" s="82">
        <v>0</v>
      </c>
      <c r="BC159" s="82">
        <f t="shared" ref="BC159:BD159" si="306">AE159+AG159+AI159+AK159+AM159+AO159+AQ159+AS159+AU159+AW159+AY159+BA159</f>
        <v>84000000</v>
      </c>
      <c r="BD159" s="82">
        <f t="shared" si="306"/>
        <v>84000000</v>
      </c>
      <c r="BE159" s="83">
        <f t="shared" si="1"/>
        <v>0</v>
      </c>
      <c r="BF159" s="83">
        <f t="shared" si="2"/>
        <v>0</v>
      </c>
      <c r="BG159" s="14" t="str">
        <f ca="1">IFERROR(__xludf.DUMMYFUNCTION("REGEXEXTRACT(O153,""^\S+\s(.+)$"")"),"Prestar los servicios profesionales especializados a la Dirección General en los asuntos técnicos del sector energético, con énfasis en la planeación y la eficiencia energética.")</f>
        <v>Prestar los servicios profesionales especializados a la Dirección General en los asuntos técnicos del sector energético, con énfasis en la planeación y la eficiencia energética.</v>
      </c>
      <c r="BH159" s="23"/>
      <c r="BI159" s="23"/>
      <c r="BJ159" s="23">
        <v>49000000</v>
      </c>
      <c r="BK159" s="23"/>
      <c r="BL159" s="23"/>
      <c r="BM159" s="23">
        <v>7000000</v>
      </c>
      <c r="BN159" s="23"/>
      <c r="BO159" s="23">
        <v>7000000</v>
      </c>
      <c r="BP159" s="23"/>
      <c r="BQ159" s="23">
        <v>7000000</v>
      </c>
      <c r="BR159" s="23"/>
      <c r="BS159" s="23">
        <v>7000000</v>
      </c>
      <c r="BT159" s="23"/>
      <c r="BU159" s="23">
        <v>7000000</v>
      </c>
      <c r="BV159" s="23"/>
      <c r="BW159" s="23">
        <v>7000000</v>
      </c>
      <c r="BX159" s="23"/>
      <c r="BY159" s="23">
        <v>7000000</v>
      </c>
      <c r="BZ159" s="23">
        <v>35000000</v>
      </c>
      <c r="CA159" s="23">
        <v>35000000</v>
      </c>
      <c r="CB159" s="23"/>
      <c r="CC159" s="23"/>
      <c r="CD159" s="23"/>
      <c r="CE159" s="23"/>
      <c r="CF159" s="28"/>
      <c r="CG159" s="28"/>
      <c r="CH159" s="25">
        <f t="shared" ref="CH159:CI159" si="307">BH159+BJ159+BL159+BN159+BP159+BR159+BT159+BV159+BX159+BZ159+CB159+CD159+CF159</f>
        <v>84000000</v>
      </c>
      <c r="CI159" s="25">
        <f t="shared" si="307"/>
        <v>84000000</v>
      </c>
      <c r="CJ159" s="26">
        <f t="shared" si="4"/>
        <v>0</v>
      </c>
      <c r="CK159" s="26">
        <f t="shared" si="5"/>
        <v>0</v>
      </c>
    </row>
    <row r="160" spans="1:89" ht="90" customHeight="1" x14ac:dyDescent="0.3">
      <c r="A160" s="13" t="s">
        <v>248</v>
      </c>
      <c r="B160" s="14" t="s">
        <v>14</v>
      </c>
      <c r="C160" s="15" t="s">
        <v>519</v>
      </c>
      <c r="D160" s="14" t="s">
        <v>63</v>
      </c>
      <c r="E160" s="13" t="s">
        <v>250</v>
      </c>
      <c r="F160" s="13" t="s">
        <v>250</v>
      </c>
      <c r="G160" s="14">
        <v>68</v>
      </c>
      <c r="H160" s="13" t="s">
        <v>619</v>
      </c>
      <c r="I160" s="15" t="s">
        <v>521</v>
      </c>
      <c r="J160" s="14" t="s">
        <v>15</v>
      </c>
      <c r="K160" s="15" t="s">
        <v>71</v>
      </c>
      <c r="L160" s="14">
        <v>80111620</v>
      </c>
      <c r="M160" s="14" t="s">
        <v>16</v>
      </c>
      <c r="N160" s="14" t="s">
        <v>253</v>
      </c>
      <c r="O160" s="15" t="s">
        <v>620</v>
      </c>
      <c r="P160" s="14" t="s">
        <v>255</v>
      </c>
      <c r="Q160" s="14" t="s">
        <v>255</v>
      </c>
      <c r="R160" s="14" t="s">
        <v>255</v>
      </c>
      <c r="S160" s="17">
        <v>6</v>
      </c>
      <c r="T160" s="14" t="s">
        <v>256</v>
      </c>
      <c r="U160" s="14" t="s">
        <v>621</v>
      </c>
      <c r="V160" s="14" t="s">
        <v>113</v>
      </c>
      <c r="W160" s="18">
        <v>25363800</v>
      </c>
      <c r="X160" s="18">
        <v>25363800</v>
      </c>
      <c r="Y160" s="19" t="s">
        <v>339</v>
      </c>
      <c r="Z160" s="19" t="s">
        <v>258</v>
      </c>
      <c r="AA160" s="14" t="s">
        <v>523</v>
      </c>
      <c r="AB160" s="14" t="s">
        <v>524</v>
      </c>
      <c r="AC160" s="14">
        <v>6012220607</v>
      </c>
      <c r="AD160" s="14" t="s">
        <v>525</v>
      </c>
      <c r="AE160" s="82">
        <v>25363800</v>
      </c>
      <c r="AF160" s="82">
        <v>0</v>
      </c>
      <c r="AG160" s="82">
        <v>0</v>
      </c>
      <c r="AH160" s="82">
        <v>2113650</v>
      </c>
      <c r="AI160" s="82">
        <v>0</v>
      </c>
      <c r="AJ160" s="82">
        <v>4227300</v>
      </c>
      <c r="AK160" s="82">
        <v>0</v>
      </c>
      <c r="AL160" s="82">
        <v>4227300</v>
      </c>
      <c r="AM160" s="82">
        <v>0</v>
      </c>
      <c r="AN160" s="82">
        <v>4227300</v>
      </c>
      <c r="AO160" s="82">
        <v>0</v>
      </c>
      <c r="AP160" s="82">
        <v>4227300</v>
      </c>
      <c r="AQ160" s="82">
        <v>0</v>
      </c>
      <c r="AR160" s="82">
        <v>4227300</v>
      </c>
      <c r="AS160" s="82">
        <v>0</v>
      </c>
      <c r="AT160" s="82">
        <v>2113650</v>
      </c>
      <c r="AU160" s="82">
        <v>0</v>
      </c>
      <c r="AV160" s="82">
        <v>0</v>
      </c>
      <c r="AW160" s="82">
        <v>0</v>
      </c>
      <c r="AX160" s="82">
        <v>0</v>
      </c>
      <c r="AY160" s="82">
        <v>0</v>
      </c>
      <c r="AZ160" s="82">
        <v>0</v>
      </c>
      <c r="BA160" s="82">
        <v>0</v>
      </c>
      <c r="BB160" s="82">
        <v>0</v>
      </c>
      <c r="BC160" s="82">
        <f t="shared" ref="BC160:BD160" si="308">AE160+AG160+AI160+AK160+AM160+AO160+AQ160+AS160+AU160+AW160+AY160+BA160</f>
        <v>25363800</v>
      </c>
      <c r="BD160" s="82">
        <f t="shared" si="308"/>
        <v>25363800</v>
      </c>
      <c r="BE160" s="83">
        <f t="shared" si="1"/>
        <v>0</v>
      </c>
      <c r="BF160" s="83">
        <f t="shared" si="2"/>
        <v>0</v>
      </c>
      <c r="BG160" s="14" t="str">
        <f ca="1">IFERROR(__xludf.DUMMYFUNCTION("REGEXEXTRACT(O154,""^\S+\s(.+)$"")"),"Prestar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60" s="23">
        <v>25363800</v>
      </c>
      <c r="BI160" s="23"/>
      <c r="BJ160" s="23"/>
      <c r="BK160" s="23">
        <v>2113650</v>
      </c>
      <c r="BL160" s="23"/>
      <c r="BM160" s="23">
        <v>4227300</v>
      </c>
      <c r="BN160" s="23"/>
      <c r="BO160" s="23">
        <v>4227300</v>
      </c>
      <c r="BP160" s="23"/>
      <c r="BQ160" s="23">
        <v>4227300</v>
      </c>
      <c r="BR160" s="23"/>
      <c r="BS160" s="23">
        <v>4227300</v>
      </c>
      <c r="BT160" s="23"/>
      <c r="BU160" s="23">
        <v>4227300</v>
      </c>
      <c r="BV160" s="23"/>
      <c r="BW160" s="23">
        <v>2113650</v>
      </c>
      <c r="BX160" s="23"/>
      <c r="BY160" s="23"/>
      <c r="BZ160" s="23"/>
      <c r="CA160" s="23"/>
      <c r="CB160" s="23"/>
      <c r="CC160" s="23"/>
      <c r="CD160" s="23"/>
      <c r="CE160" s="23"/>
      <c r="CF160" s="28"/>
      <c r="CG160" s="28"/>
      <c r="CH160" s="25">
        <f t="shared" ref="CH160:CI160" si="309">BH160+BJ160+BL160+BN160+BP160+BR160+BT160+BV160+BX160+BZ160+CB160+CD160+CF160</f>
        <v>25363800</v>
      </c>
      <c r="CI160" s="25">
        <f t="shared" si="309"/>
        <v>25363800</v>
      </c>
      <c r="CJ160" s="26">
        <f t="shared" si="4"/>
        <v>0</v>
      </c>
      <c r="CK160" s="26">
        <f t="shared" si="5"/>
        <v>0</v>
      </c>
    </row>
    <row r="161" spans="1:89" ht="90" customHeight="1" x14ac:dyDescent="0.3">
      <c r="A161" s="13" t="s">
        <v>248</v>
      </c>
      <c r="B161" s="14" t="s">
        <v>14</v>
      </c>
      <c r="C161" s="15" t="s">
        <v>519</v>
      </c>
      <c r="D161" s="14" t="s">
        <v>63</v>
      </c>
      <c r="E161" s="13" t="s">
        <v>250</v>
      </c>
      <c r="F161" s="13" t="s">
        <v>250</v>
      </c>
      <c r="G161" s="14">
        <v>3</v>
      </c>
      <c r="H161" s="13" t="s">
        <v>622</v>
      </c>
      <c r="I161" s="15" t="s">
        <v>521</v>
      </c>
      <c r="J161" s="14" t="s">
        <v>15</v>
      </c>
      <c r="K161" s="15" t="s">
        <v>71</v>
      </c>
      <c r="L161" s="14">
        <v>80111620</v>
      </c>
      <c r="M161" s="14" t="s">
        <v>16</v>
      </c>
      <c r="N161" s="14" t="s">
        <v>253</v>
      </c>
      <c r="O161" s="15" t="s">
        <v>623</v>
      </c>
      <c r="P161" s="14" t="s">
        <v>255</v>
      </c>
      <c r="Q161" s="14" t="s">
        <v>255</v>
      </c>
      <c r="R161" s="14" t="s">
        <v>255</v>
      </c>
      <c r="S161" s="17">
        <v>6</v>
      </c>
      <c r="T161" s="14" t="s">
        <v>256</v>
      </c>
      <c r="U161" s="14" t="s">
        <v>257</v>
      </c>
      <c r="V161" s="14" t="s">
        <v>113</v>
      </c>
      <c r="W161" s="18">
        <v>37359000</v>
      </c>
      <c r="X161" s="18">
        <v>37359000</v>
      </c>
      <c r="Y161" s="19" t="s">
        <v>339</v>
      </c>
      <c r="Z161" s="19" t="s">
        <v>258</v>
      </c>
      <c r="AA161" s="14" t="s">
        <v>530</v>
      </c>
      <c r="AB161" s="14" t="s">
        <v>524</v>
      </c>
      <c r="AC161" s="14">
        <v>6012220607</v>
      </c>
      <c r="AD161" s="14" t="s">
        <v>531</v>
      </c>
      <c r="AE161" s="82">
        <v>0</v>
      </c>
      <c r="AF161" s="82">
        <v>0</v>
      </c>
      <c r="AG161" s="82">
        <v>37359000</v>
      </c>
      <c r="AH161" s="82">
        <v>3113250</v>
      </c>
      <c r="AI161" s="82">
        <v>0</v>
      </c>
      <c r="AJ161" s="82">
        <v>6226500</v>
      </c>
      <c r="AK161" s="82">
        <v>0</v>
      </c>
      <c r="AL161" s="82">
        <v>6226500</v>
      </c>
      <c r="AM161" s="82">
        <v>0</v>
      </c>
      <c r="AN161" s="82">
        <v>6226500</v>
      </c>
      <c r="AO161" s="82">
        <v>0</v>
      </c>
      <c r="AP161" s="82">
        <v>6226500</v>
      </c>
      <c r="AQ161" s="82">
        <v>0</v>
      </c>
      <c r="AR161" s="82">
        <v>6226500</v>
      </c>
      <c r="AS161" s="82">
        <v>0</v>
      </c>
      <c r="AT161" s="82">
        <v>3113250</v>
      </c>
      <c r="AU161" s="82">
        <v>0</v>
      </c>
      <c r="AV161" s="82">
        <v>0</v>
      </c>
      <c r="AW161" s="82">
        <v>0</v>
      </c>
      <c r="AX161" s="82">
        <v>0</v>
      </c>
      <c r="AY161" s="82">
        <v>0</v>
      </c>
      <c r="AZ161" s="82">
        <v>0</v>
      </c>
      <c r="BA161" s="82">
        <v>0</v>
      </c>
      <c r="BB161" s="82">
        <v>0</v>
      </c>
      <c r="BC161" s="82">
        <f t="shared" ref="BC161:BD161" si="310">AE161+AG161+AI161+AK161+AM161+AO161+AQ161+AS161+AU161+AW161+AY161+BA161</f>
        <v>37359000</v>
      </c>
      <c r="BD161" s="82">
        <f t="shared" si="310"/>
        <v>37359000</v>
      </c>
      <c r="BE161" s="83">
        <f t="shared" si="1"/>
        <v>0</v>
      </c>
      <c r="BF161" s="83">
        <f t="shared" si="2"/>
        <v>0</v>
      </c>
      <c r="BG161" s="14" t="str">
        <f ca="1">IFERROR(__xludf.DUMMYFUNCTION("REGEXEXTRACT(O155,""^\S+\s(.+)$"")")," Prestar los servicios profesionales en la construcción de herramientas y documentos en el carácter social y político como mecanismo de unificación de criterios en la evaluación y estrategias de energización en los procesos de la Oficina de Gestión de Pro"&amp;"yectos de Fondos.")</f>
        <v xml:space="preserve"> Prestar los servicios profesionales en la construcción de herramientas y documentos en el carácter social y político como mecanismo de unificación de criterios en la evaluación y estrategias de energización en los procesos de la Oficina de Gestión de Proyectos de Fondos.</v>
      </c>
      <c r="BH161" s="23"/>
      <c r="BI161" s="23"/>
      <c r="BJ161" s="23">
        <v>37359000</v>
      </c>
      <c r="BK161" s="23">
        <v>3113250</v>
      </c>
      <c r="BL161" s="23"/>
      <c r="BM161" s="23">
        <v>6226500</v>
      </c>
      <c r="BN161" s="23"/>
      <c r="BO161" s="23">
        <v>6226500</v>
      </c>
      <c r="BP161" s="23"/>
      <c r="BQ161" s="23">
        <v>6226500</v>
      </c>
      <c r="BR161" s="23"/>
      <c r="BS161" s="23">
        <v>6226500</v>
      </c>
      <c r="BT161" s="23"/>
      <c r="BU161" s="23">
        <v>6226500</v>
      </c>
      <c r="BV161" s="23"/>
      <c r="BW161" s="23">
        <v>3113250</v>
      </c>
      <c r="BX161" s="23"/>
      <c r="BY161" s="23"/>
      <c r="BZ161" s="23"/>
      <c r="CA161" s="23"/>
      <c r="CB161" s="23"/>
      <c r="CC161" s="23"/>
      <c r="CD161" s="23"/>
      <c r="CE161" s="23"/>
      <c r="CF161" s="28"/>
      <c r="CG161" s="28"/>
      <c r="CH161" s="25">
        <f t="shared" ref="CH161:CI161" si="311">BH161+BJ161+BL161+BN161+BP161+BR161+BT161+BV161+BX161+BZ161+CB161+CD161+CF161</f>
        <v>37359000</v>
      </c>
      <c r="CI161" s="25">
        <f t="shared" si="311"/>
        <v>37359000</v>
      </c>
      <c r="CJ161" s="26">
        <f t="shared" si="4"/>
        <v>0</v>
      </c>
      <c r="CK161" s="26">
        <f t="shared" si="5"/>
        <v>0</v>
      </c>
    </row>
    <row r="162" spans="1:89" ht="90" customHeight="1" x14ac:dyDescent="0.3">
      <c r="A162" s="13" t="s">
        <v>248</v>
      </c>
      <c r="B162" s="14" t="s">
        <v>14</v>
      </c>
      <c r="C162" s="15" t="s">
        <v>519</v>
      </c>
      <c r="D162" s="14" t="s">
        <v>63</v>
      </c>
      <c r="E162" s="13" t="s">
        <v>250</v>
      </c>
      <c r="F162" s="13" t="s">
        <v>250</v>
      </c>
      <c r="G162" s="14">
        <v>3</v>
      </c>
      <c r="H162" s="13" t="s">
        <v>624</v>
      </c>
      <c r="I162" s="15" t="s">
        <v>521</v>
      </c>
      <c r="J162" s="14" t="s">
        <v>18</v>
      </c>
      <c r="K162" s="15" t="s">
        <v>86</v>
      </c>
      <c r="L162" s="14">
        <v>80111620</v>
      </c>
      <c r="M162" s="14" t="s">
        <v>19</v>
      </c>
      <c r="N162" s="14" t="s">
        <v>253</v>
      </c>
      <c r="O162" s="15" t="s">
        <v>625</v>
      </c>
      <c r="P162" s="14" t="s">
        <v>255</v>
      </c>
      <c r="Q162" s="14" t="s">
        <v>255</v>
      </c>
      <c r="R162" s="14" t="s">
        <v>255</v>
      </c>
      <c r="S162" s="17">
        <v>6</v>
      </c>
      <c r="T162" s="14" t="s">
        <v>256</v>
      </c>
      <c r="U162" s="14" t="s">
        <v>257</v>
      </c>
      <c r="V162" s="14" t="s">
        <v>112</v>
      </c>
      <c r="W162" s="18">
        <v>34495387</v>
      </c>
      <c r="X162" s="18">
        <v>34495387</v>
      </c>
      <c r="Y162" s="19" t="s">
        <v>339</v>
      </c>
      <c r="Z162" s="19" t="s">
        <v>258</v>
      </c>
      <c r="AA162" s="14" t="s">
        <v>530</v>
      </c>
      <c r="AB162" s="14" t="s">
        <v>524</v>
      </c>
      <c r="AC162" s="14">
        <v>6012220607</v>
      </c>
      <c r="AD162" s="14" t="s">
        <v>531</v>
      </c>
      <c r="AE162" s="82">
        <v>34479900</v>
      </c>
      <c r="AF162" s="82">
        <v>0</v>
      </c>
      <c r="AG162" s="82">
        <v>0</v>
      </c>
      <c r="AH162" s="82">
        <v>5746650</v>
      </c>
      <c r="AI162" s="82">
        <v>0</v>
      </c>
      <c r="AJ162" s="82">
        <v>5746650</v>
      </c>
      <c r="AK162" s="82">
        <v>0</v>
      </c>
      <c r="AL162" s="82">
        <v>5746650</v>
      </c>
      <c r="AM162" s="82">
        <v>0</v>
      </c>
      <c r="AN162" s="82">
        <v>5746650</v>
      </c>
      <c r="AO162" s="82">
        <v>0</v>
      </c>
      <c r="AP162" s="82">
        <v>5762137</v>
      </c>
      <c r="AQ162" s="82">
        <v>0</v>
      </c>
      <c r="AR162" s="82">
        <v>5746650</v>
      </c>
      <c r="AS162" s="82">
        <v>0</v>
      </c>
      <c r="AT162" s="82">
        <v>0</v>
      </c>
      <c r="AU162" s="82">
        <v>0</v>
      </c>
      <c r="AV162" s="82">
        <v>0</v>
      </c>
      <c r="AW162" s="82">
        <v>0</v>
      </c>
      <c r="AX162" s="82">
        <v>0</v>
      </c>
      <c r="AY162" s="82">
        <v>0</v>
      </c>
      <c r="AZ162" s="82">
        <v>0</v>
      </c>
      <c r="BA162" s="82">
        <v>15487</v>
      </c>
      <c r="BB162" s="82">
        <v>0</v>
      </c>
      <c r="BC162" s="82">
        <f t="shared" ref="BC162:BD162" si="312">AE162+AG162+AI162+AK162+AM162+AO162+AQ162+AS162+AU162+AW162+AY162+BA162</f>
        <v>34495387</v>
      </c>
      <c r="BD162" s="82">
        <f t="shared" si="312"/>
        <v>34495387</v>
      </c>
      <c r="BE162" s="83">
        <f t="shared" si="1"/>
        <v>0</v>
      </c>
      <c r="BF162" s="83">
        <f t="shared" si="2"/>
        <v>0</v>
      </c>
      <c r="BG162" s="14" t="str">
        <f ca="1">IFERROR(__xludf.DUMMYFUNCTION("REGEXEXTRACT(O156,""^\S+\s(.+)$"")"),"Prestar los servicios profesionales para realizar el seguimiento y reporte de las actividades relacionadas con el proyecto de inversión y contractual de la Oficina de Gestión de Proyectos de Fondos de la UPME.")</f>
        <v>Prestar los servicios profesionales para realizar el seguimiento y reporte de las actividades relacionadas con el proyecto de inversión y contractual de la Oficina de Gestión de Proyectos de Fondos de la UPME.</v>
      </c>
      <c r="BH162" s="23">
        <v>34479900</v>
      </c>
      <c r="BI162" s="23"/>
      <c r="BJ162" s="23"/>
      <c r="BK162" s="23">
        <v>5746650</v>
      </c>
      <c r="BL162" s="23"/>
      <c r="BM162" s="23">
        <v>5746650</v>
      </c>
      <c r="BN162" s="23"/>
      <c r="BO162" s="23">
        <v>5746650</v>
      </c>
      <c r="BP162" s="23"/>
      <c r="BQ162" s="23">
        <v>5746650</v>
      </c>
      <c r="BR162" s="23"/>
      <c r="BS162" s="23">
        <v>5762137</v>
      </c>
      <c r="BT162" s="23"/>
      <c r="BU162" s="23">
        <v>5746650</v>
      </c>
      <c r="BV162" s="23"/>
      <c r="BW162" s="23"/>
      <c r="BX162" s="23"/>
      <c r="BY162" s="23"/>
      <c r="BZ162" s="23"/>
      <c r="CA162" s="23"/>
      <c r="CB162" s="23"/>
      <c r="CC162" s="23"/>
      <c r="CD162" s="23">
        <v>15487</v>
      </c>
      <c r="CE162" s="23"/>
      <c r="CF162" s="28"/>
      <c r="CG162" s="28"/>
      <c r="CH162" s="25">
        <f t="shared" ref="CH162:CI162" si="313">BH162+BJ162+BL162+BN162+BP162+BR162+BT162+BV162+BX162+BZ162+CB162+CD162+CF162</f>
        <v>34495387</v>
      </c>
      <c r="CI162" s="25">
        <f t="shared" si="313"/>
        <v>34495387</v>
      </c>
      <c r="CJ162" s="26">
        <f t="shared" si="4"/>
        <v>0</v>
      </c>
      <c r="CK162" s="26">
        <f t="shared" si="5"/>
        <v>0</v>
      </c>
    </row>
    <row r="163" spans="1:89" ht="90" customHeight="1" x14ac:dyDescent="0.3">
      <c r="A163" s="13" t="s">
        <v>248</v>
      </c>
      <c r="B163" s="14" t="s">
        <v>14</v>
      </c>
      <c r="C163" s="15" t="s">
        <v>519</v>
      </c>
      <c r="D163" s="14" t="s">
        <v>63</v>
      </c>
      <c r="E163" s="13" t="s">
        <v>250</v>
      </c>
      <c r="F163" s="13" t="s">
        <v>250</v>
      </c>
      <c r="G163" s="14">
        <v>3</v>
      </c>
      <c r="H163" s="13" t="s">
        <v>626</v>
      </c>
      <c r="I163" s="15" t="s">
        <v>521</v>
      </c>
      <c r="J163" s="14" t="s">
        <v>18</v>
      </c>
      <c r="K163" s="15" t="s">
        <v>86</v>
      </c>
      <c r="L163" s="14">
        <v>80111620</v>
      </c>
      <c r="M163" s="14" t="s">
        <v>19</v>
      </c>
      <c r="N163" s="14" t="s">
        <v>253</v>
      </c>
      <c r="O163" s="15" t="s">
        <v>627</v>
      </c>
      <c r="P163" s="14" t="s">
        <v>255</v>
      </c>
      <c r="Q163" s="14" t="s">
        <v>255</v>
      </c>
      <c r="R163" s="14" t="s">
        <v>255</v>
      </c>
      <c r="S163" s="17">
        <v>6</v>
      </c>
      <c r="T163" s="14" t="s">
        <v>256</v>
      </c>
      <c r="U163" s="14" t="s">
        <v>257</v>
      </c>
      <c r="V163" s="14" t="s">
        <v>112</v>
      </c>
      <c r="W163" s="18">
        <v>34495388</v>
      </c>
      <c r="X163" s="18">
        <v>34495388</v>
      </c>
      <c r="Y163" s="19" t="s">
        <v>339</v>
      </c>
      <c r="Z163" s="19" t="s">
        <v>258</v>
      </c>
      <c r="AA163" s="14" t="s">
        <v>530</v>
      </c>
      <c r="AB163" s="14" t="s">
        <v>628</v>
      </c>
      <c r="AC163" s="14">
        <v>6012220607</v>
      </c>
      <c r="AD163" s="14" t="s">
        <v>531</v>
      </c>
      <c r="AE163" s="82">
        <v>0</v>
      </c>
      <c r="AF163" s="82">
        <v>0</v>
      </c>
      <c r="AG163" s="82">
        <v>34495388</v>
      </c>
      <c r="AH163" s="82">
        <v>5746650</v>
      </c>
      <c r="AI163" s="82">
        <v>0</v>
      </c>
      <c r="AJ163" s="82">
        <v>5746650</v>
      </c>
      <c r="AK163" s="82">
        <v>0</v>
      </c>
      <c r="AL163" s="82">
        <v>5746650</v>
      </c>
      <c r="AM163" s="82">
        <v>0</v>
      </c>
      <c r="AN163" s="82">
        <v>5746650</v>
      </c>
      <c r="AO163" s="82">
        <v>0</v>
      </c>
      <c r="AP163" s="82">
        <v>5762138</v>
      </c>
      <c r="AQ163" s="82">
        <v>0</v>
      </c>
      <c r="AR163" s="82">
        <v>5746650</v>
      </c>
      <c r="AS163" s="82">
        <v>0</v>
      </c>
      <c r="AT163" s="82">
        <v>0</v>
      </c>
      <c r="AU163" s="82">
        <v>0</v>
      </c>
      <c r="AV163" s="82">
        <v>0</v>
      </c>
      <c r="AW163" s="82">
        <v>0</v>
      </c>
      <c r="AX163" s="82">
        <v>0</v>
      </c>
      <c r="AY163" s="82">
        <v>0</v>
      </c>
      <c r="AZ163" s="82">
        <v>0</v>
      </c>
      <c r="BA163" s="82">
        <v>0</v>
      </c>
      <c r="BB163" s="82">
        <v>0</v>
      </c>
      <c r="BC163" s="82">
        <f t="shared" ref="BC163:BD163" si="314">AE163+AG163+AI163+AK163+AM163+AO163+AQ163+AS163+AU163+AW163+AY163+BA163</f>
        <v>34495388</v>
      </c>
      <c r="BD163" s="82">
        <f t="shared" si="314"/>
        <v>34495388</v>
      </c>
      <c r="BE163" s="83">
        <f t="shared" si="1"/>
        <v>0</v>
      </c>
      <c r="BF163" s="83">
        <f t="shared" si="2"/>
        <v>0</v>
      </c>
      <c r="BG163" s="14" t="str">
        <f ca="1">IFERROR(__xludf.DUMMYFUNCTION("REGEXEXTRACT(O157,""^\S+\s(.+)$"")"),"- 47 Prestar servicios profesionales para realizar la evaluación técnica y financiera de proyectos energéticos que solicitan recursos a los fondos y mecanismos de financiación evaluados por la UPME, y participar en mesas técnicas.")</f>
        <v>- 47 Prestar servicios profesionales para realizar la evaluación técnica y financiera de proyectos energéticos que solicitan recursos a los fondos y mecanismos de financiación evaluados por la UPME, y participar en mesas técnicas.</v>
      </c>
      <c r="BH163" s="23"/>
      <c r="BI163" s="23"/>
      <c r="BJ163" s="23">
        <v>34495388</v>
      </c>
      <c r="BK163" s="23">
        <v>5746650</v>
      </c>
      <c r="BL163" s="23"/>
      <c r="BM163" s="23">
        <v>5746650</v>
      </c>
      <c r="BN163" s="23"/>
      <c r="BO163" s="23">
        <v>5746650</v>
      </c>
      <c r="BP163" s="23"/>
      <c r="BQ163" s="23">
        <v>5746650</v>
      </c>
      <c r="BR163" s="23"/>
      <c r="BS163" s="23">
        <v>5762138</v>
      </c>
      <c r="BT163" s="23"/>
      <c r="BU163" s="23">
        <v>5746650</v>
      </c>
      <c r="BV163" s="23"/>
      <c r="BW163" s="23"/>
      <c r="BX163" s="23"/>
      <c r="BY163" s="23"/>
      <c r="BZ163" s="23"/>
      <c r="CA163" s="23"/>
      <c r="CB163" s="23"/>
      <c r="CC163" s="23"/>
      <c r="CD163" s="23"/>
      <c r="CE163" s="23"/>
      <c r="CF163" s="28"/>
      <c r="CG163" s="28"/>
      <c r="CH163" s="25">
        <f t="shared" ref="CH163:CI163" si="315">BH163+BJ163+BL163+BN163+BP163+BR163+BT163+BV163+BX163+BZ163+CB163+CD163+CF163</f>
        <v>34495388</v>
      </c>
      <c r="CI163" s="25">
        <f t="shared" si="315"/>
        <v>34495388</v>
      </c>
      <c r="CJ163" s="26">
        <f t="shared" si="4"/>
        <v>0</v>
      </c>
      <c r="CK163" s="26">
        <f t="shared" si="5"/>
        <v>0</v>
      </c>
    </row>
    <row r="164" spans="1:89" ht="90" customHeight="1" x14ac:dyDescent="0.3">
      <c r="A164" s="13" t="s">
        <v>248</v>
      </c>
      <c r="B164" s="14" t="s">
        <v>14</v>
      </c>
      <c r="C164" s="15" t="s">
        <v>519</v>
      </c>
      <c r="D164" s="14" t="s">
        <v>63</v>
      </c>
      <c r="E164" s="13" t="s">
        <v>250</v>
      </c>
      <c r="F164" s="13" t="s">
        <v>250</v>
      </c>
      <c r="G164" s="14">
        <v>3</v>
      </c>
      <c r="H164" s="13" t="s">
        <v>629</v>
      </c>
      <c r="I164" s="15" t="s">
        <v>521</v>
      </c>
      <c r="J164" s="14" t="s">
        <v>15</v>
      </c>
      <c r="K164" s="15" t="s">
        <v>71</v>
      </c>
      <c r="L164" s="14">
        <v>80111620</v>
      </c>
      <c r="M164" s="14" t="s">
        <v>16</v>
      </c>
      <c r="N164" s="14" t="s">
        <v>253</v>
      </c>
      <c r="O164" s="15" t="s">
        <v>630</v>
      </c>
      <c r="P164" s="14" t="s">
        <v>255</v>
      </c>
      <c r="Q164" s="14" t="s">
        <v>255</v>
      </c>
      <c r="R164" s="14" t="s">
        <v>255</v>
      </c>
      <c r="S164" s="17">
        <v>6</v>
      </c>
      <c r="T164" s="14" t="s">
        <v>256</v>
      </c>
      <c r="U164" s="14" t="s">
        <v>257</v>
      </c>
      <c r="V164" s="14" t="s">
        <v>112</v>
      </c>
      <c r="W164" s="18">
        <v>19712700</v>
      </c>
      <c r="X164" s="18">
        <v>19712700</v>
      </c>
      <c r="Y164" s="19" t="s">
        <v>339</v>
      </c>
      <c r="Z164" s="19" t="s">
        <v>258</v>
      </c>
      <c r="AA164" s="14" t="s">
        <v>530</v>
      </c>
      <c r="AB164" s="14" t="s">
        <v>628</v>
      </c>
      <c r="AC164" s="14">
        <v>6012220607</v>
      </c>
      <c r="AD164" s="14" t="s">
        <v>531</v>
      </c>
      <c r="AE164" s="82">
        <v>0</v>
      </c>
      <c r="AF164" s="82">
        <v>0</v>
      </c>
      <c r="AG164" s="82">
        <v>19712700</v>
      </c>
      <c r="AH164" s="82">
        <v>0</v>
      </c>
      <c r="AI164" s="82">
        <v>0</v>
      </c>
      <c r="AJ164" s="82">
        <v>3942540</v>
      </c>
      <c r="AK164" s="82">
        <v>0</v>
      </c>
      <c r="AL164" s="82">
        <v>3942540</v>
      </c>
      <c r="AM164" s="82">
        <v>0</v>
      </c>
      <c r="AN164" s="82">
        <v>3942540</v>
      </c>
      <c r="AO164" s="82">
        <v>0</v>
      </c>
      <c r="AP164" s="82">
        <v>3942540</v>
      </c>
      <c r="AQ164" s="82">
        <v>0</v>
      </c>
      <c r="AR164" s="82">
        <v>3942540</v>
      </c>
      <c r="AS164" s="82">
        <v>0</v>
      </c>
      <c r="AT164" s="82">
        <v>0</v>
      </c>
      <c r="AU164" s="82">
        <v>0</v>
      </c>
      <c r="AV164" s="82">
        <v>0</v>
      </c>
      <c r="AW164" s="82">
        <v>0</v>
      </c>
      <c r="AX164" s="82">
        <v>0</v>
      </c>
      <c r="AY164" s="82">
        <v>0</v>
      </c>
      <c r="AZ164" s="82">
        <v>0</v>
      </c>
      <c r="BA164" s="82">
        <v>0</v>
      </c>
      <c r="BB164" s="82">
        <v>0</v>
      </c>
      <c r="BC164" s="82">
        <f t="shared" ref="BC164:BD164" si="316">AE164+AG164+AI164+AK164+AM164+AO164+AQ164+AS164+AU164+AW164+AY164+BA164</f>
        <v>19712700</v>
      </c>
      <c r="BD164" s="82">
        <f t="shared" si="316"/>
        <v>19712700</v>
      </c>
      <c r="BE164" s="83">
        <f t="shared" si="1"/>
        <v>0</v>
      </c>
      <c r="BF164" s="83">
        <f t="shared" si="2"/>
        <v>0</v>
      </c>
      <c r="BG164" s="14" t="str">
        <f ca="1">IFERROR(__xludf.DUMMYFUNCTION("REGEXEXTRACT(O158,""^\S+\s(.+)$"")"),"Prestar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4" s="23"/>
      <c r="BI164" s="23"/>
      <c r="BJ164" s="23">
        <v>19712700</v>
      </c>
      <c r="BK164" s="23"/>
      <c r="BL164" s="23"/>
      <c r="BM164" s="23">
        <v>3942540</v>
      </c>
      <c r="BN164" s="23"/>
      <c r="BO164" s="23">
        <v>3942540</v>
      </c>
      <c r="BP164" s="23"/>
      <c r="BQ164" s="23">
        <v>3942540</v>
      </c>
      <c r="BR164" s="23"/>
      <c r="BS164" s="23">
        <v>3942540</v>
      </c>
      <c r="BT164" s="23"/>
      <c r="BU164" s="23">
        <v>3942540</v>
      </c>
      <c r="BV164" s="23"/>
      <c r="BW164" s="23"/>
      <c r="BX164" s="23"/>
      <c r="BY164" s="23"/>
      <c r="BZ164" s="23"/>
      <c r="CA164" s="23"/>
      <c r="CB164" s="23"/>
      <c r="CC164" s="23"/>
      <c r="CD164" s="23"/>
      <c r="CE164" s="23"/>
      <c r="CF164" s="28"/>
      <c r="CG164" s="28"/>
      <c r="CH164" s="25">
        <f t="shared" ref="CH164:CI164" si="317">BH164+BJ164+BL164+BN164+BP164+BR164+BT164+BV164+BX164+BZ164+CB164+CD164+CF164</f>
        <v>19712700</v>
      </c>
      <c r="CI164" s="25">
        <f t="shared" si="317"/>
        <v>19712700</v>
      </c>
      <c r="CJ164" s="26">
        <f t="shared" si="4"/>
        <v>0</v>
      </c>
      <c r="CK164" s="26">
        <f t="shared" si="5"/>
        <v>0</v>
      </c>
    </row>
    <row r="165" spans="1:89" ht="90" customHeight="1" x14ac:dyDescent="0.3">
      <c r="A165" s="13" t="s">
        <v>248</v>
      </c>
      <c r="B165" s="14" t="s">
        <v>14</v>
      </c>
      <c r="C165" s="15" t="s">
        <v>519</v>
      </c>
      <c r="D165" s="14" t="s">
        <v>63</v>
      </c>
      <c r="E165" s="13" t="s">
        <v>250</v>
      </c>
      <c r="F165" s="13" t="s">
        <v>250</v>
      </c>
      <c r="G165" s="14">
        <v>3</v>
      </c>
      <c r="H165" s="13" t="s">
        <v>631</v>
      </c>
      <c r="I165" s="15" t="s">
        <v>521</v>
      </c>
      <c r="J165" s="14" t="s">
        <v>15</v>
      </c>
      <c r="K165" s="15" t="s">
        <v>71</v>
      </c>
      <c r="L165" s="14">
        <v>80111620</v>
      </c>
      <c r="M165" s="14" t="s">
        <v>16</v>
      </c>
      <c r="N165" s="14" t="s">
        <v>253</v>
      </c>
      <c r="O165" s="15" t="s">
        <v>632</v>
      </c>
      <c r="P165" s="14" t="s">
        <v>255</v>
      </c>
      <c r="Q165" s="14" t="s">
        <v>255</v>
      </c>
      <c r="R165" s="14" t="s">
        <v>255</v>
      </c>
      <c r="S165" s="17">
        <v>6</v>
      </c>
      <c r="T165" s="14" t="s">
        <v>256</v>
      </c>
      <c r="U165" s="14" t="s">
        <v>257</v>
      </c>
      <c r="V165" s="14" t="s">
        <v>112</v>
      </c>
      <c r="W165" s="18">
        <v>19712700</v>
      </c>
      <c r="X165" s="18">
        <v>19712700</v>
      </c>
      <c r="Y165" s="19" t="s">
        <v>339</v>
      </c>
      <c r="Z165" s="19" t="s">
        <v>258</v>
      </c>
      <c r="AA165" s="14" t="s">
        <v>530</v>
      </c>
      <c r="AB165" s="14" t="s">
        <v>628</v>
      </c>
      <c r="AC165" s="14">
        <v>6012220607</v>
      </c>
      <c r="AD165" s="14" t="s">
        <v>531</v>
      </c>
      <c r="AE165" s="82">
        <v>0</v>
      </c>
      <c r="AF165" s="82">
        <v>0</v>
      </c>
      <c r="AG165" s="82">
        <v>0</v>
      </c>
      <c r="AH165" s="82">
        <v>0</v>
      </c>
      <c r="AI165" s="82">
        <v>0</v>
      </c>
      <c r="AJ165" s="82">
        <v>0</v>
      </c>
      <c r="AK165" s="82">
        <v>0</v>
      </c>
      <c r="AL165" s="82">
        <v>0</v>
      </c>
      <c r="AM165" s="82">
        <v>0</v>
      </c>
      <c r="AN165" s="82">
        <v>0</v>
      </c>
      <c r="AO165" s="82">
        <v>19712700</v>
      </c>
      <c r="AP165" s="82">
        <v>0</v>
      </c>
      <c r="AQ165" s="82">
        <v>0</v>
      </c>
      <c r="AR165" s="82">
        <v>3285450</v>
      </c>
      <c r="AS165" s="82">
        <v>0</v>
      </c>
      <c r="AT165" s="82">
        <v>3285450</v>
      </c>
      <c r="AU165" s="82">
        <v>0</v>
      </c>
      <c r="AV165" s="82">
        <v>3285450</v>
      </c>
      <c r="AW165" s="82">
        <v>0</v>
      </c>
      <c r="AX165" s="82">
        <v>3285450</v>
      </c>
      <c r="AY165" s="82">
        <v>0</v>
      </c>
      <c r="AZ165" s="82">
        <v>3285450</v>
      </c>
      <c r="BA165" s="82">
        <v>0</v>
      </c>
      <c r="BB165" s="82">
        <v>3285450</v>
      </c>
      <c r="BC165" s="82">
        <f t="shared" ref="BC165:BD165" si="318">AE165+AG165+AI165+AK165+AM165+AO165+AQ165+AS165+AU165+AW165+AY165+BA165</f>
        <v>19712700</v>
      </c>
      <c r="BD165" s="82">
        <f t="shared" si="318"/>
        <v>19712700</v>
      </c>
      <c r="BE165" s="83">
        <f t="shared" si="1"/>
        <v>0</v>
      </c>
      <c r="BF165" s="83">
        <f t="shared" si="2"/>
        <v>0</v>
      </c>
      <c r="BG165" s="14" t="str">
        <f ca="1">IFERROR(__xludf.DUMMYFUNCTION("REGEXEXTRACT(O159,""^\S+\s(.+)$"")"),"Prestar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5" s="23"/>
      <c r="BI165" s="23"/>
      <c r="BJ165" s="23"/>
      <c r="BK165" s="23"/>
      <c r="BL165" s="23"/>
      <c r="BM165" s="23"/>
      <c r="BN165" s="23"/>
      <c r="BO165" s="23"/>
      <c r="BP165" s="23"/>
      <c r="BQ165" s="23"/>
      <c r="BR165" s="23">
        <v>19712700</v>
      </c>
      <c r="BS165" s="23"/>
      <c r="BT165" s="23"/>
      <c r="BU165" s="23">
        <v>3285450</v>
      </c>
      <c r="BV165" s="23"/>
      <c r="BW165" s="23">
        <v>3285450</v>
      </c>
      <c r="BX165" s="23"/>
      <c r="BY165" s="23">
        <v>3285450</v>
      </c>
      <c r="BZ165" s="23"/>
      <c r="CA165" s="23">
        <v>3285450</v>
      </c>
      <c r="CB165" s="23"/>
      <c r="CC165" s="23">
        <v>3285450</v>
      </c>
      <c r="CD165" s="23"/>
      <c r="CE165" s="23">
        <v>3285450</v>
      </c>
      <c r="CF165" s="28"/>
      <c r="CG165" s="28"/>
      <c r="CH165" s="25">
        <f t="shared" ref="CH165:CI165" si="319">BH165+BJ165+BL165+BN165+BP165+BR165+BT165+BV165+BX165+BZ165+CB165+CD165+CF165</f>
        <v>19712700</v>
      </c>
      <c r="CI165" s="25">
        <f t="shared" si="319"/>
        <v>19712700</v>
      </c>
      <c r="CJ165" s="26">
        <f t="shared" si="4"/>
        <v>0</v>
      </c>
      <c r="CK165" s="26">
        <f t="shared" si="5"/>
        <v>0</v>
      </c>
    </row>
    <row r="166" spans="1:89" ht="90" customHeight="1" x14ac:dyDescent="0.3">
      <c r="A166" s="13" t="s">
        <v>248</v>
      </c>
      <c r="B166" s="14" t="s">
        <v>14</v>
      </c>
      <c r="C166" s="15" t="s">
        <v>519</v>
      </c>
      <c r="D166" s="14" t="s">
        <v>63</v>
      </c>
      <c r="E166" s="13" t="s">
        <v>250</v>
      </c>
      <c r="F166" s="13" t="s">
        <v>250</v>
      </c>
      <c r="G166" s="14">
        <v>3</v>
      </c>
      <c r="H166" s="13" t="s">
        <v>633</v>
      </c>
      <c r="I166" s="15" t="s">
        <v>521</v>
      </c>
      <c r="J166" s="14" t="s">
        <v>15</v>
      </c>
      <c r="K166" s="15" t="s">
        <v>71</v>
      </c>
      <c r="L166" s="14">
        <v>80111620</v>
      </c>
      <c r="M166" s="14" t="s">
        <v>16</v>
      </c>
      <c r="N166" s="14" t="s">
        <v>253</v>
      </c>
      <c r="O166" s="15" t="s">
        <v>634</v>
      </c>
      <c r="P166" s="14" t="s">
        <v>255</v>
      </c>
      <c r="Q166" s="14" t="s">
        <v>255</v>
      </c>
      <c r="R166" s="14" t="s">
        <v>255</v>
      </c>
      <c r="S166" s="17">
        <v>6</v>
      </c>
      <c r="T166" s="14" t="s">
        <v>256</v>
      </c>
      <c r="U166" s="14" t="s">
        <v>257</v>
      </c>
      <c r="V166" s="14" t="s">
        <v>112</v>
      </c>
      <c r="W166" s="18">
        <v>19712700</v>
      </c>
      <c r="X166" s="18">
        <v>19712700</v>
      </c>
      <c r="Y166" s="19" t="s">
        <v>339</v>
      </c>
      <c r="Z166" s="19" t="s">
        <v>258</v>
      </c>
      <c r="AA166" s="14" t="s">
        <v>530</v>
      </c>
      <c r="AB166" s="14" t="s">
        <v>628</v>
      </c>
      <c r="AC166" s="14">
        <v>6012220607</v>
      </c>
      <c r="AD166" s="14" t="s">
        <v>531</v>
      </c>
      <c r="AE166" s="82">
        <v>0</v>
      </c>
      <c r="AF166" s="82">
        <v>0</v>
      </c>
      <c r="AG166" s="82">
        <v>19712700</v>
      </c>
      <c r="AH166" s="82">
        <v>0</v>
      </c>
      <c r="AI166" s="82">
        <v>0</v>
      </c>
      <c r="AJ166" s="82">
        <v>3285450</v>
      </c>
      <c r="AK166" s="82">
        <v>0</v>
      </c>
      <c r="AL166" s="82">
        <v>3285450</v>
      </c>
      <c r="AM166" s="82">
        <v>0</v>
      </c>
      <c r="AN166" s="82">
        <v>3285450</v>
      </c>
      <c r="AO166" s="82">
        <v>0</v>
      </c>
      <c r="AP166" s="82">
        <v>3285450</v>
      </c>
      <c r="AQ166" s="82">
        <v>0</v>
      </c>
      <c r="AR166" s="82">
        <v>3285450</v>
      </c>
      <c r="AS166" s="82">
        <v>0</v>
      </c>
      <c r="AT166" s="82">
        <v>3285450</v>
      </c>
      <c r="AU166" s="82">
        <v>0</v>
      </c>
      <c r="AV166" s="82">
        <v>0</v>
      </c>
      <c r="AW166" s="82">
        <v>0</v>
      </c>
      <c r="AX166" s="82">
        <v>0</v>
      </c>
      <c r="AY166" s="82">
        <v>0</v>
      </c>
      <c r="AZ166" s="82">
        <v>0</v>
      </c>
      <c r="BA166" s="82">
        <v>0</v>
      </c>
      <c r="BB166" s="82">
        <v>0</v>
      </c>
      <c r="BC166" s="82">
        <f t="shared" ref="BC166:BD166" si="320">AE166+AG166+AI166+AK166+AM166+AO166+AQ166+AS166+AU166+AW166+AY166+BA166</f>
        <v>19712700</v>
      </c>
      <c r="BD166" s="82">
        <f t="shared" si="320"/>
        <v>19712700</v>
      </c>
      <c r="BE166" s="83">
        <f t="shared" si="1"/>
        <v>0</v>
      </c>
      <c r="BF166" s="83">
        <f t="shared" si="2"/>
        <v>0</v>
      </c>
      <c r="BG166" s="14" t="str">
        <f ca="1">IFERROR(__xludf.DUMMYFUNCTION("REGEXEXTRACT(O160,""^\S+\s(.+)$"")"),"Prestar los servicios profesionales como enlace en la Region Pacifico en la implementación de la estrategia de comunicación de la UPME al Territorio, orientada a fortalecer la transparencia de los procesos de planeación minero-energética mediante el desar"&amp;"rollo de espacios y canales adicionales de divulgación.")</f>
        <v>Prestar los servicios profesionales como enlace en la Region Pacifico en la implementación de la estrategia de comunicación de la UPME al Territorio, orientada a fortalecer la transparencia de los procesos de planeación minero-energética mediante el desarrollo de espacios y canales adicionales de divulgación.</v>
      </c>
      <c r="BH166" s="23"/>
      <c r="BI166" s="23"/>
      <c r="BJ166" s="23">
        <v>19712700</v>
      </c>
      <c r="BK166" s="23"/>
      <c r="BL166" s="23"/>
      <c r="BM166" s="23">
        <v>3285450</v>
      </c>
      <c r="BN166" s="23"/>
      <c r="BO166" s="23">
        <v>3285450</v>
      </c>
      <c r="BP166" s="23"/>
      <c r="BQ166" s="23">
        <v>3285450</v>
      </c>
      <c r="BR166" s="23"/>
      <c r="BS166" s="23">
        <v>3285450</v>
      </c>
      <c r="BT166" s="23"/>
      <c r="BU166" s="23">
        <v>3285450</v>
      </c>
      <c r="BV166" s="23"/>
      <c r="BW166" s="23">
        <v>3285450</v>
      </c>
      <c r="BX166" s="23"/>
      <c r="BY166" s="23"/>
      <c r="BZ166" s="23"/>
      <c r="CA166" s="23"/>
      <c r="CB166" s="23"/>
      <c r="CC166" s="23"/>
      <c r="CD166" s="23"/>
      <c r="CE166" s="23"/>
      <c r="CF166" s="28"/>
      <c r="CG166" s="28"/>
      <c r="CH166" s="25">
        <f t="shared" ref="CH166:CI166" si="321">BH166+BJ166+BL166+BN166+BP166+BR166+BT166+BV166+BX166+BZ166+CB166+CD166+CF166</f>
        <v>19712700</v>
      </c>
      <c r="CI166" s="25">
        <f t="shared" si="321"/>
        <v>19712700</v>
      </c>
      <c r="CJ166" s="26">
        <f t="shared" si="4"/>
        <v>0</v>
      </c>
      <c r="CK166" s="26">
        <f t="shared" si="5"/>
        <v>0</v>
      </c>
    </row>
    <row r="167" spans="1:89" ht="90" customHeight="1" x14ac:dyDescent="0.3">
      <c r="A167" s="13" t="s">
        <v>248</v>
      </c>
      <c r="B167" s="14" t="s">
        <v>14</v>
      </c>
      <c r="C167" s="15" t="s">
        <v>519</v>
      </c>
      <c r="D167" s="14" t="s">
        <v>63</v>
      </c>
      <c r="E167" s="13" t="s">
        <v>250</v>
      </c>
      <c r="F167" s="13" t="s">
        <v>250</v>
      </c>
      <c r="G167" s="14">
        <v>3</v>
      </c>
      <c r="H167" s="13" t="s">
        <v>635</v>
      </c>
      <c r="I167" s="15" t="s">
        <v>521</v>
      </c>
      <c r="J167" s="14" t="s">
        <v>15</v>
      </c>
      <c r="K167" s="15" t="s">
        <v>71</v>
      </c>
      <c r="L167" s="14">
        <v>80111620</v>
      </c>
      <c r="M167" s="14" t="s">
        <v>16</v>
      </c>
      <c r="N167" s="14" t="s">
        <v>253</v>
      </c>
      <c r="O167" s="15" t="s">
        <v>636</v>
      </c>
      <c r="P167" s="14" t="s">
        <v>255</v>
      </c>
      <c r="Q167" s="14" t="s">
        <v>255</v>
      </c>
      <c r="R167" s="14" t="s">
        <v>255</v>
      </c>
      <c r="S167" s="17">
        <v>6</v>
      </c>
      <c r="T167" s="14" t="s">
        <v>256</v>
      </c>
      <c r="U167" s="14" t="s">
        <v>257</v>
      </c>
      <c r="V167" s="14" t="s">
        <v>112</v>
      </c>
      <c r="W167" s="18">
        <v>53762100</v>
      </c>
      <c r="X167" s="18">
        <v>53762100</v>
      </c>
      <c r="Y167" s="19" t="s">
        <v>339</v>
      </c>
      <c r="Z167" s="19" t="s">
        <v>258</v>
      </c>
      <c r="AA167" s="14" t="s">
        <v>530</v>
      </c>
      <c r="AB167" s="14" t="s">
        <v>628</v>
      </c>
      <c r="AC167" s="14">
        <v>6012220607</v>
      </c>
      <c r="AD167" s="14" t="s">
        <v>531</v>
      </c>
      <c r="AE167" s="82">
        <v>0</v>
      </c>
      <c r="AF167" s="82">
        <v>0</v>
      </c>
      <c r="AG167" s="82">
        <v>53762100</v>
      </c>
      <c r="AH167" s="82">
        <v>0</v>
      </c>
      <c r="AI167" s="82">
        <v>0</v>
      </c>
      <c r="AJ167" s="82">
        <v>8997450</v>
      </c>
      <c r="AK167" s="82">
        <v>0</v>
      </c>
      <c r="AL167" s="82">
        <v>8997450</v>
      </c>
      <c r="AM167" s="82">
        <v>0</v>
      </c>
      <c r="AN167" s="82">
        <v>8997450</v>
      </c>
      <c r="AO167" s="82">
        <v>0</v>
      </c>
      <c r="AP167" s="82">
        <v>8774850</v>
      </c>
      <c r="AQ167" s="82">
        <v>0</v>
      </c>
      <c r="AR167" s="82">
        <v>8997450</v>
      </c>
      <c r="AS167" s="82">
        <v>0</v>
      </c>
      <c r="AT167" s="82">
        <v>8997450</v>
      </c>
      <c r="AU167" s="82">
        <v>0</v>
      </c>
      <c r="AV167" s="82">
        <v>0</v>
      </c>
      <c r="AW167" s="82">
        <v>0</v>
      </c>
      <c r="AX167" s="82">
        <v>0</v>
      </c>
      <c r="AY167" s="82">
        <v>0</v>
      </c>
      <c r="AZ167" s="82">
        <v>0</v>
      </c>
      <c r="BA167" s="82">
        <v>0</v>
      </c>
      <c r="BB167" s="82">
        <v>0</v>
      </c>
      <c r="BC167" s="82">
        <f t="shared" ref="BC167:BD167" si="322">AE167+AG167+AI167+AK167+AM167+AO167+AQ167+AS167+AU167+AW167+AY167+BA167</f>
        <v>53762100</v>
      </c>
      <c r="BD167" s="82">
        <f t="shared" si="322"/>
        <v>53762100</v>
      </c>
      <c r="BE167" s="83">
        <f t="shared" si="1"/>
        <v>0</v>
      </c>
      <c r="BF167" s="83">
        <f t="shared" si="2"/>
        <v>0</v>
      </c>
      <c r="BG167" s="14" t="str">
        <f ca="1">IFERROR(__xludf.DUMMYFUNCTION("REGEXEXTRACT(O161,""^\S+\s(.+)$"")"),"Prestar sus servicios profesionales especializados a la Dirección General en asuntos técnicos del sector energético, con énfasis en la planeación eléctrica y/o la integración territorial de variables energéticas.")</f>
        <v>Prestar sus servicios profesionales especializados a la Dirección General en asuntos técnicos del sector energético, con énfasis en la planeación eléctrica y/o la integración territorial de variables energéticas.</v>
      </c>
      <c r="BH167" s="23"/>
      <c r="BI167" s="23"/>
      <c r="BJ167" s="23">
        <v>53762100</v>
      </c>
      <c r="BK167" s="23"/>
      <c r="BL167" s="23"/>
      <c r="BM167" s="23">
        <v>8997450</v>
      </c>
      <c r="BN167" s="23"/>
      <c r="BO167" s="23">
        <v>8997450</v>
      </c>
      <c r="BP167" s="23"/>
      <c r="BQ167" s="23">
        <v>8997450</v>
      </c>
      <c r="BR167" s="23"/>
      <c r="BS167" s="23">
        <v>8774850</v>
      </c>
      <c r="BT167" s="23"/>
      <c r="BU167" s="23">
        <v>8997450</v>
      </c>
      <c r="BV167" s="23"/>
      <c r="BW167" s="23">
        <v>8997450</v>
      </c>
      <c r="BX167" s="23"/>
      <c r="BY167" s="23"/>
      <c r="BZ167" s="23"/>
      <c r="CA167" s="23"/>
      <c r="CB167" s="23"/>
      <c r="CC167" s="23"/>
      <c r="CD167" s="23"/>
      <c r="CE167" s="23"/>
      <c r="CF167" s="28"/>
      <c r="CG167" s="28"/>
      <c r="CH167" s="25">
        <f t="shared" ref="CH167:CI167" si="323">BH167+BJ167+BL167+BN167+BP167+BR167+BT167+BV167+BX167+BZ167+CB167+CD167+CF167</f>
        <v>53762100</v>
      </c>
      <c r="CI167" s="25">
        <f t="shared" si="323"/>
        <v>53762100</v>
      </c>
      <c r="CJ167" s="26">
        <f t="shared" si="4"/>
        <v>0</v>
      </c>
      <c r="CK167" s="26">
        <f t="shared" si="5"/>
        <v>0</v>
      </c>
    </row>
    <row r="168" spans="1:89" ht="90" customHeight="1" x14ac:dyDescent="0.3">
      <c r="A168" s="13" t="s">
        <v>248</v>
      </c>
      <c r="B168" s="14" t="s">
        <v>14</v>
      </c>
      <c r="C168" s="15" t="s">
        <v>519</v>
      </c>
      <c r="D168" s="14" t="s">
        <v>63</v>
      </c>
      <c r="E168" s="13" t="s">
        <v>250</v>
      </c>
      <c r="F168" s="13" t="s">
        <v>250</v>
      </c>
      <c r="G168" s="14">
        <v>3</v>
      </c>
      <c r="H168" s="13" t="s">
        <v>637</v>
      </c>
      <c r="I168" s="15" t="s">
        <v>521</v>
      </c>
      <c r="J168" s="14" t="s">
        <v>15</v>
      </c>
      <c r="K168" s="15" t="s">
        <v>71</v>
      </c>
      <c r="L168" s="14">
        <v>80111620</v>
      </c>
      <c r="M168" s="14" t="s">
        <v>16</v>
      </c>
      <c r="N168" s="14" t="s">
        <v>253</v>
      </c>
      <c r="O168" s="15" t="s">
        <v>638</v>
      </c>
      <c r="P168" s="14" t="s">
        <v>255</v>
      </c>
      <c r="Q168" s="14" t="s">
        <v>255</v>
      </c>
      <c r="R168" s="14" t="s">
        <v>255</v>
      </c>
      <c r="S168" s="17">
        <v>6</v>
      </c>
      <c r="T168" s="14" t="s">
        <v>256</v>
      </c>
      <c r="U168" s="14" t="s">
        <v>257</v>
      </c>
      <c r="V168" s="14" t="s">
        <v>112</v>
      </c>
      <c r="W168" s="18">
        <v>19712700</v>
      </c>
      <c r="X168" s="18">
        <v>19712700</v>
      </c>
      <c r="Y168" s="19" t="s">
        <v>339</v>
      </c>
      <c r="Z168" s="19" t="s">
        <v>258</v>
      </c>
      <c r="AA168" s="14" t="s">
        <v>530</v>
      </c>
      <c r="AB168" s="14" t="s">
        <v>628</v>
      </c>
      <c r="AC168" s="14">
        <v>6012220607</v>
      </c>
      <c r="AD168" s="14" t="s">
        <v>531</v>
      </c>
      <c r="AE168" s="82">
        <v>19712700</v>
      </c>
      <c r="AF168" s="82">
        <v>0</v>
      </c>
      <c r="AG168" s="82">
        <v>0</v>
      </c>
      <c r="AH168" s="82">
        <v>3285450</v>
      </c>
      <c r="AI168" s="82">
        <v>0</v>
      </c>
      <c r="AJ168" s="82">
        <v>3285450</v>
      </c>
      <c r="AK168" s="82">
        <v>0</v>
      </c>
      <c r="AL168" s="82">
        <v>3285450</v>
      </c>
      <c r="AM168" s="82">
        <v>0</v>
      </c>
      <c r="AN168" s="82">
        <v>3285450</v>
      </c>
      <c r="AO168" s="82">
        <v>0</v>
      </c>
      <c r="AP168" s="82">
        <v>3285450</v>
      </c>
      <c r="AQ168" s="82">
        <v>0</v>
      </c>
      <c r="AR168" s="82">
        <v>3285450</v>
      </c>
      <c r="AS168" s="82">
        <v>0</v>
      </c>
      <c r="AT168" s="82">
        <v>0</v>
      </c>
      <c r="AU168" s="82">
        <v>0</v>
      </c>
      <c r="AV168" s="82">
        <v>0</v>
      </c>
      <c r="AW168" s="82">
        <v>0</v>
      </c>
      <c r="AX168" s="82">
        <v>0</v>
      </c>
      <c r="AY168" s="82">
        <v>0</v>
      </c>
      <c r="AZ168" s="82">
        <v>0</v>
      </c>
      <c r="BA168" s="82">
        <v>0</v>
      </c>
      <c r="BB168" s="82">
        <v>0</v>
      </c>
      <c r="BC168" s="82">
        <f t="shared" ref="BC168:BD168" si="324">AE168+AG168+AI168+AK168+AM168+AO168+AQ168+AS168+AU168+AW168+AY168+BA168</f>
        <v>19712700</v>
      </c>
      <c r="BD168" s="82">
        <f t="shared" si="324"/>
        <v>19712700</v>
      </c>
      <c r="BE168" s="83">
        <f t="shared" si="1"/>
        <v>0</v>
      </c>
      <c r="BF168" s="83">
        <f t="shared" si="2"/>
        <v>0</v>
      </c>
      <c r="BG168" s="14" t="str">
        <f ca="1">IFERROR(__xludf.DUMMYFUNCTION("REGEXEXTRACT(O162,""^\S+\s(.+)$"")"),"Prestar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8" s="23">
        <v>19712700</v>
      </c>
      <c r="BI168" s="23"/>
      <c r="BJ168" s="23"/>
      <c r="BK168" s="23">
        <v>3285450</v>
      </c>
      <c r="BL168" s="23"/>
      <c r="BM168" s="23">
        <v>3285450</v>
      </c>
      <c r="BN168" s="23"/>
      <c r="BO168" s="23">
        <v>3285450</v>
      </c>
      <c r="BP168" s="23"/>
      <c r="BQ168" s="23">
        <v>3285450</v>
      </c>
      <c r="BR168" s="23"/>
      <c r="BS168" s="23">
        <v>3285450</v>
      </c>
      <c r="BT168" s="23"/>
      <c r="BU168" s="23">
        <v>3285450</v>
      </c>
      <c r="BV168" s="23"/>
      <c r="BW168" s="23"/>
      <c r="BX168" s="23"/>
      <c r="BY168" s="23"/>
      <c r="BZ168" s="23"/>
      <c r="CA168" s="23"/>
      <c r="CB168" s="23"/>
      <c r="CC168" s="23"/>
      <c r="CD168" s="23"/>
      <c r="CE168" s="23"/>
      <c r="CF168" s="28"/>
      <c r="CG168" s="28"/>
      <c r="CH168" s="25">
        <f t="shared" ref="CH168:CI168" si="325">BH168+BJ168+BL168+BN168+BP168+BR168+BT168+BV168+BX168+BZ168+CB168+CD168+CF168</f>
        <v>19712700</v>
      </c>
      <c r="CI168" s="25">
        <f t="shared" si="325"/>
        <v>19712700</v>
      </c>
      <c r="CJ168" s="26">
        <f t="shared" si="4"/>
        <v>0</v>
      </c>
      <c r="CK168" s="26">
        <f t="shared" si="5"/>
        <v>0</v>
      </c>
    </row>
    <row r="169" spans="1:89" ht="90" customHeight="1" x14ac:dyDescent="0.3">
      <c r="A169" s="13" t="s">
        <v>248</v>
      </c>
      <c r="B169" s="14" t="s">
        <v>14</v>
      </c>
      <c r="C169" s="15" t="s">
        <v>519</v>
      </c>
      <c r="D169" s="14" t="s">
        <v>63</v>
      </c>
      <c r="E169" s="13" t="s">
        <v>250</v>
      </c>
      <c r="F169" s="13" t="s">
        <v>250</v>
      </c>
      <c r="G169" s="14">
        <v>3</v>
      </c>
      <c r="H169" s="13" t="s">
        <v>639</v>
      </c>
      <c r="I169" s="15" t="s">
        <v>521</v>
      </c>
      <c r="J169" s="14" t="s">
        <v>18</v>
      </c>
      <c r="K169" s="15" t="s">
        <v>86</v>
      </c>
      <c r="L169" s="14">
        <v>80111620</v>
      </c>
      <c r="M169" s="14" t="s">
        <v>19</v>
      </c>
      <c r="N169" s="14" t="s">
        <v>253</v>
      </c>
      <c r="O169" s="15" t="s">
        <v>640</v>
      </c>
      <c r="P169" s="14" t="s">
        <v>255</v>
      </c>
      <c r="Q169" s="14" t="s">
        <v>255</v>
      </c>
      <c r="R169" s="14" t="s">
        <v>255</v>
      </c>
      <c r="S169" s="17">
        <v>4</v>
      </c>
      <c r="T169" s="14" t="s">
        <v>256</v>
      </c>
      <c r="U169" s="14" t="s">
        <v>257</v>
      </c>
      <c r="V169" s="14" t="s">
        <v>113</v>
      </c>
      <c r="W169" s="18">
        <v>44987250</v>
      </c>
      <c r="X169" s="18">
        <v>44987250</v>
      </c>
      <c r="Y169" s="19" t="s">
        <v>339</v>
      </c>
      <c r="Z169" s="19" t="s">
        <v>258</v>
      </c>
      <c r="AA169" s="14" t="s">
        <v>530</v>
      </c>
      <c r="AB169" s="14" t="s">
        <v>628</v>
      </c>
      <c r="AC169" s="14">
        <v>6012220607</v>
      </c>
      <c r="AD169" s="14" t="s">
        <v>531</v>
      </c>
      <c r="AE169" s="82">
        <v>0</v>
      </c>
      <c r="AF169" s="82">
        <v>0</v>
      </c>
      <c r="AG169" s="82">
        <v>44987250</v>
      </c>
      <c r="AH169" s="82">
        <v>0</v>
      </c>
      <c r="AI169" s="82">
        <v>0</v>
      </c>
      <c r="AJ169" s="82">
        <v>0</v>
      </c>
      <c r="AK169" s="82">
        <v>0</v>
      </c>
      <c r="AL169" s="82">
        <v>0</v>
      </c>
      <c r="AM169" s="82">
        <v>0</v>
      </c>
      <c r="AN169" s="82">
        <v>0</v>
      </c>
      <c r="AO169" s="82">
        <v>0</v>
      </c>
      <c r="AP169" s="82">
        <v>0</v>
      </c>
      <c r="AQ169" s="82">
        <v>0</v>
      </c>
      <c r="AR169" s="82">
        <v>0</v>
      </c>
      <c r="AS169" s="82">
        <v>0</v>
      </c>
      <c r="AT169" s="82">
        <v>0</v>
      </c>
      <c r="AU169" s="82">
        <v>0</v>
      </c>
      <c r="AV169" s="82">
        <v>8997450</v>
      </c>
      <c r="AW169" s="82">
        <v>0</v>
      </c>
      <c r="AX169" s="82">
        <v>8997450</v>
      </c>
      <c r="AY169" s="82">
        <v>0</v>
      </c>
      <c r="AZ169" s="82">
        <v>8997450</v>
      </c>
      <c r="BA169" s="82">
        <v>0</v>
      </c>
      <c r="BB169" s="82">
        <v>17994900</v>
      </c>
      <c r="BC169" s="82">
        <f t="shared" ref="BC169:BD169" si="326">AE169+AG169+AI169+AK169+AM169+AO169+AQ169+AS169+AU169+AW169+AY169+BA169</f>
        <v>44987250</v>
      </c>
      <c r="BD169" s="82">
        <f t="shared" si="326"/>
        <v>44987250</v>
      </c>
      <c r="BE169" s="83">
        <f t="shared" si="1"/>
        <v>0</v>
      </c>
      <c r="BF169" s="83">
        <f t="shared" si="2"/>
        <v>0</v>
      </c>
      <c r="BG169" s="14" t="str">
        <f ca="1">IFERROR(__xludf.DUMMYFUNCTION("REGEXEXTRACT(O163,""^\S+\s(.+)$"")"),"Prestar sus servicios profesionales especializados a la Dirección General en asuntos técnicos del sector energético, con énfasis en la planeación eléctrica y/o la integración territorial de variables energéticas.")</f>
        <v>Prestar sus servicios profesionales especializados a la Dirección General en asuntos técnicos del sector energético, con énfasis en la planeación eléctrica y/o la integración territorial de variables energéticas.</v>
      </c>
      <c r="BH169" s="23"/>
      <c r="BI169" s="23"/>
      <c r="BJ169" s="23">
        <v>44987250</v>
      </c>
      <c r="BK169" s="23"/>
      <c r="BL169" s="23"/>
      <c r="BM169" s="23"/>
      <c r="BN169" s="23"/>
      <c r="BO169" s="23"/>
      <c r="BP169" s="23"/>
      <c r="BQ169" s="23"/>
      <c r="BR169" s="23"/>
      <c r="BS169" s="23"/>
      <c r="BT169" s="23"/>
      <c r="BU169" s="23"/>
      <c r="BV169" s="23"/>
      <c r="BW169" s="23"/>
      <c r="BX169" s="23"/>
      <c r="BY169" s="23">
        <v>8997450</v>
      </c>
      <c r="BZ169" s="23"/>
      <c r="CA169" s="23">
        <v>8997450</v>
      </c>
      <c r="CB169" s="23"/>
      <c r="CC169" s="23">
        <v>8997450</v>
      </c>
      <c r="CD169" s="23"/>
      <c r="CE169" s="23">
        <v>17994900</v>
      </c>
      <c r="CF169" s="28"/>
      <c r="CG169" s="28"/>
      <c r="CH169" s="25">
        <f t="shared" ref="CH169:CI169" si="327">BH169+BJ169+BL169+BN169+BP169+BR169+BT169+BV169+BX169+BZ169+CB169+CD169+CF169</f>
        <v>44987250</v>
      </c>
      <c r="CI169" s="25">
        <f t="shared" si="327"/>
        <v>44987250</v>
      </c>
      <c r="CJ169" s="26">
        <f t="shared" si="4"/>
        <v>0</v>
      </c>
      <c r="CK169" s="26">
        <f t="shared" si="5"/>
        <v>0</v>
      </c>
    </row>
    <row r="170" spans="1:89" ht="90" customHeight="1" x14ac:dyDescent="0.3">
      <c r="A170" s="13" t="s">
        <v>248</v>
      </c>
      <c r="B170" s="14" t="s">
        <v>14</v>
      </c>
      <c r="C170" s="15" t="s">
        <v>519</v>
      </c>
      <c r="D170" s="14" t="s">
        <v>63</v>
      </c>
      <c r="E170" s="13" t="s">
        <v>250</v>
      </c>
      <c r="F170" s="13" t="s">
        <v>250</v>
      </c>
      <c r="G170" s="14">
        <v>4</v>
      </c>
      <c r="H170" s="13" t="s">
        <v>641</v>
      </c>
      <c r="I170" s="15" t="s">
        <v>521</v>
      </c>
      <c r="J170" s="14" t="s">
        <v>18</v>
      </c>
      <c r="K170" s="15" t="s">
        <v>86</v>
      </c>
      <c r="L170" s="14">
        <v>80111620</v>
      </c>
      <c r="M170" s="14" t="s">
        <v>19</v>
      </c>
      <c r="N170" s="14" t="s">
        <v>253</v>
      </c>
      <c r="O170" s="15" t="s">
        <v>642</v>
      </c>
      <c r="P170" s="14" t="s">
        <v>255</v>
      </c>
      <c r="Q170" s="14" t="s">
        <v>255</v>
      </c>
      <c r="R170" s="14" t="s">
        <v>255</v>
      </c>
      <c r="S170" s="17">
        <v>6</v>
      </c>
      <c r="T170" s="14" t="s">
        <v>256</v>
      </c>
      <c r="U170" s="14" t="s">
        <v>257</v>
      </c>
      <c r="V170" s="14" t="s">
        <v>113</v>
      </c>
      <c r="W170" s="18">
        <v>53984700</v>
      </c>
      <c r="X170" s="18">
        <v>53984700</v>
      </c>
      <c r="Y170" s="19" t="s">
        <v>339</v>
      </c>
      <c r="Z170" s="19" t="s">
        <v>258</v>
      </c>
      <c r="AA170" s="14" t="s">
        <v>530</v>
      </c>
      <c r="AB170" s="14" t="s">
        <v>628</v>
      </c>
      <c r="AC170" s="14">
        <v>6012220607</v>
      </c>
      <c r="AD170" s="14" t="s">
        <v>531</v>
      </c>
      <c r="AE170" s="82">
        <v>0</v>
      </c>
      <c r="AF170" s="82">
        <v>0</v>
      </c>
      <c r="AG170" s="82">
        <v>53984700</v>
      </c>
      <c r="AH170" s="82">
        <v>0</v>
      </c>
      <c r="AI170" s="82">
        <v>0</v>
      </c>
      <c r="AJ170" s="82">
        <v>8997450</v>
      </c>
      <c r="AK170" s="82">
        <v>0</v>
      </c>
      <c r="AL170" s="82">
        <v>8997450</v>
      </c>
      <c r="AM170" s="82">
        <v>0</v>
      </c>
      <c r="AN170" s="82">
        <v>8997450</v>
      </c>
      <c r="AO170" s="82">
        <v>0</v>
      </c>
      <c r="AP170" s="82">
        <v>8997450</v>
      </c>
      <c r="AQ170" s="82">
        <v>0</v>
      </c>
      <c r="AR170" s="82">
        <v>8997450</v>
      </c>
      <c r="AS170" s="82">
        <v>0</v>
      </c>
      <c r="AT170" s="82">
        <v>8997450</v>
      </c>
      <c r="AU170" s="82">
        <v>0</v>
      </c>
      <c r="AV170" s="82">
        <v>0</v>
      </c>
      <c r="AW170" s="82">
        <v>0</v>
      </c>
      <c r="AX170" s="82">
        <v>0</v>
      </c>
      <c r="AY170" s="82">
        <v>0</v>
      </c>
      <c r="AZ170" s="82">
        <v>0</v>
      </c>
      <c r="BA170" s="82">
        <v>0</v>
      </c>
      <c r="BB170" s="82">
        <v>0</v>
      </c>
      <c r="BC170" s="82">
        <f t="shared" ref="BC170:BD170" si="328">AE170+AG170+AI170+AK170+AM170+AO170+AQ170+AS170+AU170+AW170+AY170+BA170</f>
        <v>53984700</v>
      </c>
      <c r="BD170" s="82">
        <f t="shared" si="328"/>
        <v>53984700</v>
      </c>
      <c r="BE170" s="83">
        <f t="shared" si="1"/>
        <v>0</v>
      </c>
      <c r="BF170" s="83">
        <f t="shared" si="2"/>
        <v>0</v>
      </c>
      <c r="BG170" s="14" t="str">
        <f ca="1">IFERROR(__xludf.DUMMYFUNCTION("REGEXEXTRACT(O164,""^\S+\s(.+)$"")"),"Prestar servicios profesionales para llevar a cabo la evaluación técnica y financiera de proyectos del sector de energia electrica que solicitan recursos a los fondos y mecanismos de financiación evaluados por la UPME, así como liderar las mesas técnicas "&amp;"y contribuir en la definición de criterios en las diferentes metodologías de evaluación.")</f>
        <v>Prestar servicios profesionales para llevar a cabo la evaluación técnica y financiera de proyectos del sector de energia electrica que solicitan recursos a los fondos y mecanismos de financiación evaluados por la UPME, así como liderar las mesas técnicas y contribuir en la definición de criterios en las diferentes metodologías de evaluación.</v>
      </c>
      <c r="BH170" s="23"/>
      <c r="BI170" s="23"/>
      <c r="BJ170" s="23">
        <v>53984700</v>
      </c>
      <c r="BK170" s="23"/>
      <c r="BL170" s="23"/>
      <c r="BM170" s="23">
        <v>8997450</v>
      </c>
      <c r="BN170" s="23"/>
      <c r="BO170" s="23">
        <v>8997450</v>
      </c>
      <c r="BP170" s="23"/>
      <c r="BQ170" s="23">
        <v>8997450</v>
      </c>
      <c r="BR170" s="23"/>
      <c r="BS170" s="23">
        <v>8997450</v>
      </c>
      <c r="BT170" s="23"/>
      <c r="BU170" s="23">
        <v>8997450</v>
      </c>
      <c r="BV170" s="23"/>
      <c r="BW170" s="23">
        <v>8997450</v>
      </c>
      <c r="BX170" s="23"/>
      <c r="BY170" s="23"/>
      <c r="BZ170" s="23"/>
      <c r="CA170" s="23"/>
      <c r="CB170" s="23"/>
      <c r="CC170" s="23"/>
      <c r="CD170" s="23"/>
      <c r="CE170" s="23"/>
      <c r="CF170" s="28"/>
      <c r="CG170" s="28"/>
      <c r="CH170" s="25">
        <f t="shared" ref="CH170:CI170" si="329">BH170+BJ170+BL170+BN170+BP170+BR170+BT170+BV170+BX170+BZ170+CB170+CD170+CF170</f>
        <v>53984700</v>
      </c>
      <c r="CI170" s="25">
        <f t="shared" si="329"/>
        <v>53984700</v>
      </c>
      <c r="CJ170" s="26">
        <f t="shared" si="4"/>
        <v>0</v>
      </c>
      <c r="CK170" s="26">
        <f t="shared" si="5"/>
        <v>0</v>
      </c>
    </row>
    <row r="171" spans="1:89" ht="90" customHeight="1" x14ac:dyDescent="0.3">
      <c r="A171" s="13" t="s">
        <v>248</v>
      </c>
      <c r="B171" s="14" t="s">
        <v>14</v>
      </c>
      <c r="C171" s="15" t="s">
        <v>519</v>
      </c>
      <c r="D171" s="14" t="s">
        <v>63</v>
      </c>
      <c r="E171" s="13" t="s">
        <v>250</v>
      </c>
      <c r="F171" s="13" t="s">
        <v>250</v>
      </c>
      <c r="G171" s="14">
        <v>4</v>
      </c>
      <c r="H171" s="13" t="s">
        <v>643</v>
      </c>
      <c r="I171" s="15" t="s">
        <v>521</v>
      </c>
      <c r="J171" s="14" t="s">
        <v>18</v>
      </c>
      <c r="K171" s="15" t="s">
        <v>86</v>
      </c>
      <c r="L171" s="14">
        <v>80111620</v>
      </c>
      <c r="M171" s="14" t="s">
        <v>19</v>
      </c>
      <c r="N171" s="14" t="s">
        <v>253</v>
      </c>
      <c r="O171" s="15" t="s">
        <v>644</v>
      </c>
      <c r="P171" s="14" t="s">
        <v>255</v>
      </c>
      <c r="Q171" s="14" t="s">
        <v>255</v>
      </c>
      <c r="R171" s="14" t="s">
        <v>255</v>
      </c>
      <c r="S171" s="17">
        <v>6</v>
      </c>
      <c r="T171" s="14" t="s">
        <v>256</v>
      </c>
      <c r="U171" s="14" t="s">
        <v>257</v>
      </c>
      <c r="V171" s="14" t="s">
        <v>113</v>
      </c>
      <c r="W171" s="18">
        <v>53984700</v>
      </c>
      <c r="X171" s="18">
        <v>53984700</v>
      </c>
      <c r="Y171" s="19" t="s">
        <v>339</v>
      </c>
      <c r="Z171" s="19" t="s">
        <v>258</v>
      </c>
      <c r="AA171" s="14" t="s">
        <v>530</v>
      </c>
      <c r="AB171" s="14" t="s">
        <v>628</v>
      </c>
      <c r="AC171" s="14">
        <v>6012220607</v>
      </c>
      <c r="AD171" s="14" t="s">
        <v>531</v>
      </c>
      <c r="AE171" s="82">
        <v>0</v>
      </c>
      <c r="AF171" s="82">
        <v>0</v>
      </c>
      <c r="AG171" s="82">
        <v>53984700</v>
      </c>
      <c r="AH171" s="82">
        <v>0</v>
      </c>
      <c r="AI171" s="82">
        <v>0</v>
      </c>
      <c r="AJ171" s="82">
        <v>8997450</v>
      </c>
      <c r="AK171" s="82">
        <v>0</v>
      </c>
      <c r="AL171" s="82">
        <v>8997450</v>
      </c>
      <c r="AM171" s="82">
        <v>0</v>
      </c>
      <c r="AN171" s="82">
        <v>8997450</v>
      </c>
      <c r="AO171" s="82">
        <v>0</v>
      </c>
      <c r="AP171" s="82">
        <v>8997450</v>
      </c>
      <c r="AQ171" s="82">
        <v>0</v>
      </c>
      <c r="AR171" s="82">
        <v>8997450</v>
      </c>
      <c r="AS171" s="82">
        <v>0</v>
      </c>
      <c r="AT171" s="82">
        <v>8997450</v>
      </c>
      <c r="AU171" s="82">
        <v>0</v>
      </c>
      <c r="AV171" s="82">
        <v>0</v>
      </c>
      <c r="AW171" s="82">
        <v>0</v>
      </c>
      <c r="AX171" s="82">
        <v>0</v>
      </c>
      <c r="AY171" s="82">
        <v>0</v>
      </c>
      <c r="AZ171" s="82">
        <v>0</v>
      </c>
      <c r="BA171" s="82">
        <v>0</v>
      </c>
      <c r="BB171" s="82">
        <v>0</v>
      </c>
      <c r="BC171" s="82">
        <f t="shared" ref="BC171:BD171" si="330">AE171+AG171+AI171+AK171+AM171+AO171+AQ171+AS171+AU171+AW171+AY171+BA171</f>
        <v>53984700</v>
      </c>
      <c r="BD171" s="82">
        <f t="shared" si="330"/>
        <v>53984700</v>
      </c>
      <c r="BE171" s="83">
        <f t="shared" si="1"/>
        <v>0</v>
      </c>
      <c r="BF171" s="83">
        <f t="shared" si="2"/>
        <v>0</v>
      </c>
      <c r="BG171" s="14" t="str">
        <f ca="1">IFERROR(__xludf.DUMMYFUNCTION("REGEXEXTRACT(O165,""^\S+\s(.+)$"")"),"Prestar servicios profesionales para llevar a cabo la evaluación técnica y financiera de proyectos del sector de gas combustible que solicitan recursos a los fondos y mecanismos de financiación evaluados por la UPME, así como liderar las mesas técnicas, c"&amp;"ontribuir en la definición de criterios financieros en las diferentes metodologías de evaluación.")</f>
        <v>Prestar servicios profesionales para llevar a cabo la evaluación técnica y financiera de proyectos del sector de gas combustible que solicitan recursos a los fondos y mecanismos de financiación evaluados por la UPME, así como liderar las mesas técnicas, contribuir en la definición de criterios financieros en las diferentes metodologías de evaluación.</v>
      </c>
      <c r="BH171" s="23"/>
      <c r="BI171" s="23"/>
      <c r="BJ171" s="23">
        <v>53984700</v>
      </c>
      <c r="BK171" s="23"/>
      <c r="BL171" s="23"/>
      <c r="BM171" s="23">
        <v>8997450</v>
      </c>
      <c r="BN171" s="23"/>
      <c r="BO171" s="23">
        <v>8997450</v>
      </c>
      <c r="BP171" s="23"/>
      <c r="BQ171" s="23">
        <v>8997450</v>
      </c>
      <c r="BR171" s="23"/>
      <c r="BS171" s="23">
        <v>8997450</v>
      </c>
      <c r="BT171" s="23"/>
      <c r="BU171" s="23">
        <v>8997450</v>
      </c>
      <c r="BV171" s="23"/>
      <c r="BW171" s="23">
        <v>8997450</v>
      </c>
      <c r="BX171" s="23"/>
      <c r="BY171" s="23"/>
      <c r="BZ171" s="23"/>
      <c r="CA171" s="23"/>
      <c r="CB171" s="23"/>
      <c r="CC171" s="23"/>
      <c r="CD171" s="23"/>
      <c r="CE171" s="23"/>
      <c r="CF171" s="28"/>
      <c r="CG171" s="28"/>
      <c r="CH171" s="25">
        <f t="shared" ref="CH171:CI171" si="331">BH171+BJ171+BL171+BN171+BP171+BR171+BT171+BV171+BX171+BZ171+CB171+CD171+CF171</f>
        <v>53984700</v>
      </c>
      <c r="CI171" s="25">
        <f t="shared" si="331"/>
        <v>53984700</v>
      </c>
      <c r="CJ171" s="26">
        <f t="shared" si="4"/>
        <v>0</v>
      </c>
      <c r="CK171" s="26">
        <f t="shared" si="5"/>
        <v>0</v>
      </c>
    </row>
    <row r="172" spans="1:89" ht="90" customHeight="1" x14ac:dyDescent="0.3">
      <c r="A172" s="13" t="s">
        <v>248</v>
      </c>
      <c r="B172" s="14" t="s">
        <v>14</v>
      </c>
      <c r="C172" s="15" t="s">
        <v>519</v>
      </c>
      <c r="D172" s="14" t="s">
        <v>63</v>
      </c>
      <c r="E172" s="13" t="s">
        <v>250</v>
      </c>
      <c r="F172" s="13" t="s">
        <v>250</v>
      </c>
      <c r="G172" s="14">
        <v>7</v>
      </c>
      <c r="H172" s="13" t="s">
        <v>645</v>
      </c>
      <c r="I172" s="15" t="s">
        <v>521</v>
      </c>
      <c r="J172" s="14" t="s">
        <v>18</v>
      </c>
      <c r="K172" s="15" t="s">
        <v>86</v>
      </c>
      <c r="L172" s="14">
        <v>80111620</v>
      </c>
      <c r="M172" s="14" t="s">
        <v>19</v>
      </c>
      <c r="N172" s="14" t="s">
        <v>253</v>
      </c>
      <c r="O172" s="15" t="s">
        <v>646</v>
      </c>
      <c r="P172" s="14" t="s">
        <v>255</v>
      </c>
      <c r="Q172" s="14" t="s">
        <v>255</v>
      </c>
      <c r="R172" s="14" t="s">
        <v>255</v>
      </c>
      <c r="S172" s="17">
        <v>6</v>
      </c>
      <c r="T172" s="14" t="s">
        <v>256</v>
      </c>
      <c r="U172" s="14" t="s">
        <v>257</v>
      </c>
      <c r="V172" s="14" t="s">
        <v>113</v>
      </c>
      <c r="W172" s="18">
        <v>60000000</v>
      </c>
      <c r="X172" s="18">
        <v>60000000</v>
      </c>
      <c r="Y172" s="19" t="s">
        <v>339</v>
      </c>
      <c r="Z172" s="19" t="s">
        <v>258</v>
      </c>
      <c r="AA172" s="14" t="s">
        <v>530</v>
      </c>
      <c r="AB172" s="14" t="s">
        <v>628</v>
      </c>
      <c r="AC172" s="14">
        <v>6012220607</v>
      </c>
      <c r="AD172" s="14" t="s">
        <v>531</v>
      </c>
      <c r="AE172" s="82">
        <v>0</v>
      </c>
      <c r="AF172" s="82">
        <v>0</v>
      </c>
      <c r="AG172" s="82">
        <v>0</v>
      </c>
      <c r="AH172" s="82">
        <v>0</v>
      </c>
      <c r="AI172" s="82">
        <v>0</v>
      </c>
      <c r="AJ172" s="82">
        <v>0</v>
      </c>
      <c r="AK172" s="82">
        <v>0</v>
      </c>
      <c r="AL172" s="82">
        <v>0</v>
      </c>
      <c r="AM172" s="82">
        <v>0</v>
      </c>
      <c r="AN172" s="82">
        <v>0</v>
      </c>
      <c r="AO172" s="82">
        <v>0</v>
      </c>
      <c r="AP172" s="82">
        <v>0</v>
      </c>
      <c r="AQ172" s="82">
        <v>60000000</v>
      </c>
      <c r="AR172" s="82">
        <v>0</v>
      </c>
      <c r="AS172" s="82">
        <v>0</v>
      </c>
      <c r="AT172" s="82">
        <v>10000000</v>
      </c>
      <c r="AU172" s="82">
        <v>0</v>
      </c>
      <c r="AV172" s="82">
        <v>10000000</v>
      </c>
      <c r="AW172" s="82">
        <v>0</v>
      </c>
      <c r="AX172" s="82">
        <v>10000000</v>
      </c>
      <c r="AY172" s="82">
        <v>0</v>
      </c>
      <c r="AZ172" s="82">
        <v>10000000</v>
      </c>
      <c r="BA172" s="82">
        <v>0</v>
      </c>
      <c r="BB172" s="82">
        <v>20000000</v>
      </c>
      <c r="BC172" s="82">
        <f t="shared" ref="BC172:BD172" si="332">AE172+AG172+AI172+AK172+AM172+AO172+AQ172+AS172+AU172+AW172+AY172+BA172</f>
        <v>60000000</v>
      </c>
      <c r="BD172" s="82">
        <f t="shared" si="332"/>
        <v>60000000</v>
      </c>
      <c r="BE172" s="83">
        <f t="shared" si="1"/>
        <v>0</v>
      </c>
      <c r="BF172" s="83">
        <f t="shared" si="2"/>
        <v>0</v>
      </c>
      <c r="BG172" s="14" t="str">
        <f ca="1">IFERROR(__xludf.DUMMYFUNCTION("REGEXEXTRACT(O166,""^\S+\s(.+)$"")"),"Prestar servicios profesionales para liderar, planificar, implementar, gestionar y supervisar el Sistema de Gestión de Seguridad de la Información (SGSI) de la UPME y asegurar el cumplimiento de las políticas, normativas internas y legislación vigente en "&amp;"materia de seguridad digital, ciberseguridad y protección de datos garantizando su alineación con el MSPI y la ISO/IEC 27001:2022.")</f>
        <v>Prestar servicios profesionales para liderar, planificar, implementar, gestionar y supervisar el Sistema de Gestión de Seguridad de la Información (SGSI) de la UPME y asegurar el cumplimiento de las políticas, normativas internas y legislación vigente en materia de seguridad digital, ciberseguridad y protección de datos garantizando su alineación con el MSPI y la ISO/IEC 27001:2022.</v>
      </c>
      <c r="BH172" s="23"/>
      <c r="BI172" s="23"/>
      <c r="BJ172" s="23"/>
      <c r="BK172" s="23"/>
      <c r="BL172" s="23"/>
      <c r="BM172" s="23"/>
      <c r="BN172" s="23"/>
      <c r="BO172" s="23"/>
      <c r="BP172" s="23"/>
      <c r="BQ172" s="23"/>
      <c r="BR172" s="23"/>
      <c r="BS172" s="23"/>
      <c r="BT172" s="23">
        <v>60000000</v>
      </c>
      <c r="BU172" s="23"/>
      <c r="BV172" s="23"/>
      <c r="BW172" s="23">
        <v>10000000</v>
      </c>
      <c r="BX172" s="23"/>
      <c r="BY172" s="23">
        <v>10000000</v>
      </c>
      <c r="BZ172" s="23"/>
      <c r="CA172" s="23">
        <v>10000000</v>
      </c>
      <c r="CB172" s="23"/>
      <c r="CC172" s="23">
        <v>10000000</v>
      </c>
      <c r="CD172" s="23"/>
      <c r="CE172" s="23">
        <v>20000000</v>
      </c>
      <c r="CF172" s="28"/>
      <c r="CG172" s="28"/>
      <c r="CH172" s="25">
        <f t="shared" ref="CH172:CI172" si="333">BH172+BJ172+BL172+BN172+BP172+BR172+BT172+BV172+BX172+BZ172+CB172+CD172+CF172</f>
        <v>60000000</v>
      </c>
      <c r="CI172" s="25">
        <f t="shared" si="333"/>
        <v>60000000</v>
      </c>
      <c r="CJ172" s="26">
        <f t="shared" si="4"/>
        <v>0</v>
      </c>
      <c r="CK172" s="26">
        <f t="shared" si="5"/>
        <v>0</v>
      </c>
    </row>
    <row r="173" spans="1:89" ht="90" customHeight="1" x14ac:dyDescent="0.3">
      <c r="A173" s="13" t="s">
        <v>248</v>
      </c>
      <c r="B173" s="14" t="s">
        <v>14</v>
      </c>
      <c r="C173" s="15" t="s">
        <v>519</v>
      </c>
      <c r="D173" s="14" t="s">
        <v>63</v>
      </c>
      <c r="E173" s="13" t="s">
        <v>250</v>
      </c>
      <c r="F173" s="13" t="s">
        <v>250</v>
      </c>
      <c r="G173" s="14">
        <v>20</v>
      </c>
      <c r="H173" s="13" t="s">
        <v>647</v>
      </c>
      <c r="I173" s="15" t="s">
        <v>521</v>
      </c>
      <c r="J173" s="14" t="s">
        <v>18</v>
      </c>
      <c r="K173" s="15" t="s">
        <v>86</v>
      </c>
      <c r="L173" s="14">
        <v>80111620</v>
      </c>
      <c r="M173" s="14" t="s">
        <v>19</v>
      </c>
      <c r="N173" s="14" t="s">
        <v>253</v>
      </c>
      <c r="O173" s="15" t="s">
        <v>648</v>
      </c>
      <c r="P173" s="14" t="s">
        <v>255</v>
      </c>
      <c r="Q173" s="14" t="s">
        <v>255</v>
      </c>
      <c r="R173" s="14" t="s">
        <v>255</v>
      </c>
      <c r="S173" s="17">
        <v>6</v>
      </c>
      <c r="T173" s="14" t="s">
        <v>256</v>
      </c>
      <c r="U173" s="14" t="s">
        <v>257</v>
      </c>
      <c r="V173" s="14" t="s">
        <v>112</v>
      </c>
      <c r="W173" s="18">
        <v>0</v>
      </c>
      <c r="X173" s="18">
        <v>0</v>
      </c>
      <c r="Y173" s="19" t="s">
        <v>339</v>
      </c>
      <c r="Z173" s="19" t="s">
        <v>258</v>
      </c>
      <c r="AA173" s="14" t="s">
        <v>530</v>
      </c>
      <c r="AB173" s="14" t="s">
        <v>628</v>
      </c>
      <c r="AC173" s="14">
        <v>6012220607</v>
      </c>
      <c r="AD173" s="14" t="s">
        <v>531</v>
      </c>
      <c r="AE173" s="82">
        <v>0</v>
      </c>
      <c r="AF173" s="82">
        <v>0</v>
      </c>
      <c r="AG173" s="82">
        <v>0</v>
      </c>
      <c r="AH173" s="82">
        <v>0</v>
      </c>
      <c r="AI173" s="82">
        <v>0</v>
      </c>
      <c r="AJ173" s="82">
        <v>0</v>
      </c>
      <c r="AK173" s="82">
        <v>0</v>
      </c>
      <c r="AL173" s="82">
        <v>0</v>
      </c>
      <c r="AM173" s="82">
        <v>0</v>
      </c>
      <c r="AN173" s="82">
        <v>0</v>
      </c>
      <c r="AO173" s="82">
        <v>0</v>
      </c>
      <c r="AP173" s="82">
        <v>0</v>
      </c>
      <c r="AQ173" s="82">
        <v>34479900</v>
      </c>
      <c r="AR173" s="82">
        <v>0</v>
      </c>
      <c r="AS173" s="82">
        <v>0</v>
      </c>
      <c r="AT173" s="82">
        <v>5746650</v>
      </c>
      <c r="AU173" s="82">
        <v>0</v>
      </c>
      <c r="AV173" s="82">
        <v>5746650</v>
      </c>
      <c r="AW173" s="82">
        <v>0</v>
      </c>
      <c r="AX173" s="82">
        <v>5746650</v>
      </c>
      <c r="AY173" s="82">
        <v>0</v>
      </c>
      <c r="AZ173" s="82">
        <v>5746650</v>
      </c>
      <c r="BA173" s="82">
        <v>0</v>
      </c>
      <c r="BB173" s="82">
        <v>11493300</v>
      </c>
      <c r="BC173" s="82">
        <f t="shared" ref="BC173:BD173" si="334">AE173+AG173+AI173+AK173+AM173+AO173+AQ173+AS173+AU173+AW173+AY173+BA173</f>
        <v>34479900</v>
      </c>
      <c r="BD173" s="82">
        <f t="shared" si="334"/>
        <v>34479900</v>
      </c>
      <c r="BE173" s="83">
        <f t="shared" si="1"/>
        <v>-34479900</v>
      </c>
      <c r="BF173" s="83">
        <f t="shared" si="2"/>
        <v>-34479900</v>
      </c>
      <c r="BG173" s="14" t="str">
        <f ca="1">IFERROR(__xludf.DUMMYFUNCTION("REGEXEXTRACT(O167,""^\S+\s(.+)$"")"),"Prestar servicios profesionales para llevar a cabo la evaluación técnica y ambiental de proyectos que solicitan recursos a los fondos y mecanismos de financiación evaluados por la UPME, así como liderar las mesas técnicas, contribuir en la definición de c"&amp;"riterios ambientales y sociales en las diferentes metodologías de evaluación.")</f>
        <v>Prestar servicios profesionales para llevar a cabo la evaluación técnica y ambiental de proyectos que solicitan recursos a los fondos y mecanismos de financiación evaluados por la UPME, así como liderar las mesas técnicas, contribuir en la definición de criterios ambientales y sociales en las diferentes metodologías de evaluación.</v>
      </c>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8"/>
      <c r="CG173" s="28"/>
      <c r="CH173" s="25">
        <f t="shared" ref="CH173:CI173" si="335">BH173+BJ173+BL173+BN173+BP173+BR173+BT173+BV173+BX173+BZ173+CB173+CD173+CF173</f>
        <v>0</v>
      </c>
      <c r="CI173" s="25">
        <f t="shared" si="335"/>
        <v>0</v>
      </c>
      <c r="CJ173" s="26">
        <f t="shared" si="4"/>
        <v>0</v>
      </c>
      <c r="CK173" s="26">
        <f t="shared" si="5"/>
        <v>0</v>
      </c>
    </row>
    <row r="174" spans="1:89" ht="90" customHeight="1" x14ac:dyDescent="0.3">
      <c r="A174" s="13" t="s">
        <v>248</v>
      </c>
      <c r="B174" s="14" t="s">
        <v>14</v>
      </c>
      <c r="C174" s="15" t="s">
        <v>519</v>
      </c>
      <c r="D174" s="14" t="s">
        <v>63</v>
      </c>
      <c r="E174" s="13" t="s">
        <v>250</v>
      </c>
      <c r="F174" s="13" t="s">
        <v>250</v>
      </c>
      <c r="G174" s="14">
        <v>20</v>
      </c>
      <c r="H174" s="13" t="s">
        <v>649</v>
      </c>
      <c r="I174" s="15" t="s">
        <v>521</v>
      </c>
      <c r="J174" s="14" t="s">
        <v>18</v>
      </c>
      <c r="K174" s="15" t="s">
        <v>86</v>
      </c>
      <c r="L174" s="14">
        <v>80111620</v>
      </c>
      <c r="M174" s="14" t="s">
        <v>19</v>
      </c>
      <c r="N174" s="14" t="s">
        <v>253</v>
      </c>
      <c r="O174" s="15" t="s">
        <v>650</v>
      </c>
      <c r="P174" s="14" t="s">
        <v>255</v>
      </c>
      <c r="Q174" s="14" t="s">
        <v>255</v>
      </c>
      <c r="R174" s="14" t="s">
        <v>255</v>
      </c>
      <c r="S174" s="17">
        <v>6</v>
      </c>
      <c r="T174" s="14" t="s">
        <v>256</v>
      </c>
      <c r="U174" s="14" t="s">
        <v>257</v>
      </c>
      <c r="V174" s="14" t="s">
        <v>112</v>
      </c>
      <c r="W174" s="18">
        <v>0</v>
      </c>
      <c r="X174" s="18">
        <v>0</v>
      </c>
      <c r="Y174" s="19" t="s">
        <v>339</v>
      </c>
      <c r="Z174" s="19" t="s">
        <v>258</v>
      </c>
      <c r="AA174" s="14" t="s">
        <v>530</v>
      </c>
      <c r="AB174" s="14" t="s">
        <v>628</v>
      </c>
      <c r="AC174" s="14">
        <v>6012220607</v>
      </c>
      <c r="AD174" s="14" t="s">
        <v>531</v>
      </c>
      <c r="AE174" s="82">
        <v>0</v>
      </c>
      <c r="AF174" s="82">
        <v>0</v>
      </c>
      <c r="AG174" s="82">
        <v>0</v>
      </c>
      <c r="AH174" s="82">
        <v>0</v>
      </c>
      <c r="AI174" s="82">
        <v>0</v>
      </c>
      <c r="AJ174" s="82">
        <v>0</v>
      </c>
      <c r="AK174" s="82">
        <v>0</v>
      </c>
      <c r="AL174" s="82">
        <v>0</v>
      </c>
      <c r="AM174" s="82">
        <v>0</v>
      </c>
      <c r="AN174" s="82">
        <v>0</v>
      </c>
      <c r="AO174" s="82">
        <v>0</v>
      </c>
      <c r="AP174" s="82">
        <v>0</v>
      </c>
      <c r="AQ174" s="82">
        <v>19712700</v>
      </c>
      <c r="AR174" s="82">
        <v>0</v>
      </c>
      <c r="AS174" s="82">
        <v>0</v>
      </c>
      <c r="AT174" s="82">
        <v>3285450</v>
      </c>
      <c r="AU174" s="82">
        <v>0</v>
      </c>
      <c r="AV174" s="82">
        <v>3285450</v>
      </c>
      <c r="AW174" s="82">
        <v>0</v>
      </c>
      <c r="AX174" s="82">
        <v>3285450</v>
      </c>
      <c r="AY174" s="82">
        <v>0</v>
      </c>
      <c r="AZ174" s="82">
        <v>3285450</v>
      </c>
      <c r="BA174" s="82">
        <v>0</v>
      </c>
      <c r="BB174" s="82">
        <v>6570900</v>
      </c>
      <c r="BC174" s="82">
        <f t="shared" ref="BC174:BD174" si="336">AE174+AG174+AI174+AK174+AM174+AO174+AQ174+AS174+AU174+AW174+AY174+BA174</f>
        <v>19712700</v>
      </c>
      <c r="BD174" s="82">
        <f t="shared" si="336"/>
        <v>19712700</v>
      </c>
      <c r="BE174" s="83">
        <f t="shared" si="1"/>
        <v>-19712700</v>
      </c>
      <c r="BF174" s="83">
        <f t="shared" si="2"/>
        <v>-19712700</v>
      </c>
      <c r="BG174" s="14" t="str">
        <f ca="1">IFERROR(__xludf.DUMMYFUNCTION("REGEXEXTRACT(O168,""^\S+\s(.+)$"")"),"Prestar los servicios profesionales en la definición de variable sociales en apoyo al area de enfoque territorial de la direccion general de la unidad. ")</f>
        <v xml:space="preserve">Prestar los servicios profesionales en la definición de variable sociales en apoyo al area de enfoque territorial de la direccion general de la unidad. </v>
      </c>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8"/>
      <c r="CG174" s="28"/>
      <c r="CH174" s="25">
        <f t="shared" ref="CH174:CI174" si="337">BH174+BJ174+BL174+BN174+BP174+BR174+BT174+BV174+BX174+BZ174+CB174+CD174+CF174</f>
        <v>0</v>
      </c>
      <c r="CI174" s="25">
        <f t="shared" si="337"/>
        <v>0</v>
      </c>
      <c r="CJ174" s="26">
        <f t="shared" si="4"/>
        <v>0</v>
      </c>
      <c r="CK174" s="26">
        <f t="shared" si="5"/>
        <v>0</v>
      </c>
    </row>
    <row r="175" spans="1:89" ht="90" customHeight="1" x14ac:dyDescent="0.3">
      <c r="A175" s="13" t="s">
        <v>248</v>
      </c>
      <c r="B175" s="14" t="s">
        <v>20</v>
      </c>
      <c r="C175" s="15" t="s">
        <v>651</v>
      </c>
      <c r="D175" s="14" t="s">
        <v>67</v>
      </c>
      <c r="E175" s="13" t="s">
        <v>250</v>
      </c>
      <c r="F175" s="13" t="s">
        <v>250</v>
      </c>
      <c r="G175" s="14">
        <v>68</v>
      </c>
      <c r="H175" s="13" t="s">
        <v>652</v>
      </c>
      <c r="I175" s="15" t="s">
        <v>653</v>
      </c>
      <c r="J175" s="14" t="s">
        <v>23</v>
      </c>
      <c r="K175" s="15" t="s">
        <v>99</v>
      </c>
      <c r="L175" s="14">
        <v>80111620</v>
      </c>
      <c r="M175" s="14" t="s">
        <v>24</v>
      </c>
      <c r="N175" s="14" t="s">
        <v>253</v>
      </c>
      <c r="O175" s="15" t="s">
        <v>654</v>
      </c>
      <c r="P175" s="14" t="s">
        <v>255</v>
      </c>
      <c r="Q175" s="14" t="s">
        <v>255</v>
      </c>
      <c r="R175" s="14" t="s">
        <v>255</v>
      </c>
      <c r="S175" s="17">
        <v>11</v>
      </c>
      <c r="T175" s="14" t="s">
        <v>256</v>
      </c>
      <c r="U175" s="14" t="s">
        <v>257</v>
      </c>
      <c r="V175" s="14" t="s">
        <v>112</v>
      </c>
      <c r="W175" s="18">
        <v>77000000</v>
      </c>
      <c r="X175" s="18">
        <v>77000000</v>
      </c>
      <c r="Y175" s="19" t="s">
        <v>339</v>
      </c>
      <c r="Z175" s="19" t="s">
        <v>258</v>
      </c>
      <c r="AA175" s="14" t="s">
        <v>655</v>
      </c>
      <c r="AB175" s="14" t="s">
        <v>656</v>
      </c>
      <c r="AC175" s="14">
        <v>6012220601</v>
      </c>
      <c r="AD175" s="14" t="s">
        <v>657</v>
      </c>
      <c r="AE175" s="82">
        <v>77000000</v>
      </c>
      <c r="AF175" s="82">
        <v>0</v>
      </c>
      <c r="AG175" s="82">
        <v>0</v>
      </c>
      <c r="AH175" s="82">
        <v>0</v>
      </c>
      <c r="AI175" s="82">
        <v>0</v>
      </c>
      <c r="AJ175" s="82">
        <v>7000000</v>
      </c>
      <c r="AK175" s="82">
        <v>0</v>
      </c>
      <c r="AL175" s="82">
        <v>7000000</v>
      </c>
      <c r="AM175" s="82">
        <v>0</v>
      </c>
      <c r="AN175" s="82">
        <v>7000000</v>
      </c>
      <c r="AO175" s="82">
        <v>0</v>
      </c>
      <c r="AP175" s="82">
        <v>7000000</v>
      </c>
      <c r="AQ175" s="82">
        <v>0</v>
      </c>
      <c r="AR175" s="82">
        <v>7000000</v>
      </c>
      <c r="AS175" s="82">
        <v>0</v>
      </c>
      <c r="AT175" s="82">
        <v>7000000</v>
      </c>
      <c r="AU175" s="82">
        <v>0</v>
      </c>
      <c r="AV175" s="82">
        <v>7000000</v>
      </c>
      <c r="AW175" s="82">
        <v>0</v>
      </c>
      <c r="AX175" s="82">
        <v>7000000</v>
      </c>
      <c r="AY175" s="82">
        <v>0</v>
      </c>
      <c r="AZ175" s="82">
        <v>7000000</v>
      </c>
      <c r="BA175" s="82">
        <v>0</v>
      </c>
      <c r="BB175" s="82">
        <v>14000000</v>
      </c>
      <c r="BC175" s="82">
        <f t="shared" ref="BC175:BD175" si="338">AE175+AG175+AI175+AK175+AM175+AO175+AQ175+AS175+AU175+AW175+AY175+BA175</f>
        <v>77000000</v>
      </c>
      <c r="BD175" s="82">
        <f t="shared" si="338"/>
        <v>77000000</v>
      </c>
      <c r="BE175" s="83">
        <f t="shared" si="1"/>
        <v>0</v>
      </c>
      <c r="BF175" s="83">
        <f t="shared" si="2"/>
        <v>0</v>
      </c>
      <c r="BG175" s="14" t="str">
        <f ca="1">IFERROR(__xludf.DUMMYFUNCTION("REGEXEXTRACT(O169,""^\S+\s(.+)$"")"),"Prestar servicios profesionales de gestión y soporte especializado para el mantenimiento de los procesos automatizados en la plataforma de gestión de procesos de negocio (BPMS) de la UPME, asegurando la continuidad operativa y la correcta prestación de lo"&amp;"s servicios ciudadanos digitales, en estricto cumplimiento de los lineamientos de la política de gobierno digital y de acuerdo con el Plan Estratégico de Tecnologías de la Información.")</f>
        <v>Prestar servicios profesionales de gestión y soporte especializado para el mantenimiento de los procesos automatizados en la plataforma de gestión de procesos de negocio (BPMS) de la UPME, asegurando la continuidad operativa y la correcta prestación de los servicios ciudadanos digitales, en estricto cumplimiento de los lineamientos de la política de gobierno digital y de acuerdo con el Plan Estratégico de Tecnologías de la Información.</v>
      </c>
      <c r="BH175" s="23">
        <v>77000000</v>
      </c>
      <c r="BI175" s="23"/>
      <c r="BJ175" s="23"/>
      <c r="BK175" s="23"/>
      <c r="BL175" s="23"/>
      <c r="BM175" s="23">
        <v>7000000</v>
      </c>
      <c r="BN175" s="23"/>
      <c r="BO175" s="23">
        <v>7000000</v>
      </c>
      <c r="BP175" s="23"/>
      <c r="BQ175" s="23">
        <v>7000000</v>
      </c>
      <c r="BR175" s="23"/>
      <c r="BS175" s="23">
        <v>7000000</v>
      </c>
      <c r="BT175" s="23"/>
      <c r="BU175" s="23">
        <v>7000000</v>
      </c>
      <c r="BV175" s="23"/>
      <c r="BW175" s="23">
        <v>7000000</v>
      </c>
      <c r="BX175" s="23"/>
      <c r="BY175" s="23">
        <v>7000000</v>
      </c>
      <c r="BZ175" s="23"/>
      <c r="CA175" s="23">
        <v>7000000</v>
      </c>
      <c r="CB175" s="23"/>
      <c r="CC175" s="23">
        <v>7000000</v>
      </c>
      <c r="CD175" s="23"/>
      <c r="CE175" s="23">
        <v>14000000</v>
      </c>
      <c r="CF175" s="28"/>
      <c r="CG175" s="28"/>
      <c r="CH175" s="25">
        <f t="shared" ref="CH175:CI175" si="339">BH175+BJ175+BL175+BN175+BP175+BR175+BT175+BV175+BX175+BZ175+CB175+CD175+CF175</f>
        <v>77000000</v>
      </c>
      <c r="CI175" s="25">
        <f t="shared" si="339"/>
        <v>77000000</v>
      </c>
      <c r="CJ175" s="26">
        <f t="shared" si="4"/>
        <v>0</v>
      </c>
      <c r="CK175" s="26">
        <f t="shared" si="5"/>
        <v>0</v>
      </c>
    </row>
    <row r="176" spans="1:89" ht="90" customHeight="1" x14ac:dyDescent="0.3">
      <c r="A176" s="13" t="s">
        <v>248</v>
      </c>
      <c r="B176" s="14" t="s">
        <v>20</v>
      </c>
      <c r="C176" s="15" t="s">
        <v>651</v>
      </c>
      <c r="D176" s="14" t="s">
        <v>67</v>
      </c>
      <c r="E176" s="13" t="s">
        <v>250</v>
      </c>
      <c r="F176" s="13" t="s">
        <v>250</v>
      </c>
      <c r="G176" s="14">
        <v>20</v>
      </c>
      <c r="H176" s="13" t="s">
        <v>658</v>
      </c>
      <c r="I176" s="15" t="s">
        <v>659</v>
      </c>
      <c r="J176" s="14" t="s">
        <v>21</v>
      </c>
      <c r="K176" s="15" t="s">
        <v>97</v>
      </c>
      <c r="L176" s="14">
        <v>80111620</v>
      </c>
      <c r="M176" s="14" t="s">
        <v>22</v>
      </c>
      <c r="N176" s="14" t="s">
        <v>253</v>
      </c>
      <c r="O176" s="15" t="s">
        <v>660</v>
      </c>
      <c r="P176" s="14" t="s">
        <v>255</v>
      </c>
      <c r="Q176" s="14" t="s">
        <v>255</v>
      </c>
      <c r="R176" s="14" t="s">
        <v>255</v>
      </c>
      <c r="S176" s="17">
        <v>11</v>
      </c>
      <c r="T176" s="14" t="s">
        <v>256</v>
      </c>
      <c r="U176" s="14" t="s">
        <v>257</v>
      </c>
      <c r="V176" s="14" t="s">
        <v>112</v>
      </c>
      <c r="W176" s="18">
        <v>58680000</v>
      </c>
      <c r="X176" s="18">
        <v>58680000</v>
      </c>
      <c r="Y176" s="19" t="s">
        <v>339</v>
      </c>
      <c r="Z176" s="19" t="s">
        <v>258</v>
      </c>
      <c r="AA176" s="14" t="s">
        <v>655</v>
      </c>
      <c r="AB176" s="14" t="s">
        <v>656</v>
      </c>
      <c r="AC176" s="14">
        <v>6012220601</v>
      </c>
      <c r="AD176" s="14" t="s">
        <v>657</v>
      </c>
      <c r="AE176" s="82">
        <v>0</v>
      </c>
      <c r="AF176" s="82">
        <v>0</v>
      </c>
      <c r="AG176" s="82">
        <v>59400000</v>
      </c>
      <c r="AH176" s="82">
        <v>0</v>
      </c>
      <c r="AI176" s="82">
        <v>0</v>
      </c>
      <c r="AJ176" s="82">
        <v>5400000</v>
      </c>
      <c r="AK176" s="82">
        <v>0</v>
      </c>
      <c r="AL176" s="82">
        <v>5400000</v>
      </c>
      <c r="AM176" s="82">
        <v>0</v>
      </c>
      <c r="AN176" s="82">
        <v>5400000</v>
      </c>
      <c r="AO176" s="82">
        <v>0</v>
      </c>
      <c r="AP176" s="82">
        <v>5400000</v>
      </c>
      <c r="AQ176" s="82">
        <v>0</v>
      </c>
      <c r="AR176" s="82">
        <v>5400000</v>
      </c>
      <c r="AS176" s="82">
        <v>0</v>
      </c>
      <c r="AT176" s="82">
        <v>5400000</v>
      </c>
      <c r="AU176" s="82">
        <v>0</v>
      </c>
      <c r="AV176" s="82">
        <v>5400000</v>
      </c>
      <c r="AW176" s="82">
        <v>0</v>
      </c>
      <c r="AX176" s="82">
        <v>5400000</v>
      </c>
      <c r="AY176" s="82">
        <v>0</v>
      </c>
      <c r="AZ176" s="82">
        <v>5400000</v>
      </c>
      <c r="BA176" s="82">
        <v>0</v>
      </c>
      <c r="BB176" s="82">
        <v>10800000</v>
      </c>
      <c r="BC176" s="82">
        <f t="shared" ref="BC176:BD176" si="340">AE176+AG176+AI176+AK176+AM176+AO176+AQ176+AS176+AU176+AW176+AY176+BA176</f>
        <v>59400000</v>
      </c>
      <c r="BD176" s="82">
        <f t="shared" si="340"/>
        <v>59400000</v>
      </c>
      <c r="BE176" s="83">
        <f t="shared" si="1"/>
        <v>-720000</v>
      </c>
      <c r="BF176" s="83">
        <f t="shared" si="2"/>
        <v>-720000</v>
      </c>
      <c r="BG176" s="14" t="str">
        <f ca="1">IFERROR(__xludf.DUMMYFUNCTION("REGEXEXTRACT(O170,""^\S+\s(.+)$"")"),"Prestar servicios profesionales como analista y documentador para proyectos de sistemas de información en la Unidad de Planeación Minero Energética (UPME), documentando los requisitos funcionales y técnicos de las iniciativas de desarrollo de software, as"&amp;"egurando la trazabilidad y el correcto entendimiento en todas las fases del proyecto.")</f>
        <v>Prestar servicios profesionales como analista y documentador para proyectos de sistemas de información en la Unidad de Planeación Minero Energética (UPME), documentando los requisitos funcionales y técnicos de las iniciativas de desarrollo de software, asegurando la trazabilidad y el correcto entendimiento en todas las fases del proyecto.</v>
      </c>
      <c r="BH176" s="23">
        <v>0</v>
      </c>
      <c r="BI176" s="23">
        <v>0</v>
      </c>
      <c r="BJ176" s="23">
        <v>59400000</v>
      </c>
      <c r="BK176" s="23">
        <v>0</v>
      </c>
      <c r="BL176" s="23">
        <v>0</v>
      </c>
      <c r="BM176" s="23">
        <v>4680000</v>
      </c>
      <c r="BN176" s="23">
        <v>-720000</v>
      </c>
      <c r="BO176" s="23">
        <v>5400000</v>
      </c>
      <c r="BP176" s="23">
        <v>0</v>
      </c>
      <c r="BQ176" s="23">
        <v>5400000</v>
      </c>
      <c r="BR176" s="23">
        <v>0</v>
      </c>
      <c r="BS176" s="23">
        <v>5400000</v>
      </c>
      <c r="BT176" s="23">
        <v>0</v>
      </c>
      <c r="BU176" s="23">
        <v>5400000</v>
      </c>
      <c r="BV176" s="23">
        <v>0</v>
      </c>
      <c r="BW176" s="23">
        <v>5400000</v>
      </c>
      <c r="BX176" s="23">
        <v>0</v>
      </c>
      <c r="BY176" s="23">
        <v>5400000</v>
      </c>
      <c r="BZ176" s="23">
        <v>0</v>
      </c>
      <c r="CA176" s="23">
        <v>5400000</v>
      </c>
      <c r="CB176" s="23">
        <v>0</v>
      </c>
      <c r="CC176" s="23">
        <v>5400000</v>
      </c>
      <c r="CD176" s="23">
        <v>0</v>
      </c>
      <c r="CE176" s="23">
        <v>10800000</v>
      </c>
      <c r="CF176" s="28"/>
      <c r="CG176" s="28"/>
      <c r="CH176" s="25">
        <f t="shared" ref="CH176:CI176" si="341">BH176+BJ176+BL176+BN176+BP176+BR176+BT176+BV176+BX176+BZ176+CB176+CD176+CF176</f>
        <v>58680000</v>
      </c>
      <c r="CI176" s="25">
        <f t="shared" si="341"/>
        <v>58680000</v>
      </c>
      <c r="CJ176" s="26">
        <f t="shared" si="4"/>
        <v>0</v>
      </c>
      <c r="CK176" s="26">
        <f t="shared" si="5"/>
        <v>0</v>
      </c>
    </row>
    <row r="177" spans="1:89" ht="90" customHeight="1" x14ac:dyDescent="0.3">
      <c r="A177" s="13" t="s">
        <v>248</v>
      </c>
      <c r="B177" s="14" t="s">
        <v>20</v>
      </c>
      <c r="C177" s="15" t="s">
        <v>651</v>
      </c>
      <c r="D177" s="14" t="s">
        <v>67</v>
      </c>
      <c r="E177" s="13" t="s">
        <v>250</v>
      </c>
      <c r="F177" s="13" t="s">
        <v>250</v>
      </c>
      <c r="G177" s="14">
        <v>20</v>
      </c>
      <c r="H177" s="13" t="s">
        <v>661</v>
      </c>
      <c r="I177" s="15" t="s">
        <v>659</v>
      </c>
      <c r="J177" s="14" t="s">
        <v>21</v>
      </c>
      <c r="K177" s="15" t="s">
        <v>97</v>
      </c>
      <c r="L177" s="14">
        <v>80111620</v>
      </c>
      <c r="M177" s="14" t="s">
        <v>22</v>
      </c>
      <c r="N177" s="14" t="s">
        <v>253</v>
      </c>
      <c r="O177" s="15" t="s">
        <v>662</v>
      </c>
      <c r="P177" s="14" t="s">
        <v>255</v>
      </c>
      <c r="Q177" s="14" t="s">
        <v>255</v>
      </c>
      <c r="R177" s="14" t="s">
        <v>255</v>
      </c>
      <c r="S177" s="17">
        <v>11</v>
      </c>
      <c r="T177" s="14" t="s">
        <v>256</v>
      </c>
      <c r="U177" s="14" t="s">
        <v>257</v>
      </c>
      <c r="V177" s="14" t="s">
        <v>112</v>
      </c>
      <c r="W177" s="18">
        <v>54570000</v>
      </c>
      <c r="X177" s="18">
        <v>54570000</v>
      </c>
      <c r="Y177" s="19" t="s">
        <v>339</v>
      </c>
      <c r="Z177" s="19" t="s">
        <v>258</v>
      </c>
      <c r="AA177" s="14" t="s">
        <v>655</v>
      </c>
      <c r="AB177" s="14" t="s">
        <v>656</v>
      </c>
      <c r="AC177" s="14">
        <v>6012220601</v>
      </c>
      <c r="AD177" s="14" t="s">
        <v>657</v>
      </c>
      <c r="AE177" s="82">
        <v>0</v>
      </c>
      <c r="AF177" s="82">
        <v>0</v>
      </c>
      <c r="AG177" s="82">
        <v>56100000</v>
      </c>
      <c r="AH177" s="82">
        <v>0</v>
      </c>
      <c r="AI177" s="82">
        <v>0</v>
      </c>
      <c r="AJ177" s="82">
        <v>5100000</v>
      </c>
      <c r="AK177" s="82">
        <v>0</v>
      </c>
      <c r="AL177" s="82">
        <v>5100000</v>
      </c>
      <c r="AM177" s="82">
        <v>0</v>
      </c>
      <c r="AN177" s="82">
        <v>5100000</v>
      </c>
      <c r="AO177" s="82">
        <v>0</v>
      </c>
      <c r="AP177" s="82">
        <v>5100000</v>
      </c>
      <c r="AQ177" s="82">
        <v>0</v>
      </c>
      <c r="AR177" s="82">
        <v>5100000</v>
      </c>
      <c r="AS177" s="82">
        <v>0</v>
      </c>
      <c r="AT177" s="82">
        <v>5100000</v>
      </c>
      <c r="AU177" s="82">
        <v>0</v>
      </c>
      <c r="AV177" s="82">
        <v>5100000</v>
      </c>
      <c r="AW177" s="82">
        <v>0</v>
      </c>
      <c r="AX177" s="82">
        <v>5100000</v>
      </c>
      <c r="AY177" s="82">
        <v>0</v>
      </c>
      <c r="AZ177" s="82">
        <v>5100000</v>
      </c>
      <c r="BA177" s="82">
        <v>0</v>
      </c>
      <c r="BB177" s="82">
        <v>10200000</v>
      </c>
      <c r="BC177" s="82">
        <f t="shared" ref="BC177:BD177" si="342">AE177+AG177+AI177+AK177+AM177+AO177+AQ177+AS177+AU177+AW177+AY177+BA177</f>
        <v>56100000</v>
      </c>
      <c r="BD177" s="82">
        <f t="shared" si="342"/>
        <v>56100000</v>
      </c>
      <c r="BE177" s="83">
        <f t="shared" si="1"/>
        <v>-1530000</v>
      </c>
      <c r="BF177" s="83">
        <f t="shared" si="2"/>
        <v>-1530000</v>
      </c>
      <c r="BG177" s="14" t="str">
        <f ca="1">IFERROR(__xludf.DUMMYFUNCTION("REGEXEXTRACT(O171,""^\S+\s(.+)$"")"),"Prestar servicios profesionales de diseño y diagramación de planes, productos, piezas de diseño y diversos formatos para su publicación los distintos canales de la UPME y necesidades del plan de comunicaciones.")</f>
        <v>Prestar servicios profesionales de diseño y diagramación de planes, productos, piezas de diseño y diversos formatos para su publicación los distintos canales de la UPME y necesidades del plan de comunicaciones.</v>
      </c>
      <c r="BH177" s="23">
        <v>0</v>
      </c>
      <c r="BI177" s="23">
        <v>0</v>
      </c>
      <c r="BJ177" s="23">
        <v>56100000</v>
      </c>
      <c r="BK177" s="23">
        <v>0</v>
      </c>
      <c r="BL177" s="23">
        <v>0</v>
      </c>
      <c r="BM177" s="23">
        <v>3570000</v>
      </c>
      <c r="BN177" s="23">
        <v>-1530000</v>
      </c>
      <c r="BO177" s="23">
        <v>5100000</v>
      </c>
      <c r="BP177" s="23">
        <v>0</v>
      </c>
      <c r="BQ177" s="23">
        <v>5100000</v>
      </c>
      <c r="BR177" s="23">
        <v>0</v>
      </c>
      <c r="BS177" s="23">
        <v>5100000</v>
      </c>
      <c r="BT177" s="23">
        <v>0</v>
      </c>
      <c r="BU177" s="23">
        <v>5100000</v>
      </c>
      <c r="BV177" s="23">
        <v>0</v>
      </c>
      <c r="BW177" s="23">
        <v>5100000</v>
      </c>
      <c r="BX177" s="23">
        <v>0</v>
      </c>
      <c r="BY177" s="23">
        <v>5100000</v>
      </c>
      <c r="BZ177" s="23">
        <v>0</v>
      </c>
      <c r="CA177" s="23">
        <v>5100000</v>
      </c>
      <c r="CB177" s="23">
        <v>0</v>
      </c>
      <c r="CC177" s="23">
        <v>5100000</v>
      </c>
      <c r="CD177" s="23">
        <v>0</v>
      </c>
      <c r="CE177" s="23">
        <v>10200000</v>
      </c>
      <c r="CF177" s="28"/>
      <c r="CG177" s="28"/>
      <c r="CH177" s="25">
        <f t="shared" ref="CH177:CI177" si="343">BH177+BJ177+BL177+BN177+BP177+BR177+BT177+BV177+BX177+BZ177+CB177+CD177+CF177</f>
        <v>54570000</v>
      </c>
      <c r="CI177" s="25">
        <f t="shared" si="343"/>
        <v>54570000</v>
      </c>
      <c r="CJ177" s="26">
        <f t="shared" si="4"/>
        <v>0</v>
      </c>
      <c r="CK177" s="26">
        <f t="shared" si="5"/>
        <v>0</v>
      </c>
    </row>
    <row r="178" spans="1:89" ht="90" customHeight="1" x14ac:dyDescent="0.3">
      <c r="A178" s="13" t="s">
        <v>248</v>
      </c>
      <c r="B178" s="14" t="s">
        <v>20</v>
      </c>
      <c r="C178" s="15" t="s">
        <v>651</v>
      </c>
      <c r="D178" s="14" t="s">
        <v>67</v>
      </c>
      <c r="E178" s="13" t="s">
        <v>250</v>
      </c>
      <c r="F178" s="13" t="s">
        <v>250</v>
      </c>
      <c r="G178" s="14">
        <v>20</v>
      </c>
      <c r="H178" s="13" t="s">
        <v>663</v>
      </c>
      <c r="I178" s="15" t="s">
        <v>659</v>
      </c>
      <c r="J178" s="14" t="s">
        <v>21</v>
      </c>
      <c r="K178" s="15" t="s">
        <v>98</v>
      </c>
      <c r="L178" s="14">
        <v>80111620</v>
      </c>
      <c r="M178" s="14" t="s">
        <v>22</v>
      </c>
      <c r="N178" s="14" t="s">
        <v>253</v>
      </c>
      <c r="O178" s="15" t="s">
        <v>664</v>
      </c>
      <c r="P178" s="14" t="s">
        <v>255</v>
      </c>
      <c r="Q178" s="14" t="s">
        <v>255</v>
      </c>
      <c r="R178" s="14" t="s">
        <v>255</v>
      </c>
      <c r="S178" s="17">
        <v>11</v>
      </c>
      <c r="T178" s="14" t="s">
        <v>256</v>
      </c>
      <c r="U178" s="14" t="s">
        <v>257</v>
      </c>
      <c r="V178" s="14" t="s">
        <v>112</v>
      </c>
      <c r="W178" s="18">
        <v>99542000</v>
      </c>
      <c r="X178" s="18">
        <v>99542000</v>
      </c>
      <c r="Y178" s="19" t="s">
        <v>339</v>
      </c>
      <c r="Z178" s="19" t="s">
        <v>258</v>
      </c>
      <c r="AA178" s="14" t="s">
        <v>655</v>
      </c>
      <c r="AB178" s="14" t="s">
        <v>656</v>
      </c>
      <c r="AC178" s="14">
        <v>6012220601</v>
      </c>
      <c r="AD178" s="14" t="s">
        <v>657</v>
      </c>
      <c r="AE178" s="82">
        <v>99000000</v>
      </c>
      <c r="AF178" s="82">
        <v>0</v>
      </c>
      <c r="AG178" s="82">
        <v>0</v>
      </c>
      <c r="AH178" s="82">
        <v>3000000</v>
      </c>
      <c r="AI178" s="82">
        <v>0</v>
      </c>
      <c r="AJ178" s="82">
        <v>9000000</v>
      </c>
      <c r="AK178" s="82">
        <v>0</v>
      </c>
      <c r="AL178" s="82">
        <v>9000000</v>
      </c>
      <c r="AM178" s="82">
        <v>0</v>
      </c>
      <c r="AN178" s="82">
        <v>9000000</v>
      </c>
      <c r="AO178" s="82">
        <v>0</v>
      </c>
      <c r="AP178" s="82">
        <v>9000000</v>
      </c>
      <c r="AQ178" s="82">
        <v>0</v>
      </c>
      <c r="AR178" s="82">
        <v>9000000</v>
      </c>
      <c r="AS178" s="82">
        <v>0</v>
      </c>
      <c r="AT178" s="82">
        <v>9000000</v>
      </c>
      <c r="AU178" s="82">
        <v>0</v>
      </c>
      <c r="AV178" s="82">
        <v>9000000</v>
      </c>
      <c r="AW178" s="82">
        <v>0</v>
      </c>
      <c r="AX178" s="82">
        <v>9000000</v>
      </c>
      <c r="AY178" s="82">
        <v>0</v>
      </c>
      <c r="AZ178" s="82">
        <v>9000000</v>
      </c>
      <c r="BA178" s="82">
        <v>0</v>
      </c>
      <c r="BB178" s="82">
        <v>15000000</v>
      </c>
      <c r="BC178" s="82">
        <f t="shared" ref="BC178:BD178" si="344">AE178+AG178+AI178+AK178+AM178+AO178+AQ178+AS178+AU178+AW178+AY178+BA178</f>
        <v>99000000</v>
      </c>
      <c r="BD178" s="82">
        <f t="shared" si="344"/>
        <v>99000000</v>
      </c>
      <c r="BE178" s="83">
        <f t="shared" si="1"/>
        <v>542000</v>
      </c>
      <c r="BF178" s="83">
        <f t="shared" si="2"/>
        <v>542000</v>
      </c>
      <c r="BG178" s="14" t="str">
        <f ca="1">IFERROR(__xludf.DUMMYFUNCTION("REGEXEXTRACT(O172,""^\S+\s(.+)$"")"),"Prestar servicios profesionales especializados para el fortalecimiento de la gestión de la seguridad perimetral de la Unidad de Planeación Minero Energética (UPME), blindando la infraestructura tecnológica a través de procesos óptimos sobre las herramient"&amp;"as de seguridad, de acuerdo a una arquitectura de seguridad digital en constante evolución con su respectiva base documental.")</f>
        <v>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v>
      </c>
      <c r="BH178" s="23">
        <v>99000000</v>
      </c>
      <c r="BI178" s="23">
        <v>0</v>
      </c>
      <c r="BJ178" s="23">
        <v>0</v>
      </c>
      <c r="BK178" s="23">
        <v>3000000</v>
      </c>
      <c r="BL178" s="23">
        <v>0</v>
      </c>
      <c r="BM178" s="23">
        <v>9000000</v>
      </c>
      <c r="BN178" s="23">
        <v>0</v>
      </c>
      <c r="BO178" s="23">
        <v>9000000</v>
      </c>
      <c r="BP178" s="23">
        <v>542000</v>
      </c>
      <c r="BQ178" s="23">
        <v>9000000</v>
      </c>
      <c r="BR178" s="23">
        <v>0</v>
      </c>
      <c r="BS178" s="23">
        <v>9000000</v>
      </c>
      <c r="BT178" s="23">
        <v>0</v>
      </c>
      <c r="BU178" s="23">
        <v>9000000</v>
      </c>
      <c r="BV178" s="23">
        <v>0</v>
      </c>
      <c r="BW178" s="23">
        <v>9000000</v>
      </c>
      <c r="BX178" s="23">
        <v>0</v>
      </c>
      <c r="BY178" s="23">
        <v>9000000</v>
      </c>
      <c r="BZ178" s="23">
        <v>0</v>
      </c>
      <c r="CA178" s="23">
        <v>9000000</v>
      </c>
      <c r="CB178" s="23">
        <v>0</v>
      </c>
      <c r="CC178" s="23">
        <v>9000000</v>
      </c>
      <c r="CD178" s="23">
        <v>0</v>
      </c>
      <c r="CE178" s="23">
        <v>15542000</v>
      </c>
      <c r="CF178" s="28"/>
      <c r="CG178" s="28"/>
      <c r="CH178" s="25">
        <f t="shared" ref="CH178:CI178" si="345">BH178+BJ178+BL178+BN178+BP178+BR178+BT178+BV178+BX178+BZ178+CB178+CD178+CF178</f>
        <v>99542000</v>
      </c>
      <c r="CI178" s="25">
        <f t="shared" si="345"/>
        <v>99542000</v>
      </c>
      <c r="CJ178" s="26">
        <f t="shared" si="4"/>
        <v>0</v>
      </c>
      <c r="CK178" s="26">
        <f t="shared" si="5"/>
        <v>0</v>
      </c>
    </row>
    <row r="179" spans="1:89" ht="90" customHeight="1" x14ac:dyDescent="0.3">
      <c r="A179" s="13" t="s">
        <v>248</v>
      </c>
      <c r="B179" s="14" t="s">
        <v>20</v>
      </c>
      <c r="C179" s="15" t="s">
        <v>651</v>
      </c>
      <c r="D179" s="14" t="s">
        <v>67</v>
      </c>
      <c r="E179" s="13" t="s">
        <v>250</v>
      </c>
      <c r="F179" s="13" t="s">
        <v>250</v>
      </c>
      <c r="G179" s="14">
        <v>20</v>
      </c>
      <c r="H179" s="13" t="s">
        <v>665</v>
      </c>
      <c r="I179" s="15" t="s">
        <v>659</v>
      </c>
      <c r="J179" s="14" t="s">
        <v>21</v>
      </c>
      <c r="K179" s="15" t="s">
        <v>98</v>
      </c>
      <c r="L179" s="14">
        <v>80111620</v>
      </c>
      <c r="M179" s="14" t="s">
        <v>22</v>
      </c>
      <c r="N179" s="14" t="s">
        <v>253</v>
      </c>
      <c r="O179" s="15" t="s">
        <v>666</v>
      </c>
      <c r="P179" s="14" t="s">
        <v>255</v>
      </c>
      <c r="Q179" s="14" t="s">
        <v>255</v>
      </c>
      <c r="R179" s="14" t="s">
        <v>255</v>
      </c>
      <c r="S179" s="17">
        <v>11</v>
      </c>
      <c r="T179" s="14" t="s">
        <v>256</v>
      </c>
      <c r="U179" s="14" t="s">
        <v>257</v>
      </c>
      <c r="V179" s="14" t="s">
        <v>112</v>
      </c>
      <c r="W179" s="18">
        <v>35811405</v>
      </c>
      <c r="X179" s="18">
        <v>35811405</v>
      </c>
      <c r="Y179" s="19" t="s">
        <v>339</v>
      </c>
      <c r="Z179" s="19" t="s">
        <v>258</v>
      </c>
      <c r="AA179" s="14" t="s">
        <v>655</v>
      </c>
      <c r="AB179" s="14" t="s">
        <v>656</v>
      </c>
      <c r="AC179" s="14">
        <v>6012220601</v>
      </c>
      <c r="AD179" s="14" t="s">
        <v>657</v>
      </c>
      <c r="AE179" s="82">
        <v>0</v>
      </c>
      <c r="AF179" s="82">
        <v>0</v>
      </c>
      <c r="AG179" s="82">
        <v>36139950</v>
      </c>
      <c r="AH179" s="82">
        <v>0</v>
      </c>
      <c r="AI179" s="82">
        <v>0</v>
      </c>
      <c r="AJ179" s="82">
        <v>3285450</v>
      </c>
      <c r="AK179" s="82">
        <v>0</v>
      </c>
      <c r="AL179" s="82">
        <v>3285450</v>
      </c>
      <c r="AM179" s="82">
        <v>0</v>
      </c>
      <c r="AN179" s="82">
        <v>3285450</v>
      </c>
      <c r="AO179" s="82">
        <v>0</v>
      </c>
      <c r="AP179" s="82">
        <v>3285450</v>
      </c>
      <c r="AQ179" s="82">
        <v>0</v>
      </c>
      <c r="AR179" s="82">
        <v>3285450</v>
      </c>
      <c r="AS179" s="82">
        <v>0</v>
      </c>
      <c r="AT179" s="82">
        <v>3285450</v>
      </c>
      <c r="AU179" s="82">
        <v>0</v>
      </c>
      <c r="AV179" s="82">
        <v>3285450</v>
      </c>
      <c r="AW179" s="82">
        <v>0</v>
      </c>
      <c r="AX179" s="82">
        <v>3285450</v>
      </c>
      <c r="AY179" s="82">
        <v>0</v>
      </c>
      <c r="AZ179" s="82">
        <v>3285450</v>
      </c>
      <c r="BA179" s="82">
        <v>0</v>
      </c>
      <c r="BB179" s="82">
        <v>6570900</v>
      </c>
      <c r="BC179" s="82">
        <f t="shared" ref="BC179:BD179" si="346">AE179+AG179+AI179+AK179+AM179+AO179+AQ179+AS179+AU179+AW179+AY179+BA179</f>
        <v>36139950</v>
      </c>
      <c r="BD179" s="82">
        <f t="shared" si="346"/>
        <v>36139950</v>
      </c>
      <c r="BE179" s="83">
        <f t="shared" si="1"/>
        <v>-328545</v>
      </c>
      <c r="BF179" s="83">
        <f t="shared" si="2"/>
        <v>-328545</v>
      </c>
      <c r="BG179" s="14" t="str">
        <f ca="1">IFERROR(__xludf.DUMMYFUNCTION("REGEXEXTRACT(O173,""^\S+\s(.+)$"")"),"Prestar servicios profesionales para apoyar las diferentes labores que se desprendan de la administración de las herramientas de seguridad perimetral de la UPME y en la elaboración de documentación, relacionada con el Dominio de Seguridad Digital para la "&amp;"Unidad.")</f>
        <v>Prestar servicios profesionales para apoyar las diferentes labores que se desprendan de la administración de las herramientas de seguridad perimetral de la UPME y en la elaboración de documentación, relacionada con el Dominio de Seguridad Digital para la Unidad.</v>
      </c>
      <c r="BH179" s="23">
        <v>0</v>
      </c>
      <c r="BI179" s="23">
        <v>0</v>
      </c>
      <c r="BJ179" s="23">
        <v>36139950</v>
      </c>
      <c r="BK179" s="23">
        <v>0</v>
      </c>
      <c r="BL179" s="23">
        <v>0</v>
      </c>
      <c r="BM179" s="23">
        <v>2956905</v>
      </c>
      <c r="BN179" s="23">
        <v>-328545</v>
      </c>
      <c r="BO179" s="23">
        <v>3285450</v>
      </c>
      <c r="BP179" s="23">
        <v>0</v>
      </c>
      <c r="BQ179" s="23">
        <v>3285450</v>
      </c>
      <c r="BR179" s="23">
        <v>0</v>
      </c>
      <c r="BS179" s="23">
        <v>3285450</v>
      </c>
      <c r="BT179" s="23">
        <v>0</v>
      </c>
      <c r="BU179" s="23">
        <v>3285450</v>
      </c>
      <c r="BV179" s="23">
        <v>0</v>
      </c>
      <c r="BW179" s="23">
        <v>3285450</v>
      </c>
      <c r="BX179" s="23">
        <v>0</v>
      </c>
      <c r="BY179" s="23">
        <v>3285450</v>
      </c>
      <c r="BZ179" s="23">
        <v>0</v>
      </c>
      <c r="CA179" s="23">
        <v>3285450</v>
      </c>
      <c r="CB179" s="23">
        <v>0</v>
      </c>
      <c r="CC179" s="23">
        <v>3285450</v>
      </c>
      <c r="CD179" s="23">
        <v>0</v>
      </c>
      <c r="CE179" s="23">
        <v>6570900</v>
      </c>
      <c r="CF179" s="28"/>
      <c r="CG179" s="28"/>
      <c r="CH179" s="25">
        <f t="shared" ref="CH179:CI179" si="347">BH179+BJ179+BL179+BN179+BP179+BR179+BT179+BV179+BX179+BZ179+CB179+CD179+CF179</f>
        <v>35811405</v>
      </c>
      <c r="CI179" s="25">
        <f t="shared" si="347"/>
        <v>35811405</v>
      </c>
      <c r="CJ179" s="26">
        <f t="shared" si="4"/>
        <v>0</v>
      </c>
      <c r="CK179" s="26">
        <f t="shared" si="5"/>
        <v>0</v>
      </c>
    </row>
    <row r="180" spans="1:89" ht="90" customHeight="1" x14ac:dyDescent="0.3">
      <c r="A180" s="13" t="s">
        <v>248</v>
      </c>
      <c r="B180" s="14" t="s">
        <v>20</v>
      </c>
      <c r="C180" s="15" t="s">
        <v>651</v>
      </c>
      <c r="D180" s="14" t="s">
        <v>67</v>
      </c>
      <c r="E180" s="13" t="s">
        <v>250</v>
      </c>
      <c r="F180" s="13" t="s">
        <v>250</v>
      </c>
      <c r="G180" s="14">
        <v>68</v>
      </c>
      <c r="H180" s="13" t="s">
        <v>667</v>
      </c>
      <c r="I180" s="15" t="s">
        <v>653</v>
      </c>
      <c r="J180" s="14" t="s">
        <v>23</v>
      </c>
      <c r="K180" s="15" t="s">
        <v>99</v>
      </c>
      <c r="L180" s="14">
        <v>80111620</v>
      </c>
      <c r="M180" s="14" t="s">
        <v>24</v>
      </c>
      <c r="N180" s="14" t="s">
        <v>253</v>
      </c>
      <c r="O180" s="15" t="s">
        <v>668</v>
      </c>
      <c r="P180" s="14" t="s">
        <v>255</v>
      </c>
      <c r="Q180" s="14" t="s">
        <v>255</v>
      </c>
      <c r="R180" s="14" t="s">
        <v>255</v>
      </c>
      <c r="S180" s="17">
        <v>11</v>
      </c>
      <c r="T180" s="14" t="s">
        <v>256</v>
      </c>
      <c r="U180" s="14" t="s">
        <v>257</v>
      </c>
      <c r="V180" s="14" t="s">
        <v>112</v>
      </c>
      <c r="W180" s="18">
        <v>66000000</v>
      </c>
      <c r="X180" s="18">
        <v>66000000</v>
      </c>
      <c r="Y180" s="19" t="s">
        <v>339</v>
      </c>
      <c r="Z180" s="19" t="s">
        <v>258</v>
      </c>
      <c r="AA180" s="14" t="s">
        <v>655</v>
      </c>
      <c r="AB180" s="14" t="s">
        <v>656</v>
      </c>
      <c r="AC180" s="14">
        <v>6012220601</v>
      </c>
      <c r="AD180" s="14" t="s">
        <v>657</v>
      </c>
      <c r="AE180" s="82">
        <v>66000000</v>
      </c>
      <c r="AF180" s="82">
        <v>0</v>
      </c>
      <c r="AG180" s="82">
        <v>0</v>
      </c>
      <c r="AH180" s="82">
        <v>0</v>
      </c>
      <c r="AI180" s="82">
        <v>0</v>
      </c>
      <c r="AJ180" s="82">
        <v>6000000</v>
      </c>
      <c r="AK180" s="82">
        <v>0</v>
      </c>
      <c r="AL180" s="82">
        <v>6000000</v>
      </c>
      <c r="AM180" s="82">
        <v>0</v>
      </c>
      <c r="AN180" s="82">
        <v>6000000</v>
      </c>
      <c r="AO180" s="82">
        <v>0</v>
      </c>
      <c r="AP180" s="82">
        <v>6000000</v>
      </c>
      <c r="AQ180" s="82">
        <v>0</v>
      </c>
      <c r="AR180" s="82">
        <v>6000000</v>
      </c>
      <c r="AS180" s="82">
        <v>0</v>
      </c>
      <c r="AT180" s="82">
        <v>6000000</v>
      </c>
      <c r="AU180" s="82">
        <v>0</v>
      </c>
      <c r="AV180" s="82">
        <v>6000000</v>
      </c>
      <c r="AW180" s="82">
        <v>0</v>
      </c>
      <c r="AX180" s="82">
        <v>6000000</v>
      </c>
      <c r="AY180" s="82">
        <v>0</v>
      </c>
      <c r="AZ180" s="82">
        <v>6000000</v>
      </c>
      <c r="BA180" s="82">
        <v>0</v>
      </c>
      <c r="BB180" s="82">
        <v>12000000</v>
      </c>
      <c r="BC180" s="82">
        <f t="shared" ref="BC180:BD180" si="348">AE180+AG180+AI180+AK180+AM180+AO180+AQ180+AS180+AU180+AW180+AY180+BA180</f>
        <v>66000000</v>
      </c>
      <c r="BD180" s="82">
        <f t="shared" si="348"/>
        <v>66000000</v>
      </c>
      <c r="BE180" s="83">
        <f t="shared" si="1"/>
        <v>0</v>
      </c>
      <c r="BF180" s="83">
        <f t="shared" si="2"/>
        <v>0</v>
      </c>
      <c r="BG180" s="14" t="str">
        <f ca="1">IFERROR(__xludf.DUMMYFUNCTION("REGEXEXTRACT(O174,""^\S+\s(.+)$"")"),"Prestar servicios profesionales de desarrollo y ajuste de software para fortalecer la interoperabilidad y sincronización de los sistemas de información de la entidad incluyendo la creación y modificación de aplicaciones web, servicios web y/o Apis mejoran"&amp;"do la conectividad y el intercambio de datos entre los diferentes sistemas de la entidad.")</f>
        <v>Prestar servicios profesionales de desarrollo y ajuste de software para fortalecer la interoperabilidad y sincronización de los sistemas de información de la entidad incluyendo la creación y modificación de aplicaciones web, servicios web y/o Apis mejorando la conectividad y el intercambio de datos entre los diferentes sistemas de la entidad.</v>
      </c>
      <c r="BH180" s="23">
        <v>66000000</v>
      </c>
      <c r="BI180" s="23"/>
      <c r="BJ180" s="23"/>
      <c r="BK180" s="23"/>
      <c r="BL180" s="23"/>
      <c r="BM180" s="23">
        <v>6000000</v>
      </c>
      <c r="BN180" s="23"/>
      <c r="BO180" s="23">
        <v>6000000</v>
      </c>
      <c r="BP180" s="23"/>
      <c r="BQ180" s="23">
        <v>6000000</v>
      </c>
      <c r="BR180" s="23"/>
      <c r="BS180" s="23">
        <v>6000000</v>
      </c>
      <c r="BT180" s="23"/>
      <c r="BU180" s="23">
        <v>6000000</v>
      </c>
      <c r="BV180" s="23"/>
      <c r="BW180" s="23">
        <v>6000000</v>
      </c>
      <c r="BX180" s="23"/>
      <c r="BY180" s="23">
        <v>6000000</v>
      </c>
      <c r="BZ180" s="23"/>
      <c r="CA180" s="23">
        <v>6000000</v>
      </c>
      <c r="CB180" s="23"/>
      <c r="CC180" s="23">
        <v>6000000</v>
      </c>
      <c r="CD180" s="23"/>
      <c r="CE180" s="23">
        <v>12000000</v>
      </c>
      <c r="CF180" s="28"/>
      <c r="CG180" s="28"/>
      <c r="CH180" s="25">
        <f t="shared" ref="CH180:CI180" si="349">BH180+BJ180+BL180+BN180+BP180+BR180+BT180+BV180+BX180+BZ180+CB180+CD180+CF180</f>
        <v>66000000</v>
      </c>
      <c r="CI180" s="25">
        <f t="shared" si="349"/>
        <v>66000000</v>
      </c>
      <c r="CJ180" s="26">
        <f t="shared" si="4"/>
        <v>0</v>
      </c>
      <c r="CK180" s="26">
        <f t="shared" si="5"/>
        <v>0</v>
      </c>
    </row>
    <row r="181" spans="1:89" ht="90" customHeight="1" x14ac:dyDescent="0.3">
      <c r="A181" s="13" t="s">
        <v>248</v>
      </c>
      <c r="B181" s="14" t="s">
        <v>20</v>
      </c>
      <c r="C181" s="15" t="s">
        <v>651</v>
      </c>
      <c r="D181" s="14" t="s">
        <v>67</v>
      </c>
      <c r="E181" s="13" t="s">
        <v>250</v>
      </c>
      <c r="F181" s="13" t="s">
        <v>250</v>
      </c>
      <c r="G181" s="14">
        <v>68</v>
      </c>
      <c r="H181" s="13" t="s">
        <v>669</v>
      </c>
      <c r="I181" s="15" t="s">
        <v>659</v>
      </c>
      <c r="J181" s="14" t="s">
        <v>21</v>
      </c>
      <c r="K181" s="15" t="s">
        <v>97</v>
      </c>
      <c r="L181" s="14">
        <v>80111620</v>
      </c>
      <c r="M181" s="14" t="s">
        <v>22</v>
      </c>
      <c r="N181" s="14" t="s">
        <v>253</v>
      </c>
      <c r="O181" s="15" t="s">
        <v>670</v>
      </c>
      <c r="P181" s="14" t="s">
        <v>255</v>
      </c>
      <c r="Q181" s="14" t="s">
        <v>255</v>
      </c>
      <c r="R181" s="14" t="s">
        <v>255</v>
      </c>
      <c r="S181" s="17">
        <v>11</v>
      </c>
      <c r="T181" s="14" t="s">
        <v>256</v>
      </c>
      <c r="U181" s="14" t="s">
        <v>257</v>
      </c>
      <c r="V181" s="14" t="s">
        <v>112</v>
      </c>
      <c r="W181" s="18">
        <v>99000000</v>
      </c>
      <c r="X181" s="18">
        <v>99000000</v>
      </c>
      <c r="Y181" s="19" t="s">
        <v>339</v>
      </c>
      <c r="Z181" s="19" t="s">
        <v>258</v>
      </c>
      <c r="AA181" s="14" t="s">
        <v>655</v>
      </c>
      <c r="AB181" s="14" t="s">
        <v>656</v>
      </c>
      <c r="AC181" s="14">
        <v>6012220601</v>
      </c>
      <c r="AD181" s="14" t="s">
        <v>657</v>
      </c>
      <c r="AE181" s="82">
        <v>99000000</v>
      </c>
      <c r="AF181" s="82">
        <v>0</v>
      </c>
      <c r="AG181" s="82">
        <v>0</v>
      </c>
      <c r="AH181" s="82">
        <v>0</v>
      </c>
      <c r="AI181" s="82">
        <v>0</v>
      </c>
      <c r="AJ181" s="82">
        <v>9000000</v>
      </c>
      <c r="AK181" s="82">
        <v>0</v>
      </c>
      <c r="AL181" s="82">
        <v>9000000</v>
      </c>
      <c r="AM181" s="82">
        <v>0</v>
      </c>
      <c r="AN181" s="82">
        <v>9000000</v>
      </c>
      <c r="AO181" s="82">
        <v>0</v>
      </c>
      <c r="AP181" s="82">
        <v>9000000</v>
      </c>
      <c r="AQ181" s="82">
        <v>0</v>
      </c>
      <c r="AR181" s="82">
        <v>9000000</v>
      </c>
      <c r="AS181" s="82">
        <v>0</v>
      </c>
      <c r="AT181" s="82">
        <v>9000000</v>
      </c>
      <c r="AU181" s="82">
        <v>0</v>
      </c>
      <c r="AV181" s="82">
        <v>9000000</v>
      </c>
      <c r="AW181" s="82">
        <v>0</v>
      </c>
      <c r="AX181" s="82">
        <v>9000000</v>
      </c>
      <c r="AY181" s="82">
        <v>0</v>
      </c>
      <c r="AZ181" s="82">
        <v>9000000</v>
      </c>
      <c r="BA181" s="82">
        <v>0</v>
      </c>
      <c r="BB181" s="82">
        <v>18000000</v>
      </c>
      <c r="BC181" s="82">
        <f t="shared" ref="BC181:BD181" si="350">AE181+AG181+AI181+AK181+AM181+AO181+AQ181+AS181+AU181+AW181+AY181+BA181</f>
        <v>99000000</v>
      </c>
      <c r="BD181" s="82">
        <f t="shared" si="350"/>
        <v>99000000</v>
      </c>
      <c r="BE181" s="83">
        <f t="shared" si="1"/>
        <v>0</v>
      </c>
      <c r="BF181" s="83">
        <f t="shared" si="2"/>
        <v>0</v>
      </c>
      <c r="BG181" s="14" t="str">
        <f ca="1">IFERROR(__xludf.DUMMYFUNCTION("REGEXEXTRACT(O175,""^\S+\s(.+)$"")"),"Prestación de servicios profesionales en la Oficina de Tecnologías de la Información para la aplicación de gestión de proyectos de TI, que contribuyan a la implementación de la política de gobierno digital en la Entidad, de conformidad con la Metodología "&amp;"para la Gestión de Proyectos de Tecnologías de la Información – MGPTI del Min TIC.")</f>
        <v>Prestación de servicios profesionales en la Oficina de Tecnologías de la Información para la aplicación de gestión de proyectos de TI, que contribuyan a la implementación de la política de gobierno digital en la Entidad, de conformidad con la Metodología para la Gestión de Proyectos de Tecnologías de la Información – MGPTI del Min TIC.</v>
      </c>
      <c r="BH181" s="23">
        <v>99000000</v>
      </c>
      <c r="BI181" s="23"/>
      <c r="BJ181" s="23"/>
      <c r="BK181" s="23"/>
      <c r="BL181" s="23"/>
      <c r="BM181" s="23">
        <v>9000000</v>
      </c>
      <c r="BN181" s="23"/>
      <c r="BO181" s="23">
        <v>9000000</v>
      </c>
      <c r="BP181" s="23"/>
      <c r="BQ181" s="23">
        <v>9000000</v>
      </c>
      <c r="BR181" s="23"/>
      <c r="BS181" s="23">
        <v>9000000</v>
      </c>
      <c r="BT181" s="23"/>
      <c r="BU181" s="23">
        <v>9000000</v>
      </c>
      <c r="BV181" s="23"/>
      <c r="BW181" s="23">
        <v>9000000</v>
      </c>
      <c r="BX181" s="23"/>
      <c r="BY181" s="23">
        <v>9000000</v>
      </c>
      <c r="BZ181" s="23"/>
      <c r="CA181" s="23">
        <v>9000000</v>
      </c>
      <c r="CB181" s="23"/>
      <c r="CC181" s="23">
        <v>9000000</v>
      </c>
      <c r="CD181" s="23"/>
      <c r="CE181" s="23">
        <v>18000000</v>
      </c>
      <c r="CF181" s="28"/>
      <c r="CG181" s="28"/>
      <c r="CH181" s="25">
        <f t="shared" ref="CH181:CI181" si="351">BH181+BJ181+BL181+BN181+BP181+BR181+BT181+BV181+BX181+BZ181+CB181+CD181+CF181</f>
        <v>99000000</v>
      </c>
      <c r="CI181" s="25">
        <f t="shared" si="351"/>
        <v>99000000</v>
      </c>
      <c r="CJ181" s="26">
        <f t="shared" si="4"/>
        <v>0</v>
      </c>
      <c r="CK181" s="26">
        <f t="shared" si="5"/>
        <v>0</v>
      </c>
    </row>
    <row r="182" spans="1:89" ht="90" customHeight="1" x14ac:dyDescent="0.3">
      <c r="A182" s="13" t="s">
        <v>248</v>
      </c>
      <c r="B182" s="14" t="s">
        <v>20</v>
      </c>
      <c r="C182" s="15" t="s">
        <v>651</v>
      </c>
      <c r="D182" s="14" t="s">
        <v>67</v>
      </c>
      <c r="E182" s="13" t="s">
        <v>250</v>
      </c>
      <c r="F182" s="13" t="s">
        <v>250</v>
      </c>
      <c r="G182" s="14">
        <v>16</v>
      </c>
      <c r="H182" s="13" t="s">
        <v>671</v>
      </c>
      <c r="I182" s="15" t="s">
        <v>659</v>
      </c>
      <c r="J182" s="14" t="s">
        <v>21</v>
      </c>
      <c r="K182" s="15" t="s">
        <v>97</v>
      </c>
      <c r="L182" s="14">
        <v>80111620</v>
      </c>
      <c r="M182" s="14" t="s">
        <v>22</v>
      </c>
      <c r="N182" s="14" t="s">
        <v>253</v>
      </c>
      <c r="O182" s="15" t="s">
        <v>672</v>
      </c>
      <c r="P182" s="14" t="s">
        <v>255</v>
      </c>
      <c r="Q182" s="14" t="s">
        <v>255</v>
      </c>
      <c r="R182" s="14" t="s">
        <v>255</v>
      </c>
      <c r="S182" s="17">
        <v>11.5</v>
      </c>
      <c r="T182" s="14" t="s">
        <v>256</v>
      </c>
      <c r="U182" s="14" t="s">
        <v>257</v>
      </c>
      <c r="V182" s="14" t="s">
        <v>112</v>
      </c>
      <c r="W182" s="18">
        <v>79200000</v>
      </c>
      <c r="X182" s="18">
        <v>79200000</v>
      </c>
      <c r="Y182" s="19" t="s">
        <v>339</v>
      </c>
      <c r="Z182" s="19" t="s">
        <v>258</v>
      </c>
      <c r="AA182" s="14" t="s">
        <v>655</v>
      </c>
      <c r="AB182" s="14" t="s">
        <v>656</v>
      </c>
      <c r="AC182" s="14">
        <v>6012220601</v>
      </c>
      <c r="AD182" s="14" t="s">
        <v>657</v>
      </c>
      <c r="AE182" s="82">
        <v>79200000</v>
      </c>
      <c r="AF182" s="82">
        <v>0</v>
      </c>
      <c r="AG182" s="82">
        <v>0</v>
      </c>
      <c r="AH182" s="82">
        <v>1200000</v>
      </c>
      <c r="AI182" s="82">
        <v>0</v>
      </c>
      <c r="AJ182" s="82">
        <v>7200000</v>
      </c>
      <c r="AK182" s="82">
        <v>0</v>
      </c>
      <c r="AL182" s="82">
        <v>7200000</v>
      </c>
      <c r="AM182" s="82">
        <v>0</v>
      </c>
      <c r="AN182" s="82">
        <v>7200000</v>
      </c>
      <c r="AO182" s="82">
        <v>0</v>
      </c>
      <c r="AP182" s="82">
        <v>7200000</v>
      </c>
      <c r="AQ182" s="82">
        <v>0</v>
      </c>
      <c r="AR182" s="82">
        <v>7200000</v>
      </c>
      <c r="AS182" s="82">
        <v>0</v>
      </c>
      <c r="AT182" s="82">
        <v>7200000</v>
      </c>
      <c r="AU182" s="82">
        <v>0</v>
      </c>
      <c r="AV182" s="82">
        <v>7200000</v>
      </c>
      <c r="AW182" s="82">
        <v>0</v>
      </c>
      <c r="AX182" s="82">
        <v>7200000</v>
      </c>
      <c r="AY182" s="82">
        <v>0</v>
      </c>
      <c r="AZ182" s="82">
        <v>7200000</v>
      </c>
      <c r="BA182" s="82">
        <v>3600000</v>
      </c>
      <c r="BB182" s="82">
        <v>16800000</v>
      </c>
      <c r="BC182" s="82">
        <f t="shared" ref="BC182:BD182" si="352">AE182+AG182+AI182+AK182+AM182+AO182+AQ182+AS182+AU182+AW182+AY182+BA182</f>
        <v>82800000</v>
      </c>
      <c r="BD182" s="82">
        <f t="shared" si="352"/>
        <v>82800000</v>
      </c>
      <c r="BE182" s="83">
        <f t="shared" si="1"/>
        <v>-3600000</v>
      </c>
      <c r="BF182" s="83">
        <f t="shared" si="2"/>
        <v>-3600000</v>
      </c>
      <c r="BG182" s="14" t="str">
        <f ca="1">IFERROR(__xludf.DUMMYFUNCTION("REGEXEXTRACT(O176,""^\S+\s(.+)$"")"),"Prestar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182" s="23">
        <v>79200000</v>
      </c>
      <c r="BI182" s="23">
        <v>0</v>
      </c>
      <c r="BJ182" s="23">
        <v>0</v>
      </c>
      <c r="BK182" s="23">
        <v>1200000</v>
      </c>
      <c r="BL182" s="23">
        <v>0</v>
      </c>
      <c r="BM182" s="23">
        <v>7200000</v>
      </c>
      <c r="BN182" s="23">
        <v>0</v>
      </c>
      <c r="BO182" s="23">
        <v>7200000</v>
      </c>
      <c r="BP182" s="23">
        <v>0</v>
      </c>
      <c r="BQ182" s="23">
        <v>7200000</v>
      </c>
      <c r="BR182" s="23">
        <v>0</v>
      </c>
      <c r="BS182" s="23">
        <v>7200000</v>
      </c>
      <c r="BT182" s="23">
        <v>0</v>
      </c>
      <c r="BU182" s="23">
        <v>7200000</v>
      </c>
      <c r="BV182" s="23">
        <v>0</v>
      </c>
      <c r="BW182" s="23">
        <v>7200000</v>
      </c>
      <c r="BX182" s="23">
        <v>0</v>
      </c>
      <c r="BY182" s="23">
        <v>7200000</v>
      </c>
      <c r="BZ182" s="23">
        <v>0</v>
      </c>
      <c r="CA182" s="23">
        <v>7200000</v>
      </c>
      <c r="CB182" s="23">
        <v>0</v>
      </c>
      <c r="CC182" s="23">
        <v>7200000</v>
      </c>
      <c r="CD182" s="23">
        <v>0</v>
      </c>
      <c r="CE182" s="23">
        <v>13200000</v>
      </c>
      <c r="CF182" s="28"/>
      <c r="CG182" s="28"/>
      <c r="CH182" s="25">
        <f t="shared" ref="CH182:CI182" si="353">BH182+BJ182+BL182+BN182+BP182+BR182+BT182+BV182+BX182+BZ182+CB182+CD182+CF182</f>
        <v>79200000</v>
      </c>
      <c r="CI182" s="25">
        <f t="shared" si="353"/>
        <v>79200000</v>
      </c>
      <c r="CJ182" s="26">
        <f t="shared" si="4"/>
        <v>0</v>
      </c>
      <c r="CK182" s="26">
        <f t="shared" si="5"/>
        <v>0</v>
      </c>
    </row>
    <row r="183" spans="1:89" ht="90" customHeight="1" x14ac:dyDescent="0.3">
      <c r="A183" s="13" t="s">
        <v>248</v>
      </c>
      <c r="B183" s="14" t="s">
        <v>20</v>
      </c>
      <c r="C183" s="15" t="s">
        <v>651</v>
      </c>
      <c r="D183" s="14" t="s">
        <v>67</v>
      </c>
      <c r="E183" s="13" t="s">
        <v>250</v>
      </c>
      <c r="F183" s="13" t="s">
        <v>250</v>
      </c>
      <c r="G183" s="14">
        <v>68</v>
      </c>
      <c r="H183" s="13" t="s">
        <v>673</v>
      </c>
      <c r="I183" s="15" t="s">
        <v>659</v>
      </c>
      <c r="J183" s="14" t="s">
        <v>21</v>
      </c>
      <c r="K183" s="15" t="s">
        <v>97</v>
      </c>
      <c r="L183" s="14">
        <v>80111620</v>
      </c>
      <c r="M183" s="14" t="s">
        <v>22</v>
      </c>
      <c r="N183" s="14" t="s">
        <v>253</v>
      </c>
      <c r="O183" s="15" t="s">
        <v>674</v>
      </c>
      <c r="P183" s="14" t="s">
        <v>255</v>
      </c>
      <c r="Q183" s="14" t="s">
        <v>255</v>
      </c>
      <c r="R183" s="14" t="s">
        <v>255</v>
      </c>
      <c r="S183" s="17">
        <v>11</v>
      </c>
      <c r="T183" s="14" t="s">
        <v>256</v>
      </c>
      <c r="U183" s="14" t="s">
        <v>257</v>
      </c>
      <c r="V183" s="14" t="s">
        <v>112</v>
      </c>
      <c r="W183" s="18">
        <v>88000000</v>
      </c>
      <c r="X183" s="18">
        <v>88000000</v>
      </c>
      <c r="Y183" s="19" t="s">
        <v>339</v>
      </c>
      <c r="Z183" s="19" t="s">
        <v>258</v>
      </c>
      <c r="AA183" s="14" t="s">
        <v>655</v>
      </c>
      <c r="AB183" s="14" t="s">
        <v>656</v>
      </c>
      <c r="AC183" s="14">
        <v>6012220601</v>
      </c>
      <c r="AD183" s="14" t="s">
        <v>657</v>
      </c>
      <c r="AE183" s="82">
        <v>0</v>
      </c>
      <c r="AF183" s="82">
        <v>0</v>
      </c>
      <c r="AG183" s="82">
        <v>88000000</v>
      </c>
      <c r="AH183" s="82">
        <v>0</v>
      </c>
      <c r="AI183" s="82">
        <v>0</v>
      </c>
      <c r="AJ183" s="82">
        <v>9000000</v>
      </c>
      <c r="AK183" s="82">
        <v>0</v>
      </c>
      <c r="AL183" s="82">
        <v>9000000</v>
      </c>
      <c r="AM183" s="82">
        <v>0</v>
      </c>
      <c r="AN183" s="82">
        <v>9000000</v>
      </c>
      <c r="AO183" s="82">
        <v>0</v>
      </c>
      <c r="AP183" s="82">
        <v>9000000</v>
      </c>
      <c r="AQ183" s="82">
        <v>0</v>
      </c>
      <c r="AR183" s="82">
        <v>9000000</v>
      </c>
      <c r="AS183" s="82">
        <v>0</v>
      </c>
      <c r="AT183" s="82">
        <v>9000000</v>
      </c>
      <c r="AU183" s="82">
        <v>0</v>
      </c>
      <c r="AV183" s="82">
        <v>9000000</v>
      </c>
      <c r="AW183" s="82">
        <v>0</v>
      </c>
      <c r="AX183" s="82">
        <v>9000000</v>
      </c>
      <c r="AY183" s="82">
        <v>0</v>
      </c>
      <c r="AZ183" s="82">
        <v>9000000</v>
      </c>
      <c r="BA183" s="82">
        <v>0</v>
      </c>
      <c r="BB183" s="82">
        <v>7000000</v>
      </c>
      <c r="BC183" s="82">
        <f t="shared" ref="BC183:BD183" si="354">AE183+AG183+AI183+AK183+AM183+AO183+AQ183+AS183+AU183+AW183+AY183+BA183</f>
        <v>88000000</v>
      </c>
      <c r="BD183" s="82">
        <f t="shared" si="354"/>
        <v>88000000</v>
      </c>
      <c r="BE183" s="83">
        <f t="shared" si="1"/>
        <v>0</v>
      </c>
      <c r="BF183" s="83">
        <f t="shared" si="2"/>
        <v>0</v>
      </c>
      <c r="BG183" s="14" t="str">
        <f ca="1">IFERROR(__xludf.DUMMYFUNCTION("REGEXEXTRACT(O177,""^\S+\s(.+)$"")"),"Prestar servicios profesionales para la revisión, diagnóstico, evaluación y definición de lineamientos en materia de infraestructura tecnológica, servicios tecnológicos, telecomunicaciones y ciberseguridad, con el fin de orientar y garantizar que se cumpl"&amp;"a con las regulaciones y estándares de seguridad para el correcto funcionamiento, continuidad y evolución de los servicios tecnológicos de la Entidad.")</f>
        <v>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v>
      </c>
      <c r="BH183" s="23"/>
      <c r="BI183" s="23"/>
      <c r="BJ183" s="23">
        <v>88000000</v>
      </c>
      <c r="BK183" s="23"/>
      <c r="BL183" s="23"/>
      <c r="BM183" s="23">
        <v>9000000</v>
      </c>
      <c r="BN183" s="23"/>
      <c r="BO183" s="23">
        <v>9000000</v>
      </c>
      <c r="BP183" s="23"/>
      <c r="BQ183" s="23">
        <v>9000000</v>
      </c>
      <c r="BR183" s="23"/>
      <c r="BS183" s="23">
        <v>9000000</v>
      </c>
      <c r="BT183" s="23"/>
      <c r="BU183" s="23">
        <v>9000000</v>
      </c>
      <c r="BV183" s="23"/>
      <c r="BW183" s="23">
        <v>9000000</v>
      </c>
      <c r="BX183" s="23"/>
      <c r="BY183" s="23">
        <v>9000000</v>
      </c>
      <c r="BZ183" s="23"/>
      <c r="CA183" s="23">
        <v>9000000</v>
      </c>
      <c r="CB183" s="23"/>
      <c r="CC183" s="23">
        <v>9000000</v>
      </c>
      <c r="CD183" s="23"/>
      <c r="CE183" s="23">
        <v>7000000</v>
      </c>
      <c r="CF183" s="28"/>
      <c r="CG183" s="28"/>
      <c r="CH183" s="25">
        <f t="shared" ref="CH183:CI183" si="355">BH183+BJ183+BL183+BN183+BP183+BR183+BT183+BV183+BX183+BZ183+CB183+CD183+CF183</f>
        <v>88000000</v>
      </c>
      <c r="CI183" s="25">
        <f t="shared" si="355"/>
        <v>88000000</v>
      </c>
      <c r="CJ183" s="26">
        <f t="shared" si="4"/>
        <v>0</v>
      </c>
      <c r="CK183" s="26">
        <f t="shared" si="5"/>
        <v>0</v>
      </c>
    </row>
    <row r="184" spans="1:89" ht="90" customHeight="1" x14ac:dyDescent="0.3">
      <c r="A184" s="13" t="s">
        <v>248</v>
      </c>
      <c r="B184" s="14" t="s">
        <v>20</v>
      </c>
      <c r="C184" s="15" t="s">
        <v>651</v>
      </c>
      <c r="D184" s="14" t="s">
        <v>67</v>
      </c>
      <c r="E184" s="13" t="s">
        <v>250</v>
      </c>
      <c r="F184" s="13" t="s">
        <v>250</v>
      </c>
      <c r="G184" s="14">
        <v>20</v>
      </c>
      <c r="H184" s="13" t="s">
        <v>675</v>
      </c>
      <c r="I184" s="15" t="s">
        <v>659</v>
      </c>
      <c r="J184" s="14" t="s">
        <v>21</v>
      </c>
      <c r="K184" s="15" t="s">
        <v>97</v>
      </c>
      <c r="L184" s="14">
        <v>80111620</v>
      </c>
      <c r="M184" s="14" t="s">
        <v>22</v>
      </c>
      <c r="N184" s="14" t="s">
        <v>253</v>
      </c>
      <c r="O184" s="15" t="s">
        <v>676</v>
      </c>
      <c r="P184" s="14" t="s">
        <v>255</v>
      </c>
      <c r="Q184" s="14" t="s">
        <v>255</v>
      </c>
      <c r="R184" s="14" t="s">
        <v>255</v>
      </c>
      <c r="S184" s="17">
        <v>11</v>
      </c>
      <c r="T184" s="14" t="s">
        <v>256</v>
      </c>
      <c r="U184" s="14" t="s">
        <v>257</v>
      </c>
      <c r="V184" s="14" t="s">
        <v>112</v>
      </c>
      <c r="W184" s="18">
        <v>87200000</v>
      </c>
      <c r="X184" s="18">
        <v>87200000</v>
      </c>
      <c r="Y184" s="19" t="s">
        <v>339</v>
      </c>
      <c r="Z184" s="19" t="s">
        <v>258</v>
      </c>
      <c r="AA184" s="14" t="s">
        <v>655</v>
      </c>
      <c r="AB184" s="14" t="s">
        <v>656</v>
      </c>
      <c r="AC184" s="14">
        <v>6012220601</v>
      </c>
      <c r="AD184" s="14" t="s">
        <v>657</v>
      </c>
      <c r="AE184" s="82">
        <v>0</v>
      </c>
      <c r="AF184" s="82">
        <v>0</v>
      </c>
      <c r="AG184" s="82">
        <v>88000000</v>
      </c>
      <c r="AH184" s="82">
        <v>0</v>
      </c>
      <c r="AI184" s="82">
        <v>0</v>
      </c>
      <c r="AJ184" s="82">
        <v>8000000</v>
      </c>
      <c r="AK184" s="82">
        <v>0</v>
      </c>
      <c r="AL184" s="82">
        <v>8000000</v>
      </c>
      <c r="AM184" s="82">
        <v>0</v>
      </c>
      <c r="AN184" s="82">
        <v>8000000</v>
      </c>
      <c r="AO184" s="82">
        <v>0</v>
      </c>
      <c r="AP184" s="82">
        <v>8000000</v>
      </c>
      <c r="AQ184" s="82">
        <v>0</v>
      </c>
      <c r="AR184" s="82">
        <v>8000000</v>
      </c>
      <c r="AS184" s="82">
        <v>0</v>
      </c>
      <c r="AT184" s="82">
        <v>8000000</v>
      </c>
      <c r="AU184" s="82">
        <v>0</v>
      </c>
      <c r="AV184" s="82">
        <v>8000000</v>
      </c>
      <c r="AW184" s="82">
        <v>0</v>
      </c>
      <c r="AX184" s="82">
        <v>8000000</v>
      </c>
      <c r="AY184" s="82">
        <v>0</v>
      </c>
      <c r="AZ184" s="82">
        <v>8000000</v>
      </c>
      <c r="BA184" s="82">
        <v>0</v>
      </c>
      <c r="BB184" s="82">
        <v>16000000</v>
      </c>
      <c r="BC184" s="82">
        <f t="shared" ref="BC184:BD184" si="356">AE184+AG184+AI184+AK184+AM184+AO184+AQ184+AS184+AU184+AW184+AY184+BA184</f>
        <v>88000000</v>
      </c>
      <c r="BD184" s="82">
        <f t="shared" si="356"/>
        <v>88000000</v>
      </c>
      <c r="BE184" s="83">
        <f t="shared" si="1"/>
        <v>-800000</v>
      </c>
      <c r="BF184" s="83">
        <f t="shared" si="2"/>
        <v>-800000</v>
      </c>
      <c r="BG184" s="14" t="str">
        <f ca="1">IFERROR(__xludf.DUMMYFUNCTION("REGEXEXTRACT(O178,""^\S+\s(.+)$"")"),"Prestar servicios profesionales para apoyar en los proyectos de tecnología en todas sus fases y ciclos de proceso, especialmente, en aquellos enfocados en la transformación digital a la Oficina de Tecnología de la Información de la UPME")</f>
        <v>Prestar servicios profesionales para apoyar en los proyectos de tecnología en todas sus fases y ciclos de proceso, especialmente, en aquellos enfocados en la transformación digital a la Oficina de Tecnología de la Información de la UPME</v>
      </c>
      <c r="BH184" s="23">
        <v>0</v>
      </c>
      <c r="BI184" s="23">
        <v>0</v>
      </c>
      <c r="BJ184" s="23">
        <v>88000000</v>
      </c>
      <c r="BK184" s="23">
        <v>0</v>
      </c>
      <c r="BL184" s="23">
        <v>0</v>
      </c>
      <c r="BM184" s="23">
        <v>7200000</v>
      </c>
      <c r="BN184" s="23">
        <v>-800000</v>
      </c>
      <c r="BO184" s="23">
        <v>8000000</v>
      </c>
      <c r="BP184" s="23">
        <v>0</v>
      </c>
      <c r="BQ184" s="23">
        <v>8000000</v>
      </c>
      <c r="BR184" s="23">
        <v>0</v>
      </c>
      <c r="BS184" s="23">
        <v>8000000</v>
      </c>
      <c r="BT184" s="23">
        <v>0</v>
      </c>
      <c r="BU184" s="23">
        <v>8000000</v>
      </c>
      <c r="BV184" s="23">
        <v>0</v>
      </c>
      <c r="BW184" s="23">
        <v>8000000</v>
      </c>
      <c r="BX184" s="23">
        <v>0</v>
      </c>
      <c r="BY184" s="23">
        <v>8000000</v>
      </c>
      <c r="BZ184" s="23">
        <v>0</v>
      </c>
      <c r="CA184" s="23">
        <v>8000000</v>
      </c>
      <c r="CB184" s="23">
        <v>0</v>
      </c>
      <c r="CC184" s="23">
        <v>8000000</v>
      </c>
      <c r="CD184" s="23">
        <v>0</v>
      </c>
      <c r="CE184" s="23">
        <v>16000000</v>
      </c>
      <c r="CF184" s="28"/>
      <c r="CG184" s="28"/>
      <c r="CH184" s="25">
        <f t="shared" ref="CH184:CI184" si="357">BH184+BJ184+BL184+BN184+BP184+BR184+BT184+BV184+BX184+BZ184+CB184+CD184+CF184</f>
        <v>87200000</v>
      </c>
      <c r="CI184" s="25">
        <f t="shared" si="357"/>
        <v>87200000</v>
      </c>
      <c r="CJ184" s="26">
        <f t="shared" si="4"/>
        <v>0</v>
      </c>
      <c r="CK184" s="26">
        <f t="shared" si="5"/>
        <v>0</v>
      </c>
    </row>
    <row r="185" spans="1:89" ht="90" customHeight="1" x14ac:dyDescent="0.3">
      <c r="A185" s="13" t="s">
        <v>248</v>
      </c>
      <c r="B185" s="14" t="s">
        <v>20</v>
      </c>
      <c r="C185" s="15" t="s">
        <v>651</v>
      </c>
      <c r="D185" s="14" t="s">
        <v>67</v>
      </c>
      <c r="E185" s="13" t="s">
        <v>250</v>
      </c>
      <c r="F185" s="13" t="s">
        <v>250</v>
      </c>
      <c r="G185" s="14">
        <v>2</v>
      </c>
      <c r="H185" s="13" t="s">
        <v>677</v>
      </c>
      <c r="I185" s="15" t="s">
        <v>659</v>
      </c>
      <c r="J185" s="14" t="s">
        <v>21</v>
      </c>
      <c r="K185" s="15" t="s">
        <v>98</v>
      </c>
      <c r="L185" s="14">
        <v>80111620</v>
      </c>
      <c r="M185" s="14" t="s">
        <v>22</v>
      </c>
      <c r="N185" s="14" t="s">
        <v>253</v>
      </c>
      <c r="O185" s="15" t="s">
        <v>678</v>
      </c>
      <c r="P185" s="14" t="s">
        <v>255</v>
      </c>
      <c r="Q185" s="14" t="s">
        <v>255</v>
      </c>
      <c r="R185" s="14" t="s">
        <v>255</v>
      </c>
      <c r="S185" s="17">
        <v>11</v>
      </c>
      <c r="T185" s="14" t="s">
        <v>256</v>
      </c>
      <c r="U185" s="14" t="s">
        <v>257</v>
      </c>
      <c r="V185" s="14" t="s">
        <v>112</v>
      </c>
      <c r="W185" s="18">
        <v>99000000</v>
      </c>
      <c r="X185" s="18">
        <v>99000000</v>
      </c>
      <c r="Y185" s="19" t="s">
        <v>339</v>
      </c>
      <c r="Z185" s="19" t="s">
        <v>258</v>
      </c>
      <c r="AA185" s="14" t="s">
        <v>655</v>
      </c>
      <c r="AB185" s="14" t="s">
        <v>656</v>
      </c>
      <c r="AC185" s="14">
        <v>6012220601</v>
      </c>
      <c r="AD185" s="14" t="s">
        <v>657</v>
      </c>
      <c r="AE185" s="82">
        <v>0</v>
      </c>
      <c r="AF185" s="82">
        <v>0</v>
      </c>
      <c r="AG185" s="82">
        <v>99000000</v>
      </c>
      <c r="AH185" s="82">
        <v>0</v>
      </c>
      <c r="AI185" s="82">
        <v>0</v>
      </c>
      <c r="AJ185" s="82">
        <v>9000000</v>
      </c>
      <c r="AK185" s="82">
        <v>0</v>
      </c>
      <c r="AL185" s="82">
        <v>9000000</v>
      </c>
      <c r="AM185" s="82">
        <v>0</v>
      </c>
      <c r="AN185" s="82">
        <v>9000000</v>
      </c>
      <c r="AO185" s="82">
        <v>0</v>
      </c>
      <c r="AP185" s="82">
        <v>9000000</v>
      </c>
      <c r="AQ185" s="82">
        <v>0</v>
      </c>
      <c r="AR185" s="82">
        <v>9000000</v>
      </c>
      <c r="AS185" s="82">
        <v>0</v>
      </c>
      <c r="AT185" s="82">
        <v>9000000</v>
      </c>
      <c r="AU185" s="82">
        <v>0</v>
      </c>
      <c r="AV185" s="82">
        <v>9000000</v>
      </c>
      <c r="AW185" s="82">
        <v>0</v>
      </c>
      <c r="AX185" s="82">
        <v>9000000</v>
      </c>
      <c r="AY185" s="82">
        <v>0</v>
      </c>
      <c r="AZ185" s="82">
        <v>9000000</v>
      </c>
      <c r="BA185" s="82">
        <v>0</v>
      </c>
      <c r="BB185" s="82">
        <v>18000000</v>
      </c>
      <c r="BC185" s="82">
        <f t="shared" ref="BC185:BD185" si="358">AE185+AG185+AI185+AK185+AM185+AO185+AQ185+AS185+AU185+AW185+AY185+BA185</f>
        <v>99000000</v>
      </c>
      <c r="BD185" s="82">
        <f t="shared" si="358"/>
        <v>99000000</v>
      </c>
      <c r="BE185" s="83">
        <f t="shared" si="1"/>
        <v>0</v>
      </c>
      <c r="BF185" s="83">
        <f t="shared" si="2"/>
        <v>0</v>
      </c>
      <c r="BG185" s="14" t="str">
        <f ca="1">IFERROR(__xludf.DUMMYFUNCTION("REGEXEXTRACT(O179,""^\S+\s(.+)$"")"),"Prestación de servicios profesionales especializados para la ingeniería, configuración y puesta en marcha de una infraestructura de red convergente y escalable para la UPME, así como la administración de soluciones de conectividad híbrida, la segmentación"&amp;" lógica de redes para el tráfico de datos críticos y la optimización de hardware de misión operativa, alineado con los marcos de Arquitectura Empresarial y estándares internacionales de gestión de servicios TI.")</f>
        <v>Prestación de servicios profesionales especializados para la ingeniería, configuración y puesta en marcha de una infraestructura de red convergente y escalable para la UPME, así como la administración de soluciones de conectividad híbrida, la segmentación lógica de redes para el tráfico de datos críticos y la optimización de hardware de misión operativa, alineado con los marcos de Arquitectura Empresarial y estándares internacionales de gestión de servicios TI.</v>
      </c>
      <c r="BH185" s="23"/>
      <c r="BI185" s="23"/>
      <c r="BJ185" s="23">
        <v>99000000</v>
      </c>
      <c r="BK185" s="23"/>
      <c r="BL185" s="23"/>
      <c r="BM185" s="23">
        <v>9000000</v>
      </c>
      <c r="BN185" s="23"/>
      <c r="BO185" s="23">
        <v>9000000</v>
      </c>
      <c r="BP185" s="23"/>
      <c r="BQ185" s="23">
        <v>9000000</v>
      </c>
      <c r="BR185" s="23"/>
      <c r="BS185" s="23">
        <v>9000000</v>
      </c>
      <c r="BT185" s="23"/>
      <c r="BU185" s="23">
        <v>9000000</v>
      </c>
      <c r="BV185" s="23"/>
      <c r="BW185" s="23">
        <v>9000000</v>
      </c>
      <c r="BX185" s="23"/>
      <c r="BY185" s="23">
        <v>9000000</v>
      </c>
      <c r="BZ185" s="23"/>
      <c r="CA185" s="23">
        <v>9000000</v>
      </c>
      <c r="CB185" s="23"/>
      <c r="CC185" s="23">
        <v>9000000</v>
      </c>
      <c r="CD185" s="23"/>
      <c r="CE185" s="23">
        <v>18000000</v>
      </c>
      <c r="CF185" s="28"/>
      <c r="CG185" s="28"/>
      <c r="CH185" s="25">
        <f t="shared" ref="CH185:CI185" si="359">BH185+BJ185+BL185+BN185+BP185+BR185+BT185+BV185+BX185+BZ185+CB185+CD185+CF185</f>
        <v>99000000</v>
      </c>
      <c r="CI185" s="25">
        <f t="shared" si="359"/>
        <v>99000000</v>
      </c>
      <c r="CJ185" s="26">
        <f t="shared" si="4"/>
        <v>0</v>
      </c>
      <c r="CK185" s="26">
        <f t="shared" si="5"/>
        <v>0</v>
      </c>
    </row>
    <row r="186" spans="1:89" ht="90" customHeight="1" x14ac:dyDescent="0.3">
      <c r="A186" s="13" t="s">
        <v>248</v>
      </c>
      <c r="B186" s="14" t="s">
        <v>20</v>
      </c>
      <c r="C186" s="15" t="s">
        <v>651</v>
      </c>
      <c r="D186" s="14" t="s">
        <v>67</v>
      </c>
      <c r="E186" s="13" t="s">
        <v>250</v>
      </c>
      <c r="F186" s="13" t="s">
        <v>250</v>
      </c>
      <c r="G186" s="14">
        <v>20</v>
      </c>
      <c r="H186" s="13" t="s">
        <v>679</v>
      </c>
      <c r="I186" s="15" t="s">
        <v>659</v>
      </c>
      <c r="J186" s="14" t="s">
        <v>21</v>
      </c>
      <c r="K186" s="15" t="s">
        <v>98</v>
      </c>
      <c r="L186" s="14">
        <v>80111620</v>
      </c>
      <c r="M186" s="14" t="s">
        <v>22</v>
      </c>
      <c r="N186" s="14" t="s">
        <v>253</v>
      </c>
      <c r="O186" s="15" t="s">
        <v>680</v>
      </c>
      <c r="P186" s="14" t="s">
        <v>255</v>
      </c>
      <c r="Q186" s="14" t="s">
        <v>255</v>
      </c>
      <c r="R186" s="14" t="s">
        <v>255</v>
      </c>
      <c r="S186" s="17">
        <v>11</v>
      </c>
      <c r="T186" s="14" t="s">
        <v>256</v>
      </c>
      <c r="U186" s="14" t="s">
        <v>257</v>
      </c>
      <c r="V186" s="14" t="s">
        <v>112</v>
      </c>
      <c r="W186" s="18">
        <v>52944920</v>
      </c>
      <c r="X186" s="18">
        <v>52944920</v>
      </c>
      <c r="Y186" s="19" t="s">
        <v>339</v>
      </c>
      <c r="Z186" s="19" t="s">
        <v>258</v>
      </c>
      <c r="AA186" s="14" t="s">
        <v>655</v>
      </c>
      <c r="AB186" s="14" t="s">
        <v>656</v>
      </c>
      <c r="AC186" s="14">
        <v>6012220601</v>
      </c>
      <c r="AD186" s="14" t="s">
        <v>657</v>
      </c>
      <c r="AE186" s="82">
        <v>50496600</v>
      </c>
      <c r="AF186" s="82">
        <v>0</v>
      </c>
      <c r="AG186" s="82">
        <v>0</v>
      </c>
      <c r="AH186" s="82">
        <v>2601340</v>
      </c>
      <c r="AI186" s="82">
        <v>0</v>
      </c>
      <c r="AJ186" s="82">
        <v>4590600</v>
      </c>
      <c r="AK186" s="82">
        <v>0</v>
      </c>
      <c r="AL186" s="82">
        <v>4590600</v>
      </c>
      <c r="AM186" s="82">
        <v>0</v>
      </c>
      <c r="AN186" s="82">
        <v>4590600</v>
      </c>
      <c r="AO186" s="82">
        <v>0</v>
      </c>
      <c r="AP186" s="82">
        <v>4590600</v>
      </c>
      <c r="AQ186" s="82">
        <v>0</v>
      </c>
      <c r="AR186" s="82">
        <v>4590600</v>
      </c>
      <c r="AS186" s="82">
        <v>0</v>
      </c>
      <c r="AT186" s="82">
        <v>4590600</v>
      </c>
      <c r="AU186" s="82">
        <v>0</v>
      </c>
      <c r="AV186" s="82">
        <v>4590600</v>
      </c>
      <c r="AW186" s="82">
        <v>0</v>
      </c>
      <c r="AX186" s="82">
        <v>4590600</v>
      </c>
      <c r="AY186" s="82">
        <v>0</v>
      </c>
      <c r="AZ186" s="82">
        <v>4590600</v>
      </c>
      <c r="BA186" s="82">
        <v>0</v>
      </c>
      <c r="BB186" s="82">
        <v>6579860</v>
      </c>
      <c r="BC186" s="82">
        <f t="shared" ref="BC186:BD186" si="360">AE186+AG186+AI186+AK186+AM186+AO186+AQ186+AS186+AU186+AW186+AY186+BA186</f>
        <v>50496600</v>
      </c>
      <c r="BD186" s="82">
        <f t="shared" si="360"/>
        <v>50496600</v>
      </c>
      <c r="BE186" s="83">
        <f t="shared" si="1"/>
        <v>2448320</v>
      </c>
      <c r="BF186" s="83">
        <f t="shared" si="2"/>
        <v>2448320</v>
      </c>
      <c r="BG186" s="14" t="str">
        <f ca="1">IFERROR(__xludf.DUMMYFUNCTION("REGEXEXTRACT(O180,""^\S+\s(.+)$"")"),"Prestar servicios de apoyo a la gestión para la operatividad de los sistemas de información y de Infraestructura de la Unidad de Planeación Minero-Energética – UPME, así como en las actividades asociadas al soporte y monitoreo en las respectivas herramien"&amp;"tas instaladas para tal fin.")</f>
        <v>Prestar servicios de apoyo a la gestión para la operatividad de los sistemas de información y de Infraestructura de la Unidad de Planeación Minero-Energética – UPME, así como en las actividades asociadas al soporte y monitoreo en las respectivas herramientas instaladas para tal fin.</v>
      </c>
      <c r="BH186" s="23">
        <v>50496600</v>
      </c>
      <c r="BI186" s="23">
        <v>0</v>
      </c>
      <c r="BJ186" s="23">
        <v>0</v>
      </c>
      <c r="BK186" s="23">
        <v>2448320</v>
      </c>
      <c r="BL186" s="23">
        <v>0</v>
      </c>
      <c r="BM186" s="23">
        <v>4590600</v>
      </c>
      <c r="BN186" s="23">
        <v>0</v>
      </c>
      <c r="BO186" s="23">
        <v>4590600</v>
      </c>
      <c r="BP186" s="23">
        <v>2448320</v>
      </c>
      <c r="BQ186" s="23">
        <v>4590600</v>
      </c>
      <c r="BR186" s="23">
        <v>0</v>
      </c>
      <c r="BS186" s="23">
        <v>4590600</v>
      </c>
      <c r="BT186" s="23">
        <v>0</v>
      </c>
      <c r="BU186" s="23">
        <v>4590600</v>
      </c>
      <c r="BV186" s="23">
        <v>0</v>
      </c>
      <c r="BW186" s="23">
        <v>4590600</v>
      </c>
      <c r="BX186" s="23">
        <v>0</v>
      </c>
      <c r="BY186" s="23">
        <v>4590600</v>
      </c>
      <c r="BZ186" s="23">
        <v>0</v>
      </c>
      <c r="CA186" s="23">
        <v>4590600</v>
      </c>
      <c r="CB186" s="23">
        <v>0</v>
      </c>
      <c r="CC186" s="23">
        <v>4590600</v>
      </c>
      <c r="CD186" s="23">
        <v>0</v>
      </c>
      <c r="CE186" s="23">
        <v>9181200</v>
      </c>
      <c r="CF186" s="28"/>
      <c r="CG186" s="28"/>
      <c r="CH186" s="25">
        <f t="shared" ref="CH186:CI186" si="361">BH186+BJ186+BL186+BN186+BP186+BR186+BT186+BV186+BX186+BZ186+CB186+CD186+CF186</f>
        <v>52944920</v>
      </c>
      <c r="CI186" s="25">
        <f t="shared" si="361"/>
        <v>52944920</v>
      </c>
      <c r="CJ186" s="26">
        <f t="shared" si="4"/>
        <v>0</v>
      </c>
      <c r="CK186" s="26">
        <f t="shared" si="5"/>
        <v>0</v>
      </c>
    </row>
    <row r="187" spans="1:89" ht="90" customHeight="1" x14ac:dyDescent="0.3">
      <c r="A187" s="13" t="s">
        <v>248</v>
      </c>
      <c r="B187" s="14" t="s">
        <v>20</v>
      </c>
      <c r="C187" s="15" t="s">
        <v>651</v>
      </c>
      <c r="D187" s="14" t="s">
        <v>67</v>
      </c>
      <c r="E187" s="13" t="s">
        <v>250</v>
      </c>
      <c r="F187" s="13" t="s">
        <v>250</v>
      </c>
      <c r="G187" s="14">
        <v>20</v>
      </c>
      <c r="H187" s="13" t="s">
        <v>681</v>
      </c>
      <c r="I187" s="15" t="s">
        <v>659</v>
      </c>
      <c r="J187" s="14" t="s">
        <v>21</v>
      </c>
      <c r="K187" s="15" t="s">
        <v>98</v>
      </c>
      <c r="L187" s="14">
        <v>80111620</v>
      </c>
      <c r="M187" s="14" t="s">
        <v>22</v>
      </c>
      <c r="N187" s="14" t="s">
        <v>253</v>
      </c>
      <c r="O187" s="15" t="s">
        <v>682</v>
      </c>
      <c r="P187" s="14" t="s">
        <v>255</v>
      </c>
      <c r="Q187" s="14" t="s">
        <v>255</v>
      </c>
      <c r="R187" s="14" t="s">
        <v>255</v>
      </c>
      <c r="S187" s="17">
        <v>11.5</v>
      </c>
      <c r="T187" s="14" t="s">
        <v>256</v>
      </c>
      <c r="U187" s="14" t="s">
        <v>257</v>
      </c>
      <c r="V187" s="14" t="s">
        <v>112</v>
      </c>
      <c r="W187" s="18">
        <v>53097940</v>
      </c>
      <c r="X187" s="18">
        <v>53097940</v>
      </c>
      <c r="Y187" s="19" t="s">
        <v>339</v>
      </c>
      <c r="Z187" s="19" t="s">
        <v>258</v>
      </c>
      <c r="AA187" s="14" t="s">
        <v>655</v>
      </c>
      <c r="AB187" s="14" t="s">
        <v>656</v>
      </c>
      <c r="AC187" s="14">
        <v>6012220601</v>
      </c>
      <c r="AD187" s="14" t="s">
        <v>657</v>
      </c>
      <c r="AE187" s="82">
        <v>52791900</v>
      </c>
      <c r="AF187" s="82">
        <v>0</v>
      </c>
      <c r="AG187" s="82">
        <v>0</v>
      </c>
      <c r="AH187" s="82">
        <v>2601340</v>
      </c>
      <c r="AI187" s="82">
        <v>0</v>
      </c>
      <c r="AJ187" s="82">
        <v>4590600</v>
      </c>
      <c r="AK187" s="82">
        <v>0</v>
      </c>
      <c r="AL187" s="82">
        <v>4590600</v>
      </c>
      <c r="AM187" s="82">
        <v>0</v>
      </c>
      <c r="AN187" s="82">
        <v>4590600</v>
      </c>
      <c r="AO187" s="82">
        <v>0</v>
      </c>
      <c r="AP187" s="82">
        <v>4590600</v>
      </c>
      <c r="AQ187" s="82">
        <v>0</v>
      </c>
      <c r="AR187" s="82">
        <v>4590600</v>
      </c>
      <c r="AS187" s="82">
        <v>0</v>
      </c>
      <c r="AT187" s="82">
        <v>4590600</v>
      </c>
      <c r="AU187" s="82">
        <v>0</v>
      </c>
      <c r="AV187" s="82">
        <v>4590600</v>
      </c>
      <c r="AW187" s="82">
        <v>0</v>
      </c>
      <c r="AX187" s="82">
        <v>4590600</v>
      </c>
      <c r="AY187" s="82">
        <v>0</v>
      </c>
      <c r="AZ187" s="82">
        <v>4590600</v>
      </c>
      <c r="BA187" s="82">
        <v>0</v>
      </c>
      <c r="BB187" s="82">
        <v>8875160</v>
      </c>
      <c r="BC187" s="82">
        <f t="shared" ref="BC187:BD187" si="362">AE187+AG187+AI187+AK187+AM187+AO187+AQ187+AS187+AU187+AW187+AY187+BA187</f>
        <v>52791900</v>
      </c>
      <c r="BD187" s="82">
        <f t="shared" si="362"/>
        <v>52791900</v>
      </c>
      <c r="BE187" s="83">
        <f t="shared" si="1"/>
        <v>306040</v>
      </c>
      <c r="BF187" s="83">
        <f t="shared" si="2"/>
        <v>306040</v>
      </c>
      <c r="BG187" s="14" t="str">
        <f ca="1">IFERROR(__xludf.DUMMYFUNCTION("REGEXEXTRACT(O181,""^\S+\s(.+)$"")"),"Prestar servicios de apoyo a la gestión como analista de sistemas de TI en Gestión de Servicios, para liderar proyectos orientados a la implementación, ajuste y mejora del servicio al cliente interno y externo, asegurando la alineación de la mesa de servi"&amp;"cios con el modelo ITIL, de conformidad con la Metodología para la Gestión de Proyectos de Tecnologías de la Información – MGPTI del Min TIC.")</f>
        <v>Prestar servicios de apoyo a la gestión como analista de sistemas de TI en Gestión de Servicios, para liderar proyectos orientados a la implementación, ajuste y mejora del servicio al cliente interno y externo, asegurando la alineación de la mesa de servicios con el modelo ITIL, de conformidad con la Metodología para la Gestión de Proyectos de Tecnologías de la Información – MGPTI del Min TIC.</v>
      </c>
      <c r="BH187" s="23">
        <v>52791900</v>
      </c>
      <c r="BI187" s="23">
        <v>0</v>
      </c>
      <c r="BJ187" s="23">
        <v>0</v>
      </c>
      <c r="BK187" s="23">
        <v>2601340</v>
      </c>
      <c r="BL187" s="23">
        <v>0</v>
      </c>
      <c r="BM187" s="23">
        <v>4590600</v>
      </c>
      <c r="BN187" s="23">
        <v>0</v>
      </c>
      <c r="BO187" s="23">
        <v>4590600</v>
      </c>
      <c r="BP187" s="23">
        <v>306040</v>
      </c>
      <c r="BQ187" s="23">
        <v>4590600</v>
      </c>
      <c r="BR187" s="23">
        <v>0</v>
      </c>
      <c r="BS187" s="23">
        <v>4590600</v>
      </c>
      <c r="BT187" s="23">
        <v>0</v>
      </c>
      <c r="BU187" s="23">
        <v>4590600</v>
      </c>
      <c r="BV187" s="23">
        <v>0</v>
      </c>
      <c r="BW187" s="23">
        <v>4590600</v>
      </c>
      <c r="BX187" s="23">
        <v>0</v>
      </c>
      <c r="BY187" s="23">
        <v>4590600</v>
      </c>
      <c r="BZ187" s="23">
        <v>0</v>
      </c>
      <c r="CA187" s="23">
        <v>4590600</v>
      </c>
      <c r="CB187" s="23">
        <v>0</v>
      </c>
      <c r="CC187" s="23">
        <v>4590600</v>
      </c>
      <c r="CD187" s="23">
        <v>0</v>
      </c>
      <c r="CE187" s="23">
        <v>9181200</v>
      </c>
      <c r="CF187" s="28"/>
      <c r="CG187" s="28"/>
      <c r="CH187" s="25">
        <f t="shared" ref="CH187:CI187" si="363">BH187+BJ187+BL187+BN187+BP187+BR187+BT187+BV187+BX187+BZ187+CB187+CD187+CF187</f>
        <v>53097940</v>
      </c>
      <c r="CI187" s="25">
        <f t="shared" si="363"/>
        <v>53097940</v>
      </c>
      <c r="CJ187" s="26">
        <f t="shared" si="4"/>
        <v>0</v>
      </c>
      <c r="CK187" s="26">
        <f t="shared" si="5"/>
        <v>0</v>
      </c>
    </row>
    <row r="188" spans="1:89" ht="90" customHeight="1" x14ac:dyDescent="0.3">
      <c r="A188" s="13" t="s">
        <v>248</v>
      </c>
      <c r="B188" s="14" t="s">
        <v>20</v>
      </c>
      <c r="C188" s="15" t="s">
        <v>651</v>
      </c>
      <c r="D188" s="14" t="s">
        <v>67</v>
      </c>
      <c r="E188" s="13" t="s">
        <v>250</v>
      </c>
      <c r="F188" s="13" t="s">
        <v>250</v>
      </c>
      <c r="G188" s="14">
        <v>20</v>
      </c>
      <c r="H188" s="13" t="s">
        <v>683</v>
      </c>
      <c r="I188" s="15" t="s">
        <v>659</v>
      </c>
      <c r="J188" s="14" t="s">
        <v>21</v>
      </c>
      <c r="K188" s="15" t="s">
        <v>98</v>
      </c>
      <c r="L188" s="14">
        <v>80111620</v>
      </c>
      <c r="M188" s="14" t="s">
        <v>22</v>
      </c>
      <c r="N188" s="14" t="s">
        <v>253</v>
      </c>
      <c r="O188" s="15" t="s">
        <v>684</v>
      </c>
      <c r="P188" s="14" t="s">
        <v>255</v>
      </c>
      <c r="Q188" s="14" t="s">
        <v>255</v>
      </c>
      <c r="R188" s="14" t="s">
        <v>255</v>
      </c>
      <c r="S188" s="17">
        <v>11.5</v>
      </c>
      <c r="T188" s="14" t="s">
        <v>256</v>
      </c>
      <c r="U188" s="14" t="s">
        <v>257</v>
      </c>
      <c r="V188" s="14" t="s">
        <v>112</v>
      </c>
      <c r="W188" s="18">
        <v>52050000</v>
      </c>
      <c r="X188" s="18">
        <v>52050000</v>
      </c>
      <c r="Y188" s="19" t="s">
        <v>339</v>
      </c>
      <c r="Z188" s="19" t="s">
        <v>258</v>
      </c>
      <c r="AA188" s="14" t="s">
        <v>655</v>
      </c>
      <c r="AB188" s="14" t="s">
        <v>656</v>
      </c>
      <c r="AC188" s="14">
        <v>6012220601</v>
      </c>
      <c r="AD188" s="14" t="s">
        <v>657</v>
      </c>
      <c r="AE188" s="82">
        <v>51750000</v>
      </c>
      <c r="AF188" s="82">
        <v>0</v>
      </c>
      <c r="AG188" s="82">
        <v>0</v>
      </c>
      <c r="AH188" s="82">
        <v>2550000</v>
      </c>
      <c r="AI188" s="82">
        <v>0</v>
      </c>
      <c r="AJ188" s="82">
        <v>4500000</v>
      </c>
      <c r="AK188" s="82">
        <v>0</v>
      </c>
      <c r="AL188" s="82">
        <v>4500000</v>
      </c>
      <c r="AM188" s="82">
        <v>0</v>
      </c>
      <c r="AN188" s="82">
        <v>4500000</v>
      </c>
      <c r="AO188" s="82">
        <v>0</v>
      </c>
      <c r="AP188" s="82">
        <v>4500000</v>
      </c>
      <c r="AQ188" s="82">
        <v>0</v>
      </c>
      <c r="AR188" s="82">
        <v>4500000</v>
      </c>
      <c r="AS188" s="82">
        <v>0</v>
      </c>
      <c r="AT188" s="82">
        <v>4500000</v>
      </c>
      <c r="AU188" s="82">
        <v>0</v>
      </c>
      <c r="AV188" s="82">
        <v>4500000</v>
      </c>
      <c r="AW188" s="82">
        <v>0</v>
      </c>
      <c r="AX188" s="82">
        <v>4500000</v>
      </c>
      <c r="AY188" s="82">
        <v>0</v>
      </c>
      <c r="AZ188" s="82">
        <v>4500000</v>
      </c>
      <c r="BA188" s="82">
        <v>0</v>
      </c>
      <c r="BB188" s="82">
        <v>8700000</v>
      </c>
      <c r="BC188" s="82">
        <f t="shared" ref="BC188:BD188" si="364">AE188+AG188+AI188+AK188+AM188+AO188+AQ188+AS188+AU188+AW188+AY188+BA188</f>
        <v>51750000</v>
      </c>
      <c r="BD188" s="82">
        <f t="shared" si="364"/>
        <v>51750000</v>
      </c>
      <c r="BE188" s="83">
        <f t="shared" si="1"/>
        <v>300000</v>
      </c>
      <c r="BF188" s="83">
        <f t="shared" si="2"/>
        <v>300000</v>
      </c>
      <c r="BG188" s="14" t="str">
        <f ca="1">IFERROR(__xludf.DUMMYFUNCTION("REGEXEXTRACT(O182,""^\S+\s(.+)$"")"),"Prestar servicios de apoyo a la gestión en la mesa de servicio para atender, registrar, clasificar y dar solución de primer nivel a los requerimientos tecnológicos, bajo las buenas prácticas ITIL y los procedimientos establecidos para la gestión de servic"&amp;"ios de TI.")</f>
        <v>Prestar servicios de apoyo a la gestión en la mesa de servicio para atender, registrar, clasificar y dar solución de primer nivel a los requerimientos tecnológicos, bajo las buenas prácticas ITIL y los procedimientos establecidos para la gestión de servicios de TI.</v>
      </c>
      <c r="BH188" s="23">
        <v>51750000</v>
      </c>
      <c r="BI188" s="23">
        <v>0</v>
      </c>
      <c r="BJ188" s="23">
        <v>0</v>
      </c>
      <c r="BK188" s="23">
        <v>2550000</v>
      </c>
      <c r="BL188" s="23">
        <v>0</v>
      </c>
      <c r="BM188" s="23">
        <v>4500000</v>
      </c>
      <c r="BN188" s="23">
        <v>0</v>
      </c>
      <c r="BO188" s="23">
        <v>4500000</v>
      </c>
      <c r="BP188" s="23">
        <v>300000</v>
      </c>
      <c r="BQ188" s="23">
        <v>4500000</v>
      </c>
      <c r="BR188" s="23">
        <v>0</v>
      </c>
      <c r="BS188" s="23">
        <v>4500000</v>
      </c>
      <c r="BT188" s="23">
        <v>0</v>
      </c>
      <c r="BU188" s="23">
        <v>4500000</v>
      </c>
      <c r="BV188" s="23">
        <v>0</v>
      </c>
      <c r="BW188" s="23">
        <v>4500000</v>
      </c>
      <c r="BX188" s="23">
        <v>0</v>
      </c>
      <c r="BY188" s="23">
        <v>4500000</v>
      </c>
      <c r="BZ188" s="23">
        <v>0</v>
      </c>
      <c r="CA188" s="23">
        <v>4500000</v>
      </c>
      <c r="CB188" s="23">
        <v>0</v>
      </c>
      <c r="CC188" s="23">
        <v>4500000</v>
      </c>
      <c r="CD188" s="23">
        <v>0</v>
      </c>
      <c r="CE188" s="23">
        <v>9000000</v>
      </c>
      <c r="CF188" s="28"/>
      <c r="CG188" s="28"/>
      <c r="CH188" s="25">
        <f t="shared" ref="CH188:CI188" si="365">BH188+BJ188+BL188+BN188+BP188+BR188+BT188+BV188+BX188+BZ188+CB188+CD188+CF188</f>
        <v>52050000</v>
      </c>
      <c r="CI188" s="25">
        <f t="shared" si="365"/>
        <v>52050000</v>
      </c>
      <c r="CJ188" s="26">
        <f t="shared" si="4"/>
        <v>0</v>
      </c>
      <c r="CK188" s="26">
        <f t="shared" si="5"/>
        <v>0</v>
      </c>
    </row>
    <row r="189" spans="1:89" ht="90" customHeight="1" x14ac:dyDescent="0.3">
      <c r="A189" s="13" t="s">
        <v>248</v>
      </c>
      <c r="B189" s="14" t="s">
        <v>20</v>
      </c>
      <c r="C189" s="15" t="s">
        <v>651</v>
      </c>
      <c r="D189" s="14" t="s">
        <v>67</v>
      </c>
      <c r="E189" s="13" t="s">
        <v>250</v>
      </c>
      <c r="F189" s="13" t="s">
        <v>250</v>
      </c>
      <c r="G189" s="14">
        <v>20</v>
      </c>
      <c r="H189" s="13" t="s">
        <v>685</v>
      </c>
      <c r="I189" s="15" t="s">
        <v>659</v>
      </c>
      <c r="J189" s="14" t="s">
        <v>21</v>
      </c>
      <c r="K189" s="15" t="s">
        <v>98</v>
      </c>
      <c r="L189" s="14">
        <v>80111620</v>
      </c>
      <c r="M189" s="14" t="s">
        <v>22</v>
      </c>
      <c r="N189" s="14" t="s">
        <v>253</v>
      </c>
      <c r="O189" s="15" t="s">
        <v>686</v>
      </c>
      <c r="P189" s="14" t="s">
        <v>255</v>
      </c>
      <c r="Q189" s="14" t="s">
        <v>255</v>
      </c>
      <c r="R189" s="14" t="s">
        <v>255</v>
      </c>
      <c r="S189" s="17">
        <v>11.5</v>
      </c>
      <c r="T189" s="14" t="s">
        <v>256</v>
      </c>
      <c r="U189" s="14" t="s">
        <v>257</v>
      </c>
      <c r="V189" s="14" t="s">
        <v>112</v>
      </c>
      <c r="W189" s="18">
        <v>52200000</v>
      </c>
      <c r="X189" s="18">
        <v>52200000</v>
      </c>
      <c r="Y189" s="19" t="s">
        <v>339</v>
      </c>
      <c r="Z189" s="19" t="s">
        <v>258</v>
      </c>
      <c r="AA189" s="14" t="s">
        <v>655</v>
      </c>
      <c r="AB189" s="14" t="s">
        <v>656</v>
      </c>
      <c r="AC189" s="14">
        <v>6012220601</v>
      </c>
      <c r="AD189" s="14" t="s">
        <v>657</v>
      </c>
      <c r="AE189" s="82">
        <v>51750000</v>
      </c>
      <c r="AF189" s="82">
        <v>0</v>
      </c>
      <c r="AG189" s="82">
        <v>0</v>
      </c>
      <c r="AH189" s="82">
        <v>2700000</v>
      </c>
      <c r="AI189" s="82">
        <v>0</v>
      </c>
      <c r="AJ189" s="82">
        <v>4500000</v>
      </c>
      <c r="AK189" s="82">
        <v>0</v>
      </c>
      <c r="AL189" s="82">
        <v>4500000</v>
      </c>
      <c r="AM189" s="82">
        <v>0</v>
      </c>
      <c r="AN189" s="82">
        <v>4500000</v>
      </c>
      <c r="AO189" s="82">
        <v>0</v>
      </c>
      <c r="AP189" s="82">
        <v>4500000</v>
      </c>
      <c r="AQ189" s="82">
        <v>0</v>
      </c>
      <c r="AR189" s="82">
        <v>4500000</v>
      </c>
      <c r="AS189" s="82">
        <v>0</v>
      </c>
      <c r="AT189" s="82">
        <v>4500000</v>
      </c>
      <c r="AU189" s="82">
        <v>0</v>
      </c>
      <c r="AV189" s="82">
        <v>4500000</v>
      </c>
      <c r="AW189" s="82">
        <v>0</v>
      </c>
      <c r="AX189" s="82">
        <v>4500000</v>
      </c>
      <c r="AY189" s="82">
        <v>0</v>
      </c>
      <c r="AZ189" s="82">
        <v>4500000</v>
      </c>
      <c r="BA189" s="82">
        <v>0</v>
      </c>
      <c r="BB189" s="82">
        <v>8550000</v>
      </c>
      <c r="BC189" s="82">
        <f t="shared" ref="BC189:BD189" si="366">AE189+AG189+AI189+AK189+AM189+AO189+AQ189+AS189+AU189+AW189+AY189+BA189</f>
        <v>51750000</v>
      </c>
      <c r="BD189" s="82">
        <f t="shared" si="366"/>
        <v>51750000</v>
      </c>
      <c r="BE189" s="83">
        <f t="shared" si="1"/>
        <v>450000</v>
      </c>
      <c r="BF189" s="83">
        <f t="shared" si="2"/>
        <v>450000</v>
      </c>
      <c r="BG189" s="14" t="str">
        <f ca="1">IFERROR(__xludf.DUMMYFUNCTION("REGEXEXTRACT(O183,""^\S+\s(.+)$"")"),"Prestar servicios de apoyo a la gestión para la atención de solicitudes de los servicios tecnológicos, apoyar en la gestión de la mesa de servicio y medición de indicadores de TI de la UPME.")</f>
        <v>Prestar servicios de apoyo a la gestión para la atención de solicitudes de los servicios tecnológicos, apoyar en la gestión de la mesa de servicio y medición de indicadores de TI de la UPME.</v>
      </c>
      <c r="BH189" s="23">
        <v>51750000</v>
      </c>
      <c r="BI189" s="23">
        <v>0</v>
      </c>
      <c r="BJ189" s="23">
        <v>0</v>
      </c>
      <c r="BK189" s="23">
        <v>2700000</v>
      </c>
      <c r="BL189" s="23">
        <v>0</v>
      </c>
      <c r="BM189" s="23">
        <v>4500000</v>
      </c>
      <c r="BN189" s="23">
        <v>0</v>
      </c>
      <c r="BO189" s="23">
        <v>4500000</v>
      </c>
      <c r="BP189" s="23">
        <v>450000</v>
      </c>
      <c r="BQ189" s="23">
        <v>4500000</v>
      </c>
      <c r="BR189" s="23">
        <v>0</v>
      </c>
      <c r="BS189" s="23">
        <v>4500000</v>
      </c>
      <c r="BT189" s="23">
        <v>0</v>
      </c>
      <c r="BU189" s="23">
        <v>4500000</v>
      </c>
      <c r="BV189" s="23">
        <v>0</v>
      </c>
      <c r="BW189" s="23">
        <v>4500000</v>
      </c>
      <c r="BX189" s="23">
        <v>0</v>
      </c>
      <c r="BY189" s="23">
        <v>4500000</v>
      </c>
      <c r="BZ189" s="23">
        <v>0</v>
      </c>
      <c r="CA189" s="23">
        <v>4500000</v>
      </c>
      <c r="CB189" s="23">
        <v>0</v>
      </c>
      <c r="CC189" s="23">
        <v>4500000</v>
      </c>
      <c r="CD189" s="23">
        <v>0</v>
      </c>
      <c r="CE189" s="23">
        <v>9000000</v>
      </c>
      <c r="CF189" s="28"/>
      <c r="CG189" s="28"/>
      <c r="CH189" s="25">
        <f t="shared" ref="CH189:CI189" si="367">BH189+BJ189+BL189+BN189+BP189+BR189+BT189+BV189+BX189+BZ189+CB189+CD189+CF189</f>
        <v>52200000</v>
      </c>
      <c r="CI189" s="25">
        <f t="shared" si="367"/>
        <v>52200000</v>
      </c>
      <c r="CJ189" s="26">
        <f t="shared" si="4"/>
        <v>0</v>
      </c>
      <c r="CK189" s="26">
        <f t="shared" si="5"/>
        <v>0</v>
      </c>
    </row>
    <row r="190" spans="1:89" ht="90" customHeight="1" x14ac:dyDescent="0.3">
      <c r="A190" s="13" t="s">
        <v>248</v>
      </c>
      <c r="B190" s="14" t="s">
        <v>20</v>
      </c>
      <c r="C190" s="15" t="s">
        <v>651</v>
      </c>
      <c r="D190" s="14" t="s">
        <v>67</v>
      </c>
      <c r="E190" s="13" t="s">
        <v>250</v>
      </c>
      <c r="F190" s="13" t="s">
        <v>250</v>
      </c>
      <c r="G190" s="14">
        <v>68</v>
      </c>
      <c r="H190" s="13" t="s">
        <v>687</v>
      </c>
      <c r="I190" s="15" t="s">
        <v>653</v>
      </c>
      <c r="J190" s="14" t="s">
        <v>23</v>
      </c>
      <c r="K190" s="15" t="s">
        <v>99</v>
      </c>
      <c r="L190" s="14">
        <v>80111620</v>
      </c>
      <c r="M190" s="14" t="s">
        <v>24</v>
      </c>
      <c r="N190" s="14" t="s">
        <v>253</v>
      </c>
      <c r="O190" s="15" t="s">
        <v>688</v>
      </c>
      <c r="P190" s="14" t="s">
        <v>255</v>
      </c>
      <c r="Q190" s="14" t="s">
        <v>255</v>
      </c>
      <c r="R190" s="14" t="s">
        <v>255</v>
      </c>
      <c r="S190" s="17">
        <v>11</v>
      </c>
      <c r="T190" s="14" t="s">
        <v>256</v>
      </c>
      <c r="U190" s="14" t="s">
        <v>257</v>
      </c>
      <c r="V190" s="14" t="s">
        <v>112</v>
      </c>
      <c r="W190" s="18">
        <v>93500000</v>
      </c>
      <c r="X190" s="18">
        <v>93500000</v>
      </c>
      <c r="Y190" s="19" t="s">
        <v>339</v>
      </c>
      <c r="Z190" s="19" t="s">
        <v>258</v>
      </c>
      <c r="AA190" s="14" t="s">
        <v>655</v>
      </c>
      <c r="AB190" s="14" t="s">
        <v>656</v>
      </c>
      <c r="AC190" s="14">
        <v>6012220601</v>
      </c>
      <c r="AD190" s="14" t="s">
        <v>657</v>
      </c>
      <c r="AE190" s="82">
        <v>93500000</v>
      </c>
      <c r="AF190" s="82">
        <v>0</v>
      </c>
      <c r="AG190" s="82">
        <v>0</v>
      </c>
      <c r="AH190" s="82">
        <v>2400000</v>
      </c>
      <c r="AI190" s="82">
        <v>0</v>
      </c>
      <c r="AJ190" s="82">
        <v>9000000</v>
      </c>
      <c r="AK190" s="82">
        <v>0</v>
      </c>
      <c r="AL190" s="82">
        <v>9000000</v>
      </c>
      <c r="AM190" s="82">
        <v>0</v>
      </c>
      <c r="AN190" s="82">
        <v>9000000</v>
      </c>
      <c r="AO190" s="82">
        <v>0</v>
      </c>
      <c r="AP190" s="82">
        <v>9000000</v>
      </c>
      <c r="AQ190" s="82">
        <v>0</v>
      </c>
      <c r="AR190" s="82">
        <v>9000000</v>
      </c>
      <c r="AS190" s="82">
        <v>0</v>
      </c>
      <c r="AT190" s="82">
        <v>9000000</v>
      </c>
      <c r="AU190" s="82">
        <v>0</v>
      </c>
      <c r="AV190" s="82">
        <v>9000000</v>
      </c>
      <c r="AW190" s="82">
        <v>0</v>
      </c>
      <c r="AX190" s="82">
        <v>9000000</v>
      </c>
      <c r="AY190" s="82">
        <v>0</v>
      </c>
      <c r="AZ190" s="82">
        <v>9000000</v>
      </c>
      <c r="BA190" s="82">
        <v>0</v>
      </c>
      <c r="BB190" s="82">
        <v>10100000</v>
      </c>
      <c r="BC190" s="82">
        <f t="shared" ref="BC190:BD190" si="368">AE190+AG190+AI190+AK190+AM190+AO190+AQ190+AS190+AU190+AW190+AY190+BA190</f>
        <v>93500000</v>
      </c>
      <c r="BD190" s="82">
        <f t="shared" si="368"/>
        <v>93500000</v>
      </c>
      <c r="BE190" s="83">
        <f t="shared" si="1"/>
        <v>0</v>
      </c>
      <c r="BF190" s="83">
        <f t="shared" si="2"/>
        <v>0</v>
      </c>
      <c r="BG190" s="14" t="str">
        <f ca="1">IFERROR(__xludf.DUMMYFUNCTION("REGEXEXTRACT(O184,""^\S+\s(.+)$"")"),"Prestar servicios profesionales especializados orientados a la atención, análisis y resolución de incidentes o requerimientos que afecten los sistemas de información implementados en la UPME, así como la plataforma tecnológica necesaria para su operación.")</f>
        <v>Prestar servicios profesionales especializados orientados a la atención, análisis y resolución de incidentes o requerimientos que afecten los sistemas de información implementados en la UPME, así como la plataforma tecnológica necesaria para su operación.</v>
      </c>
      <c r="BH190" s="23">
        <v>93500000</v>
      </c>
      <c r="BI190" s="23"/>
      <c r="BJ190" s="23"/>
      <c r="BK190" s="23">
        <v>2400000</v>
      </c>
      <c r="BL190" s="23"/>
      <c r="BM190" s="23">
        <v>9000000</v>
      </c>
      <c r="BN190" s="23"/>
      <c r="BO190" s="23">
        <v>9000000</v>
      </c>
      <c r="BP190" s="23"/>
      <c r="BQ190" s="23">
        <v>9000000</v>
      </c>
      <c r="BR190" s="23"/>
      <c r="BS190" s="23">
        <v>9000000</v>
      </c>
      <c r="BT190" s="23"/>
      <c r="BU190" s="23">
        <v>9000000</v>
      </c>
      <c r="BV190" s="23"/>
      <c r="BW190" s="23">
        <v>9000000</v>
      </c>
      <c r="BX190" s="23"/>
      <c r="BY190" s="23">
        <v>9000000</v>
      </c>
      <c r="BZ190" s="23"/>
      <c r="CA190" s="23">
        <v>9000000</v>
      </c>
      <c r="CB190" s="23"/>
      <c r="CC190" s="23">
        <v>9000000</v>
      </c>
      <c r="CD190" s="23"/>
      <c r="CE190" s="23">
        <v>10100000</v>
      </c>
      <c r="CF190" s="28"/>
      <c r="CG190" s="28"/>
      <c r="CH190" s="25">
        <f t="shared" ref="CH190:CI190" si="369">BH190+BJ190+BL190+BN190+BP190+BR190+BT190+BV190+BX190+BZ190+CB190+CD190+CF190</f>
        <v>93500000</v>
      </c>
      <c r="CI190" s="25">
        <f t="shared" si="369"/>
        <v>93500000</v>
      </c>
      <c r="CJ190" s="26">
        <f t="shared" si="4"/>
        <v>0</v>
      </c>
      <c r="CK190" s="26">
        <f t="shared" si="5"/>
        <v>0</v>
      </c>
    </row>
    <row r="191" spans="1:89" ht="90" customHeight="1" x14ac:dyDescent="0.3">
      <c r="A191" s="13" t="s">
        <v>248</v>
      </c>
      <c r="B191" s="14" t="s">
        <v>20</v>
      </c>
      <c r="C191" s="15" t="s">
        <v>651</v>
      </c>
      <c r="D191" s="14" t="s">
        <v>67</v>
      </c>
      <c r="E191" s="13" t="s">
        <v>250</v>
      </c>
      <c r="F191" s="13" t="s">
        <v>250</v>
      </c>
      <c r="G191" s="14">
        <v>20</v>
      </c>
      <c r="H191" s="13" t="s">
        <v>689</v>
      </c>
      <c r="I191" s="15" t="s">
        <v>653</v>
      </c>
      <c r="J191" s="14" t="s">
        <v>23</v>
      </c>
      <c r="K191" s="15" t="s">
        <v>99</v>
      </c>
      <c r="L191" s="14">
        <v>80111620</v>
      </c>
      <c r="M191" s="14" t="s">
        <v>24</v>
      </c>
      <c r="N191" s="14" t="s">
        <v>253</v>
      </c>
      <c r="O191" s="15" t="s">
        <v>690</v>
      </c>
      <c r="P191" s="14" t="s">
        <v>255</v>
      </c>
      <c r="Q191" s="14" t="s">
        <v>255</v>
      </c>
      <c r="R191" s="14" t="s">
        <v>255</v>
      </c>
      <c r="S191" s="17">
        <v>11</v>
      </c>
      <c r="T191" s="14" t="s">
        <v>256</v>
      </c>
      <c r="U191" s="14" t="s">
        <v>257</v>
      </c>
      <c r="V191" s="14" t="s">
        <v>112</v>
      </c>
      <c r="W191" s="18">
        <v>88233333</v>
      </c>
      <c r="X191" s="18">
        <v>88233333</v>
      </c>
      <c r="Y191" s="19" t="s">
        <v>339</v>
      </c>
      <c r="Z191" s="19" t="s">
        <v>258</v>
      </c>
      <c r="AA191" s="14" t="s">
        <v>655</v>
      </c>
      <c r="AB191" s="14" t="s">
        <v>656</v>
      </c>
      <c r="AC191" s="14">
        <v>6012220601</v>
      </c>
      <c r="AD191" s="14" t="s">
        <v>657</v>
      </c>
      <c r="AE191" s="82">
        <v>88000000</v>
      </c>
      <c r="AF191" s="82">
        <v>0</v>
      </c>
      <c r="AG191" s="82">
        <v>0</v>
      </c>
      <c r="AH191" s="82">
        <v>1066667</v>
      </c>
      <c r="AI191" s="82">
        <v>0</v>
      </c>
      <c r="AJ191" s="82">
        <v>8000000</v>
      </c>
      <c r="AK191" s="82">
        <v>0</v>
      </c>
      <c r="AL191" s="82">
        <v>8000000</v>
      </c>
      <c r="AM191" s="82">
        <v>0</v>
      </c>
      <c r="AN191" s="82">
        <v>8000000</v>
      </c>
      <c r="AO191" s="82">
        <v>0</v>
      </c>
      <c r="AP191" s="82">
        <v>8000000</v>
      </c>
      <c r="AQ191" s="82">
        <v>0</v>
      </c>
      <c r="AR191" s="82">
        <v>8000000</v>
      </c>
      <c r="AS191" s="82">
        <v>0</v>
      </c>
      <c r="AT191" s="82">
        <v>8000000</v>
      </c>
      <c r="AU191" s="82">
        <v>0</v>
      </c>
      <c r="AV191" s="82">
        <v>8000000</v>
      </c>
      <c r="AW191" s="82">
        <v>0</v>
      </c>
      <c r="AX191" s="82">
        <v>8000000</v>
      </c>
      <c r="AY191" s="82">
        <v>0</v>
      </c>
      <c r="AZ191" s="82">
        <v>8000000</v>
      </c>
      <c r="BA191" s="82">
        <v>0</v>
      </c>
      <c r="BB191" s="82">
        <v>14933333</v>
      </c>
      <c r="BC191" s="82">
        <f t="shared" ref="BC191:BD191" si="370">AE191+AG191+AI191+AK191+AM191+AO191+AQ191+AS191+AU191+AW191+AY191+BA191</f>
        <v>88000000</v>
      </c>
      <c r="BD191" s="82">
        <f t="shared" si="370"/>
        <v>88000000</v>
      </c>
      <c r="BE191" s="83">
        <f t="shared" si="1"/>
        <v>233333</v>
      </c>
      <c r="BF191" s="83">
        <f t="shared" si="2"/>
        <v>233333</v>
      </c>
      <c r="BG191" s="14" t="str">
        <f ca="1">IFERROR(__xludf.DUMMYFUNCTION("REGEXEXTRACT(O185,""^\S+\s(.+)$"")"),"Prestar servicios profesionales especializados en la administración y gestión integral de bases de datos, con el fin de asegurar la correcta implementación, mantenimiento, y optimización de las bases de datos que soportan las aplicaciones y portales web d"&amp;"e la Entidad")</f>
        <v>Prestar servicios profesionales especializados en la administración y gestión integral de bases de datos, con el fin de asegurar la correcta implementación, mantenimiento, y optimización de las bases de datos que soportan las aplicaciones y portales web de la Entidad</v>
      </c>
      <c r="BH191" s="23">
        <v>88000000</v>
      </c>
      <c r="BI191" s="23">
        <v>0</v>
      </c>
      <c r="BJ191" s="23">
        <v>0</v>
      </c>
      <c r="BK191" s="23">
        <v>1066667</v>
      </c>
      <c r="BL191" s="23">
        <v>0</v>
      </c>
      <c r="BM191" s="23">
        <v>8000000</v>
      </c>
      <c r="BN191" s="23">
        <v>0</v>
      </c>
      <c r="BO191" s="23">
        <v>8000000</v>
      </c>
      <c r="BP191" s="23">
        <v>233333</v>
      </c>
      <c r="BQ191" s="23">
        <v>8000000</v>
      </c>
      <c r="BR191" s="23">
        <v>0</v>
      </c>
      <c r="BS191" s="23">
        <v>8000000</v>
      </c>
      <c r="BT191" s="23">
        <v>0</v>
      </c>
      <c r="BU191" s="23">
        <v>8000000</v>
      </c>
      <c r="BV191" s="23">
        <v>0</v>
      </c>
      <c r="BW191" s="23">
        <v>8000000</v>
      </c>
      <c r="BX191" s="23">
        <v>0</v>
      </c>
      <c r="BY191" s="23">
        <v>8000000</v>
      </c>
      <c r="BZ191" s="23">
        <v>0</v>
      </c>
      <c r="CA191" s="23">
        <v>8000000</v>
      </c>
      <c r="CB191" s="23">
        <v>0</v>
      </c>
      <c r="CC191" s="23">
        <v>8000000</v>
      </c>
      <c r="CD191" s="23">
        <v>0</v>
      </c>
      <c r="CE191" s="23">
        <v>15166666</v>
      </c>
      <c r="CF191" s="28"/>
      <c r="CG191" s="28"/>
      <c r="CH191" s="25">
        <f t="shared" ref="CH191:CI191" si="371">BH191+BJ191+BL191+BN191+BP191+BR191+BT191+BV191+BX191+BZ191+CB191+CD191+CF191</f>
        <v>88233333</v>
      </c>
      <c r="CI191" s="25">
        <f t="shared" si="371"/>
        <v>88233333</v>
      </c>
      <c r="CJ191" s="26">
        <f t="shared" si="4"/>
        <v>0</v>
      </c>
      <c r="CK191" s="26">
        <f t="shared" si="5"/>
        <v>0</v>
      </c>
    </row>
    <row r="192" spans="1:89" ht="90" customHeight="1" x14ac:dyDescent="0.3">
      <c r="A192" s="13" t="s">
        <v>248</v>
      </c>
      <c r="B192" s="14" t="s">
        <v>20</v>
      </c>
      <c r="C192" s="15" t="s">
        <v>651</v>
      </c>
      <c r="D192" s="14" t="s">
        <v>67</v>
      </c>
      <c r="E192" s="13" t="s">
        <v>250</v>
      </c>
      <c r="F192" s="13" t="s">
        <v>250</v>
      </c>
      <c r="G192" s="14">
        <v>20</v>
      </c>
      <c r="H192" s="13" t="s">
        <v>691</v>
      </c>
      <c r="I192" s="15" t="s">
        <v>659</v>
      </c>
      <c r="J192" s="14" t="s">
        <v>21</v>
      </c>
      <c r="K192" s="15" t="s">
        <v>98</v>
      </c>
      <c r="L192" s="14">
        <v>80111620</v>
      </c>
      <c r="M192" s="14" t="s">
        <v>22</v>
      </c>
      <c r="N192" s="14" t="s">
        <v>253</v>
      </c>
      <c r="O192" s="15" t="s">
        <v>692</v>
      </c>
      <c r="P192" s="14" t="s">
        <v>255</v>
      </c>
      <c r="Q192" s="14" t="s">
        <v>255</v>
      </c>
      <c r="R192" s="14" t="s">
        <v>255</v>
      </c>
      <c r="S192" s="17">
        <v>11.5</v>
      </c>
      <c r="T192" s="14" t="s">
        <v>256</v>
      </c>
      <c r="U192" s="14" t="s">
        <v>257</v>
      </c>
      <c r="V192" s="14" t="s">
        <v>112</v>
      </c>
      <c r="W192" s="18">
        <v>105600000</v>
      </c>
      <c r="X192" s="18">
        <v>105600000</v>
      </c>
      <c r="Y192" s="19" t="s">
        <v>339</v>
      </c>
      <c r="Z192" s="19" t="s">
        <v>258</v>
      </c>
      <c r="AA192" s="14" t="s">
        <v>655</v>
      </c>
      <c r="AB192" s="14" t="s">
        <v>656</v>
      </c>
      <c r="AC192" s="14">
        <v>6012220601</v>
      </c>
      <c r="AD192" s="14" t="s">
        <v>657</v>
      </c>
      <c r="AE192" s="82">
        <v>103500000</v>
      </c>
      <c r="AF192" s="82">
        <v>0</v>
      </c>
      <c r="AG192" s="82">
        <v>0</v>
      </c>
      <c r="AH192" s="82">
        <v>6600000</v>
      </c>
      <c r="AI192" s="82">
        <v>0</v>
      </c>
      <c r="AJ192" s="82">
        <v>9000000</v>
      </c>
      <c r="AK192" s="82">
        <v>0</v>
      </c>
      <c r="AL192" s="82">
        <v>9000000</v>
      </c>
      <c r="AM192" s="82">
        <v>0</v>
      </c>
      <c r="AN192" s="82">
        <v>9000000</v>
      </c>
      <c r="AO192" s="82">
        <v>0</v>
      </c>
      <c r="AP192" s="82">
        <v>9000000</v>
      </c>
      <c r="AQ192" s="82">
        <v>0</v>
      </c>
      <c r="AR192" s="82">
        <v>9000000</v>
      </c>
      <c r="AS192" s="82">
        <v>0</v>
      </c>
      <c r="AT192" s="82">
        <v>9000000</v>
      </c>
      <c r="AU192" s="82">
        <v>0</v>
      </c>
      <c r="AV192" s="82">
        <v>9000000</v>
      </c>
      <c r="AW192" s="82">
        <v>0</v>
      </c>
      <c r="AX192" s="82">
        <v>9000000</v>
      </c>
      <c r="AY192" s="82">
        <v>0</v>
      </c>
      <c r="AZ192" s="82">
        <v>9000000</v>
      </c>
      <c r="BA192" s="82">
        <v>0</v>
      </c>
      <c r="BB192" s="82">
        <v>15900000</v>
      </c>
      <c r="BC192" s="82">
        <f t="shared" ref="BC192:BD192" si="372">AE192+AG192+AI192+AK192+AM192+AO192+AQ192+AS192+AU192+AW192+AY192+BA192</f>
        <v>103500000</v>
      </c>
      <c r="BD192" s="82">
        <f t="shared" si="372"/>
        <v>103500000</v>
      </c>
      <c r="BE192" s="83">
        <f t="shared" si="1"/>
        <v>2100000</v>
      </c>
      <c r="BF192" s="83">
        <f t="shared" si="2"/>
        <v>2100000</v>
      </c>
      <c r="BG192" s="14" t="str">
        <f ca="1">IFERROR(__xludf.DUMMYFUNCTION("REGEXEXTRACT(O186,""^\S+\s(.+)$"")"),"Prestar servicios profesionales especializados para apoyar el seguimiento y control de los instrumentos de planeación institucional y del Proyecto de Inversión de la Oficina de Tecnologías de la Información, comprendiendo el acompañamiento en la ejecución"&amp;" presupuestal, la gestión de procesos precontractuales y las demás actividades administrativas que se requieran")</f>
        <v>Prestar servicios profesionales especializados para apoyar el seguimiento y control de los instrumentos de planeación institucional y del Proyecto de Inversión de la Oficina de Tecnologías de la Información, comprendiendo el acompañamiento en la ejecución presupuestal, la gestión de procesos precontractuales y las demás actividades administrativas que se requieran</v>
      </c>
      <c r="BH192" s="23">
        <v>103500000</v>
      </c>
      <c r="BI192" s="23">
        <v>0</v>
      </c>
      <c r="BJ192" s="23">
        <v>0</v>
      </c>
      <c r="BK192" s="23">
        <v>6600000</v>
      </c>
      <c r="BL192" s="23">
        <v>0</v>
      </c>
      <c r="BM192" s="23">
        <v>9000000</v>
      </c>
      <c r="BN192" s="23">
        <v>0</v>
      </c>
      <c r="BO192" s="23">
        <v>9000000</v>
      </c>
      <c r="BP192" s="23">
        <v>2100000</v>
      </c>
      <c r="BQ192" s="23">
        <v>9000000</v>
      </c>
      <c r="BR192" s="23">
        <v>0</v>
      </c>
      <c r="BS192" s="23">
        <v>9000000</v>
      </c>
      <c r="BT192" s="23">
        <v>0</v>
      </c>
      <c r="BU192" s="23">
        <v>9000000</v>
      </c>
      <c r="BV192" s="23">
        <v>0</v>
      </c>
      <c r="BW192" s="23">
        <v>9000000</v>
      </c>
      <c r="BX192" s="23">
        <v>0</v>
      </c>
      <c r="BY192" s="23">
        <v>9000000</v>
      </c>
      <c r="BZ192" s="23">
        <v>0</v>
      </c>
      <c r="CA192" s="23">
        <v>9000000</v>
      </c>
      <c r="CB192" s="23">
        <v>0</v>
      </c>
      <c r="CC192" s="23">
        <v>9000000</v>
      </c>
      <c r="CD192" s="23">
        <v>0</v>
      </c>
      <c r="CE192" s="23">
        <v>18000000</v>
      </c>
      <c r="CF192" s="28"/>
      <c r="CG192" s="28"/>
      <c r="CH192" s="25">
        <f t="shared" ref="CH192:CI192" si="373">BH192+BJ192+BL192+BN192+BP192+BR192+BT192+BV192+BX192+BZ192+CB192+CD192+CF192</f>
        <v>105600000</v>
      </c>
      <c r="CI192" s="25">
        <f t="shared" si="373"/>
        <v>105600000</v>
      </c>
      <c r="CJ192" s="26">
        <f t="shared" si="4"/>
        <v>0</v>
      </c>
      <c r="CK192" s="26">
        <f t="shared" si="5"/>
        <v>0</v>
      </c>
    </row>
    <row r="193" spans="1:89" ht="90" customHeight="1" x14ac:dyDescent="0.3">
      <c r="A193" s="13" t="s">
        <v>248</v>
      </c>
      <c r="B193" s="14" t="s">
        <v>20</v>
      </c>
      <c r="C193" s="15" t="s">
        <v>651</v>
      </c>
      <c r="D193" s="14" t="s">
        <v>67</v>
      </c>
      <c r="E193" s="13" t="s">
        <v>250</v>
      </c>
      <c r="F193" s="13" t="s">
        <v>250</v>
      </c>
      <c r="G193" s="14">
        <v>2</v>
      </c>
      <c r="H193" s="13" t="s">
        <v>693</v>
      </c>
      <c r="I193" s="15" t="s">
        <v>659</v>
      </c>
      <c r="J193" s="14" t="s">
        <v>21</v>
      </c>
      <c r="K193" s="15" t="s">
        <v>98</v>
      </c>
      <c r="L193" s="14">
        <v>80111620</v>
      </c>
      <c r="M193" s="14" t="s">
        <v>22</v>
      </c>
      <c r="N193" s="14" t="s">
        <v>253</v>
      </c>
      <c r="O193" s="15" t="s">
        <v>694</v>
      </c>
      <c r="P193" s="14" t="s">
        <v>255</v>
      </c>
      <c r="Q193" s="14" t="s">
        <v>255</v>
      </c>
      <c r="R193" s="14" t="s">
        <v>255</v>
      </c>
      <c r="S193" s="17">
        <v>11</v>
      </c>
      <c r="T193" s="14" t="s">
        <v>256</v>
      </c>
      <c r="U193" s="14" t="s">
        <v>257</v>
      </c>
      <c r="V193" s="14" t="s">
        <v>112</v>
      </c>
      <c r="W193" s="18">
        <v>41741700</v>
      </c>
      <c r="X193" s="18">
        <v>41741700</v>
      </c>
      <c r="Y193" s="19" t="s">
        <v>339</v>
      </c>
      <c r="Z193" s="19" t="s">
        <v>258</v>
      </c>
      <c r="AA193" s="14" t="s">
        <v>655</v>
      </c>
      <c r="AB193" s="14" t="s">
        <v>656</v>
      </c>
      <c r="AC193" s="14">
        <v>6012220601</v>
      </c>
      <c r="AD193" s="14" t="s">
        <v>657</v>
      </c>
      <c r="AE193" s="82">
        <v>41741700</v>
      </c>
      <c r="AF193" s="82">
        <v>0</v>
      </c>
      <c r="AG193" s="82">
        <v>0</v>
      </c>
      <c r="AH193" s="82">
        <v>0</v>
      </c>
      <c r="AI193" s="82">
        <v>0</v>
      </c>
      <c r="AJ193" s="82">
        <v>3794700</v>
      </c>
      <c r="AK193" s="82">
        <v>0</v>
      </c>
      <c r="AL193" s="82">
        <v>3794700</v>
      </c>
      <c r="AM193" s="82">
        <v>0</v>
      </c>
      <c r="AN193" s="82">
        <v>3794700</v>
      </c>
      <c r="AO193" s="82">
        <v>0</v>
      </c>
      <c r="AP193" s="82">
        <v>3794700</v>
      </c>
      <c r="AQ193" s="82">
        <v>0</v>
      </c>
      <c r="AR193" s="82">
        <v>3794700</v>
      </c>
      <c r="AS193" s="82">
        <v>0</v>
      </c>
      <c r="AT193" s="82">
        <v>3794700</v>
      </c>
      <c r="AU193" s="82">
        <v>0</v>
      </c>
      <c r="AV193" s="82">
        <v>3794700</v>
      </c>
      <c r="AW193" s="82">
        <v>0</v>
      </c>
      <c r="AX193" s="82">
        <v>3794700</v>
      </c>
      <c r="AY193" s="82">
        <v>0</v>
      </c>
      <c r="AZ193" s="82">
        <v>3794700</v>
      </c>
      <c r="BA193" s="82">
        <v>0</v>
      </c>
      <c r="BB193" s="82">
        <v>7589400</v>
      </c>
      <c r="BC193" s="82">
        <f t="shared" ref="BC193:BD193" si="374">AE193+AG193+AI193+AK193+AM193+AO193+AQ193+AS193+AU193+AW193+AY193+BA193</f>
        <v>41741700</v>
      </c>
      <c r="BD193" s="82">
        <f t="shared" si="374"/>
        <v>41741700</v>
      </c>
      <c r="BE193" s="83">
        <f t="shared" si="1"/>
        <v>0</v>
      </c>
      <c r="BF193" s="83">
        <f t="shared" si="2"/>
        <v>0</v>
      </c>
      <c r="BG193" s="14" t="str">
        <f ca="1">IFERROR(__xludf.DUMMYFUNCTION("REGEXEXTRACT(O187,""^\S+\s(.+)$"")"),"Prestar servicios profesionales para apoyar en los proyectos de tecnología en todas sus fases y ciclos de proceso, especialmente, en aquellos enfocados en infraestructura tecnológica a la Oficina de Tecnología de la Información de la UPME.")</f>
        <v>Prestar servicios profesionales para apoyar en los proyectos de tecnología en todas sus fases y ciclos de proceso, especialmente, en aquellos enfocados en infraestructura tecnológica a la Oficina de Tecnología de la Información de la UPME.</v>
      </c>
      <c r="BH193" s="23">
        <v>41741700</v>
      </c>
      <c r="BI193" s="23"/>
      <c r="BJ193" s="23"/>
      <c r="BK193" s="23"/>
      <c r="BL193" s="23"/>
      <c r="BM193" s="23">
        <v>3794700</v>
      </c>
      <c r="BN193" s="23"/>
      <c r="BO193" s="23">
        <v>3794700</v>
      </c>
      <c r="BP193" s="23"/>
      <c r="BQ193" s="23">
        <v>3794700</v>
      </c>
      <c r="BR193" s="23"/>
      <c r="BS193" s="23">
        <v>3794700</v>
      </c>
      <c r="BT193" s="23"/>
      <c r="BU193" s="23">
        <v>3794700</v>
      </c>
      <c r="BV193" s="23"/>
      <c r="BW193" s="23">
        <v>3794700</v>
      </c>
      <c r="BX193" s="23"/>
      <c r="BY193" s="23">
        <v>3794700</v>
      </c>
      <c r="BZ193" s="23"/>
      <c r="CA193" s="23">
        <v>3794700</v>
      </c>
      <c r="CB193" s="23"/>
      <c r="CC193" s="23">
        <v>3794700</v>
      </c>
      <c r="CD193" s="23"/>
      <c r="CE193" s="23">
        <v>7589400</v>
      </c>
      <c r="CF193" s="28"/>
      <c r="CG193" s="28"/>
      <c r="CH193" s="25">
        <f t="shared" ref="CH193:CI193" si="375">BH193+BJ193+BL193+BN193+BP193+BR193+BT193+BV193+BX193+BZ193+CB193+CD193+CF193</f>
        <v>41741700</v>
      </c>
      <c r="CI193" s="25">
        <f t="shared" si="375"/>
        <v>41741700</v>
      </c>
      <c r="CJ193" s="26">
        <f t="shared" si="4"/>
        <v>0</v>
      </c>
      <c r="CK193" s="26">
        <f t="shared" si="5"/>
        <v>0</v>
      </c>
    </row>
    <row r="194" spans="1:89" ht="90" customHeight="1" x14ac:dyDescent="0.3">
      <c r="A194" s="13" t="s">
        <v>248</v>
      </c>
      <c r="B194" s="14" t="s">
        <v>20</v>
      </c>
      <c r="C194" s="15" t="s">
        <v>651</v>
      </c>
      <c r="D194" s="14" t="s">
        <v>67</v>
      </c>
      <c r="E194" s="13" t="s">
        <v>250</v>
      </c>
      <c r="F194" s="13" t="s">
        <v>250</v>
      </c>
      <c r="G194" s="14">
        <v>20</v>
      </c>
      <c r="H194" s="13" t="s">
        <v>695</v>
      </c>
      <c r="I194" s="15" t="s">
        <v>659</v>
      </c>
      <c r="J194" s="14" t="s">
        <v>21</v>
      </c>
      <c r="K194" s="15" t="s">
        <v>97</v>
      </c>
      <c r="L194" s="14">
        <v>80111620</v>
      </c>
      <c r="M194" s="14" t="s">
        <v>22</v>
      </c>
      <c r="N194" s="14" t="s">
        <v>253</v>
      </c>
      <c r="O194" s="15" t="s">
        <v>696</v>
      </c>
      <c r="P194" s="14" t="s">
        <v>255</v>
      </c>
      <c r="Q194" s="14" t="s">
        <v>255</v>
      </c>
      <c r="R194" s="14" t="s">
        <v>255</v>
      </c>
      <c r="S194" s="17">
        <v>11</v>
      </c>
      <c r="T194" s="14" t="s">
        <v>256</v>
      </c>
      <c r="U194" s="14" t="s">
        <v>257</v>
      </c>
      <c r="V194" s="14" t="s">
        <v>112</v>
      </c>
      <c r="W194" s="18">
        <v>87200000</v>
      </c>
      <c r="X194" s="18">
        <v>87200000</v>
      </c>
      <c r="Y194" s="19" t="s">
        <v>339</v>
      </c>
      <c r="Z194" s="19" t="s">
        <v>258</v>
      </c>
      <c r="AA194" s="14" t="s">
        <v>655</v>
      </c>
      <c r="AB194" s="14" t="s">
        <v>656</v>
      </c>
      <c r="AC194" s="14">
        <v>6012220601</v>
      </c>
      <c r="AD194" s="14" t="s">
        <v>657</v>
      </c>
      <c r="AE194" s="82">
        <v>0</v>
      </c>
      <c r="AF194" s="82">
        <v>0</v>
      </c>
      <c r="AG194" s="82">
        <v>88000000</v>
      </c>
      <c r="AH194" s="82">
        <v>0</v>
      </c>
      <c r="AI194" s="82">
        <v>0</v>
      </c>
      <c r="AJ194" s="82">
        <v>8000000</v>
      </c>
      <c r="AK194" s="82">
        <v>0</v>
      </c>
      <c r="AL194" s="82">
        <v>8000000</v>
      </c>
      <c r="AM194" s="82">
        <v>0</v>
      </c>
      <c r="AN194" s="82">
        <v>8000000</v>
      </c>
      <c r="AO194" s="82">
        <v>0</v>
      </c>
      <c r="AP194" s="82">
        <v>8000000</v>
      </c>
      <c r="AQ194" s="82">
        <v>0</v>
      </c>
      <c r="AR194" s="82">
        <v>8000000</v>
      </c>
      <c r="AS194" s="82">
        <v>0</v>
      </c>
      <c r="AT194" s="82">
        <v>8000000</v>
      </c>
      <c r="AU194" s="82">
        <v>0</v>
      </c>
      <c r="AV194" s="82">
        <v>8000000</v>
      </c>
      <c r="AW194" s="82">
        <v>0</v>
      </c>
      <c r="AX194" s="82">
        <v>8000000</v>
      </c>
      <c r="AY194" s="82">
        <v>0</v>
      </c>
      <c r="AZ194" s="82">
        <v>8000000</v>
      </c>
      <c r="BA194" s="82">
        <v>0</v>
      </c>
      <c r="BB194" s="82">
        <v>16000000</v>
      </c>
      <c r="BC194" s="82">
        <f t="shared" ref="BC194:BD194" si="376">AE194+AG194+AI194+AK194+AM194+AO194+AQ194+AS194+AU194+AW194+AY194+BA194</f>
        <v>88000000</v>
      </c>
      <c r="BD194" s="82">
        <f t="shared" si="376"/>
        <v>88000000</v>
      </c>
      <c r="BE194" s="83">
        <f t="shared" si="1"/>
        <v>-800000</v>
      </c>
      <c r="BF194" s="83">
        <f t="shared" si="2"/>
        <v>-800000</v>
      </c>
      <c r="BG194" s="14" t="str">
        <f ca="1">IFERROR(__xludf.DUMMYFUNCTION("REGEXEXTRACT(O188,""^\S+\s(.+)$"")"),"Prestar servicios profesionales para apoyar la administración y el mejoramiento continuo del Sistema de Gestión de Seguridad y Privacidad de la Información – SGSI, en el marco del Modelo de Seguridad y Privacidad de la Información – MSPI, orientado a los "&amp;"planes de tratamiento de riesgos y de seguridad, la gestión de riesgos y activos de información, y la consolidación de un entorno confiable alineado con la política de Gobierno Digital.")</f>
        <v>Prestar servicios profesionales para apoyar la administración y el mejoramiento continuo del Sistema de Gestión de Seguridad y Privacidad de la Información – SGSI, en el marco del Modelo de Seguridad y Privacidad de la Información – MSPI, orientado a los planes de tratamiento de riesgos y de seguridad, la gestión de riesgos y activos de información, y la consolidación de un entorno confiable alineado con la política de Gobierno Digital.</v>
      </c>
      <c r="BH194" s="23">
        <v>0</v>
      </c>
      <c r="BI194" s="23">
        <v>0</v>
      </c>
      <c r="BJ194" s="23">
        <v>88000000</v>
      </c>
      <c r="BK194" s="23">
        <v>0</v>
      </c>
      <c r="BL194" s="23">
        <v>0</v>
      </c>
      <c r="BM194" s="23">
        <v>7200000</v>
      </c>
      <c r="BN194" s="23">
        <v>-800000</v>
      </c>
      <c r="BO194" s="23">
        <v>8000000</v>
      </c>
      <c r="BP194" s="23">
        <v>0</v>
      </c>
      <c r="BQ194" s="23">
        <v>8000000</v>
      </c>
      <c r="BR194" s="23">
        <v>0</v>
      </c>
      <c r="BS194" s="23">
        <v>8000000</v>
      </c>
      <c r="BT194" s="23">
        <v>0</v>
      </c>
      <c r="BU194" s="23">
        <v>8000000</v>
      </c>
      <c r="BV194" s="23">
        <v>0</v>
      </c>
      <c r="BW194" s="23">
        <v>8000000</v>
      </c>
      <c r="BX194" s="23">
        <v>0</v>
      </c>
      <c r="BY194" s="23">
        <v>8000000</v>
      </c>
      <c r="BZ194" s="23">
        <v>0</v>
      </c>
      <c r="CA194" s="23">
        <v>8000000</v>
      </c>
      <c r="CB194" s="23">
        <v>0</v>
      </c>
      <c r="CC194" s="23">
        <v>8000000</v>
      </c>
      <c r="CD194" s="23">
        <v>0</v>
      </c>
      <c r="CE194" s="23">
        <v>16000000</v>
      </c>
      <c r="CF194" s="28"/>
      <c r="CG194" s="28"/>
      <c r="CH194" s="25">
        <f t="shared" ref="CH194:CI194" si="377">BH194+BJ194+BL194+BN194+BP194+BR194+BT194+BV194+BX194+BZ194+CB194+CD194+CF194</f>
        <v>87200000</v>
      </c>
      <c r="CI194" s="25">
        <f t="shared" si="377"/>
        <v>87200000</v>
      </c>
      <c r="CJ194" s="26">
        <f t="shared" si="4"/>
        <v>0</v>
      </c>
      <c r="CK194" s="26">
        <f t="shared" si="5"/>
        <v>0</v>
      </c>
    </row>
    <row r="195" spans="1:89" ht="90" customHeight="1" x14ac:dyDescent="0.3">
      <c r="A195" s="13" t="s">
        <v>248</v>
      </c>
      <c r="B195" s="14" t="s">
        <v>20</v>
      </c>
      <c r="C195" s="15" t="s">
        <v>651</v>
      </c>
      <c r="D195" s="14" t="s">
        <v>67</v>
      </c>
      <c r="E195" s="13" t="s">
        <v>250</v>
      </c>
      <c r="F195" s="13" t="s">
        <v>250</v>
      </c>
      <c r="G195" s="14">
        <v>20</v>
      </c>
      <c r="H195" s="13" t="s">
        <v>697</v>
      </c>
      <c r="I195" s="15" t="s">
        <v>659</v>
      </c>
      <c r="J195" s="14" t="s">
        <v>21</v>
      </c>
      <c r="K195" s="15" t="s">
        <v>97</v>
      </c>
      <c r="L195" s="14">
        <v>80111620</v>
      </c>
      <c r="M195" s="14" t="s">
        <v>22</v>
      </c>
      <c r="N195" s="14" t="s">
        <v>253</v>
      </c>
      <c r="O195" s="15" t="s">
        <v>698</v>
      </c>
      <c r="P195" s="14" t="s">
        <v>255</v>
      </c>
      <c r="Q195" s="14" t="s">
        <v>255</v>
      </c>
      <c r="R195" s="14" t="s">
        <v>255</v>
      </c>
      <c r="S195" s="17">
        <v>11</v>
      </c>
      <c r="T195" s="14" t="s">
        <v>256</v>
      </c>
      <c r="U195" s="14" t="s">
        <v>257</v>
      </c>
      <c r="V195" s="14" t="s">
        <v>112</v>
      </c>
      <c r="W195" s="18">
        <v>82250000</v>
      </c>
      <c r="X195" s="18">
        <v>82250000</v>
      </c>
      <c r="Y195" s="19" t="s">
        <v>339</v>
      </c>
      <c r="Z195" s="19" t="s">
        <v>258</v>
      </c>
      <c r="AA195" s="14" t="s">
        <v>655</v>
      </c>
      <c r="AB195" s="14" t="s">
        <v>656</v>
      </c>
      <c r="AC195" s="14">
        <v>6012220601</v>
      </c>
      <c r="AD195" s="14" t="s">
        <v>657</v>
      </c>
      <c r="AE195" s="82">
        <v>82500000</v>
      </c>
      <c r="AF195" s="82">
        <v>0</v>
      </c>
      <c r="AG195" s="82">
        <v>0</v>
      </c>
      <c r="AH195" s="82">
        <v>0</v>
      </c>
      <c r="AI195" s="82">
        <v>0</v>
      </c>
      <c r="AJ195" s="82">
        <v>7500000</v>
      </c>
      <c r="AK195" s="82">
        <v>0</v>
      </c>
      <c r="AL195" s="82">
        <v>7500000</v>
      </c>
      <c r="AM195" s="82">
        <v>0</v>
      </c>
      <c r="AN195" s="82">
        <v>7500000</v>
      </c>
      <c r="AO195" s="82">
        <v>0</v>
      </c>
      <c r="AP195" s="82">
        <v>7500000</v>
      </c>
      <c r="AQ195" s="82">
        <v>0</v>
      </c>
      <c r="AR195" s="82">
        <v>7500000</v>
      </c>
      <c r="AS195" s="82">
        <v>0</v>
      </c>
      <c r="AT195" s="82">
        <v>7500000</v>
      </c>
      <c r="AU195" s="82">
        <v>0</v>
      </c>
      <c r="AV195" s="82">
        <v>7500000</v>
      </c>
      <c r="AW195" s="82">
        <v>0</v>
      </c>
      <c r="AX195" s="82">
        <v>7500000</v>
      </c>
      <c r="AY195" s="82">
        <v>0</v>
      </c>
      <c r="AZ195" s="82">
        <v>7500000</v>
      </c>
      <c r="BA195" s="82">
        <v>0</v>
      </c>
      <c r="BB195" s="82">
        <v>15000000</v>
      </c>
      <c r="BC195" s="82">
        <f t="shared" ref="BC195:BD195" si="378">AE195+AG195+AI195+AK195+AM195+AO195+AQ195+AS195+AU195+AW195+AY195+BA195</f>
        <v>82500000</v>
      </c>
      <c r="BD195" s="82">
        <f t="shared" si="378"/>
        <v>82500000</v>
      </c>
      <c r="BE195" s="83">
        <f t="shared" si="1"/>
        <v>-250000</v>
      </c>
      <c r="BF195" s="83">
        <f t="shared" si="2"/>
        <v>-250000</v>
      </c>
      <c r="BG195" s="14" t="str">
        <f ca="1">IFERROR(__xludf.DUMMYFUNCTION("REGEXEXTRACT(O189,""^\S+\s(.+)$"")"),"Prestar servicios profesionales para gestionar y alinear la Arquitectura Empresarial de sistemas de información de la UPME, garantizando el gobierno de datos y apoyar de manera eficiente la misión y los objetivos estratégicos de la entidad.")</f>
        <v>Prestar servicios profesionales para gestionar y alinear la Arquitectura Empresarial de sistemas de información de la UPME, garantizando el gobierno de datos y apoyar de manera eficiente la misión y los objetivos estratégicos de la entidad.</v>
      </c>
      <c r="BH195" s="23">
        <v>0</v>
      </c>
      <c r="BI195" s="23">
        <v>0</v>
      </c>
      <c r="BJ195" s="23">
        <v>82500000</v>
      </c>
      <c r="BK195" s="23">
        <v>0</v>
      </c>
      <c r="BL195" s="23">
        <v>0</v>
      </c>
      <c r="BM195" s="23">
        <v>7250000</v>
      </c>
      <c r="BN195" s="23">
        <v>-250000</v>
      </c>
      <c r="BO195" s="23">
        <v>7500000</v>
      </c>
      <c r="BP195" s="23">
        <v>0</v>
      </c>
      <c r="BQ195" s="23">
        <v>7500000</v>
      </c>
      <c r="BR195" s="23">
        <v>0</v>
      </c>
      <c r="BS195" s="23">
        <v>7500000</v>
      </c>
      <c r="BT195" s="23">
        <v>0</v>
      </c>
      <c r="BU195" s="23">
        <v>7500000</v>
      </c>
      <c r="BV195" s="23">
        <v>0</v>
      </c>
      <c r="BW195" s="23">
        <v>7500000</v>
      </c>
      <c r="BX195" s="23">
        <v>0</v>
      </c>
      <c r="BY195" s="23">
        <v>7500000</v>
      </c>
      <c r="BZ195" s="23">
        <v>0</v>
      </c>
      <c r="CA195" s="23">
        <v>7500000</v>
      </c>
      <c r="CB195" s="23">
        <v>0</v>
      </c>
      <c r="CC195" s="23">
        <v>7500000</v>
      </c>
      <c r="CD195" s="23">
        <v>0</v>
      </c>
      <c r="CE195" s="23">
        <v>15000000</v>
      </c>
      <c r="CF195" s="28"/>
      <c r="CG195" s="28"/>
      <c r="CH195" s="25">
        <f t="shared" ref="CH195:CI195" si="379">BH195+BJ195+BL195+BN195+BP195+BR195+BT195+BV195+BX195+BZ195+CB195+CD195+CF195</f>
        <v>82250000</v>
      </c>
      <c r="CI195" s="25">
        <f t="shared" si="379"/>
        <v>82250000</v>
      </c>
      <c r="CJ195" s="26">
        <f t="shared" si="4"/>
        <v>0</v>
      </c>
      <c r="CK195" s="26">
        <f t="shared" si="5"/>
        <v>0</v>
      </c>
    </row>
    <row r="196" spans="1:89" ht="90" customHeight="1" x14ac:dyDescent="0.3">
      <c r="A196" s="13" t="s">
        <v>248</v>
      </c>
      <c r="B196" s="14" t="s">
        <v>20</v>
      </c>
      <c r="C196" s="15" t="s">
        <v>651</v>
      </c>
      <c r="D196" s="14" t="s">
        <v>67</v>
      </c>
      <c r="E196" s="13" t="s">
        <v>250</v>
      </c>
      <c r="F196" s="13" t="s">
        <v>250</v>
      </c>
      <c r="G196" s="14">
        <v>20</v>
      </c>
      <c r="H196" s="13" t="s">
        <v>699</v>
      </c>
      <c r="I196" s="15" t="s">
        <v>659</v>
      </c>
      <c r="J196" s="14" t="s">
        <v>21</v>
      </c>
      <c r="K196" s="15" t="s">
        <v>97</v>
      </c>
      <c r="L196" s="14">
        <v>80111620</v>
      </c>
      <c r="M196" s="14" t="s">
        <v>22</v>
      </c>
      <c r="N196" s="14" t="s">
        <v>253</v>
      </c>
      <c r="O196" s="15" t="s">
        <v>700</v>
      </c>
      <c r="P196" s="14" t="s">
        <v>255</v>
      </c>
      <c r="Q196" s="14" t="s">
        <v>255</v>
      </c>
      <c r="R196" s="14" t="s">
        <v>255</v>
      </c>
      <c r="S196" s="17">
        <v>11</v>
      </c>
      <c r="T196" s="14" t="s">
        <v>256</v>
      </c>
      <c r="U196" s="14" t="s">
        <v>257</v>
      </c>
      <c r="V196" s="14" t="s">
        <v>112</v>
      </c>
      <c r="W196" s="18">
        <v>75133333</v>
      </c>
      <c r="X196" s="18">
        <v>75133333</v>
      </c>
      <c r="Y196" s="19" t="s">
        <v>339</v>
      </c>
      <c r="Z196" s="19" t="s">
        <v>258</v>
      </c>
      <c r="AA196" s="14" t="s">
        <v>655</v>
      </c>
      <c r="AB196" s="14" t="s">
        <v>656</v>
      </c>
      <c r="AC196" s="14">
        <v>6012220601</v>
      </c>
      <c r="AD196" s="14" t="s">
        <v>657</v>
      </c>
      <c r="AE196" s="82">
        <v>0</v>
      </c>
      <c r="AF196" s="82">
        <v>0</v>
      </c>
      <c r="AG196" s="82">
        <v>77000000</v>
      </c>
      <c r="AH196" s="82">
        <v>0</v>
      </c>
      <c r="AI196" s="82">
        <v>0</v>
      </c>
      <c r="AJ196" s="82">
        <v>7000000</v>
      </c>
      <c r="AK196" s="82">
        <v>0</v>
      </c>
      <c r="AL196" s="82">
        <v>7000000</v>
      </c>
      <c r="AM196" s="82">
        <v>0</v>
      </c>
      <c r="AN196" s="82">
        <v>7000000</v>
      </c>
      <c r="AO196" s="82">
        <v>0</v>
      </c>
      <c r="AP196" s="82">
        <v>7000000</v>
      </c>
      <c r="AQ196" s="82">
        <v>0</v>
      </c>
      <c r="AR196" s="82">
        <v>7000000</v>
      </c>
      <c r="AS196" s="82">
        <v>0</v>
      </c>
      <c r="AT196" s="82">
        <v>7000000</v>
      </c>
      <c r="AU196" s="82">
        <v>0</v>
      </c>
      <c r="AV196" s="82">
        <v>7000000</v>
      </c>
      <c r="AW196" s="82">
        <v>0</v>
      </c>
      <c r="AX196" s="82">
        <v>7000000</v>
      </c>
      <c r="AY196" s="82">
        <v>0</v>
      </c>
      <c r="AZ196" s="82">
        <v>7000000</v>
      </c>
      <c r="BA196" s="82">
        <v>0</v>
      </c>
      <c r="BB196" s="82">
        <v>14000000</v>
      </c>
      <c r="BC196" s="82">
        <f t="shared" ref="BC196:BD196" si="380">AE196+AG196+AI196+AK196+AM196+AO196+AQ196+AS196+AU196+AW196+AY196+BA196</f>
        <v>77000000</v>
      </c>
      <c r="BD196" s="82">
        <f t="shared" si="380"/>
        <v>77000000</v>
      </c>
      <c r="BE196" s="83">
        <f t="shared" si="1"/>
        <v>-1866667</v>
      </c>
      <c r="BF196" s="83">
        <f t="shared" si="2"/>
        <v>-1866667</v>
      </c>
      <c r="BG196" s="14" t="str">
        <f ca="1">IFERROR(__xludf.DUMMYFUNCTION("REGEXEXTRACT(O190,""^\S+\s(.+)$"")"),"Prestar servicios profesionales para fortalecer la gestión estratégica de tecnología y la transformación digital de la entidad; mediante el diseño, alineación y gestión de la implementación de la Arquitectura Empresarial de la UPME, asegurando la relación"&amp;" entre los objetivos estratégicos del negocio y las capacidades tecnológicas de la entidad contribuyendo así al fortalecimiento de la política de gobierno digital.")</f>
        <v>Prestar servicios profesionales para fortalecer la gestión estratégica de tecnología y la transformación digital de la entidad; mediante el diseño, alineación y gestión de la implementación de la Arquitectura Empresarial de la UPME, asegurando la relación entre los objetivos estratégicos del negocio y las capacidades tecnológicas de la entidad contribuyendo así al fortalecimiento de la política de gobierno digital.</v>
      </c>
      <c r="BH196" s="23">
        <v>0</v>
      </c>
      <c r="BI196" s="23">
        <v>0</v>
      </c>
      <c r="BJ196" s="23">
        <v>77000000</v>
      </c>
      <c r="BK196" s="23">
        <v>0</v>
      </c>
      <c r="BL196" s="23">
        <v>0</v>
      </c>
      <c r="BM196" s="23">
        <v>5133333</v>
      </c>
      <c r="BN196" s="23">
        <v>-1866667</v>
      </c>
      <c r="BO196" s="23">
        <v>7000000</v>
      </c>
      <c r="BP196" s="23">
        <v>0</v>
      </c>
      <c r="BQ196" s="23">
        <v>7000000</v>
      </c>
      <c r="BR196" s="23">
        <v>0</v>
      </c>
      <c r="BS196" s="23">
        <v>7000000</v>
      </c>
      <c r="BT196" s="23">
        <v>0</v>
      </c>
      <c r="BU196" s="23">
        <v>7000000</v>
      </c>
      <c r="BV196" s="23">
        <v>0</v>
      </c>
      <c r="BW196" s="23">
        <v>7000000</v>
      </c>
      <c r="BX196" s="23">
        <v>0</v>
      </c>
      <c r="BY196" s="23">
        <v>7000000</v>
      </c>
      <c r="BZ196" s="23">
        <v>0</v>
      </c>
      <c r="CA196" s="23">
        <v>7000000</v>
      </c>
      <c r="CB196" s="23">
        <v>0</v>
      </c>
      <c r="CC196" s="23">
        <v>7000000</v>
      </c>
      <c r="CD196" s="23">
        <v>0</v>
      </c>
      <c r="CE196" s="23">
        <v>14000000</v>
      </c>
      <c r="CF196" s="28"/>
      <c r="CG196" s="28"/>
      <c r="CH196" s="25">
        <f t="shared" ref="CH196:CI196" si="381">BH196+BJ196+BL196+BN196+BP196+BR196+BT196+BV196+BX196+BZ196+CB196+CD196+CF196</f>
        <v>75133333</v>
      </c>
      <c r="CI196" s="25">
        <f t="shared" si="381"/>
        <v>75133333</v>
      </c>
      <c r="CJ196" s="26">
        <f t="shared" si="4"/>
        <v>0</v>
      </c>
      <c r="CK196" s="26">
        <f t="shared" si="5"/>
        <v>0</v>
      </c>
    </row>
    <row r="197" spans="1:89" ht="90" customHeight="1" x14ac:dyDescent="0.3">
      <c r="A197" s="13" t="s">
        <v>248</v>
      </c>
      <c r="B197" s="14" t="s">
        <v>20</v>
      </c>
      <c r="C197" s="15" t="s">
        <v>651</v>
      </c>
      <c r="D197" s="14" t="s">
        <v>67</v>
      </c>
      <c r="E197" s="13" t="s">
        <v>250</v>
      </c>
      <c r="F197" s="13" t="s">
        <v>250</v>
      </c>
      <c r="G197" s="14">
        <v>7</v>
      </c>
      <c r="H197" s="13" t="s">
        <v>701</v>
      </c>
      <c r="I197" s="15" t="s">
        <v>659</v>
      </c>
      <c r="J197" s="14" t="s">
        <v>21</v>
      </c>
      <c r="K197" s="15" t="s">
        <v>98</v>
      </c>
      <c r="L197" s="14">
        <v>80111620</v>
      </c>
      <c r="M197" s="14" t="s">
        <v>22</v>
      </c>
      <c r="N197" s="14" t="s">
        <v>253</v>
      </c>
      <c r="O197" s="15" t="s">
        <v>702</v>
      </c>
      <c r="P197" s="14" t="s">
        <v>255</v>
      </c>
      <c r="Q197" s="14" t="s">
        <v>255</v>
      </c>
      <c r="R197" s="14" t="s">
        <v>255</v>
      </c>
      <c r="S197" s="17">
        <v>9</v>
      </c>
      <c r="T197" s="14" t="s">
        <v>256</v>
      </c>
      <c r="U197" s="14" t="s">
        <v>257</v>
      </c>
      <c r="V197" s="14" t="s">
        <v>112</v>
      </c>
      <c r="W197" s="18">
        <v>36139950</v>
      </c>
      <c r="X197" s="18">
        <v>36139950</v>
      </c>
      <c r="Y197" s="19" t="s">
        <v>339</v>
      </c>
      <c r="Z197" s="19" t="s">
        <v>258</v>
      </c>
      <c r="AA197" s="14" t="s">
        <v>655</v>
      </c>
      <c r="AB197" s="14" t="s">
        <v>656</v>
      </c>
      <c r="AC197" s="14">
        <v>6012220601</v>
      </c>
      <c r="AD197" s="14" t="s">
        <v>657</v>
      </c>
      <c r="AE197" s="82">
        <v>0</v>
      </c>
      <c r="AF197" s="82">
        <v>0</v>
      </c>
      <c r="AG197" s="82">
        <v>36139950</v>
      </c>
      <c r="AH197" s="82">
        <v>0</v>
      </c>
      <c r="AI197" s="82">
        <v>0</v>
      </c>
      <c r="AJ197" s="82">
        <v>5000000</v>
      </c>
      <c r="AK197" s="82">
        <v>0</v>
      </c>
      <c r="AL197" s="82">
        <v>5000000</v>
      </c>
      <c r="AM197" s="82">
        <v>0</v>
      </c>
      <c r="AN197" s="82">
        <v>5000000</v>
      </c>
      <c r="AO197" s="82">
        <v>0</v>
      </c>
      <c r="AP197" s="82">
        <v>5000000</v>
      </c>
      <c r="AQ197" s="82">
        <v>0</v>
      </c>
      <c r="AR197" s="82">
        <v>5000000</v>
      </c>
      <c r="AS197" s="82">
        <v>0</v>
      </c>
      <c r="AT197" s="82">
        <v>5000000</v>
      </c>
      <c r="AU197" s="82">
        <v>0</v>
      </c>
      <c r="AV197" s="82">
        <v>5000000</v>
      </c>
      <c r="AW197" s="82">
        <v>0</v>
      </c>
      <c r="AX197" s="82">
        <v>1139950</v>
      </c>
      <c r="AY197" s="82">
        <v>0</v>
      </c>
      <c r="AZ197" s="82">
        <v>0</v>
      </c>
      <c r="BA197" s="82">
        <v>0</v>
      </c>
      <c r="BB197" s="82">
        <v>0</v>
      </c>
      <c r="BC197" s="82">
        <f t="shared" ref="BC197:BD197" si="382">AE197+AG197+AI197+AK197+AM197+AO197+AQ197+AS197+AU197+AW197+AY197+BA197</f>
        <v>36139950</v>
      </c>
      <c r="BD197" s="82">
        <f t="shared" si="382"/>
        <v>36139950</v>
      </c>
      <c r="BE197" s="83">
        <f t="shared" si="1"/>
        <v>0</v>
      </c>
      <c r="BF197" s="83">
        <f t="shared" si="2"/>
        <v>0</v>
      </c>
      <c r="BG197" s="14" t="str">
        <f ca="1">IFERROR(__xludf.DUMMYFUNCTION("REGEXEXTRACT(O191,""^\S+\s(.+)$"")"),"Prestar servicios de apoyo a la gestión para la comunicación estratégica de la entidad, orientados a la divulgación, socialización y posicionamiento de sus planes, programas, proyectos, procesos y resultados, así como a la articulación de estos con las es"&amp;"trategias institucionales y sectoriales, promoviendo su adecuada comprensión y apropiación por parte de los públicos de interés.")</f>
        <v>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v>
      </c>
      <c r="BH197" s="23"/>
      <c r="BI197" s="23"/>
      <c r="BJ197" s="23">
        <v>36139950</v>
      </c>
      <c r="BK197" s="23"/>
      <c r="BL197" s="23"/>
      <c r="BM197" s="23">
        <v>5000000</v>
      </c>
      <c r="BN197" s="23"/>
      <c r="BO197" s="23">
        <v>5000000</v>
      </c>
      <c r="BP197" s="23"/>
      <c r="BQ197" s="23">
        <v>5000000</v>
      </c>
      <c r="BR197" s="23"/>
      <c r="BS197" s="23">
        <v>5000000</v>
      </c>
      <c r="BT197" s="23"/>
      <c r="BU197" s="23">
        <v>5000000</v>
      </c>
      <c r="BV197" s="23"/>
      <c r="BW197" s="23">
        <v>5000000</v>
      </c>
      <c r="BX197" s="23"/>
      <c r="BY197" s="23">
        <v>5000000</v>
      </c>
      <c r="BZ197" s="23"/>
      <c r="CA197" s="23">
        <v>1139950</v>
      </c>
      <c r="CB197" s="23"/>
      <c r="CC197" s="23"/>
      <c r="CD197" s="23"/>
      <c r="CE197" s="23"/>
      <c r="CF197" s="28"/>
      <c r="CG197" s="28"/>
      <c r="CH197" s="25">
        <f t="shared" ref="CH197:CI197" si="383">BH197+BJ197+BL197+BN197+BP197+BR197+BT197+BV197+BX197+BZ197+CB197+CD197+CF197</f>
        <v>36139950</v>
      </c>
      <c r="CI197" s="25">
        <f t="shared" si="383"/>
        <v>36139950</v>
      </c>
      <c r="CJ197" s="26">
        <f t="shared" si="4"/>
        <v>0</v>
      </c>
      <c r="CK197" s="26">
        <f t="shared" si="5"/>
        <v>0</v>
      </c>
    </row>
    <row r="198" spans="1:89" ht="90" customHeight="1" x14ac:dyDescent="0.3">
      <c r="A198" s="13" t="s">
        <v>248</v>
      </c>
      <c r="B198" s="14" t="s">
        <v>20</v>
      </c>
      <c r="C198" s="15" t="s">
        <v>651</v>
      </c>
      <c r="D198" s="14" t="s">
        <v>67</v>
      </c>
      <c r="E198" s="13" t="s">
        <v>250</v>
      </c>
      <c r="F198" s="13" t="s">
        <v>250</v>
      </c>
      <c r="G198" s="14">
        <v>20</v>
      </c>
      <c r="H198" s="13" t="s">
        <v>703</v>
      </c>
      <c r="I198" s="15" t="s">
        <v>659</v>
      </c>
      <c r="J198" s="14" t="s">
        <v>21</v>
      </c>
      <c r="K198" s="15" t="s">
        <v>98</v>
      </c>
      <c r="L198" s="14">
        <v>80111620</v>
      </c>
      <c r="M198" s="14" t="s">
        <v>22</v>
      </c>
      <c r="N198" s="14" t="s">
        <v>253</v>
      </c>
      <c r="O198" s="15" t="s">
        <v>704</v>
      </c>
      <c r="P198" s="14" t="s">
        <v>255</v>
      </c>
      <c r="Q198" s="14" t="s">
        <v>255</v>
      </c>
      <c r="R198" s="14" t="s">
        <v>255</v>
      </c>
      <c r="S198" s="17">
        <v>11</v>
      </c>
      <c r="T198" s="14" t="s">
        <v>256</v>
      </c>
      <c r="U198" s="14" t="s">
        <v>257</v>
      </c>
      <c r="V198" s="14" t="s">
        <v>112</v>
      </c>
      <c r="W198" s="18">
        <v>63800000</v>
      </c>
      <c r="X198" s="18">
        <v>63800000</v>
      </c>
      <c r="Y198" s="19" t="s">
        <v>339</v>
      </c>
      <c r="Z198" s="19" t="s">
        <v>258</v>
      </c>
      <c r="AA198" s="14" t="s">
        <v>655</v>
      </c>
      <c r="AB198" s="14" t="s">
        <v>656</v>
      </c>
      <c r="AC198" s="14">
        <v>6012220601</v>
      </c>
      <c r="AD198" s="14" t="s">
        <v>657</v>
      </c>
      <c r="AE198" s="82">
        <v>0</v>
      </c>
      <c r="AF198" s="82">
        <v>0</v>
      </c>
      <c r="AG198" s="82">
        <v>66000000</v>
      </c>
      <c r="AH198" s="82">
        <v>0</v>
      </c>
      <c r="AI198" s="82">
        <v>0</v>
      </c>
      <c r="AJ198" s="82">
        <v>6000000</v>
      </c>
      <c r="AK198" s="82">
        <v>0</v>
      </c>
      <c r="AL198" s="82">
        <v>6000000</v>
      </c>
      <c r="AM198" s="82">
        <v>0</v>
      </c>
      <c r="AN198" s="82">
        <v>6000000</v>
      </c>
      <c r="AO198" s="82">
        <v>0</v>
      </c>
      <c r="AP198" s="82">
        <v>6000000</v>
      </c>
      <c r="AQ198" s="82">
        <v>0</v>
      </c>
      <c r="AR198" s="82">
        <v>6000000</v>
      </c>
      <c r="AS198" s="82">
        <v>0</v>
      </c>
      <c r="AT198" s="82">
        <v>6000000</v>
      </c>
      <c r="AU198" s="82">
        <v>0</v>
      </c>
      <c r="AV198" s="82">
        <v>6000000</v>
      </c>
      <c r="AW198" s="82">
        <v>0</v>
      </c>
      <c r="AX198" s="82">
        <v>6000000</v>
      </c>
      <c r="AY198" s="82">
        <v>0</v>
      </c>
      <c r="AZ198" s="82">
        <v>6000000</v>
      </c>
      <c r="BA198" s="82">
        <v>0</v>
      </c>
      <c r="BB198" s="82">
        <v>12000000</v>
      </c>
      <c r="BC198" s="82">
        <f t="shared" ref="BC198:BD198" si="384">AE198+AG198+AI198+AK198+AM198+AO198+AQ198+AS198+AU198+AW198+AY198+BA198</f>
        <v>66000000</v>
      </c>
      <c r="BD198" s="82">
        <f t="shared" si="384"/>
        <v>66000000</v>
      </c>
      <c r="BE198" s="83">
        <f t="shared" si="1"/>
        <v>-2200000</v>
      </c>
      <c r="BF198" s="83">
        <f t="shared" si="2"/>
        <v>-2200000</v>
      </c>
      <c r="BG198" s="14" t="str">
        <f ca="1">IFERROR(__xludf.DUMMYFUNCTION("REGEXEXTRACT(O192,""^\S+\s(.+)$"")"),"Prestar servicios profesionales en la Oficina de Tecnologías de la Información para apoyar actividades administrativas, como la proyección, seguimiento y actualización de los documentos, procesos, procedimientos, guías, instructivos y demás documentos req"&amp;"ueridos para la gestión de TI.")</f>
        <v>Prestar servicios profesionales en la Oficina de Tecnologías de la Información para apoyar actividades administrativas, como la proyección, seguimiento y actualización de los documentos, procesos, procedimientos, guías, instructivos y demás documentos requeridos para la gestión de TI.</v>
      </c>
      <c r="BH198" s="23">
        <v>0</v>
      </c>
      <c r="BI198" s="23">
        <v>0</v>
      </c>
      <c r="BJ198" s="23">
        <v>66000000</v>
      </c>
      <c r="BK198" s="23">
        <v>0</v>
      </c>
      <c r="BL198" s="23">
        <v>0</v>
      </c>
      <c r="BM198" s="23">
        <v>3800000</v>
      </c>
      <c r="BN198" s="23">
        <v>-2200000</v>
      </c>
      <c r="BO198" s="23">
        <v>6000000</v>
      </c>
      <c r="BP198" s="23">
        <v>0</v>
      </c>
      <c r="BQ198" s="23">
        <v>6000000</v>
      </c>
      <c r="BR198" s="23">
        <v>0</v>
      </c>
      <c r="BS198" s="23">
        <v>6000000</v>
      </c>
      <c r="BT198" s="23">
        <v>0</v>
      </c>
      <c r="BU198" s="23">
        <v>6000000</v>
      </c>
      <c r="BV198" s="23">
        <v>0</v>
      </c>
      <c r="BW198" s="23">
        <v>6000000</v>
      </c>
      <c r="BX198" s="23">
        <v>0</v>
      </c>
      <c r="BY198" s="23">
        <v>6000000</v>
      </c>
      <c r="BZ198" s="23">
        <v>0</v>
      </c>
      <c r="CA198" s="23">
        <v>6000000</v>
      </c>
      <c r="CB198" s="23">
        <v>0</v>
      </c>
      <c r="CC198" s="23">
        <v>6000000</v>
      </c>
      <c r="CD198" s="23">
        <v>0</v>
      </c>
      <c r="CE198" s="23">
        <v>12000000</v>
      </c>
      <c r="CF198" s="28"/>
      <c r="CG198" s="28"/>
      <c r="CH198" s="25">
        <f t="shared" ref="CH198:CI198" si="385">BH198+BJ198+BL198+BN198+BP198+BR198+BT198+BV198+BX198+BZ198+CB198+CD198+CF198</f>
        <v>63800000</v>
      </c>
      <c r="CI198" s="25">
        <f t="shared" si="385"/>
        <v>63800000</v>
      </c>
      <c r="CJ198" s="26">
        <f t="shared" si="4"/>
        <v>0</v>
      </c>
      <c r="CK198" s="26">
        <f t="shared" si="5"/>
        <v>0</v>
      </c>
    </row>
    <row r="199" spans="1:89" ht="90" customHeight="1" x14ac:dyDescent="0.3">
      <c r="A199" s="13" t="s">
        <v>248</v>
      </c>
      <c r="B199" s="14" t="s">
        <v>20</v>
      </c>
      <c r="C199" s="15" t="s">
        <v>651</v>
      </c>
      <c r="D199" s="14" t="s">
        <v>67</v>
      </c>
      <c r="E199" s="13" t="s">
        <v>250</v>
      </c>
      <c r="F199" s="13" t="s">
        <v>250</v>
      </c>
      <c r="G199" s="14">
        <v>20</v>
      </c>
      <c r="H199" s="13" t="s">
        <v>705</v>
      </c>
      <c r="I199" s="15" t="s">
        <v>653</v>
      </c>
      <c r="J199" s="14" t="s">
        <v>23</v>
      </c>
      <c r="K199" s="15" t="s">
        <v>99</v>
      </c>
      <c r="L199" s="14">
        <v>80111620</v>
      </c>
      <c r="M199" s="14" t="s">
        <v>24</v>
      </c>
      <c r="N199" s="14" t="s">
        <v>253</v>
      </c>
      <c r="O199" s="15" t="s">
        <v>706</v>
      </c>
      <c r="P199" s="14" t="s">
        <v>255</v>
      </c>
      <c r="Q199" s="14" t="s">
        <v>255</v>
      </c>
      <c r="R199" s="14" t="s">
        <v>255</v>
      </c>
      <c r="S199" s="17">
        <v>11</v>
      </c>
      <c r="T199" s="14" t="s">
        <v>256</v>
      </c>
      <c r="U199" s="14" t="s">
        <v>257</v>
      </c>
      <c r="V199" s="14" t="s">
        <v>112</v>
      </c>
      <c r="W199" s="18">
        <v>76766667</v>
      </c>
      <c r="X199" s="18">
        <v>76766667</v>
      </c>
      <c r="Y199" s="19" t="s">
        <v>339</v>
      </c>
      <c r="Z199" s="19" t="s">
        <v>258</v>
      </c>
      <c r="AA199" s="14" t="s">
        <v>655</v>
      </c>
      <c r="AB199" s="14" t="s">
        <v>656</v>
      </c>
      <c r="AC199" s="14">
        <v>6012220601</v>
      </c>
      <c r="AD199" s="14" t="s">
        <v>657</v>
      </c>
      <c r="AE199" s="82">
        <v>77000000</v>
      </c>
      <c r="AF199" s="82">
        <v>0</v>
      </c>
      <c r="AG199" s="82">
        <v>0</v>
      </c>
      <c r="AH199" s="82">
        <v>0</v>
      </c>
      <c r="AI199" s="82">
        <v>0</v>
      </c>
      <c r="AJ199" s="82">
        <v>7000000</v>
      </c>
      <c r="AK199" s="82">
        <v>0</v>
      </c>
      <c r="AL199" s="82">
        <v>7000000</v>
      </c>
      <c r="AM199" s="82">
        <v>0</v>
      </c>
      <c r="AN199" s="82">
        <v>7000000</v>
      </c>
      <c r="AO199" s="82">
        <v>0</v>
      </c>
      <c r="AP199" s="82">
        <v>7000000</v>
      </c>
      <c r="AQ199" s="82">
        <v>0</v>
      </c>
      <c r="AR199" s="82">
        <v>7000000</v>
      </c>
      <c r="AS199" s="82">
        <v>0</v>
      </c>
      <c r="AT199" s="82">
        <v>7000000</v>
      </c>
      <c r="AU199" s="82">
        <v>0</v>
      </c>
      <c r="AV199" s="82">
        <v>7000000</v>
      </c>
      <c r="AW199" s="82">
        <v>0</v>
      </c>
      <c r="AX199" s="82">
        <v>7000000</v>
      </c>
      <c r="AY199" s="82">
        <v>0</v>
      </c>
      <c r="AZ199" s="82">
        <v>7000000</v>
      </c>
      <c r="BA199" s="82">
        <v>0</v>
      </c>
      <c r="BB199" s="82">
        <v>14000000</v>
      </c>
      <c r="BC199" s="82">
        <f t="shared" ref="BC199:BD199" si="386">AE199+AG199+AI199+AK199+AM199+AO199+AQ199+AS199+AU199+AW199+AY199+BA199</f>
        <v>77000000</v>
      </c>
      <c r="BD199" s="82">
        <f t="shared" si="386"/>
        <v>77000000</v>
      </c>
      <c r="BE199" s="83">
        <f t="shared" si="1"/>
        <v>-233333</v>
      </c>
      <c r="BF199" s="83">
        <f t="shared" si="2"/>
        <v>-233333</v>
      </c>
      <c r="BG199" s="14" t="str">
        <f ca="1">IFERROR(__xludf.DUMMYFUNCTION("REGEXEXTRACT(O193,""^\S+\s(.+)$"")"),"Prestar servicios profesionales para apoyar en los proyectos de tecnología en todas sus fases y ciclos de proceso, especialmente, en aquellos enfocados en la calidad de los sistemas de información a la Oficina de Tecnología de la Información de la UPME")</f>
        <v>Prestar servicios profesionales para apoyar en los proyectos de tecnología en todas sus fases y ciclos de proceso, especialmente, en aquellos enfocados en la calidad de los sistemas de información a la Oficina de Tecnología de la Información de la UPME</v>
      </c>
      <c r="BH199" s="23">
        <v>77000000</v>
      </c>
      <c r="BI199" s="23">
        <v>0</v>
      </c>
      <c r="BJ199" s="23">
        <v>0</v>
      </c>
      <c r="BK199" s="23">
        <v>0</v>
      </c>
      <c r="BL199" s="23">
        <v>0</v>
      </c>
      <c r="BM199" s="23">
        <v>6766667</v>
      </c>
      <c r="BN199" s="23">
        <v>-233333</v>
      </c>
      <c r="BO199" s="23">
        <v>7000000</v>
      </c>
      <c r="BP199" s="23">
        <v>0</v>
      </c>
      <c r="BQ199" s="23">
        <v>7000000</v>
      </c>
      <c r="BR199" s="23">
        <v>0</v>
      </c>
      <c r="BS199" s="23">
        <v>7000000</v>
      </c>
      <c r="BT199" s="23">
        <v>0</v>
      </c>
      <c r="BU199" s="23">
        <v>7000000</v>
      </c>
      <c r="BV199" s="23">
        <v>0</v>
      </c>
      <c r="BW199" s="23">
        <v>7000000</v>
      </c>
      <c r="BX199" s="23">
        <v>0</v>
      </c>
      <c r="BY199" s="23">
        <v>7000000</v>
      </c>
      <c r="BZ199" s="23">
        <v>0</v>
      </c>
      <c r="CA199" s="23">
        <v>7000000</v>
      </c>
      <c r="CB199" s="23">
        <v>0</v>
      </c>
      <c r="CC199" s="23">
        <v>7000000</v>
      </c>
      <c r="CD199" s="23">
        <v>0</v>
      </c>
      <c r="CE199" s="23">
        <v>14000000</v>
      </c>
      <c r="CF199" s="28"/>
      <c r="CG199" s="28"/>
      <c r="CH199" s="25">
        <f t="shared" ref="CH199:CI199" si="387">BH199+BJ199+BL199+BN199+BP199+BR199+BT199+BV199+BX199+BZ199+CB199+CD199+CF199</f>
        <v>76766667</v>
      </c>
      <c r="CI199" s="25">
        <f t="shared" si="387"/>
        <v>76766667</v>
      </c>
      <c r="CJ199" s="26">
        <f t="shared" si="4"/>
        <v>0</v>
      </c>
      <c r="CK199" s="26">
        <f t="shared" si="5"/>
        <v>0</v>
      </c>
    </row>
    <row r="200" spans="1:89" ht="90" customHeight="1" x14ac:dyDescent="0.3">
      <c r="A200" s="13" t="s">
        <v>248</v>
      </c>
      <c r="B200" s="14" t="s">
        <v>20</v>
      </c>
      <c r="C200" s="15" t="s">
        <v>651</v>
      </c>
      <c r="D200" s="14" t="s">
        <v>67</v>
      </c>
      <c r="E200" s="13" t="s">
        <v>250</v>
      </c>
      <c r="F200" s="13" t="s">
        <v>250</v>
      </c>
      <c r="G200" s="14">
        <v>20</v>
      </c>
      <c r="H200" s="13" t="s">
        <v>707</v>
      </c>
      <c r="I200" s="15" t="s">
        <v>708</v>
      </c>
      <c r="J200" s="14" t="s">
        <v>25</v>
      </c>
      <c r="K200" s="15" t="s">
        <v>102</v>
      </c>
      <c r="L200" s="14">
        <v>80111620</v>
      </c>
      <c r="M200" s="14" t="s">
        <v>26</v>
      </c>
      <c r="N200" s="14" t="s">
        <v>253</v>
      </c>
      <c r="O200" s="15" t="s">
        <v>709</v>
      </c>
      <c r="P200" s="14" t="s">
        <v>255</v>
      </c>
      <c r="Q200" s="14" t="s">
        <v>255</v>
      </c>
      <c r="R200" s="14" t="s">
        <v>255</v>
      </c>
      <c r="S200" s="17">
        <v>11.5</v>
      </c>
      <c r="T200" s="14" t="s">
        <v>256</v>
      </c>
      <c r="U200" s="14" t="s">
        <v>257</v>
      </c>
      <c r="V200" s="14" t="s">
        <v>112</v>
      </c>
      <c r="W200" s="18">
        <v>115666667</v>
      </c>
      <c r="X200" s="18">
        <v>115666667</v>
      </c>
      <c r="Y200" s="19" t="s">
        <v>339</v>
      </c>
      <c r="Z200" s="19" t="s">
        <v>258</v>
      </c>
      <c r="AA200" s="14" t="s">
        <v>655</v>
      </c>
      <c r="AB200" s="14" t="s">
        <v>656</v>
      </c>
      <c r="AC200" s="14">
        <v>6012220601</v>
      </c>
      <c r="AD200" s="14" t="s">
        <v>657</v>
      </c>
      <c r="AE200" s="82">
        <v>115000000</v>
      </c>
      <c r="AF200" s="82">
        <v>0</v>
      </c>
      <c r="AG200" s="82">
        <v>0</v>
      </c>
      <c r="AH200" s="82">
        <v>5333333</v>
      </c>
      <c r="AI200" s="82">
        <v>0</v>
      </c>
      <c r="AJ200" s="82">
        <v>10000000</v>
      </c>
      <c r="AK200" s="82">
        <v>0</v>
      </c>
      <c r="AL200" s="82">
        <v>10000000</v>
      </c>
      <c r="AM200" s="82">
        <v>0</v>
      </c>
      <c r="AN200" s="82">
        <v>10000000</v>
      </c>
      <c r="AO200" s="82">
        <v>0</v>
      </c>
      <c r="AP200" s="82">
        <v>10000000</v>
      </c>
      <c r="AQ200" s="82">
        <v>0</v>
      </c>
      <c r="AR200" s="82">
        <v>10000000</v>
      </c>
      <c r="AS200" s="82">
        <v>0</v>
      </c>
      <c r="AT200" s="82">
        <v>10000000</v>
      </c>
      <c r="AU200" s="82">
        <v>0</v>
      </c>
      <c r="AV200" s="82">
        <v>10000000</v>
      </c>
      <c r="AW200" s="82">
        <v>0</v>
      </c>
      <c r="AX200" s="82">
        <v>10000000</v>
      </c>
      <c r="AY200" s="82">
        <v>0</v>
      </c>
      <c r="AZ200" s="82">
        <v>10000000</v>
      </c>
      <c r="BA200" s="82">
        <v>0</v>
      </c>
      <c r="BB200" s="82">
        <v>19666667</v>
      </c>
      <c r="BC200" s="82">
        <f t="shared" ref="BC200:BD200" si="388">AE200+AG200+AI200+AK200+AM200+AO200+AQ200+AS200+AU200+AW200+AY200+BA200</f>
        <v>115000000</v>
      </c>
      <c r="BD200" s="82">
        <f t="shared" si="388"/>
        <v>115000000</v>
      </c>
      <c r="BE200" s="83">
        <f t="shared" si="1"/>
        <v>666667</v>
      </c>
      <c r="BF200" s="83">
        <f t="shared" si="2"/>
        <v>666667</v>
      </c>
      <c r="BG200" s="14" t="str">
        <f ca="1">IFERROR(__xludf.DUMMYFUNCTION("REGEXEXTRACT(O194,""^\S+\s(.+)$"")"),"Prestar servicios profesionales especializados para la administración y supervisión integral del entorno tecnológico, abarcando redes, servidores, sistemas y plataformas en la nube, lo que incluye la gestión eficiente de los recursos de TI, la optimizació"&amp;"n de operaciones, la atención y resolución de incidentes técnicos, así como la implementación de medidas de ciberseguridad que garanticen la continuidad y protección de los servicios tecnológicos de la entidad.")</f>
        <v>Prestar servicios profesionales especializados para la administración y supervisión integral del entorno tecnológico, abarcando redes, servidores, sistemas y plataformas en la nube, lo que incluye la gestión eficiente de los recursos de TI, la optimización de operaciones, la atención y resolución de incidentes técnicos, así como la implementación de medidas de ciberseguridad que garanticen la continuidad y protección de los servicios tecnológicos de la entidad.</v>
      </c>
      <c r="BH200" s="23">
        <v>115000000</v>
      </c>
      <c r="BI200" s="23">
        <v>0</v>
      </c>
      <c r="BJ200" s="23">
        <v>0</v>
      </c>
      <c r="BK200" s="23">
        <v>5666667</v>
      </c>
      <c r="BL200" s="23">
        <v>0</v>
      </c>
      <c r="BM200" s="23">
        <v>10000000</v>
      </c>
      <c r="BN200" s="23">
        <v>0</v>
      </c>
      <c r="BO200" s="23">
        <v>10000000</v>
      </c>
      <c r="BP200" s="23">
        <v>666667</v>
      </c>
      <c r="BQ200" s="23">
        <v>10000000</v>
      </c>
      <c r="BR200" s="23">
        <v>0</v>
      </c>
      <c r="BS200" s="23">
        <v>10000000</v>
      </c>
      <c r="BT200" s="23">
        <v>0</v>
      </c>
      <c r="BU200" s="23">
        <v>10000000</v>
      </c>
      <c r="BV200" s="23">
        <v>0</v>
      </c>
      <c r="BW200" s="23">
        <v>10000000</v>
      </c>
      <c r="BX200" s="23">
        <v>0</v>
      </c>
      <c r="BY200" s="23">
        <v>10000000</v>
      </c>
      <c r="BZ200" s="23">
        <v>0</v>
      </c>
      <c r="CA200" s="23">
        <v>10000000</v>
      </c>
      <c r="CB200" s="23">
        <v>0</v>
      </c>
      <c r="CC200" s="23">
        <v>10000000</v>
      </c>
      <c r="CD200" s="23">
        <v>0</v>
      </c>
      <c r="CE200" s="23">
        <v>20000000</v>
      </c>
      <c r="CF200" s="28"/>
      <c r="CG200" s="28"/>
      <c r="CH200" s="25">
        <f t="shared" ref="CH200:CI200" si="389">BH200+BJ200+BL200+BN200+BP200+BR200+BT200+BV200+BX200+BZ200+CB200+CD200+CF200</f>
        <v>115666667</v>
      </c>
      <c r="CI200" s="25">
        <f t="shared" si="389"/>
        <v>115666667</v>
      </c>
      <c r="CJ200" s="26">
        <f t="shared" si="4"/>
        <v>0</v>
      </c>
      <c r="CK200" s="26">
        <f t="shared" si="5"/>
        <v>0</v>
      </c>
    </row>
    <row r="201" spans="1:89" ht="90" customHeight="1" x14ac:dyDescent="0.3">
      <c r="A201" s="13" t="s">
        <v>248</v>
      </c>
      <c r="B201" s="14" t="s">
        <v>20</v>
      </c>
      <c r="C201" s="15" t="s">
        <v>651</v>
      </c>
      <c r="D201" s="14" t="s">
        <v>67</v>
      </c>
      <c r="E201" s="13" t="s">
        <v>250</v>
      </c>
      <c r="F201" s="13" t="s">
        <v>250</v>
      </c>
      <c r="G201" s="14">
        <v>20</v>
      </c>
      <c r="H201" s="13" t="s">
        <v>710</v>
      </c>
      <c r="I201" s="15" t="s">
        <v>659</v>
      </c>
      <c r="J201" s="14" t="s">
        <v>21</v>
      </c>
      <c r="K201" s="15" t="s">
        <v>98</v>
      </c>
      <c r="L201" s="14">
        <v>80111620</v>
      </c>
      <c r="M201" s="14" t="s">
        <v>22</v>
      </c>
      <c r="N201" s="14" t="s">
        <v>253</v>
      </c>
      <c r="O201" s="15" t="s">
        <v>711</v>
      </c>
      <c r="P201" s="14" t="s">
        <v>255</v>
      </c>
      <c r="Q201" s="14" t="s">
        <v>255</v>
      </c>
      <c r="R201" s="14" t="s">
        <v>255</v>
      </c>
      <c r="S201" s="17">
        <v>11</v>
      </c>
      <c r="T201" s="14" t="s">
        <v>256</v>
      </c>
      <c r="U201" s="14" t="s">
        <v>257</v>
      </c>
      <c r="V201" s="14" t="s">
        <v>112</v>
      </c>
      <c r="W201" s="18">
        <v>57200000</v>
      </c>
      <c r="X201" s="18">
        <v>57200000</v>
      </c>
      <c r="Y201" s="19" t="s">
        <v>339</v>
      </c>
      <c r="Z201" s="19" t="s">
        <v>258</v>
      </c>
      <c r="AA201" s="14" t="s">
        <v>655</v>
      </c>
      <c r="AB201" s="14" t="s">
        <v>656</v>
      </c>
      <c r="AC201" s="14">
        <v>6012220601</v>
      </c>
      <c r="AD201" s="14" t="s">
        <v>657</v>
      </c>
      <c r="AE201" s="82">
        <v>0</v>
      </c>
      <c r="AF201" s="82">
        <v>0</v>
      </c>
      <c r="AG201" s="82">
        <v>59400000</v>
      </c>
      <c r="AH201" s="82">
        <v>0</v>
      </c>
      <c r="AI201" s="82">
        <v>0</v>
      </c>
      <c r="AJ201" s="82">
        <v>5400000</v>
      </c>
      <c r="AK201" s="82">
        <v>0</v>
      </c>
      <c r="AL201" s="82">
        <v>5400000</v>
      </c>
      <c r="AM201" s="82">
        <v>0</v>
      </c>
      <c r="AN201" s="82">
        <v>5400000</v>
      </c>
      <c r="AO201" s="82">
        <v>0</v>
      </c>
      <c r="AP201" s="82">
        <v>5400000</v>
      </c>
      <c r="AQ201" s="82">
        <v>0</v>
      </c>
      <c r="AR201" s="82">
        <v>5400000</v>
      </c>
      <c r="AS201" s="82">
        <v>0</v>
      </c>
      <c r="AT201" s="82">
        <v>5400000</v>
      </c>
      <c r="AU201" s="82">
        <v>0</v>
      </c>
      <c r="AV201" s="82">
        <v>5400000</v>
      </c>
      <c r="AW201" s="82">
        <v>0</v>
      </c>
      <c r="AX201" s="82">
        <v>5400000</v>
      </c>
      <c r="AY201" s="82">
        <v>0</v>
      </c>
      <c r="AZ201" s="82">
        <v>5400000</v>
      </c>
      <c r="BA201" s="82">
        <v>0</v>
      </c>
      <c r="BB201" s="82">
        <v>10800000</v>
      </c>
      <c r="BC201" s="82">
        <f t="shared" ref="BC201:BD201" si="390">AE201+AG201+AI201+AK201+AM201+AO201+AQ201+AS201+AU201+AW201+AY201+BA201</f>
        <v>59400000</v>
      </c>
      <c r="BD201" s="82">
        <f t="shared" si="390"/>
        <v>59400000</v>
      </c>
      <c r="BE201" s="83">
        <f t="shared" si="1"/>
        <v>-2200000</v>
      </c>
      <c r="BF201" s="83">
        <f t="shared" si="2"/>
        <v>-2200000</v>
      </c>
      <c r="BG201" s="14" t="str">
        <f ca="1">IFERROR(__xludf.DUMMYFUNCTION("REGEXEXTRACT(O195,""^\S+\s(.+)$"")"),"Prestar servicios profesionales para realizar actividades de mantenimiento preventivo y correctivo de equipos de cómputo, diagnóstico y reparación de fallas de hardware y software, así como el diseño, instalación, configuración y puesta en funcionamiento "&amp;"de redes de datos (cableadas e inalámbricas) requeridas por la UPME garantizando la continuidad operativa de la infraestructura tecnológica y el soporte técnico necesario para su óptimo desempeño.")</f>
        <v>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v>
      </c>
      <c r="BH201" s="23">
        <v>0</v>
      </c>
      <c r="BI201" s="23">
        <v>0</v>
      </c>
      <c r="BJ201" s="23">
        <v>59400000</v>
      </c>
      <c r="BK201" s="23">
        <v>0</v>
      </c>
      <c r="BL201" s="23">
        <v>0</v>
      </c>
      <c r="BM201" s="23">
        <v>3800000</v>
      </c>
      <c r="BN201" s="23">
        <v>-2200000</v>
      </c>
      <c r="BO201" s="23">
        <v>6000000</v>
      </c>
      <c r="BP201" s="23">
        <v>0</v>
      </c>
      <c r="BQ201" s="23">
        <v>6000000</v>
      </c>
      <c r="BR201" s="23">
        <v>0</v>
      </c>
      <c r="BS201" s="23">
        <v>6000000</v>
      </c>
      <c r="BT201" s="23">
        <v>0</v>
      </c>
      <c r="BU201" s="23">
        <v>6000000</v>
      </c>
      <c r="BV201" s="23">
        <v>0</v>
      </c>
      <c r="BW201" s="23">
        <v>6000000</v>
      </c>
      <c r="BX201" s="23">
        <v>0</v>
      </c>
      <c r="BY201" s="23">
        <v>6000000</v>
      </c>
      <c r="BZ201" s="23">
        <v>0</v>
      </c>
      <c r="CA201" s="23">
        <v>6000000</v>
      </c>
      <c r="CB201" s="23">
        <v>0</v>
      </c>
      <c r="CC201" s="23">
        <v>6000000</v>
      </c>
      <c r="CD201" s="23">
        <v>0</v>
      </c>
      <c r="CE201" s="23">
        <v>5400000</v>
      </c>
      <c r="CF201" s="28"/>
      <c r="CG201" s="28"/>
      <c r="CH201" s="25">
        <f t="shared" ref="CH201:CI201" si="391">BH201+BJ201+BL201+BN201+BP201+BR201+BT201+BV201+BX201+BZ201+CB201+CD201+CF201</f>
        <v>57200000</v>
      </c>
      <c r="CI201" s="25">
        <f t="shared" si="391"/>
        <v>57200000</v>
      </c>
      <c r="CJ201" s="26">
        <f t="shared" si="4"/>
        <v>0</v>
      </c>
      <c r="CK201" s="26">
        <f t="shared" si="5"/>
        <v>0</v>
      </c>
    </row>
    <row r="202" spans="1:89" ht="90" customHeight="1" x14ac:dyDescent="0.3">
      <c r="A202" s="13" t="s">
        <v>248</v>
      </c>
      <c r="B202" s="14" t="s">
        <v>20</v>
      </c>
      <c r="C202" s="15" t="s">
        <v>651</v>
      </c>
      <c r="D202" s="14" t="s">
        <v>67</v>
      </c>
      <c r="E202" s="13" t="s">
        <v>250</v>
      </c>
      <c r="F202" s="13" t="s">
        <v>250</v>
      </c>
      <c r="G202" s="14">
        <v>68</v>
      </c>
      <c r="H202" s="13" t="s">
        <v>712</v>
      </c>
      <c r="I202" s="15" t="s">
        <v>659</v>
      </c>
      <c r="J202" s="14" t="s">
        <v>21</v>
      </c>
      <c r="K202" s="15" t="s">
        <v>97</v>
      </c>
      <c r="L202" s="14">
        <v>80111620</v>
      </c>
      <c r="M202" s="14" t="s">
        <v>22</v>
      </c>
      <c r="N202" s="14" t="s">
        <v>253</v>
      </c>
      <c r="O202" s="86" t="s">
        <v>713</v>
      </c>
      <c r="P202" s="14" t="s">
        <v>255</v>
      </c>
      <c r="Q202" s="14" t="s">
        <v>255</v>
      </c>
      <c r="R202" s="14" t="s">
        <v>255</v>
      </c>
      <c r="S202" s="17">
        <v>11.5</v>
      </c>
      <c r="T202" s="14" t="s">
        <v>256</v>
      </c>
      <c r="U202" s="14" t="s">
        <v>257</v>
      </c>
      <c r="V202" s="14" t="s">
        <v>112</v>
      </c>
      <c r="W202" s="18">
        <v>9640643</v>
      </c>
      <c r="X202" s="18">
        <v>9640643</v>
      </c>
      <c r="Y202" s="19" t="s">
        <v>339</v>
      </c>
      <c r="Z202" s="19" t="s">
        <v>258</v>
      </c>
      <c r="AA202" s="14" t="s">
        <v>655</v>
      </c>
      <c r="AB202" s="14" t="s">
        <v>656</v>
      </c>
      <c r="AC202" s="14">
        <v>6012220601</v>
      </c>
      <c r="AD202" s="14" t="s">
        <v>657</v>
      </c>
      <c r="AE202" s="82">
        <v>0</v>
      </c>
      <c r="AF202" s="82">
        <v>0</v>
      </c>
      <c r="AG202" s="82">
        <v>9640643</v>
      </c>
      <c r="AH202" s="82">
        <v>0</v>
      </c>
      <c r="AI202" s="82">
        <v>0</v>
      </c>
      <c r="AJ202" s="82">
        <v>0</v>
      </c>
      <c r="AK202" s="82">
        <v>0</v>
      </c>
      <c r="AL202" s="82">
        <v>0</v>
      </c>
      <c r="AM202" s="82">
        <v>0</v>
      </c>
      <c r="AN202" s="82">
        <v>4511963</v>
      </c>
      <c r="AO202" s="82">
        <v>0</v>
      </c>
      <c r="AP202" s="82">
        <v>5128680</v>
      </c>
      <c r="AQ202" s="82">
        <v>0</v>
      </c>
      <c r="AR202" s="82">
        <v>0</v>
      </c>
      <c r="AS202" s="82">
        <v>0</v>
      </c>
      <c r="AT202" s="82">
        <v>0</v>
      </c>
      <c r="AU202" s="82">
        <v>0</v>
      </c>
      <c r="AV202" s="82">
        <v>0</v>
      </c>
      <c r="AW202" s="82">
        <v>0</v>
      </c>
      <c r="AX202" s="82">
        <v>0</v>
      </c>
      <c r="AY202" s="82">
        <v>0</v>
      </c>
      <c r="AZ202" s="82">
        <v>0</v>
      </c>
      <c r="BA202" s="82">
        <v>0</v>
      </c>
      <c r="BB202" s="82">
        <v>0</v>
      </c>
      <c r="BC202" s="82">
        <f t="shared" ref="BC202:BD202" si="392">AE202+AG202+AI202+AK202+AM202+AO202+AQ202+AS202+AU202+AW202+AY202+BA202</f>
        <v>9640643</v>
      </c>
      <c r="BD202" s="82">
        <f t="shared" si="392"/>
        <v>9640643</v>
      </c>
      <c r="BE202" s="83">
        <f t="shared" si="1"/>
        <v>0</v>
      </c>
      <c r="BF202" s="83">
        <f t="shared" si="2"/>
        <v>0</v>
      </c>
      <c r="BG202" s="14" t="str">
        <f ca="1">IFERROR(__xludf.DUMMYFUNCTION("REGEXEXTRACT(O196,""^\S+\s(.+)$"")"),"Prestar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202" s="23"/>
      <c r="BI202" s="23"/>
      <c r="BJ202" s="23">
        <v>9640643</v>
      </c>
      <c r="BK202" s="23"/>
      <c r="BL202" s="23"/>
      <c r="BM202" s="23"/>
      <c r="BN202" s="23"/>
      <c r="BO202" s="23"/>
      <c r="BP202" s="23"/>
      <c r="BQ202" s="23">
        <v>4511963</v>
      </c>
      <c r="BR202" s="23"/>
      <c r="BS202" s="23">
        <v>5128680</v>
      </c>
      <c r="BT202" s="23"/>
      <c r="BU202" s="23"/>
      <c r="BV202" s="23"/>
      <c r="BW202" s="23"/>
      <c r="BX202" s="23"/>
      <c r="BY202" s="23"/>
      <c r="BZ202" s="23"/>
      <c r="CA202" s="23"/>
      <c r="CB202" s="23"/>
      <c r="CC202" s="23"/>
      <c r="CD202" s="23"/>
      <c r="CE202" s="23"/>
      <c r="CF202" s="28"/>
      <c r="CG202" s="28"/>
      <c r="CH202" s="25">
        <f t="shared" ref="CH202:CI202" si="393">BH202+BJ202+BL202+BN202+BP202+BR202+BT202+BV202+BX202+BZ202+CB202+CD202+CF202</f>
        <v>9640643</v>
      </c>
      <c r="CI202" s="25">
        <f t="shared" si="393"/>
        <v>9640643</v>
      </c>
      <c r="CJ202" s="26">
        <f t="shared" si="4"/>
        <v>0</v>
      </c>
      <c r="CK202" s="26">
        <f t="shared" si="5"/>
        <v>0</v>
      </c>
    </row>
    <row r="203" spans="1:89" ht="90" customHeight="1" x14ac:dyDescent="0.3">
      <c r="A203" s="13" t="s">
        <v>248</v>
      </c>
      <c r="B203" s="14" t="s">
        <v>20</v>
      </c>
      <c r="C203" s="15" t="s">
        <v>651</v>
      </c>
      <c r="D203" s="14" t="s">
        <v>67</v>
      </c>
      <c r="E203" s="13" t="s">
        <v>250</v>
      </c>
      <c r="F203" s="13" t="s">
        <v>250</v>
      </c>
      <c r="G203" s="14">
        <v>68</v>
      </c>
      <c r="H203" s="13" t="s">
        <v>714</v>
      </c>
      <c r="I203" s="15" t="s">
        <v>659</v>
      </c>
      <c r="J203" s="14" t="s">
        <v>21</v>
      </c>
      <c r="K203" s="15" t="s">
        <v>97</v>
      </c>
      <c r="L203" s="14">
        <v>80111620</v>
      </c>
      <c r="M203" s="14" t="s">
        <v>22</v>
      </c>
      <c r="N203" s="14" t="s">
        <v>253</v>
      </c>
      <c r="O203" s="86" t="s">
        <v>715</v>
      </c>
      <c r="P203" s="14" t="s">
        <v>255</v>
      </c>
      <c r="Q203" s="14" t="s">
        <v>255</v>
      </c>
      <c r="R203" s="14" t="s">
        <v>255</v>
      </c>
      <c r="S203" s="17">
        <v>11.5</v>
      </c>
      <c r="T203" s="14" t="s">
        <v>256</v>
      </c>
      <c r="U203" s="14" t="s">
        <v>257</v>
      </c>
      <c r="V203" s="14" t="s">
        <v>112</v>
      </c>
      <c r="W203" s="18">
        <v>9640643</v>
      </c>
      <c r="X203" s="18">
        <v>9640643</v>
      </c>
      <c r="Y203" s="19" t="s">
        <v>339</v>
      </c>
      <c r="Z203" s="19" t="s">
        <v>258</v>
      </c>
      <c r="AA203" s="14" t="s">
        <v>655</v>
      </c>
      <c r="AB203" s="14" t="s">
        <v>656</v>
      </c>
      <c r="AC203" s="14">
        <v>6012220601</v>
      </c>
      <c r="AD203" s="14" t="s">
        <v>657</v>
      </c>
      <c r="AE203" s="82">
        <v>0</v>
      </c>
      <c r="AF203" s="82">
        <v>0</v>
      </c>
      <c r="AG203" s="82">
        <v>0</v>
      </c>
      <c r="AH203" s="82">
        <v>0</v>
      </c>
      <c r="AI203" s="82">
        <v>0</v>
      </c>
      <c r="AJ203" s="82">
        <v>0</v>
      </c>
      <c r="AK203" s="82">
        <v>0</v>
      </c>
      <c r="AL203" s="82">
        <v>0</v>
      </c>
      <c r="AM203" s="82">
        <v>0</v>
      </c>
      <c r="AN203" s="82">
        <v>0</v>
      </c>
      <c r="AO203" s="82">
        <v>0</v>
      </c>
      <c r="AP203" s="82">
        <v>0</v>
      </c>
      <c r="AQ203" s="82">
        <v>9640643</v>
      </c>
      <c r="AR203" s="82">
        <v>0</v>
      </c>
      <c r="AS203" s="82">
        <v>0</v>
      </c>
      <c r="AT203" s="82">
        <v>0</v>
      </c>
      <c r="AU203" s="82">
        <v>0</v>
      </c>
      <c r="AV203" s="82">
        <v>0</v>
      </c>
      <c r="AW203" s="82">
        <v>0</v>
      </c>
      <c r="AX203" s="82">
        <v>3000000</v>
      </c>
      <c r="AY203" s="82">
        <v>0</v>
      </c>
      <c r="AZ203" s="82">
        <v>3000000</v>
      </c>
      <c r="BA203" s="82">
        <v>0</v>
      </c>
      <c r="BB203" s="82">
        <v>3640643</v>
      </c>
      <c r="BC203" s="82">
        <f t="shared" ref="BC203:BD203" si="394">AE203+AG203+AI203+AK203+AM203+AO203+AQ203+AS203+AU203+AW203+AY203+BA203</f>
        <v>9640643</v>
      </c>
      <c r="BD203" s="82">
        <f t="shared" si="394"/>
        <v>9640643</v>
      </c>
      <c r="BE203" s="83">
        <f t="shared" si="1"/>
        <v>0</v>
      </c>
      <c r="BF203" s="83">
        <f t="shared" si="2"/>
        <v>0</v>
      </c>
      <c r="BG203" s="14" t="str">
        <f ca="1">IFERROR(__xludf.DUMMYFUNCTION("REGEXEXTRACT(O197,""^\S+\s(.+)$"")"),"Prestar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203" s="23"/>
      <c r="BI203" s="23"/>
      <c r="BJ203" s="23"/>
      <c r="BK203" s="23"/>
      <c r="BL203" s="23"/>
      <c r="BM203" s="23"/>
      <c r="BN203" s="23"/>
      <c r="BO203" s="23"/>
      <c r="BP203" s="23"/>
      <c r="BQ203" s="23"/>
      <c r="BR203" s="23"/>
      <c r="BS203" s="23"/>
      <c r="BT203" s="23">
        <v>9640643</v>
      </c>
      <c r="BU203" s="23"/>
      <c r="BV203" s="23"/>
      <c r="BW203" s="23"/>
      <c r="BX203" s="23"/>
      <c r="BY203" s="23"/>
      <c r="BZ203" s="23"/>
      <c r="CA203" s="23">
        <v>3000000</v>
      </c>
      <c r="CB203" s="23"/>
      <c r="CC203" s="23">
        <v>3000000</v>
      </c>
      <c r="CD203" s="23"/>
      <c r="CE203" s="23">
        <v>3640643</v>
      </c>
      <c r="CF203" s="28"/>
      <c r="CG203" s="28"/>
      <c r="CH203" s="25">
        <f t="shared" ref="CH203:CI203" si="395">BH203+BJ203+BL203+BN203+BP203+BR203+BT203+BV203+BX203+BZ203+CB203+CD203+CF203</f>
        <v>9640643</v>
      </c>
      <c r="CI203" s="25">
        <f t="shared" si="395"/>
        <v>9640643</v>
      </c>
      <c r="CJ203" s="26">
        <f t="shared" si="4"/>
        <v>0</v>
      </c>
      <c r="CK203" s="26">
        <f t="shared" si="5"/>
        <v>0</v>
      </c>
    </row>
    <row r="204" spans="1:89" ht="90" customHeight="1" x14ac:dyDescent="0.3">
      <c r="A204" s="13" t="s">
        <v>248</v>
      </c>
      <c r="B204" s="14" t="s">
        <v>20</v>
      </c>
      <c r="C204" s="15" t="s">
        <v>651</v>
      </c>
      <c r="D204" s="14" t="s">
        <v>67</v>
      </c>
      <c r="E204" s="13" t="s">
        <v>250</v>
      </c>
      <c r="F204" s="13" t="s">
        <v>250</v>
      </c>
      <c r="G204" s="14">
        <v>68</v>
      </c>
      <c r="H204" s="13" t="s">
        <v>716</v>
      </c>
      <c r="I204" s="15" t="s">
        <v>659</v>
      </c>
      <c r="J204" s="14" t="s">
        <v>21</v>
      </c>
      <c r="K204" s="15" t="s">
        <v>97</v>
      </c>
      <c r="L204" s="14">
        <v>80111620</v>
      </c>
      <c r="M204" s="14" t="s">
        <v>22</v>
      </c>
      <c r="N204" s="14" t="s">
        <v>253</v>
      </c>
      <c r="O204" s="86" t="s">
        <v>717</v>
      </c>
      <c r="P204" s="14" t="s">
        <v>255</v>
      </c>
      <c r="Q204" s="14" t="s">
        <v>255</v>
      </c>
      <c r="R204" s="14" t="s">
        <v>255</v>
      </c>
      <c r="S204" s="17">
        <v>11.5</v>
      </c>
      <c r="T204" s="14" t="s">
        <v>256</v>
      </c>
      <c r="U204" s="14" t="s">
        <v>257</v>
      </c>
      <c r="V204" s="14" t="s">
        <v>112</v>
      </c>
      <c r="W204" s="18">
        <v>9640642</v>
      </c>
      <c r="X204" s="18">
        <v>9640642</v>
      </c>
      <c r="Y204" s="19" t="s">
        <v>339</v>
      </c>
      <c r="Z204" s="19" t="s">
        <v>258</v>
      </c>
      <c r="AA204" s="14" t="s">
        <v>655</v>
      </c>
      <c r="AB204" s="14" t="s">
        <v>656</v>
      </c>
      <c r="AC204" s="14">
        <v>6012220601</v>
      </c>
      <c r="AD204" s="14" t="s">
        <v>657</v>
      </c>
      <c r="AE204" s="82">
        <v>0</v>
      </c>
      <c r="AF204" s="82">
        <v>0</v>
      </c>
      <c r="AG204" s="82">
        <v>0</v>
      </c>
      <c r="AH204" s="82">
        <v>0</v>
      </c>
      <c r="AI204" s="82">
        <v>0</v>
      </c>
      <c r="AJ204" s="82">
        <v>0</v>
      </c>
      <c r="AK204" s="82">
        <v>0</v>
      </c>
      <c r="AL204" s="82">
        <v>0</v>
      </c>
      <c r="AM204" s="82">
        <v>0</v>
      </c>
      <c r="AN204" s="82">
        <v>0</v>
      </c>
      <c r="AO204" s="82">
        <v>0</v>
      </c>
      <c r="AP204" s="82">
        <v>0</v>
      </c>
      <c r="AQ204" s="82">
        <v>9640642</v>
      </c>
      <c r="AR204" s="82">
        <v>0</v>
      </c>
      <c r="AS204" s="82">
        <v>0</v>
      </c>
      <c r="AT204" s="82">
        <v>0</v>
      </c>
      <c r="AU204" s="82">
        <v>0</v>
      </c>
      <c r="AV204" s="82">
        <v>0</v>
      </c>
      <c r="AW204" s="82">
        <v>0</v>
      </c>
      <c r="AX204" s="82">
        <v>3000000</v>
      </c>
      <c r="AY204" s="82">
        <v>0</v>
      </c>
      <c r="AZ204" s="82">
        <v>3000000</v>
      </c>
      <c r="BA204" s="82">
        <v>0</v>
      </c>
      <c r="BB204" s="82">
        <v>3640642</v>
      </c>
      <c r="BC204" s="82">
        <f t="shared" ref="BC204:BD204" si="396">AE204+AG204+AI204+AK204+AM204+AO204+AQ204+AS204+AU204+AW204+AY204+BA204</f>
        <v>9640642</v>
      </c>
      <c r="BD204" s="82">
        <f t="shared" si="396"/>
        <v>9640642</v>
      </c>
      <c r="BE204" s="83">
        <f t="shared" si="1"/>
        <v>0</v>
      </c>
      <c r="BF204" s="83">
        <f t="shared" si="2"/>
        <v>0</v>
      </c>
      <c r="BG204" s="14" t="str">
        <f ca="1">IFERROR(__xludf.DUMMYFUNCTION("REGEXEXTRACT(O198,""^\S+\s(.+)$"")"),"Prestar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204" s="23"/>
      <c r="BI204" s="23"/>
      <c r="BJ204" s="23"/>
      <c r="BK204" s="23"/>
      <c r="BL204" s="23"/>
      <c r="BM204" s="23"/>
      <c r="BN204" s="23"/>
      <c r="BO204" s="23"/>
      <c r="BP204" s="23"/>
      <c r="BQ204" s="23"/>
      <c r="BR204" s="23"/>
      <c r="BS204" s="23"/>
      <c r="BT204" s="23">
        <v>9640642</v>
      </c>
      <c r="BU204" s="23"/>
      <c r="BV204" s="23"/>
      <c r="BW204" s="23"/>
      <c r="BX204" s="23"/>
      <c r="BY204" s="23"/>
      <c r="BZ204" s="23"/>
      <c r="CA204" s="23">
        <v>3000000</v>
      </c>
      <c r="CB204" s="23"/>
      <c r="CC204" s="23">
        <v>3000000</v>
      </c>
      <c r="CD204" s="23"/>
      <c r="CE204" s="23">
        <v>3640642</v>
      </c>
      <c r="CF204" s="28"/>
      <c r="CG204" s="28"/>
      <c r="CH204" s="25">
        <f t="shared" ref="CH204:CI204" si="397">BH204+BJ204+BL204+BN204+BP204+BR204+BT204+BV204+BX204+BZ204+CB204+CD204+CF204</f>
        <v>9640642</v>
      </c>
      <c r="CI204" s="25">
        <f t="shared" si="397"/>
        <v>9640642</v>
      </c>
      <c r="CJ204" s="26">
        <f t="shared" si="4"/>
        <v>0</v>
      </c>
      <c r="CK204" s="26">
        <f t="shared" si="5"/>
        <v>0</v>
      </c>
    </row>
    <row r="205" spans="1:89" ht="90" customHeight="1" x14ac:dyDescent="0.3">
      <c r="A205" s="13" t="s">
        <v>248</v>
      </c>
      <c r="B205" s="14" t="s">
        <v>20</v>
      </c>
      <c r="C205" s="15" t="s">
        <v>651</v>
      </c>
      <c r="D205" s="14" t="s">
        <v>67</v>
      </c>
      <c r="E205" s="13" t="s">
        <v>250</v>
      </c>
      <c r="F205" s="13" t="s">
        <v>250</v>
      </c>
      <c r="G205" s="14">
        <v>2</v>
      </c>
      <c r="H205" s="13" t="s">
        <v>718</v>
      </c>
      <c r="I205" s="15" t="s">
        <v>659</v>
      </c>
      <c r="J205" s="14" t="s">
        <v>21</v>
      </c>
      <c r="K205" s="15" t="s">
        <v>97</v>
      </c>
      <c r="L205" s="14">
        <v>80111620</v>
      </c>
      <c r="M205" s="14" t="s">
        <v>22</v>
      </c>
      <c r="N205" s="14" t="s">
        <v>253</v>
      </c>
      <c r="O205" s="15" t="s">
        <v>719</v>
      </c>
      <c r="P205" s="14" t="s">
        <v>255</v>
      </c>
      <c r="Q205" s="14" t="s">
        <v>255</v>
      </c>
      <c r="R205" s="14" t="s">
        <v>255</v>
      </c>
      <c r="S205" s="17">
        <v>6</v>
      </c>
      <c r="T205" s="14" t="s">
        <v>256</v>
      </c>
      <c r="U205" s="14" t="s">
        <v>257</v>
      </c>
      <c r="V205" s="14" t="s">
        <v>112</v>
      </c>
      <c r="W205" s="18">
        <v>39979800</v>
      </c>
      <c r="X205" s="18">
        <v>39979800</v>
      </c>
      <c r="Y205" s="19" t="s">
        <v>339</v>
      </c>
      <c r="Z205" s="19" t="s">
        <v>258</v>
      </c>
      <c r="AA205" s="14" t="s">
        <v>655</v>
      </c>
      <c r="AB205" s="14" t="s">
        <v>656</v>
      </c>
      <c r="AC205" s="14">
        <v>6012220601</v>
      </c>
      <c r="AD205" s="14" t="s">
        <v>657</v>
      </c>
      <c r="AE205" s="82">
        <v>39979800</v>
      </c>
      <c r="AF205" s="82">
        <v>0</v>
      </c>
      <c r="AG205" s="82">
        <v>0</v>
      </c>
      <c r="AH205" s="82">
        <v>4664310</v>
      </c>
      <c r="AI205" s="82">
        <v>0</v>
      </c>
      <c r="AJ205" s="82">
        <v>6663300</v>
      </c>
      <c r="AK205" s="82">
        <v>0</v>
      </c>
      <c r="AL205" s="82">
        <v>6663300</v>
      </c>
      <c r="AM205" s="82">
        <v>0</v>
      </c>
      <c r="AN205" s="82">
        <v>6663300</v>
      </c>
      <c r="AO205" s="82">
        <v>0</v>
      </c>
      <c r="AP205" s="82">
        <v>6663300</v>
      </c>
      <c r="AQ205" s="82">
        <v>0</v>
      </c>
      <c r="AR205" s="82">
        <v>6663300</v>
      </c>
      <c r="AS205" s="82">
        <v>0</v>
      </c>
      <c r="AT205" s="82">
        <v>1998990</v>
      </c>
      <c r="AU205" s="82">
        <v>0</v>
      </c>
      <c r="AV205" s="82">
        <v>0</v>
      </c>
      <c r="AW205" s="82">
        <v>0</v>
      </c>
      <c r="AX205" s="82">
        <v>0</v>
      </c>
      <c r="AY205" s="82">
        <v>0</v>
      </c>
      <c r="AZ205" s="82">
        <v>0</v>
      </c>
      <c r="BA205" s="82">
        <v>0</v>
      </c>
      <c r="BB205" s="82">
        <v>0</v>
      </c>
      <c r="BC205" s="82">
        <f t="shared" ref="BC205:BD205" si="398">AE205+AG205+AI205+AK205+AM205+AO205+AQ205+AS205+AU205+AW205+AY205+BA205</f>
        <v>39979800</v>
      </c>
      <c r="BD205" s="82">
        <f t="shared" si="398"/>
        <v>39979800</v>
      </c>
      <c r="BE205" s="83">
        <f t="shared" si="1"/>
        <v>0</v>
      </c>
      <c r="BF205" s="83">
        <f t="shared" si="2"/>
        <v>0</v>
      </c>
      <c r="BG205" s="14" t="str">
        <f ca="1">IFERROR(__xludf.DUMMYFUNCTION("REGEXEXTRACT(O199,""^\S+\s(.+)$"")"),"Prestar servicios profesionales para el desarrollo de la gestión contractual de la entidad, desde el Git de Gestión Contractual, en especial, lo relacionado con las actividades derivadas de la Oficina de Tecnologías de la Información.")</f>
        <v>Prestar servicios profesionales para el desarrollo de la gestión contractual de la entidad, desde el Git de Gestión Contractual, en especial, lo relacionado con las actividades derivadas de la Oficina de Tecnologías de la Información.</v>
      </c>
      <c r="BH205" s="23">
        <v>39979800</v>
      </c>
      <c r="BI205" s="23"/>
      <c r="BJ205" s="23"/>
      <c r="BK205" s="23">
        <v>4664310</v>
      </c>
      <c r="BL205" s="23"/>
      <c r="BM205" s="23">
        <v>6663300</v>
      </c>
      <c r="BN205" s="23"/>
      <c r="BO205" s="23">
        <v>6663300</v>
      </c>
      <c r="BP205" s="23"/>
      <c r="BQ205" s="23">
        <v>6663300</v>
      </c>
      <c r="BR205" s="23"/>
      <c r="BS205" s="23">
        <v>6663300</v>
      </c>
      <c r="BT205" s="23"/>
      <c r="BU205" s="23">
        <v>6663300</v>
      </c>
      <c r="BV205" s="23"/>
      <c r="BW205" s="23">
        <v>1998990</v>
      </c>
      <c r="BX205" s="23"/>
      <c r="BY205" s="23"/>
      <c r="BZ205" s="23"/>
      <c r="CA205" s="23"/>
      <c r="CB205" s="23"/>
      <c r="CC205" s="23"/>
      <c r="CD205" s="23"/>
      <c r="CE205" s="23"/>
      <c r="CF205" s="28"/>
      <c r="CG205" s="28"/>
      <c r="CH205" s="25">
        <f t="shared" ref="CH205:CI205" si="399">BH205+BJ205+BL205+BN205+BP205+BR205+BT205+BV205+BX205+BZ205+CB205+CD205+CF205</f>
        <v>39979800</v>
      </c>
      <c r="CI205" s="25">
        <f t="shared" si="399"/>
        <v>39979800</v>
      </c>
      <c r="CJ205" s="26">
        <f t="shared" si="4"/>
        <v>0</v>
      </c>
      <c r="CK205" s="26">
        <f t="shared" si="5"/>
        <v>0</v>
      </c>
    </row>
    <row r="206" spans="1:89" ht="90" customHeight="1" x14ac:dyDescent="0.3">
      <c r="A206" s="13" t="s">
        <v>248</v>
      </c>
      <c r="B206" s="14" t="s">
        <v>20</v>
      </c>
      <c r="C206" s="15" t="s">
        <v>651</v>
      </c>
      <c r="D206" s="14" t="s">
        <v>67</v>
      </c>
      <c r="E206" s="13" t="s">
        <v>250</v>
      </c>
      <c r="F206" s="13" t="s">
        <v>250</v>
      </c>
      <c r="G206" s="14">
        <v>20</v>
      </c>
      <c r="H206" s="13" t="s">
        <v>720</v>
      </c>
      <c r="I206" s="15" t="s">
        <v>659</v>
      </c>
      <c r="J206" s="14" t="s">
        <v>21</v>
      </c>
      <c r="K206" s="15" t="s">
        <v>98</v>
      </c>
      <c r="L206" s="14">
        <v>80111620</v>
      </c>
      <c r="M206" s="14" t="s">
        <v>22</v>
      </c>
      <c r="N206" s="14" t="s">
        <v>253</v>
      </c>
      <c r="O206" s="15" t="s">
        <v>721</v>
      </c>
      <c r="P206" s="14" t="s">
        <v>255</v>
      </c>
      <c r="Q206" s="14" t="s">
        <v>255</v>
      </c>
      <c r="R206" s="14" t="s">
        <v>255</v>
      </c>
      <c r="S206" s="17">
        <v>11</v>
      </c>
      <c r="T206" s="14" t="s">
        <v>256</v>
      </c>
      <c r="U206" s="14" t="s">
        <v>257</v>
      </c>
      <c r="V206" s="14" t="s">
        <v>112</v>
      </c>
      <c r="W206" s="18">
        <v>38850630</v>
      </c>
      <c r="X206" s="18">
        <v>38850630</v>
      </c>
      <c r="Y206" s="19" t="s">
        <v>339</v>
      </c>
      <c r="Z206" s="19" t="s">
        <v>258</v>
      </c>
      <c r="AA206" s="14" t="s">
        <v>655</v>
      </c>
      <c r="AB206" s="14" t="s">
        <v>656</v>
      </c>
      <c r="AC206" s="14">
        <v>6012220601</v>
      </c>
      <c r="AD206" s="14" t="s">
        <v>657</v>
      </c>
      <c r="AE206" s="82">
        <v>0</v>
      </c>
      <c r="AF206" s="82">
        <v>0</v>
      </c>
      <c r="AG206" s="82">
        <v>39939900</v>
      </c>
      <c r="AH206" s="82">
        <v>0</v>
      </c>
      <c r="AI206" s="82">
        <v>0</v>
      </c>
      <c r="AJ206" s="82">
        <v>3630900</v>
      </c>
      <c r="AK206" s="82">
        <v>0</v>
      </c>
      <c r="AL206" s="82">
        <v>3630900</v>
      </c>
      <c r="AM206" s="82">
        <v>0</v>
      </c>
      <c r="AN206" s="82">
        <v>3630900</v>
      </c>
      <c r="AO206" s="82">
        <v>0</v>
      </c>
      <c r="AP206" s="82">
        <v>3630900</v>
      </c>
      <c r="AQ206" s="82">
        <v>0</v>
      </c>
      <c r="AR206" s="82">
        <v>3630900</v>
      </c>
      <c r="AS206" s="82">
        <v>0</v>
      </c>
      <c r="AT206" s="82">
        <v>3630900</v>
      </c>
      <c r="AU206" s="82">
        <v>0</v>
      </c>
      <c r="AV206" s="82">
        <v>3630900</v>
      </c>
      <c r="AW206" s="82">
        <v>0</v>
      </c>
      <c r="AX206" s="82">
        <v>3630900</v>
      </c>
      <c r="AY206" s="82">
        <v>0</v>
      </c>
      <c r="AZ206" s="82">
        <v>3630900</v>
      </c>
      <c r="BA206" s="82">
        <v>0</v>
      </c>
      <c r="BB206" s="82">
        <v>7261800</v>
      </c>
      <c r="BC206" s="82">
        <f t="shared" ref="BC206:BD206" si="400">AE206+AG206+AI206+AK206+AM206+AO206+AQ206+AS206+AU206+AW206+AY206+BA206</f>
        <v>39939900</v>
      </c>
      <c r="BD206" s="82">
        <f t="shared" si="400"/>
        <v>39939900</v>
      </c>
      <c r="BE206" s="83">
        <f t="shared" si="1"/>
        <v>-1089270</v>
      </c>
      <c r="BF206" s="83">
        <f t="shared" si="2"/>
        <v>-1089270</v>
      </c>
      <c r="BG206" s="14" t="str">
        <f ca="1">IFERROR(__xludf.DUMMYFUNCTION("REGEXEXTRACT(O200,""^\S+\s(.+)$"")"),"Prestar servicios profesionales para apoyar a la oficina de tecnologías de la información en la implementación del Modelo de Gestión y Gobierno de acuerdo a los lineamientos establecidos por el MinTIC.")</f>
        <v>Prestar servicios profesionales para apoyar a la oficina de tecnologías de la información en la implementación del Modelo de Gestión y Gobierno de acuerdo a los lineamientos establecidos por el MinTIC.</v>
      </c>
      <c r="BH206" s="23">
        <v>0</v>
      </c>
      <c r="BI206" s="23">
        <v>0</v>
      </c>
      <c r="BJ206" s="23">
        <v>39939900</v>
      </c>
      <c r="BK206" s="23">
        <v>0</v>
      </c>
      <c r="BL206" s="23">
        <v>0</v>
      </c>
      <c r="BM206" s="23">
        <v>2541630</v>
      </c>
      <c r="BN206" s="23">
        <v>-1089270</v>
      </c>
      <c r="BO206" s="23">
        <v>3630900</v>
      </c>
      <c r="BP206" s="23">
        <v>0</v>
      </c>
      <c r="BQ206" s="23">
        <v>3630900</v>
      </c>
      <c r="BR206" s="23">
        <v>0</v>
      </c>
      <c r="BS206" s="23">
        <v>3630900</v>
      </c>
      <c r="BT206" s="23">
        <v>0</v>
      </c>
      <c r="BU206" s="23">
        <v>3630900</v>
      </c>
      <c r="BV206" s="23">
        <v>0</v>
      </c>
      <c r="BW206" s="23">
        <v>3630900</v>
      </c>
      <c r="BX206" s="23">
        <v>0</v>
      </c>
      <c r="BY206" s="23">
        <v>3630900</v>
      </c>
      <c r="BZ206" s="23">
        <v>0</v>
      </c>
      <c r="CA206" s="23">
        <v>3630900</v>
      </c>
      <c r="CB206" s="23">
        <v>0</v>
      </c>
      <c r="CC206" s="23">
        <v>3630900</v>
      </c>
      <c r="CD206" s="23">
        <v>0</v>
      </c>
      <c r="CE206" s="23">
        <v>7261800</v>
      </c>
      <c r="CF206" s="28"/>
      <c r="CG206" s="28"/>
      <c r="CH206" s="25">
        <f t="shared" ref="CH206:CI206" si="401">BH206+BJ206+BL206+BN206+BP206+BR206+BT206+BV206+BX206+BZ206+CB206+CD206+CF206</f>
        <v>38850630</v>
      </c>
      <c r="CI206" s="25">
        <f t="shared" si="401"/>
        <v>38850630</v>
      </c>
      <c r="CJ206" s="26">
        <f t="shared" si="4"/>
        <v>0</v>
      </c>
      <c r="CK206" s="26">
        <f t="shared" si="5"/>
        <v>0</v>
      </c>
    </row>
    <row r="207" spans="1:89" ht="90" customHeight="1" x14ac:dyDescent="0.3">
      <c r="A207" s="13" t="s">
        <v>248</v>
      </c>
      <c r="B207" s="14" t="s">
        <v>20</v>
      </c>
      <c r="C207" s="15" t="s">
        <v>651</v>
      </c>
      <c r="D207" s="14" t="s">
        <v>67</v>
      </c>
      <c r="E207" s="13" t="s">
        <v>250</v>
      </c>
      <c r="F207" s="13" t="s">
        <v>250</v>
      </c>
      <c r="G207" s="14">
        <v>2</v>
      </c>
      <c r="H207" s="13" t="s">
        <v>722</v>
      </c>
      <c r="I207" s="15" t="s">
        <v>659</v>
      </c>
      <c r="J207" s="14" t="s">
        <v>21</v>
      </c>
      <c r="K207" s="15" t="s">
        <v>98</v>
      </c>
      <c r="L207" s="14">
        <v>80111620</v>
      </c>
      <c r="M207" s="14" t="s">
        <v>22</v>
      </c>
      <c r="N207" s="14" t="s">
        <v>253</v>
      </c>
      <c r="O207" s="15" t="s">
        <v>723</v>
      </c>
      <c r="P207" s="14" t="s">
        <v>255</v>
      </c>
      <c r="Q207" s="14" t="s">
        <v>255</v>
      </c>
      <c r="R207" s="14" t="s">
        <v>255</v>
      </c>
      <c r="S207" s="17">
        <v>6</v>
      </c>
      <c r="T207" s="14" t="s">
        <v>256</v>
      </c>
      <c r="U207" s="14" t="s">
        <v>257</v>
      </c>
      <c r="V207" s="14" t="s">
        <v>112</v>
      </c>
      <c r="W207" s="18">
        <v>39000000</v>
      </c>
      <c r="X207" s="18">
        <v>39000000</v>
      </c>
      <c r="Y207" s="19" t="s">
        <v>339</v>
      </c>
      <c r="Z207" s="19" t="s">
        <v>258</v>
      </c>
      <c r="AA207" s="14" t="s">
        <v>655</v>
      </c>
      <c r="AB207" s="14" t="s">
        <v>656</v>
      </c>
      <c r="AC207" s="14">
        <v>6012220601</v>
      </c>
      <c r="AD207" s="14" t="s">
        <v>657</v>
      </c>
      <c r="AE207" s="82">
        <v>39000000</v>
      </c>
      <c r="AF207" s="82">
        <v>0</v>
      </c>
      <c r="AG207" s="82">
        <v>0</v>
      </c>
      <c r="AH207" s="82">
        <v>3250000</v>
      </c>
      <c r="AI207" s="82">
        <v>0</v>
      </c>
      <c r="AJ207" s="82">
        <v>6500000</v>
      </c>
      <c r="AK207" s="82">
        <v>0</v>
      </c>
      <c r="AL207" s="82">
        <v>6500000</v>
      </c>
      <c r="AM207" s="82">
        <v>0</v>
      </c>
      <c r="AN207" s="82">
        <v>6500000</v>
      </c>
      <c r="AO207" s="82">
        <v>0</v>
      </c>
      <c r="AP207" s="82">
        <v>6500000</v>
      </c>
      <c r="AQ207" s="82">
        <v>0</v>
      </c>
      <c r="AR207" s="82">
        <v>6500000</v>
      </c>
      <c r="AS207" s="82">
        <v>0</v>
      </c>
      <c r="AT207" s="82">
        <v>3250000</v>
      </c>
      <c r="AU207" s="82">
        <v>0</v>
      </c>
      <c r="AV207" s="82">
        <v>0</v>
      </c>
      <c r="AW207" s="82">
        <v>0</v>
      </c>
      <c r="AX207" s="82">
        <v>0</v>
      </c>
      <c r="AY207" s="82">
        <v>0</v>
      </c>
      <c r="AZ207" s="82">
        <v>0</v>
      </c>
      <c r="BA207" s="82">
        <v>0</v>
      </c>
      <c r="BB207" s="82">
        <v>0</v>
      </c>
      <c r="BC207" s="82">
        <f t="shared" ref="BC207:BD207" si="402">AE207+AG207+AI207+AK207+AM207+AO207+AQ207+AS207+AU207+AW207+AY207+BA207</f>
        <v>39000000</v>
      </c>
      <c r="BD207" s="82">
        <f t="shared" si="402"/>
        <v>39000000</v>
      </c>
      <c r="BE207" s="83">
        <f t="shared" si="1"/>
        <v>0</v>
      </c>
      <c r="BF207" s="83">
        <f t="shared" si="2"/>
        <v>0</v>
      </c>
      <c r="BG207" s="14" t="str">
        <f ca="1">IFERROR(__xludf.DUMMYFUNCTION("REGEXEXTRACT(O201,""^\S+\s(.+)$"")"),"Prestar servicios profesionales especializados para el desarrollo de la gestión contractual de la Unidad, brindando especial atención a las necesidades de la Oficina de Tecnologías de la Información, en coordinación del Jit de Gestión Contractual.")</f>
        <v>Prestar servicios profesionales especializados para el desarrollo de la gestión contractual de la Unidad, brindando especial atención a las necesidades de la Oficina de Tecnologías de la Información, en coordinación del Jit de Gestión Contractual.</v>
      </c>
      <c r="BH207" s="23">
        <v>39000000</v>
      </c>
      <c r="BI207" s="23"/>
      <c r="BJ207" s="23"/>
      <c r="BK207" s="23">
        <v>3250000</v>
      </c>
      <c r="BL207" s="23"/>
      <c r="BM207" s="23">
        <v>6500000</v>
      </c>
      <c r="BN207" s="23"/>
      <c r="BO207" s="23">
        <v>6500000</v>
      </c>
      <c r="BP207" s="23"/>
      <c r="BQ207" s="23">
        <v>6500000</v>
      </c>
      <c r="BR207" s="23"/>
      <c r="BS207" s="23">
        <v>6500000</v>
      </c>
      <c r="BT207" s="23"/>
      <c r="BU207" s="23">
        <v>6500000</v>
      </c>
      <c r="BV207" s="23"/>
      <c r="BW207" s="23">
        <v>3250000</v>
      </c>
      <c r="BX207" s="23"/>
      <c r="BY207" s="23"/>
      <c r="BZ207" s="23"/>
      <c r="CA207" s="23"/>
      <c r="CB207" s="23"/>
      <c r="CC207" s="23"/>
      <c r="CD207" s="23"/>
      <c r="CE207" s="23"/>
      <c r="CF207" s="28"/>
      <c r="CG207" s="28"/>
      <c r="CH207" s="25">
        <f t="shared" ref="CH207:CI207" si="403">BH207+BJ207+BL207+BN207+BP207+BR207+BT207+BV207+BX207+BZ207+CB207+CD207+CF207</f>
        <v>39000000</v>
      </c>
      <c r="CI207" s="25">
        <f t="shared" si="403"/>
        <v>39000000</v>
      </c>
      <c r="CJ207" s="26">
        <f t="shared" si="4"/>
        <v>0</v>
      </c>
      <c r="CK207" s="26">
        <f t="shared" si="5"/>
        <v>0</v>
      </c>
    </row>
    <row r="208" spans="1:89" ht="90" customHeight="1" x14ac:dyDescent="0.3">
      <c r="A208" s="13" t="s">
        <v>248</v>
      </c>
      <c r="B208" s="14" t="s">
        <v>20</v>
      </c>
      <c r="C208" s="15" t="s">
        <v>651</v>
      </c>
      <c r="D208" s="14" t="s">
        <v>67</v>
      </c>
      <c r="E208" s="13" t="s">
        <v>250</v>
      </c>
      <c r="F208" s="13" t="s">
        <v>250</v>
      </c>
      <c r="G208" s="14">
        <v>16</v>
      </c>
      <c r="H208" s="13" t="s">
        <v>724</v>
      </c>
      <c r="I208" s="15" t="s">
        <v>659</v>
      </c>
      <c r="J208" s="14" t="s">
        <v>21</v>
      </c>
      <c r="K208" s="15" t="s">
        <v>97</v>
      </c>
      <c r="L208" s="14">
        <v>80111620</v>
      </c>
      <c r="M208" s="14" t="s">
        <v>22</v>
      </c>
      <c r="N208" s="14" t="s">
        <v>253</v>
      </c>
      <c r="O208" s="15" t="s">
        <v>725</v>
      </c>
      <c r="P208" s="14" t="s">
        <v>255</v>
      </c>
      <c r="Q208" s="14" t="s">
        <v>255</v>
      </c>
      <c r="R208" s="14" t="s">
        <v>255</v>
      </c>
      <c r="S208" s="17">
        <v>6</v>
      </c>
      <c r="T208" s="14" t="s">
        <v>256</v>
      </c>
      <c r="U208" s="14" t="s">
        <v>257</v>
      </c>
      <c r="V208" s="14" t="s">
        <v>112</v>
      </c>
      <c r="W208" s="18">
        <v>36139950</v>
      </c>
      <c r="X208" s="18">
        <v>36139950</v>
      </c>
      <c r="Y208" s="19" t="s">
        <v>339</v>
      </c>
      <c r="Z208" s="19" t="s">
        <v>258</v>
      </c>
      <c r="AA208" s="14" t="s">
        <v>655</v>
      </c>
      <c r="AB208" s="14" t="s">
        <v>656</v>
      </c>
      <c r="AC208" s="14">
        <v>6012220601</v>
      </c>
      <c r="AD208" s="14" t="s">
        <v>657</v>
      </c>
      <c r="AE208" s="82">
        <v>0</v>
      </c>
      <c r="AF208" s="82">
        <v>0</v>
      </c>
      <c r="AG208" s="82">
        <v>19712700</v>
      </c>
      <c r="AH208" s="82">
        <v>0</v>
      </c>
      <c r="AI208" s="82">
        <v>0</v>
      </c>
      <c r="AJ208" s="82">
        <v>3285450</v>
      </c>
      <c r="AK208" s="82">
        <v>0</v>
      </c>
      <c r="AL208" s="82">
        <v>3285450</v>
      </c>
      <c r="AM208" s="82">
        <v>0</v>
      </c>
      <c r="AN208" s="82">
        <v>3285450</v>
      </c>
      <c r="AO208" s="82">
        <v>0</v>
      </c>
      <c r="AP208" s="82">
        <v>3285450</v>
      </c>
      <c r="AQ208" s="82">
        <v>0</v>
      </c>
      <c r="AR208" s="82">
        <v>3285450</v>
      </c>
      <c r="AS208" s="82">
        <v>0</v>
      </c>
      <c r="AT208" s="82">
        <v>3285450</v>
      </c>
      <c r="AU208" s="82">
        <v>0</v>
      </c>
      <c r="AV208" s="82">
        <v>0</v>
      </c>
      <c r="AW208" s="82">
        <v>0</v>
      </c>
      <c r="AX208" s="82">
        <v>0</v>
      </c>
      <c r="AY208" s="82">
        <v>0</v>
      </c>
      <c r="AZ208" s="82">
        <v>0</v>
      </c>
      <c r="BA208" s="82">
        <v>19287300</v>
      </c>
      <c r="BB208" s="82">
        <v>19287300</v>
      </c>
      <c r="BC208" s="82">
        <f t="shared" ref="BC208:BD208" si="404">AE208+AG208+AI208+AK208+AM208+AO208+AQ208+AS208+AU208+AW208+AY208+BA208</f>
        <v>39000000</v>
      </c>
      <c r="BD208" s="82">
        <f t="shared" si="404"/>
        <v>39000000</v>
      </c>
      <c r="BE208" s="83">
        <f t="shared" si="1"/>
        <v>-2860050</v>
      </c>
      <c r="BF208" s="83">
        <f t="shared" si="2"/>
        <v>-2860050</v>
      </c>
      <c r="BG208" s="14" t="str">
        <f ca="1">IFERROR(__xludf.DUMMYFUNCTION("REGEXEXTRACT(O202,""^\S+\s(.+)$"")"),"Prestar servicios profesionales para el desarrollo de las actividades relacionadas con la gestión contractual de la Oficina de Tecnologías de la Información, y para el apoyo de las mismas de manera transversal en la Entidad.")</f>
        <v>Prestar servicios profesionales para el desarrollo de las actividades relacionadas con la gestión contractual de la Oficina de Tecnologías de la Información, y para el apoyo de las mismas de manera transversal en la Entidad.</v>
      </c>
      <c r="BH208" s="23">
        <v>36139950</v>
      </c>
      <c r="BI208" s="23">
        <v>0</v>
      </c>
      <c r="BJ208" s="23">
        <v>0</v>
      </c>
      <c r="BK208" s="23">
        <v>0</v>
      </c>
      <c r="BL208" s="23">
        <v>0</v>
      </c>
      <c r="BM208" s="23">
        <v>3285450</v>
      </c>
      <c r="BN208" s="23">
        <v>0</v>
      </c>
      <c r="BO208" s="23">
        <v>3285450</v>
      </c>
      <c r="BP208" s="23">
        <v>0</v>
      </c>
      <c r="BQ208" s="23">
        <v>3285450</v>
      </c>
      <c r="BR208" s="23">
        <v>0</v>
      </c>
      <c r="BS208" s="23">
        <v>3285450</v>
      </c>
      <c r="BT208" s="23">
        <v>0</v>
      </c>
      <c r="BU208" s="23">
        <v>3285450</v>
      </c>
      <c r="BV208" s="23">
        <v>0</v>
      </c>
      <c r="BW208" s="23">
        <v>3285450</v>
      </c>
      <c r="BX208" s="23">
        <v>0</v>
      </c>
      <c r="BY208" s="23">
        <v>0</v>
      </c>
      <c r="BZ208" s="23">
        <v>0</v>
      </c>
      <c r="CA208" s="23">
        <v>0</v>
      </c>
      <c r="CB208" s="23">
        <v>0</v>
      </c>
      <c r="CC208" s="23">
        <v>0</v>
      </c>
      <c r="CD208" s="23">
        <v>0</v>
      </c>
      <c r="CE208" s="23">
        <v>16427250</v>
      </c>
      <c r="CF208" s="28"/>
      <c r="CG208" s="28"/>
      <c r="CH208" s="25">
        <f t="shared" ref="CH208:CI208" si="405">BH208+BJ208+BL208+BN208+BP208+BR208+BT208+BV208+BX208+BZ208+CB208+CD208+CF208</f>
        <v>36139950</v>
      </c>
      <c r="CI208" s="25">
        <f t="shared" si="405"/>
        <v>36139950</v>
      </c>
      <c r="CJ208" s="26">
        <f t="shared" si="4"/>
        <v>0</v>
      </c>
      <c r="CK208" s="26">
        <f t="shared" si="5"/>
        <v>0</v>
      </c>
    </row>
    <row r="209" spans="1:89" ht="90" customHeight="1" x14ac:dyDescent="0.3">
      <c r="A209" s="13" t="s">
        <v>248</v>
      </c>
      <c r="B209" s="14" t="s">
        <v>20</v>
      </c>
      <c r="C209" s="15" t="s">
        <v>651</v>
      </c>
      <c r="D209" s="14" t="s">
        <v>67</v>
      </c>
      <c r="E209" s="13" t="s">
        <v>250</v>
      </c>
      <c r="F209" s="13" t="s">
        <v>250</v>
      </c>
      <c r="G209" s="14">
        <v>16</v>
      </c>
      <c r="H209" s="13" t="s">
        <v>726</v>
      </c>
      <c r="I209" s="15" t="s">
        <v>708</v>
      </c>
      <c r="J209" s="14" t="s">
        <v>25</v>
      </c>
      <c r="K209" s="15" t="s">
        <v>102</v>
      </c>
      <c r="L209" s="14">
        <v>80111620</v>
      </c>
      <c r="M209" s="14" t="s">
        <v>26</v>
      </c>
      <c r="N209" s="14" t="s">
        <v>253</v>
      </c>
      <c r="O209" s="15" t="s">
        <v>727</v>
      </c>
      <c r="P209" s="14" t="s">
        <v>255</v>
      </c>
      <c r="Q209" s="14" t="s">
        <v>255</v>
      </c>
      <c r="R209" s="14" t="s">
        <v>255</v>
      </c>
      <c r="S209" s="17">
        <v>11.5</v>
      </c>
      <c r="T209" s="14" t="s">
        <v>256</v>
      </c>
      <c r="U209" s="14" t="s">
        <v>257</v>
      </c>
      <c r="V209" s="14" t="s">
        <v>112</v>
      </c>
      <c r="W209" s="18">
        <v>60500000</v>
      </c>
      <c r="X209" s="18">
        <v>60500000</v>
      </c>
      <c r="Y209" s="19" t="s">
        <v>339</v>
      </c>
      <c r="Z209" s="19" t="s">
        <v>258</v>
      </c>
      <c r="AA209" s="14" t="s">
        <v>655</v>
      </c>
      <c r="AB209" s="14" t="s">
        <v>656</v>
      </c>
      <c r="AC209" s="14">
        <v>6012220601</v>
      </c>
      <c r="AD209" s="14" t="s">
        <v>657</v>
      </c>
      <c r="AE209" s="82">
        <v>60500000</v>
      </c>
      <c r="AF209" s="82">
        <v>0</v>
      </c>
      <c r="AG209" s="82">
        <v>0</v>
      </c>
      <c r="AH209" s="82">
        <v>0</v>
      </c>
      <c r="AI209" s="82">
        <v>0</v>
      </c>
      <c r="AJ209" s="82">
        <v>5500000</v>
      </c>
      <c r="AK209" s="82">
        <v>0</v>
      </c>
      <c r="AL209" s="82">
        <v>5500000</v>
      </c>
      <c r="AM209" s="82">
        <v>0</v>
      </c>
      <c r="AN209" s="82">
        <v>5500000</v>
      </c>
      <c r="AO209" s="82">
        <v>0</v>
      </c>
      <c r="AP209" s="82">
        <v>5500000</v>
      </c>
      <c r="AQ209" s="82">
        <v>0</v>
      </c>
      <c r="AR209" s="82">
        <v>5500000</v>
      </c>
      <c r="AS209" s="82">
        <v>0</v>
      </c>
      <c r="AT209" s="82">
        <v>5500000</v>
      </c>
      <c r="AU209" s="82">
        <v>0</v>
      </c>
      <c r="AV209" s="82">
        <v>5500000</v>
      </c>
      <c r="AW209" s="82">
        <v>0</v>
      </c>
      <c r="AX209" s="82">
        <v>5500000</v>
      </c>
      <c r="AY209" s="82">
        <v>0</v>
      </c>
      <c r="AZ209" s="82">
        <v>5500000</v>
      </c>
      <c r="BA209" s="82">
        <v>2750000</v>
      </c>
      <c r="BB209" s="82">
        <v>13750000</v>
      </c>
      <c r="BC209" s="82">
        <f t="shared" ref="BC209:BD209" si="406">AE209+AG209+AI209+AK209+AM209+AO209+AQ209+AS209+AU209+AW209+AY209+BA209</f>
        <v>63250000</v>
      </c>
      <c r="BD209" s="82">
        <f t="shared" si="406"/>
        <v>63250000</v>
      </c>
      <c r="BE209" s="83">
        <f t="shared" si="1"/>
        <v>-2750000</v>
      </c>
      <c r="BF209" s="83">
        <f t="shared" si="2"/>
        <v>-2750000</v>
      </c>
      <c r="BG209" s="14" t="str">
        <f ca="1">IFERROR(__xludf.DUMMYFUNCTION("REGEXEXTRACT(O203,""^\S+\s(.+)$"")"),"Prestar servicios profesionales especializados para apoyar de manera transversal la gestión del talento humano de la Unidad de Planeación Minero Energética UPME, mediante la implementación, seguimiento y mejora del Sistema de Gestión de Seguridad y Salud "&amp;"en el Trabajo (SG-SST), en cumplimiento de la normatividad vigente y los lineamientos institucionales.")</f>
        <v>Prestar servicios profesionales especializados para apoyar de manera transversal la gestión del talento humano de la Unidad de Planeación Minero Energética UPME, mediante la implementación, seguimiento y mejora del Sistema de Gestión de Seguridad y Salud en el Trabajo (SG-SST), en cumplimiento de la normatividad vigente y los lineamientos institucionales.</v>
      </c>
      <c r="BH209" s="23">
        <v>60500000</v>
      </c>
      <c r="BI209" s="23">
        <v>0</v>
      </c>
      <c r="BJ209" s="23">
        <v>0</v>
      </c>
      <c r="BK209" s="23">
        <v>0</v>
      </c>
      <c r="BL209" s="23">
        <v>0</v>
      </c>
      <c r="BM209" s="23">
        <v>5500000</v>
      </c>
      <c r="BN209" s="23">
        <v>0</v>
      </c>
      <c r="BO209" s="23">
        <v>5500000</v>
      </c>
      <c r="BP209" s="23">
        <v>0</v>
      </c>
      <c r="BQ209" s="23">
        <v>5500000</v>
      </c>
      <c r="BR209" s="23">
        <v>0</v>
      </c>
      <c r="BS209" s="23">
        <v>5500000</v>
      </c>
      <c r="BT209" s="23">
        <v>0</v>
      </c>
      <c r="BU209" s="23">
        <v>5500000</v>
      </c>
      <c r="BV209" s="23">
        <v>0</v>
      </c>
      <c r="BW209" s="23">
        <v>5500000</v>
      </c>
      <c r="BX209" s="23">
        <v>0</v>
      </c>
      <c r="BY209" s="23">
        <v>5500000</v>
      </c>
      <c r="BZ209" s="23">
        <v>0</v>
      </c>
      <c r="CA209" s="23">
        <v>5500000</v>
      </c>
      <c r="CB209" s="23">
        <v>0</v>
      </c>
      <c r="CC209" s="23">
        <v>5500000</v>
      </c>
      <c r="CD209" s="23">
        <v>0</v>
      </c>
      <c r="CE209" s="23">
        <v>11000000</v>
      </c>
      <c r="CF209" s="28"/>
      <c r="CG209" s="28"/>
      <c r="CH209" s="25">
        <f t="shared" ref="CH209:CI209" si="407">BH209+BJ209+BL209+BN209+BP209+BR209+BT209+BV209+BX209+BZ209+CB209+CD209+CF209</f>
        <v>60500000</v>
      </c>
      <c r="CI209" s="25">
        <f t="shared" si="407"/>
        <v>60500000</v>
      </c>
      <c r="CJ209" s="26">
        <f t="shared" si="4"/>
        <v>0</v>
      </c>
      <c r="CK209" s="26">
        <f t="shared" si="5"/>
        <v>0</v>
      </c>
    </row>
    <row r="210" spans="1:89" ht="90" customHeight="1" x14ac:dyDescent="0.3">
      <c r="A210" s="13" t="s">
        <v>248</v>
      </c>
      <c r="B210" s="14" t="s">
        <v>20</v>
      </c>
      <c r="C210" s="15" t="s">
        <v>651</v>
      </c>
      <c r="D210" s="14" t="s">
        <v>67</v>
      </c>
      <c r="E210" s="13" t="s">
        <v>250</v>
      </c>
      <c r="F210" s="13" t="s">
        <v>250</v>
      </c>
      <c r="G210" s="14">
        <v>20</v>
      </c>
      <c r="H210" s="13" t="s">
        <v>728</v>
      </c>
      <c r="I210" s="15" t="s">
        <v>708</v>
      </c>
      <c r="J210" s="14" t="s">
        <v>25</v>
      </c>
      <c r="K210" s="15" t="s">
        <v>102</v>
      </c>
      <c r="L210" s="14">
        <v>80111620</v>
      </c>
      <c r="M210" s="14" t="s">
        <v>26</v>
      </c>
      <c r="N210" s="14" t="s">
        <v>253</v>
      </c>
      <c r="O210" s="15" t="s">
        <v>729</v>
      </c>
      <c r="P210" s="14" t="s">
        <v>255</v>
      </c>
      <c r="Q210" s="14" t="s">
        <v>255</v>
      </c>
      <c r="R210" s="14" t="s">
        <v>255</v>
      </c>
      <c r="S210" s="17">
        <v>11</v>
      </c>
      <c r="T210" s="14" t="s">
        <v>256</v>
      </c>
      <c r="U210" s="14" t="s">
        <v>257</v>
      </c>
      <c r="V210" s="14" t="s">
        <v>112</v>
      </c>
      <c r="W210" s="18">
        <v>7900000</v>
      </c>
      <c r="X210" s="18">
        <v>7900000</v>
      </c>
      <c r="Y210" s="19" t="s">
        <v>339</v>
      </c>
      <c r="Z210" s="19" t="s">
        <v>258</v>
      </c>
      <c r="AA210" s="14" t="s">
        <v>655</v>
      </c>
      <c r="AB210" s="14" t="s">
        <v>656</v>
      </c>
      <c r="AC210" s="14">
        <v>6012220601</v>
      </c>
      <c r="AD210" s="14" t="s">
        <v>657</v>
      </c>
      <c r="AE210" s="82">
        <v>5500000</v>
      </c>
      <c r="AF210" s="82">
        <v>0</v>
      </c>
      <c r="AG210" s="82">
        <v>0</v>
      </c>
      <c r="AH210" s="82">
        <v>0</v>
      </c>
      <c r="AI210" s="82">
        <v>0</v>
      </c>
      <c r="AJ210" s="82">
        <v>0</v>
      </c>
      <c r="AK210" s="82">
        <v>0</v>
      </c>
      <c r="AL210" s="82">
        <v>0</v>
      </c>
      <c r="AM210" s="82">
        <v>0</v>
      </c>
      <c r="AN210" s="82">
        <v>0</v>
      </c>
      <c r="AO210" s="82">
        <v>0</v>
      </c>
      <c r="AP210" s="82">
        <v>0</v>
      </c>
      <c r="AQ210" s="82">
        <v>0</v>
      </c>
      <c r="AR210" s="82">
        <v>0</v>
      </c>
      <c r="AS210" s="82">
        <v>0</v>
      </c>
      <c r="AT210" s="82">
        <v>0</v>
      </c>
      <c r="AU210" s="82">
        <v>0</v>
      </c>
      <c r="AV210" s="82">
        <v>0</v>
      </c>
      <c r="AW210" s="82">
        <v>0</v>
      </c>
      <c r="AX210" s="82">
        <v>0</v>
      </c>
      <c r="AY210" s="82">
        <v>0</v>
      </c>
      <c r="AZ210" s="82">
        <v>0</v>
      </c>
      <c r="BA210" s="82">
        <v>0</v>
      </c>
      <c r="BB210" s="82">
        <v>5500000</v>
      </c>
      <c r="BC210" s="82">
        <f t="shared" ref="BC210:BD210" si="408">AE210+AG210+AI210+AK210+AM210+AO210+AQ210+AS210+AU210+AW210+AY210+BA210</f>
        <v>5500000</v>
      </c>
      <c r="BD210" s="82">
        <f t="shared" si="408"/>
        <v>5500000</v>
      </c>
      <c r="BE210" s="83">
        <f t="shared" si="1"/>
        <v>2400000</v>
      </c>
      <c r="BF210" s="83">
        <f t="shared" si="2"/>
        <v>2400000</v>
      </c>
      <c r="BG210" s="14" t="str">
        <f ca="1">IFERROR(__xludf.DUMMYFUNCTION("REGEXEXTRACT(O204,""^\S+\s(.+)$"")"),"Prestar servicios profesionales especializados orientados a la atención, análisis y resolución de incidentes o requerimientos que afecten los sistemas de información implementados en la UPME, así como la plataforma tecnológica necesaria para su operación.")</f>
        <v>Prestar servicios profesionales especializados orientados a la atención, análisis y resolución de incidentes o requerimientos que afecten los sistemas de información implementados en la UPME, así como la plataforma tecnológica necesaria para su operación.</v>
      </c>
      <c r="BH210" s="23">
        <v>5500000</v>
      </c>
      <c r="BI210" s="23">
        <v>0</v>
      </c>
      <c r="BJ210" s="23">
        <v>0</v>
      </c>
      <c r="BK210" s="23">
        <v>0</v>
      </c>
      <c r="BL210" s="23">
        <v>0</v>
      </c>
      <c r="BM210" s="23">
        <v>600000</v>
      </c>
      <c r="BN210" s="23">
        <v>0</v>
      </c>
      <c r="BO210" s="23">
        <v>7300000</v>
      </c>
      <c r="BP210" s="23">
        <v>2400000</v>
      </c>
      <c r="BQ210" s="23">
        <v>0</v>
      </c>
      <c r="BR210" s="23">
        <v>0</v>
      </c>
      <c r="BS210" s="23">
        <v>0</v>
      </c>
      <c r="BT210" s="23">
        <v>0</v>
      </c>
      <c r="BU210" s="23">
        <v>0</v>
      </c>
      <c r="BV210" s="23">
        <v>0</v>
      </c>
      <c r="BW210" s="23">
        <v>0</v>
      </c>
      <c r="BX210" s="23">
        <v>0</v>
      </c>
      <c r="BY210" s="23">
        <v>0</v>
      </c>
      <c r="BZ210" s="23">
        <v>0</v>
      </c>
      <c r="CA210" s="23">
        <v>0</v>
      </c>
      <c r="CB210" s="23">
        <v>0</v>
      </c>
      <c r="CC210" s="23">
        <v>0</v>
      </c>
      <c r="CD210" s="23">
        <v>0</v>
      </c>
      <c r="CE210" s="23">
        <v>0</v>
      </c>
      <c r="CF210" s="28"/>
      <c r="CG210" s="28"/>
      <c r="CH210" s="25">
        <f t="shared" ref="CH210:CI210" si="409">BH210+BJ210+BL210+BN210+BP210+BR210+BT210+BV210+BX210+BZ210+CB210+CD210+CF210</f>
        <v>7900000</v>
      </c>
      <c r="CI210" s="25">
        <f t="shared" si="409"/>
        <v>7900000</v>
      </c>
      <c r="CJ210" s="26">
        <f t="shared" si="4"/>
        <v>0</v>
      </c>
      <c r="CK210" s="26">
        <f t="shared" si="5"/>
        <v>0</v>
      </c>
    </row>
    <row r="211" spans="1:89" ht="90" customHeight="1" x14ac:dyDescent="0.3">
      <c r="A211" s="13" t="s">
        <v>248</v>
      </c>
      <c r="B211" s="14" t="s">
        <v>20</v>
      </c>
      <c r="C211" s="15" t="s">
        <v>651</v>
      </c>
      <c r="D211" s="14" t="s">
        <v>67</v>
      </c>
      <c r="E211" s="13" t="s">
        <v>250</v>
      </c>
      <c r="F211" s="13" t="s">
        <v>250</v>
      </c>
      <c r="G211" s="14">
        <v>20</v>
      </c>
      <c r="H211" s="13" t="s">
        <v>730</v>
      </c>
      <c r="I211" s="15" t="s">
        <v>708</v>
      </c>
      <c r="J211" s="14" t="s">
        <v>25</v>
      </c>
      <c r="K211" s="15" t="s">
        <v>102</v>
      </c>
      <c r="L211" s="14">
        <v>80111620</v>
      </c>
      <c r="M211" s="14" t="s">
        <v>26</v>
      </c>
      <c r="N211" s="14" t="s">
        <v>253</v>
      </c>
      <c r="O211" s="15" t="s">
        <v>731</v>
      </c>
      <c r="P211" s="14" t="s">
        <v>255</v>
      </c>
      <c r="Q211" s="14" t="s">
        <v>255</v>
      </c>
      <c r="R211" s="14" t="s">
        <v>255</v>
      </c>
      <c r="S211" s="17">
        <v>11.5</v>
      </c>
      <c r="T211" s="14" t="s">
        <v>256</v>
      </c>
      <c r="U211" s="14" t="s">
        <v>257</v>
      </c>
      <c r="V211" s="14" t="s">
        <v>112</v>
      </c>
      <c r="W211" s="18">
        <v>105600000</v>
      </c>
      <c r="X211" s="18">
        <v>105600000</v>
      </c>
      <c r="Y211" s="19" t="s">
        <v>339</v>
      </c>
      <c r="Z211" s="19" t="s">
        <v>258</v>
      </c>
      <c r="AA211" s="14" t="s">
        <v>655</v>
      </c>
      <c r="AB211" s="14" t="s">
        <v>656</v>
      </c>
      <c r="AC211" s="14">
        <v>6012220601</v>
      </c>
      <c r="AD211" s="14" t="s">
        <v>657</v>
      </c>
      <c r="AE211" s="82">
        <v>103500000</v>
      </c>
      <c r="AF211" s="82">
        <v>0</v>
      </c>
      <c r="AG211" s="82">
        <v>0</v>
      </c>
      <c r="AH211" s="82">
        <v>6600000</v>
      </c>
      <c r="AI211" s="82">
        <v>0</v>
      </c>
      <c r="AJ211" s="82">
        <v>9000000</v>
      </c>
      <c r="AK211" s="82">
        <v>0</v>
      </c>
      <c r="AL211" s="82">
        <v>9000000</v>
      </c>
      <c r="AM211" s="82">
        <v>0</v>
      </c>
      <c r="AN211" s="82">
        <v>9000000</v>
      </c>
      <c r="AO211" s="82">
        <v>0</v>
      </c>
      <c r="AP211" s="82">
        <v>9000000</v>
      </c>
      <c r="AQ211" s="82">
        <v>0</v>
      </c>
      <c r="AR211" s="82">
        <v>9000000</v>
      </c>
      <c r="AS211" s="82">
        <v>0</v>
      </c>
      <c r="AT211" s="82">
        <v>9000000</v>
      </c>
      <c r="AU211" s="82">
        <v>0</v>
      </c>
      <c r="AV211" s="82">
        <v>9000000</v>
      </c>
      <c r="AW211" s="82">
        <v>0</v>
      </c>
      <c r="AX211" s="82">
        <v>9000000</v>
      </c>
      <c r="AY211" s="82">
        <v>0</v>
      </c>
      <c r="AZ211" s="82">
        <v>9000000</v>
      </c>
      <c r="BA211" s="82">
        <v>0</v>
      </c>
      <c r="BB211" s="82">
        <v>15900000</v>
      </c>
      <c r="BC211" s="82">
        <f t="shared" ref="BC211:BD211" si="410">AE211+AG211+AI211+AK211+AM211+AO211+AQ211+AS211+AU211+AW211+AY211+BA211</f>
        <v>103500000</v>
      </c>
      <c r="BD211" s="82">
        <f t="shared" si="410"/>
        <v>103500000</v>
      </c>
      <c r="BE211" s="83">
        <f t="shared" si="1"/>
        <v>2100000</v>
      </c>
      <c r="BF211" s="83">
        <f t="shared" si="2"/>
        <v>2100000</v>
      </c>
      <c r="BG211" s="14" t="str">
        <f ca="1">IFERROR(__xludf.DUMMYFUNCTION("REGEXEXTRACT(O205,""^\S+\s(.+)$"")"),"Prestar los servicios profesionales de acompañamiento jurídico y técnico en los asuntos de gestión precontractual, contractual y pos contractual de la Oficina de Tecnologías de la Información")</f>
        <v>Prestar los servicios profesionales de acompañamiento jurídico y técnico en los asuntos de gestión precontractual, contractual y pos contractual de la Oficina de Tecnologías de la Información</v>
      </c>
      <c r="BH211" s="23">
        <v>103500000</v>
      </c>
      <c r="BI211" s="23">
        <v>0</v>
      </c>
      <c r="BJ211" s="23">
        <v>0</v>
      </c>
      <c r="BK211" s="23">
        <v>6600000</v>
      </c>
      <c r="BL211" s="23">
        <v>0</v>
      </c>
      <c r="BM211" s="23">
        <v>9000000</v>
      </c>
      <c r="BN211" s="23">
        <v>0</v>
      </c>
      <c r="BO211" s="23">
        <v>9000000</v>
      </c>
      <c r="BP211" s="23">
        <v>2100000</v>
      </c>
      <c r="BQ211" s="23">
        <v>9000000</v>
      </c>
      <c r="BR211" s="23">
        <v>0</v>
      </c>
      <c r="BS211" s="23">
        <v>9000000</v>
      </c>
      <c r="BT211" s="23">
        <v>0</v>
      </c>
      <c r="BU211" s="23">
        <v>9000000</v>
      </c>
      <c r="BV211" s="23">
        <v>0</v>
      </c>
      <c r="BW211" s="23">
        <v>9000000</v>
      </c>
      <c r="BX211" s="23">
        <v>0</v>
      </c>
      <c r="BY211" s="23">
        <v>9000000</v>
      </c>
      <c r="BZ211" s="23">
        <v>0</v>
      </c>
      <c r="CA211" s="23">
        <v>9000000</v>
      </c>
      <c r="CB211" s="23">
        <v>0</v>
      </c>
      <c r="CC211" s="23">
        <v>9000000</v>
      </c>
      <c r="CD211" s="23">
        <v>0</v>
      </c>
      <c r="CE211" s="23">
        <v>18000000</v>
      </c>
      <c r="CF211" s="28"/>
      <c r="CG211" s="28"/>
      <c r="CH211" s="25">
        <f t="shared" ref="CH211:CI211" si="411">BH211+BJ211+BL211+BN211+BP211+BR211+BT211+BV211+BX211+BZ211+CB211+CD211+CF211</f>
        <v>105600000</v>
      </c>
      <c r="CI211" s="25">
        <f t="shared" si="411"/>
        <v>105600000</v>
      </c>
      <c r="CJ211" s="26">
        <f t="shared" si="4"/>
        <v>0</v>
      </c>
      <c r="CK211" s="26">
        <f t="shared" si="5"/>
        <v>0</v>
      </c>
    </row>
    <row r="212" spans="1:89" ht="90" customHeight="1" x14ac:dyDescent="0.3">
      <c r="A212" s="13" t="s">
        <v>248</v>
      </c>
      <c r="B212" s="14" t="s">
        <v>20</v>
      </c>
      <c r="C212" s="15" t="s">
        <v>651</v>
      </c>
      <c r="D212" s="14" t="s">
        <v>67</v>
      </c>
      <c r="E212" s="13" t="s">
        <v>250</v>
      </c>
      <c r="F212" s="13" t="s">
        <v>250</v>
      </c>
      <c r="G212" s="14">
        <v>20</v>
      </c>
      <c r="H212" s="13" t="s">
        <v>732</v>
      </c>
      <c r="I212" s="15" t="s">
        <v>708</v>
      </c>
      <c r="J212" s="14" t="s">
        <v>25</v>
      </c>
      <c r="K212" s="15" t="s">
        <v>102</v>
      </c>
      <c r="L212" s="14">
        <v>80111620</v>
      </c>
      <c r="M212" s="14" t="s">
        <v>26</v>
      </c>
      <c r="N212" s="14" t="s">
        <v>253</v>
      </c>
      <c r="O212" s="15" t="s">
        <v>733</v>
      </c>
      <c r="P212" s="14" t="s">
        <v>255</v>
      </c>
      <c r="Q212" s="14" t="s">
        <v>255</v>
      </c>
      <c r="R212" s="14" t="s">
        <v>255</v>
      </c>
      <c r="S212" s="17">
        <v>11</v>
      </c>
      <c r="T212" s="14" t="s">
        <v>256</v>
      </c>
      <c r="U212" s="14" t="s">
        <v>257</v>
      </c>
      <c r="V212" s="14" t="s">
        <v>112</v>
      </c>
      <c r="W212" s="18">
        <v>8300000</v>
      </c>
      <c r="X212" s="18">
        <v>8300000</v>
      </c>
      <c r="Y212" s="19" t="s">
        <v>339</v>
      </c>
      <c r="Z212" s="19" t="s">
        <v>258</v>
      </c>
      <c r="AA212" s="14" t="s">
        <v>655</v>
      </c>
      <c r="AB212" s="14" t="s">
        <v>656</v>
      </c>
      <c r="AC212" s="14">
        <v>6012220601</v>
      </c>
      <c r="AD212" s="14" t="s">
        <v>657</v>
      </c>
      <c r="AE212" s="82">
        <v>0</v>
      </c>
      <c r="AF212" s="82">
        <v>0</v>
      </c>
      <c r="AG212" s="82">
        <v>11000000</v>
      </c>
      <c r="AH212" s="82">
        <v>0</v>
      </c>
      <c r="AI212" s="82">
        <v>0</v>
      </c>
      <c r="AJ212" s="82">
        <v>0</v>
      </c>
      <c r="AK212" s="82">
        <v>0</v>
      </c>
      <c r="AL212" s="82">
        <v>0</v>
      </c>
      <c r="AM212" s="82">
        <v>0</v>
      </c>
      <c r="AN212" s="82">
        <v>0</v>
      </c>
      <c r="AO212" s="82">
        <v>0</v>
      </c>
      <c r="AP212" s="82">
        <v>0</v>
      </c>
      <c r="AQ212" s="82">
        <v>0</v>
      </c>
      <c r="AR212" s="82">
        <v>0</v>
      </c>
      <c r="AS212" s="82">
        <v>0</v>
      </c>
      <c r="AT212" s="82">
        <v>0</v>
      </c>
      <c r="AU212" s="82">
        <v>0</v>
      </c>
      <c r="AV212" s="82">
        <v>0</v>
      </c>
      <c r="AW212" s="82">
        <v>0</v>
      </c>
      <c r="AX212" s="82">
        <v>0</v>
      </c>
      <c r="AY212" s="82">
        <v>0</v>
      </c>
      <c r="AZ212" s="82">
        <v>0</v>
      </c>
      <c r="BA212" s="82">
        <v>0</v>
      </c>
      <c r="BB212" s="82">
        <v>11000000</v>
      </c>
      <c r="BC212" s="82">
        <f t="shared" ref="BC212:BD212" si="412">AE212+AG212+AI212+AK212+AM212+AO212+AQ212+AS212+AU212+AW212+AY212+BA212</f>
        <v>11000000</v>
      </c>
      <c r="BD212" s="82">
        <f t="shared" si="412"/>
        <v>11000000</v>
      </c>
      <c r="BE212" s="83">
        <f t="shared" si="1"/>
        <v>-2700000</v>
      </c>
      <c r="BF212" s="83">
        <f t="shared" si="2"/>
        <v>-2700000</v>
      </c>
      <c r="BG212" s="14" t="str">
        <f ca="1">IFERROR(__xludf.DUMMYFUNCTION("REGEXEXTRACT(O206,""^\S+\s(.+)$"")"),"Prestar servicios profesionales para la revisión, diagnóstico, evaluación y definición de lineamientos en materia de infraestructura tecnológica, servicios tecnológicos, telecomunicaciones y ciberseguridad, con el fin de orientar y garantizar que se cumpl"&amp;"a con las regulaciones y estándares de seguridad para el correcto funcionamiento, continuidad y evolución de los servicios tecnológicos de la Entidad.")</f>
        <v>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v>
      </c>
      <c r="BH212" s="23">
        <v>0</v>
      </c>
      <c r="BI212" s="23">
        <v>0</v>
      </c>
      <c r="BJ212" s="23">
        <v>11000000</v>
      </c>
      <c r="BK212" s="23">
        <v>0</v>
      </c>
      <c r="BL212" s="23">
        <v>0</v>
      </c>
      <c r="BM212" s="23">
        <v>0</v>
      </c>
      <c r="BN212" s="23">
        <v>-2700000</v>
      </c>
      <c r="BO212" s="23">
        <v>0</v>
      </c>
      <c r="BP212" s="23">
        <v>0</v>
      </c>
      <c r="BQ212" s="23">
        <v>0</v>
      </c>
      <c r="BR212" s="23">
        <v>0</v>
      </c>
      <c r="BS212" s="23">
        <v>0</v>
      </c>
      <c r="BT212" s="23">
        <v>0</v>
      </c>
      <c r="BU212" s="23">
        <v>0</v>
      </c>
      <c r="BV212" s="23">
        <v>0</v>
      </c>
      <c r="BW212" s="23">
        <v>0</v>
      </c>
      <c r="BX212" s="23">
        <v>0</v>
      </c>
      <c r="BY212" s="23">
        <v>0</v>
      </c>
      <c r="BZ212" s="23">
        <v>0</v>
      </c>
      <c r="CA212" s="23">
        <v>0</v>
      </c>
      <c r="CB212" s="23">
        <v>0</v>
      </c>
      <c r="CC212" s="23">
        <v>0</v>
      </c>
      <c r="CD212" s="23">
        <v>0</v>
      </c>
      <c r="CE212" s="23">
        <v>8300000</v>
      </c>
      <c r="CF212" s="28"/>
      <c r="CG212" s="28"/>
      <c r="CH212" s="25">
        <f t="shared" ref="CH212:CI212" si="413">BH212+BJ212+BL212+BN212+BP212+BR212+BT212+BV212+BX212+BZ212+CB212+CD212+CF212</f>
        <v>8300000</v>
      </c>
      <c r="CI212" s="25">
        <f t="shared" si="413"/>
        <v>8300000</v>
      </c>
      <c r="CJ212" s="26">
        <f t="shared" si="4"/>
        <v>0</v>
      </c>
      <c r="CK212" s="26">
        <f t="shared" si="5"/>
        <v>0</v>
      </c>
    </row>
    <row r="213" spans="1:89" ht="90" customHeight="1" x14ac:dyDescent="0.3">
      <c r="A213" s="13" t="s">
        <v>248</v>
      </c>
      <c r="B213" s="14" t="s">
        <v>20</v>
      </c>
      <c r="C213" s="15" t="s">
        <v>651</v>
      </c>
      <c r="D213" s="14" t="s">
        <v>67</v>
      </c>
      <c r="E213" s="13" t="s">
        <v>250</v>
      </c>
      <c r="F213" s="13" t="s">
        <v>250</v>
      </c>
      <c r="G213" s="14">
        <v>20</v>
      </c>
      <c r="H213" s="13" t="s">
        <v>734</v>
      </c>
      <c r="I213" s="15" t="s">
        <v>708</v>
      </c>
      <c r="J213" s="14" t="s">
        <v>25</v>
      </c>
      <c r="K213" s="15" t="s">
        <v>102</v>
      </c>
      <c r="L213" s="14">
        <v>80111620</v>
      </c>
      <c r="M213" s="14" t="s">
        <v>26</v>
      </c>
      <c r="N213" s="14" t="s">
        <v>253</v>
      </c>
      <c r="O213" s="15" t="s">
        <v>735</v>
      </c>
      <c r="P213" s="14" t="s">
        <v>255</v>
      </c>
      <c r="Q213" s="14" t="s">
        <v>255</v>
      </c>
      <c r="R213" s="14" t="s">
        <v>255</v>
      </c>
      <c r="S213" s="17">
        <v>11</v>
      </c>
      <c r="T213" s="14" t="s">
        <v>256</v>
      </c>
      <c r="U213" s="14" t="s">
        <v>257</v>
      </c>
      <c r="V213" s="14" t="s">
        <v>112</v>
      </c>
      <c r="W213" s="18">
        <v>10080000</v>
      </c>
      <c r="X213" s="18">
        <v>10080000</v>
      </c>
      <c r="Y213" s="19" t="s">
        <v>339</v>
      </c>
      <c r="Z213" s="19" t="s">
        <v>258</v>
      </c>
      <c r="AA213" s="14" t="s">
        <v>655</v>
      </c>
      <c r="AB213" s="14" t="s">
        <v>656</v>
      </c>
      <c r="AC213" s="14">
        <v>6012220601</v>
      </c>
      <c r="AD213" s="14" t="s">
        <v>657</v>
      </c>
      <c r="AE213" s="82">
        <v>59400000</v>
      </c>
      <c r="AF213" s="82">
        <v>0</v>
      </c>
      <c r="AG213" s="82">
        <v>0</v>
      </c>
      <c r="AH213" s="82">
        <v>1620000</v>
      </c>
      <c r="AI213" s="82">
        <v>0</v>
      </c>
      <c r="AJ213" s="82">
        <v>5400000</v>
      </c>
      <c r="AK213" s="82">
        <v>0</v>
      </c>
      <c r="AL213" s="82">
        <v>5400000</v>
      </c>
      <c r="AM213" s="82">
        <v>0</v>
      </c>
      <c r="AN213" s="82">
        <v>5400000</v>
      </c>
      <c r="AO213" s="82">
        <v>0</v>
      </c>
      <c r="AP213" s="82">
        <v>5400000</v>
      </c>
      <c r="AQ213" s="82">
        <v>0</v>
      </c>
      <c r="AR213" s="82">
        <v>5400000</v>
      </c>
      <c r="AS213" s="82">
        <v>0</v>
      </c>
      <c r="AT213" s="82">
        <v>5400000</v>
      </c>
      <c r="AU213" s="82">
        <v>0</v>
      </c>
      <c r="AV213" s="82">
        <v>5400000</v>
      </c>
      <c r="AW213" s="82">
        <v>0</v>
      </c>
      <c r="AX213" s="82">
        <v>5400000</v>
      </c>
      <c r="AY213" s="82">
        <v>0</v>
      </c>
      <c r="AZ213" s="82">
        <v>5400000</v>
      </c>
      <c r="BA213" s="82">
        <v>0</v>
      </c>
      <c r="BB213" s="82">
        <v>9180000</v>
      </c>
      <c r="BC213" s="82">
        <f t="shared" ref="BC213:BD213" si="414">AE213+AG213+AI213+AK213+AM213+AO213+AQ213+AS213+AU213+AW213+AY213+BA213</f>
        <v>59400000</v>
      </c>
      <c r="BD213" s="82">
        <f t="shared" si="414"/>
        <v>59400000</v>
      </c>
      <c r="BE213" s="83">
        <f t="shared" si="1"/>
        <v>-49320000</v>
      </c>
      <c r="BF213" s="83">
        <f t="shared" si="2"/>
        <v>-49320000</v>
      </c>
      <c r="BG213" s="14" t="str">
        <f ca="1">IFERROR(__xludf.DUMMYFUNCTION("REGEXEXTRACT(O207,""^\S+\s(.+)$"")"),"Prestar servicios profesionales en la Oficina de Tecnologías de la Información para apoyar la implementación de buenas prácticas en Gestión de Proyectos y en el seguimiento al Plan Estratégico de Tecnologías de la Información.")</f>
        <v>Prestar servicios profesionales en la Oficina de Tecnologías de la Información para apoyar la implementación de buenas prácticas en Gestión de Proyectos y en el seguimiento al Plan Estratégico de Tecnologías de la Información.</v>
      </c>
      <c r="BH213" s="23">
        <v>59400000</v>
      </c>
      <c r="BI213" s="23">
        <v>0</v>
      </c>
      <c r="BJ213" s="23">
        <v>0</v>
      </c>
      <c r="BK213" s="23">
        <v>1620000</v>
      </c>
      <c r="BL213" s="23">
        <v>0</v>
      </c>
      <c r="BM213" s="23">
        <v>5400000</v>
      </c>
      <c r="BN213" s="23">
        <v>-49320000</v>
      </c>
      <c r="BO213" s="23">
        <v>3060000</v>
      </c>
      <c r="BP213" s="23">
        <v>0</v>
      </c>
      <c r="BQ213" s="23">
        <v>0</v>
      </c>
      <c r="BR213" s="23">
        <v>0</v>
      </c>
      <c r="BS213" s="23">
        <v>0</v>
      </c>
      <c r="BT213" s="23">
        <v>0</v>
      </c>
      <c r="BU213" s="23">
        <v>0</v>
      </c>
      <c r="BV213" s="23">
        <v>0</v>
      </c>
      <c r="BW213" s="23">
        <v>0</v>
      </c>
      <c r="BX213" s="23">
        <v>0</v>
      </c>
      <c r="BY213" s="23">
        <v>0</v>
      </c>
      <c r="BZ213" s="23">
        <v>0</v>
      </c>
      <c r="CA213" s="23">
        <v>0</v>
      </c>
      <c r="CB213" s="23">
        <v>0</v>
      </c>
      <c r="CC213" s="23">
        <v>0</v>
      </c>
      <c r="CD213" s="23">
        <v>0</v>
      </c>
      <c r="CE213" s="23">
        <v>0</v>
      </c>
      <c r="CF213" s="28"/>
      <c r="CG213" s="28"/>
      <c r="CH213" s="25">
        <f t="shared" ref="CH213:CI213" si="415">BH213+BJ213+BL213+BN213+BP213+BR213+BT213+BV213+BX213+BZ213+CB213+CD213+CF213</f>
        <v>10080000</v>
      </c>
      <c r="CI213" s="25">
        <f t="shared" si="415"/>
        <v>10080000</v>
      </c>
      <c r="CJ213" s="26">
        <f t="shared" si="4"/>
        <v>0</v>
      </c>
      <c r="CK213" s="26">
        <f t="shared" si="5"/>
        <v>0</v>
      </c>
    </row>
    <row r="214" spans="1:89" ht="90" customHeight="1" x14ac:dyDescent="0.3">
      <c r="A214" s="13" t="s">
        <v>248</v>
      </c>
      <c r="B214" s="14" t="s">
        <v>20</v>
      </c>
      <c r="C214" s="15" t="s">
        <v>651</v>
      </c>
      <c r="D214" s="14" t="s">
        <v>67</v>
      </c>
      <c r="E214" s="13" t="s">
        <v>250</v>
      </c>
      <c r="F214" s="13" t="s">
        <v>250</v>
      </c>
      <c r="G214" s="14">
        <v>20</v>
      </c>
      <c r="H214" s="13" t="s">
        <v>736</v>
      </c>
      <c r="I214" s="15" t="s">
        <v>659</v>
      </c>
      <c r="J214" s="14" t="s">
        <v>21</v>
      </c>
      <c r="K214" s="15" t="s">
        <v>98</v>
      </c>
      <c r="L214" s="14">
        <v>80111620</v>
      </c>
      <c r="M214" s="14" t="s">
        <v>22</v>
      </c>
      <c r="N214" s="14" t="s">
        <v>253</v>
      </c>
      <c r="O214" s="15" t="s">
        <v>737</v>
      </c>
      <c r="P214" s="14" t="s">
        <v>255</v>
      </c>
      <c r="Q214" s="14" t="s">
        <v>255</v>
      </c>
      <c r="R214" s="14" t="s">
        <v>255</v>
      </c>
      <c r="S214" s="17">
        <v>11</v>
      </c>
      <c r="T214" s="14" t="s">
        <v>256</v>
      </c>
      <c r="U214" s="14" t="s">
        <v>257</v>
      </c>
      <c r="V214" s="14" t="s">
        <v>112</v>
      </c>
      <c r="W214" s="18">
        <v>35811405</v>
      </c>
      <c r="X214" s="18">
        <v>35811405</v>
      </c>
      <c r="Y214" s="19" t="s">
        <v>339</v>
      </c>
      <c r="Z214" s="19" t="s">
        <v>258</v>
      </c>
      <c r="AA214" s="14" t="s">
        <v>655</v>
      </c>
      <c r="AB214" s="14" t="s">
        <v>656</v>
      </c>
      <c r="AC214" s="14">
        <v>6012220601</v>
      </c>
      <c r="AD214" s="14" t="s">
        <v>657</v>
      </c>
      <c r="AE214" s="82">
        <v>0</v>
      </c>
      <c r="AF214" s="82">
        <v>0</v>
      </c>
      <c r="AG214" s="82">
        <v>36139950</v>
      </c>
      <c r="AH214" s="82">
        <v>0</v>
      </c>
      <c r="AI214" s="82">
        <v>0</v>
      </c>
      <c r="AJ214" s="82">
        <v>3285450</v>
      </c>
      <c r="AK214" s="82">
        <v>0</v>
      </c>
      <c r="AL214" s="82">
        <v>3285450</v>
      </c>
      <c r="AM214" s="82">
        <v>0</v>
      </c>
      <c r="AN214" s="82">
        <v>3285450</v>
      </c>
      <c r="AO214" s="82">
        <v>0</v>
      </c>
      <c r="AP214" s="82">
        <v>3285450</v>
      </c>
      <c r="AQ214" s="82">
        <v>0</v>
      </c>
      <c r="AR214" s="82">
        <v>3285450</v>
      </c>
      <c r="AS214" s="82">
        <v>0</v>
      </c>
      <c r="AT214" s="82">
        <v>3285450</v>
      </c>
      <c r="AU214" s="82">
        <v>0</v>
      </c>
      <c r="AV214" s="82">
        <v>3285450</v>
      </c>
      <c r="AW214" s="82">
        <v>0</v>
      </c>
      <c r="AX214" s="82">
        <v>3285450</v>
      </c>
      <c r="AY214" s="82">
        <v>0</v>
      </c>
      <c r="AZ214" s="82">
        <v>3285450</v>
      </c>
      <c r="BA214" s="82">
        <v>0</v>
      </c>
      <c r="BB214" s="82">
        <v>6570900</v>
      </c>
      <c r="BC214" s="82">
        <f t="shared" ref="BC214:BD214" si="416">AE214+AG214+AI214+AK214+AM214+AO214+AQ214+AS214+AU214+AW214+AY214+BA214</f>
        <v>36139950</v>
      </c>
      <c r="BD214" s="82">
        <f t="shared" si="416"/>
        <v>36139950</v>
      </c>
      <c r="BE214" s="83">
        <f t="shared" si="1"/>
        <v>-328545</v>
      </c>
      <c r="BF214" s="83">
        <f t="shared" si="2"/>
        <v>-328545</v>
      </c>
      <c r="BG214" s="14" t="str">
        <f ca="1">IFERROR(__xludf.DUMMYFUNCTION("REGEXEXTRACT(O208,""^\S+\s(.+)$"")"),"Prestar servicios profesionales para apoyar actividades tanto operativas como administrativas inherentes al GIT de Arquitectura empresarial y Seguridad de la información.")</f>
        <v>Prestar servicios profesionales para apoyar actividades tanto operativas como administrativas inherentes al GIT de Arquitectura empresarial y Seguridad de la información.</v>
      </c>
      <c r="BH214" s="23">
        <v>0</v>
      </c>
      <c r="BI214" s="23">
        <v>0</v>
      </c>
      <c r="BJ214" s="23">
        <v>36139950</v>
      </c>
      <c r="BK214" s="23">
        <v>0</v>
      </c>
      <c r="BL214" s="23">
        <v>0</v>
      </c>
      <c r="BM214" s="23">
        <v>2956905</v>
      </c>
      <c r="BN214" s="23">
        <v>-328545</v>
      </c>
      <c r="BO214" s="23">
        <v>3285450</v>
      </c>
      <c r="BP214" s="23">
        <v>0</v>
      </c>
      <c r="BQ214" s="23">
        <v>3285450</v>
      </c>
      <c r="BR214" s="23">
        <v>0</v>
      </c>
      <c r="BS214" s="23">
        <v>3285450</v>
      </c>
      <c r="BT214" s="23">
        <v>0</v>
      </c>
      <c r="BU214" s="23">
        <v>3285450</v>
      </c>
      <c r="BV214" s="23">
        <v>0</v>
      </c>
      <c r="BW214" s="23">
        <v>3285450</v>
      </c>
      <c r="BX214" s="23">
        <v>0</v>
      </c>
      <c r="BY214" s="23">
        <v>3285450</v>
      </c>
      <c r="BZ214" s="23">
        <v>0</v>
      </c>
      <c r="CA214" s="23">
        <v>3285450</v>
      </c>
      <c r="CB214" s="23">
        <v>0</v>
      </c>
      <c r="CC214" s="23">
        <v>3285450</v>
      </c>
      <c r="CD214" s="23">
        <v>0</v>
      </c>
      <c r="CE214" s="23">
        <v>6570900</v>
      </c>
      <c r="CF214" s="28"/>
      <c r="CG214" s="28"/>
      <c r="CH214" s="25">
        <f t="shared" ref="CH214:CI214" si="417">BH214+BJ214+BL214+BN214+BP214+BR214+BT214+BV214+BX214+BZ214+CB214+CD214+CF214</f>
        <v>35811405</v>
      </c>
      <c r="CI214" s="25">
        <f t="shared" si="417"/>
        <v>35811405</v>
      </c>
      <c r="CJ214" s="26">
        <f t="shared" si="4"/>
        <v>0</v>
      </c>
      <c r="CK214" s="26">
        <f t="shared" si="5"/>
        <v>0</v>
      </c>
    </row>
    <row r="215" spans="1:89" ht="90" customHeight="1" x14ac:dyDescent="0.3">
      <c r="A215" s="13" t="s">
        <v>248</v>
      </c>
      <c r="B215" s="14" t="s">
        <v>20</v>
      </c>
      <c r="C215" s="15" t="s">
        <v>651</v>
      </c>
      <c r="D215" s="14" t="s">
        <v>67</v>
      </c>
      <c r="E215" s="13" t="s">
        <v>250</v>
      </c>
      <c r="F215" s="13" t="s">
        <v>250</v>
      </c>
      <c r="G215" s="14">
        <v>68</v>
      </c>
      <c r="H215" s="13" t="s">
        <v>738</v>
      </c>
      <c r="I215" s="15" t="s">
        <v>659</v>
      </c>
      <c r="J215" s="14" t="s">
        <v>21</v>
      </c>
      <c r="K215" s="15" t="s">
        <v>98</v>
      </c>
      <c r="L215" s="14">
        <v>80111620</v>
      </c>
      <c r="M215" s="14" t="s">
        <v>22</v>
      </c>
      <c r="N215" s="14" t="s">
        <v>253</v>
      </c>
      <c r="O215" s="15" t="s">
        <v>739</v>
      </c>
      <c r="P215" s="14" t="s">
        <v>255</v>
      </c>
      <c r="Q215" s="14" t="s">
        <v>255</v>
      </c>
      <c r="R215" s="14" t="s">
        <v>255</v>
      </c>
      <c r="S215" s="17">
        <v>11</v>
      </c>
      <c r="T215" s="14" t="s">
        <v>256</v>
      </c>
      <c r="U215" s="14" t="s">
        <v>257</v>
      </c>
      <c r="V215" s="14" t="s">
        <v>112</v>
      </c>
      <c r="W215" s="18">
        <v>10363450</v>
      </c>
      <c r="X215" s="18">
        <v>10363450</v>
      </c>
      <c r="Y215" s="19" t="s">
        <v>339</v>
      </c>
      <c r="Z215" s="19" t="s">
        <v>258</v>
      </c>
      <c r="AA215" s="14" t="s">
        <v>655</v>
      </c>
      <c r="AB215" s="14" t="s">
        <v>656</v>
      </c>
      <c r="AC215" s="14">
        <v>6012220601</v>
      </c>
      <c r="AD215" s="14" t="s">
        <v>657</v>
      </c>
      <c r="AE215" s="82">
        <v>10363450</v>
      </c>
      <c r="AF215" s="82">
        <v>0</v>
      </c>
      <c r="AG215" s="82">
        <v>0</v>
      </c>
      <c r="AH215" s="82">
        <v>0</v>
      </c>
      <c r="AI215" s="82">
        <v>0</v>
      </c>
      <c r="AJ215" s="82">
        <v>0</v>
      </c>
      <c r="AK215" s="82">
        <v>0</v>
      </c>
      <c r="AL215" s="82">
        <v>0</v>
      </c>
      <c r="AM215" s="82">
        <v>0</v>
      </c>
      <c r="AN215" s="82">
        <v>0</v>
      </c>
      <c r="AO215" s="82">
        <v>0</v>
      </c>
      <c r="AP215" s="82">
        <v>0</v>
      </c>
      <c r="AQ215" s="82">
        <v>0</v>
      </c>
      <c r="AR215" s="82">
        <v>0</v>
      </c>
      <c r="AS215" s="82">
        <v>0</v>
      </c>
      <c r="AT215" s="82">
        <v>0</v>
      </c>
      <c r="AU215" s="82">
        <v>0</v>
      </c>
      <c r="AV215" s="82">
        <v>0</v>
      </c>
      <c r="AW215" s="82">
        <v>0</v>
      </c>
      <c r="AX215" s="82">
        <v>0</v>
      </c>
      <c r="AY215" s="82">
        <v>0</v>
      </c>
      <c r="AZ215" s="82">
        <v>0</v>
      </c>
      <c r="BA215" s="82">
        <v>0</v>
      </c>
      <c r="BB215" s="82">
        <v>10363450</v>
      </c>
      <c r="BC215" s="82">
        <f t="shared" ref="BC215:BD215" si="418">AE215+AG215+AI215+AK215+AM215+AO215+AQ215+AS215+AU215+AW215+AY215+BA215</f>
        <v>10363450</v>
      </c>
      <c r="BD215" s="82">
        <f t="shared" si="418"/>
        <v>10363450</v>
      </c>
      <c r="BE215" s="83">
        <f t="shared" si="1"/>
        <v>0</v>
      </c>
      <c r="BF215" s="83">
        <f t="shared" si="2"/>
        <v>0</v>
      </c>
      <c r="BG215" s="14" t="str">
        <f ca="1">IFERROR(__xludf.DUMMYFUNCTION("REGEXEXTRACT(O209,""^\S+\s(.+)$"")"),"Prestar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15" s="23">
        <v>10363450</v>
      </c>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v>10363450</v>
      </c>
      <c r="CF215" s="28"/>
      <c r="CG215" s="28"/>
      <c r="CH215" s="25">
        <f t="shared" ref="CH215:CI215" si="419">BH215+BJ215+BL215+BN215+BP215+BR215+BT215+BV215+BX215+BZ215+CB215+CD215+CF215</f>
        <v>10363450</v>
      </c>
      <c r="CI215" s="25">
        <f t="shared" si="419"/>
        <v>10363450</v>
      </c>
      <c r="CJ215" s="26">
        <f t="shared" si="4"/>
        <v>0</v>
      </c>
      <c r="CK215" s="26">
        <f t="shared" si="5"/>
        <v>0</v>
      </c>
    </row>
    <row r="216" spans="1:89" ht="90" customHeight="1" x14ac:dyDescent="0.3">
      <c r="A216" s="13" t="s">
        <v>248</v>
      </c>
      <c r="B216" s="14" t="s">
        <v>20</v>
      </c>
      <c r="C216" s="15" t="s">
        <v>651</v>
      </c>
      <c r="D216" s="14" t="s">
        <v>67</v>
      </c>
      <c r="E216" s="13" t="s">
        <v>250</v>
      </c>
      <c r="F216" s="13" t="s">
        <v>250</v>
      </c>
      <c r="G216" s="14">
        <v>68</v>
      </c>
      <c r="H216" s="13" t="s">
        <v>740</v>
      </c>
      <c r="I216" s="15" t="s">
        <v>708</v>
      </c>
      <c r="J216" s="14" t="s">
        <v>25</v>
      </c>
      <c r="K216" s="15" t="s">
        <v>102</v>
      </c>
      <c r="L216" s="14">
        <v>80111620</v>
      </c>
      <c r="M216" s="14" t="s">
        <v>26</v>
      </c>
      <c r="N216" s="14" t="s">
        <v>253</v>
      </c>
      <c r="O216" s="15" t="s">
        <v>741</v>
      </c>
      <c r="P216" s="14" t="s">
        <v>255</v>
      </c>
      <c r="Q216" s="14" t="s">
        <v>255</v>
      </c>
      <c r="R216" s="14" t="s">
        <v>255</v>
      </c>
      <c r="S216" s="17">
        <v>11</v>
      </c>
      <c r="T216" s="14" t="s">
        <v>256</v>
      </c>
      <c r="U216" s="14" t="s">
        <v>257</v>
      </c>
      <c r="V216" s="14" t="s">
        <v>112</v>
      </c>
      <c r="W216" s="18">
        <v>55636550</v>
      </c>
      <c r="X216" s="18">
        <v>55636550</v>
      </c>
      <c r="Y216" s="19" t="s">
        <v>339</v>
      </c>
      <c r="Z216" s="19" t="s">
        <v>258</v>
      </c>
      <c r="AA216" s="14" t="s">
        <v>655</v>
      </c>
      <c r="AB216" s="14" t="s">
        <v>656</v>
      </c>
      <c r="AC216" s="14">
        <v>6012220601</v>
      </c>
      <c r="AD216" s="14" t="s">
        <v>657</v>
      </c>
      <c r="AE216" s="82">
        <v>55636550</v>
      </c>
      <c r="AF216" s="82">
        <v>0</v>
      </c>
      <c r="AG216" s="82">
        <v>0</v>
      </c>
      <c r="AH216" s="82">
        <v>0</v>
      </c>
      <c r="AI216" s="82">
        <v>0</v>
      </c>
      <c r="AJ216" s="82">
        <v>6000000</v>
      </c>
      <c r="AK216" s="82">
        <v>0</v>
      </c>
      <c r="AL216" s="82">
        <v>6000000</v>
      </c>
      <c r="AM216" s="82">
        <v>0</v>
      </c>
      <c r="AN216" s="82">
        <v>6000000</v>
      </c>
      <c r="AO216" s="82">
        <v>0</v>
      </c>
      <c r="AP216" s="82">
        <v>6000000</v>
      </c>
      <c r="AQ216" s="82">
        <v>0</v>
      </c>
      <c r="AR216" s="82">
        <v>6000000</v>
      </c>
      <c r="AS216" s="82">
        <v>0</v>
      </c>
      <c r="AT216" s="82">
        <v>6000000</v>
      </c>
      <c r="AU216" s="82">
        <v>0</v>
      </c>
      <c r="AV216" s="82">
        <v>6000000</v>
      </c>
      <c r="AW216" s="82">
        <v>0</v>
      </c>
      <c r="AX216" s="82">
        <v>6000000</v>
      </c>
      <c r="AY216" s="82">
        <v>0</v>
      </c>
      <c r="AZ216" s="82">
        <v>7636550</v>
      </c>
      <c r="BA216" s="82">
        <v>0</v>
      </c>
      <c r="BB216" s="82">
        <v>0</v>
      </c>
      <c r="BC216" s="82">
        <f t="shared" ref="BC216:BD216" si="420">AE216+AG216+AI216+AK216+AM216+AO216+AQ216+AS216+AU216+AW216+AY216+BA216</f>
        <v>55636550</v>
      </c>
      <c r="BD216" s="82">
        <f t="shared" si="420"/>
        <v>55636550</v>
      </c>
      <c r="BE216" s="83">
        <f t="shared" si="1"/>
        <v>0</v>
      </c>
      <c r="BF216" s="83">
        <f t="shared" si="2"/>
        <v>0</v>
      </c>
      <c r="BG216" s="14" t="str">
        <f ca="1">IFERROR(__xludf.DUMMYFUNCTION("REGEXEXTRACT(O210,""^\S+\s(.+)$"")"),"Prestar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16" s="23">
        <v>55636550</v>
      </c>
      <c r="BI216" s="23"/>
      <c r="BJ216" s="23"/>
      <c r="BK216" s="23"/>
      <c r="BL216" s="23"/>
      <c r="BM216" s="23">
        <v>6000000</v>
      </c>
      <c r="BN216" s="23"/>
      <c r="BO216" s="23">
        <v>6000000</v>
      </c>
      <c r="BP216" s="23"/>
      <c r="BQ216" s="23">
        <v>6000000</v>
      </c>
      <c r="BR216" s="23"/>
      <c r="BS216" s="23">
        <v>6000000</v>
      </c>
      <c r="BT216" s="23"/>
      <c r="BU216" s="23">
        <v>6000000</v>
      </c>
      <c r="BV216" s="23"/>
      <c r="BW216" s="23">
        <v>6000000</v>
      </c>
      <c r="BX216" s="23"/>
      <c r="BY216" s="23">
        <v>6000000</v>
      </c>
      <c r="BZ216" s="23"/>
      <c r="CA216" s="23">
        <v>6000000</v>
      </c>
      <c r="CB216" s="23"/>
      <c r="CC216" s="23">
        <v>7636550</v>
      </c>
      <c r="CD216" s="23"/>
      <c r="CE216" s="23"/>
      <c r="CF216" s="28"/>
      <c r="CG216" s="28"/>
      <c r="CH216" s="25">
        <f t="shared" ref="CH216:CI216" si="421">BH216+BJ216+BL216+BN216+BP216+BR216+BT216+BV216+BX216+BZ216+CB216+CD216+CF216</f>
        <v>55636550</v>
      </c>
      <c r="CI216" s="25">
        <f t="shared" si="421"/>
        <v>55636550</v>
      </c>
      <c r="CJ216" s="26">
        <f t="shared" si="4"/>
        <v>0</v>
      </c>
      <c r="CK216" s="26">
        <f t="shared" si="5"/>
        <v>0</v>
      </c>
    </row>
    <row r="217" spans="1:89" ht="90" customHeight="1" x14ac:dyDescent="0.3">
      <c r="A217" s="13" t="s">
        <v>248</v>
      </c>
      <c r="B217" s="14" t="s">
        <v>20</v>
      </c>
      <c r="C217" s="15" t="s">
        <v>651</v>
      </c>
      <c r="D217" s="14" t="s">
        <v>67</v>
      </c>
      <c r="E217" s="13" t="s">
        <v>250</v>
      </c>
      <c r="F217" s="13" t="s">
        <v>250</v>
      </c>
      <c r="G217" s="14">
        <v>7</v>
      </c>
      <c r="H217" s="13" t="s">
        <v>742</v>
      </c>
      <c r="I217" s="15" t="s">
        <v>659</v>
      </c>
      <c r="J217" s="14" t="s">
        <v>21</v>
      </c>
      <c r="K217" s="15" t="s">
        <v>98</v>
      </c>
      <c r="L217" s="14">
        <v>80111620</v>
      </c>
      <c r="M217" s="14" t="s">
        <v>22</v>
      </c>
      <c r="N217" s="14" t="s">
        <v>253</v>
      </c>
      <c r="O217" s="15" t="s">
        <v>743</v>
      </c>
      <c r="P217" s="14" t="s">
        <v>255</v>
      </c>
      <c r="Q217" s="14" t="s">
        <v>255</v>
      </c>
      <c r="R217" s="14" t="s">
        <v>255</v>
      </c>
      <c r="S217" s="17">
        <v>9</v>
      </c>
      <c r="T217" s="14" t="s">
        <v>256</v>
      </c>
      <c r="U217" s="14" t="s">
        <v>257</v>
      </c>
      <c r="V217" s="14" t="s">
        <v>112</v>
      </c>
      <c r="W217" s="18">
        <v>7860050</v>
      </c>
      <c r="X217" s="18">
        <v>7860050</v>
      </c>
      <c r="Y217" s="19" t="s">
        <v>339</v>
      </c>
      <c r="Z217" s="19" t="s">
        <v>258</v>
      </c>
      <c r="AA217" s="14" t="s">
        <v>655</v>
      </c>
      <c r="AB217" s="14" t="s">
        <v>656</v>
      </c>
      <c r="AC217" s="14">
        <v>6012220601</v>
      </c>
      <c r="AD217" s="14" t="s">
        <v>657</v>
      </c>
      <c r="AE217" s="82">
        <v>0</v>
      </c>
      <c r="AF217" s="82">
        <v>0</v>
      </c>
      <c r="AG217" s="82">
        <v>7360050</v>
      </c>
      <c r="AH217" s="82">
        <v>0</v>
      </c>
      <c r="AI217" s="82">
        <v>0</v>
      </c>
      <c r="AJ217" s="82">
        <v>0</v>
      </c>
      <c r="AK217" s="82">
        <v>0</v>
      </c>
      <c r="AL217" s="82">
        <v>0</v>
      </c>
      <c r="AM217" s="82">
        <v>0</v>
      </c>
      <c r="AN217" s="82">
        <v>0</v>
      </c>
      <c r="AO217" s="82">
        <v>0</v>
      </c>
      <c r="AP217" s="82">
        <v>0</v>
      </c>
      <c r="AQ217" s="82">
        <v>0</v>
      </c>
      <c r="AR217" s="82">
        <v>0</v>
      </c>
      <c r="AS217" s="82">
        <v>0</v>
      </c>
      <c r="AT217" s="82">
        <v>0</v>
      </c>
      <c r="AU217" s="82">
        <v>0</v>
      </c>
      <c r="AV217" s="82">
        <v>0</v>
      </c>
      <c r="AW217" s="82">
        <v>0</v>
      </c>
      <c r="AX217" s="82">
        <v>3860050</v>
      </c>
      <c r="AY217" s="82">
        <v>0</v>
      </c>
      <c r="AZ217" s="82">
        <v>4000000</v>
      </c>
      <c r="BA217" s="82">
        <v>500000</v>
      </c>
      <c r="BB217" s="82">
        <v>0</v>
      </c>
      <c r="BC217" s="82">
        <f t="shared" ref="BC217:BD217" si="422">AE217+AG217+AI217+AK217+AM217+AO217+AQ217+AS217+AU217+AW217+AY217+BA217</f>
        <v>7860050</v>
      </c>
      <c r="BD217" s="82">
        <f t="shared" si="422"/>
        <v>7860050</v>
      </c>
      <c r="BE217" s="83">
        <f t="shared" si="1"/>
        <v>0</v>
      </c>
      <c r="BF217" s="83">
        <f t="shared" si="2"/>
        <v>0</v>
      </c>
      <c r="BG217" s="14" t="str">
        <f ca="1">IFERROR(__xludf.DUMMYFUNCTION("REGEXEXTRACT(O211,""^\S+\s(.+)$"")"),"Prestar servicios de apoyo a la gestión para la comunicación estratégica de la entidad, orientados a la divulgación, socialización y posicionamiento de sus planes, programas, proyectos, procesos y resultados, así como a la articulación de estos con las es"&amp;"trategias institucionales y sectoriales, promoviendo su adecuada comprensión y apropiación por parte de los públicos de interés.")</f>
        <v>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v>
      </c>
      <c r="BH217" s="23"/>
      <c r="BI217" s="23"/>
      <c r="BJ217" s="23">
        <v>7360050</v>
      </c>
      <c r="BK217" s="23"/>
      <c r="BL217" s="23"/>
      <c r="BM217" s="23"/>
      <c r="BN217" s="23"/>
      <c r="BO217" s="23"/>
      <c r="BP217" s="23"/>
      <c r="BQ217" s="23"/>
      <c r="BR217" s="23"/>
      <c r="BS217" s="23"/>
      <c r="BT217" s="23"/>
      <c r="BU217" s="23"/>
      <c r="BV217" s="23"/>
      <c r="BW217" s="23"/>
      <c r="BX217" s="23"/>
      <c r="BY217" s="23"/>
      <c r="BZ217" s="23"/>
      <c r="CA217" s="23">
        <v>3860050</v>
      </c>
      <c r="CB217" s="23"/>
      <c r="CC217" s="23">
        <v>4000000</v>
      </c>
      <c r="CD217" s="23">
        <v>500000</v>
      </c>
      <c r="CE217" s="23"/>
      <c r="CF217" s="28"/>
      <c r="CG217" s="28"/>
      <c r="CH217" s="25">
        <f t="shared" ref="CH217:CI217" si="423">BH217+BJ217+BL217+BN217+BP217+BR217+BT217+BV217+BX217+BZ217+CB217+CD217+CF217</f>
        <v>7860050</v>
      </c>
      <c r="CI217" s="25">
        <f t="shared" si="423"/>
        <v>7860050</v>
      </c>
      <c r="CJ217" s="26">
        <f t="shared" si="4"/>
        <v>0</v>
      </c>
      <c r="CK217" s="26">
        <f t="shared" si="5"/>
        <v>0</v>
      </c>
    </row>
    <row r="218" spans="1:89" ht="90" customHeight="1" x14ac:dyDescent="0.3">
      <c r="A218" s="13" t="s">
        <v>248</v>
      </c>
      <c r="B218" s="14" t="s">
        <v>20</v>
      </c>
      <c r="C218" s="15" t="s">
        <v>651</v>
      </c>
      <c r="D218" s="14" t="s">
        <v>67</v>
      </c>
      <c r="E218" s="13" t="s">
        <v>250</v>
      </c>
      <c r="F218" s="13" t="s">
        <v>250</v>
      </c>
      <c r="G218" s="14">
        <v>68</v>
      </c>
      <c r="H218" s="13" t="s">
        <v>744</v>
      </c>
      <c r="I218" s="15" t="s">
        <v>708</v>
      </c>
      <c r="J218" s="14" t="s">
        <v>25</v>
      </c>
      <c r="K218" s="15" t="s">
        <v>102</v>
      </c>
      <c r="L218" s="14">
        <v>80111620</v>
      </c>
      <c r="M218" s="14" t="s">
        <v>26</v>
      </c>
      <c r="N218" s="14" t="s">
        <v>253</v>
      </c>
      <c r="O218" s="15" t="s">
        <v>745</v>
      </c>
      <c r="P218" s="14" t="s">
        <v>255</v>
      </c>
      <c r="Q218" s="14" t="s">
        <v>255</v>
      </c>
      <c r="R218" s="14" t="s">
        <v>255</v>
      </c>
      <c r="S218" s="17">
        <v>11</v>
      </c>
      <c r="T218" s="14" t="s">
        <v>256</v>
      </c>
      <c r="U218" s="14" t="s">
        <v>257</v>
      </c>
      <c r="V218" s="14" t="s">
        <v>112</v>
      </c>
      <c r="W218" s="18">
        <v>66000000</v>
      </c>
      <c r="X218" s="18">
        <v>66000000</v>
      </c>
      <c r="Y218" s="19" t="s">
        <v>339</v>
      </c>
      <c r="Z218" s="19" t="s">
        <v>258</v>
      </c>
      <c r="AA218" s="14" t="s">
        <v>655</v>
      </c>
      <c r="AB218" s="14" t="s">
        <v>656</v>
      </c>
      <c r="AC218" s="14">
        <v>6012220601</v>
      </c>
      <c r="AD218" s="14" t="s">
        <v>657</v>
      </c>
      <c r="AE218" s="82">
        <v>66000000</v>
      </c>
      <c r="AF218" s="82">
        <v>0</v>
      </c>
      <c r="AG218" s="82">
        <v>0</v>
      </c>
      <c r="AH218" s="82">
        <v>1600000</v>
      </c>
      <c r="AI218" s="82">
        <v>0</v>
      </c>
      <c r="AJ218" s="82">
        <v>6000000</v>
      </c>
      <c r="AK218" s="82">
        <v>0</v>
      </c>
      <c r="AL218" s="82">
        <v>6000000</v>
      </c>
      <c r="AM218" s="82">
        <v>0</v>
      </c>
      <c r="AN218" s="82">
        <v>6000000</v>
      </c>
      <c r="AO218" s="82">
        <v>0</v>
      </c>
      <c r="AP218" s="82">
        <v>6000000</v>
      </c>
      <c r="AQ218" s="82">
        <v>0</v>
      </c>
      <c r="AR218" s="82">
        <v>6000000</v>
      </c>
      <c r="AS218" s="82">
        <v>0</v>
      </c>
      <c r="AT218" s="82">
        <v>6000000</v>
      </c>
      <c r="AU218" s="82">
        <v>0</v>
      </c>
      <c r="AV218" s="82">
        <v>6000000</v>
      </c>
      <c r="AW218" s="82">
        <v>0</v>
      </c>
      <c r="AX218" s="82">
        <v>6000000</v>
      </c>
      <c r="AY218" s="82">
        <v>0</v>
      </c>
      <c r="AZ218" s="82">
        <v>6000000</v>
      </c>
      <c r="BA218" s="82">
        <v>0</v>
      </c>
      <c r="BB218" s="82">
        <v>10400000</v>
      </c>
      <c r="BC218" s="82">
        <f t="shared" ref="BC218:BD218" si="424">AE218+AG218+AI218+AK218+AM218+AO218+AQ218+AS218+AU218+AW218+AY218+BA218</f>
        <v>66000000</v>
      </c>
      <c r="BD218" s="82">
        <f t="shared" si="424"/>
        <v>66000000</v>
      </c>
      <c r="BE218" s="83">
        <f t="shared" si="1"/>
        <v>0</v>
      </c>
      <c r="BF218" s="83">
        <f t="shared" si="2"/>
        <v>0</v>
      </c>
      <c r="BG218" s="14" t="str">
        <f ca="1">IFERROR(__xludf.DUMMYFUNCTION("REGEXEXTRACT(O212,""^\S+\s(.+)$"")"),"Prestar servicios profesionales para apoyar a la Oficina de Tecnologías de la Información en la definición y/o actualización del plan estratégico de tecnologías de información y en la gestión de los proyectos de su mapa de ruta")</f>
        <v>Prestar servicios profesionales para apoyar a la Oficina de Tecnologías de la Información en la definición y/o actualización del plan estratégico de tecnologías de información y en la gestión de los proyectos de su mapa de ruta</v>
      </c>
      <c r="BH218" s="23">
        <v>66000000</v>
      </c>
      <c r="BI218" s="23"/>
      <c r="BJ218" s="23"/>
      <c r="BK218" s="23">
        <v>1600000</v>
      </c>
      <c r="BL218" s="23"/>
      <c r="BM218" s="23">
        <v>6000000</v>
      </c>
      <c r="BN218" s="23"/>
      <c r="BO218" s="23">
        <v>6000000</v>
      </c>
      <c r="BP218" s="23"/>
      <c r="BQ218" s="23">
        <v>6000000</v>
      </c>
      <c r="BR218" s="23"/>
      <c r="BS218" s="23">
        <v>6000000</v>
      </c>
      <c r="BT218" s="23"/>
      <c r="BU218" s="23">
        <v>6000000</v>
      </c>
      <c r="BV218" s="23"/>
      <c r="BW218" s="23">
        <v>6000000</v>
      </c>
      <c r="BX218" s="23"/>
      <c r="BY218" s="23">
        <v>6000000</v>
      </c>
      <c r="BZ218" s="23"/>
      <c r="CA218" s="23">
        <v>6000000</v>
      </c>
      <c r="CB218" s="23"/>
      <c r="CC218" s="23">
        <v>6000000</v>
      </c>
      <c r="CD218" s="23"/>
      <c r="CE218" s="23">
        <v>10400000</v>
      </c>
      <c r="CF218" s="28"/>
      <c r="CG218" s="28"/>
      <c r="CH218" s="25">
        <f t="shared" ref="CH218:CI218" si="425">BH218+BJ218+BL218+BN218+BP218+BR218+BT218+BV218+BX218+BZ218+CB218+CD218+CF218</f>
        <v>66000000</v>
      </c>
      <c r="CI218" s="25">
        <f t="shared" si="425"/>
        <v>66000000</v>
      </c>
      <c r="CJ218" s="26">
        <f t="shared" si="4"/>
        <v>0</v>
      </c>
      <c r="CK218" s="26">
        <f t="shared" si="5"/>
        <v>0</v>
      </c>
    </row>
    <row r="219" spans="1:89" ht="90" customHeight="1" x14ac:dyDescent="0.3">
      <c r="A219" s="13" t="s">
        <v>248</v>
      </c>
      <c r="B219" s="14" t="s">
        <v>20</v>
      </c>
      <c r="C219" s="15" t="s">
        <v>651</v>
      </c>
      <c r="D219" s="14" t="s">
        <v>67</v>
      </c>
      <c r="E219" s="13" t="s">
        <v>250</v>
      </c>
      <c r="F219" s="13" t="s">
        <v>250</v>
      </c>
      <c r="G219" s="14">
        <v>20</v>
      </c>
      <c r="H219" s="13" t="s">
        <v>746</v>
      </c>
      <c r="I219" s="15" t="s">
        <v>708</v>
      </c>
      <c r="J219" s="14" t="s">
        <v>25</v>
      </c>
      <c r="K219" s="15" t="s">
        <v>102</v>
      </c>
      <c r="L219" s="14">
        <v>80111620</v>
      </c>
      <c r="M219" s="14" t="s">
        <v>26</v>
      </c>
      <c r="N219" s="14" t="s">
        <v>253</v>
      </c>
      <c r="O219" s="15" t="s">
        <v>747</v>
      </c>
      <c r="P219" s="14" t="s">
        <v>255</v>
      </c>
      <c r="Q219" s="14" t="s">
        <v>255</v>
      </c>
      <c r="R219" s="14" t="s">
        <v>255</v>
      </c>
      <c r="S219" s="17">
        <v>11</v>
      </c>
      <c r="T219" s="14" t="s">
        <v>256</v>
      </c>
      <c r="U219" s="14" t="s">
        <v>257</v>
      </c>
      <c r="V219" s="14" t="s">
        <v>112</v>
      </c>
      <c r="W219" s="18">
        <v>38971660</v>
      </c>
      <c r="X219" s="18">
        <v>38971660</v>
      </c>
      <c r="Y219" s="19" t="s">
        <v>339</v>
      </c>
      <c r="Z219" s="19" t="s">
        <v>258</v>
      </c>
      <c r="AA219" s="14" t="s">
        <v>655</v>
      </c>
      <c r="AB219" s="14" t="s">
        <v>656</v>
      </c>
      <c r="AC219" s="14">
        <v>6012220601</v>
      </c>
      <c r="AD219" s="14" t="s">
        <v>657</v>
      </c>
      <c r="AE219" s="82">
        <v>0</v>
      </c>
      <c r="AF219" s="82">
        <v>0</v>
      </c>
      <c r="AG219" s="82">
        <v>39939900</v>
      </c>
      <c r="AH219" s="82">
        <v>0</v>
      </c>
      <c r="AI219" s="82">
        <v>0</v>
      </c>
      <c r="AJ219" s="82">
        <v>3630900</v>
      </c>
      <c r="AK219" s="82">
        <v>0</v>
      </c>
      <c r="AL219" s="82">
        <v>3630900</v>
      </c>
      <c r="AM219" s="82">
        <v>0</v>
      </c>
      <c r="AN219" s="82">
        <v>3630900</v>
      </c>
      <c r="AO219" s="82">
        <v>0</v>
      </c>
      <c r="AP219" s="82">
        <v>3630900</v>
      </c>
      <c r="AQ219" s="82">
        <v>0</v>
      </c>
      <c r="AR219" s="82">
        <v>3630900</v>
      </c>
      <c r="AS219" s="82">
        <v>0</v>
      </c>
      <c r="AT219" s="82">
        <v>3630900</v>
      </c>
      <c r="AU219" s="82">
        <v>0</v>
      </c>
      <c r="AV219" s="82">
        <v>3630900</v>
      </c>
      <c r="AW219" s="82">
        <v>0</v>
      </c>
      <c r="AX219" s="82">
        <v>3630900</v>
      </c>
      <c r="AY219" s="82">
        <v>0</v>
      </c>
      <c r="AZ219" s="82">
        <v>3630900</v>
      </c>
      <c r="BA219" s="82">
        <v>0</v>
      </c>
      <c r="BB219" s="82">
        <v>7261800</v>
      </c>
      <c r="BC219" s="82">
        <f t="shared" ref="BC219:BD219" si="426">AE219+AG219+AI219+AK219+AM219+AO219+AQ219+AS219+AU219+AW219+AY219+BA219</f>
        <v>39939900</v>
      </c>
      <c r="BD219" s="82">
        <f t="shared" si="426"/>
        <v>39939900</v>
      </c>
      <c r="BE219" s="83">
        <f t="shared" si="1"/>
        <v>-968240</v>
      </c>
      <c r="BF219" s="83">
        <f t="shared" si="2"/>
        <v>-968240</v>
      </c>
      <c r="BG219" s="14" t="str">
        <f ca="1">IFERROR(__xludf.DUMMYFUNCTION("REGEXEXTRACT(O213,""^\S+\s(.+)$"")"),"Prestar servicios profesionales para la atención de los requerimientos y PQRs relacionados con la operación de las plataformas tecnológicas de trámites y servicios prestados a la ciudadanía.")</f>
        <v>Prestar servicios profesionales para la atención de los requerimientos y PQRs relacionados con la operación de las plataformas tecnológicas de trámites y servicios prestados a la ciudadanía.</v>
      </c>
      <c r="BH219" s="23">
        <v>0</v>
      </c>
      <c r="BI219" s="23">
        <v>0</v>
      </c>
      <c r="BJ219" s="23">
        <v>39939900</v>
      </c>
      <c r="BK219" s="23">
        <v>0</v>
      </c>
      <c r="BL219" s="23">
        <v>0</v>
      </c>
      <c r="BM219" s="23">
        <v>2662660</v>
      </c>
      <c r="BN219" s="23">
        <v>-968240</v>
      </c>
      <c r="BO219" s="23">
        <v>3630900</v>
      </c>
      <c r="BP219" s="23">
        <v>0</v>
      </c>
      <c r="BQ219" s="23">
        <v>3630900</v>
      </c>
      <c r="BR219" s="23">
        <v>0</v>
      </c>
      <c r="BS219" s="23">
        <v>3630900</v>
      </c>
      <c r="BT219" s="23">
        <v>0</v>
      </c>
      <c r="BU219" s="23">
        <v>3630900</v>
      </c>
      <c r="BV219" s="23">
        <v>0</v>
      </c>
      <c r="BW219" s="23">
        <v>3630900</v>
      </c>
      <c r="BX219" s="23">
        <v>0</v>
      </c>
      <c r="BY219" s="23">
        <v>3630900</v>
      </c>
      <c r="BZ219" s="23">
        <v>0</v>
      </c>
      <c r="CA219" s="23">
        <v>3630900</v>
      </c>
      <c r="CB219" s="23">
        <v>0</v>
      </c>
      <c r="CC219" s="23">
        <v>3630900</v>
      </c>
      <c r="CD219" s="23">
        <v>0</v>
      </c>
      <c r="CE219" s="23">
        <v>7261800</v>
      </c>
      <c r="CF219" s="28"/>
      <c r="CG219" s="28"/>
      <c r="CH219" s="25">
        <f t="shared" ref="CH219:CI219" si="427">BH219+BJ219+BL219+BN219+BP219+BR219+BT219+BV219+BX219+BZ219+CB219+CD219+CF219</f>
        <v>38971660</v>
      </c>
      <c r="CI219" s="25">
        <f t="shared" si="427"/>
        <v>38971660</v>
      </c>
      <c r="CJ219" s="26">
        <f t="shared" si="4"/>
        <v>0</v>
      </c>
      <c r="CK219" s="26">
        <f t="shared" si="5"/>
        <v>0</v>
      </c>
    </row>
    <row r="220" spans="1:89" ht="90" customHeight="1" x14ac:dyDescent="0.3">
      <c r="A220" s="13" t="s">
        <v>248</v>
      </c>
      <c r="B220" s="14" t="s">
        <v>20</v>
      </c>
      <c r="C220" s="15" t="s">
        <v>651</v>
      </c>
      <c r="D220" s="14" t="s">
        <v>67</v>
      </c>
      <c r="E220" s="13" t="s">
        <v>250</v>
      </c>
      <c r="F220" s="13" t="s">
        <v>250</v>
      </c>
      <c r="G220" s="14">
        <v>20</v>
      </c>
      <c r="H220" s="13" t="s">
        <v>748</v>
      </c>
      <c r="I220" s="15" t="s">
        <v>708</v>
      </c>
      <c r="J220" s="14" t="s">
        <v>25</v>
      </c>
      <c r="K220" s="15" t="s">
        <v>102</v>
      </c>
      <c r="L220" s="14">
        <v>80111620</v>
      </c>
      <c r="M220" s="14" t="s">
        <v>26</v>
      </c>
      <c r="N220" s="14" t="s">
        <v>253</v>
      </c>
      <c r="O220" s="15" t="s">
        <v>749</v>
      </c>
      <c r="P220" s="14" t="s">
        <v>255</v>
      </c>
      <c r="Q220" s="14" t="s">
        <v>255</v>
      </c>
      <c r="R220" s="14" t="s">
        <v>255</v>
      </c>
      <c r="S220" s="17">
        <v>11</v>
      </c>
      <c r="T220" s="14" t="s">
        <v>256</v>
      </c>
      <c r="U220" s="14" t="s">
        <v>257</v>
      </c>
      <c r="V220" s="14" t="s">
        <v>112</v>
      </c>
      <c r="W220" s="18">
        <v>7800000</v>
      </c>
      <c r="X220" s="18">
        <v>7800000</v>
      </c>
      <c r="Y220" s="19" t="s">
        <v>339</v>
      </c>
      <c r="Z220" s="19" t="s">
        <v>258</v>
      </c>
      <c r="AA220" s="14" t="s">
        <v>655</v>
      </c>
      <c r="AB220" s="14" t="s">
        <v>656</v>
      </c>
      <c r="AC220" s="14">
        <v>6012220601</v>
      </c>
      <c r="AD220" s="14" t="s">
        <v>657</v>
      </c>
      <c r="AE220" s="82">
        <v>49500000</v>
      </c>
      <c r="AF220" s="82">
        <v>0</v>
      </c>
      <c r="AG220" s="82">
        <v>0</v>
      </c>
      <c r="AH220" s="82">
        <v>600000</v>
      </c>
      <c r="AI220" s="82">
        <v>0</v>
      </c>
      <c r="AJ220" s="82">
        <v>4500000</v>
      </c>
      <c r="AK220" s="82">
        <v>0</v>
      </c>
      <c r="AL220" s="82">
        <v>4500000</v>
      </c>
      <c r="AM220" s="82">
        <v>0</v>
      </c>
      <c r="AN220" s="82">
        <v>4500000</v>
      </c>
      <c r="AO220" s="82">
        <v>0</v>
      </c>
      <c r="AP220" s="82">
        <v>4500000</v>
      </c>
      <c r="AQ220" s="82">
        <v>0</v>
      </c>
      <c r="AR220" s="82">
        <v>4500000</v>
      </c>
      <c r="AS220" s="82">
        <v>0</v>
      </c>
      <c r="AT220" s="82">
        <v>4500000</v>
      </c>
      <c r="AU220" s="82">
        <v>0</v>
      </c>
      <c r="AV220" s="82">
        <v>4500000</v>
      </c>
      <c r="AW220" s="82">
        <v>0</v>
      </c>
      <c r="AX220" s="82">
        <v>4500000</v>
      </c>
      <c r="AY220" s="82">
        <v>0</v>
      </c>
      <c r="AZ220" s="82">
        <v>4500000</v>
      </c>
      <c r="BA220" s="82">
        <v>0</v>
      </c>
      <c r="BB220" s="82">
        <v>8400000</v>
      </c>
      <c r="BC220" s="82">
        <f t="shared" ref="BC220:BD220" si="428">AE220+AG220+AI220+AK220+AM220+AO220+AQ220+AS220+AU220+AW220+AY220+BA220</f>
        <v>49500000</v>
      </c>
      <c r="BD220" s="82">
        <f t="shared" si="428"/>
        <v>49500000</v>
      </c>
      <c r="BE220" s="83">
        <f t="shared" si="1"/>
        <v>-41700000</v>
      </c>
      <c r="BF220" s="83">
        <f t="shared" si="2"/>
        <v>-41700000</v>
      </c>
      <c r="BG220" s="14" t="str">
        <f ca="1">IFERROR(__xludf.DUMMYFUNCTION("REGEXEXTRACT(O214,""^\S+\s(.+)$"")"),"Prestar servicios de apoyo a la gestión para el diseño, gestión y administración de las redes de telecomunicaciones de la UPME tanto de redes de área local LAN y redes inalámbricas, garantizando la seguridad y la eficiencia de la información.")</f>
        <v>Prestar servicios de apoyo a la gestión para el diseño, gestión y administración de las redes de telecomunicaciones de la UPME tanto de redes de área local LAN y redes inalámbricas, garantizando la seguridad y la eficiencia de la información.</v>
      </c>
      <c r="BH220" s="23">
        <v>49500000</v>
      </c>
      <c r="BI220" s="23">
        <v>0</v>
      </c>
      <c r="BJ220" s="23">
        <v>0</v>
      </c>
      <c r="BK220" s="23">
        <v>750000</v>
      </c>
      <c r="BL220" s="23">
        <v>0</v>
      </c>
      <c r="BM220" s="23">
        <v>4500000</v>
      </c>
      <c r="BN220" s="23">
        <v>-41700000</v>
      </c>
      <c r="BO220" s="23">
        <v>2550000</v>
      </c>
      <c r="BP220" s="23">
        <v>0</v>
      </c>
      <c r="BQ220" s="23">
        <v>0</v>
      </c>
      <c r="BR220" s="23">
        <v>0</v>
      </c>
      <c r="BS220" s="23">
        <v>0</v>
      </c>
      <c r="BT220" s="23">
        <v>0</v>
      </c>
      <c r="BU220" s="23">
        <v>0</v>
      </c>
      <c r="BV220" s="23">
        <v>0</v>
      </c>
      <c r="BW220" s="23">
        <v>0</v>
      </c>
      <c r="BX220" s="23">
        <v>0</v>
      </c>
      <c r="BY220" s="23">
        <v>0</v>
      </c>
      <c r="BZ220" s="23">
        <v>0</v>
      </c>
      <c r="CA220" s="23">
        <v>0</v>
      </c>
      <c r="CB220" s="23">
        <v>0</v>
      </c>
      <c r="CC220" s="23">
        <v>0</v>
      </c>
      <c r="CD220" s="23">
        <v>0</v>
      </c>
      <c r="CE220" s="23">
        <v>0</v>
      </c>
      <c r="CF220" s="28"/>
      <c r="CG220" s="28"/>
      <c r="CH220" s="25">
        <f t="shared" ref="CH220:CI220" si="429">BH220+BJ220+BL220+BN220+BP220+BR220+BT220+BV220+BX220+BZ220+CB220+CD220+CF220</f>
        <v>7800000</v>
      </c>
      <c r="CI220" s="25">
        <f t="shared" si="429"/>
        <v>7800000</v>
      </c>
      <c r="CJ220" s="26">
        <f t="shared" si="4"/>
        <v>0</v>
      </c>
      <c r="CK220" s="26">
        <f t="shared" si="5"/>
        <v>0</v>
      </c>
    </row>
    <row r="221" spans="1:89" ht="90" customHeight="1" x14ac:dyDescent="0.3">
      <c r="A221" s="13" t="s">
        <v>248</v>
      </c>
      <c r="B221" s="14" t="s">
        <v>20</v>
      </c>
      <c r="C221" s="15" t="s">
        <v>651</v>
      </c>
      <c r="D221" s="14" t="s">
        <v>67</v>
      </c>
      <c r="E221" s="13" t="s">
        <v>250</v>
      </c>
      <c r="F221" s="13" t="s">
        <v>250</v>
      </c>
      <c r="G221" s="14">
        <v>20</v>
      </c>
      <c r="H221" s="13" t="s">
        <v>750</v>
      </c>
      <c r="I221" s="15" t="s">
        <v>708</v>
      </c>
      <c r="J221" s="14" t="s">
        <v>25</v>
      </c>
      <c r="K221" s="15" t="s">
        <v>102</v>
      </c>
      <c r="L221" s="14">
        <v>80111620</v>
      </c>
      <c r="M221" s="14" t="s">
        <v>26</v>
      </c>
      <c r="N221" s="14" t="s">
        <v>253</v>
      </c>
      <c r="O221" s="15" t="s">
        <v>751</v>
      </c>
      <c r="P221" s="14" t="s">
        <v>255</v>
      </c>
      <c r="Q221" s="14" t="s">
        <v>255</v>
      </c>
      <c r="R221" s="14" t="s">
        <v>255</v>
      </c>
      <c r="S221" s="17">
        <v>11</v>
      </c>
      <c r="T221" s="14" t="s">
        <v>256</v>
      </c>
      <c r="U221" s="14" t="s">
        <v>257</v>
      </c>
      <c r="V221" s="14" t="s">
        <v>112</v>
      </c>
      <c r="W221" s="18">
        <v>60840000</v>
      </c>
      <c r="X221" s="18">
        <v>60840000</v>
      </c>
      <c r="Y221" s="19" t="s">
        <v>339</v>
      </c>
      <c r="Z221" s="19" t="s">
        <v>258</v>
      </c>
      <c r="AA221" s="14" t="s">
        <v>655</v>
      </c>
      <c r="AB221" s="14" t="s">
        <v>656</v>
      </c>
      <c r="AC221" s="14">
        <v>6012220601</v>
      </c>
      <c r="AD221" s="14" t="s">
        <v>657</v>
      </c>
      <c r="AE221" s="82">
        <v>59400000</v>
      </c>
      <c r="AF221" s="82">
        <v>0</v>
      </c>
      <c r="AG221" s="82">
        <v>0</v>
      </c>
      <c r="AH221" s="82">
        <v>1440000</v>
      </c>
      <c r="AI221" s="82">
        <v>0</v>
      </c>
      <c r="AJ221" s="82">
        <v>5400000</v>
      </c>
      <c r="AK221" s="82">
        <v>0</v>
      </c>
      <c r="AL221" s="82">
        <v>5400000</v>
      </c>
      <c r="AM221" s="82">
        <v>0</v>
      </c>
      <c r="AN221" s="82">
        <v>5400000</v>
      </c>
      <c r="AO221" s="82">
        <v>0</v>
      </c>
      <c r="AP221" s="82">
        <v>5400000</v>
      </c>
      <c r="AQ221" s="82">
        <v>0</v>
      </c>
      <c r="AR221" s="82">
        <v>5400000</v>
      </c>
      <c r="AS221" s="82">
        <v>0</v>
      </c>
      <c r="AT221" s="82">
        <v>5400000</v>
      </c>
      <c r="AU221" s="82">
        <v>0</v>
      </c>
      <c r="AV221" s="82">
        <v>5400000</v>
      </c>
      <c r="AW221" s="82">
        <v>0</v>
      </c>
      <c r="AX221" s="82">
        <v>5400000</v>
      </c>
      <c r="AY221" s="82">
        <v>0</v>
      </c>
      <c r="AZ221" s="82">
        <v>5400000</v>
      </c>
      <c r="BA221" s="82">
        <v>0</v>
      </c>
      <c r="BB221" s="82">
        <v>9360000</v>
      </c>
      <c r="BC221" s="82">
        <f t="shared" ref="BC221:BD221" si="430">AE221+AG221+AI221+AK221+AM221+AO221+AQ221+AS221+AU221+AW221+AY221+BA221</f>
        <v>59400000</v>
      </c>
      <c r="BD221" s="82">
        <f t="shared" si="430"/>
        <v>59400000</v>
      </c>
      <c r="BE221" s="83">
        <f t="shared" si="1"/>
        <v>1440000</v>
      </c>
      <c r="BF221" s="83">
        <f t="shared" si="2"/>
        <v>1440000</v>
      </c>
      <c r="BG221" s="14" t="str">
        <f ca="1">IFERROR(__xludf.DUMMYFUNCTION("REGEXEXTRACT(O215,""^\S+\s(.+)$"")"),"Prestar servicios profesionales para apoyar en los proyectos de tecnología en todas sus fases y ciclos de proceso, especialmente, en aquellos enfocados en la arquitectura empresarial y seguridad informática a la Oficina de Tecnología de la Información de "&amp;"la UPME")</f>
        <v>Prestar servicios profesionales para apoyar en los proyectos de tecnología en todas sus fases y ciclos de proceso, especialmente, en aquellos enfocados en la arquitectura empresarial y seguridad informática a la Oficina de Tecnología de la Información de la UPME</v>
      </c>
      <c r="BH221" s="23">
        <v>59400000</v>
      </c>
      <c r="BI221" s="23">
        <v>0</v>
      </c>
      <c r="BJ221" s="23">
        <v>0</v>
      </c>
      <c r="BK221" s="23">
        <v>1440000</v>
      </c>
      <c r="BL221" s="23">
        <v>0</v>
      </c>
      <c r="BM221" s="23">
        <v>5400000</v>
      </c>
      <c r="BN221" s="23">
        <v>0</v>
      </c>
      <c r="BO221" s="23">
        <v>5400000</v>
      </c>
      <c r="BP221" s="23">
        <v>1440000</v>
      </c>
      <c r="BQ221" s="23">
        <v>5400000</v>
      </c>
      <c r="BR221" s="23">
        <v>0</v>
      </c>
      <c r="BS221" s="23">
        <v>5400000</v>
      </c>
      <c r="BT221" s="23">
        <v>0</v>
      </c>
      <c r="BU221" s="23">
        <v>5400000</v>
      </c>
      <c r="BV221" s="23">
        <v>0</v>
      </c>
      <c r="BW221" s="23">
        <v>5400000</v>
      </c>
      <c r="BX221" s="23">
        <v>0</v>
      </c>
      <c r="BY221" s="23">
        <v>5400000</v>
      </c>
      <c r="BZ221" s="23">
        <v>0</v>
      </c>
      <c r="CA221" s="23">
        <v>5400000</v>
      </c>
      <c r="CB221" s="23">
        <v>0</v>
      </c>
      <c r="CC221" s="23">
        <v>5400000</v>
      </c>
      <c r="CD221" s="23">
        <v>0</v>
      </c>
      <c r="CE221" s="23">
        <v>10800000</v>
      </c>
      <c r="CF221" s="28"/>
      <c r="CG221" s="28"/>
      <c r="CH221" s="25">
        <f t="shared" ref="CH221:CI221" si="431">BH221+BJ221+BL221+BN221+BP221+BR221+BT221+BV221+BX221+BZ221+CB221+CD221+CF221</f>
        <v>60840000</v>
      </c>
      <c r="CI221" s="25">
        <f t="shared" si="431"/>
        <v>60840000</v>
      </c>
      <c r="CJ221" s="26">
        <f t="shared" si="4"/>
        <v>0</v>
      </c>
      <c r="CK221" s="26">
        <f t="shared" si="5"/>
        <v>0</v>
      </c>
    </row>
    <row r="222" spans="1:89" ht="90" customHeight="1" x14ac:dyDescent="0.3">
      <c r="A222" s="13" t="s">
        <v>248</v>
      </c>
      <c r="B222" s="14" t="s">
        <v>20</v>
      </c>
      <c r="C222" s="15" t="s">
        <v>651</v>
      </c>
      <c r="D222" s="14" t="s">
        <v>67</v>
      </c>
      <c r="E222" s="13" t="s">
        <v>250</v>
      </c>
      <c r="F222" s="13" t="s">
        <v>250</v>
      </c>
      <c r="G222" s="14">
        <v>68</v>
      </c>
      <c r="H222" s="13" t="s">
        <v>752</v>
      </c>
      <c r="I222" s="15" t="s">
        <v>708</v>
      </c>
      <c r="J222" s="14" t="s">
        <v>25</v>
      </c>
      <c r="K222" s="15" t="s">
        <v>102</v>
      </c>
      <c r="L222" s="14">
        <v>80111620</v>
      </c>
      <c r="M222" s="14" t="s">
        <v>26</v>
      </c>
      <c r="N222" s="14" t="s">
        <v>253</v>
      </c>
      <c r="O222" s="15" t="s">
        <v>753</v>
      </c>
      <c r="P222" s="14" t="s">
        <v>255</v>
      </c>
      <c r="Q222" s="14" t="s">
        <v>255</v>
      </c>
      <c r="R222" s="14" t="s">
        <v>255</v>
      </c>
      <c r="S222" s="17">
        <v>11</v>
      </c>
      <c r="T222" s="14" t="s">
        <v>256</v>
      </c>
      <c r="U222" s="14" t="s">
        <v>257</v>
      </c>
      <c r="V222" s="14" t="s">
        <v>112</v>
      </c>
      <c r="W222" s="18">
        <v>6600000</v>
      </c>
      <c r="X222" s="18">
        <v>6600000</v>
      </c>
      <c r="Y222" s="19" t="s">
        <v>339</v>
      </c>
      <c r="Z222" s="19" t="s">
        <v>258</v>
      </c>
      <c r="AA222" s="14" t="s">
        <v>655</v>
      </c>
      <c r="AB222" s="14" t="s">
        <v>656</v>
      </c>
      <c r="AC222" s="14">
        <v>6012220601</v>
      </c>
      <c r="AD222" s="14" t="s">
        <v>657</v>
      </c>
      <c r="AE222" s="82">
        <v>0</v>
      </c>
      <c r="AF222" s="82">
        <v>0</v>
      </c>
      <c r="AG222" s="82">
        <v>6600000</v>
      </c>
      <c r="AH222" s="82">
        <v>0</v>
      </c>
      <c r="AI222" s="82">
        <v>0</v>
      </c>
      <c r="AJ222" s="82">
        <v>0</v>
      </c>
      <c r="AK222" s="82">
        <v>0</v>
      </c>
      <c r="AL222" s="82">
        <v>0</v>
      </c>
      <c r="AM222" s="82">
        <v>0</v>
      </c>
      <c r="AN222" s="82">
        <v>0</v>
      </c>
      <c r="AO222" s="82">
        <v>0</v>
      </c>
      <c r="AP222" s="82">
        <v>0</v>
      </c>
      <c r="AQ222" s="82">
        <v>0</v>
      </c>
      <c r="AR222" s="82">
        <v>0</v>
      </c>
      <c r="AS222" s="82">
        <v>0</v>
      </c>
      <c r="AT222" s="82">
        <v>0</v>
      </c>
      <c r="AU222" s="82">
        <v>0</v>
      </c>
      <c r="AV222" s="82">
        <v>0</v>
      </c>
      <c r="AW222" s="82">
        <v>0</v>
      </c>
      <c r="AX222" s="82">
        <v>0</v>
      </c>
      <c r="AY222" s="82">
        <v>0</v>
      </c>
      <c r="AZ222" s="82">
        <v>0</v>
      </c>
      <c r="BA222" s="82">
        <v>0</v>
      </c>
      <c r="BB222" s="82">
        <v>6600000</v>
      </c>
      <c r="BC222" s="82">
        <f t="shared" ref="BC222:BD222" si="432">AE222+AG222+AI222+AK222+AM222+AO222+AQ222+AS222+AU222+AW222+AY222+BA222</f>
        <v>6600000</v>
      </c>
      <c r="BD222" s="82">
        <f t="shared" si="432"/>
        <v>6600000</v>
      </c>
      <c r="BE222" s="83">
        <f t="shared" si="1"/>
        <v>0</v>
      </c>
      <c r="BF222" s="83">
        <f t="shared" si="2"/>
        <v>0</v>
      </c>
      <c r="BG222" s="14" t="str">
        <f ca="1">IFERROR(__xludf.DUMMYFUNCTION("REGEXEXTRACT(O216,""^\S+\s(.+)$"")"),"Prestar servicios profesionales para realizar actividades de mantenimiento preventivo y correctivo de equipos de cómputo, diagnóstico y reparación de fallas de hardware y software, así como el diseño, instalación, configuración y puesta en funcionamiento "&amp;"de redes de datos (cableadas e inalámbricas) requeridas por la UPME garantizando la continuidad operativa de la infraestructura tecnológica y el soporte técnico necesario para su óptimo desempeño.")</f>
        <v>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v>
      </c>
      <c r="BH222" s="23"/>
      <c r="BI222" s="23"/>
      <c r="BJ222" s="23">
        <v>6600000</v>
      </c>
      <c r="BK222" s="23"/>
      <c r="BL222" s="23"/>
      <c r="BM222" s="23"/>
      <c r="BN222" s="23"/>
      <c r="BO222" s="23"/>
      <c r="BP222" s="23"/>
      <c r="BQ222" s="23"/>
      <c r="BR222" s="23"/>
      <c r="BS222" s="23"/>
      <c r="BT222" s="23"/>
      <c r="BU222" s="23"/>
      <c r="BV222" s="23"/>
      <c r="BW222" s="23"/>
      <c r="BX222" s="23"/>
      <c r="BY222" s="23"/>
      <c r="BZ222" s="23"/>
      <c r="CA222" s="23"/>
      <c r="CB222" s="23"/>
      <c r="CC222" s="23"/>
      <c r="CD222" s="23"/>
      <c r="CE222" s="23">
        <v>6600000</v>
      </c>
      <c r="CF222" s="28"/>
      <c r="CG222" s="28"/>
      <c r="CH222" s="25">
        <f t="shared" ref="CH222:CI222" si="433">BH222+BJ222+BL222+BN222+BP222+BR222+BT222+BV222+BX222+BZ222+CB222+CD222+CF222</f>
        <v>6600000</v>
      </c>
      <c r="CI222" s="25">
        <f t="shared" si="433"/>
        <v>6600000</v>
      </c>
      <c r="CJ222" s="26">
        <f t="shared" si="4"/>
        <v>0</v>
      </c>
      <c r="CK222" s="26">
        <f t="shared" si="5"/>
        <v>0</v>
      </c>
    </row>
    <row r="223" spans="1:89" ht="90" customHeight="1" x14ac:dyDescent="0.3">
      <c r="A223" s="13" t="s">
        <v>248</v>
      </c>
      <c r="B223" s="14" t="s">
        <v>20</v>
      </c>
      <c r="C223" s="15" t="s">
        <v>651</v>
      </c>
      <c r="D223" s="14" t="s">
        <v>67</v>
      </c>
      <c r="E223" s="13" t="s">
        <v>250</v>
      </c>
      <c r="F223" s="13" t="s">
        <v>250</v>
      </c>
      <c r="G223" s="14">
        <v>20</v>
      </c>
      <c r="H223" s="13" t="s">
        <v>754</v>
      </c>
      <c r="I223" s="15" t="s">
        <v>708</v>
      </c>
      <c r="J223" s="14" t="s">
        <v>25</v>
      </c>
      <c r="K223" s="15" t="s">
        <v>101</v>
      </c>
      <c r="L223" s="14">
        <v>80111620</v>
      </c>
      <c r="M223" s="14" t="s">
        <v>26</v>
      </c>
      <c r="N223" s="14" t="s">
        <v>253</v>
      </c>
      <c r="O223" s="15" t="s">
        <v>755</v>
      </c>
      <c r="P223" s="14" t="s">
        <v>255</v>
      </c>
      <c r="Q223" s="14" t="s">
        <v>255</v>
      </c>
      <c r="R223" s="14" t="s">
        <v>255</v>
      </c>
      <c r="S223" s="17">
        <v>11</v>
      </c>
      <c r="T223" s="14" t="s">
        <v>256</v>
      </c>
      <c r="U223" s="14" t="s">
        <v>257</v>
      </c>
      <c r="V223" s="14" t="s">
        <v>113</v>
      </c>
      <c r="W223" s="18">
        <v>69766667</v>
      </c>
      <c r="X223" s="18">
        <v>69766667</v>
      </c>
      <c r="Y223" s="19" t="s">
        <v>339</v>
      </c>
      <c r="Z223" s="19" t="s">
        <v>258</v>
      </c>
      <c r="AA223" s="14" t="s">
        <v>655</v>
      </c>
      <c r="AB223" s="14" t="s">
        <v>656</v>
      </c>
      <c r="AC223" s="14">
        <v>6012220601</v>
      </c>
      <c r="AD223" s="14" t="s">
        <v>657</v>
      </c>
      <c r="AE223" s="82">
        <v>0</v>
      </c>
      <c r="AF223" s="82">
        <v>0</v>
      </c>
      <c r="AG223" s="82">
        <v>71500000</v>
      </c>
      <c r="AH223" s="82">
        <v>0</v>
      </c>
      <c r="AI223" s="82">
        <v>0</v>
      </c>
      <c r="AJ223" s="82">
        <v>6500000</v>
      </c>
      <c r="AK223" s="82">
        <v>0</v>
      </c>
      <c r="AL223" s="82">
        <v>6500000</v>
      </c>
      <c r="AM223" s="82">
        <v>0</v>
      </c>
      <c r="AN223" s="82">
        <v>6500000</v>
      </c>
      <c r="AO223" s="82">
        <v>0</v>
      </c>
      <c r="AP223" s="82">
        <v>6500000</v>
      </c>
      <c r="AQ223" s="82">
        <v>0</v>
      </c>
      <c r="AR223" s="82">
        <v>6500000</v>
      </c>
      <c r="AS223" s="82">
        <v>0</v>
      </c>
      <c r="AT223" s="82">
        <v>6500000</v>
      </c>
      <c r="AU223" s="82">
        <v>0</v>
      </c>
      <c r="AV223" s="82">
        <v>6500000</v>
      </c>
      <c r="AW223" s="82">
        <v>0</v>
      </c>
      <c r="AX223" s="82">
        <v>6500000</v>
      </c>
      <c r="AY223" s="82">
        <v>0</v>
      </c>
      <c r="AZ223" s="82">
        <v>6500000</v>
      </c>
      <c r="BA223" s="82">
        <v>0</v>
      </c>
      <c r="BB223" s="82">
        <v>13000000</v>
      </c>
      <c r="BC223" s="82">
        <f t="shared" ref="BC223:BD223" si="434">AE223+AG223+AI223+AK223+AM223+AO223+AQ223+AS223+AU223+AW223+AY223+BA223</f>
        <v>71500000</v>
      </c>
      <c r="BD223" s="82">
        <f t="shared" si="434"/>
        <v>71500000</v>
      </c>
      <c r="BE223" s="83">
        <f t="shared" si="1"/>
        <v>-1733333</v>
      </c>
      <c r="BF223" s="83">
        <f t="shared" si="2"/>
        <v>-1733333</v>
      </c>
      <c r="BG223" s="14" t="str">
        <f ca="1">IFERROR(__xludf.DUMMYFUNCTION("REGEXEXTRACT(O217,""^\S+\s(.+)$"")"),"Prestar servicios profesionales en comunicación institucional del sector minero-energético, mediante la revisión, análisis y conceptuación de documentos, la elaboración de insumos comunicacionales y contenidos base para piezas informativas y audiovisuales"&amp;", así como el acompañamiento técnico-comunicacional a acciones y campañas de la entidad, garantizando la coherencia de los mensajes, la pertinencia temática y su alineación con los lineamientos estratégicos e institucionales definidos.")</f>
        <v>Prestar servicios profesionales en comunicación institucional del sector minero-energético, mediante la revisión, análisis y conceptuación de documentos, la elaboración de insumos comunicacionales y contenidos base para piezas informativas y audiovisuales, así como el acompañamiento técnico-comunicacional a acciones y campañas de la entidad, garantizando la coherencia de los mensajes, la pertinencia temática y su alineación con los lineamientos estratégicos e institucionales definidos.</v>
      </c>
      <c r="BH223" s="23">
        <v>0</v>
      </c>
      <c r="BI223" s="23">
        <v>0</v>
      </c>
      <c r="BJ223" s="23">
        <v>71500000</v>
      </c>
      <c r="BK223" s="23">
        <v>0</v>
      </c>
      <c r="BL223" s="23">
        <v>0</v>
      </c>
      <c r="BM223" s="23">
        <v>4766667</v>
      </c>
      <c r="BN223" s="23">
        <v>-1733333</v>
      </c>
      <c r="BO223" s="23">
        <v>6500000</v>
      </c>
      <c r="BP223" s="23">
        <v>0</v>
      </c>
      <c r="BQ223" s="23">
        <v>6500000</v>
      </c>
      <c r="BR223" s="23">
        <v>0</v>
      </c>
      <c r="BS223" s="23">
        <v>6500000</v>
      </c>
      <c r="BT223" s="23">
        <v>0</v>
      </c>
      <c r="BU223" s="23">
        <v>6500000</v>
      </c>
      <c r="BV223" s="23">
        <v>0</v>
      </c>
      <c r="BW223" s="23">
        <v>6500000</v>
      </c>
      <c r="BX223" s="23">
        <v>0</v>
      </c>
      <c r="BY223" s="23">
        <v>6500000</v>
      </c>
      <c r="BZ223" s="23">
        <v>0</v>
      </c>
      <c r="CA223" s="23">
        <v>6500000</v>
      </c>
      <c r="CB223" s="23">
        <v>0</v>
      </c>
      <c r="CC223" s="23">
        <v>6500000</v>
      </c>
      <c r="CD223" s="23">
        <v>0</v>
      </c>
      <c r="CE223" s="23">
        <v>13000000</v>
      </c>
      <c r="CF223" s="28"/>
      <c r="CG223" s="28"/>
      <c r="CH223" s="25">
        <f t="shared" ref="CH223:CI223" si="435">BH223+BJ223+BL223+BN223+BP223+BR223+BT223+BV223+BX223+BZ223+CB223+CD223+CF223</f>
        <v>69766667</v>
      </c>
      <c r="CI223" s="25">
        <f t="shared" si="435"/>
        <v>69766667</v>
      </c>
      <c r="CJ223" s="26">
        <f t="shared" si="4"/>
        <v>0</v>
      </c>
      <c r="CK223" s="26">
        <f t="shared" si="5"/>
        <v>0</v>
      </c>
    </row>
    <row r="224" spans="1:89" ht="90" customHeight="1" x14ac:dyDescent="0.3">
      <c r="A224" s="13" t="s">
        <v>248</v>
      </c>
      <c r="B224" s="14" t="s">
        <v>20</v>
      </c>
      <c r="C224" s="15" t="s">
        <v>651</v>
      </c>
      <c r="D224" s="14" t="s">
        <v>67</v>
      </c>
      <c r="E224" s="13" t="s">
        <v>250</v>
      </c>
      <c r="F224" s="13" t="s">
        <v>250</v>
      </c>
      <c r="G224" s="14">
        <v>20</v>
      </c>
      <c r="H224" s="13" t="s">
        <v>756</v>
      </c>
      <c r="I224" s="15" t="s">
        <v>708</v>
      </c>
      <c r="J224" s="14" t="s">
        <v>25</v>
      </c>
      <c r="K224" s="15" t="s">
        <v>102</v>
      </c>
      <c r="L224" s="14">
        <v>80111620</v>
      </c>
      <c r="M224" s="14" t="s">
        <v>26</v>
      </c>
      <c r="N224" s="14" t="s">
        <v>253</v>
      </c>
      <c r="O224" s="15" t="s">
        <v>757</v>
      </c>
      <c r="P224" s="14" t="s">
        <v>255</v>
      </c>
      <c r="Q224" s="14" t="s">
        <v>255</v>
      </c>
      <c r="R224" s="14" t="s">
        <v>255</v>
      </c>
      <c r="S224" s="17">
        <v>11</v>
      </c>
      <c r="T224" s="14" t="s">
        <v>256</v>
      </c>
      <c r="U224" s="14" t="s">
        <v>257</v>
      </c>
      <c r="V224" s="14" t="s">
        <v>112</v>
      </c>
      <c r="W224" s="18">
        <v>49731500</v>
      </c>
      <c r="X224" s="18">
        <v>49731500</v>
      </c>
      <c r="Y224" s="19" t="s">
        <v>339</v>
      </c>
      <c r="Z224" s="19" t="s">
        <v>258</v>
      </c>
      <c r="AA224" s="14" t="s">
        <v>655</v>
      </c>
      <c r="AB224" s="14" t="s">
        <v>656</v>
      </c>
      <c r="AC224" s="14">
        <v>6012220601</v>
      </c>
      <c r="AD224" s="14" t="s">
        <v>657</v>
      </c>
      <c r="AE224" s="82">
        <v>0</v>
      </c>
      <c r="AF224" s="82">
        <v>0</v>
      </c>
      <c r="AG224" s="82">
        <v>55000000</v>
      </c>
      <c r="AH224" s="82">
        <v>0</v>
      </c>
      <c r="AI224" s="82">
        <v>0</v>
      </c>
      <c r="AJ224" s="82">
        <v>5000000</v>
      </c>
      <c r="AK224" s="82">
        <v>0</v>
      </c>
      <c r="AL224" s="82">
        <v>5000000</v>
      </c>
      <c r="AM224" s="82">
        <v>0</v>
      </c>
      <c r="AN224" s="82">
        <v>5000000</v>
      </c>
      <c r="AO224" s="82">
        <v>0</v>
      </c>
      <c r="AP224" s="82">
        <v>5000000</v>
      </c>
      <c r="AQ224" s="82">
        <v>0</v>
      </c>
      <c r="AR224" s="82">
        <v>5000000</v>
      </c>
      <c r="AS224" s="82">
        <v>0</v>
      </c>
      <c r="AT224" s="82">
        <v>5000000</v>
      </c>
      <c r="AU224" s="82">
        <v>0</v>
      </c>
      <c r="AV224" s="82">
        <v>5000000</v>
      </c>
      <c r="AW224" s="82">
        <v>0</v>
      </c>
      <c r="AX224" s="82">
        <v>5000000</v>
      </c>
      <c r="AY224" s="82">
        <v>0</v>
      </c>
      <c r="AZ224" s="82">
        <v>5000000</v>
      </c>
      <c r="BA224" s="82">
        <v>0</v>
      </c>
      <c r="BB224" s="82">
        <v>10000000</v>
      </c>
      <c r="BC224" s="82">
        <f t="shared" ref="BC224:BD224" si="436">AE224+AG224+AI224+AK224+AM224+AO224+AQ224+AS224+AU224+AW224+AY224+BA224</f>
        <v>55000000</v>
      </c>
      <c r="BD224" s="82">
        <f t="shared" si="436"/>
        <v>55000000</v>
      </c>
      <c r="BE224" s="83">
        <f t="shared" si="1"/>
        <v>-5268500</v>
      </c>
      <c r="BF224" s="83">
        <f t="shared" si="2"/>
        <v>-5268500</v>
      </c>
      <c r="BG224" s="14" t="str">
        <f ca="1">IFERROR(__xludf.DUMMYFUNCTION("REGEXEXTRACT(O218,""^\S+\s(.+)$"")"),"Prestar servicios de apoyo a la gestión  de la comunicación digital de la entidad, mediante la creación, administración y dinamización de contenidos en canales digitales y redes sociales, orientados a la divulgación y socialización de los procesos, proyec"&amp;"tos y resultados institucionales, promoviendo la interacción, el relacionamiento y la apropiación de los mensajes por parte de los públicos de interés, en articulación con las estrategias sectoriales e institucionales definidas por la entidad.")</f>
        <v>Prestar servicios de apoyo a la gestión  de la comunicación digital de la entidad, mediante la creación, administración y dinamización de contenidos en canales digitales y redes sociales, orientados a la divulgación y socialización de los procesos, proyectos y resultados institucionales, promoviendo la interacción, el relacionamiento y la apropiación de los mensajes por parte de los públicos de interés, en articulación con las estrategias sectoriales e institucionales definidas por la entidad.</v>
      </c>
      <c r="BH224" s="23">
        <v>0</v>
      </c>
      <c r="BI224" s="23">
        <v>0</v>
      </c>
      <c r="BJ224" s="23">
        <v>50496600</v>
      </c>
      <c r="BK224" s="23">
        <v>0</v>
      </c>
      <c r="BL224" s="23">
        <v>0</v>
      </c>
      <c r="BM224" s="23">
        <v>3825500</v>
      </c>
      <c r="BN224" s="23">
        <v>-765100</v>
      </c>
      <c r="BO224" s="23">
        <v>5000000</v>
      </c>
      <c r="BP224" s="23">
        <v>0</v>
      </c>
      <c r="BQ224" s="23">
        <v>5000000</v>
      </c>
      <c r="BR224" s="23">
        <v>0</v>
      </c>
      <c r="BS224" s="23">
        <v>5000000</v>
      </c>
      <c r="BT224" s="23">
        <v>0</v>
      </c>
      <c r="BU224" s="23">
        <v>5000000</v>
      </c>
      <c r="BV224" s="23">
        <v>0</v>
      </c>
      <c r="BW224" s="23">
        <v>5000000</v>
      </c>
      <c r="BX224" s="23">
        <v>0</v>
      </c>
      <c r="BY224" s="23">
        <v>5000000</v>
      </c>
      <c r="BZ224" s="23">
        <v>0</v>
      </c>
      <c r="CA224" s="23">
        <v>5000000</v>
      </c>
      <c r="CB224" s="23">
        <v>0</v>
      </c>
      <c r="CC224" s="23">
        <v>5000000</v>
      </c>
      <c r="CD224" s="23">
        <v>0</v>
      </c>
      <c r="CE224" s="23">
        <v>5906000</v>
      </c>
      <c r="CF224" s="28"/>
      <c r="CG224" s="28"/>
      <c r="CH224" s="25">
        <f t="shared" ref="CH224:CI224" si="437">BH224+BJ224+BL224+BN224+BP224+BR224+BT224+BV224+BX224+BZ224+CB224+CD224+CF224</f>
        <v>49731500</v>
      </c>
      <c r="CI224" s="25">
        <f t="shared" si="437"/>
        <v>49731500</v>
      </c>
      <c r="CJ224" s="26">
        <f t="shared" si="4"/>
        <v>0</v>
      </c>
      <c r="CK224" s="26">
        <f t="shared" si="5"/>
        <v>0</v>
      </c>
    </row>
    <row r="225" spans="1:89" ht="90" customHeight="1" x14ac:dyDescent="0.3">
      <c r="A225" s="13" t="s">
        <v>248</v>
      </c>
      <c r="B225" s="14" t="s">
        <v>20</v>
      </c>
      <c r="C225" s="15" t="s">
        <v>651</v>
      </c>
      <c r="D225" s="14" t="s">
        <v>67</v>
      </c>
      <c r="E225" s="13" t="s">
        <v>250</v>
      </c>
      <c r="F225" s="13" t="s">
        <v>250</v>
      </c>
      <c r="G225" s="14">
        <v>20</v>
      </c>
      <c r="H225" s="13" t="s">
        <v>758</v>
      </c>
      <c r="I225" s="15" t="s">
        <v>708</v>
      </c>
      <c r="J225" s="14" t="s">
        <v>25</v>
      </c>
      <c r="K225" s="15" t="s">
        <v>102</v>
      </c>
      <c r="L225" s="14">
        <v>80111620</v>
      </c>
      <c r="M225" s="14" t="s">
        <v>26</v>
      </c>
      <c r="N225" s="14" t="s">
        <v>253</v>
      </c>
      <c r="O225" s="15" t="s">
        <v>759</v>
      </c>
      <c r="P225" s="14" t="s">
        <v>255</v>
      </c>
      <c r="Q225" s="14" t="s">
        <v>255</v>
      </c>
      <c r="R225" s="14" t="s">
        <v>255</v>
      </c>
      <c r="S225" s="17">
        <v>11</v>
      </c>
      <c r="T225" s="14" t="s">
        <v>256</v>
      </c>
      <c r="U225" s="14" t="s">
        <v>257</v>
      </c>
      <c r="V225" s="14" t="s">
        <v>112</v>
      </c>
      <c r="W225" s="18">
        <v>54333333</v>
      </c>
      <c r="X225" s="18">
        <v>54333333</v>
      </c>
      <c r="Y225" s="19" t="s">
        <v>339</v>
      </c>
      <c r="Z225" s="19" t="s">
        <v>258</v>
      </c>
      <c r="AA225" s="14" t="s">
        <v>655</v>
      </c>
      <c r="AB225" s="14" t="s">
        <v>656</v>
      </c>
      <c r="AC225" s="14">
        <v>6012220601</v>
      </c>
      <c r="AD225" s="14" t="s">
        <v>657</v>
      </c>
      <c r="AE225" s="82">
        <v>0</v>
      </c>
      <c r="AF225" s="82">
        <v>0</v>
      </c>
      <c r="AG225" s="82">
        <v>55000000</v>
      </c>
      <c r="AH225" s="82">
        <v>0</v>
      </c>
      <c r="AI225" s="82">
        <v>0</v>
      </c>
      <c r="AJ225" s="82">
        <v>5000000</v>
      </c>
      <c r="AK225" s="82">
        <v>0</v>
      </c>
      <c r="AL225" s="82">
        <v>5000000</v>
      </c>
      <c r="AM225" s="82">
        <v>0</v>
      </c>
      <c r="AN225" s="82">
        <v>5000000</v>
      </c>
      <c r="AO225" s="82">
        <v>0</v>
      </c>
      <c r="AP225" s="82">
        <v>5000000</v>
      </c>
      <c r="AQ225" s="82">
        <v>0</v>
      </c>
      <c r="AR225" s="82">
        <v>5000000</v>
      </c>
      <c r="AS225" s="82">
        <v>0</v>
      </c>
      <c r="AT225" s="82">
        <v>5000000</v>
      </c>
      <c r="AU225" s="82">
        <v>0</v>
      </c>
      <c r="AV225" s="82">
        <v>5000000</v>
      </c>
      <c r="AW225" s="82">
        <v>0</v>
      </c>
      <c r="AX225" s="82">
        <v>5000000</v>
      </c>
      <c r="AY225" s="82">
        <v>0</v>
      </c>
      <c r="AZ225" s="82">
        <v>5000000</v>
      </c>
      <c r="BA225" s="82">
        <v>0</v>
      </c>
      <c r="BB225" s="82">
        <v>10000000</v>
      </c>
      <c r="BC225" s="82">
        <f t="shared" ref="BC225:BD225" si="438">AE225+AG225+AI225+AK225+AM225+AO225+AQ225+AS225+AU225+AW225+AY225+BA225</f>
        <v>55000000</v>
      </c>
      <c r="BD225" s="82">
        <f t="shared" si="438"/>
        <v>55000000</v>
      </c>
      <c r="BE225" s="83">
        <f t="shared" si="1"/>
        <v>-666667</v>
      </c>
      <c r="BF225" s="83">
        <f t="shared" si="2"/>
        <v>-666667</v>
      </c>
      <c r="BG225" s="14" t="str">
        <f ca="1">IFERROR(__xludf.DUMMYFUNCTION("REGEXEXTRACT(O219,""^\S+\s(.+)$"")"),"Prestar servicios de apoyo a la gestión de la comunicación institucional, orientados a la coordinación, articulación y seguimiento de acciones, campañas y contenidos comunicacionales de la entidad, garantizando la coherencia de los mensajes, la pertinenci"&amp;"a temática y su alineación con los lineamientos estratégicos e institucionales definidos.")</f>
        <v>Prestar servicios de apoyo a la gestión de la comunicación institucional, orientados a la coordinación, articulación y seguimiento de acciones, campañas y contenidos comunicacionales de la entidad, garantizando la coherencia de los mensajes, la pertinencia temática y su alineación con los lineamientos estratégicos e institucionales definidos.</v>
      </c>
      <c r="BH225" s="23">
        <v>0</v>
      </c>
      <c r="BI225" s="23">
        <v>0</v>
      </c>
      <c r="BJ225" s="23">
        <v>55000000</v>
      </c>
      <c r="BK225" s="23">
        <v>0</v>
      </c>
      <c r="BL225" s="23">
        <v>0</v>
      </c>
      <c r="BM225" s="23">
        <v>4333333</v>
      </c>
      <c r="BN225" s="23">
        <v>-666667</v>
      </c>
      <c r="BO225" s="23">
        <v>5000000</v>
      </c>
      <c r="BP225" s="23">
        <v>0</v>
      </c>
      <c r="BQ225" s="23">
        <v>5000000</v>
      </c>
      <c r="BR225" s="23">
        <v>0</v>
      </c>
      <c r="BS225" s="23">
        <v>5000000</v>
      </c>
      <c r="BT225" s="23">
        <v>0</v>
      </c>
      <c r="BU225" s="23">
        <v>5000000</v>
      </c>
      <c r="BV225" s="23">
        <v>0</v>
      </c>
      <c r="BW225" s="23">
        <v>5000000</v>
      </c>
      <c r="BX225" s="23">
        <v>0</v>
      </c>
      <c r="BY225" s="23">
        <v>5000000</v>
      </c>
      <c r="BZ225" s="23">
        <v>0</v>
      </c>
      <c r="CA225" s="23">
        <v>5000000</v>
      </c>
      <c r="CB225" s="23">
        <v>0</v>
      </c>
      <c r="CC225" s="23">
        <v>5000000</v>
      </c>
      <c r="CD225" s="23">
        <v>0</v>
      </c>
      <c r="CE225" s="23">
        <v>10000000</v>
      </c>
      <c r="CF225" s="28"/>
      <c r="CG225" s="28"/>
      <c r="CH225" s="25">
        <f t="shared" ref="CH225:CI225" si="439">BH225+BJ225+BL225+BN225+BP225+BR225+BT225+BV225+BX225+BZ225+CB225+CD225+CF225</f>
        <v>54333333</v>
      </c>
      <c r="CI225" s="25">
        <f t="shared" si="439"/>
        <v>54333333</v>
      </c>
      <c r="CJ225" s="26">
        <f t="shared" si="4"/>
        <v>0</v>
      </c>
      <c r="CK225" s="26">
        <f t="shared" si="5"/>
        <v>0</v>
      </c>
    </row>
    <row r="226" spans="1:89" ht="90" customHeight="1" x14ac:dyDescent="0.3">
      <c r="A226" s="13" t="s">
        <v>248</v>
      </c>
      <c r="B226" s="14" t="s">
        <v>20</v>
      </c>
      <c r="C226" s="15" t="s">
        <v>651</v>
      </c>
      <c r="D226" s="14" t="s">
        <v>67</v>
      </c>
      <c r="E226" s="13" t="s">
        <v>250</v>
      </c>
      <c r="F226" s="13" t="s">
        <v>250</v>
      </c>
      <c r="G226" s="14">
        <v>68</v>
      </c>
      <c r="H226" s="13" t="s">
        <v>760</v>
      </c>
      <c r="I226" s="15" t="s">
        <v>653</v>
      </c>
      <c r="J226" s="14" t="s">
        <v>23</v>
      </c>
      <c r="K226" s="15" t="s">
        <v>100</v>
      </c>
      <c r="L226" s="14">
        <v>80111620</v>
      </c>
      <c r="M226" s="14" t="s">
        <v>24</v>
      </c>
      <c r="N226" s="14" t="s">
        <v>253</v>
      </c>
      <c r="O226" s="15" t="s">
        <v>761</v>
      </c>
      <c r="P226" s="14" t="s">
        <v>255</v>
      </c>
      <c r="Q226" s="14" t="s">
        <v>255</v>
      </c>
      <c r="R226" s="14" t="s">
        <v>255</v>
      </c>
      <c r="S226" s="17">
        <v>11</v>
      </c>
      <c r="T226" s="14" t="s">
        <v>256</v>
      </c>
      <c r="U226" s="14" t="s">
        <v>257</v>
      </c>
      <c r="V226" s="14" t="s">
        <v>112</v>
      </c>
      <c r="W226" s="18">
        <v>55000000</v>
      </c>
      <c r="X226" s="18">
        <v>55000000</v>
      </c>
      <c r="Y226" s="19" t="s">
        <v>339</v>
      </c>
      <c r="Z226" s="19" t="s">
        <v>258</v>
      </c>
      <c r="AA226" s="14" t="s">
        <v>655</v>
      </c>
      <c r="AB226" s="14" t="s">
        <v>656</v>
      </c>
      <c r="AC226" s="14">
        <v>6012220601</v>
      </c>
      <c r="AD226" s="14" t="s">
        <v>657</v>
      </c>
      <c r="AE226" s="82">
        <v>55000000</v>
      </c>
      <c r="AF226" s="82">
        <v>0</v>
      </c>
      <c r="AG226" s="82">
        <v>0</v>
      </c>
      <c r="AH226" s="82">
        <v>0</v>
      </c>
      <c r="AI226" s="82">
        <v>0</v>
      </c>
      <c r="AJ226" s="82">
        <v>5000000</v>
      </c>
      <c r="AK226" s="82">
        <v>0</v>
      </c>
      <c r="AL226" s="82">
        <v>5000000</v>
      </c>
      <c r="AM226" s="82">
        <v>0</v>
      </c>
      <c r="AN226" s="82">
        <v>5000000</v>
      </c>
      <c r="AO226" s="82">
        <v>0</v>
      </c>
      <c r="AP226" s="82">
        <v>5000000</v>
      </c>
      <c r="AQ226" s="82">
        <v>0</v>
      </c>
      <c r="AR226" s="82">
        <v>5000000</v>
      </c>
      <c r="AS226" s="82">
        <v>0</v>
      </c>
      <c r="AT226" s="82">
        <v>5000000</v>
      </c>
      <c r="AU226" s="82">
        <v>0</v>
      </c>
      <c r="AV226" s="82">
        <v>5000000</v>
      </c>
      <c r="AW226" s="82">
        <v>0</v>
      </c>
      <c r="AX226" s="82">
        <v>5000000</v>
      </c>
      <c r="AY226" s="82">
        <v>0</v>
      </c>
      <c r="AZ226" s="82">
        <v>5000000</v>
      </c>
      <c r="BA226" s="82">
        <v>0</v>
      </c>
      <c r="BB226" s="82">
        <v>10000000</v>
      </c>
      <c r="BC226" s="82">
        <f t="shared" ref="BC226:BD226" si="440">AE226+AG226+AI226+AK226+AM226+AO226+AQ226+AS226+AU226+AW226+AY226+BA226</f>
        <v>55000000</v>
      </c>
      <c r="BD226" s="82">
        <f t="shared" si="440"/>
        <v>55000000</v>
      </c>
      <c r="BE226" s="83">
        <f t="shared" si="1"/>
        <v>0</v>
      </c>
      <c r="BF226" s="83">
        <f t="shared" si="2"/>
        <v>0</v>
      </c>
      <c r="BG226" s="14" t="str">
        <f ca="1">IFERROR(__xludf.DUMMYFUNCTION("REGEXEXTRACT(O220,""^\S+\s(.+)$"")"),"Prestar servicios profesionales para el apoyo técnico en la operación y seguimiento del entorno tecnológico de la entidad, así como el mantenimiento y soporte de la infraestructura tecnológica, los servicios tecnológicos y los sistemas de información de l"&amp;"a entidad")</f>
        <v>Prestar servicios profesionales para el apoyo técnico en la operación y seguimiento del entorno tecnológico de la entidad, así como el mantenimiento y soporte de la infraestructura tecnológica, los servicios tecnológicos y los sistemas de información de la entidad</v>
      </c>
      <c r="BH226" s="23">
        <v>55000000</v>
      </c>
      <c r="BI226" s="23"/>
      <c r="BJ226" s="23"/>
      <c r="BK226" s="23"/>
      <c r="BL226" s="23"/>
      <c r="BM226" s="23">
        <v>5000000</v>
      </c>
      <c r="BN226" s="23"/>
      <c r="BO226" s="23">
        <v>5000000</v>
      </c>
      <c r="BP226" s="23"/>
      <c r="BQ226" s="23">
        <v>5000000</v>
      </c>
      <c r="BR226" s="23"/>
      <c r="BS226" s="23">
        <v>5000000</v>
      </c>
      <c r="BT226" s="23"/>
      <c r="BU226" s="23">
        <v>5000000</v>
      </c>
      <c r="BV226" s="23"/>
      <c r="BW226" s="23">
        <v>5000000</v>
      </c>
      <c r="BX226" s="23"/>
      <c r="BY226" s="23">
        <v>5000000</v>
      </c>
      <c r="BZ226" s="23"/>
      <c r="CA226" s="23">
        <v>5000000</v>
      </c>
      <c r="CB226" s="23"/>
      <c r="CC226" s="23">
        <v>5000000</v>
      </c>
      <c r="CD226" s="23"/>
      <c r="CE226" s="23">
        <v>10000000</v>
      </c>
      <c r="CF226" s="28"/>
      <c r="CG226" s="28"/>
      <c r="CH226" s="25">
        <f t="shared" ref="CH226:CI226" si="441">BH226+BJ226+BL226+BN226+BP226+BR226+BT226+BV226+BX226+BZ226+CB226+CD226+CF226</f>
        <v>55000000</v>
      </c>
      <c r="CI226" s="25">
        <f t="shared" si="441"/>
        <v>55000000</v>
      </c>
      <c r="CJ226" s="26">
        <f t="shared" si="4"/>
        <v>0</v>
      </c>
      <c r="CK226" s="26">
        <f t="shared" si="5"/>
        <v>0</v>
      </c>
    </row>
    <row r="227" spans="1:89" ht="90" customHeight="1" x14ac:dyDescent="0.3">
      <c r="A227" s="13" t="s">
        <v>248</v>
      </c>
      <c r="B227" s="14" t="s">
        <v>20</v>
      </c>
      <c r="C227" s="15" t="s">
        <v>651</v>
      </c>
      <c r="D227" s="14" t="s">
        <v>67</v>
      </c>
      <c r="E227" s="13" t="s">
        <v>339</v>
      </c>
      <c r="F227" s="13" t="s">
        <v>250</v>
      </c>
      <c r="G227" s="14">
        <v>68</v>
      </c>
      <c r="H227" s="13" t="s">
        <v>762</v>
      </c>
      <c r="I227" s="15" t="s">
        <v>659</v>
      </c>
      <c r="J227" s="14" t="s">
        <v>21</v>
      </c>
      <c r="K227" s="15" t="s">
        <v>97</v>
      </c>
      <c r="L227" s="14" t="s">
        <v>258</v>
      </c>
      <c r="M227" s="14" t="s">
        <v>22</v>
      </c>
      <c r="N227" s="14" t="s">
        <v>341</v>
      </c>
      <c r="O227" s="15" t="s">
        <v>763</v>
      </c>
      <c r="P227" s="14" t="s">
        <v>258</v>
      </c>
      <c r="Q227" s="14" t="s">
        <v>258</v>
      </c>
      <c r="R227" s="14" t="s">
        <v>258</v>
      </c>
      <c r="S227" s="17" t="s">
        <v>258</v>
      </c>
      <c r="T227" s="14" t="s">
        <v>258</v>
      </c>
      <c r="U227" s="14" t="s">
        <v>258</v>
      </c>
      <c r="V227" s="14" t="s">
        <v>112</v>
      </c>
      <c r="W227" s="18">
        <v>30000000</v>
      </c>
      <c r="X227" s="18">
        <v>30000000</v>
      </c>
      <c r="Y227" s="19" t="s">
        <v>339</v>
      </c>
      <c r="Z227" s="19" t="s">
        <v>258</v>
      </c>
      <c r="AA227" s="14" t="s">
        <v>655</v>
      </c>
      <c r="AB227" s="14" t="s">
        <v>656</v>
      </c>
      <c r="AC227" s="14">
        <v>6012220601</v>
      </c>
      <c r="AD227" s="14" t="s">
        <v>657</v>
      </c>
      <c r="AE227" s="82">
        <v>0</v>
      </c>
      <c r="AF227" s="82">
        <v>0</v>
      </c>
      <c r="AG227" s="82">
        <v>0</v>
      </c>
      <c r="AH227" s="82">
        <v>0</v>
      </c>
      <c r="AI227" s="82">
        <v>0</v>
      </c>
      <c r="AJ227" s="82">
        <v>0</v>
      </c>
      <c r="AK227" s="82">
        <v>0</v>
      </c>
      <c r="AL227" s="82">
        <v>0</v>
      </c>
      <c r="AM227" s="82">
        <v>0</v>
      </c>
      <c r="AN227" s="82">
        <v>0</v>
      </c>
      <c r="AO227" s="82">
        <v>4285700</v>
      </c>
      <c r="AP227" s="82">
        <v>4285700</v>
      </c>
      <c r="AQ227" s="82">
        <v>4285700</v>
      </c>
      <c r="AR227" s="82">
        <v>4285700</v>
      </c>
      <c r="AS227" s="82">
        <v>4285700</v>
      </c>
      <c r="AT227" s="82">
        <v>4285700</v>
      </c>
      <c r="AU227" s="82">
        <v>4285700</v>
      </c>
      <c r="AV227" s="82">
        <v>4285700</v>
      </c>
      <c r="AW227" s="82">
        <v>4285700</v>
      </c>
      <c r="AX227" s="82">
        <v>4285700</v>
      </c>
      <c r="AY227" s="82">
        <v>4285700</v>
      </c>
      <c r="AZ227" s="82">
        <v>4285700</v>
      </c>
      <c r="BA227" s="82">
        <v>4285800</v>
      </c>
      <c r="BB227" s="82">
        <v>4285800</v>
      </c>
      <c r="BC227" s="82">
        <f t="shared" ref="BC227:BD227" si="442">AE227+AG227+AI227+AK227+AM227+AO227+AQ227+AS227+AU227+AW227+AY227+BA227</f>
        <v>30000000</v>
      </c>
      <c r="BD227" s="82">
        <f t="shared" si="442"/>
        <v>30000000</v>
      </c>
      <c r="BE227" s="83">
        <f t="shared" si="1"/>
        <v>0</v>
      </c>
      <c r="BF227" s="83">
        <f t="shared" si="2"/>
        <v>0</v>
      </c>
      <c r="BG227" s="14" t="str">
        <f ca="1">IFERROR(__xludf.DUMMYFUNCTION("REGEXEXTRACT(O221,""^\S+\s(.+)$"")"),"Viáticos o gastos de desplazamiento")</f>
        <v>Viáticos o gastos de desplazamiento</v>
      </c>
      <c r="BH227" s="23"/>
      <c r="BI227" s="23"/>
      <c r="BJ227" s="23"/>
      <c r="BK227" s="23"/>
      <c r="BL227" s="23"/>
      <c r="BM227" s="23"/>
      <c r="BN227" s="23"/>
      <c r="BO227" s="23"/>
      <c r="BP227" s="23"/>
      <c r="BQ227" s="23"/>
      <c r="BR227" s="23">
        <v>4285700</v>
      </c>
      <c r="BS227" s="23">
        <v>4285700</v>
      </c>
      <c r="BT227" s="23">
        <v>4285700</v>
      </c>
      <c r="BU227" s="23">
        <v>4285700</v>
      </c>
      <c r="BV227" s="23">
        <v>4285700</v>
      </c>
      <c r="BW227" s="23">
        <v>4285700</v>
      </c>
      <c r="BX227" s="23">
        <v>4285700</v>
      </c>
      <c r="BY227" s="23">
        <v>4285700</v>
      </c>
      <c r="BZ227" s="23">
        <v>4285700</v>
      </c>
      <c r="CA227" s="23">
        <v>4285700</v>
      </c>
      <c r="CB227" s="23">
        <v>4285700</v>
      </c>
      <c r="CC227" s="23">
        <v>4285700</v>
      </c>
      <c r="CD227" s="23">
        <v>4285800</v>
      </c>
      <c r="CE227" s="23">
        <v>4285800</v>
      </c>
      <c r="CF227" s="28"/>
      <c r="CG227" s="28"/>
      <c r="CH227" s="25">
        <f t="shared" ref="CH227:CI227" si="443">BH227+BJ227+BL227+BN227+BP227+BR227+BT227+BV227+BX227+BZ227+CB227+CD227+CF227</f>
        <v>30000000</v>
      </c>
      <c r="CI227" s="25">
        <f t="shared" si="443"/>
        <v>30000000</v>
      </c>
      <c r="CJ227" s="26">
        <f t="shared" si="4"/>
        <v>0</v>
      </c>
      <c r="CK227" s="26">
        <f t="shared" si="5"/>
        <v>0</v>
      </c>
    </row>
    <row r="228" spans="1:89" ht="90" customHeight="1" x14ac:dyDescent="0.3">
      <c r="A228" s="13" t="s">
        <v>248</v>
      </c>
      <c r="B228" s="14" t="s">
        <v>20</v>
      </c>
      <c r="C228" s="15" t="s">
        <v>651</v>
      </c>
      <c r="D228" s="14" t="s">
        <v>67</v>
      </c>
      <c r="E228" s="13" t="s">
        <v>250</v>
      </c>
      <c r="F228" s="13" t="s">
        <v>250</v>
      </c>
      <c r="G228" s="29" t="s">
        <v>335</v>
      </c>
      <c r="H228" s="13" t="s">
        <v>764</v>
      </c>
      <c r="I228" s="15" t="s">
        <v>659</v>
      </c>
      <c r="J228" s="14" t="s">
        <v>21</v>
      </c>
      <c r="K228" s="15" t="s">
        <v>97</v>
      </c>
      <c r="L228" s="14">
        <v>78111502</v>
      </c>
      <c r="M228" s="14" t="s">
        <v>22</v>
      </c>
      <c r="N228" s="14" t="s">
        <v>337</v>
      </c>
      <c r="O228" s="15" t="s">
        <v>765</v>
      </c>
      <c r="P228" s="14" t="s">
        <v>255</v>
      </c>
      <c r="Q228" s="14" t="s">
        <v>255</v>
      </c>
      <c r="R228" s="14" t="s">
        <v>255</v>
      </c>
      <c r="S228" s="17">
        <v>11</v>
      </c>
      <c r="T228" s="14" t="s">
        <v>256</v>
      </c>
      <c r="U228" s="14" t="s">
        <v>286</v>
      </c>
      <c r="V228" s="14" t="s">
        <v>112</v>
      </c>
      <c r="W228" s="18">
        <v>14200000</v>
      </c>
      <c r="X228" s="18">
        <v>14200000</v>
      </c>
      <c r="Y228" s="19" t="s">
        <v>339</v>
      </c>
      <c r="Z228" s="19" t="s">
        <v>258</v>
      </c>
      <c r="AA228" s="14" t="s">
        <v>655</v>
      </c>
      <c r="AB228" s="14" t="s">
        <v>656</v>
      </c>
      <c r="AC228" s="14">
        <v>6012220601</v>
      </c>
      <c r="AD228" s="14" t="s">
        <v>657</v>
      </c>
      <c r="AE228" s="82">
        <v>14200000</v>
      </c>
      <c r="AF228" s="82">
        <v>0</v>
      </c>
      <c r="AG228" s="82">
        <v>0</v>
      </c>
      <c r="AH228" s="82">
        <v>0</v>
      </c>
      <c r="AI228" s="82">
        <v>0</v>
      </c>
      <c r="AJ228" s="82">
        <v>0</v>
      </c>
      <c r="AK228" s="82">
        <v>0</v>
      </c>
      <c r="AL228" s="82">
        <v>0</v>
      </c>
      <c r="AM228" s="82">
        <v>0</v>
      </c>
      <c r="AN228" s="82">
        <v>0</v>
      </c>
      <c r="AO228" s="82">
        <v>0</v>
      </c>
      <c r="AP228" s="82">
        <v>2028500</v>
      </c>
      <c r="AQ228" s="82">
        <v>0</v>
      </c>
      <c r="AR228" s="82">
        <v>2028500</v>
      </c>
      <c r="AS228" s="82">
        <v>0</v>
      </c>
      <c r="AT228" s="82">
        <v>2028500</v>
      </c>
      <c r="AU228" s="82">
        <v>0</v>
      </c>
      <c r="AV228" s="82">
        <v>2028500</v>
      </c>
      <c r="AW228" s="82">
        <v>0</v>
      </c>
      <c r="AX228" s="82">
        <v>2028500</v>
      </c>
      <c r="AY228" s="82">
        <v>0</v>
      </c>
      <c r="AZ228" s="82">
        <v>2028500</v>
      </c>
      <c r="BA228" s="82">
        <v>0</v>
      </c>
      <c r="BB228" s="82">
        <v>2029000</v>
      </c>
      <c r="BC228" s="82">
        <f t="shared" ref="BC228:BD228" si="444">AE228+AG228+AI228+AK228+AM228+AO228+AQ228+AS228+AU228+AW228+AY228+BA228</f>
        <v>14200000</v>
      </c>
      <c r="BD228" s="82">
        <f t="shared" si="444"/>
        <v>14200000</v>
      </c>
      <c r="BE228" s="83">
        <f t="shared" si="1"/>
        <v>0</v>
      </c>
      <c r="BF228" s="83">
        <f t="shared" si="2"/>
        <v>0</v>
      </c>
      <c r="BG228" s="14" t="str">
        <f ca="1">IFERROR(__xludf.DUMMYFUNCTION("REGEXEXTRACT(O222,""^\S+\s(.+)$"")"),"Adquirir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228" s="23">
        <v>14200000</v>
      </c>
      <c r="BI228" s="23"/>
      <c r="BJ228" s="23"/>
      <c r="BK228" s="23"/>
      <c r="BL228" s="23"/>
      <c r="BM228" s="23"/>
      <c r="BN228" s="23"/>
      <c r="BO228" s="23"/>
      <c r="BP228" s="23"/>
      <c r="BQ228" s="23"/>
      <c r="BR228" s="23"/>
      <c r="BS228" s="23">
        <v>2028500</v>
      </c>
      <c r="BT228" s="23"/>
      <c r="BU228" s="23">
        <v>2028500</v>
      </c>
      <c r="BV228" s="23"/>
      <c r="BW228" s="23">
        <v>2028500</v>
      </c>
      <c r="BX228" s="23"/>
      <c r="BY228" s="23">
        <v>2028500</v>
      </c>
      <c r="BZ228" s="23"/>
      <c r="CA228" s="23">
        <v>2028500</v>
      </c>
      <c r="CB228" s="23"/>
      <c r="CC228" s="23">
        <v>2028500</v>
      </c>
      <c r="CD228" s="23"/>
      <c r="CE228" s="23">
        <v>2029000</v>
      </c>
      <c r="CF228" s="28"/>
      <c r="CG228" s="28"/>
      <c r="CH228" s="25">
        <f t="shared" ref="CH228:CI228" si="445">BH228+BJ228+BL228+BN228+BP228+BR228+BT228+BV228+BX228+BZ228+CB228+CD228+CF228</f>
        <v>14200000</v>
      </c>
      <c r="CI228" s="25">
        <f t="shared" si="445"/>
        <v>14200000</v>
      </c>
      <c r="CJ228" s="26">
        <f t="shared" si="4"/>
        <v>0</v>
      </c>
      <c r="CK228" s="26">
        <f t="shared" si="5"/>
        <v>0</v>
      </c>
    </row>
    <row r="229" spans="1:89" ht="90" customHeight="1" x14ac:dyDescent="0.3">
      <c r="A229" s="13" t="s">
        <v>248</v>
      </c>
      <c r="B229" s="14" t="s">
        <v>20</v>
      </c>
      <c r="C229" s="15" t="s">
        <v>651</v>
      </c>
      <c r="D229" s="14" t="s">
        <v>67</v>
      </c>
      <c r="E229" s="13" t="s">
        <v>250</v>
      </c>
      <c r="F229" s="13" t="s">
        <v>250</v>
      </c>
      <c r="G229" s="14">
        <v>68</v>
      </c>
      <c r="H229" s="13" t="s">
        <v>766</v>
      </c>
      <c r="I229" s="15" t="s">
        <v>708</v>
      </c>
      <c r="J229" s="14" t="s">
        <v>25</v>
      </c>
      <c r="K229" s="15" t="s">
        <v>101</v>
      </c>
      <c r="L229" s="14">
        <v>81112106</v>
      </c>
      <c r="M229" s="14" t="s">
        <v>26</v>
      </c>
      <c r="N229" s="14" t="s">
        <v>767</v>
      </c>
      <c r="O229" s="15" t="s">
        <v>768</v>
      </c>
      <c r="P229" s="14" t="s">
        <v>255</v>
      </c>
      <c r="Q229" s="14" t="s">
        <v>255</v>
      </c>
      <c r="R229" s="14" t="s">
        <v>255</v>
      </c>
      <c r="S229" s="17">
        <v>11.5</v>
      </c>
      <c r="T229" s="14" t="s">
        <v>256</v>
      </c>
      <c r="U229" s="14" t="s">
        <v>474</v>
      </c>
      <c r="V229" s="14" t="s">
        <v>113</v>
      </c>
      <c r="W229" s="18">
        <v>6000000</v>
      </c>
      <c r="X229" s="18">
        <v>6000000</v>
      </c>
      <c r="Y229" s="19" t="s">
        <v>339</v>
      </c>
      <c r="Z229" s="19" t="s">
        <v>258</v>
      </c>
      <c r="AA229" s="14" t="s">
        <v>655</v>
      </c>
      <c r="AB229" s="14" t="s">
        <v>656</v>
      </c>
      <c r="AC229" s="14">
        <v>6012220601</v>
      </c>
      <c r="AD229" s="14" t="s">
        <v>657</v>
      </c>
      <c r="AE229" s="82">
        <v>0</v>
      </c>
      <c r="AF229" s="82">
        <v>0</v>
      </c>
      <c r="AG229" s="82">
        <v>0</v>
      </c>
      <c r="AH229" s="82">
        <v>0</v>
      </c>
      <c r="AI229" s="82">
        <v>0</v>
      </c>
      <c r="AJ229" s="82">
        <v>0</v>
      </c>
      <c r="AK229" s="82">
        <v>0</v>
      </c>
      <c r="AL229" s="82">
        <v>0</v>
      </c>
      <c r="AM229" s="82">
        <v>0</v>
      </c>
      <c r="AN229" s="82">
        <v>0</v>
      </c>
      <c r="AO229" s="82">
        <v>0</v>
      </c>
      <c r="AP229" s="82">
        <v>0</v>
      </c>
      <c r="AQ229" s="82">
        <v>0</v>
      </c>
      <c r="AR229" s="82">
        <v>0</v>
      </c>
      <c r="AS229" s="82">
        <v>6000000</v>
      </c>
      <c r="AT229" s="82">
        <v>0</v>
      </c>
      <c r="AU229" s="82">
        <v>0</v>
      </c>
      <c r="AV229" s="82">
        <v>0</v>
      </c>
      <c r="AW229" s="82">
        <v>0</v>
      </c>
      <c r="AX229" s="82">
        <v>0</v>
      </c>
      <c r="AY229" s="82">
        <v>0</v>
      </c>
      <c r="AZ229" s="82">
        <v>0</v>
      </c>
      <c r="BA229" s="82">
        <v>0</v>
      </c>
      <c r="BB229" s="82">
        <v>6000000</v>
      </c>
      <c r="BC229" s="82">
        <f t="shared" ref="BC229:BD229" si="446">AE229+AG229+AI229+AK229+AM229+AO229+AQ229+AS229+AU229+AW229+AY229+BA229</f>
        <v>6000000</v>
      </c>
      <c r="BD229" s="82">
        <f t="shared" si="446"/>
        <v>6000000</v>
      </c>
      <c r="BE229" s="83">
        <f t="shared" si="1"/>
        <v>0</v>
      </c>
      <c r="BF229" s="83">
        <f t="shared" si="2"/>
        <v>0</v>
      </c>
      <c r="BG229" s="14" t="str">
        <f ca="1">IFERROR(__xludf.DUMMYFUNCTION("REGEXEXTRACT(O223,""^\S+\s(.+)$"")"),"Adquirir suscripción online de consulta e información jurídica.")</f>
        <v>Adquirir suscripción online de consulta e información jurídica.</v>
      </c>
      <c r="BH229" s="23"/>
      <c r="BI229" s="23"/>
      <c r="BJ229" s="23"/>
      <c r="BK229" s="23"/>
      <c r="BL229" s="23"/>
      <c r="BM229" s="23"/>
      <c r="BN229" s="23"/>
      <c r="BO229" s="23"/>
      <c r="BP229" s="23"/>
      <c r="BQ229" s="23"/>
      <c r="BR229" s="23"/>
      <c r="BS229" s="23"/>
      <c r="BT229" s="23"/>
      <c r="BU229" s="23"/>
      <c r="BV229" s="23">
        <v>6000000</v>
      </c>
      <c r="BW229" s="23"/>
      <c r="BX229" s="23"/>
      <c r="BY229" s="23"/>
      <c r="BZ229" s="23"/>
      <c r="CA229" s="23"/>
      <c r="CB229" s="23"/>
      <c r="CC229" s="23"/>
      <c r="CD229" s="23"/>
      <c r="CE229" s="23">
        <v>6000000</v>
      </c>
      <c r="CF229" s="28"/>
      <c r="CG229" s="28"/>
      <c r="CH229" s="25">
        <f t="shared" ref="CH229:CI229" si="447">BH229+BJ229+BL229+BN229+BP229+BR229+BT229+BV229+BX229+BZ229+CB229+CD229+CF229</f>
        <v>6000000</v>
      </c>
      <c r="CI229" s="25">
        <f t="shared" si="447"/>
        <v>6000000</v>
      </c>
      <c r="CJ229" s="26">
        <f t="shared" si="4"/>
        <v>0</v>
      </c>
      <c r="CK229" s="26">
        <f t="shared" si="5"/>
        <v>0</v>
      </c>
    </row>
    <row r="230" spans="1:89" ht="90" customHeight="1" x14ac:dyDescent="0.3">
      <c r="A230" s="13" t="s">
        <v>248</v>
      </c>
      <c r="B230" s="14" t="s">
        <v>20</v>
      </c>
      <c r="C230" s="15" t="s">
        <v>651</v>
      </c>
      <c r="D230" s="14" t="s">
        <v>67</v>
      </c>
      <c r="E230" s="13" t="s">
        <v>250</v>
      </c>
      <c r="F230" s="13" t="s">
        <v>250</v>
      </c>
      <c r="G230" s="14">
        <v>68</v>
      </c>
      <c r="H230" s="13" t="s">
        <v>769</v>
      </c>
      <c r="I230" s="15" t="s">
        <v>708</v>
      </c>
      <c r="J230" s="14" t="s">
        <v>25</v>
      </c>
      <c r="K230" s="15" t="s">
        <v>101</v>
      </c>
      <c r="L230" s="14">
        <v>80111713</v>
      </c>
      <c r="M230" s="14" t="s">
        <v>26</v>
      </c>
      <c r="N230" s="14" t="s">
        <v>770</v>
      </c>
      <c r="O230" s="15" t="s">
        <v>771</v>
      </c>
      <c r="P230" s="14" t="s">
        <v>614</v>
      </c>
      <c r="Q230" s="14" t="s">
        <v>614</v>
      </c>
      <c r="R230" s="14" t="s">
        <v>473</v>
      </c>
      <c r="S230" s="17">
        <v>12</v>
      </c>
      <c r="T230" s="14" t="s">
        <v>256</v>
      </c>
      <c r="U230" s="14" t="s">
        <v>474</v>
      </c>
      <c r="V230" s="14" t="s">
        <v>112</v>
      </c>
      <c r="W230" s="18">
        <v>2000000</v>
      </c>
      <c r="X230" s="18">
        <v>2000000</v>
      </c>
      <c r="Y230" s="19" t="s">
        <v>339</v>
      </c>
      <c r="Z230" s="19" t="s">
        <v>258</v>
      </c>
      <c r="AA230" s="14" t="s">
        <v>655</v>
      </c>
      <c r="AB230" s="14" t="s">
        <v>656</v>
      </c>
      <c r="AC230" s="14">
        <v>6012220601</v>
      </c>
      <c r="AD230" s="14" t="s">
        <v>657</v>
      </c>
      <c r="AE230" s="82">
        <v>0</v>
      </c>
      <c r="AF230" s="82">
        <v>0</v>
      </c>
      <c r="AG230" s="82">
        <v>0</v>
      </c>
      <c r="AH230" s="82">
        <v>0</v>
      </c>
      <c r="AI230" s="82">
        <v>0</v>
      </c>
      <c r="AJ230" s="82">
        <v>0</v>
      </c>
      <c r="AK230" s="82">
        <v>0</v>
      </c>
      <c r="AL230" s="82">
        <v>0</v>
      </c>
      <c r="AM230" s="82">
        <v>0</v>
      </c>
      <c r="AN230" s="82">
        <v>0</v>
      </c>
      <c r="AO230" s="82">
        <v>0</v>
      </c>
      <c r="AP230" s="82">
        <v>0</v>
      </c>
      <c r="AQ230" s="82">
        <v>0</v>
      </c>
      <c r="AR230" s="82">
        <v>0</v>
      </c>
      <c r="AS230" s="82">
        <v>0</v>
      </c>
      <c r="AT230" s="82">
        <v>0</v>
      </c>
      <c r="AU230" s="82">
        <v>0</v>
      </c>
      <c r="AV230" s="82">
        <v>0</v>
      </c>
      <c r="AW230" s="82">
        <v>2000000</v>
      </c>
      <c r="AX230" s="82">
        <v>0</v>
      </c>
      <c r="AY230" s="82">
        <v>0</v>
      </c>
      <c r="AZ230" s="82">
        <v>2000000</v>
      </c>
      <c r="BA230" s="82">
        <v>0</v>
      </c>
      <c r="BB230" s="82">
        <v>0</v>
      </c>
      <c r="BC230" s="82">
        <f t="shared" ref="BC230:BD230" si="448">AE230+AG230+AI230+AK230+AM230+AO230+AQ230+AS230+AU230+AW230+AY230+BA230</f>
        <v>2000000</v>
      </c>
      <c r="BD230" s="82">
        <f t="shared" si="448"/>
        <v>2000000</v>
      </c>
      <c r="BE230" s="83">
        <f t="shared" si="1"/>
        <v>0</v>
      </c>
      <c r="BF230" s="83">
        <f t="shared" si="2"/>
        <v>0</v>
      </c>
      <c r="BG230" s="14" t="str">
        <f ca="1">IFERROR(__xludf.DUMMYFUNCTION("REGEXEXTRACT(O224,""^\S+\s(.+)$"")"),"Adquirir Certificado Wildcard SSL Multidominio para los servidores de la Unidad")</f>
        <v>Adquirir Certificado Wildcard SSL Multidominio para los servidores de la Unidad</v>
      </c>
      <c r="BH230" s="23"/>
      <c r="BI230" s="23"/>
      <c r="BJ230" s="23"/>
      <c r="BK230" s="23"/>
      <c r="BL230" s="23"/>
      <c r="BM230" s="23"/>
      <c r="BN230" s="23"/>
      <c r="BO230" s="23"/>
      <c r="BP230" s="23"/>
      <c r="BQ230" s="23"/>
      <c r="BR230" s="23"/>
      <c r="BS230" s="23"/>
      <c r="BT230" s="23"/>
      <c r="BU230" s="23"/>
      <c r="BV230" s="23"/>
      <c r="BW230" s="23"/>
      <c r="BX230" s="23"/>
      <c r="BY230" s="23"/>
      <c r="BZ230" s="23">
        <v>2000000</v>
      </c>
      <c r="CA230" s="23"/>
      <c r="CB230" s="23"/>
      <c r="CC230" s="23">
        <v>2000000</v>
      </c>
      <c r="CD230" s="23"/>
      <c r="CE230" s="23"/>
      <c r="CF230" s="28"/>
      <c r="CG230" s="28"/>
      <c r="CH230" s="25">
        <f t="shared" ref="CH230:CI230" si="449">BH230+BJ230+BL230+BN230+BP230+BR230+BT230+BV230+BX230+BZ230+CB230+CD230+CF230</f>
        <v>2000000</v>
      </c>
      <c r="CI230" s="25">
        <f t="shared" si="449"/>
        <v>2000000</v>
      </c>
      <c r="CJ230" s="26">
        <f t="shared" si="4"/>
        <v>0</v>
      </c>
      <c r="CK230" s="26">
        <f t="shared" si="5"/>
        <v>0</v>
      </c>
    </row>
    <row r="231" spans="1:89" ht="90" customHeight="1" x14ac:dyDescent="0.3">
      <c r="A231" s="13" t="s">
        <v>248</v>
      </c>
      <c r="B231" s="14" t="s">
        <v>20</v>
      </c>
      <c r="C231" s="15" t="s">
        <v>651</v>
      </c>
      <c r="D231" s="14" t="s">
        <v>67</v>
      </c>
      <c r="E231" s="13" t="s">
        <v>250</v>
      </c>
      <c r="F231" s="13" t="s">
        <v>250</v>
      </c>
      <c r="G231" s="14">
        <v>68</v>
      </c>
      <c r="H231" s="13" t="s">
        <v>772</v>
      </c>
      <c r="I231" s="15" t="s">
        <v>708</v>
      </c>
      <c r="J231" s="14" t="s">
        <v>25</v>
      </c>
      <c r="K231" s="15" t="s">
        <v>101</v>
      </c>
      <c r="L231" s="14">
        <v>80111713</v>
      </c>
      <c r="M231" s="14" t="s">
        <v>26</v>
      </c>
      <c r="N231" s="14" t="s">
        <v>770</v>
      </c>
      <c r="O231" s="15" t="s">
        <v>773</v>
      </c>
      <c r="P231" s="14" t="s">
        <v>774</v>
      </c>
      <c r="Q231" s="14" t="s">
        <v>774</v>
      </c>
      <c r="R231" s="14" t="s">
        <v>468</v>
      </c>
      <c r="S231" s="17">
        <v>12</v>
      </c>
      <c r="T231" s="14" t="s">
        <v>256</v>
      </c>
      <c r="U231" s="14" t="s">
        <v>474</v>
      </c>
      <c r="V231" s="14" t="s">
        <v>112</v>
      </c>
      <c r="W231" s="18">
        <v>26000000</v>
      </c>
      <c r="X231" s="18">
        <v>26000000</v>
      </c>
      <c r="Y231" s="19" t="s">
        <v>339</v>
      </c>
      <c r="Z231" s="19" t="s">
        <v>258</v>
      </c>
      <c r="AA231" s="14" t="s">
        <v>655</v>
      </c>
      <c r="AB231" s="14" t="s">
        <v>656</v>
      </c>
      <c r="AC231" s="14">
        <v>6012220601</v>
      </c>
      <c r="AD231" s="14" t="s">
        <v>657</v>
      </c>
      <c r="AE231" s="82">
        <v>0</v>
      </c>
      <c r="AF231" s="82">
        <v>0</v>
      </c>
      <c r="AG231" s="82">
        <v>0</v>
      </c>
      <c r="AH231" s="82">
        <v>0</v>
      </c>
      <c r="AI231" s="82">
        <v>0</v>
      </c>
      <c r="AJ231" s="82">
        <v>0</v>
      </c>
      <c r="AK231" s="82">
        <v>0</v>
      </c>
      <c r="AL231" s="82">
        <v>0</v>
      </c>
      <c r="AM231" s="82">
        <v>0</v>
      </c>
      <c r="AN231" s="82">
        <v>0</v>
      </c>
      <c r="AO231" s="82">
        <v>0</v>
      </c>
      <c r="AP231" s="82">
        <v>0</v>
      </c>
      <c r="AQ231" s="82">
        <v>0</v>
      </c>
      <c r="AR231" s="82">
        <v>0</v>
      </c>
      <c r="AS231" s="82">
        <v>0</v>
      </c>
      <c r="AT231" s="82">
        <v>0</v>
      </c>
      <c r="AU231" s="82">
        <v>0</v>
      </c>
      <c r="AV231" s="82">
        <v>0</v>
      </c>
      <c r="AW231" s="82">
        <v>0</v>
      </c>
      <c r="AX231" s="82">
        <v>0</v>
      </c>
      <c r="AY231" s="82">
        <v>26000000</v>
      </c>
      <c r="AZ231" s="82">
        <v>0</v>
      </c>
      <c r="BA231" s="82">
        <v>0</v>
      </c>
      <c r="BB231" s="82">
        <v>26000000</v>
      </c>
      <c r="BC231" s="82">
        <f t="shared" ref="BC231:BD231" si="450">AE231+AG231+AI231+AK231+AM231+AO231+AQ231+AS231+AU231+AW231+AY231+BA231</f>
        <v>26000000</v>
      </c>
      <c r="BD231" s="82">
        <f t="shared" si="450"/>
        <v>26000000</v>
      </c>
      <c r="BE231" s="83">
        <f t="shared" si="1"/>
        <v>0</v>
      </c>
      <c r="BF231" s="83">
        <f t="shared" si="2"/>
        <v>0</v>
      </c>
      <c r="BG231" s="14" t="str">
        <f ca="1">IFERROR(__xludf.DUMMYFUNCTION("REGEXEXTRACT(O225,""^\S+\s(.+)$"")"),"Adquirir el servicio de firmado digital incluyendo certificados de firma digital en el sistema de gestión documental de la UPME y los de función pública SIIF Nación (token) y un certificado de firma digital de persona jurídica para facturación electrónica")</f>
        <v>Adquirir el servicio de firmado digital incluyendo certificados de firma digital en el sistema de gestión documental de la UPME y los de función pública SIIF Nación (token) y un certificado de firma digital de persona jurídica para facturación electrónica</v>
      </c>
      <c r="BH231" s="23"/>
      <c r="BI231" s="23"/>
      <c r="BJ231" s="23"/>
      <c r="BK231" s="23"/>
      <c r="BL231" s="23"/>
      <c r="BM231" s="23"/>
      <c r="BN231" s="23"/>
      <c r="BO231" s="23"/>
      <c r="BP231" s="23"/>
      <c r="BQ231" s="23"/>
      <c r="BR231" s="23"/>
      <c r="BS231" s="23"/>
      <c r="BT231" s="23"/>
      <c r="BU231" s="23"/>
      <c r="BV231" s="23"/>
      <c r="BW231" s="23"/>
      <c r="BX231" s="23"/>
      <c r="BY231" s="23"/>
      <c r="BZ231" s="23"/>
      <c r="CA231" s="23"/>
      <c r="CB231" s="23">
        <v>26000000</v>
      </c>
      <c r="CC231" s="23"/>
      <c r="CD231" s="23"/>
      <c r="CE231" s="23">
        <v>26000000</v>
      </c>
      <c r="CF231" s="28"/>
      <c r="CG231" s="28"/>
      <c r="CH231" s="25">
        <f t="shared" ref="CH231:CI231" si="451">BH231+BJ231+BL231+BN231+BP231+BR231+BT231+BV231+BX231+BZ231+CB231+CD231+CF231</f>
        <v>26000000</v>
      </c>
      <c r="CI231" s="25">
        <f t="shared" si="451"/>
        <v>26000000</v>
      </c>
      <c r="CJ231" s="26">
        <f t="shared" si="4"/>
        <v>0</v>
      </c>
      <c r="CK231" s="26">
        <f t="shared" si="5"/>
        <v>0</v>
      </c>
    </row>
    <row r="232" spans="1:89" ht="90" customHeight="1" x14ac:dyDescent="0.3">
      <c r="A232" s="13" t="s">
        <v>248</v>
      </c>
      <c r="B232" s="14" t="s">
        <v>20</v>
      </c>
      <c r="C232" s="15" t="s">
        <v>651</v>
      </c>
      <c r="D232" s="14" t="s">
        <v>67</v>
      </c>
      <c r="E232" s="13" t="s">
        <v>250</v>
      </c>
      <c r="F232" s="13" t="s">
        <v>250</v>
      </c>
      <c r="G232" s="14">
        <v>68</v>
      </c>
      <c r="H232" s="13" t="s">
        <v>775</v>
      </c>
      <c r="I232" s="15" t="s">
        <v>653</v>
      </c>
      <c r="J232" s="14" t="s">
        <v>23</v>
      </c>
      <c r="K232" s="15" t="s">
        <v>100</v>
      </c>
      <c r="L232" s="14" t="s">
        <v>776</v>
      </c>
      <c r="M232" s="14" t="s">
        <v>24</v>
      </c>
      <c r="N232" s="14" t="s">
        <v>770</v>
      </c>
      <c r="O232" s="15" t="s">
        <v>777</v>
      </c>
      <c r="P232" s="14" t="s">
        <v>774</v>
      </c>
      <c r="Q232" s="14" t="s">
        <v>774</v>
      </c>
      <c r="R232" s="14" t="s">
        <v>468</v>
      </c>
      <c r="S232" s="17">
        <v>12</v>
      </c>
      <c r="T232" s="14" t="s">
        <v>256</v>
      </c>
      <c r="U232" s="14" t="s">
        <v>474</v>
      </c>
      <c r="V232" s="14" t="s">
        <v>113</v>
      </c>
      <c r="W232" s="18">
        <v>165000000</v>
      </c>
      <c r="X232" s="18">
        <v>165000000</v>
      </c>
      <c r="Y232" s="19" t="s">
        <v>339</v>
      </c>
      <c r="Z232" s="19" t="s">
        <v>258</v>
      </c>
      <c r="AA232" s="14" t="s">
        <v>655</v>
      </c>
      <c r="AB232" s="14" t="s">
        <v>656</v>
      </c>
      <c r="AC232" s="14">
        <v>6012220601</v>
      </c>
      <c r="AD232" s="14" t="s">
        <v>657</v>
      </c>
      <c r="AE232" s="82">
        <v>0</v>
      </c>
      <c r="AF232" s="82">
        <v>0</v>
      </c>
      <c r="AG232" s="82">
        <v>0</v>
      </c>
      <c r="AH232" s="82">
        <v>0</v>
      </c>
      <c r="AI232" s="82">
        <v>0</v>
      </c>
      <c r="AJ232" s="82">
        <v>0</v>
      </c>
      <c r="AK232" s="82">
        <v>0</v>
      </c>
      <c r="AL232" s="82">
        <v>0</v>
      </c>
      <c r="AM232" s="82">
        <v>0</v>
      </c>
      <c r="AN232" s="82">
        <v>0</v>
      </c>
      <c r="AO232" s="82">
        <v>0</v>
      </c>
      <c r="AP232" s="82">
        <v>0</v>
      </c>
      <c r="AQ232" s="82">
        <v>0</v>
      </c>
      <c r="AR232" s="82">
        <v>0</v>
      </c>
      <c r="AS232" s="82">
        <v>0</v>
      </c>
      <c r="AT232" s="82">
        <v>0</v>
      </c>
      <c r="AU232" s="82">
        <v>0</v>
      </c>
      <c r="AV232" s="82">
        <v>0</v>
      </c>
      <c r="AW232" s="82">
        <v>0</v>
      </c>
      <c r="AX232" s="82">
        <v>0</v>
      </c>
      <c r="AY232" s="82">
        <v>165000000</v>
      </c>
      <c r="AZ232" s="82">
        <v>0</v>
      </c>
      <c r="BA232" s="82">
        <v>0</v>
      </c>
      <c r="BB232" s="82">
        <v>165000000</v>
      </c>
      <c r="BC232" s="82">
        <f t="shared" ref="BC232:BD232" si="452">AE232+AG232+AI232+AK232+AM232+AO232+AQ232+AS232+AU232+AW232+AY232+BA232</f>
        <v>165000000</v>
      </c>
      <c r="BD232" s="82">
        <f t="shared" si="452"/>
        <v>165000000</v>
      </c>
      <c r="BE232" s="83">
        <f t="shared" si="1"/>
        <v>0</v>
      </c>
      <c r="BF232" s="83">
        <f t="shared" si="2"/>
        <v>0</v>
      </c>
      <c r="BG232" s="14" t="str">
        <f ca="1">IFERROR(__xludf.DUMMYFUNCTION("REGEXEXTRACT(O226,""^\S+\s(.+)$"")"),"Adquirir el servicio de ciberseguridad contra ransomware y el licenciamiento de la solución Endpoint con la que cuenta la UPME")</f>
        <v>Adquirir el servicio de ciberseguridad contra ransomware y el licenciamiento de la solución Endpoint con la que cuenta la UPME</v>
      </c>
      <c r="BH232" s="23"/>
      <c r="BI232" s="23"/>
      <c r="BJ232" s="23"/>
      <c r="BK232" s="23"/>
      <c r="BL232" s="23"/>
      <c r="BM232" s="23"/>
      <c r="BN232" s="23"/>
      <c r="BO232" s="23"/>
      <c r="BP232" s="23"/>
      <c r="BQ232" s="23"/>
      <c r="BR232" s="23"/>
      <c r="BS232" s="23"/>
      <c r="BT232" s="23"/>
      <c r="BU232" s="23"/>
      <c r="BV232" s="23"/>
      <c r="BW232" s="23"/>
      <c r="BX232" s="23"/>
      <c r="BY232" s="23"/>
      <c r="BZ232" s="23"/>
      <c r="CA232" s="23"/>
      <c r="CB232" s="23">
        <v>165000000</v>
      </c>
      <c r="CC232" s="23"/>
      <c r="CD232" s="23"/>
      <c r="CE232" s="23">
        <v>165000000</v>
      </c>
      <c r="CF232" s="28"/>
      <c r="CG232" s="28"/>
      <c r="CH232" s="25">
        <f t="shared" ref="CH232:CI232" si="453">BH232+BJ232+BL232+BN232+BP232+BR232+BT232+BV232+BX232+BZ232+CB232+CD232+CF232</f>
        <v>165000000</v>
      </c>
      <c r="CI232" s="25">
        <f t="shared" si="453"/>
        <v>165000000</v>
      </c>
      <c r="CJ232" s="26">
        <f t="shared" si="4"/>
        <v>0</v>
      </c>
      <c r="CK232" s="26">
        <f t="shared" si="5"/>
        <v>0</v>
      </c>
    </row>
    <row r="233" spans="1:89" ht="90" customHeight="1" x14ac:dyDescent="0.3">
      <c r="A233" s="13" t="s">
        <v>248</v>
      </c>
      <c r="B233" s="14" t="s">
        <v>20</v>
      </c>
      <c r="C233" s="15" t="s">
        <v>651</v>
      </c>
      <c r="D233" s="14" t="s">
        <v>67</v>
      </c>
      <c r="E233" s="13" t="s">
        <v>250</v>
      </c>
      <c r="F233" s="13" t="s">
        <v>250</v>
      </c>
      <c r="G233" s="14">
        <v>8</v>
      </c>
      <c r="H233" s="13" t="s">
        <v>778</v>
      </c>
      <c r="I233" s="15" t="s">
        <v>708</v>
      </c>
      <c r="J233" s="14" t="s">
        <v>25</v>
      </c>
      <c r="K233" s="15" t="s">
        <v>102</v>
      </c>
      <c r="L233" s="14" t="s">
        <v>779</v>
      </c>
      <c r="M233" s="14" t="s">
        <v>26</v>
      </c>
      <c r="N233" s="14" t="s">
        <v>770</v>
      </c>
      <c r="O233" s="15" t="s">
        <v>780</v>
      </c>
      <c r="P233" s="14" t="s">
        <v>473</v>
      </c>
      <c r="Q233" s="14" t="s">
        <v>473</v>
      </c>
      <c r="R233" s="14" t="s">
        <v>468</v>
      </c>
      <c r="S233" s="17">
        <v>12</v>
      </c>
      <c r="T233" s="14" t="s">
        <v>256</v>
      </c>
      <c r="U233" s="14" t="s">
        <v>474</v>
      </c>
      <c r="V233" s="14" t="s">
        <v>113</v>
      </c>
      <c r="W233" s="18">
        <v>11860050</v>
      </c>
      <c r="X233" s="18">
        <v>11860050</v>
      </c>
      <c r="Y233" s="19" t="s">
        <v>339</v>
      </c>
      <c r="Z233" s="19" t="s">
        <v>258</v>
      </c>
      <c r="AA233" s="14" t="s">
        <v>655</v>
      </c>
      <c r="AB233" s="14" t="s">
        <v>656</v>
      </c>
      <c r="AC233" s="14">
        <v>6012220601</v>
      </c>
      <c r="AD233" s="14" t="s">
        <v>657</v>
      </c>
      <c r="AE233" s="82">
        <v>0</v>
      </c>
      <c r="AF233" s="82">
        <v>0</v>
      </c>
      <c r="AG233" s="82">
        <v>0</v>
      </c>
      <c r="AH233" s="82">
        <v>0</v>
      </c>
      <c r="AI233" s="82">
        <v>0</v>
      </c>
      <c r="AJ233" s="82">
        <v>0</v>
      </c>
      <c r="AK233" s="82">
        <v>0</v>
      </c>
      <c r="AL233" s="82">
        <v>0</v>
      </c>
      <c r="AM233" s="82">
        <v>0</v>
      </c>
      <c r="AN233" s="82">
        <v>0</v>
      </c>
      <c r="AO233" s="82">
        <v>0</v>
      </c>
      <c r="AP233" s="82">
        <v>0</v>
      </c>
      <c r="AQ233" s="82">
        <v>0</v>
      </c>
      <c r="AR233" s="82">
        <v>0</v>
      </c>
      <c r="AS233" s="82">
        <v>0</v>
      </c>
      <c r="AT233" s="82">
        <v>0</v>
      </c>
      <c r="AU233" s="82">
        <v>0</v>
      </c>
      <c r="AV233" s="82">
        <v>0</v>
      </c>
      <c r="AW233" s="82">
        <v>0</v>
      </c>
      <c r="AX233" s="82">
        <v>0</v>
      </c>
      <c r="AY233" s="82">
        <v>11860050</v>
      </c>
      <c r="AZ233" s="82">
        <v>0</v>
      </c>
      <c r="BA233" s="82">
        <v>0</v>
      </c>
      <c r="BB233" s="82">
        <v>11860050</v>
      </c>
      <c r="BC233" s="82">
        <f t="shared" ref="BC233:BD233" si="454">AE233+AG233+AI233+AK233+AM233+AO233+AQ233+AS233+AU233+AW233+AY233+BA233</f>
        <v>11860050</v>
      </c>
      <c r="BD233" s="82">
        <f t="shared" si="454"/>
        <v>11860050</v>
      </c>
      <c r="BE233" s="83">
        <f t="shared" si="1"/>
        <v>0</v>
      </c>
      <c r="BF233" s="83">
        <f t="shared" si="2"/>
        <v>0</v>
      </c>
      <c r="BG233" s="14" t="str">
        <f ca="1">IFERROR(__xludf.DUMMYFUNCTION("REGEXEXTRACT(O227,""^\S+\s(.+)$"")"),"Renovar el licenciamiento y soporte de solución de backup")</f>
        <v>Renovar el licenciamiento y soporte de solución de backup</v>
      </c>
      <c r="BH233" s="23"/>
      <c r="BI233" s="23"/>
      <c r="BJ233" s="23"/>
      <c r="BK233" s="23"/>
      <c r="BL233" s="23"/>
      <c r="BM233" s="23"/>
      <c r="BN233" s="23"/>
      <c r="BO233" s="23"/>
      <c r="BP233" s="23"/>
      <c r="BQ233" s="23"/>
      <c r="BR233" s="23"/>
      <c r="BS233" s="23"/>
      <c r="BT233" s="23"/>
      <c r="BU233" s="23"/>
      <c r="BV233" s="23"/>
      <c r="BW233" s="23"/>
      <c r="BX233" s="23"/>
      <c r="BY233" s="23"/>
      <c r="BZ233" s="23"/>
      <c r="CA233" s="23"/>
      <c r="CB233" s="23">
        <v>11860050</v>
      </c>
      <c r="CC233" s="23"/>
      <c r="CD233" s="23"/>
      <c r="CE233" s="23">
        <v>11860050</v>
      </c>
      <c r="CF233" s="28"/>
      <c r="CG233" s="28"/>
      <c r="CH233" s="25">
        <f t="shared" ref="CH233:CI233" si="455">BH233+BJ233+BL233+BN233+BP233+BR233+BT233+BV233+BX233+BZ233+CB233+CD233+CF233</f>
        <v>11860050</v>
      </c>
      <c r="CI233" s="25">
        <f t="shared" si="455"/>
        <v>11860050</v>
      </c>
      <c r="CJ233" s="26">
        <f t="shared" si="4"/>
        <v>0</v>
      </c>
      <c r="CK233" s="26">
        <f t="shared" si="5"/>
        <v>0</v>
      </c>
    </row>
    <row r="234" spans="1:89" ht="90" customHeight="1" x14ac:dyDescent="0.3">
      <c r="A234" s="13" t="s">
        <v>248</v>
      </c>
      <c r="B234" s="14" t="s">
        <v>20</v>
      </c>
      <c r="C234" s="15" t="s">
        <v>651</v>
      </c>
      <c r="D234" s="14" t="s">
        <v>67</v>
      </c>
      <c r="E234" s="13" t="s">
        <v>250</v>
      </c>
      <c r="F234" s="13" t="s">
        <v>250</v>
      </c>
      <c r="G234" s="14">
        <v>20</v>
      </c>
      <c r="H234" s="13" t="s">
        <v>781</v>
      </c>
      <c r="I234" s="15" t="s">
        <v>708</v>
      </c>
      <c r="J234" s="14" t="s">
        <v>25</v>
      </c>
      <c r="K234" s="15" t="s">
        <v>102</v>
      </c>
      <c r="L234" s="14" t="s">
        <v>782</v>
      </c>
      <c r="M234" s="14" t="s">
        <v>26</v>
      </c>
      <c r="N234" s="14" t="s">
        <v>466</v>
      </c>
      <c r="O234" s="15" t="s">
        <v>783</v>
      </c>
      <c r="P234" s="14" t="s">
        <v>255</v>
      </c>
      <c r="Q234" s="14" t="s">
        <v>255</v>
      </c>
      <c r="R234" s="14" t="s">
        <v>784</v>
      </c>
      <c r="S234" s="17">
        <v>12</v>
      </c>
      <c r="T234" s="14" t="s">
        <v>256</v>
      </c>
      <c r="U234" s="14" t="s">
        <v>282</v>
      </c>
      <c r="V234" s="14" t="s">
        <v>113</v>
      </c>
      <c r="W234" s="18">
        <v>213000000</v>
      </c>
      <c r="X234" s="18">
        <v>213000000</v>
      </c>
      <c r="Y234" s="19" t="s">
        <v>339</v>
      </c>
      <c r="Z234" s="19" t="s">
        <v>258</v>
      </c>
      <c r="AA234" s="14" t="s">
        <v>655</v>
      </c>
      <c r="AB234" s="14" t="s">
        <v>656</v>
      </c>
      <c r="AC234" s="14">
        <v>6012220601</v>
      </c>
      <c r="AD234" s="14" t="s">
        <v>657</v>
      </c>
      <c r="AE234" s="82">
        <v>0</v>
      </c>
      <c r="AF234" s="82">
        <v>0</v>
      </c>
      <c r="AG234" s="82">
        <v>0</v>
      </c>
      <c r="AH234" s="82">
        <v>0</v>
      </c>
      <c r="AI234" s="82">
        <v>213000000</v>
      </c>
      <c r="AJ234" s="82">
        <v>0</v>
      </c>
      <c r="AK234" s="82">
        <v>0</v>
      </c>
      <c r="AL234" s="82">
        <v>0</v>
      </c>
      <c r="AM234" s="82">
        <v>0</v>
      </c>
      <c r="AN234" s="82">
        <v>0</v>
      </c>
      <c r="AO234" s="82">
        <v>0</v>
      </c>
      <c r="AP234" s="82">
        <v>0</v>
      </c>
      <c r="AQ234" s="82">
        <v>0</v>
      </c>
      <c r="AR234" s="82">
        <v>213000000</v>
      </c>
      <c r="AS234" s="82">
        <v>0</v>
      </c>
      <c r="AT234" s="82">
        <v>0</v>
      </c>
      <c r="AU234" s="82">
        <v>87000000</v>
      </c>
      <c r="AV234" s="82">
        <v>0</v>
      </c>
      <c r="AW234" s="82">
        <v>0</v>
      </c>
      <c r="AX234" s="82">
        <v>0</v>
      </c>
      <c r="AY234" s="82">
        <v>0</v>
      </c>
      <c r="AZ234" s="82">
        <v>0</v>
      </c>
      <c r="BA234" s="82">
        <v>0</v>
      </c>
      <c r="BB234" s="82">
        <v>87000000</v>
      </c>
      <c r="BC234" s="82">
        <f t="shared" ref="BC234:BD234" si="456">AE234+AG234+AI234+AK234+AM234+AO234+AQ234+AS234+AU234+AW234+AY234+BA234</f>
        <v>300000000</v>
      </c>
      <c r="BD234" s="82">
        <f t="shared" si="456"/>
        <v>300000000</v>
      </c>
      <c r="BE234" s="83">
        <f t="shared" si="1"/>
        <v>-87000000</v>
      </c>
      <c r="BF234" s="83">
        <f t="shared" si="2"/>
        <v>-87000000</v>
      </c>
      <c r="BG234" s="14" t="str">
        <f ca="1">IFERROR(__xludf.DUMMYFUNCTION("REGEXEXTRACT(O228,""^\S+\s(.+)$"")"),"Adquirir el servicio de nube para Backup y DRP")</f>
        <v>Adquirir el servicio de nube para Backup y DRP</v>
      </c>
      <c r="BH234" s="23">
        <v>0</v>
      </c>
      <c r="BI234" s="23">
        <v>0</v>
      </c>
      <c r="BJ234" s="23">
        <v>0</v>
      </c>
      <c r="BK234" s="23">
        <v>0</v>
      </c>
      <c r="BL234" s="23">
        <v>300000000</v>
      </c>
      <c r="BM234" s="23">
        <v>0</v>
      </c>
      <c r="BN234" s="23">
        <v>-87000000</v>
      </c>
      <c r="BO234" s="23">
        <v>0</v>
      </c>
      <c r="BP234" s="23">
        <v>0</v>
      </c>
      <c r="BQ234" s="23">
        <v>0</v>
      </c>
      <c r="BR234" s="23">
        <v>0</v>
      </c>
      <c r="BS234" s="23">
        <v>0</v>
      </c>
      <c r="BT234" s="23">
        <v>0</v>
      </c>
      <c r="BU234" s="23">
        <v>0</v>
      </c>
      <c r="BV234" s="23">
        <v>0</v>
      </c>
      <c r="BW234" s="23">
        <v>0</v>
      </c>
      <c r="BX234" s="23">
        <v>0</v>
      </c>
      <c r="BY234" s="23">
        <v>0</v>
      </c>
      <c r="BZ234" s="23">
        <v>0</v>
      </c>
      <c r="CA234" s="23">
        <v>0</v>
      </c>
      <c r="CB234" s="23">
        <v>0</v>
      </c>
      <c r="CC234" s="23">
        <v>0</v>
      </c>
      <c r="CD234" s="23">
        <v>0</v>
      </c>
      <c r="CE234" s="23">
        <v>213000000</v>
      </c>
      <c r="CF234" s="28"/>
      <c r="CG234" s="28"/>
      <c r="CH234" s="25">
        <f t="shared" ref="CH234:CI234" si="457">BH234+BJ234+BL234+BN234+BP234+BR234+BT234+BV234+BX234+BZ234+CB234+CD234+CF234</f>
        <v>213000000</v>
      </c>
      <c r="CI234" s="25">
        <f t="shared" si="457"/>
        <v>213000000</v>
      </c>
      <c r="CJ234" s="26">
        <f t="shared" si="4"/>
        <v>0</v>
      </c>
      <c r="CK234" s="26">
        <f t="shared" si="5"/>
        <v>0</v>
      </c>
    </row>
    <row r="235" spans="1:89" ht="90" customHeight="1" x14ac:dyDescent="0.3">
      <c r="A235" s="13" t="s">
        <v>248</v>
      </c>
      <c r="B235" s="14" t="s">
        <v>20</v>
      </c>
      <c r="C235" s="15" t="s">
        <v>651</v>
      </c>
      <c r="D235" s="14" t="s">
        <v>67</v>
      </c>
      <c r="E235" s="13" t="s">
        <v>250</v>
      </c>
      <c r="F235" s="13" t="s">
        <v>250</v>
      </c>
      <c r="G235" s="14">
        <v>68</v>
      </c>
      <c r="H235" s="13" t="s">
        <v>785</v>
      </c>
      <c r="I235" s="15" t="s">
        <v>708</v>
      </c>
      <c r="J235" s="14" t="s">
        <v>25</v>
      </c>
      <c r="K235" s="15" t="s">
        <v>101</v>
      </c>
      <c r="L235" s="14">
        <v>80111713</v>
      </c>
      <c r="M235" s="14" t="s">
        <v>26</v>
      </c>
      <c r="N235" s="14" t="s">
        <v>767</v>
      </c>
      <c r="O235" s="15" t="s">
        <v>786</v>
      </c>
      <c r="P235" s="14" t="s">
        <v>281</v>
      </c>
      <c r="Q235" s="14" t="s">
        <v>281</v>
      </c>
      <c r="R235" s="14" t="s">
        <v>774</v>
      </c>
      <c r="S235" s="17">
        <v>12</v>
      </c>
      <c r="T235" s="14" t="s">
        <v>256</v>
      </c>
      <c r="U235" s="14" t="s">
        <v>469</v>
      </c>
      <c r="V235" s="14" t="s">
        <v>113</v>
      </c>
      <c r="W235" s="18">
        <v>76000000</v>
      </c>
      <c r="X235" s="18">
        <v>76000000</v>
      </c>
      <c r="Y235" s="19" t="s">
        <v>339</v>
      </c>
      <c r="Z235" s="19" t="s">
        <v>258</v>
      </c>
      <c r="AA235" s="14" t="s">
        <v>655</v>
      </c>
      <c r="AB235" s="14" t="s">
        <v>656</v>
      </c>
      <c r="AC235" s="14">
        <v>6012220601</v>
      </c>
      <c r="AD235" s="14" t="s">
        <v>657</v>
      </c>
      <c r="AE235" s="82">
        <v>0</v>
      </c>
      <c r="AF235" s="82">
        <v>0</v>
      </c>
      <c r="AG235" s="82">
        <v>0</v>
      </c>
      <c r="AH235" s="82">
        <v>0</v>
      </c>
      <c r="AI235" s="82">
        <v>0</v>
      </c>
      <c r="AJ235" s="82">
        <v>0</v>
      </c>
      <c r="AK235" s="82">
        <v>0</v>
      </c>
      <c r="AL235" s="82">
        <v>0</v>
      </c>
      <c r="AM235" s="82">
        <v>0</v>
      </c>
      <c r="AN235" s="82">
        <v>0</v>
      </c>
      <c r="AO235" s="82">
        <v>0</v>
      </c>
      <c r="AP235" s="82">
        <v>0</v>
      </c>
      <c r="AQ235" s="82">
        <v>0</v>
      </c>
      <c r="AR235" s="82">
        <v>0</v>
      </c>
      <c r="AS235" s="82">
        <v>76000000</v>
      </c>
      <c r="AT235" s="82">
        <v>0</v>
      </c>
      <c r="AU235" s="82">
        <v>0</v>
      </c>
      <c r="AV235" s="82">
        <v>0</v>
      </c>
      <c r="AW235" s="82">
        <v>0</v>
      </c>
      <c r="AX235" s="82">
        <v>0</v>
      </c>
      <c r="AY235" s="82">
        <v>0</v>
      </c>
      <c r="AZ235" s="82">
        <v>0</v>
      </c>
      <c r="BA235" s="82">
        <v>0</v>
      </c>
      <c r="BB235" s="82">
        <v>76000000</v>
      </c>
      <c r="BC235" s="82">
        <f t="shared" ref="BC235:BD235" si="458">AE235+AG235+AI235+AK235+AM235+AO235+AQ235+AS235+AU235+AW235+AY235+BA235</f>
        <v>76000000</v>
      </c>
      <c r="BD235" s="82">
        <f t="shared" si="458"/>
        <v>76000000</v>
      </c>
      <c r="BE235" s="83">
        <f t="shared" si="1"/>
        <v>0</v>
      </c>
      <c r="BF235" s="83">
        <f t="shared" si="2"/>
        <v>0</v>
      </c>
      <c r="BG235" s="14" t="str">
        <f ca="1">IFERROR(__xludf.DUMMYFUNCTION("REGEXEXTRACT(O229,""^\S+\s(.+)$"")"),"Actualización y soporte del sistema de gestión documental de la Unidad, basado en ARGO/ORFEOGPL, para la Unidad de Planeación Minero Energética -UPME")</f>
        <v>Actualización y soporte del sistema de gestión documental de la Unidad, basado en ARGO/ORFEOGPL, para la Unidad de Planeación Minero Energética -UPME</v>
      </c>
      <c r="BH235" s="23"/>
      <c r="BI235" s="23"/>
      <c r="BJ235" s="23"/>
      <c r="BK235" s="23"/>
      <c r="BL235" s="23"/>
      <c r="BM235" s="23"/>
      <c r="BN235" s="23"/>
      <c r="BO235" s="23"/>
      <c r="BP235" s="23"/>
      <c r="BQ235" s="23"/>
      <c r="BR235" s="23"/>
      <c r="BS235" s="23"/>
      <c r="BT235" s="23"/>
      <c r="BU235" s="23"/>
      <c r="BV235" s="23">
        <v>76000000</v>
      </c>
      <c r="BW235" s="23"/>
      <c r="BX235" s="23"/>
      <c r="BY235" s="23"/>
      <c r="BZ235" s="23"/>
      <c r="CA235" s="23"/>
      <c r="CB235" s="23"/>
      <c r="CC235" s="23"/>
      <c r="CD235" s="23"/>
      <c r="CE235" s="23">
        <v>76000000</v>
      </c>
      <c r="CF235" s="28"/>
      <c r="CG235" s="28"/>
      <c r="CH235" s="25">
        <f t="shared" ref="CH235:CI235" si="459">BH235+BJ235+BL235+BN235+BP235+BR235+BT235+BV235+BX235+BZ235+CB235+CD235+CF235</f>
        <v>76000000</v>
      </c>
      <c r="CI235" s="25">
        <f t="shared" si="459"/>
        <v>76000000</v>
      </c>
      <c r="CJ235" s="26">
        <f t="shared" si="4"/>
        <v>0</v>
      </c>
      <c r="CK235" s="26">
        <f t="shared" si="5"/>
        <v>0</v>
      </c>
    </row>
    <row r="236" spans="1:89" ht="90" customHeight="1" x14ac:dyDescent="0.3">
      <c r="A236" s="13" t="s">
        <v>248</v>
      </c>
      <c r="B236" s="14" t="s">
        <v>20</v>
      </c>
      <c r="C236" s="15" t="s">
        <v>651</v>
      </c>
      <c r="D236" s="14" t="s">
        <v>67</v>
      </c>
      <c r="E236" s="13" t="s">
        <v>250</v>
      </c>
      <c r="F236" s="13" t="s">
        <v>250</v>
      </c>
      <c r="G236" s="14">
        <v>7</v>
      </c>
      <c r="H236" s="13" t="s">
        <v>787</v>
      </c>
      <c r="I236" s="15" t="s">
        <v>708</v>
      </c>
      <c r="J236" s="14" t="s">
        <v>25</v>
      </c>
      <c r="K236" s="15" t="s">
        <v>101</v>
      </c>
      <c r="L236" s="14">
        <v>80111713</v>
      </c>
      <c r="M236" s="14" t="s">
        <v>26</v>
      </c>
      <c r="N236" s="14" t="s">
        <v>767</v>
      </c>
      <c r="O236" s="15" t="s">
        <v>788</v>
      </c>
      <c r="P236" s="14" t="s">
        <v>774</v>
      </c>
      <c r="Q236" s="14" t="s">
        <v>774</v>
      </c>
      <c r="R236" s="14" t="s">
        <v>468</v>
      </c>
      <c r="S236" s="17">
        <v>12</v>
      </c>
      <c r="T236" s="14" t="s">
        <v>256</v>
      </c>
      <c r="U236" s="14" t="s">
        <v>282</v>
      </c>
      <c r="V236" s="14" t="s">
        <v>113</v>
      </c>
      <c r="W236" s="18">
        <v>34264600</v>
      </c>
      <c r="X236" s="18">
        <v>34264600</v>
      </c>
      <c r="Y236" s="19" t="s">
        <v>339</v>
      </c>
      <c r="Z236" s="19" t="s">
        <v>258</v>
      </c>
      <c r="AA236" s="14" t="s">
        <v>655</v>
      </c>
      <c r="AB236" s="14" t="s">
        <v>656</v>
      </c>
      <c r="AC236" s="14">
        <v>6012220601</v>
      </c>
      <c r="AD236" s="14" t="s">
        <v>657</v>
      </c>
      <c r="AE236" s="82">
        <v>0</v>
      </c>
      <c r="AF236" s="82">
        <v>0</v>
      </c>
      <c r="AG236" s="82">
        <v>0</v>
      </c>
      <c r="AH236" s="82">
        <v>0</v>
      </c>
      <c r="AI236" s="82">
        <v>0</v>
      </c>
      <c r="AJ236" s="82">
        <v>0</v>
      </c>
      <c r="AK236" s="82">
        <v>0</v>
      </c>
      <c r="AL236" s="82">
        <v>0</v>
      </c>
      <c r="AM236" s="82">
        <v>0</v>
      </c>
      <c r="AN236" s="82">
        <v>0</v>
      </c>
      <c r="AO236" s="82">
        <v>0</v>
      </c>
      <c r="AP236" s="82">
        <v>0</v>
      </c>
      <c r="AQ236" s="82">
        <v>0</v>
      </c>
      <c r="AR236" s="82">
        <v>0</v>
      </c>
      <c r="AS236" s="82">
        <v>0</v>
      </c>
      <c r="AT236" s="82">
        <v>0</v>
      </c>
      <c r="AU236" s="82">
        <v>0</v>
      </c>
      <c r="AV236" s="82">
        <v>0</v>
      </c>
      <c r="AW236" s="82">
        <v>0</v>
      </c>
      <c r="AX236" s="82">
        <v>0</v>
      </c>
      <c r="AY236" s="82">
        <v>34264600</v>
      </c>
      <c r="AZ236" s="82">
        <v>0</v>
      </c>
      <c r="BA236" s="82">
        <v>0</v>
      </c>
      <c r="BB236" s="82">
        <v>34264600</v>
      </c>
      <c r="BC236" s="82">
        <f t="shared" ref="BC236:BD236" si="460">AE236+AG236+AI236+AK236+AM236+AO236+AQ236+AS236+AU236+AW236+AY236+BA236</f>
        <v>34264600</v>
      </c>
      <c r="BD236" s="82">
        <f t="shared" si="460"/>
        <v>34264600</v>
      </c>
      <c r="BE236" s="83">
        <f t="shared" si="1"/>
        <v>0</v>
      </c>
      <c r="BF236" s="83">
        <f t="shared" si="2"/>
        <v>0</v>
      </c>
      <c r="BG236" s="14" t="str">
        <f ca="1">IFERROR(__xludf.DUMMYFUNCTION("REGEXEXTRACT(O230,""^\S+\s(.+)$"")"),"Contratar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236" s="23"/>
      <c r="BI236" s="23"/>
      <c r="BJ236" s="23"/>
      <c r="BK236" s="23"/>
      <c r="BL236" s="23"/>
      <c r="BM236" s="23"/>
      <c r="BN236" s="23"/>
      <c r="BO236" s="23"/>
      <c r="BP236" s="23"/>
      <c r="BQ236" s="23"/>
      <c r="BR236" s="23"/>
      <c r="BS236" s="23"/>
      <c r="BT236" s="23"/>
      <c r="BU236" s="23"/>
      <c r="BV236" s="23"/>
      <c r="BW236" s="23"/>
      <c r="BX236" s="23"/>
      <c r="BY236" s="23"/>
      <c r="BZ236" s="23"/>
      <c r="CA236" s="23"/>
      <c r="CB236" s="23">
        <v>34264600</v>
      </c>
      <c r="CC236" s="23"/>
      <c r="CD236" s="23"/>
      <c r="CE236" s="23">
        <v>34264600</v>
      </c>
      <c r="CF236" s="28"/>
      <c r="CG236" s="28"/>
      <c r="CH236" s="25">
        <f t="shared" ref="CH236:CI236" si="461">BH236+BJ236+BL236+BN236+BP236+BR236+BT236+BV236+BX236+BZ236+CB236+CD236+CF236</f>
        <v>34264600</v>
      </c>
      <c r="CI236" s="25">
        <f t="shared" si="461"/>
        <v>34264600</v>
      </c>
      <c r="CJ236" s="26">
        <f t="shared" si="4"/>
        <v>0</v>
      </c>
      <c r="CK236" s="26">
        <f t="shared" si="5"/>
        <v>0</v>
      </c>
    </row>
    <row r="237" spans="1:89" ht="90" customHeight="1" x14ac:dyDescent="0.3">
      <c r="A237" s="13" t="s">
        <v>248</v>
      </c>
      <c r="B237" s="14" t="s">
        <v>20</v>
      </c>
      <c r="C237" s="15" t="s">
        <v>651</v>
      </c>
      <c r="D237" s="14" t="s">
        <v>67</v>
      </c>
      <c r="E237" s="13" t="s">
        <v>250</v>
      </c>
      <c r="F237" s="13" t="s">
        <v>250</v>
      </c>
      <c r="G237" s="14">
        <v>1</v>
      </c>
      <c r="H237" s="13" t="s">
        <v>789</v>
      </c>
      <c r="I237" s="15" t="s">
        <v>708</v>
      </c>
      <c r="J237" s="14" t="s">
        <v>25</v>
      </c>
      <c r="K237" s="15" t="s">
        <v>102</v>
      </c>
      <c r="L237" s="14">
        <v>80111713</v>
      </c>
      <c r="M237" s="14" t="s">
        <v>26</v>
      </c>
      <c r="N237" s="14" t="s">
        <v>770</v>
      </c>
      <c r="O237" s="15" t="s">
        <v>790</v>
      </c>
      <c r="P237" s="14" t="s">
        <v>614</v>
      </c>
      <c r="Q237" s="14" t="s">
        <v>614</v>
      </c>
      <c r="R237" s="14" t="s">
        <v>473</v>
      </c>
      <c r="S237" s="17">
        <v>12</v>
      </c>
      <c r="T237" s="14" t="s">
        <v>256</v>
      </c>
      <c r="U237" s="14" t="s">
        <v>282</v>
      </c>
      <c r="V237" s="14" t="s">
        <v>112</v>
      </c>
      <c r="W237" s="18">
        <v>58381864</v>
      </c>
      <c r="X237" s="18">
        <v>58381864</v>
      </c>
      <c r="Y237" s="19" t="s">
        <v>339</v>
      </c>
      <c r="Z237" s="19" t="s">
        <v>258</v>
      </c>
      <c r="AA237" s="14" t="s">
        <v>655</v>
      </c>
      <c r="AB237" s="14" t="s">
        <v>656</v>
      </c>
      <c r="AC237" s="14">
        <v>6012220601</v>
      </c>
      <c r="AD237" s="14" t="s">
        <v>657</v>
      </c>
      <c r="AE237" s="82">
        <v>0</v>
      </c>
      <c r="AF237" s="82">
        <v>0</v>
      </c>
      <c r="AG237" s="82">
        <v>0</v>
      </c>
      <c r="AH237" s="82">
        <v>0</v>
      </c>
      <c r="AI237" s="82">
        <v>0</v>
      </c>
      <c r="AJ237" s="82">
        <v>0</v>
      </c>
      <c r="AK237" s="82">
        <v>0</v>
      </c>
      <c r="AL237" s="82">
        <v>0</v>
      </c>
      <c r="AM237" s="82">
        <v>0</v>
      </c>
      <c r="AN237" s="82">
        <v>0</v>
      </c>
      <c r="AO237" s="82">
        <v>0</v>
      </c>
      <c r="AP237" s="82">
        <v>0</v>
      </c>
      <c r="AQ237" s="82">
        <v>0</v>
      </c>
      <c r="AR237" s="82">
        <v>0</v>
      </c>
      <c r="AS237" s="82">
        <v>0</v>
      </c>
      <c r="AT237" s="82">
        <v>0</v>
      </c>
      <c r="AU237" s="82">
        <v>0</v>
      </c>
      <c r="AV237" s="82">
        <v>0</v>
      </c>
      <c r="AW237" s="82">
        <v>58381864</v>
      </c>
      <c r="AX237" s="82">
        <v>0</v>
      </c>
      <c r="AY237" s="82">
        <v>0</v>
      </c>
      <c r="AZ237" s="82">
        <v>0</v>
      </c>
      <c r="BA237" s="82">
        <v>0</v>
      </c>
      <c r="BB237" s="82">
        <v>58381864</v>
      </c>
      <c r="BC237" s="82">
        <f t="shared" ref="BC237:BD237" si="462">AE237+AG237+AI237+AK237+AM237+AO237+AQ237+AS237+AU237+AW237+AY237+BA237</f>
        <v>58381864</v>
      </c>
      <c r="BD237" s="82">
        <f t="shared" si="462"/>
        <v>58381864</v>
      </c>
      <c r="BE237" s="83">
        <f t="shared" si="1"/>
        <v>0</v>
      </c>
      <c r="BF237" s="83">
        <f t="shared" si="2"/>
        <v>0</v>
      </c>
      <c r="BG237" s="14" t="str">
        <f ca="1">IFERROR(__xludf.DUMMYFUNCTION("REGEXEXTRACT(O231,""^\S+\s(.+)$"")"),"Adquirir el licenciamiento de correo electrónico, junto con las herramientas colaborativas en nube para la UPME")</f>
        <v>Adquirir el licenciamiento de correo electrónico, junto con las herramientas colaborativas en nube para la UPME</v>
      </c>
      <c r="BH237" s="23"/>
      <c r="BI237" s="23"/>
      <c r="BJ237" s="23"/>
      <c r="BK237" s="23"/>
      <c r="BL237" s="23"/>
      <c r="BM237" s="23"/>
      <c r="BN237" s="23"/>
      <c r="BO237" s="23"/>
      <c r="BP237" s="23"/>
      <c r="BQ237" s="23"/>
      <c r="BR237" s="23"/>
      <c r="BS237" s="23"/>
      <c r="BT237" s="23"/>
      <c r="BU237" s="23"/>
      <c r="BV237" s="23"/>
      <c r="BW237" s="23"/>
      <c r="BX237" s="23"/>
      <c r="BY237" s="23"/>
      <c r="BZ237" s="23">
        <v>58381864</v>
      </c>
      <c r="CA237" s="23"/>
      <c r="CB237" s="23"/>
      <c r="CC237" s="23"/>
      <c r="CD237" s="23"/>
      <c r="CE237" s="23">
        <v>58381864</v>
      </c>
      <c r="CF237" s="28"/>
      <c r="CG237" s="28"/>
      <c r="CH237" s="25">
        <f t="shared" ref="CH237:CI237" si="463">BH237+BJ237+BL237+BN237+BP237+BR237+BT237+BV237+BX237+BZ237+CB237+CD237+CF237</f>
        <v>58381864</v>
      </c>
      <c r="CI237" s="25">
        <f t="shared" si="463"/>
        <v>58381864</v>
      </c>
      <c r="CJ237" s="26">
        <f t="shared" si="4"/>
        <v>0</v>
      </c>
      <c r="CK237" s="26">
        <f t="shared" si="5"/>
        <v>0</v>
      </c>
    </row>
    <row r="238" spans="1:89" ht="90" customHeight="1" x14ac:dyDescent="0.3">
      <c r="A238" s="13" t="s">
        <v>248</v>
      </c>
      <c r="B238" s="14" t="s">
        <v>20</v>
      </c>
      <c r="C238" s="15" t="s">
        <v>651</v>
      </c>
      <c r="D238" s="14" t="s">
        <v>67</v>
      </c>
      <c r="E238" s="13" t="s">
        <v>250</v>
      </c>
      <c r="F238" s="13" t="s">
        <v>250</v>
      </c>
      <c r="G238" s="14">
        <v>68</v>
      </c>
      <c r="H238" s="13" t="s">
        <v>791</v>
      </c>
      <c r="I238" s="15" t="s">
        <v>708</v>
      </c>
      <c r="J238" s="14" t="s">
        <v>25</v>
      </c>
      <c r="K238" s="15" t="s">
        <v>102</v>
      </c>
      <c r="L238" s="14">
        <v>80111713</v>
      </c>
      <c r="M238" s="14" t="s">
        <v>26</v>
      </c>
      <c r="N238" s="14" t="s">
        <v>770</v>
      </c>
      <c r="O238" s="15" t="s">
        <v>792</v>
      </c>
      <c r="P238" s="14" t="s">
        <v>281</v>
      </c>
      <c r="Q238" s="14" t="s">
        <v>281</v>
      </c>
      <c r="R238" s="14" t="s">
        <v>774</v>
      </c>
      <c r="S238" s="17">
        <v>12</v>
      </c>
      <c r="T238" s="14" t="s">
        <v>256</v>
      </c>
      <c r="U238" s="14" t="s">
        <v>474</v>
      </c>
      <c r="V238" s="14" t="s">
        <v>112</v>
      </c>
      <c r="W238" s="18">
        <v>45000000</v>
      </c>
      <c r="X238" s="18">
        <v>45000000</v>
      </c>
      <c r="Y238" s="19" t="s">
        <v>339</v>
      </c>
      <c r="Z238" s="19" t="s">
        <v>258</v>
      </c>
      <c r="AA238" s="14" t="s">
        <v>655</v>
      </c>
      <c r="AB238" s="14" t="s">
        <v>656</v>
      </c>
      <c r="AC238" s="14">
        <v>6012220601</v>
      </c>
      <c r="AD238" s="14" t="s">
        <v>657</v>
      </c>
      <c r="AE238" s="82">
        <v>0</v>
      </c>
      <c r="AF238" s="82">
        <v>0</v>
      </c>
      <c r="AG238" s="82">
        <v>0</v>
      </c>
      <c r="AH238" s="82">
        <v>0</v>
      </c>
      <c r="AI238" s="82">
        <v>0</v>
      </c>
      <c r="AJ238" s="82">
        <v>0</v>
      </c>
      <c r="AK238" s="82">
        <v>0</v>
      </c>
      <c r="AL238" s="82">
        <v>0</v>
      </c>
      <c r="AM238" s="82">
        <v>0</v>
      </c>
      <c r="AN238" s="82">
        <v>0</v>
      </c>
      <c r="AO238" s="82">
        <v>0</v>
      </c>
      <c r="AP238" s="82">
        <v>0</v>
      </c>
      <c r="AQ238" s="82">
        <v>0</v>
      </c>
      <c r="AR238" s="82">
        <v>0</v>
      </c>
      <c r="AS238" s="82">
        <v>45000000</v>
      </c>
      <c r="AT238" s="82">
        <v>0</v>
      </c>
      <c r="AU238" s="82">
        <v>0</v>
      </c>
      <c r="AV238" s="82">
        <v>0</v>
      </c>
      <c r="AW238" s="82">
        <v>0</v>
      </c>
      <c r="AX238" s="82">
        <v>0</v>
      </c>
      <c r="AY238" s="82">
        <v>0</v>
      </c>
      <c r="AZ238" s="82">
        <v>0</v>
      </c>
      <c r="BA238" s="82">
        <v>0</v>
      </c>
      <c r="BB238" s="82">
        <v>45000000</v>
      </c>
      <c r="BC238" s="82">
        <f t="shared" ref="BC238:BD238" si="464">AE238+AG238+AI238+AK238+AM238+AO238+AQ238+AS238+AU238+AW238+AY238+BA238</f>
        <v>45000000</v>
      </c>
      <c r="BD238" s="82">
        <f t="shared" si="464"/>
        <v>45000000</v>
      </c>
      <c r="BE238" s="83">
        <f t="shared" si="1"/>
        <v>0</v>
      </c>
      <c r="BF238" s="83">
        <f t="shared" si="2"/>
        <v>0</v>
      </c>
      <c r="BG238" s="14" t="str">
        <f ca="1">IFERROR(__xludf.DUMMYFUNCTION("REGEXEXTRACT(O232,""^\S+\s(.+)$"")"),"Adquisición de suscripción anual de un sistema de monitoreo de la infraestructura tecnológica de la entidad.")</f>
        <v>Adquisición de suscripción anual de un sistema de monitoreo de la infraestructura tecnológica de la entidad.</v>
      </c>
      <c r="BH238" s="23"/>
      <c r="BI238" s="23"/>
      <c r="BJ238" s="23"/>
      <c r="BK238" s="23"/>
      <c r="BL238" s="23"/>
      <c r="BM238" s="23"/>
      <c r="BN238" s="23"/>
      <c r="BO238" s="23"/>
      <c r="BP238" s="23"/>
      <c r="BQ238" s="23"/>
      <c r="BR238" s="23"/>
      <c r="BS238" s="23"/>
      <c r="BT238" s="23"/>
      <c r="BU238" s="23"/>
      <c r="BV238" s="23">
        <v>45000000</v>
      </c>
      <c r="BW238" s="23"/>
      <c r="BX238" s="23"/>
      <c r="BY238" s="23"/>
      <c r="BZ238" s="23"/>
      <c r="CA238" s="23"/>
      <c r="CB238" s="23"/>
      <c r="CC238" s="23"/>
      <c r="CD238" s="23"/>
      <c r="CE238" s="23">
        <v>45000000</v>
      </c>
      <c r="CF238" s="28"/>
      <c r="CG238" s="28"/>
      <c r="CH238" s="25">
        <f t="shared" ref="CH238:CI238" si="465">BH238+BJ238+BL238+BN238+BP238+BR238+BT238+BV238+BX238+BZ238+CB238+CD238+CF238</f>
        <v>45000000</v>
      </c>
      <c r="CI238" s="25">
        <f t="shared" si="465"/>
        <v>45000000</v>
      </c>
      <c r="CJ238" s="26">
        <f t="shared" si="4"/>
        <v>0</v>
      </c>
      <c r="CK238" s="26">
        <f t="shared" si="5"/>
        <v>0</v>
      </c>
    </row>
    <row r="239" spans="1:89" ht="90" customHeight="1" x14ac:dyDescent="0.3">
      <c r="A239" s="13" t="s">
        <v>248</v>
      </c>
      <c r="B239" s="14" t="s">
        <v>20</v>
      </c>
      <c r="C239" s="15" t="s">
        <v>651</v>
      </c>
      <c r="D239" s="14" t="s">
        <v>67</v>
      </c>
      <c r="E239" s="13" t="s">
        <v>250</v>
      </c>
      <c r="F239" s="13" t="s">
        <v>250</v>
      </c>
      <c r="G239" s="14">
        <v>16</v>
      </c>
      <c r="H239" s="13" t="s">
        <v>793</v>
      </c>
      <c r="I239" s="15" t="s">
        <v>708</v>
      </c>
      <c r="J239" s="14" t="s">
        <v>25</v>
      </c>
      <c r="K239" s="15" t="s">
        <v>102</v>
      </c>
      <c r="L239" s="14" t="s">
        <v>794</v>
      </c>
      <c r="M239" s="14" t="s">
        <v>26</v>
      </c>
      <c r="N239" s="14" t="s">
        <v>770</v>
      </c>
      <c r="O239" s="15" t="s">
        <v>795</v>
      </c>
      <c r="P239" s="14" t="s">
        <v>255</v>
      </c>
      <c r="Q239" s="14" t="s">
        <v>255</v>
      </c>
      <c r="R239" s="14" t="s">
        <v>280</v>
      </c>
      <c r="S239" s="17">
        <v>12</v>
      </c>
      <c r="T239" s="14" t="s">
        <v>256</v>
      </c>
      <c r="U239" s="14" t="s">
        <v>282</v>
      </c>
      <c r="V239" s="14" t="s">
        <v>113</v>
      </c>
      <c r="W239" s="18">
        <v>48639950</v>
      </c>
      <c r="X239" s="18">
        <v>48639950</v>
      </c>
      <c r="Y239" s="19" t="s">
        <v>339</v>
      </c>
      <c r="Z239" s="19" t="s">
        <v>258</v>
      </c>
      <c r="AA239" s="14" t="s">
        <v>655</v>
      </c>
      <c r="AB239" s="14" t="s">
        <v>656</v>
      </c>
      <c r="AC239" s="14">
        <v>6012220601</v>
      </c>
      <c r="AD239" s="14" t="s">
        <v>657</v>
      </c>
      <c r="AE239" s="82">
        <v>0</v>
      </c>
      <c r="AF239" s="82">
        <v>0</v>
      </c>
      <c r="AG239" s="82">
        <v>0</v>
      </c>
      <c r="AH239" s="82">
        <v>0</v>
      </c>
      <c r="AI239" s="82">
        <v>0</v>
      </c>
      <c r="AJ239" s="82">
        <v>0</v>
      </c>
      <c r="AK239" s="82">
        <v>35000000</v>
      </c>
      <c r="AL239" s="82">
        <v>0</v>
      </c>
      <c r="AM239" s="82">
        <v>0</v>
      </c>
      <c r="AN239" s="82">
        <v>3800000</v>
      </c>
      <c r="AO239" s="82">
        <v>0</v>
      </c>
      <c r="AP239" s="82">
        <v>3800000</v>
      </c>
      <c r="AQ239" s="82">
        <v>0</v>
      </c>
      <c r="AR239" s="82">
        <v>3800000</v>
      </c>
      <c r="AS239" s="82">
        <v>0</v>
      </c>
      <c r="AT239" s="82">
        <v>3800000</v>
      </c>
      <c r="AU239" s="82">
        <v>0</v>
      </c>
      <c r="AV239" s="82">
        <v>3800000</v>
      </c>
      <c r="AW239" s="82">
        <v>0</v>
      </c>
      <c r="AX239" s="82">
        <v>3800000</v>
      </c>
      <c r="AY239" s="82">
        <v>0</v>
      </c>
      <c r="AZ239" s="82">
        <v>3800000</v>
      </c>
      <c r="BA239" s="82">
        <v>0</v>
      </c>
      <c r="BB239" s="82">
        <v>8400000</v>
      </c>
      <c r="BC239" s="82">
        <f t="shared" ref="BC239:BD239" si="466">AE239+AG239+AI239+AK239+AM239+AO239+AQ239+AS239+AU239+AW239+AY239+BA239</f>
        <v>35000000</v>
      </c>
      <c r="BD239" s="82">
        <f t="shared" si="466"/>
        <v>35000000</v>
      </c>
      <c r="BE239" s="83">
        <f t="shared" si="1"/>
        <v>13639950</v>
      </c>
      <c r="BF239" s="83">
        <f t="shared" si="2"/>
        <v>13639950</v>
      </c>
      <c r="BG239" s="14" t="str">
        <f ca="1">IFERROR(__xludf.DUMMYFUNCTION("REGEXEXTRACT(O233,""^\S+\s(.+)$"")"),"Adquirir el canal de backup de internet para la UPME.")</f>
        <v>Adquirir el canal de backup de internet para la UPME.</v>
      </c>
      <c r="BH239" s="23">
        <v>0</v>
      </c>
      <c r="BI239" s="23">
        <v>0</v>
      </c>
      <c r="BJ239" s="23">
        <v>0</v>
      </c>
      <c r="BK239" s="23">
        <v>0</v>
      </c>
      <c r="BL239" s="23">
        <v>0</v>
      </c>
      <c r="BM239" s="23">
        <v>0</v>
      </c>
      <c r="BN239" s="23">
        <v>48639950</v>
      </c>
      <c r="BO239" s="23">
        <v>0</v>
      </c>
      <c r="BP239" s="23">
        <v>0</v>
      </c>
      <c r="BQ239" s="23">
        <v>0</v>
      </c>
      <c r="BR239" s="23">
        <v>0</v>
      </c>
      <c r="BS239" s="23">
        <v>0</v>
      </c>
      <c r="BT239" s="23">
        <v>0</v>
      </c>
      <c r="BU239" s="23">
        <v>0</v>
      </c>
      <c r="BV239" s="23">
        <v>0</v>
      </c>
      <c r="BW239" s="23">
        <v>0</v>
      </c>
      <c r="BX239" s="23">
        <v>0</v>
      </c>
      <c r="BY239" s="23">
        <v>0</v>
      </c>
      <c r="BZ239" s="23">
        <v>0</v>
      </c>
      <c r="CA239" s="23">
        <v>0</v>
      </c>
      <c r="CB239" s="23">
        <v>0</v>
      </c>
      <c r="CC239" s="23">
        <v>0</v>
      </c>
      <c r="CD239" s="23">
        <v>0</v>
      </c>
      <c r="CE239" s="23">
        <v>48639950</v>
      </c>
      <c r="CF239" s="28"/>
      <c r="CG239" s="28"/>
      <c r="CH239" s="25">
        <f t="shared" ref="CH239:CI239" si="467">BH239+BJ239+BL239+BN239+BP239+BR239+BT239+BV239+BX239+BZ239+CB239+CD239+CF239</f>
        <v>48639950</v>
      </c>
      <c r="CI239" s="25">
        <f t="shared" si="467"/>
        <v>48639950</v>
      </c>
      <c r="CJ239" s="26">
        <f t="shared" si="4"/>
        <v>0</v>
      </c>
      <c r="CK239" s="26">
        <f t="shared" si="5"/>
        <v>0</v>
      </c>
    </row>
    <row r="240" spans="1:89" ht="90" customHeight="1" x14ac:dyDescent="0.3">
      <c r="A240" s="13" t="s">
        <v>248</v>
      </c>
      <c r="B240" s="14" t="s">
        <v>20</v>
      </c>
      <c r="C240" s="15" t="s">
        <v>651</v>
      </c>
      <c r="D240" s="14" t="s">
        <v>67</v>
      </c>
      <c r="E240" s="13" t="s">
        <v>250</v>
      </c>
      <c r="F240" s="13" t="s">
        <v>250</v>
      </c>
      <c r="G240" s="14">
        <v>68</v>
      </c>
      <c r="H240" s="13" t="s">
        <v>796</v>
      </c>
      <c r="I240" s="15" t="s">
        <v>708</v>
      </c>
      <c r="J240" s="14" t="s">
        <v>25</v>
      </c>
      <c r="K240" s="15" t="s">
        <v>102</v>
      </c>
      <c r="L240" s="14" t="s">
        <v>794</v>
      </c>
      <c r="M240" s="14" t="s">
        <v>26</v>
      </c>
      <c r="N240" s="14" t="s">
        <v>770</v>
      </c>
      <c r="O240" s="15" t="s">
        <v>797</v>
      </c>
      <c r="P240" s="14" t="s">
        <v>774</v>
      </c>
      <c r="Q240" s="14" t="s">
        <v>774</v>
      </c>
      <c r="R240" s="14" t="s">
        <v>798</v>
      </c>
      <c r="S240" s="17">
        <v>12</v>
      </c>
      <c r="T240" s="14" t="s">
        <v>256</v>
      </c>
      <c r="U240" s="14" t="s">
        <v>282</v>
      </c>
      <c r="V240" s="14" t="s">
        <v>113</v>
      </c>
      <c r="W240" s="18">
        <v>5000000</v>
      </c>
      <c r="X240" s="18">
        <v>5000000</v>
      </c>
      <c r="Y240" s="19" t="s">
        <v>339</v>
      </c>
      <c r="Z240" s="19" t="s">
        <v>258</v>
      </c>
      <c r="AA240" s="14" t="s">
        <v>655</v>
      </c>
      <c r="AB240" s="14" t="s">
        <v>656</v>
      </c>
      <c r="AC240" s="14">
        <v>6012220601</v>
      </c>
      <c r="AD240" s="14" t="s">
        <v>657</v>
      </c>
      <c r="AE240" s="82">
        <v>0</v>
      </c>
      <c r="AF240" s="82">
        <v>0</v>
      </c>
      <c r="AG240" s="82">
        <v>0</v>
      </c>
      <c r="AH240" s="82">
        <v>0</v>
      </c>
      <c r="AI240" s="82">
        <v>0</v>
      </c>
      <c r="AJ240" s="82">
        <v>0</v>
      </c>
      <c r="AK240" s="82">
        <v>0</v>
      </c>
      <c r="AL240" s="82">
        <v>0</v>
      </c>
      <c r="AM240" s="82">
        <v>0</v>
      </c>
      <c r="AN240" s="82">
        <v>0</v>
      </c>
      <c r="AO240" s="82">
        <v>0</v>
      </c>
      <c r="AP240" s="82">
        <v>0</v>
      </c>
      <c r="AQ240" s="82">
        <v>0</v>
      </c>
      <c r="AR240" s="82">
        <v>0</v>
      </c>
      <c r="AS240" s="82">
        <v>0</v>
      </c>
      <c r="AT240" s="82">
        <v>0</v>
      </c>
      <c r="AU240" s="82">
        <v>0</v>
      </c>
      <c r="AV240" s="82">
        <v>0</v>
      </c>
      <c r="AW240" s="82">
        <v>0</v>
      </c>
      <c r="AX240" s="82">
        <v>0</v>
      </c>
      <c r="AY240" s="82">
        <v>0</v>
      </c>
      <c r="AZ240" s="82">
        <v>0</v>
      </c>
      <c r="BA240" s="82">
        <v>5000000</v>
      </c>
      <c r="BB240" s="82">
        <v>5000000</v>
      </c>
      <c r="BC240" s="82">
        <f t="shared" ref="BC240:BD240" si="468">AE240+AG240+AI240+AK240+AM240+AO240+AQ240+AS240+AU240+AW240+AY240+BA240</f>
        <v>5000000</v>
      </c>
      <c r="BD240" s="82">
        <f t="shared" si="468"/>
        <v>5000000</v>
      </c>
      <c r="BE240" s="83">
        <f t="shared" si="1"/>
        <v>0</v>
      </c>
      <c r="BF240" s="83">
        <f t="shared" si="2"/>
        <v>0</v>
      </c>
      <c r="BG240" s="14" t="str">
        <f ca="1">IFERROR(__xludf.DUMMYFUNCTION("REGEXEXTRACT(O234,""^\S+\s(.+)$"")"),"Renovación del segmento de prefijo IPV6 ante LACNIC.")</f>
        <v>Renovación del segmento de prefijo IPV6 ante LACNIC.</v>
      </c>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v>5000000</v>
      </c>
      <c r="CE240" s="23">
        <v>5000000</v>
      </c>
      <c r="CF240" s="28"/>
      <c r="CG240" s="28"/>
      <c r="CH240" s="25">
        <f t="shared" ref="CH240:CI240" si="469">BH240+BJ240+BL240+BN240+BP240+BR240+BT240+BV240+BX240+BZ240+CB240+CD240+CF240</f>
        <v>5000000</v>
      </c>
      <c r="CI240" s="25">
        <f t="shared" si="469"/>
        <v>5000000</v>
      </c>
      <c r="CJ240" s="26">
        <f t="shared" si="4"/>
        <v>0</v>
      </c>
      <c r="CK240" s="26">
        <f t="shared" si="5"/>
        <v>0</v>
      </c>
    </row>
    <row r="241" spans="1:89" ht="90" customHeight="1" x14ac:dyDescent="0.3">
      <c r="A241" s="13" t="s">
        <v>248</v>
      </c>
      <c r="B241" s="14" t="s">
        <v>20</v>
      </c>
      <c r="C241" s="15" t="s">
        <v>651</v>
      </c>
      <c r="D241" s="14" t="s">
        <v>67</v>
      </c>
      <c r="E241" s="13" t="s">
        <v>250</v>
      </c>
      <c r="F241" s="13" t="s">
        <v>250</v>
      </c>
      <c r="G241" s="14">
        <v>68</v>
      </c>
      <c r="H241" s="13" t="s">
        <v>799</v>
      </c>
      <c r="I241" s="15" t="s">
        <v>653</v>
      </c>
      <c r="J241" s="14" t="s">
        <v>23</v>
      </c>
      <c r="K241" s="15" t="s">
        <v>100</v>
      </c>
      <c r="L241" s="14">
        <v>80101505</v>
      </c>
      <c r="M241" s="14" t="s">
        <v>24</v>
      </c>
      <c r="N241" s="14" t="s">
        <v>767</v>
      </c>
      <c r="O241" s="15" t="s">
        <v>800</v>
      </c>
      <c r="P241" s="14" t="s">
        <v>281</v>
      </c>
      <c r="Q241" s="14" t="s">
        <v>281</v>
      </c>
      <c r="R241" s="14" t="s">
        <v>774</v>
      </c>
      <c r="S241" s="17">
        <v>12</v>
      </c>
      <c r="T241" s="14" t="s">
        <v>256</v>
      </c>
      <c r="U241" s="14" t="s">
        <v>469</v>
      </c>
      <c r="V241" s="14" t="s">
        <v>113</v>
      </c>
      <c r="W241" s="18">
        <v>500000000</v>
      </c>
      <c r="X241" s="18">
        <v>500000000</v>
      </c>
      <c r="Y241" s="19" t="s">
        <v>339</v>
      </c>
      <c r="Z241" s="19" t="s">
        <v>258</v>
      </c>
      <c r="AA241" s="14" t="s">
        <v>655</v>
      </c>
      <c r="AB241" s="14" t="s">
        <v>656</v>
      </c>
      <c r="AC241" s="14">
        <v>6012220601</v>
      </c>
      <c r="AD241" s="14" t="s">
        <v>657</v>
      </c>
      <c r="AE241" s="82">
        <v>0</v>
      </c>
      <c r="AF241" s="82">
        <v>0</v>
      </c>
      <c r="AG241" s="82">
        <v>0</v>
      </c>
      <c r="AH241" s="82">
        <v>0</v>
      </c>
      <c r="AI241" s="82">
        <v>0</v>
      </c>
      <c r="AJ241" s="82">
        <v>0</v>
      </c>
      <c r="AK241" s="82">
        <v>0</v>
      </c>
      <c r="AL241" s="82">
        <v>0</v>
      </c>
      <c r="AM241" s="82">
        <v>0</v>
      </c>
      <c r="AN241" s="82">
        <v>0</v>
      </c>
      <c r="AO241" s="82">
        <v>0</v>
      </c>
      <c r="AP241" s="82">
        <v>0</v>
      </c>
      <c r="AQ241" s="82">
        <v>0</v>
      </c>
      <c r="AR241" s="82">
        <v>0</v>
      </c>
      <c r="AS241" s="82">
        <v>500000000</v>
      </c>
      <c r="AT241" s="82">
        <v>0</v>
      </c>
      <c r="AU241" s="82">
        <v>0</v>
      </c>
      <c r="AV241" s="82">
        <v>0</v>
      </c>
      <c r="AW241" s="82">
        <v>0</v>
      </c>
      <c r="AX241" s="82">
        <v>0</v>
      </c>
      <c r="AY241" s="82">
        <v>0</v>
      </c>
      <c r="AZ241" s="82">
        <v>0</v>
      </c>
      <c r="BA241" s="82">
        <v>0</v>
      </c>
      <c r="BB241" s="82">
        <v>500000000</v>
      </c>
      <c r="BC241" s="82">
        <f t="shared" ref="BC241:BD241" si="470">AE241+AG241+AI241+AK241+AM241+AO241+AQ241+AS241+AU241+AW241+AY241+BA241</f>
        <v>500000000</v>
      </c>
      <c r="BD241" s="82">
        <f t="shared" si="470"/>
        <v>500000000</v>
      </c>
      <c r="BE241" s="83">
        <f t="shared" si="1"/>
        <v>0</v>
      </c>
      <c r="BF241" s="83">
        <f t="shared" si="2"/>
        <v>0</v>
      </c>
      <c r="BG241" s="14" t="str">
        <f ca="1">IFERROR(__xludf.DUMMYFUNCTION("REGEXEXTRACT(O235,""^\S+\s(.+)$"")"),"Contratar el servicio de plataforma cómo servicios PaaS de la herramienta Bizagi, así como la migración de los flujos de procesos de la UPME.")</f>
        <v>Contratar el servicio de plataforma cómo servicios PaaS de la herramienta Bizagi, así como la migración de los flujos de procesos de la UPME.</v>
      </c>
      <c r="BH241" s="23"/>
      <c r="BI241" s="23"/>
      <c r="BJ241" s="23"/>
      <c r="BK241" s="23"/>
      <c r="BL241" s="23"/>
      <c r="BM241" s="23"/>
      <c r="BN241" s="23"/>
      <c r="BO241" s="23"/>
      <c r="BP241" s="23"/>
      <c r="BQ241" s="23"/>
      <c r="BR241" s="23"/>
      <c r="BS241" s="23"/>
      <c r="BT241" s="23"/>
      <c r="BU241" s="23"/>
      <c r="BV241" s="23">
        <v>500000000</v>
      </c>
      <c r="BW241" s="23"/>
      <c r="BX241" s="23"/>
      <c r="BY241" s="23"/>
      <c r="BZ241" s="23"/>
      <c r="CA241" s="23"/>
      <c r="CB241" s="23"/>
      <c r="CC241" s="23"/>
      <c r="CD241" s="23"/>
      <c r="CE241" s="23">
        <v>500000000</v>
      </c>
      <c r="CF241" s="28"/>
      <c r="CG241" s="28"/>
      <c r="CH241" s="25">
        <f t="shared" ref="CH241:CI241" si="471">BH241+BJ241+BL241+BN241+BP241+BR241+BT241+BV241+BX241+BZ241+CB241+CD241+CF241</f>
        <v>500000000</v>
      </c>
      <c r="CI241" s="25">
        <f t="shared" si="471"/>
        <v>500000000</v>
      </c>
      <c r="CJ241" s="26">
        <f t="shared" si="4"/>
        <v>0</v>
      </c>
      <c r="CK241" s="26">
        <f t="shared" si="5"/>
        <v>0</v>
      </c>
    </row>
    <row r="242" spans="1:89" ht="90" customHeight="1" x14ac:dyDescent="0.3">
      <c r="A242" s="13" t="s">
        <v>248</v>
      </c>
      <c r="B242" s="14" t="s">
        <v>20</v>
      </c>
      <c r="C242" s="15" t="s">
        <v>651</v>
      </c>
      <c r="D242" s="14" t="s">
        <v>67</v>
      </c>
      <c r="E242" s="13" t="s">
        <v>250</v>
      </c>
      <c r="F242" s="13" t="s">
        <v>250</v>
      </c>
      <c r="G242" s="14">
        <v>16</v>
      </c>
      <c r="H242" s="13" t="s">
        <v>801</v>
      </c>
      <c r="I242" s="15" t="s">
        <v>708</v>
      </c>
      <c r="J242" s="14" t="s">
        <v>25</v>
      </c>
      <c r="K242" s="15" t="s">
        <v>101</v>
      </c>
      <c r="L242" s="14">
        <v>43231513</v>
      </c>
      <c r="M242" s="14" t="s">
        <v>26</v>
      </c>
      <c r="N242" s="14" t="s">
        <v>770</v>
      </c>
      <c r="O242" s="15" t="s">
        <v>802</v>
      </c>
      <c r="P242" s="14" t="s">
        <v>549</v>
      </c>
      <c r="Q242" s="14" t="s">
        <v>549</v>
      </c>
      <c r="R242" s="14" t="s">
        <v>281</v>
      </c>
      <c r="S242" s="17">
        <v>12</v>
      </c>
      <c r="T242" s="14" t="s">
        <v>256</v>
      </c>
      <c r="U242" s="14" t="s">
        <v>282</v>
      </c>
      <c r="V242" s="14" t="s">
        <v>113</v>
      </c>
      <c r="W242" s="18">
        <v>54150000</v>
      </c>
      <c r="X242" s="18">
        <v>54150000</v>
      </c>
      <c r="Y242" s="19" t="s">
        <v>339</v>
      </c>
      <c r="Z242" s="19" t="s">
        <v>258</v>
      </c>
      <c r="AA242" s="14" t="s">
        <v>655</v>
      </c>
      <c r="AB242" s="14" t="s">
        <v>656</v>
      </c>
      <c r="AC242" s="14">
        <v>6012220601</v>
      </c>
      <c r="AD242" s="14" t="s">
        <v>657</v>
      </c>
      <c r="AE242" s="82">
        <v>0</v>
      </c>
      <c r="AF242" s="82">
        <v>0</v>
      </c>
      <c r="AG242" s="82">
        <v>0</v>
      </c>
      <c r="AH242" s="82">
        <v>0</v>
      </c>
      <c r="AI242" s="82">
        <v>0</v>
      </c>
      <c r="AJ242" s="82">
        <v>0</v>
      </c>
      <c r="AK242" s="82">
        <v>0</v>
      </c>
      <c r="AL242" s="82">
        <v>0</v>
      </c>
      <c r="AM242" s="82">
        <v>47550000</v>
      </c>
      <c r="AN242" s="82">
        <v>0</v>
      </c>
      <c r="AO242" s="82">
        <v>0</v>
      </c>
      <c r="AP242" s="82">
        <v>0</v>
      </c>
      <c r="AQ242" s="82">
        <v>0</v>
      </c>
      <c r="AR242" s="82">
        <v>0</v>
      </c>
      <c r="AS242" s="82">
        <v>0</v>
      </c>
      <c r="AT242" s="82">
        <v>47550000</v>
      </c>
      <c r="AU242" s="82">
        <v>0</v>
      </c>
      <c r="AV242" s="82">
        <v>0</v>
      </c>
      <c r="AW242" s="82">
        <v>0</v>
      </c>
      <c r="AX242" s="82">
        <v>0</v>
      </c>
      <c r="AY242" s="82">
        <v>0</v>
      </c>
      <c r="AZ242" s="82">
        <v>0</v>
      </c>
      <c r="BA242" s="82">
        <v>0</v>
      </c>
      <c r="BB242" s="82">
        <v>0</v>
      </c>
      <c r="BC242" s="82">
        <f t="shared" ref="BC242:BD242" si="472">AE242+AG242+AI242+AK242+AM242+AO242+AQ242+AS242+AU242+AW242+AY242+BA242</f>
        <v>47550000</v>
      </c>
      <c r="BD242" s="82">
        <f t="shared" si="472"/>
        <v>47550000</v>
      </c>
      <c r="BE242" s="83">
        <f t="shared" si="1"/>
        <v>6600000</v>
      </c>
      <c r="BF242" s="83">
        <f t="shared" si="2"/>
        <v>6600000</v>
      </c>
      <c r="BG242" s="14" t="str">
        <f ca="1">IFERROR(__xludf.DUMMYFUNCTION("REGEXEXTRACT(O236,""^\S+\s(.+)$"")"),"Adquirir el servicio de licenciamiento de Office 365 usado en la entidad")</f>
        <v>Adquirir el servicio de licenciamiento de Office 365 usado en la entidad</v>
      </c>
      <c r="BH242" s="23">
        <v>0</v>
      </c>
      <c r="BI242" s="23">
        <v>0</v>
      </c>
      <c r="BJ242" s="23">
        <v>0</v>
      </c>
      <c r="BK242" s="23">
        <v>0</v>
      </c>
      <c r="BL242" s="23">
        <v>0</v>
      </c>
      <c r="BM242" s="23">
        <v>0</v>
      </c>
      <c r="BN242" s="23">
        <v>0</v>
      </c>
      <c r="BO242" s="23">
        <v>0</v>
      </c>
      <c r="BP242" s="23">
        <v>54150000</v>
      </c>
      <c r="BQ242" s="23">
        <v>0</v>
      </c>
      <c r="BR242" s="23">
        <v>0</v>
      </c>
      <c r="BS242" s="23">
        <v>0</v>
      </c>
      <c r="BT242" s="23">
        <v>0</v>
      </c>
      <c r="BU242" s="23">
        <v>0</v>
      </c>
      <c r="BV242" s="23">
        <v>0</v>
      </c>
      <c r="BW242" s="23">
        <v>54150000</v>
      </c>
      <c r="BX242" s="23">
        <v>0</v>
      </c>
      <c r="BY242" s="23">
        <v>0</v>
      </c>
      <c r="BZ242" s="23">
        <v>0</v>
      </c>
      <c r="CA242" s="23">
        <v>0</v>
      </c>
      <c r="CB242" s="23">
        <v>0</v>
      </c>
      <c r="CC242" s="23">
        <v>0</v>
      </c>
      <c r="CD242" s="23">
        <v>0</v>
      </c>
      <c r="CE242" s="23">
        <v>0</v>
      </c>
      <c r="CF242" s="28"/>
      <c r="CG242" s="28"/>
      <c r="CH242" s="25">
        <f t="shared" ref="CH242:CI242" si="473">BH242+BJ242+BL242+BN242+BP242+BR242+BT242+BV242+BX242+BZ242+CB242+CD242+CF242</f>
        <v>54150000</v>
      </c>
      <c r="CI242" s="25">
        <f t="shared" si="473"/>
        <v>54150000</v>
      </c>
      <c r="CJ242" s="26">
        <f t="shared" si="4"/>
        <v>0</v>
      </c>
      <c r="CK242" s="26">
        <f t="shared" si="5"/>
        <v>0</v>
      </c>
    </row>
    <row r="243" spans="1:89" ht="90" customHeight="1" x14ac:dyDescent="0.3">
      <c r="A243" s="13" t="s">
        <v>248</v>
      </c>
      <c r="B243" s="14" t="s">
        <v>20</v>
      </c>
      <c r="C243" s="15" t="s">
        <v>651</v>
      </c>
      <c r="D243" s="14" t="s">
        <v>67</v>
      </c>
      <c r="E243" s="13" t="s">
        <v>250</v>
      </c>
      <c r="F243" s="13" t="s">
        <v>250</v>
      </c>
      <c r="G243" s="14">
        <v>68</v>
      </c>
      <c r="H243" s="13" t="s">
        <v>803</v>
      </c>
      <c r="I243" s="15" t="s">
        <v>708</v>
      </c>
      <c r="J243" s="14" t="s">
        <v>25</v>
      </c>
      <c r="K243" s="15" t="s">
        <v>102</v>
      </c>
      <c r="L243" s="14" t="s">
        <v>804</v>
      </c>
      <c r="M243" s="14" t="s">
        <v>26</v>
      </c>
      <c r="N243" s="14" t="s">
        <v>770</v>
      </c>
      <c r="O243" s="15" t="s">
        <v>805</v>
      </c>
      <c r="P243" s="14" t="s">
        <v>774</v>
      </c>
      <c r="Q243" s="14" t="s">
        <v>774</v>
      </c>
      <c r="R243" s="14" t="s">
        <v>468</v>
      </c>
      <c r="S243" s="17">
        <v>12</v>
      </c>
      <c r="T243" s="14" t="s">
        <v>256</v>
      </c>
      <c r="U243" s="14" t="s">
        <v>474</v>
      </c>
      <c r="V243" s="14" t="s">
        <v>113</v>
      </c>
      <c r="W243" s="18">
        <v>182000000</v>
      </c>
      <c r="X243" s="18">
        <v>182000000</v>
      </c>
      <c r="Y243" s="19" t="s">
        <v>339</v>
      </c>
      <c r="Z243" s="19" t="s">
        <v>258</v>
      </c>
      <c r="AA243" s="14" t="s">
        <v>655</v>
      </c>
      <c r="AB243" s="14" t="s">
        <v>656</v>
      </c>
      <c r="AC243" s="14">
        <v>6012220601</v>
      </c>
      <c r="AD243" s="14" t="s">
        <v>657</v>
      </c>
      <c r="AE243" s="82">
        <v>0</v>
      </c>
      <c r="AF243" s="82">
        <v>0</v>
      </c>
      <c r="AG243" s="82">
        <v>0</v>
      </c>
      <c r="AH243" s="82">
        <v>0</v>
      </c>
      <c r="AI243" s="82">
        <v>0</v>
      </c>
      <c r="AJ243" s="82">
        <v>0</v>
      </c>
      <c r="AK243" s="82">
        <v>0</v>
      </c>
      <c r="AL243" s="82">
        <v>0</v>
      </c>
      <c r="AM243" s="82">
        <v>0</v>
      </c>
      <c r="AN243" s="82">
        <v>0</v>
      </c>
      <c r="AO243" s="82">
        <v>0</v>
      </c>
      <c r="AP243" s="82">
        <v>0</v>
      </c>
      <c r="AQ243" s="82">
        <v>0</v>
      </c>
      <c r="AR243" s="82">
        <v>0</v>
      </c>
      <c r="AS243" s="82">
        <v>0</v>
      </c>
      <c r="AT243" s="82">
        <v>0</v>
      </c>
      <c r="AU243" s="82">
        <v>0</v>
      </c>
      <c r="AV243" s="82">
        <v>0</v>
      </c>
      <c r="AW243" s="82">
        <v>0</v>
      </c>
      <c r="AX243" s="82">
        <v>0</v>
      </c>
      <c r="AY243" s="82">
        <v>182000000</v>
      </c>
      <c r="AZ243" s="82">
        <v>0</v>
      </c>
      <c r="BA243" s="82">
        <v>0</v>
      </c>
      <c r="BB243" s="82">
        <v>182000000</v>
      </c>
      <c r="BC243" s="82">
        <f t="shared" ref="BC243:BD243" si="474">AE243+AG243+AI243+AK243+AM243+AO243+AQ243+AS243+AU243+AW243+AY243+BA243</f>
        <v>182000000</v>
      </c>
      <c r="BD243" s="82">
        <f t="shared" si="474"/>
        <v>182000000</v>
      </c>
      <c r="BE243" s="83">
        <f t="shared" si="1"/>
        <v>0</v>
      </c>
      <c r="BF243" s="83">
        <f t="shared" si="2"/>
        <v>0</v>
      </c>
      <c r="BG243" s="14" t="str">
        <f ca="1">IFERROR(__xludf.DUMMYFUNCTION("REGEXEXTRACT(O237,""^\S+\s(.+)$"")"),"Adquirir el licenciamiento de la solución con la que cuenta la UPME para la protección del correo electrónico, de la red de comunicaciones, y la integración con el Firewall Palo Alto")</f>
        <v>Adquirir el licenciamiento de la solución con la que cuenta la UPME para la protección del correo electrónico, de la red de comunicaciones, y la integración con el Firewall Palo Alto</v>
      </c>
      <c r="BH243" s="23"/>
      <c r="BI243" s="23"/>
      <c r="BJ243" s="23"/>
      <c r="BK243" s="23"/>
      <c r="BL243" s="23"/>
      <c r="BM243" s="23"/>
      <c r="BN243" s="23"/>
      <c r="BO243" s="23"/>
      <c r="BP243" s="23"/>
      <c r="BQ243" s="23"/>
      <c r="BR243" s="23"/>
      <c r="BS243" s="23"/>
      <c r="BT243" s="23"/>
      <c r="BU243" s="23"/>
      <c r="BV243" s="23"/>
      <c r="BW243" s="23"/>
      <c r="BX243" s="23"/>
      <c r="BY243" s="23"/>
      <c r="BZ243" s="23"/>
      <c r="CA243" s="23"/>
      <c r="CB243" s="23">
        <v>182000000</v>
      </c>
      <c r="CC243" s="23"/>
      <c r="CD243" s="23"/>
      <c r="CE243" s="23">
        <v>182000000</v>
      </c>
      <c r="CF243" s="28"/>
      <c r="CG243" s="28"/>
      <c r="CH243" s="25">
        <f t="shared" ref="CH243:CI243" si="475">BH243+BJ243+BL243+BN243+BP243+BR243+BT243+BV243+BX243+BZ243+CB243+CD243+CF243</f>
        <v>182000000</v>
      </c>
      <c r="CI243" s="25">
        <f t="shared" si="475"/>
        <v>182000000</v>
      </c>
      <c r="CJ243" s="26">
        <f t="shared" si="4"/>
        <v>0</v>
      </c>
      <c r="CK243" s="26">
        <f t="shared" si="5"/>
        <v>0</v>
      </c>
    </row>
    <row r="244" spans="1:89" ht="90" customHeight="1" x14ac:dyDescent="0.3">
      <c r="A244" s="13" t="s">
        <v>248</v>
      </c>
      <c r="B244" s="14" t="s">
        <v>20</v>
      </c>
      <c r="C244" s="15" t="s">
        <v>651</v>
      </c>
      <c r="D244" s="14" t="s">
        <v>67</v>
      </c>
      <c r="E244" s="13" t="s">
        <v>250</v>
      </c>
      <c r="F244" s="13" t="s">
        <v>250</v>
      </c>
      <c r="G244" s="14">
        <v>68</v>
      </c>
      <c r="H244" s="13" t="s">
        <v>806</v>
      </c>
      <c r="I244" s="15" t="s">
        <v>708</v>
      </c>
      <c r="J244" s="14" t="s">
        <v>25</v>
      </c>
      <c r="K244" s="15" t="s">
        <v>102</v>
      </c>
      <c r="L244" s="14" t="s">
        <v>807</v>
      </c>
      <c r="M244" s="14" t="s">
        <v>26</v>
      </c>
      <c r="N244" s="14" t="s">
        <v>770</v>
      </c>
      <c r="O244" s="15" t="s">
        <v>808</v>
      </c>
      <c r="P244" s="14" t="s">
        <v>549</v>
      </c>
      <c r="Q244" s="14" t="s">
        <v>549</v>
      </c>
      <c r="R244" s="14" t="s">
        <v>280</v>
      </c>
      <c r="S244" s="17">
        <v>12</v>
      </c>
      <c r="T244" s="14" t="s">
        <v>256</v>
      </c>
      <c r="U244" s="14" t="s">
        <v>474</v>
      </c>
      <c r="V244" s="14" t="s">
        <v>113</v>
      </c>
      <c r="W244" s="18">
        <v>40000000</v>
      </c>
      <c r="X244" s="18">
        <v>40000000</v>
      </c>
      <c r="Y244" s="19" t="s">
        <v>339</v>
      </c>
      <c r="Z244" s="19" t="s">
        <v>258</v>
      </c>
      <c r="AA244" s="14" t="s">
        <v>655</v>
      </c>
      <c r="AB244" s="14" t="s">
        <v>656</v>
      </c>
      <c r="AC244" s="14">
        <v>6012220601</v>
      </c>
      <c r="AD244" s="14" t="s">
        <v>657</v>
      </c>
      <c r="AE244" s="82">
        <v>0</v>
      </c>
      <c r="AF244" s="82">
        <v>0</v>
      </c>
      <c r="AG244" s="82">
        <v>0</v>
      </c>
      <c r="AH244" s="82">
        <v>0</v>
      </c>
      <c r="AI244" s="82">
        <v>0</v>
      </c>
      <c r="AJ244" s="82">
        <v>0</v>
      </c>
      <c r="AK244" s="82">
        <v>40000000</v>
      </c>
      <c r="AL244" s="82">
        <v>0</v>
      </c>
      <c r="AM244" s="82">
        <v>0</v>
      </c>
      <c r="AN244" s="82">
        <v>0</v>
      </c>
      <c r="AO244" s="82">
        <v>0</v>
      </c>
      <c r="AP244" s="82">
        <v>0</v>
      </c>
      <c r="AQ244" s="82">
        <v>0</v>
      </c>
      <c r="AR244" s="82">
        <v>0</v>
      </c>
      <c r="AS244" s="82">
        <v>0</v>
      </c>
      <c r="AT244" s="82">
        <v>0</v>
      </c>
      <c r="AU244" s="82">
        <v>0</v>
      </c>
      <c r="AV244" s="82">
        <v>0</v>
      </c>
      <c r="AW244" s="82">
        <v>0</v>
      </c>
      <c r="AX244" s="82">
        <v>40000000</v>
      </c>
      <c r="AY244" s="82">
        <v>0</v>
      </c>
      <c r="AZ244" s="82">
        <v>0</v>
      </c>
      <c r="BA244" s="82">
        <v>0</v>
      </c>
      <c r="BB244" s="82">
        <v>0</v>
      </c>
      <c r="BC244" s="82">
        <f t="shared" ref="BC244:BD244" si="476">AE244+AG244+AI244+AK244+AM244+AO244+AQ244+AS244+AU244+AW244+AY244+BA244</f>
        <v>40000000</v>
      </c>
      <c r="BD244" s="82">
        <f t="shared" si="476"/>
        <v>40000000</v>
      </c>
      <c r="BE244" s="83">
        <f t="shared" si="1"/>
        <v>0</v>
      </c>
      <c r="BF244" s="83">
        <f t="shared" si="2"/>
        <v>0</v>
      </c>
      <c r="BG244" s="14" t="str">
        <f ca="1">IFERROR(__xludf.DUMMYFUNCTION("REGEXEXTRACT(O238,""^\S+\s(.+)$"")"),"Contratar la solución de Security Gateway Edge para fortalecer la infraestructura de seguridad de la Entidad, con capacidades avanzadas que incluyen balanceo de servicios con DRP, firewall de aplicaciones avanzado, protección antibot, y mecanismos efectiv"&amp;"os contra diversos vectores de ataque como inyecciones SQL, Cross-Site Scripting (XSS), Cross-Site Request Forgery (CSRF), Botnet y ataques DDoS")</f>
        <v>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v>
      </c>
      <c r="BH244" s="23"/>
      <c r="BI244" s="23"/>
      <c r="BJ244" s="23"/>
      <c r="BK244" s="23"/>
      <c r="BL244" s="23"/>
      <c r="BM244" s="23"/>
      <c r="BN244" s="23">
        <v>40000000</v>
      </c>
      <c r="BO244" s="23"/>
      <c r="BP244" s="23"/>
      <c r="BQ244" s="23"/>
      <c r="BR244" s="23"/>
      <c r="BS244" s="23"/>
      <c r="BT244" s="23"/>
      <c r="BU244" s="23"/>
      <c r="BV244" s="23"/>
      <c r="BW244" s="23"/>
      <c r="BX244" s="23"/>
      <c r="BY244" s="23"/>
      <c r="BZ244" s="23"/>
      <c r="CA244" s="23">
        <v>40000000</v>
      </c>
      <c r="CB244" s="23"/>
      <c r="CC244" s="23"/>
      <c r="CD244" s="23"/>
      <c r="CE244" s="23"/>
      <c r="CF244" s="28"/>
      <c r="CG244" s="28"/>
      <c r="CH244" s="25">
        <f t="shared" ref="CH244:CI244" si="477">BH244+BJ244+BL244+BN244+BP244+BR244+BT244+BV244+BX244+BZ244+CB244+CD244+CF244</f>
        <v>40000000</v>
      </c>
      <c r="CI244" s="25">
        <f t="shared" si="477"/>
        <v>40000000</v>
      </c>
      <c r="CJ244" s="26">
        <f t="shared" si="4"/>
        <v>0</v>
      </c>
      <c r="CK244" s="26">
        <f t="shared" si="5"/>
        <v>0</v>
      </c>
    </row>
    <row r="245" spans="1:89" ht="90" customHeight="1" x14ac:dyDescent="0.3">
      <c r="A245" s="13" t="s">
        <v>248</v>
      </c>
      <c r="B245" s="14" t="s">
        <v>20</v>
      </c>
      <c r="C245" s="15" t="s">
        <v>651</v>
      </c>
      <c r="D245" s="14" t="s">
        <v>67</v>
      </c>
      <c r="E245" s="13" t="s">
        <v>250</v>
      </c>
      <c r="F245" s="13" t="s">
        <v>250</v>
      </c>
      <c r="G245" s="14">
        <v>68</v>
      </c>
      <c r="H245" s="13" t="s">
        <v>809</v>
      </c>
      <c r="I245" s="15" t="s">
        <v>653</v>
      </c>
      <c r="J245" s="14" t="s">
        <v>23</v>
      </c>
      <c r="K245" s="15" t="s">
        <v>100</v>
      </c>
      <c r="L245" s="14" t="s">
        <v>807</v>
      </c>
      <c r="M245" s="14" t="s">
        <v>24</v>
      </c>
      <c r="N245" s="14" t="s">
        <v>770</v>
      </c>
      <c r="O245" s="15" t="s">
        <v>810</v>
      </c>
      <c r="P245" s="14" t="s">
        <v>549</v>
      </c>
      <c r="Q245" s="14" t="s">
        <v>549</v>
      </c>
      <c r="R245" s="14" t="s">
        <v>280</v>
      </c>
      <c r="S245" s="17">
        <v>12</v>
      </c>
      <c r="T245" s="14" t="s">
        <v>256</v>
      </c>
      <c r="U245" s="14" t="s">
        <v>474</v>
      </c>
      <c r="V245" s="14" t="s">
        <v>113</v>
      </c>
      <c r="W245" s="18">
        <v>160000000</v>
      </c>
      <c r="X245" s="18">
        <v>160000000</v>
      </c>
      <c r="Y245" s="19" t="s">
        <v>339</v>
      </c>
      <c r="Z245" s="19" t="s">
        <v>258</v>
      </c>
      <c r="AA245" s="14" t="s">
        <v>655</v>
      </c>
      <c r="AB245" s="14" t="s">
        <v>656</v>
      </c>
      <c r="AC245" s="14">
        <v>6012220601</v>
      </c>
      <c r="AD245" s="14" t="s">
        <v>657</v>
      </c>
      <c r="AE245" s="82">
        <v>0</v>
      </c>
      <c r="AF245" s="82">
        <v>0</v>
      </c>
      <c r="AG245" s="82">
        <v>0</v>
      </c>
      <c r="AH245" s="82">
        <v>0</v>
      </c>
      <c r="AI245" s="82">
        <v>0</v>
      </c>
      <c r="AJ245" s="82">
        <v>0</v>
      </c>
      <c r="AK245" s="82">
        <v>160000000</v>
      </c>
      <c r="AL245" s="82">
        <v>0</v>
      </c>
      <c r="AM245" s="82">
        <v>0</v>
      </c>
      <c r="AN245" s="82">
        <v>0</v>
      </c>
      <c r="AO245" s="82">
        <v>0</v>
      </c>
      <c r="AP245" s="82">
        <v>0</v>
      </c>
      <c r="AQ245" s="82">
        <v>0</v>
      </c>
      <c r="AR245" s="82">
        <v>0</v>
      </c>
      <c r="AS245" s="82">
        <v>0</v>
      </c>
      <c r="AT245" s="82">
        <v>0</v>
      </c>
      <c r="AU245" s="82">
        <v>0</v>
      </c>
      <c r="AV245" s="82">
        <v>0</v>
      </c>
      <c r="AW245" s="82">
        <v>0</v>
      </c>
      <c r="AX245" s="82">
        <v>160000000</v>
      </c>
      <c r="AY245" s="82">
        <v>0</v>
      </c>
      <c r="AZ245" s="82">
        <v>0</v>
      </c>
      <c r="BA245" s="82">
        <v>0</v>
      </c>
      <c r="BB245" s="82">
        <v>0</v>
      </c>
      <c r="BC245" s="82">
        <f t="shared" ref="BC245:BD245" si="478">AE245+AG245+AI245+AK245+AM245+AO245+AQ245+AS245+AU245+AW245+AY245+BA245</f>
        <v>160000000</v>
      </c>
      <c r="BD245" s="82">
        <f t="shared" si="478"/>
        <v>160000000</v>
      </c>
      <c r="BE245" s="83">
        <f t="shared" si="1"/>
        <v>0</v>
      </c>
      <c r="BF245" s="83">
        <f t="shared" si="2"/>
        <v>0</v>
      </c>
      <c r="BG245" s="14" t="str">
        <f ca="1">IFERROR(__xludf.DUMMYFUNCTION("REGEXEXTRACT(O239,""^\S+\s(.+)$"")"),"Contratar la solución de Security Gateway Edge para fortalecer la infraestructura de seguridad de la Entidad, con capacidades avanzadas que incluyen balanceo de servicios con DRP, firewall de aplicaciones avanzado, protección antibot, y mecanismos efectiv"&amp;"os contra diversos vectores de ataque como inyecciones SQL, Cross-Site Scripting (XSS), Cross-Site Request Forgery (CSRF), Botnet y ataques DDoS")</f>
        <v>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v>
      </c>
      <c r="BH245" s="23"/>
      <c r="BI245" s="23"/>
      <c r="BJ245" s="23"/>
      <c r="BK245" s="23"/>
      <c r="BL245" s="23"/>
      <c r="BM245" s="23"/>
      <c r="BN245" s="23">
        <v>160000000</v>
      </c>
      <c r="BO245" s="23"/>
      <c r="BP245" s="23"/>
      <c r="BQ245" s="23"/>
      <c r="BR245" s="23"/>
      <c r="BS245" s="23"/>
      <c r="BT245" s="23"/>
      <c r="BU245" s="23"/>
      <c r="BV245" s="23"/>
      <c r="BW245" s="23"/>
      <c r="BX245" s="23"/>
      <c r="BY245" s="23"/>
      <c r="BZ245" s="23"/>
      <c r="CA245" s="23">
        <v>160000000</v>
      </c>
      <c r="CB245" s="23"/>
      <c r="CC245" s="23"/>
      <c r="CD245" s="23"/>
      <c r="CE245" s="23"/>
      <c r="CF245" s="28"/>
      <c r="CG245" s="28"/>
      <c r="CH245" s="25">
        <f t="shared" ref="CH245:CI245" si="479">BH245+BJ245+BL245+BN245+BP245+BR245+BT245+BV245+BX245+BZ245+CB245+CD245+CF245</f>
        <v>160000000</v>
      </c>
      <c r="CI245" s="25">
        <f t="shared" si="479"/>
        <v>160000000</v>
      </c>
      <c r="CJ245" s="26">
        <f t="shared" si="4"/>
        <v>0</v>
      </c>
      <c r="CK245" s="26">
        <f t="shared" si="5"/>
        <v>0</v>
      </c>
    </row>
    <row r="246" spans="1:89" ht="90" customHeight="1" x14ac:dyDescent="0.3">
      <c r="A246" s="13" t="s">
        <v>248</v>
      </c>
      <c r="B246" s="14" t="s">
        <v>20</v>
      </c>
      <c r="C246" s="15" t="s">
        <v>651</v>
      </c>
      <c r="D246" s="14" t="s">
        <v>67</v>
      </c>
      <c r="E246" s="13" t="s">
        <v>250</v>
      </c>
      <c r="F246" s="13" t="s">
        <v>250</v>
      </c>
      <c r="G246" s="14">
        <v>20</v>
      </c>
      <c r="H246" s="13" t="s">
        <v>811</v>
      </c>
      <c r="I246" s="15" t="s">
        <v>708</v>
      </c>
      <c r="J246" s="14" t="s">
        <v>25</v>
      </c>
      <c r="K246" s="15" t="s">
        <v>102</v>
      </c>
      <c r="L246" s="14" t="s">
        <v>812</v>
      </c>
      <c r="M246" s="14" t="s">
        <v>26</v>
      </c>
      <c r="N246" s="14" t="s">
        <v>770</v>
      </c>
      <c r="O246" s="15" t="s">
        <v>813</v>
      </c>
      <c r="P246" s="14" t="s">
        <v>549</v>
      </c>
      <c r="Q246" s="14" t="s">
        <v>549</v>
      </c>
      <c r="R246" s="14" t="s">
        <v>281</v>
      </c>
      <c r="S246" s="17">
        <v>12</v>
      </c>
      <c r="T246" s="14" t="s">
        <v>256</v>
      </c>
      <c r="U246" s="14" t="s">
        <v>282</v>
      </c>
      <c r="V246" s="14" t="s">
        <v>113</v>
      </c>
      <c r="W246" s="18">
        <v>6300000</v>
      </c>
      <c r="X246" s="18">
        <v>6300000</v>
      </c>
      <c r="Y246" s="19" t="s">
        <v>339</v>
      </c>
      <c r="Z246" s="19" t="s">
        <v>258</v>
      </c>
      <c r="AA246" s="14" t="s">
        <v>655</v>
      </c>
      <c r="AB246" s="14" t="s">
        <v>656</v>
      </c>
      <c r="AC246" s="14">
        <v>6012220601</v>
      </c>
      <c r="AD246" s="14" t="s">
        <v>657</v>
      </c>
      <c r="AE246" s="82">
        <v>0</v>
      </c>
      <c r="AF246" s="82">
        <v>0</v>
      </c>
      <c r="AG246" s="82">
        <v>0</v>
      </c>
      <c r="AH246" s="82">
        <v>0</v>
      </c>
      <c r="AI246" s="82">
        <v>0</v>
      </c>
      <c r="AJ246" s="82">
        <v>0</v>
      </c>
      <c r="AK246" s="82">
        <v>0</v>
      </c>
      <c r="AL246" s="82">
        <v>0</v>
      </c>
      <c r="AM246" s="82">
        <v>5000000</v>
      </c>
      <c r="AN246" s="82">
        <v>0</v>
      </c>
      <c r="AO246" s="82">
        <v>0</v>
      </c>
      <c r="AP246" s="82">
        <v>0</v>
      </c>
      <c r="AQ246" s="82">
        <v>0</v>
      </c>
      <c r="AR246" s="82">
        <v>0</v>
      </c>
      <c r="AS246" s="82">
        <v>0</v>
      </c>
      <c r="AT246" s="82">
        <v>0</v>
      </c>
      <c r="AU246" s="82">
        <v>0</v>
      </c>
      <c r="AV246" s="82">
        <v>5000000</v>
      </c>
      <c r="AW246" s="82">
        <v>0</v>
      </c>
      <c r="AX246" s="82">
        <v>0</v>
      </c>
      <c r="AY246" s="82">
        <v>0</v>
      </c>
      <c r="AZ246" s="82">
        <v>0</v>
      </c>
      <c r="BA246" s="82">
        <v>0</v>
      </c>
      <c r="BB246" s="82">
        <v>0</v>
      </c>
      <c r="BC246" s="82">
        <f t="shared" ref="BC246:BD246" si="480">AE246+AG246+AI246+AK246+AM246+AO246+AQ246+AS246+AU246+AW246+AY246+BA246</f>
        <v>5000000</v>
      </c>
      <c r="BD246" s="82">
        <f t="shared" si="480"/>
        <v>5000000</v>
      </c>
      <c r="BE246" s="83">
        <f t="shared" si="1"/>
        <v>1300000</v>
      </c>
      <c r="BF246" s="83">
        <f t="shared" si="2"/>
        <v>1300000</v>
      </c>
      <c r="BG246" s="14" t="str">
        <f ca="1">IFERROR(__xludf.DUMMYFUNCTION("REGEXEXTRACT(O240,""^\S+\s(.+)$"")"),"Adquirir la suscripción de Power BI para la visualización de datos de la entidad")</f>
        <v>Adquirir la suscripción de Power BI para la visualización de datos de la entidad</v>
      </c>
      <c r="BH246" s="23">
        <v>0</v>
      </c>
      <c r="BI246" s="23">
        <v>0</v>
      </c>
      <c r="BJ246" s="23">
        <v>0</v>
      </c>
      <c r="BK246" s="23">
        <v>0</v>
      </c>
      <c r="BL246" s="23">
        <v>0</v>
      </c>
      <c r="BM246" s="23">
        <v>0</v>
      </c>
      <c r="BN246" s="23">
        <v>0</v>
      </c>
      <c r="BO246" s="23">
        <v>0</v>
      </c>
      <c r="BP246" s="23">
        <v>6300000</v>
      </c>
      <c r="BQ246" s="23">
        <v>0</v>
      </c>
      <c r="BR246" s="23">
        <v>0</v>
      </c>
      <c r="BS246" s="23">
        <v>0</v>
      </c>
      <c r="BT246" s="23">
        <v>0</v>
      </c>
      <c r="BU246" s="23">
        <v>0</v>
      </c>
      <c r="BV246" s="23">
        <v>0</v>
      </c>
      <c r="BW246" s="23">
        <v>0</v>
      </c>
      <c r="BX246" s="23">
        <v>0</v>
      </c>
      <c r="BY246" s="23">
        <v>0</v>
      </c>
      <c r="BZ246" s="23">
        <v>0</v>
      </c>
      <c r="CA246" s="23">
        <v>0</v>
      </c>
      <c r="CB246" s="23">
        <v>0</v>
      </c>
      <c r="CC246" s="23">
        <v>0</v>
      </c>
      <c r="CD246" s="23">
        <v>0</v>
      </c>
      <c r="CE246" s="23">
        <v>6300000</v>
      </c>
      <c r="CF246" s="28"/>
      <c r="CG246" s="28"/>
      <c r="CH246" s="25">
        <f t="shared" ref="CH246:CI246" si="481">BH246+BJ246+BL246+BN246+BP246+BR246+BT246+BV246+BX246+BZ246+CB246+CD246+CF246</f>
        <v>6300000</v>
      </c>
      <c r="CI246" s="25">
        <f t="shared" si="481"/>
        <v>6300000</v>
      </c>
      <c r="CJ246" s="26">
        <f t="shared" si="4"/>
        <v>0</v>
      </c>
      <c r="CK246" s="26">
        <f t="shared" si="5"/>
        <v>0</v>
      </c>
    </row>
    <row r="247" spans="1:89" ht="90" customHeight="1" x14ac:dyDescent="0.3">
      <c r="A247" s="13" t="s">
        <v>248</v>
      </c>
      <c r="B247" s="14" t="s">
        <v>20</v>
      </c>
      <c r="C247" s="15" t="s">
        <v>651</v>
      </c>
      <c r="D247" s="14" t="s">
        <v>67</v>
      </c>
      <c r="E247" s="13" t="s">
        <v>250</v>
      </c>
      <c r="F247" s="13" t="s">
        <v>250</v>
      </c>
      <c r="G247" s="14">
        <v>68</v>
      </c>
      <c r="H247" s="13" t="s">
        <v>814</v>
      </c>
      <c r="I247" s="15" t="s">
        <v>708</v>
      </c>
      <c r="J247" s="14" t="s">
        <v>25</v>
      </c>
      <c r="K247" s="15" t="s">
        <v>102</v>
      </c>
      <c r="L247" s="14">
        <v>81111801</v>
      </c>
      <c r="M247" s="14" t="s">
        <v>26</v>
      </c>
      <c r="N247" s="14" t="s">
        <v>770</v>
      </c>
      <c r="O247" s="15" t="s">
        <v>815</v>
      </c>
      <c r="P247" s="14" t="s">
        <v>774</v>
      </c>
      <c r="Q247" s="14" t="s">
        <v>774</v>
      </c>
      <c r="R247" s="14" t="s">
        <v>468</v>
      </c>
      <c r="S247" s="17">
        <v>12</v>
      </c>
      <c r="T247" s="14" t="s">
        <v>256</v>
      </c>
      <c r="U247" s="14" t="s">
        <v>474</v>
      </c>
      <c r="V247" s="14" t="s">
        <v>113</v>
      </c>
      <c r="W247" s="18">
        <v>35000000</v>
      </c>
      <c r="X247" s="18">
        <v>35000000</v>
      </c>
      <c r="Y247" s="19" t="s">
        <v>339</v>
      </c>
      <c r="Z247" s="19" t="s">
        <v>258</v>
      </c>
      <c r="AA247" s="14" t="s">
        <v>655</v>
      </c>
      <c r="AB247" s="14" t="s">
        <v>656</v>
      </c>
      <c r="AC247" s="14">
        <v>6012220601</v>
      </c>
      <c r="AD247" s="14" t="s">
        <v>657</v>
      </c>
      <c r="AE247" s="82">
        <v>0</v>
      </c>
      <c r="AF247" s="82">
        <v>0</v>
      </c>
      <c r="AG247" s="82">
        <v>0</v>
      </c>
      <c r="AH247" s="82">
        <v>0</v>
      </c>
      <c r="AI247" s="82">
        <v>0</v>
      </c>
      <c r="AJ247" s="82">
        <v>0</v>
      </c>
      <c r="AK247" s="82">
        <v>0</v>
      </c>
      <c r="AL247" s="82">
        <v>0</v>
      </c>
      <c r="AM247" s="82">
        <v>0</v>
      </c>
      <c r="AN247" s="82">
        <v>0</v>
      </c>
      <c r="AO247" s="82">
        <v>0</v>
      </c>
      <c r="AP247" s="82">
        <v>0</v>
      </c>
      <c r="AQ247" s="82">
        <v>0</v>
      </c>
      <c r="AR247" s="82">
        <v>0</v>
      </c>
      <c r="AS247" s="82">
        <v>0</v>
      </c>
      <c r="AT247" s="82">
        <v>0</v>
      </c>
      <c r="AU247" s="82">
        <v>0</v>
      </c>
      <c r="AV247" s="82">
        <v>0</v>
      </c>
      <c r="AW247" s="82">
        <v>0</v>
      </c>
      <c r="AX247" s="82">
        <v>0</v>
      </c>
      <c r="AY247" s="82">
        <v>35000000</v>
      </c>
      <c r="AZ247" s="82">
        <v>0</v>
      </c>
      <c r="BA247" s="82">
        <v>0</v>
      </c>
      <c r="BB247" s="82">
        <v>35000000</v>
      </c>
      <c r="BC247" s="82">
        <f t="shared" ref="BC247:BD247" si="482">AE247+AG247+AI247+AK247+AM247+AO247+AQ247+AS247+AU247+AW247+AY247+BA247</f>
        <v>35000000</v>
      </c>
      <c r="BD247" s="82">
        <f t="shared" si="482"/>
        <v>35000000</v>
      </c>
      <c r="BE247" s="83">
        <f t="shared" si="1"/>
        <v>0</v>
      </c>
      <c r="BF247" s="83">
        <f t="shared" si="2"/>
        <v>0</v>
      </c>
      <c r="BG247" s="14" t="str">
        <f ca="1">IFERROR(__xludf.DUMMYFUNCTION("REGEXEXTRACT(O241,""^\S+\s(.+)$"")"),"Adquirir 150 licencias de Vicarius, una solución avanzada de gestión de vulnerabilidades y parches diseñada para mejorar la seguridad y la gestión de riesgos en la infraestructura de TI de la entidad.")</f>
        <v>Adquirir 150 licencias de Vicarius, una solución avanzada de gestión de vulnerabilidades y parches diseñada para mejorar la seguridad y la gestión de riesgos en la infraestructura de TI de la entidad.</v>
      </c>
      <c r="BH247" s="23"/>
      <c r="BI247" s="23"/>
      <c r="BJ247" s="23"/>
      <c r="BK247" s="23"/>
      <c r="BL247" s="23"/>
      <c r="BM247" s="23"/>
      <c r="BN247" s="23"/>
      <c r="BO247" s="23"/>
      <c r="BP247" s="23"/>
      <c r="BQ247" s="23"/>
      <c r="BR247" s="23"/>
      <c r="BS247" s="23"/>
      <c r="BT247" s="23"/>
      <c r="BU247" s="23"/>
      <c r="BV247" s="23"/>
      <c r="BW247" s="23"/>
      <c r="BX247" s="23"/>
      <c r="BY247" s="23"/>
      <c r="BZ247" s="23"/>
      <c r="CA247" s="23"/>
      <c r="CB247" s="23">
        <v>35000000</v>
      </c>
      <c r="CC247" s="23"/>
      <c r="CD247" s="23"/>
      <c r="CE247" s="23">
        <v>35000000</v>
      </c>
      <c r="CF247" s="28"/>
      <c r="CG247" s="28"/>
      <c r="CH247" s="25">
        <f t="shared" ref="CH247:CI247" si="483">BH247+BJ247+BL247+BN247+BP247+BR247+BT247+BV247+BX247+BZ247+CB247+CD247+CF247</f>
        <v>35000000</v>
      </c>
      <c r="CI247" s="25">
        <f t="shared" si="483"/>
        <v>35000000</v>
      </c>
      <c r="CJ247" s="26">
        <f t="shared" si="4"/>
        <v>0</v>
      </c>
      <c r="CK247" s="26">
        <f t="shared" si="5"/>
        <v>0</v>
      </c>
    </row>
    <row r="248" spans="1:89" ht="90" customHeight="1" x14ac:dyDescent="0.3">
      <c r="A248" s="13" t="s">
        <v>248</v>
      </c>
      <c r="B248" s="14" t="s">
        <v>20</v>
      </c>
      <c r="C248" s="15" t="s">
        <v>651</v>
      </c>
      <c r="D248" s="14" t="s">
        <v>67</v>
      </c>
      <c r="E248" s="13" t="s">
        <v>250</v>
      </c>
      <c r="F248" s="13" t="s">
        <v>250</v>
      </c>
      <c r="G248" s="14">
        <v>68</v>
      </c>
      <c r="H248" s="13" t="s">
        <v>816</v>
      </c>
      <c r="I248" s="15" t="s">
        <v>653</v>
      </c>
      <c r="J248" s="14" t="s">
        <v>23</v>
      </c>
      <c r="K248" s="15" t="s">
        <v>100</v>
      </c>
      <c r="L248" s="14" t="s">
        <v>817</v>
      </c>
      <c r="M248" s="14" t="s">
        <v>24</v>
      </c>
      <c r="N248" s="14" t="s">
        <v>770</v>
      </c>
      <c r="O248" s="15" t="s">
        <v>818</v>
      </c>
      <c r="P248" s="14" t="s">
        <v>281</v>
      </c>
      <c r="Q248" s="14" t="s">
        <v>281</v>
      </c>
      <c r="R248" s="14" t="s">
        <v>774</v>
      </c>
      <c r="S248" s="17">
        <v>12</v>
      </c>
      <c r="T248" s="14" t="s">
        <v>256</v>
      </c>
      <c r="U248" s="14" t="s">
        <v>474</v>
      </c>
      <c r="V248" s="14" t="s">
        <v>112</v>
      </c>
      <c r="W248" s="18">
        <v>150000000</v>
      </c>
      <c r="X248" s="18">
        <v>150000000</v>
      </c>
      <c r="Y248" s="19" t="s">
        <v>339</v>
      </c>
      <c r="Z248" s="19" t="s">
        <v>258</v>
      </c>
      <c r="AA248" s="14" t="s">
        <v>655</v>
      </c>
      <c r="AB248" s="14" t="s">
        <v>656</v>
      </c>
      <c r="AC248" s="14">
        <v>6012220601</v>
      </c>
      <c r="AD248" s="14" t="s">
        <v>657</v>
      </c>
      <c r="AE248" s="82">
        <v>0</v>
      </c>
      <c r="AF248" s="82">
        <v>0</v>
      </c>
      <c r="AG248" s="82">
        <v>0</v>
      </c>
      <c r="AH248" s="82">
        <v>0</v>
      </c>
      <c r="AI248" s="82">
        <v>0</v>
      </c>
      <c r="AJ248" s="82">
        <v>0</v>
      </c>
      <c r="AK248" s="82">
        <v>0</v>
      </c>
      <c r="AL248" s="82">
        <v>0</v>
      </c>
      <c r="AM248" s="82">
        <v>0</v>
      </c>
      <c r="AN248" s="82">
        <v>0</v>
      </c>
      <c r="AO248" s="82">
        <v>0</v>
      </c>
      <c r="AP248" s="82">
        <v>0</v>
      </c>
      <c r="AQ248" s="82">
        <v>0</v>
      </c>
      <c r="AR248" s="82">
        <v>0</v>
      </c>
      <c r="AS248" s="82">
        <v>150000000</v>
      </c>
      <c r="AT248" s="82">
        <v>0</v>
      </c>
      <c r="AU248" s="82">
        <v>0</v>
      </c>
      <c r="AV248" s="82">
        <v>0</v>
      </c>
      <c r="AW248" s="82">
        <v>0</v>
      </c>
      <c r="AX248" s="82">
        <v>0</v>
      </c>
      <c r="AY248" s="82">
        <v>0</v>
      </c>
      <c r="AZ248" s="82">
        <v>0</v>
      </c>
      <c r="BA248" s="82">
        <v>0</v>
      </c>
      <c r="BB248" s="82">
        <v>150000000</v>
      </c>
      <c r="BC248" s="82">
        <f t="shared" ref="BC248:BD248" si="484">AE248+AG248+AI248+AK248+AM248+AO248+AQ248+AS248+AU248+AW248+AY248+BA248</f>
        <v>150000000</v>
      </c>
      <c r="BD248" s="82">
        <f t="shared" si="484"/>
        <v>150000000</v>
      </c>
      <c r="BE248" s="83">
        <f t="shared" si="1"/>
        <v>0</v>
      </c>
      <c r="BF248" s="83">
        <f t="shared" si="2"/>
        <v>0</v>
      </c>
      <c r="BG248" s="14" t="str">
        <f ca="1">IFERROR(__xludf.DUMMYFUNCTION("REGEXEXTRACT(O242,""^\S+\s(.+)$"")"),"Adquirir el licenciamiento de gestión de bases de datos Microsoft SQL Server Standard Edition, para optimizar el rendimiento y la seguridad de la infraestructura de datos de la Unidad de Planeación Minero Energética (UPME).")</f>
        <v>Adquirir el licenciamiento de gestión de bases de datos Microsoft SQL Server Standard Edition, para optimizar el rendimiento y la seguridad de la infraestructura de datos de la Unidad de Planeación Minero Energética (UPME).</v>
      </c>
      <c r="BH248" s="23"/>
      <c r="BI248" s="23"/>
      <c r="BJ248" s="23"/>
      <c r="BK248" s="23"/>
      <c r="BL248" s="23"/>
      <c r="BM248" s="23"/>
      <c r="BN248" s="23"/>
      <c r="BO248" s="23"/>
      <c r="BP248" s="23"/>
      <c r="BQ248" s="23"/>
      <c r="BR248" s="23"/>
      <c r="BS248" s="23"/>
      <c r="BT248" s="23"/>
      <c r="BU248" s="23"/>
      <c r="BV248" s="23">
        <v>150000000</v>
      </c>
      <c r="BW248" s="23"/>
      <c r="BX248" s="23"/>
      <c r="BY248" s="23"/>
      <c r="BZ248" s="23"/>
      <c r="CA248" s="23"/>
      <c r="CB248" s="23"/>
      <c r="CC248" s="23"/>
      <c r="CD248" s="23"/>
      <c r="CE248" s="23">
        <v>150000000</v>
      </c>
      <c r="CF248" s="28"/>
      <c r="CG248" s="28"/>
      <c r="CH248" s="25">
        <f t="shared" ref="CH248:CI248" si="485">BH248+BJ248+BL248+BN248+BP248+BR248+BT248+BV248+BX248+BZ248+CB248+CD248+CF248</f>
        <v>150000000</v>
      </c>
      <c r="CI248" s="25">
        <f t="shared" si="485"/>
        <v>150000000</v>
      </c>
      <c r="CJ248" s="26">
        <f t="shared" si="4"/>
        <v>0</v>
      </c>
      <c r="CK248" s="26">
        <f t="shared" si="5"/>
        <v>0</v>
      </c>
    </row>
    <row r="249" spans="1:89" ht="90" customHeight="1" x14ac:dyDescent="0.3">
      <c r="A249" s="13" t="s">
        <v>248</v>
      </c>
      <c r="B249" s="14" t="s">
        <v>20</v>
      </c>
      <c r="C249" s="15" t="s">
        <v>651</v>
      </c>
      <c r="D249" s="14" t="s">
        <v>67</v>
      </c>
      <c r="E249" s="13" t="s">
        <v>250</v>
      </c>
      <c r="F249" s="13" t="s">
        <v>250</v>
      </c>
      <c r="G249" s="14">
        <v>68</v>
      </c>
      <c r="H249" s="13" t="s">
        <v>819</v>
      </c>
      <c r="I249" s="15" t="s">
        <v>708</v>
      </c>
      <c r="J249" s="14" t="s">
        <v>25</v>
      </c>
      <c r="K249" s="15" t="s">
        <v>102</v>
      </c>
      <c r="L249" s="14" t="s">
        <v>820</v>
      </c>
      <c r="M249" s="14" t="s">
        <v>26</v>
      </c>
      <c r="N249" s="14" t="s">
        <v>767</v>
      </c>
      <c r="O249" s="15" t="s">
        <v>821</v>
      </c>
      <c r="P249" s="14" t="s">
        <v>281</v>
      </c>
      <c r="Q249" s="14" t="s">
        <v>281</v>
      </c>
      <c r="R249" s="14" t="s">
        <v>774</v>
      </c>
      <c r="S249" s="17">
        <v>12</v>
      </c>
      <c r="T249" s="14" t="s">
        <v>256</v>
      </c>
      <c r="U249" s="14" t="s">
        <v>474</v>
      </c>
      <c r="V249" s="14" t="s">
        <v>113</v>
      </c>
      <c r="W249" s="18">
        <v>10000000</v>
      </c>
      <c r="X249" s="18">
        <v>10000000</v>
      </c>
      <c r="Y249" s="19" t="s">
        <v>339</v>
      </c>
      <c r="Z249" s="19" t="s">
        <v>258</v>
      </c>
      <c r="AA249" s="14" t="s">
        <v>655</v>
      </c>
      <c r="AB249" s="14" t="s">
        <v>656</v>
      </c>
      <c r="AC249" s="14">
        <v>6012220601</v>
      </c>
      <c r="AD249" s="14" t="s">
        <v>657</v>
      </c>
      <c r="AE249" s="82">
        <v>0</v>
      </c>
      <c r="AF249" s="82">
        <v>0</v>
      </c>
      <c r="AG249" s="82">
        <v>0</v>
      </c>
      <c r="AH249" s="82">
        <v>0</v>
      </c>
      <c r="AI249" s="82">
        <v>0</v>
      </c>
      <c r="AJ249" s="82">
        <v>0</v>
      </c>
      <c r="AK249" s="82">
        <v>0</v>
      </c>
      <c r="AL249" s="82">
        <v>0</v>
      </c>
      <c r="AM249" s="82">
        <v>0</v>
      </c>
      <c r="AN249" s="82">
        <v>0</v>
      </c>
      <c r="AO249" s="82">
        <v>0</v>
      </c>
      <c r="AP249" s="82">
        <v>0</v>
      </c>
      <c r="AQ249" s="82">
        <v>0</v>
      </c>
      <c r="AR249" s="82">
        <v>0</v>
      </c>
      <c r="AS249" s="82">
        <v>10000000</v>
      </c>
      <c r="AT249" s="82">
        <v>0</v>
      </c>
      <c r="AU249" s="82">
        <v>0</v>
      </c>
      <c r="AV249" s="82">
        <v>0</v>
      </c>
      <c r="AW249" s="82">
        <v>0</v>
      </c>
      <c r="AX249" s="82">
        <v>0</v>
      </c>
      <c r="AY249" s="82">
        <v>0</v>
      </c>
      <c r="AZ249" s="82">
        <v>0</v>
      </c>
      <c r="BA249" s="82">
        <v>0</v>
      </c>
      <c r="BB249" s="82">
        <v>10000000</v>
      </c>
      <c r="BC249" s="82">
        <f t="shared" ref="BC249:BD249" si="486">AE249+AG249+AI249+AK249+AM249+AO249+AQ249+AS249+AU249+AW249+AY249+BA249</f>
        <v>10000000</v>
      </c>
      <c r="BD249" s="82">
        <f t="shared" si="486"/>
        <v>10000000</v>
      </c>
      <c r="BE249" s="83">
        <f t="shared" si="1"/>
        <v>0</v>
      </c>
      <c r="BF249" s="83">
        <f t="shared" si="2"/>
        <v>0</v>
      </c>
      <c r="BG249" s="14" t="str">
        <f ca="1">IFERROR(__xludf.DUMMYFUNCTION("REGEXEXTRACT(O243,""^\S+\s(.+)$"")"),"Contratar el servicio para la actualización de ultima versión estable de la plataforma Issabel de telefonía IP, puesta en funcionamiento de servidor redundante y servicio de soporte para toda la plataforma Issabel de la UPME en su arquitectura Activo-Pasi"&amp;"vo (redundancia """"hot standby"""").""")</f>
        <v>Contratar el servicio para la actualización de ultima versión estable de la plataforma Issabel de telefonía IP, puesta en funcionamiento de servidor redundante y servicio de soporte para toda la plataforma Issabel de la UPME en su arquitectura Activo-Pasivo (redundancia ""hot standby"")."</v>
      </c>
      <c r="BH249" s="23"/>
      <c r="BI249" s="23"/>
      <c r="BJ249" s="23"/>
      <c r="BK249" s="23"/>
      <c r="BL249" s="23"/>
      <c r="BM249" s="23"/>
      <c r="BN249" s="23"/>
      <c r="BO249" s="23"/>
      <c r="BP249" s="23"/>
      <c r="BQ249" s="23"/>
      <c r="BR249" s="23"/>
      <c r="BS249" s="23"/>
      <c r="BT249" s="23"/>
      <c r="BU249" s="23"/>
      <c r="BV249" s="23">
        <v>10000000</v>
      </c>
      <c r="BW249" s="23"/>
      <c r="BX249" s="23"/>
      <c r="BY249" s="23"/>
      <c r="BZ249" s="23"/>
      <c r="CA249" s="23"/>
      <c r="CB249" s="23"/>
      <c r="CC249" s="23"/>
      <c r="CD249" s="23"/>
      <c r="CE249" s="23">
        <v>10000000</v>
      </c>
      <c r="CF249" s="28"/>
      <c r="CG249" s="28"/>
      <c r="CH249" s="25">
        <f t="shared" ref="CH249:CI249" si="487">BH249+BJ249+BL249+BN249+BP249+BR249+BT249+BV249+BX249+BZ249+CB249+CD249+CF249</f>
        <v>10000000</v>
      </c>
      <c r="CI249" s="25">
        <f t="shared" si="487"/>
        <v>10000000</v>
      </c>
      <c r="CJ249" s="26">
        <f t="shared" si="4"/>
        <v>0</v>
      </c>
      <c r="CK249" s="26">
        <f t="shared" si="5"/>
        <v>0</v>
      </c>
    </row>
    <row r="250" spans="1:89" ht="90" customHeight="1" x14ac:dyDescent="0.3">
      <c r="A250" s="13" t="s">
        <v>248</v>
      </c>
      <c r="B250" s="14" t="s">
        <v>20</v>
      </c>
      <c r="C250" s="15" t="s">
        <v>651</v>
      </c>
      <c r="D250" s="14" t="s">
        <v>67</v>
      </c>
      <c r="E250" s="13" t="s">
        <v>250</v>
      </c>
      <c r="F250" s="13" t="s">
        <v>250</v>
      </c>
      <c r="G250" s="14">
        <v>68</v>
      </c>
      <c r="H250" s="13" t="s">
        <v>822</v>
      </c>
      <c r="I250" s="15" t="s">
        <v>653</v>
      </c>
      <c r="J250" s="14" t="s">
        <v>23</v>
      </c>
      <c r="K250" s="15" t="s">
        <v>100</v>
      </c>
      <c r="L250" s="14">
        <v>43231501</v>
      </c>
      <c r="M250" s="14" t="s">
        <v>24</v>
      </c>
      <c r="N250" s="14" t="s">
        <v>767</v>
      </c>
      <c r="O250" s="15" t="s">
        <v>823</v>
      </c>
      <c r="P250" s="14" t="s">
        <v>281</v>
      </c>
      <c r="Q250" s="14" t="s">
        <v>281</v>
      </c>
      <c r="R250" s="14" t="s">
        <v>774</v>
      </c>
      <c r="S250" s="17">
        <v>12</v>
      </c>
      <c r="T250" s="14" t="s">
        <v>256</v>
      </c>
      <c r="U250" s="14" t="s">
        <v>474</v>
      </c>
      <c r="V250" s="14" t="s">
        <v>112</v>
      </c>
      <c r="W250" s="18">
        <v>75000000</v>
      </c>
      <c r="X250" s="18">
        <v>75000000</v>
      </c>
      <c r="Y250" s="19" t="s">
        <v>339</v>
      </c>
      <c r="Z250" s="19" t="s">
        <v>258</v>
      </c>
      <c r="AA250" s="14" t="s">
        <v>655</v>
      </c>
      <c r="AB250" s="14" t="s">
        <v>656</v>
      </c>
      <c r="AC250" s="14">
        <v>6012220601</v>
      </c>
      <c r="AD250" s="14" t="s">
        <v>657</v>
      </c>
      <c r="AE250" s="82">
        <v>0</v>
      </c>
      <c r="AF250" s="82">
        <v>0</v>
      </c>
      <c r="AG250" s="82">
        <v>0</v>
      </c>
      <c r="AH250" s="82">
        <v>0</v>
      </c>
      <c r="AI250" s="82">
        <v>0</v>
      </c>
      <c r="AJ250" s="82">
        <v>0</v>
      </c>
      <c r="AK250" s="82">
        <v>0</v>
      </c>
      <c r="AL250" s="82">
        <v>0</v>
      </c>
      <c r="AM250" s="82">
        <v>0</v>
      </c>
      <c r="AN250" s="82">
        <v>0</v>
      </c>
      <c r="AO250" s="82">
        <v>0</v>
      </c>
      <c r="AP250" s="82">
        <v>0</v>
      </c>
      <c r="AQ250" s="82">
        <v>0</v>
      </c>
      <c r="AR250" s="82">
        <v>0</v>
      </c>
      <c r="AS250" s="82">
        <v>75000000</v>
      </c>
      <c r="AT250" s="82">
        <v>0</v>
      </c>
      <c r="AU250" s="82">
        <v>0</v>
      </c>
      <c r="AV250" s="82">
        <v>0</v>
      </c>
      <c r="AW250" s="82">
        <v>0</v>
      </c>
      <c r="AX250" s="82">
        <v>0</v>
      </c>
      <c r="AY250" s="82">
        <v>0</v>
      </c>
      <c r="AZ250" s="82">
        <v>0</v>
      </c>
      <c r="BA250" s="82">
        <v>0</v>
      </c>
      <c r="BB250" s="82">
        <v>75000000</v>
      </c>
      <c r="BC250" s="82">
        <f t="shared" ref="BC250:BD250" si="488">AE250+AG250+AI250+AK250+AM250+AO250+AQ250+AS250+AU250+AW250+AY250+BA250</f>
        <v>75000000</v>
      </c>
      <c r="BD250" s="82">
        <f t="shared" si="488"/>
        <v>75000000</v>
      </c>
      <c r="BE250" s="83">
        <f t="shared" si="1"/>
        <v>0</v>
      </c>
      <c r="BF250" s="83">
        <f t="shared" si="2"/>
        <v>0</v>
      </c>
      <c r="BG250" s="14" t="str">
        <f ca="1">IFERROR(__xludf.DUMMYFUNCTION("REGEXEXTRACT(O244,""^\S+\s(.+)$"")"),"Adquirir el licenciamiento, implementación, y soporte técnico de una plataforma de gestión de servicios de tecnología de la información (ITSM) para la mesa de servicios de la Unidad de Planeación Minero Energética (UPME)")</f>
        <v>Adquirir el licenciamiento, implementación, y soporte técnico de una plataforma de gestión de servicios de tecnología de la información (ITSM) para la mesa de servicios de la Unidad de Planeación Minero Energética (UPME)</v>
      </c>
      <c r="BH250" s="23"/>
      <c r="BI250" s="23"/>
      <c r="BJ250" s="23"/>
      <c r="BK250" s="23"/>
      <c r="BL250" s="23"/>
      <c r="BM250" s="23"/>
      <c r="BN250" s="23"/>
      <c r="BO250" s="23"/>
      <c r="BP250" s="23"/>
      <c r="BQ250" s="23"/>
      <c r="BR250" s="23"/>
      <c r="BS250" s="23"/>
      <c r="BT250" s="23"/>
      <c r="BU250" s="23"/>
      <c r="BV250" s="23">
        <v>75000000</v>
      </c>
      <c r="BW250" s="23"/>
      <c r="BX250" s="23"/>
      <c r="BY250" s="23"/>
      <c r="BZ250" s="23"/>
      <c r="CA250" s="23"/>
      <c r="CB250" s="23"/>
      <c r="CC250" s="23"/>
      <c r="CD250" s="23"/>
      <c r="CE250" s="23">
        <v>75000000</v>
      </c>
      <c r="CF250" s="28"/>
      <c r="CG250" s="28"/>
      <c r="CH250" s="25">
        <f t="shared" ref="CH250:CI250" si="489">BH250+BJ250+BL250+BN250+BP250+BR250+BT250+BV250+BX250+BZ250+CB250+CD250+CF250</f>
        <v>75000000</v>
      </c>
      <c r="CI250" s="25">
        <f t="shared" si="489"/>
        <v>75000000</v>
      </c>
      <c r="CJ250" s="26">
        <f t="shared" si="4"/>
        <v>0</v>
      </c>
      <c r="CK250" s="26">
        <f t="shared" si="5"/>
        <v>0</v>
      </c>
    </row>
    <row r="251" spans="1:89" ht="90" customHeight="1" x14ac:dyDescent="0.3">
      <c r="A251" s="13" t="s">
        <v>248</v>
      </c>
      <c r="B251" s="14" t="s">
        <v>20</v>
      </c>
      <c r="C251" s="15" t="s">
        <v>651</v>
      </c>
      <c r="D251" s="14" t="s">
        <v>67</v>
      </c>
      <c r="E251" s="13" t="s">
        <v>250</v>
      </c>
      <c r="F251" s="13" t="s">
        <v>250</v>
      </c>
      <c r="G251" s="14">
        <v>68</v>
      </c>
      <c r="H251" s="13" t="s">
        <v>824</v>
      </c>
      <c r="I251" s="15" t="s">
        <v>653</v>
      </c>
      <c r="J251" s="14" t="s">
        <v>23</v>
      </c>
      <c r="K251" s="15" t="s">
        <v>100</v>
      </c>
      <c r="L251" s="14" t="s">
        <v>825</v>
      </c>
      <c r="M251" s="14" t="s">
        <v>24</v>
      </c>
      <c r="N251" s="14" t="s">
        <v>770</v>
      </c>
      <c r="O251" s="15" t="s">
        <v>826</v>
      </c>
      <c r="P251" s="14" t="s">
        <v>774</v>
      </c>
      <c r="Q251" s="14" t="s">
        <v>774</v>
      </c>
      <c r="R251" s="14" t="s">
        <v>468</v>
      </c>
      <c r="S251" s="17">
        <v>12</v>
      </c>
      <c r="T251" s="14" t="s">
        <v>256</v>
      </c>
      <c r="U251" s="14" t="s">
        <v>282</v>
      </c>
      <c r="V251" s="14" t="s">
        <v>112</v>
      </c>
      <c r="W251" s="18">
        <v>10000000</v>
      </c>
      <c r="X251" s="18">
        <v>10000000</v>
      </c>
      <c r="Y251" s="19" t="s">
        <v>339</v>
      </c>
      <c r="Z251" s="19" t="s">
        <v>258</v>
      </c>
      <c r="AA251" s="14" t="s">
        <v>655</v>
      </c>
      <c r="AB251" s="14" t="s">
        <v>656</v>
      </c>
      <c r="AC251" s="14">
        <v>6012220601</v>
      </c>
      <c r="AD251" s="14" t="s">
        <v>657</v>
      </c>
      <c r="AE251" s="82">
        <v>0</v>
      </c>
      <c r="AF251" s="82">
        <v>0</v>
      </c>
      <c r="AG251" s="82">
        <v>0</v>
      </c>
      <c r="AH251" s="82">
        <v>0</v>
      </c>
      <c r="AI251" s="82">
        <v>0</v>
      </c>
      <c r="AJ251" s="82">
        <v>0</v>
      </c>
      <c r="AK251" s="82">
        <v>0</v>
      </c>
      <c r="AL251" s="82">
        <v>0</v>
      </c>
      <c r="AM251" s="82">
        <v>0</v>
      </c>
      <c r="AN251" s="82">
        <v>0</v>
      </c>
      <c r="AO251" s="82">
        <v>0</v>
      </c>
      <c r="AP251" s="82">
        <v>0</v>
      </c>
      <c r="AQ251" s="82">
        <v>0</v>
      </c>
      <c r="AR251" s="82">
        <v>0</v>
      </c>
      <c r="AS251" s="82">
        <v>0</v>
      </c>
      <c r="AT251" s="82">
        <v>0</v>
      </c>
      <c r="AU251" s="82">
        <v>0</v>
      </c>
      <c r="AV251" s="82">
        <v>0</v>
      </c>
      <c r="AW251" s="82">
        <v>0</v>
      </c>
      <c r="AX251" s="82">
        <v>0</v>
      </c>
      <c r="AY251" s="82">
        <v>10000000</v>
      </c>
      <c r="AZ251" s="82">
        <v>0</v>
      </c>
      <c r="BA251" s="82">
        <v>0</v>
      </c>
      <c r="BB251" s="82">
        <v>10000000</v>
      </c>
      <c r="BC251" s="82">
        <f t="shared" ref="BC251:BD251" si="490">AE251+AG251+AI251+AK251+AM251+AO251+AQ251+AS251+AU251+AW251+AY251+BA251</f>
        <v>10000000</v>
      </c>
      <c r="BD251" s="82">
        <f t="shared" si="490"/>
        <v>10000000</v>
      </c>
      <c r="BE251" s="83">
        <f t="shared" si="1"/>
        <v>0</v>
      </c>
      <c r="BF251" s="83">
        <f t="shared" si="2"/>
        <v>0</v>
      </c>
      <c r="BG251" s="14" t="str">
        <f ca="1">IFERROR(__xludf.DUMMYFUNCTION("REGEXEXTRACT(O245,""^\S+\s(.+)$"")"),"Renovación de licenciamiento y soporte para escritorios virtuales")</f>
        <v>Renovación de licenciamiento y soporte para escritorios virtuales</v>
      </c>
      <c r="BH251" s="23"/>
      <c r="BI251" s="23"/>
      <c r="BJ251" s="23"/>
      <c r="BK251" s="23"/>
      <c r="BL251" s="23"/>
      <c r="BM251" s="23"/>
      <c r="BN251" s="23"/>
      <c r="BO251" s="23"/>
      <c r="BP251" s="23"/>
      <c r="BQ251" s="23"/>
      <c r="BR251" s="23"/>
      <c r="BS251" s="23"/>
      <c r="BT251" s="23"/>
      <c r="BU251" s="23"/>
      <c r="BV251" s="23"/>
      <c r="BW251" s="23"/>
      <c r="BX251" s="23"/>
      <c r="BY251" s="23"/>
      <c r="BZ251" s="23"/>
      <c r="CA251" s="23"/>
      <c r="CB251" s="23">
        <v>10000000</v>
      </c>
      <c r="CC251" s="23"/>
      <c r="CD251" s="23"/>
      <c r="CE251" s="23">
        <v>10000000</v>
      </c>
      <c r="CF251" s="28"/>
      <c r="CG251" s="28"/>
      <c r="CH251" s="25">
        <f t="shared" ref="CH251:CI251" si="491">BH251+BJ251+BL251+BN251+BP251+BR251+BT251+BV251+BX251+BZ251+CB251+CD251+CF251</f>
        <v>10000000</v>
      </c>
      <c r="CI251" s="25">
        <f t="shared" si="491"/>
        <v>10000000</v>
      </c>
      <c r="CJ251" s="26">
        <f t="shared" si="4"/>
        <v>0</v>
      </c>
      <c r="CK251" s="26">
        <f t="shared" si="5"/>
        <v>0</v>
      </c>
    </row>
    <row r="252" spans="1:89" ht="90" customHeight="1" x14ac:dyDescent="0.3">
      <c r="A252" s="13" t="s">
        <v>248</v>
      </c>
      <c r="B252" s="14" t="s">
        <v>20</v>
      </c>
      <c r="C252" s="15" t="s">
        <v>651</v>
      </c>
      <c r="D252" s="14" t="s">
        <v>67</v>
      </c>
      <c r="E252" s="13" t="s">
        <v>250</v>
      </c>
      <c r="F252" s="13" t="s">
        <v>250</v>
      </c>
      <c r="G252" s="14">
        <v>68</v>
      </c>
      <c r="H252" s="13" t="s">
        <v>827</v>
      </c>
      <c r="I252" s="15" t="s">
        <v>653</v>
      </c>
      <c r="J252" s="14" t="s">
        <v>23</v>
      </c>
      <c r="K252" s="15" t="s">
        <v>100</v>
      </c>
      <c r="L252" s="14">
        <v>43232605</v>
      </c>
      <c r="M252" s="14" t="s">
        <v>24</v>
      </c>
      <c r="N252" s="14" t="s">
        <v>770</v>
      </c>
      <c r="O252" s="15" t="s">
        <v>828</v>
      </c>
      <c r="P252" s="14" t="s">
        <v>549</v>
      </c>
      <c r="Q252" s="14" t="s">
        <v>549</v>
      </c>
      <c r="R252" s="14" t="s">
        <v>281</v>
      </c>
      <c r="S252" s="17">
        <v>12</v>
      </c>
      <c r="T252" s="14" t="s">
        <v>256</v>
      </c>
      <c r="U252" s="14" t="s">
        <v>282</v>
      </c>
      <c r="V252" s="14" t="s">
        <v>112</v>
      </c>
      <c r="W252" s="18">
        <v>80000000</v>
      </c>
      <c r="X252" s="18">
        <v>80000000</v>
      </c>
      <c r="Y252" s="19" t="s">
        <v>339</v>
      </c>
      <c r="Z252" s="19" t="s">
        <v>258</v>
      </c>
      <c r="AA252" s="14" t="s">
        <v>655</v>
      </c>
      <c r="AB252" s="14" t="s">
        <v>656</v>
      </c>
      <c r="AC252" s="14">
        <v>6012220601</v>
      </c>
      <c r="AD252" s="14" t="s">
        <v>657</v>
      </c>
      <c r="AE252" s="82">
        <v>0</v>
      </c>
      <c r="AF252" s="82">
        <v>0</v>
      </c>
      <c r="AG252" s="82">
        <v>0</v>
      </c>
      <c r="AH252" s="82">
        <v>0</v>
      </c>
      <c r="AI252" s="82">
        <v>0</v>
      </c>
      <c r="AJ252" s="82">
        <v>0</v>
      </c>
      <c r="AK252" s="82">
        <v>0</v>
      </c>
      <c r="AL252" s="82">
        <v>0</v>
      </c>
      <c r="AM252" s="82">
        <v>0</v>
      </c>
      <c r="AN252" s="82">
        <v>0</v>
      </c>
      <c r="AO252" s="82">
        <v>0</v>
      </c>
      <c r="AP252" s="82">
        <v>0</v>
      </c>
      <c r="AQ252" s="82">
        <v>0</v>
      </c>
      <c r="AR252" s="82">
        <v>0</v>
      </c>
      <c r="AS252" s="82">
        <v>0</v>
      </c>
      <c r="AT252" s="82">
        <v>0</v>
      </c>
      <c r="AU252" s="82">
        <v>0</v>
      </c>
      <c r="AV252" s="82">
        <v>0</v>
      </c>
      <c r="AW252" s="82">
        <v>80000000</v>
      </c>
      <c r="AX252" s="82">
        <v>0</v>
      </c>
      <c r="AY252" s="82">
        <v>0</v>
      </c>
      <c r="AZ252" s="82">
        <v>0</v>
      </c>
      <c r="BA252" s="82">
        <v>0</v>
      </c>
      <c r="BB252" s="82">
        <v>80000000</v>
      </c>
      <c r="BC252" s="82">
        <f t="shared" ref="BC252:BD252" si="492">AE252+AG252+AI252+AK252+AM252+AO252+AQ252+AS252+AU252+AW252+AY252+BA252</f>
        <v>80000000</v>
      </c>
      <c r="BD252" s="82">
        <f t="shared" si="492"/>
        <v>80000000</v>
      </c>
      <c r="BE252" s="83">
        <f t="shared" si="1"/>
        <v>0</v>
      </c>
      <c r="BF252" s="83">
        <f t="shared" si="2"/>
        <v>0</v>
      </c>
      <c r="BG252" s="14" t="str">
        <f ca="1">IFERROR(__xludf.DUMMYFUNCTION("REGEXEXTRACT(O246,""^\S+\s(.+)$"")"),"Adquisición del sistema operativo Windows 11, versión vigente y soportada por Microsoft para las escritorios virtuales")</f>
        <v>Adquisición del sistema operativo Windows 11, versión vigente y soportada por Microsoft para las escritorios virtuales</v>
      </c>
      <c r="BH252" s="23"/>
      <c r="BI252" s="23"/>
      <c r="BJ252" s="23"/>
      <c r="BK252" s="23"/>
      <c r="BL252" s="23"/>
      <c r="BM252" s="23"/>
      <c r="BN252" s="23"/>
      <c r="BO252" s="23"/>
      <c r="BP252" s="23"/>
      <c r="BQ252" s="23"/>
      <c r="BR252" s="23"/>
      <c r="BS252" s="23"/>
      <c r="BT252" s="23"/>
      <c r="BU252" s="23"/>
      <c r="BV252" s="23"/>
      <c r="BW252" s="23"/>
      <c r="BX252" s="23"/>
      <c r="BY252" s="23"/>
      <c r="BZ252" s="23">
        <v>80000000</v>
      </c>
      <c r="CA252" s="23"/>
      <c r="CB252" s="23"/>
      <c r="CC252" s="23"/>
      <c r="CD252" s="23"/>
      <c r="CE252" s="23">
        <v>80000000</v>
      </c>
      <c r="CF252" s="28"/>
      <c r="CG252" s="28"/>
      <c r="CH252" s="25">
        <f t="shared" ref="CH252:CI252" si="493">BH252+BJ252+BL252+BN252+BP252+BR252+BT252+BV252+BX252+BZ252+CB252+CD252+CF252</f>
        <v>80000000</v>
      </c>
      <c r="CI252" s="25">
        <f t="shared" si="493"/>
        <v>80000000</v>
      </c>
      <c r="CJ252" s="26">
        <f t="shared" si="4"/>
        <v>0</v>
      </c>
      <c r="CK252" s="26">
        <f t="shared" si="5"/>
        <v>0</v>
      </c>
    </row>
    <row r="253" spans="1:89" ht="90" customHeight="1" x14ac:dyDescent="0.3">
      <c r="A253" s="13" t="s">
        <v>248</v>
      </c>
      <c r="B253" s="14" t="s">
        <v>20</v>
      </c>
      <c r="C253" s="15" t="s">
        <v>651</v>
      </c>
      <c r="D253" s="14" t="s">
        <v>67</v>
      </c>
      <c r="E253" s="13" t="s">
        <v>250</v>
      </c>
      <c r="F253" s="13" t="s">
        <v>250</v>
      </c>
      <c r="G253" s="14">
        <v>68</v>
      </c>
      <c r="H253" s="13" t="s">
        <v>829</v>
      </c>
      <c r="I253" s="15" t="s">
        <v>708</v>
      </c>
      <c r="J253" s="14" t="s">
        <v>25</v>
      </c>
      <c r="K253" s="15" t="s">
        <v>102</v>
      </c>
      <c r="L253" s="14">
        <v>43232605</v>
      </c>
      <c r="M253" s="14" t="s">
        <v>26</v>
      </c>
      <c r="N253" s="14" t="s">
        <v>770</v>
      </c>
      <c r="O253" s="15" t="s">
        <v>830</v>
      </c>
      <c r="P253" s="14" t="s">
        <v>280</v>
      </c>
      <c r="Q253" s="14" t="s">
        <v>280</v>
      </c>
      <c r="R253" s="14" t="s">
        <v>614</v>
      </c>
      <c r="S253" s="17">
        <v>12</v>
      </c>
      <c r="T253" s="14" t="s">
        <v>256</v>
      </c>
      <c r="U253" s="14" t="s">
        <v>282</v>
      </c>
      <c r="V253" s="14" t="s">
        <v>113</v>
      </c>
      <c r="W253" s="18">
        <v>50000000</v>
      </c>
      <c r="X253" s="18">
        <v>50000000</v>
      </c>
      <c r="Y253" s="19" t="s">
        <v>339</v>
      </c>
      <c r="Z253" s="19" t="s">
        <v>258</v>
      </c>
      <c r="AA253" s="14" t="s">
        <v>655</v>
      </c>
      <c r="AB253" s="14" t="s">
        <v>656</v>
      </c>
      <c r="AC253" s="14">
        <v>6012220601</v>
      </c>
      <c r="AD253" s="14" t="s">
        <v>657</v>
      </c>
      <c r="AE253" s="82">
        <v>0</v>
      </c>
      <c r="AF253" s="82">
        <v>0</v>
      </c>
      <c r="AG253" s="82">
        <v>0</v>
      </c>
      <c r="AH253" s="82">
        <v>0</v>
      </c>
      <c r="AI253" s="82">
        <v>0</v>
      </c>
      <c r="AJ253" s="82">
        <v>0</v>
      </c>
      <c r="AK253" s="82">
        <v>0</v>
      </c>
      <c r="AL253" s="82">
        <v>0</v>
      </c>
      <c r="AM253" s="82">
        <v>0</v>
      </c>
      <c r="AN253" s="82">
        <v>0</v>
      </c>
      <c r="AO253" s="82">
        <v>0</v>
      </c>
      <c r="AP253" s="82">
        <v>0</v>
      </c>
      <c r="AQ253" s="82">
        <v>50000000</v>
      </c>
      <c r="AR253" s="82">
        <v>0</v>
      </c>
      <c r="AS253" s="82">
        <v>0</v>
      </c>
      <c r="AT253" s="82">
        <v>0</v>
      </c>
      <c r="AU253" s="82">
        <v>0</v>
      </c>
      <c r="AV253" s="82">
        <v>0</v>
      </c>
      <c r="AW253" s="82">
        <v>0</v>
      </c>
      <c r="AX253" s="82">
        <v>0</v>
      </c>
      <c r="AY253" s="82">
        <v>0</v>
      </c>
      <c r="AZ253" s="82">
        <v>0</v>
      </c>
      <c r="BA253" s="82">
        <v>0</v>
      </c>
      <c r="BB253" s="82">
        <v>50000000</v>
      </c>
      <c r="BC253" s="82">
        <f t="shared" ref="BC253:BD253" si="494">AE253+AG253+AI253+AK253+AM253+AO253+AQ253+AS253+AU253+AW253+AY253+BA253</f>
        <v>50000000</v>
      </c>
      <c r="BD253" s="82">
        <f t="shared" si="494"/>
        <v>50000000</v>
      </c>
      <c r="BE253" s="83">
        <f t="shared" si="1"/>
        <v>0</v>
      </c>
      <c r="BF253" s="83">
        <f t="shared" si="2"/>
        <v>0</v>
      </c>
      <c r="BG253" s="14" t="str">
        <f ca="1">IFERROR(__xludf.DUMMYFUNCTION("REGEXEXTRACT(O247,""^\S+\s(.+)$"")"),"Actualizar y renovar el licenciamiento ESRI.")</f>
        <v>Actualizar y renovar el licenciamiento ESRI.</v>
      </c>
      <c r="BH253" s="23"/>
      <c r="BI253" s="23"/>
      <c r="BJ253" s="23"/>
      <c r="BK253" s="23"/>
      <c r="BL253" s="23"/>
      <c r="BM253" s="23"/>
      <c r="BN253" s="23"/>
      <c r="BO253" s="23"/>
      <c r="BP253" s="23"/>
      <c r="BQ253" s="23"/>
      <c r="BR253" s="23"/>
      <c r="BS253" s="23"/>
      <c r="BT253" s="23">
        <v>50000000</v>
      </c>
      <c r="BU253" s="23"/>
      <c r="BV253" s="23"/>
      <c r="BW253" s="23"/>
      <c r="BX253" s="23"/>
      <c r="BY253" s="23"/>
      <c r="BZ253" s="23"/>
      <c r="CA253" s="23"/>
      <c r="CB253" s="23"/>
      <c r="CC253" s="23"/>
      <c r="CD253" s="23"/>
      <c r="CE253" s="23">
        <v>50000000</v>
      </c>
      <c r="CF253" s="28"/>
      <c r="CG253" s="28"/>
      <c r="CH253" s="25">
        <f t="shared" ref="CH253:CI253" si="495">BH253+BJ253+BL253+BN253+BP253+BR253+BT253+BV253+BX253+BZ253+CB253+CD253+CF253</f>
        <v>50000000</v>
      </c>
      <c r="CI253" s="25">
        <f t="shared" si="495"/>
        <v>50000000</v>
      </c>
      <c r="CJ253" s="26">
        <f t="shared" si="4"/>
        <v>0</v>
      </c>
      <c r="CK253" s="26">
        <f t="shared" si="5"/>
        <v>0</v>
      </c>
    </row>
    <row r="254" spans="1:89" ht="90" customHeight="1" x14ac:dyDescent="0.3">
      <c r="A254" s="13" t="s">
        <v>248</v>
      </c>
      <c r="B254" s="14" t="s">
        <v>20</v>
      </c>
      <c r="C254" s="15" t="s">
        <v>651</v>
      </c>
      <c r="D254" s="14" t="s">
        <v>67</v>
      </c>
      <c r="E254" s="13" t="s">
        <v>250</v>
      </c>
      <c r="F254" s="13" t="s">
        <v>250</v>
      </c>
      <c r="G254" s="14" t="s">
        <v>546</v>
      </c>
      <c r="H254" s="13" t="s">
        <v>831</v>
      </c>
      <c r="I254" s="15" t="s">
        <v>708</v>
      </c>
      <c r="J254" s="14" t="s">
        <v>25</v>
      </c>
      <c r="K254" s="15" t="s">
        <v>102</v>
      </c>
      <c r="L254" s="14" t="s">
        <v>277</v>
      </c>
      <c r="M254" s="14" t="s">
        <v>26</v>
      </c>
      <c r="N254" s="14" t="s">
        <v>278</v>
      </c>
      <c r="O254" s="85" t="s">
        <v>832</v>
      </c>
      <c r="P254" s="14" t="s">
        <v>549</v>
      </c>
      <c r="Q254" s="14" t="s">
        <v>549</v>
      </c>
      <c r="R254" s="14" t="s">
        <v>280</v>
      </c>
      <c r="S254" s="17">
        <v>12</v>
      </c>
      <c r="T254" s="14" t="s">
        <v>256</v>
      </c>
      <c r="U254" s="14" t="s">
        <v>833</v>
      </c>
      <c r="V254" s="14" t="s">
        <v>112</v>
      </c>
      <c r="W254" s="18">
        <v>350609678</v>
      </c>
      <c r="X254" s="18">
        <v>350609678</v>
      </c>
      <c r="Y254" s="19" t="s">
        <v>339</v>
      </c>
      <c r="Z254" s="19" t="s">
        <v>258</v>
      </c>
      <c r="AA254" s="14" t="s">
        <v>655</v>
      </c>
      <c r="AB254" s="14" t="s">
        <v>656</v>
      </c>
      <c r="AC254" s="14">
        <v>6012220601</v>
      </c>
      <c r="AD254" s="14" t="s">
        <v>657</v>
      </c>
      <c r="AE254" s="82">
        <v>0</v>
      </c>
      <c r="AF254" s="82">
        <v>0</v>
      </c>
      <c r="AG254" s="82">
        <v>0</v>
      </c>
      <c r="AH254" s="82">
        <v>0</v>
      </c>
      <c r="AI254" s="82">
        <v>0</v>
      </c>
      <c r="AJ254" s="82">
        <v>0</v>
      </c>
      <c r="AK254" s="82">
        <v>350609678</v>
      </c>
      <c r="AL254" s="82">
        <v>0</v>
      </c>
      <c r="AM254" s="82">
        <v>0</v>
      </c>
      <c r="AN254" s="82">
        <v>0</v>
      </c>
      <c r="AO254" s="82">
        <v>0</v>
      </c>
      <c r="AP254" s="82">
        <v>350609678</v>
      </c>
      <c r="AQ254" s="82">
        <v>0</v>
      </c>
      <c r="AR254" s="82">
        <v>0</v>
      </c>
      <c r="AS254" s="82">
        <v>0</v>
      </c>
      <c r="AT254" s="82">
        <v>0</v>
      </c>
      <c r="AU254" s="82">
        <v>0</v>
      </c>
      <c r="AV254" s="82">
        <v>0</v>
      </c>
      <c r="AW254" s="82">
        <v>0</v>
      </c>
      <c r="AX254" s="82">
        <v>0</v>
      </c>
      <c r="AY254" s="82">
        <v>0</v>
      </c>
      <c r="AZ254" s="82">
        <v>0</v>
      </c>
      <c r="BA254" s="82">
        <v>0</v>
      </c>
      <c r="BB254" s="82">
        <v>0</v>
      </c>
      <c r="BC254" s="82">
        <f t="shared" ref="BC254:BD254" si="496">AE254+AG254+AI254+AK254+AM254+AO254+AQ254+AS254+AU254+AW254+AY254+BA254</f>
        <v>350609678</v>
      </c>
      <c r="BD254" s="82">
        <f t="shared" si="496"/>
        <v>350609678</v>
      </c>
      <c r="BE254" s="83">
        <f t="shared" si="1"/>
        <v>0</v>
      </c>
      <c r="BF254" s="83">
        <f t="shared" si="2"/>
        <v>0</v>
      </c>
      <c r="BG254" s="14" t="str">
        <f ca="1">IFERROR(__xludf.DUMMYFUNCTION("REGEXEXTRACT(O248,""^\S+\s(.+)$"")"),"Adquirir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4" s="23"/>
      <c r="BI254" s="23"/>
      <c r="BJ254" s="23"/>
      <c r="BK254" s="23"/>
      <c r="BL254" s="23"/>
      <c r="BM254" s="23"/>
      <c r="BN254" s="23">
        <v>350609678</v>
      </c>
      <c r="BO254" s="23"/>
      <c r="BP254" s="23"/>
      <c r="BQ254" s="23"/>
      <c r="BR254" s="23"/>
      <c r="BS254" s="23">
        <v>350609678</v>
      </c>
      <c r="BT254" s="23"/>
      <c r="BU254" s="23"/>
      <c r="BV254" s="23"/>
      <c r="BW254" s="23"/>
      <c r="BX254" s="23"/>
      <c r="BY254" s="23"/>
      <c r="BZ254" s="23"/>
      <c r="CA254" s="23"/>
      <c r="CB254" s="23"/>
      <c r="CC254" s="23"/>
      <c r="CD254" s="23"/>
      <c r="CE254" s="23"/>
      <c r="CF254" s="28"/>
      <c r="CG254" s="28"/>
      <c r="CH254" s="25">
        <f t="shared" ref="CH254:CI254" si="497">BH254+BJ254+BL254+BN254+BP254+BR254+BT254+BV254+BX254+BZ254+CB254+CD254+CF254</f>
        <v>350609678</v>
      </c>
      <c r="CI254" s="25">
        <f t="shared" si="497"/>
        <v>350609678</v>
      </c>
      <c r="CJ254" s="26">
        <f t="shared" si="4"/>
        <v>0</v>
      </c>
      <c r="CK254" s="26">
        <f t="shared" si="5"/>
        <v>0</v>
      </c>
    </row>
    <row r="255" spans="1:89" ht="90" customHeight="1" x14ac:dyDescent="0.3">
      <c r="A255" s="13" t="s">
        <v>248</v>
      </c>
      <c r="B255" s="14" t="s">
        <v>20</v>
      </c>
      <c r="C255" s="15" t="s">
        <v>651</v>
      </c>
      <c r="D255" s="14" t="s">
        <v>67</v>
      </c>
      <c r="E255" s="13" t="s">
        <v>250</v>
      </c>
      <c r="F255" s="13" t="s">
        <v>250</v>
      </c>
      <c r="G255" s="14" t="s">
        <v>546</v>
      </c>
      <c r="H255" s="13" t="s">
        <v>834</v>
      </c>
      <c r="I255" s="15" t="s">
        <v>708</v>
      </c>
      <c r="J255" s="14" t="s">
        <v>25</v>
      </c>
      <c r="K255" s="15" t="s">
        <v>102</v>
      </c>
      <c r="L255" s="14" t="s">
        <v>277</v>
      </c>
      <c r="M255" s="14" t="s">
        <v>26</v>
      </c>
      <c r="N255" s="14" t="s">
        <v>278</v>
      </c>
      <c r="O255" s="85" t="s">
        <v>835</v>
      </c>
      <c r="P255" s="14" t="s">
        <v>549</v>
      </c>
      <c r="Q255" s="14" t="s">
        <v>549</v>
      </c>
      <c r="R255" s="14" t="s">
        <v>280</v>
      </c>
      <c r="S255" s="17">
        <v>12</v>
      </c>
      <c r="T255" s="14" t="s">
        <v>256</v>
      </c>
      <c r="U255" s="14" t="s">
        <v>833</v>
      </c>
      <c r="V255" s="14" t="s">
        <v>113</v>
      </c>
      <c r="W255" s="18">
        <v>155000000</v>
      </c>
      <c r="X255" s="18">
        <v>155000000</v>
      </c>
      <c r="Y255" s="19" t="s">
        <v>339</v>
      </c>
      <c r="Z255" s="19" t="s">
        <v>258</v>
      </c>
      <c r="AA255" s="14" t="s">
        <v>655</v>
      </c>
      <c r="AB255" s="14" t="s">
        <v>656</v>
      </c>
      <c r="AC255" s="14">
        <v>6012220601</v>
      </c>
      <c r="AD255" s="14" t="s">
        <v>657</v>
      </c>
      <c r="AE255" s="82">
        <v>0</v>
      </c>
      <c r="AF255" s="82">
        <v>0</v>
      </c>
      <c r="AG255" s="82">
        <v>0</v>
      </c>
      <c r="AH255" s="82">
        <v>0</v>
      </c>
      <c r="AI255" s="82">
        <v>0</v>
      </c>
      <c r="AJ255" s="82">
        <v>0</v>
      </c>
      <c r="AK255" s="82">
        <v>155000000</v>
      </c>
      <c r="AL255" s="82">
        <v>0</v>
      </c>
      <c r="AM255" s="82">
        <v>0</v>
      </c>
      <c r="AN255" s="82">
        <v>0</v>
      </c>
      <c r="AO255" s="82">
        <v>0</v>
      </c>
      <c r="AP255" s="82">
        <v>155000000</v>
      </c>
      <c r="AQ255" s="82">
        <v>0</v>
      </c>
      <c r="AR255" s="82">
        <v>0</v>
      </c>
      <c r="AS255" s="82">
        <v>0</v>
      </c>
      <c r="AT255" s="82">
        <v>0</v>
      </c>
      <c r="AU255" s="82">
        <v>0</v>
      </c>
      <c r="AV255" s="82">
        <v>0</v>
      </c>
      <c r="AW255" s="82">
        <v>0</v>
      </c>
      <c r="AX255" s="82">
        <v>0</v>
      </c>
      <c r="AY255" s="82">
        <v>0</v>
      </c>
      <c r="AZ255" s="82">
        <v>0</v>
      </c>
      <c r="BA255" s="82">
        <v>0</v>
      </c>
      <c r="BB255" s="82">
        <v>0</v>
      </c>
      <c r="BC255" s="82">
        <f t="shared" ref="BC255:BD255" si="498">AE255+AG255+AI255+AK255+AM255+AO255+AQ255+AS255+AU255+AW255+AY255+BA255</f>
        <v>155000000</v>
      </c>
      <c r="BD255" s="82">
        <f t="shared" si="498"/>
        <v>155000000</v>
      </c>
      <c r="BE255" s="83">
        <f t="shared" si="1"/>
        <v>0</v>
      </c>
      <c r="BF255" s="83">
        <f t="shared" si="2"/>
        <v>0</v>
      </c>
      <c r="BG255" s="14" t="str">
        <f ca="1">IFERROR(__xludf.DUMMYFUNCTION("REGEXEXTRACT(O249,""^\S+\s(.+)$"")"),"Adquirir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5" s="23"/>
      <c r="BI255" s="23"/>
      <c r="BJ255" s="23"/>
      <c r="BK255" s="23"/>
      <c r="BL255" s="23"/>
      <c r="BM255" s="23"/>
      <c r="BN255" s="23">
        <v>155000000</v>
      </c>
      <c r="BO255" s="23"/>
      <c r="BP255" s="23"/>
      <c r="BQ255" s="23"/>
      <c r="BR255" s="23"/>
      <c r="BS255" s="23">
        <v>155000000</v>
      </c>
      <c r="BT255" s="23"/>
      <c r="BU255" s="23"/>
      <c r="BV255" s="23"/>
      <c r="BW255" s="23"/>
      <c r="BX255" s="23"/>
      <c r="BY255" s="23"/>
      <c r="BZ255" s="23"/>
      <c r="CA255" s="23"/>
      <c r="CB255" s="23"/>
      <c r="CC255" s="23"/>
      <c r="CD255" s="23"/>
      <c r="CE255" s="23"/>
      <c r="CF255" s="28"/>
      <c r="CG255" s="28"/>
      <c r="CH255" s="25">
        <f t="shared" ref="CH255:CI255" si="499">BH255+BJ255+BL255+BN255+BP255+BR255+BT255+BV255+BX255+BZ255+CB255+CD255+CF255</f>
        <v>155000000</v>
      </c>
      <c r="CI255" s="25">
        <f t="shared" si="499"/>
        <v>155000000</v>
      </c>
      <c r="CJ255" s="26">
        <f t="shared" si="4"/>
        <v>0</v>
      </c>
      <c r="CK255" s="26">
        <f t="shared" si="5"/>
        <v>0</v>
      </c>
    </row>
    <row r="256" spans="1:89" ht="90" customHeight="1" x14ac:dyDescent="0.3">
      <c r="A256" s="13" t="s">
        <v>248</v>
      </c>
      <c r="B256" s="14" t="s">
        <v>20</v>
      </c>
      <c r="C256" s="15" t="s">
        <v>651</v>
      </c>
      <c r="D256" s="14" t="s">
        <v>67</v>
      </c>
      <c r="E256" s="13" t="s">
        <v>250</v>
      </c>
      <c r="F256" s="13" t="s">
        <v>250</v>
      </c>
      <c r="G256" s="14" t="s">
        <v>546</v>
      </c>
      <c r="H256" s="13" t="s">
        <v>836</v>
      </c>
      <c r="I256" s="15" t="s">
        <v>708</v>
      </c>
      <c r="J256" s="14" t="s">
        <v>25</v>
      </c>
      <c r="K256" s="15" t="s">
        <v>101</v>
      </c>
      <c r="L256" s="14" t="s">
        <v>277</v>
      </c>
      <c r="M256" s="14" t="s">
        <v>26</v>
      </c>
      <c r="N256" s="14" t="s">
        <v>278</v>
      </c>
      <c r="O256" s="85" t="s">
        <v>837</v>
      </c>
      <c r="P256" s="14" t="s">
        <v>549</v>
      </c>
      <c r="Q256" s="14" t="s">
        <v>549</v>
      </c>
      <c r="R256" s="14" t="s">
        <v>280</v>
      </c>
      <c r="S256" s="17">
        <v>12</v>
      </c>
      <c r="T256" s="14" t="s">
        <v>256</v>
      </c>
      <c r="U256" s="14" t="s">
        <v>833</v>
      </c>
      <c r="V256" s="14" t="s">
        <v>113</v>
      </c>
      <c r="W256" s="18">
        <v>289814384</v>
      </c>
      <c r="X256" s="18">
        <v>289814384</v>
      </c>
      <c r="Y256" s="19" t="s">
        <v>339</v>
      </c>
      <c r="Z256" s="19" t="s">
        <v>258</v>
      </c>
      <c r="AA256" s="14" t="s">
        <v>655</v>
      </c>
      <c r="AB256" s="14" t="s">
        <v>656</v>
      </c>
      <c r="AC256" s="14">
        <v>6012220601</v>
      </c>
      <c r="AD256" s="14" t="s">
        <v>657</v>
      </c>
      <c r="AE256" s="82">
        <v>0</v>
      </c>
      <c r="AF256" s="82">
        <v>0</v>
      </c>
      <c r="AG256" s="82">
        <v>0</v>
      </c>
      <c r="AH256" s="82">
        <v>0</v>
      </c>
      <c r="AI256" s="82">
        <v>0</v>
      </c>
      <c r="AJ256" s="82">
        <v>0</v>
      </c>
      <c r="AK256" s="82">
        <v>289814384</v>
      </c>
      <c r="AL256" s="82">
        <v>0</v>
      </c>
      <c r="AM256" s="82">
        <v>0</v>
      </c>
      <c r="AN256" s="82">
        <v>0</v>
      </c>
      <c r="AO256" s="82">
        <v>0</v>
      </c>
      <c r="AP256" s="82">
        <v>289814384</v>
      </c>
      <c r="AQ256" s="82">
        <v>0</v>
      </c>
      <c r="AR256" s="82">
        <v>0</v>
      </c>
      <c r="AS256" s="82">
        <v>0</v>
      </c>
      <c r="AT256" s="82">
        <v>0</v>
      </c>
      <c r="AU256" s="82">
        <v>0</v>
      </c>
      <c r="AV256" s="82">
        <v>0</v>
      </c>
      <c r="AW256" s="82">
        <v>0</v>
      </c>
      <c r="AX256" s="82">
        <v>0</v>
      </c>
      <c r="AY256" s="82">
        <v>0</v>
      </c>
      <c r="AZ256" s="82">
        <v>0</v>
      </c>
      <c r="BA256" s="82">
        <v>0</v>
      </c>
      <c r="BB256" s="82">
        <v>0</v>
      </c>
      <c r="BC256" s="82">
        <f t="shared" ref="BC256:BD256" si="500">AE256+AG256+AI256+AK256+AM256+AO256+AQ256+AS256+AU256+AW256+AY256+BA256</f>
        <v>289814384</v>
      </c>
      <c r="BD256" s="82">
        <f t="shared" si="500"/>
        <v>289814384</v>
      </c>
      <c r="BE256" s="83">
        <f t="shared" si="1"/>
        <v>0</v>
      </c>
      <c r="BF256" s="83">
        <f t="shared" si="2"/>
        <v>0</v>
      </c>
      <c r="BG256" s="14" t="str">
        <f ca="1">IFERROR(__xludf.DUMMYFUNCTION("REGEXEXTRACT(O250,""^\S+\s(.+)$"")"),"Adquirir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6" s="23"/>
      <c r="BI256" s="23"/>
      <c r="BJ256" s="23"/>
      <c r="BK256" s="23"/>
      <c r="BL256" s="23"/>
      <c r="BM256" s="23"/>
      <c r="BN256" s="23">
        <v>289814384</v>
      </c>
      <c r="BO256" s="23"/>
      <c r="BP256" s="23"/>
      <c r="BQ256" s="23"/>
      <c r="BR256" s="23"/>
      <c r="BS256" s="23">
        <v>289814384</v>
      </c>
      <c r="BT256" s="23"/>
      <c r="BU256" s="23"/>
      <c r="BV256" s="23"/>
      <c r="BW256" s="23"/>
      <c r="BX256" s="23"/>
      <c r="BY256" s="23"/>
      <c r="BZ256" s="23"/>
      <c r="CA256" s="23"/>
      <c r="CB256" s="23"/>
      <c r="CC256" s="23"/>
      <c r="CD256" s="23"/>
      <c r="CE256" s="23"/>
      <c r="CF256" s="28"/>
      <c r="CG256" s="28"/>
      <c r="CH256" s="25">
        <f t="shared" ref="CH256:CI256" si="501">BH256+BJ256+BL256+BN256+BP256+BR256+BT256+BV256+BX256+BZ256+CB256+CD256+CF256</f>
        <v>289814384</v>
      </c>
      <c r="CI256" s="25">
        <f t="shared" si="501"/>
        <v>289814384</v>
      </c>
      <c r="CJ256" s="26">
        <f t="shared" si="4"/>
        <v>0</v>
      </c>
      <c r="CK256" s="26">
        <f t="shared" si="5"/>
        <v>0</v>
      </c>
    </row>
    <row r="257" spans="1:89" ht="90" customHeight="1" x14ac:dyDescent="0.3">
      <c r="A257" s="13" t="s">
        <v>248</v>
      </c>
      <c r="B257" s="14" t="s">
        <v>20</v>
      </c>
      <c r="C257" s="15" t="s">
        <v>651</v>
      </c>
      <c r="D257" s="14" t="s">
        <v>67</v>
      </c>
      <c r="E257" s="13" t="s">
        <v>250</v>
      </c>
      <c r="F257" s="13" t="s">
        <v>250</v>
      </c>
      <c r="G257" s="14" t="s">
        <v>546</v>
      </c>
      <c r="H257" s="13" t="s">
        <v>838</v>
      </c>
      <c r="I257" s="15" t="s">
        <v>708</v>
      </c>
      <c r="J257" s="14" t="s">
        <v>25</v>
      </c>
      <c r="K257" s="15" t="s">
        <v>101</v>
      </c>
      <c r="L257" s="14" t="s">
        <v>277</v>
      </c>
      <c r="M257" s="14" t="s">
        <v>26</v>
      </c>
      <c r="N257" s="14" t="s">
        <v>278</v>
      </c>
      <c r="O257" s="85" t="s">
        <v>839</v>
      </c>
      <c r="P257" s="14" t="s">
        <v>549</v>
      </c>
      <c r="Q257" s="14" t="s">
        <v>549</v>
      </c>
      <c r="R257" s="14" t="s">
        <v>280</v>
      </c>
      <c r="S257" s="17">
        <v>12</v>
      </c>
      <c r="T257" s="14" t="s">
        <v>256</v>
      </c>
      <c r="U257" s="14" t="s">
        <v>833</v>
      </c>
      <c r="V257" s="14" t="s">
        <v>112</v>
      </c>
      <c r="W257" s="18">
        <v>5635616</v>
      </c>
      <c r="X257" s="18">
        <v>5635616</v>
      </c>
      <c r="Y257" s="19" t="s">
        <v>339</v>
      </c>
      <c r="Z257" s="19" t="s">
        <v>258</v>
      </c>
      <c r="AA257" s="14" t="s">
        <v>655</v>
      </c>
      <c r="AB257" s="14" t="s">
        <v>656</v>
      </c>
      <c r="AC257" s="14">
        <v>6012220601</v>
      </c>
      <c r="AD257" s="14" t="s">
        <v>657</v>
      </c>
      <c r="AE257" s="82">
        <v>0</v>
      </c>
      <c r="AF257" s="82">
        <v>0</v>
      </c>
      <c r="AG257" s="82">
        <v>0</v>
      </c>
      <c r="AH257" s="82">
        <v>0</v>
      </c>
      <c r="AI257" s="82">
        <v>0</v>
      </c>
      <c r="AJ257" s="82">
        <v>0</v>
      </c>
      <c r="AK257" s="82">
        <v>5635616</v>
      </c>
      <c r="AL257" s="82">
        <v>0</v>
      </c>
      <c r="AM257" s="82">
        <v>0</v>
      </c>
      <c r="AN257" s="82">
        <v>0</v>
      </c>
      <c r="AO257" s="82">
        <v>0</v>
      </c>
      <c r="AP257" s="82">
        <v>5635616</v>
      </c>
      <c r="AQ257" s="82">
        <v>0</v>
      </c>
      <c r="AR257" s="82">
        <v>0</v>
      </c>
      <c r="AS257" s="82">
        <v>0</v>
      </c>
      <c r="AT257" s="82">
        <v>0</v>
      </c>
      <c r="AU257" s="82">
        <v>0</v>
      </c>
      <c r="AV257" s="82">
        <v>0</v>
      </c>
      <c r="AW257" s="82">
        <v>0</v>
      </c>
      <c r="AX257" s="82">
        <v>0</v>
      </c>
      <c r="AY257" s="82">
        <v>0</v>
      </c>
      <c r="AZ257" s="82">
        <v>0</v>
      </c>
      <c r="BA257" s="82">
        <v>0</v>
      </c>
      <c r="BB257" s="82">
        <v>0</v>
      </c>
      <c r="BC257" s="82">
        <f t="shared" ref="BC257:BD257" si="502">AE257+AG257+AI257+AK257+AM257+AO257+AQ257+AS257+AU257+AW257+AY257+BA257</f>
        <v>5635616</v>
      </c>
      <c r="BD257" s="82">
        <f t="shared" si="502"/>
        <v>5635616</v>
      </c>
      <c r="BE257" s="83">
        <f t="shared" si="1"/>
        <v>0</v>
      </c>
      <c r="BF257" s="83">
        <f t="shared" si="2"/>
        <v>0</v>
      </c>
      <c r="BG257" s="14" t="str">
        <f ca="1">IFERROR(__xludf.DUMMYFUNCTION("REGEXEXTRACT(O251,""^\S+\s(.+)$"")"),"Adquirir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7" s="23"/>
      <c r="BI257" s="23"/>
      <c r="BJ257" s="23"/>
      <c r="BK257" s="23"/>
      <c r="BL257" s="23"/>
      <c r="BM257" s="23"/>
      <c r="BN257" s="23">
        <v>5635616</v>
      </c>
      <c r="BO257" s="23"/>
      <c r="BP257" s="23"/>
      <c r="BQ257" s="23"/>
      <c r="BR257" s="23"/>
      <c r="BS257" s="23">
        <v>5635616</v>
      </c>
      <c r="BT257" s="23"/>
      <c r="BU257" s="23"/>
      <c r="BV257" s="23"/>
      <c r="BW257" s="23"/>
      <c r="BX257" s="23"/>
      <c r="BY257" s="23"/>
      <c r="BZ257" s="23"/>
      <c r="CA257" s="23"/>
      <c r="CB257" s="23"/>
      <c r="CC257" s="23"/>
      <c r="CD257" s="23"/>
      <c r="CE257" s="23"/>
      <c r="CF257" s="28"/>
      <c r="CG257" s="28"/>
      <c r="CH257" s="25">
        <f t="shared" ref="CH257:CI257" si="503">BH257+BJ257+BL257+BN257+BP257+BR257+BT257+BV257+BX257+BZ257+CB257+CD257+CF257</f>
        <v>5635616</v>
      </c>
      <c r="CI257" s="25">
        <f t="shared" si="503"/>
        <v>5635616</v>
      </c>
      <c r="CJ257" s="26">
        <f t="shared" si="4"/>
        <v>0</v>
      </c>
      <c r="CK257" s="26">
        <f t="shared" si="5"/>
        <v>0</v>
      </c>
    </row>
    <row r="258" spans="1:89" ht="90" customHeight="1" x14ac:dyDescent="0.3">
      <c r="A258" s="13" t="s">
        <v>248</v>
      </c>
      <c r="B258" s="14" t="s">
        <v>20</v>
      </c>
      <c r="C258" s="15" t="s">
        <v>651</v>
      </c>
      <c r="D258" s="14" t="s">
        <v>67</v>
      </c>
      <c r="E258" s="13" t="s">
        <v>250</v>
      </c>
      <c r="F258" s="13" t="s">
        <v>250</v>
      </c>
      <c r="G258" s="14" t="s">
        <v>546</v>
      </c>
      <c r="H258" s="13" t="s">
        <v>840</v>
      </c>
      <c r="I258" s="15" t="s">
        <v>659</v>
      </c>
      <c r="J258" s="14" t="s">
        <v>21</v>
      </c>
      <c r="K258" s="15" t="s">
        <v>98</v>
      </c>
      <c r="L258" s="14" t="s">
        <v>277</v>
      </c>
      <c r="M258" s="14" t="s">
        <v>22</v>
      </c>
      <c r="N258" s="14" t="s">
        <v>278</v>
      </c>
      <c r="O258" s="85" t="s">
        <v>841</v>
      </c>
      <c r="P258" s="14" t="s">
        <v>549</v>
      </c>
      <c r="Q258" s="14" t="s">
        <v>549</v>
      </c>
      <c r="R258" s="14" t="s">
        <v>280</v>
      </c>
      <c r="S258" s="17">
        <v>12</v>
      </c>
      <c r="T258" s="14" t="s">
        <v>256</v>
      </c>
      <c r="U258" s="14" t="s">
        <v>833</v>
      </c>
      <c r="V258" s="14" t="s">
        <v>112</v>
      </c>
      <c r="W258" s="18">
        <v>43840322</v>
      </c>
      <c r="X258" s="18">
        <v>43840322</v>
      </c>
      <c r="Y258" s="19" t="s">
        <v>339</v>
      </c>
      <c r="Z258" s="19" t="s">
        <v>258</v>
      </c>
      <c r="AA258" s="14" t="s">
        <v>655</v>
      </c>
      <c r="AB258" s="14" t="s">
        <v>656</v>
      </c>
      <c r="AC258" s="14">
        <v>6012220601</v>
      </c>
      <c r="AD258" s="14" t="s">
        <v>657</v>
      </c>
      <c r="AE258" s="82">
        <v>0</v>
      </c>
      <c r="AF258" s="82">
        <v>0</v>
      </c>
      <c r="AG258" s="82">
        <v>0</v>
      </c>
      <c r="AH258" s="82">
        <v>0</v>
      </c>
      <c r="AI258" s="82">
        <v>0</v>
      </c>
      <c r="AJ258" s="82">
        <v>0</v>
      </c>
      <c r="AK258" s="82">
        <v>43840322</v>
      </c>
      <c r="AL258" s="82">
        <v>0</v>
      </c>
      <c r="AM258" s="82">
        <v>0</v>
      </c>
      <c r="AN258" s="82">
        <v>0</v>
      </c>
      <c r="AO258" s="82">
        <v>0</v>
      </c>
      <c r="AP258" s="82">
        <v>43840322</v>
      </c>
      <c r="AQ258" s="82">
        <v>0</v>
      </c>
      <c r="AR258" s="82">
        <v>0</v>
      </c>
      <c r="AS258" s="82">
        <v>0</v>
      </c>
      <c r="AT258" s="82">
        <v>0</v>
      </c>
      <c r="AU258" s="82">
        <v>0</v>
      </c>
      <c r="AV258" s="82">
        <v>0</v>
      </c>
      <c r="AW258" s="82">
        <v>0</v>
      </c>
      <c r="AX258" s="82">
        <v>0</v>
      </c>
      <c r="AY258" s="82">
        <v>0</v>
      </c>
      <c r="AZ258" s="82">
        <v>0</v>
      </c>
      <c r="BA258" s="82">
        <v>0</v>
      </c>
      <c r="BB258" s="82">
        <v>0</v>
      </c>
      <c r="BC258" s="82">
        <f t="shared" ref="BC258:BD258" si="504">AE258+AG258+AI258+AK258+AM258+AO258+AQ258+AS258+AU258+AW258+AY258+BA258</f>
        <v>43840322</v>
      </c>
      <c r="BD258" s="82">
        <f t="shared" si="504"/>
        <v>43840322</v>
      </c>
      <c r="BE258" s="83">
        <f t="shared" si="1"/>
        <v>0</v>
      </c>
      <c r="BF258" s="83">
        <f t="shared" si="2"/>
        <v>0</v>
      </c>
      <c r="BG258" s="14" t="str">
        <f ca="1">IFERROR(__xludf.DUMMYFUNCTION("REGEXEXTRACT(O252,""^\S+\s(.+)$"")"),"Adquirir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8" s="23"/>
      <c r="BI258" s="23"/>
      <c r="BJ258" s="23"/>
      <c r="BK258" s="23"/>
      <c r="BL258" s="23"/>
      <c r="BM258" s="23"/>
      <c r="BN258" s="23">
        <v>43840322</v>
      </c>
      <c r="BO258" s="23"/>
      <c r="BP258" s="23"/>
      <c r="BQ258" s="23"/>
      <c r="BR258" s="23"/>
      <c r="BS258" s="23">
        <v>43840322</v>
      </c>
      <c r="BT258" s="23"/>
      <c r="BU258" s="23"/>
      <c r="BV258" s="23"/>
      <c r="BW258" s="23"/>
      <c r="BX258" s="23"/>
      <c r="BY258" s="23"/>
      <c r="BZ258" s="23"/>
      <c r="CA258" s="23"/>
      <c r="CB258" s="23"/>
      <c r="CC258" s="23"/>
      <c r="CD258" s="23"/>
      <c r="CE258" s="23"/>
      <c r="CF258" s="28"/>
      <c r="CG258" s="28"/>
      <c r="CH258" s="25">
        <f t="shared" ref="CH258:CI258" si="505">BH258+BJ258+BL258+BN258+BP258+BR258+BT258+BV258+BX258+BZ258+CB258+CD258+CF258</f>
        <v>43840322</v>
      </c>
      <c r="CI258" s="25">
        <f t="shared" si="505"/>
        <v>43840322</v>
      </c>
      <c r="CJ258" s="26">
        <f t="shared" si="4"/>
        <v>0</v>
      </c>
      <c r="CK258" s="26">
        <f t="shared" si="5"/>
        <v>0</v>
      </c>
    </row>
    <row r="259" spans="1:89" ht="90" customHeight="1" x14ac:dyDescent="0.3">
      <c r="A259" s="13" t="s">
        <v>248</v>
      </c>
      <c r="B259" s="14" t="s">
        <v>20</v>
      </c>
      <c r="C259" s="15" t="s">
        <v>651</v>
      </c>
      <c r="D259" s="14" t="s">
        <v>67</v>
      </c>
      <c r="E259" s="13" t="s">
        <v>250</v>
      </c>
      <c r="F259" s="13" t="s">
        <v>250</v>
      </c>
      <c r="G259" s="14" t="s">
        <v>546</v>
      </c>
      <c r="H259" s="13" t="s">
        <v>842</v>
      </c>
      <c r="I259" s="15" t="s">
        <v>653</v>
      </c>
      <c r="J259" s="14" t="s">
        <v>23</v>
      </c>
      <c r="K259" s="15" t="s">
        <v>99</v>
      </c>
      <c r="L259" s="14" t="s">
        <v>277</v>
      </c>
      <c r="M259" s="14" t="s">
        <v>24</v>
      </c>
      <c r="N259" s="14" t="s">
        <v>278</v>
      </c>
      <c r="O259" s="85" t="s">
        <v>843</v>
      </c>
      <c r="P259" s="14" t="s">
        <v>549</v>
      </c>
      <c r="Q259" s="14" t="s">
        <v>549</v>
      </c>
      <c r="R259" s="14" t="s">
        <v>280</v>
      </c>
      <c r="S259" s="17">
        <v>12</v>
      </c>
      <c r="T259" s="14" t="s">
        <v>256</v>
      </c>
      <c r="U259" s="14" t="s">
        <v>833</v>
      </c>
      <c r="V259" s="14" t="s">
        <v>112</v>
      </c>
      <c r="W259" s="18">
        <v>155100000</v>
      </c>
      <c r="X259" s="18">
        <v>155100000</v>
      </c>
      <c r="Y259" s="19" t="s">
        <v>339</v>
      </c>
      <c r="Z259" s="19" t="s">
        <v>258</v>
      </c>
      <c r="AA259" s="14" t="s">
        <v>655</v>
      </c>
      <c r="AB259" s="14" t="s">
        <v>656</v>
      </c>
      <c r="AC259" s="14">
        <v>6012220601</v>
      </c>
      <c r="AD259" s="14" t="s">
        <v>657</v>
      </c>
      <c r="AE259" s="82">
        <v>0</v>
      </c>
      <c r="AF259" s="82">
        <v>0</v>
      </c>
      <c r="AG259" s="82">
        <v>0</v>
      </c>
      <c r="AH259" s="82">
        <v>0</v>
      </c>
      <c r="AI259" s="82">
        <v>0</v>
      </c>
      <c r="AJ259" s="82">
        <v>0</v>
      </c>
      <c r="AK259" s="82">
        <v>155100000</v>
      </c>
      <c r="AL259" s="82">
        <v>0</v>
      </c>
      <c r="AM259" s="82">
        <v>0</v>
      </c>
      <c r="AN259" s="82">
        <v>0</v>
      </c>
      <c r="AO259" s="82">
        <v>0</v>
      </c>
      <c r="AP259" s="82">
        <v>155100000</v>
      </c>
      <c r="AQ259" s="82">
        <v>0</v>
      </c>
      <c r="AR259" s="82">
        <v>0</v>
      </c>
      <c r="AS259" s="82">
        <v>0</v>
      </c>
      <c r="AT259" s="82">
        <v>0</v>
      </c>
      <c r="AU259" s="82">
        <v>0</v>
      </c>
      <c r="AV259" s="82">
        <v>0</v>
      </c>
      <c r="AW259" s="82">
        <v>0</v>
      </c>
      <c r="AX259" s="82">
        <v>0</v>
      </c>
      <c r="AY259" s="82">
        <v>0</v>
      </c>
      <c r="AZ259" s="82">
        <v>0</v>
      </c>
      <c r="BA259" s="82">
        <v>0</v>
      </c>
      <c r="BB259" s="82">
        <v>0</v>
      </c>
      <c r="BC259" s="82">
        <f t="shared" ref="BC259:BD259" si="506">AE259+AG259+AI259+AK259+AM259+AO259+AQ259+AS259+AU259+AW259+AY259+BA259</f>
        <v>155100000</v>
      </c>
      <c r="BD259" s="82">
        <f t="shared" si="506"/>
        <v>155100000</v>
      </c>
      <c r="BE259" s="83">
        <f t="shared" si="1"/>
        <v>0</v>
      </c>
      <c r="BF259" s="83">
        <f t="shared" si="2"/>
        <v>0</v>
      </c>
      <c r="BG259" s="14" t="str">
        <f ca="1">IFERROR(__xludf.DUMMYFUNCTION("REGEXEXTRACT(O253,""^\S+\s(.+)$"")"),"Adquirir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9" s="23"/>
      <c r="BI259" s="23"/>
      <c r="BJ259" s="23"/>
      <c r="BK259" s="23"/>
      <c r="BL259" s="23"/>
      <c r="BM259" s="23"/>
      <c r="BN259" s="23">
        <v>155100000</v>
      </c>
      <c r="BO259" s="23"/>
      <c r="BP259" s="23"/>
      <c r="BQ259" s="23"/>
      <c r="BR259" s="23"/>
      <c r="BS259" s="23">
        <v>155100000</v>
      </c>
      <c r="BT259" s="23"/>
      <c r="BU259" s="23"/>
      <c r="BV259" s="23"/>
      <c r="BW259" s="23"/>
      <c r="BX259" s="23"/>
      <c r="BY259" s="23"/>
      <c r="BZ259" s="23"/>
      <c r="CA259" s="23"/>
      <c r="CB259" s="23"/>
      <c r="CC259" s="23"/>
      <c r="CD259" s="23"/>
      <c r="CE259" s="23"/>
      <c r="CF259" s="28"/>
      <c r="CG259" s="28"/>
      <c r="CH259" s="25">
        <f t="shared" ref="CH259:CI259" si="507">BH259+BJ259+BL259+BN259+BP259+BR259+BT259+BV259+BX259+BZ259+CB259+CD259+CF259</f>
        <v>155100000</v>
      </c>
      <c r="CI259" s="25">
        <f t="shared" si="507"/>
        <v>155100000</v>
      </c>
      <c r="CJ259" s="26">
        <f t="shared" si="4"/>
        <v>0</v>
      </c>
      <c r="CK259" s="26">
        <f t="shared" si="5"/>
        <v>0</v>
      </c>
    </row>
    <row r="260" spans="1:89" ht="90" customHeight="1" x14ac:dyDescent="0.3">
      <c r="A260" s="13" t="s">
        <v>248</v>
      </c>
      <c r="B260" s="14" t="s">
        <v>20</v>
      </c>
      <c r="C260" s="15" t="s">
        <v>651</v>
      </c>
      <c r="D260" s="14" t="s">
        <v>67</v>
      </c>
      <c r="E260" s="13" t="s">
        <v>250</v>
      </c>
      <c r="F260" s="13" t="s">
        <v>250</v>
      </c>
      <c r="G260" s="14">
        <v>20</v>
      </c>
      <c r="H260" s="13" t="s">
        <v>844</v>
      </c>
      <c r="I260" s="15" t="s">
        <v>708</v>
      </c>
      <c r="J260" s="14" t="s">
        <v>25</v>
      </c>
      <c r="K260" s="15" t="s">
        <v>102</v>
      </c>
      <c r="L260" s="14">
        <v>80111620</v>
      </c>
      <c r="M260" s="14" t="s">
        <v>26</v>
      </c>
      <c r="N260" s="14" t="s">
        <v>253</v>
      </c>
      <c r="O260" s="15" t="s">
        <v>845</v>
      </c>
      <c r="P260" s="14" t="s">
        <v>255</v>
      </c>
      <c r="Q260" s="14" t="s">
        <v>255</v>
      </c>
      <c r="R260" s="14" t="s">
        <v>255</v>
      </c>
      <c r="S260" s="17">
        <v>11</v>
      </c>
      <c r="T260" s="14" t="s">
        <v>256</v>
      </c>
      <c r="U260" s="14" t="s">
        <v>257</v>
      </c>
      <c r="V260" s="14" t="s">
        <v>113</v>
      </c>
      <c r="W260" s="18">
        <v>75833333</v>
      </c>
      <c r="X260" s="18">
        <v>75833333</v>
      </c>
      <c r="Y260" s="19" t="s">
        <v>339</v>
      </c>
      <c r="Z260" s="19" t="s">
        <v>258</v>
      </c>
      <c r="AA260" s="14" t="s">
        <v>655</v>
      </c>
      <c r="AB260" s="14" t="s">
        <v>656</v>
      </c>
      <c r="AC260" s="14">
        <v>6012220601</v>
      </c>
      <c r="AD260" s="14" t="s">
        <v>657</v>
      </c>
      <c r="AE260" s="82">
        <v>0</v>
      </c>
      <c r="AF260" s="82">
        <v>0</v>
      </c>
      <c r="AG260" s="82">
        <v>77000000</v>
      </c>
      <c r="AH260" s="82">
        <v>0</v>
      </c>
      <c r="AI260" s="82">
        <v>0</v>
      </c>
      <c r="AJ260" s="82">
        <v>7000000</v>
      </c>
      <c r="AK260" s="82">
        <v>0</v>
      </c>
      <c r="AL260" s="82">
        <v>7000000</v>
      </c>
      <c r="AM260" s="82">
        <v>0</v>
      </c>
      <c r="AN260" s="82">
        <v>7000000</v>
      </c>
      <c r="AO260" s="82">
        <v>0</v>
      </c>
      <c r="AP260" s="82">
        <v>7000000</v>
      </c>
      <c r="AQ260" s="82">
        <v>0</v>
      </c>
      <c r="AR260" s="82">
        <v>7000000</v>
      </c>
      <c r="AS260" s="82">
        <v>0</v>
      </c>
      <c r="AT260" s="82">
        <v>7000000</v>
      </c>
      <c r="AU260" s="82">
        <v>0</v>
      </c>
      <c r="AV260" s="82">
        <v>7000000</v>
      </c>
      <c r="AW260" s="82">
        <v>0</v>
      </c>
      <c r="AX260" s="82">
        <v>7000000</v>
      </c>
      <c r="AY260" s="82">
        <v>0</v>
      </c>
      <c r="AZ260" s="82">
        <v>7000000</v>
      </c>
      <c r="BA260" s="82">
        <v>0</v>
      </c>
      <c r="BB260" s="82">
        <v>14000000</v>
      </c>
      <c r="BC260" s="82">
        <f t="shared" ref="BC260:BD260" si="508">AE260+AG260+AI260+AK260+AM260+AO260+AQ260+AS260+AU260+AW260+AY260+BA260</f>
        <v>77000000</v>
      </c>
      <c r="BD260" s="82">
        <f t="shared" si="508"/>
        <v>77000000</v>
      </c>
      <c r="BE260" s="83">
        <f t="shared" si="1"/>
        <v>-1166667</v>
      </c>
      <c r="BF260" s="83">
        <f t="shared" si="2"/>
        <v>-1166667</v>
      </c>
      <c r="BG260" s="14" t="str">
        <f ca="1">IFERROR(__xludf.DUMMYFUNCTION("REGEXEXTRACT(O254,""^\S+\s(.+)$"")"),"Prestar servicios profesionales especializados para el diseño, planificación, ejecución, validación y documentación del proceso de migración de la infraestructura tecnológica on-premise actualmente operada por la UPME hacia el entorno de nube, incluyendo "&amp;"la configuración, implementación y puesta en operación del Plan de Recuperación ante Desastres (DRP) debidamente actualizado y probado, garantizando la continuidad operativa de los servicios, la seguridad, disponibilidad e integridad de la información, as"&amp;"í como la entrega periódica de informes técnicos de avance, arquitectura y cumplimiento.")</f>
        <v>Prestar servicios profesionales especializados para el diseño, planificación, ejecución, validación y documentación del proceso de migración de la infraestructura tecnológica on-premise actualmente operada por la UPME hacia el entorno de nube, incluyendo la configuración, implementación y puesta en operación del Plan de Recuperación ante Desastres (DRP) debidamente actualizado y probado, garantizando la continuidad operativa de los servicios, la seguridad, disponibilidad e integridad de la información, así como la entrega periódica de informes técnicos de avance, arquitectura y cumplimiento.</v>
      </c>
      <c r="BH260" s="23">
        <v>0</v>
      </c>
      <c r="BI260" s="23">
        <v>0</v>
      </c>
      <c r="BJ260" s="23">
        <v>77000000</v>
      </c>
      <c r="BK260" s="23">
        <v>0</v>
      </c>
      <c r="BL260" s="23">
        <v>0</v>
      </c>
      <c r="BM260" s="23">
        <v>5833333</v>
      </c>
      <c r="BN260" s="23">
        <v>-1166667</v>
      </c>
      <c r="BO260" s="23">
        <v>7000000</v>
      </c>
      <c r="BP260" s="23">
        <v>0</v>
      </c>
      <c r="BQ260" s="23">
        <v>7000000</v>
      </c>
      <c r="BR260" s="23">
        <v>0</v>
      </c>
      <c r="BS260" s="23">
        <v>7000000</v>
      </c>
      <c r="BT260" s="23">
        <v>0</v>
      </c>
      <c r="BU260" s="23">
        <v>7000000</v>
      </c>
      <c r="BV260" s="23">
        <v>0</v>
      </c>
      <c r="BW260" s="23">
        <v>7000000</v>
      </c>
      <c r="BX260" s="23">
        <v>0</v>
      </c>
      <c r="BY260" s="23">
        <v>7000000</v>
      </c>
      <c r="BZ260" s="23">
        <v>0</v>
      </c>
      <c r="CA260" s="23">
        <v>7000000</v>
      </c>
      <c r="CB260" s="23">
        <v>0</v>
      </c>
      <c r="CC260" s="23">
        <v>7000000</v>
      </c>
      <c r="CD260" s="23">
        <v>0</v>
      </c>
      <c r="CE260" s="23">
        <v>14000000</v>
      </c>
      <c r="CF260" s="28"/>
      <c r="CG260" s="28"/>
      <c r="CH260" s="25">
        <f t="shared" ref="CH260:CI260" si="509">BH260+BJ260+BL260+BN260+BP260+BR260+BT260+BV260+BX260+BZ260+CB260+CD260+CF260</f>
        <v>75833333</v>
      </c>
      <c r="CI260" s="25">
        <f t="shared" si="509"/>
        <v>75833333</v>
      </c>
      <c r="CJ260" s="26">
        <f t="shared" si="4"/>
        <v>0</v>
      </c>
      <c r="CK260" s="26">
        <f t="shared" si="5"/>
        <v>0</v>
      </c>
    </row>
    <row r="261" spans="1:89" ht="90" customHeight="1" x14ac:dyDescent="0.3">
      <c r="A261" s="13" t="s">
        <v>248</v>
      </c>
      <c r="B261" s="14" t="s">
        <v>20</v>
      </c>
      <c r="C261" s="15" t="s">
        <v>651</v>
      </c>
      <c r="D261" s="14" t="s">
        <v>67</v>
      </c>
      <c r="E261" s="13" t="s">
        <v>250</v>
      </c>
      <c r="F261" s="13" t="s">
        <v>250</v>
      </c>
      <c r="G261" s="14">
        <v>2</v>
      </c>
      <c r="H261" s="13" t="s">
        <v>846</v>
      </c>
      <c r="I261" s="15" t="s">
        <v>659</v>
      </c>
      <c r="J261" s="14" t="s">
        <v>21</v>
      </c>
      <c r="K261" s="15" t="s">
        <v>97</v>
      </c>
      <c r="L261" s="14">
        <v>80111620</v>
      </c>
      <c r="M261" s="14" t="s">
        <v>22</v>
      </c>
      <c r="N261" s="14" t="s">
        <v>253</v>
      </c>
      <c r="O261" s="15" t="s">
        <v>847</v>
      </c>
      <c r="P261" s="14" t="s">
        <v>255</v>
      </c>
      <c r="Q261" s="14" t="s">
        <v>255</v>
      </c>
      <c r="R261" s="14" t="s">
        <v>255</v>
      </c>
      <c r="S261" s="17">
        <v>11</v>
      </c>
      <c r="T261" s="14" t="s">
        <v>256</v>
      </c>
      <c r="U261" s="14" t="s">
        <v>257</v>
      </c>
      <c r="V261" s="14" t="s">
        <v>112</v>
      </c>
      <c r="W261" s="18">
        <v>26898272</v>
      </c>
      <c r="X261" s="18">
        <v>26898272</v>
      </c>
      <c r="Y261" s="19" t="s">
        <v>339</v>
      </c>
      <c r="Z261" s="19" t="s">
        <v>258</v>
      </c>
      <c r="AA261" s="14" t="s">
        <v>655</v>
      </c>
      <c r="AB261" s="14" t="s">
        <v>656</v>
      </c>
      <c r="AC261" s="14">
        <v>6012220601</v>
      </c>
      <c r="AD261" s="14" t="s">
        <v>657</v>
      </c>
      <c r="AE261" s="82">
        <v>0</v>
      </c>
      <c r="AF261" s="82">
        <v>0</v>
      </c>
      <c r="AG261" s="82">
        <v>26898272</v>
      </c>
      <c r="AH261" s="82">
        <v>0</v>
      </c>
      <c r="AI261" s="82">
        <v>0</v>
      </c>
      <c r="AJ261" s="82">
        <v>3285450</v>
      </c>
      <c r="AK261" s="82">
        <v>0</v>
      </c>
      <c r="AL261" s="82">
        <v>3285450</v>
      </c>
      <c r="AM261" s="82">
        <v>0</v>
      </c>
      <c r="AN261" s="82">
        <v>3285450</v>
      </c>
      <c r="AO261" s="82">
        <v>0</v>
      </c>
      <c r="AP261" s="82">
        <v>3285450</v>
      </c>
      <c r="AQ261" s="82">
        <v>0</v>
      </c>
      <c r="AR261" s="82">
        <v>3285450</v>
      </c>
      <c r="AS261" s="82">
        <v>0</v>
      </c>
      <c r="AT261" s="82">
        <v>3285450</v>
      </c>
      <c r="AU261" s="82">
        <v>0</v>
      </c>
      <c r="AV261" s="82">
        <v>3285450</v>
      </c>
      <c r="AW261" s="82">
        <v>0</v>
      </c>
      <c r="AX261" s="82">
        <v>3285450</v>
      </c>
      <c r="AY261" s="82">
        <v>0</v>
      </c>
      <c r="AZ261" s="82">
        <v>614672</v>
      </c>
      <c r="BA261" s="82">
        <v>0</v>
      </c>
      <c r="BB261" s="82">
        <v>0</v>
      </c>
      <c r="BC261" s="82">
        <f t="shared" ref="BC261:BD261" si="510">AE261+AG261+AI261+AK261+AM261+AO261+AQ261+AS261+AU261+AW261+AY261+BA261</f>
        <v>26898272</v>
      </c>
      <c r="BD261" s="82">
        <f t="shared" si="510"/>
        <v>26898272</v>
      </c>
      <c r="BE261" s="83">
        <f t="shared" si="1"/>
        <v>0</v>
      </c>
      <c r="BF261" s="83">
        <f t="shared" si="2"/>
        <v>0</v>
      </c>
      <c r="BG261" s="14" t="str">
        <f ca="1">IFERROR(__xludf.DUMMYFUNCTION("REGEXEXTRACT(O255,""^\S+\s(.+)$"")"),"Prestar servicios profesionales para apoyar a la entidad en los procesos administrativos y en las actividades relacionadas con la atención y orientación al ciudadano.")</f>
        <v>Prestar servicios profesionales para apoyar a la entidad en los procesos administrativos y en las actividades relacionadas con la atención y orientación al ciudadano.</v>
      </c>
      <c r="BH261" s="23"/>
      <c r="BI261" s="23"/>
      <c r="BJ261" s="23">
        <v>26898272</v>
      </c>
      <c r="BK261" s="23"/>
      <c r="BL261" s="23"/>
      <c r="BM261" s="23">
        <v>3285450</v>
      </c>
      <c r="BN261" s="23"/>
      <c r="BO261" s="23">
        <v>3285450</v>
      </c>
      <c r="BP261" s="23"/>
      <c r="BQ261" s="23">
        <v>3285450</v>
      </c>
      <c r="BR261" s="23"/>
      <c r="BS261" s="23">
        <v>3285450</v>
      </c>
      <c r="BT261" s="23"/>
      <c r="BU261" s="23">
        <v>3285450</v>
      </c>
      <c r="BV261" s="23"/>
      <c r="BW261" s="23">
        <v>3285450</v>
      </c>
      <c r="BX261" s="23"/>
      <c r="BY261" s="23">
        <v>3285450</v>
      </c>
      <c r="BZ261" s="23"/>
      <c r="CA261" s="23">
        <v>3285450</v>
      </c>
      <c r="CB261" s="23"/>
      <c r="CC261" s="23">
        <v>614672</v>
      </c>
      <c r="CD261" s="23"/>
      <c r="CE261" s="23"/>
      <c r="CF261" s="28"/>
      <c r="CG261" s="28"/>
      <c r="CH261" s="25">
        <f t="shared" ref="CH261:CI261" si="511">BH261+BJ261+BL261+BN261+BP261+BR261+BT261+BV261+BX261+BZ261+CB261+CD261+CF261</f>
        <v>26898272</v>
      </c>
      <c r="CI261" s="25">
        <f t="shared" si="511"/>
        <v>26898272</v>
      </c>
      <c r="CJ261" s="26">
        <f t="shared" si="4"/>
        <v>0</v>
      </c>
      <c r="CK261" s="26">
        <f t="shared" si="5"/>
        <v>0</v>
      </c>
    </row>
    <row r="262" spans="1:89" ht="90" customHeight="1" x14ac:dyDescent="0.3">
      <c r="A262" s="13" t="s">
        <v>248</v>
      </c>
      <c r="B262" s="14" t="s">
        <v>20</v>
      </c>
      <c r="C262" s="15" t="s">
        <v>651</v>
      </c>
      <c r="D262" s="14" t="s">
        <v>67</v>
      </c>
      <c r="E262" s="13" t="s">
        <v>250</v>
      </c>
      <c r="F262" s="13" t="s">
        <v>250</v>
      </c>
      <c r="G262" s="14">
        <v>2</v>
      </c>
      <c r="H262" s="13" t="s">
        <v>848</v>
      </c>
      <c r="I262" s="15" t="s">
        <v>659</v>
      </c>
      <c r="J262" s="14" t="s">
        <v>21</v>
      </c>
      <c r="K262" s="15" t="s">
        <v>98</v>
      </c>
      <c r="L262" s="14">
        <v>80111620</v>
      </c>
      <c r="M262" s="14" t="s">
        <v>22</v>
      </c>
      <c r="N262" s="14" t="s">
        <v>253</v>
      </c>
      <c r="O262" s="15" t="s">
        <v>849</v>
      </c>
      <c r="P262" s="14" t="s">
        <v>255</v>
      </c>
      <c r="Q262" s="14" t="s">
        <v>255</v>
      </c>
      <c r="R262" s="14" t="s">
        <v>255</v>
      </c>
      <c r="S262" s="17">
        <v>11</v>
      </c>
      <c r="T262" s="14" t="s">
        <v>256</v>
      </c>
      <c r="U262" s="14" t="s">
        <v>257</v>
      </c>
      <c r="V262" s="14" t="s">
        <v>112</v>
      </c>
      <c r="W262" s="18">
        <v>9241678</v>
      </c>
      <c r="X262" s="18">
        <v>9241678</v>
      </c>
      <c r="Y262" s="19" t="s">
        <v>339</v>
      </c>
      <c r="Z262" s="19" t="s">
        <v>258</v>
      </c>
      <c r="AA262" s="14" t="s">
        <v>655</v>
      </c>
      <c r="AB262" s="14" t="s">
        <v>656</v>
      </c>
      <c r="AC262" s="14">
        <v>6012220601</v>
      </c>
      <c r="AD262" s="14" t="s">
        <v>657</v>
      </c>
      <c r="AE262" s="82">
        <v>0</v>
      </c>
      <c r="AF262" s="82">
        <v>0</v>
      </c>
      <c r="AG262" s="82">
        <v>9241678</v>
      </c>
      <c r="AH262" s="82">
        <v>0</v>
      </c>
      <c r="AI262" s="82">
        <v>0</v>
      </c>
      <c r="AJ262" s="82">
        <v>0</v>
      </c>
      <c r="AK262" s="82">
        <v>0</v>
      </c>
      <c r="AL262" s="82">
        <v>0</v>
      </c>
      <c r="AM262" s="82">
        <v>0</v>
      </c>
      <c r="AN262" s="82">
        <v>0</v>
      </c>
      <c r="AO262" s="82">
        <v>0</v>
      </c>
      <c r="AP262" s="82">
        <v>0</v>
      </c>
      <c r="AQ262" s="82">
        <v>0</v>
      </c>
      <c r="AR262" s="82">
        <v>0</v>
      </c>
      <c r="AS262" s="82">
        <v>0</v>
      </c>
      <c r="AT262" s="82">
        <v>0</v>
      </c>
      <c r="AU262" s="82">
        <v>0</v>
      </c>
      <c r="AV262" s="82">
        <v>0</v>
      </c>
      <c r="AW262" s="82">
        <v>0</v>
      </c>
      <c r="AX262" s="82">
        <v>0</v>
      </c>
      <c r="AY262" s="82">
        <v>0</v>
      </c>
      <c r="AZ262" s="82">
        <v>2670778</v>
      </c>
      <c r="BA262" s="82">
        <v>0</v>
      </c>
      <c r="BB262" s="82">
        <v>6570900</v>
      </c>
      <c r="BC262" s="82">
        <f t="shared" ref="BC262:BD262" si="512">AE262+AG262+AI262+AK262+AM262+AO262+AQ262+AS262+AU262+AW262+AY262+BA262</f>
        <v>9241678</v>
      </c>
      <c r="BD262" s="82">
        <f t="shared" si="512"/>
        <v>9241678</v>
      </c>
      <c r="BE262" s="83">
        <f t="shared" si="1"/>
        <v>0</v>
      </c>
      <c r="BF262" s="83">
        <f t="shared" si="2"/>
        <v>0</v>
      </c>
      <c r="BG262" s="14" t="str">
        <f ca="1">IFERROR(__xludf.DUMMYFUNCTION("REGEXEXTRACT(O256,""^\S+\s(.+)$"")"),"Prestar servicios profesionales para apoyar a la entidad en los procesos administrativos y en las actividades relacionadas con la atención y orientación al ciudadano.")</f>
        <v>Prestar servicios profesionales para apoyar a la entidad en los procesos administrativos y en las actividades relacionadas con la atención y orientación al ciudadano.</v>
      </c>
      <c r="BH262" s="23"/>
      <c r="BI262" s="23"/>
      <c r="BJ262" s="23">
        <v>9241678</v>
      </c>
      <c r="BK262" s="23"/>
      <c r="BL262" s="23"/>
      <c r="BM262" s="23"/>
      <c r="BN262" s="23"/>
      <c r="BO262" s="23"/>
      <c r="BP262" s="23"/>
      <c r="BQ262" s="23"/>
      <c r="BR262" s="23"/>
      <c r="BS262" s="23"/>
      <c r="BT262" s="23"/>
      <c r="BU262" s="23"/>
      <c r="BV262" s="23"/>
      <c r="BW262" s="23"/>
      <c r="BX262" s="23"/>
      <c r="BY262" s="23"/>
      <c r="BZ262" s="23"/>
      <c r="CA262" s="23"/>
      <c r="CB262" s="23"/>
      <c r="CC262" s="23">
        <v>2670778</v>
      </c>
      <c r="CD262" s="23"/>
      <c r="CE262" s="23">
        <v>6570900</v>
      </c>
      <c r="CF262" s="28"/>
      <c r="CG262" s="28"/>
      <c r="CH262" s="25">
        <f t="shared" ref="CH262:CI262" si="513">BH262+BJ262+BL262+BN262+BP262+BR262+BT262+BV262+BX262+BZ262+CB262+CD262+CF262</f>
        <v>9241678</v>
      </c>
      <c r="CI262" s="25">
        <f t="shared" si="513"/>
        <v>9241678</v>
      </c>
      <c r="CJ262" s="26">
        <f t="shared" si="4"/>
        <v>0</v>
      </c>
      <c r="CK262" s="26">
        <f t="shared" si="5"/>
        <v>0</v>
      </c>
    </row>
    <row r="263" spans="1:89" ht="90" customHeight="1" x14ac:dyDescent="0.3">
      <c r="A263" s="13" t="s">
        <v>248</v>
      </c>
      <c r="B263" s="14" t="s">
        <v>20</v>
      </c>
      <c r="C263" s="15" t="s">
        <v>651</v>
      </c>
      <c r="D263" s="14" t="s">
        <v>67</v>
      </c>
      <c r="E263" s="13" t="s">
        <v>250</v>
      </c>
      <c r="F263" s="13" t="s">
        <v>250</v>
      </c>
      <c r="G263" s="14">
        <v>2</v>
      </c>
      <c r="H263" s="13" t="s">
        <v>850</v>
      </c>
      <c r="I263" s="15" t="s">
        <v>659</v>
      </c>
      <c r="J263" s="14" t="s">
        <v>21</v>
      </c>
      <c r="K263" s="15" t="s">
        <v>98</v>
      </c>
      <c r="L263" s="14">
        <v>80111620</v>
      </c>
      <c r="M263" s="14" t="s">
        <v>22</v>
      </c>
      <c r="N263" s="14" t="s">
        <v>253</v>
      </c>
      <c r="O263" s="15" t="s">
        <v>851</v>
      </c>
      <c r="P263" s="14" t="s">
        <v>255</v>
      </c>
      <c r="Q263" s="14" t="s">
        <v>255</v>
      </c>
      <c r="R263" s="14" t="s">
        <v>255</v>
      </c>
      <c r="S263" s="17">
        <v>11</v>
      </c>
      <c r="T263" s="14" t="s">
        <v>256</v>
      </c>
      <c r="U263" s="14" t="s">
        <v>257</v>
      </c>
      <c r="V263" s="14" t="s">
        <v>112</v>
      </c>
      <c r="W263" s="18">
        <v>3704550</v>
      </c>
      <c r="X263" s="18">
        <v>3704550</v>
      </c>
      <c r="Y263" s="19" t="s">
        <v>339</v>
      </c>
      <c r="Z263" s="19" t="s">
        <v>258</v>
      </c>
      <c r="AA263" s="14" t="s">
        <v>655</v>
      </c>
      <c r="AB263" s="14" t="s">
        <v>656</v>
      </c>
      <c r="AC263" s="14">
        <v>6012220601</v>
      </c>
      <c r="AD263" s="14" t="s">
        <v>657</v>
      </c>
      <c r="AE263" s="82">
        <v>0</v>
      </c>
      <c r="AF263" s="82">
        <v>0</v>
      </c>
      <c r="AG263" s="82">
        <v>3704550</v>
      </c>
      <c r="AH263" s="82">
        <v>0</v>
      </c>
      <c r="AI263" s="82">
        <v>0</v>
      </c>
      <c r="AJ263" s="82">
        <v>0</v>
      </c>
      <c r="AK263" s="82">
        <v>0</v>
      </c>
      <c r="AL263" s="82">
        <v>0</v>
      </c>
      <c r="AM263" s="82">
        <v>0</v>
      </c>
      <c r="AN263" s="82">
        <v>0</v>
      </c>
      <c r="AO263" s="82">
        <v>0</v>
      </c>
      <c r="AP263" s="82">
        <v>0</v>
      </c>
      <c r="AQ263" s="82">
        <v>0</v>
      </c>
      <c r="AR263" s="82">
        <v>0</v>
      </c>
      <c r="AS263" s="82">
        <v>0</v>
      </c>
      <c r="AT263" s="82">
        <v>0</v>
      </c>
      <c r="AU263" s="82">
        <v>0</v>
      </c>
      <c r="AV263" s="82">
        <v>0</v>
      </c>
      <c r="AW263" s="82">
        <v>0</v>
      </c>
      <c r="AX263" s="82">
        <v>0</v>
      </c>
      <c r="AY263" s="82">
        <v>0</v>
      </c>
      <c r="AZ263" s="82">
        <v>0</v>
      </c>
      <c r="BA263" s="82">
        <v>0</v>
      </c>
      <c r="BB263" s="82">
        <v>3704550</v>
      </c>
      <c r="BC263" s="82">
        <f t="shared" ref="BC263:BD263" si="514">AE263+AG263+AI263+AK263+AM263+AO263+AQ263+AS263+AU263+AW263+AY263+BA263</f>
        <v>3704550</v>
      </c>
      <c r="BD263" s="82">
        <f t="shared" si="514"/>
        <v>3704550</v>
      </c>
      <c r="BE263" s="83">
        <f t="shared" ref="BE263:BE268" si="515">X263-BC263</f>
        <v>0</v>
      </c>
      <c r="BF263" s="83">
        <f t="shared" ref="BF263:BF268" si="516">X263-BD263</f>
        <v>0</v>
      </c>
      <c r="BG263" s="14" t="str">
        <f ca="1">IFERROR(__xludf.DUMMYFUNCTION("REGEXEXTRACT(O257,""^\S+\s(.+)$"")"),"Prestar servicios profesionales para apoyar los procesos de provisión y selección de personal de la planta global y temporal de la Unidad de Planeación Minero Energética – UPME, de conformidad con la normatividad vigente y las necesidades institucionales")</f>
        <v>Prestar servicios profesionales para apoyar los procesos de provisión y selección de personal de la planta global y temporal de la Unidad de Planeación Minero Energética – UPME, de conformidad con la normatividad vigente y las necesidades institucionales</v>
      </c>
      <c r="BH263" s="23"/>
      <c r="BI263" s="23"/>
      <c r="BJ263" s="23">
        <v>3704550</v>
      </c>
      <c r="BK263" s="23"/>
      <c r="BL263" s="23"/>
      <c r="BM263" s="23"/>
      <c r="BN263" s="23"/>
      <c r="BO263" s="23"/>
      <c r="BP263" s="23"/>
      <c r="BQ263" s="23"/>
      <c r="BR263" s="23"/>
      <c r="BS263" s="23"/>
      <c r="BT263" s="23"/>
      <c r="BU263" s="23"/>
      <c r="BV263" s="23"/>
      <c r="BW263" s="23"/>
      <c r="BX263" s="23"/>
      <c r="BY263" s="23"/>
      <c r="BZ263" s="23"/>
      <c r="CA263" s="23"/>
      <c r="CB263" s="23"/>
      <c r="CC263" s="23"/>
      <c r="CD263" s="23"/>
      <c r="CE263" s="23">
        <v>3704550</v>
      </c>
      <c r="CF263" s="28"/>
      <c r="CG263" s="28"/>
      <c r="CH263" s="25">
        <f t="shared" ref="CH263:CI263" si="517">BH263+BJ263+BL263+BN263+BP263+BR263+BT263+BV263+BX263+BZ263+CB263+CD263+CF263</f>
        <v>3704550</v>
      </c>
      <c r="CI263" s="25">
        <f t="shared" si="517"/>
        <v>3704550</v>
      </c>
      <c r="CJ263" s="26">
        <f t="shared" ref="CJ263:CJ411" si="518">X263-CH263</f>
        <v>0</v>
      </c>
      <c r="CK263" s="26">
        <f t="shared" ref="CK263:CK411" si="519">X263-CI263</f>
        <v>0</v>
      </c>
    </row>
    <row r="264" spans="1:89" ht="90" customHeight="1" x14ac:dyDescent="0.3">
      <c r="A264" s="13" t="s">
        <v>248</v>
      </c>
      <c r="B264" s="14" t="s">
        <v>20</v>
      </c>
      <c r="C264" s="15" t="s">
        <v>651</v>
      </c>
      <c r="D264" s="14" t="s">
        <v>67</v>
      </c>
      <c r="E264" s="13" t="s">
        <v>250</v>
      </c>
      <c r="F264" s="13" t="s">
        <v>250</v>
      </c>
      <c r="G264" s="14">
        <v>16</v>
      </c>
      <c r="H264" s="13" t="s">
        <v>852</v>
      </c>
      <c r="I264" s="15" t="s">
        <v>708</v>
      </c>
      <c r="J264" s="14" t="s">
        <v>25</v>
      </c>
      <c r="K264" s="15" t="s">
        <v>101</v>
      </c>
      <c r="L264" s="14">
        <v>80111620</v>
      </c>
      <c r="M264" s="14" t="s">
        <v>26</v>
      </c>
      <c r="N264" s="14" t="s">
        <v>253</v>
      </c>
      <c r="O264" s="15" t="s">
        <v>853</v>
      </c>
      <c r="P264" s="14" t="s">
        <v>255</v>
      </c>
      <c r="Q264" s="14" t="s">
        <v>255</v>
      </c>
      <c r="R264" s="14" t="s">
        <v>255</v>
      </c>
      <c r="S264" s="17">
        <v>11</v>
      </c>
      <c r="T264" s="14" t="s">
        <v>256</v>
      </c>
      <c r="U264" s="14" t="s">
        <v>257</v>
      </c>
      <c r="V264" s="14" t="s">
        <v>113</v>
      </c>
      <c r="W264" s="18">
        <v>31495450</v>
      </c>
      <c r="X264" s="18">
        <v>31495450</v>
      </c>
      <c r="Y264" s="19" t="s">
        <v>339</v>
      </c>
      <c r="Z264" s="19" t="s">
        <v>258</v>
      </c>
      <c r="AA264" s="14" t="s">
        <v>655</v>
      </c>
      <c r="AB264" s="14" t="s">
        <v>656</v>
      </c>
      <c r="AC264" s="14">
        <v>6012220601</v>
      </c>
      <c r="AD264" s="14" t="s">
        <v>657</v>
      </c>
      <c r="AE264" s="82">
        <v>0</v>
      </c>
      <c r="AF264" s="82">
        <v>0</v>
      </c>
      <c r="AG264" s="82">
        <v>38095450</v>
      </c>
      <c r="AH264" s="82">
        <v>0</v>
      </c>
      <c r="AI264" s="82">
        <v>0</v>
      </c>
      <c r="AJ264" s="82">
        <v>3800000</v>
      </c>
      <c r="AK264" s="82">
        <v>0</v>
      </c>
      <c r="AL264" s="82">
        <v>3800000</v>
      </c>
      <c r="AM264" s="82">
        <v>0</v>
      </c>
      <c r="AN264" s="82">
        <v>3800000</v>
      </c>
      <c r="AO264" s="82">
        <v>0</v>
      </c>
      <c r="AP264" s="82">
        <v>3800000</v>
      </c>
      <c r="AQ264" s="82">
        <v>0</v>
      </c>
      <c r="AR264" s="82">
        <v>3800000</v>
      </c>
      <c r="AS264" s="82">
        <v>0</v>
      </c>
      <c r="AT264" s="82">
        <v>3800000</v>
      </c>
      <c r="AU264" s="82">
        <v>0</v>
      </c>
      <c r="AV264" s="82">
        <v>3800000</v>
      </c>
      <c r="AW264" s="82">
        <v>0</v>
      </c>
      <c r="AX264" s="82">
        <v>3800000</v>
      </c>
      <c r="AY264" s="82">
        <v>0</v>
      </c>
      <c r="AZ264" s="82">
        <v>3800000</v>
      </c>
      <c r="BA264" s="82">
        <v>0</v>
      </c>
      <c r="BB264" s="82">
        <v>3895450</v>
      </c>
      <c r="BC264" s="82">
        <f t="shared" ref="BC264:BD264" si="520">AE264+AG264+AI264+AK264+AM264+AO264+AQ264+AS264+AU264+AW264+AY264+BA264</f>
        <v>38095450</v>
      </c>
      <c r="BD264" s="82">
        <f t="shared" si="520"/>
        <v>38095450</v>
      </c>
      <c r="BE264" s="83">
        <f t="shared" si="515"/>
        <v>-6600000</v>
      </c>
      <c r="BF264" s="83">
        <f t="shared" si="516"/>
        <v>-6600000</v>
      </c>
      <c r="BG264" s="14" t="str">
        <f ca="1">IFERROR(__xludf.DUMMYFUNCTION("REGEXEXTRACT(O258,""^\S+\s(.+)$"")"),"Prestar servicios profesionales para apoyar los procesos de provisión y selección de personal de la planta global y temporal de la Unidad de Planeación Minero Energética – UPME, de conformidad con la normatividad vigente y las necesidades institucionales")</f>
        <v>Prestar servicios profesionales para apoyar los procesos de provisión y selección de personal de la planta global y temporal de la Unidad de Planeación Minero Energética – UPME, de conformidad con la normatividad vigente y las necesidades institucionales</v>
      </c>
      <c r="BH264" s="23">
        <v>31495450</v>
      </c>
      <c r="BI264" s="23">
        <v>0</v>
      </c>
      <c r="BJ264" s="23">
        <v>0</v>
      </c>
      <c r="BK264" s="23">
        <v>0</v>
      </c>
      <c r="BL264" s="23">
        <v>0</v>
      </c>
      <c r="BM264" s="23">
        <v>3800000</v>
      </c>
      <c r="BN264" s="23">
        <v>0</v>
      </c>
      <c r="BO264" s="23">
        <v>3800000</v>
      </c>
      <c r="BP264" s="23">
        <v>0</v>
      </c>
      <c r="BQ264" s="23">
        <v>3800000</v>
      </c>
      <c r="BR264" s="23">
        <v>0</v>
      </c>
      <c r="BS264" s="23">
        <v>3800000</v>
      </c>
      <c r="BT264" s="23">
        <v>0</v>
      </c>
      <c r="BU264" s="23">
        <v>3800000</v>
      </c>
      <c r="BV264" s="23">
        <v>0</v>
      </c>
      <c r="BW264" s="23">
        <v>3800000</v>
      </c>
      <c r="BX264" s="23">
        <v>0</v>
      </c>
      <c r="BY264" s="23">
        <v>3800000</v>
      </c>
      <c r="BZ264" s="23">
        <v>0</v>
      </c>
      <c r="CA264" s="23">
        <v>3800000</v>
      </c>
      <c r="CB264" s="23">
        <v>0</v>
      </c>
      <c r="CC264" s="23">
        <v>1095450</v>
      </c>
      <c r="CD264" s="23">
        <v>0</v>
      </c>
      <c r="CE264" s="23">
        <v>0</v>
      </c>
      <c r="CF264" s="28"/>
      <c r="CG264" s="28"/>
      <c r="CH264" s="25">
        <f t="shared" ref="CH264:CI264" si="521">BH264+BJ264+BL264+BN264+BP264+BR264+BT264+BV264+BX264+BZ264+CB264+CD264+CF264</f>
        <v>31495450</v>
      </c>
      <c r="CI264" s="25">
        <f t="shared" si="521"/>
        <v>31495450</v>
      </c>
      <c r="CJ264" s="26">
        <f t="shared" si="518"/>
        <v>0</v>
      </c>
      <c r="CK264" s="26">
        <f t="shared" si="519"/>
        <v>0</v>
      </c>
    </row>
    <row r="265" spans="1:89" ht="90" customHeight="1" x14ac:dyDescent="0.3">
      <c r="A265" s="13" t="s">
        <v>248</v>
      </c>
      <c r="B265" s="14" t="s">
        <v>20</v>
      </c>
      <c r="C265" s="15" t="s">
        <v>651</v>
      </c>
      <c r="D265" s="14" t="s">
        <v>67</v>
      </c>
      <c r="E265" s="13" t="s">
        <v>250</v>
      </c>
      <c r="F265" s="13" t="s">
        <v>250</v>
      </c>
      <c r="G265" s="14">
        <v>20</v>
      </c>
      <c r="H265" s="13" t="s">
        <v>854</v>
      </c>
      <c r="I265" s="15" t="s">
        <v>708</v>
      </c>
      <c r="J265" s="14" t="s">
        <v>25</v>
      </c>
      <c r="K265" s="15" t="s">
        <v>101</v>
      </c>
      <c r="L265" s="14">
        <v>80111620</v>
      </c>
      <c r="M265" s="14" t="s">
        <v>26</v>
      </c>
      <c r="N265" s="14" t="s">
        <v>253</v>
      </c>
      <c r="O265" s="15" t="s">
        <v>855</v>
      </c>
      <c r="P265" s="14" t="s">
        <v>255</v>
      </c>
      <c r="Q265" s="14" t="s">
        <v>255</v>
      </c>
      <c r="R265" s="14" t="s">
        <v>255</v>
      </c>
      <c r="S265" s="17">
        <v>11</v>
      </c>
      <c r="T265" s="14" t="s">
        <v>256</v>
      </c>
      <c r="U265" s="14" t="s">
        <v>257</v>
      </c>
      <c r="V265" s="14" t="s">
        <v>113</v>
      </c>
      <c r="W265" s="18">
        <v>35592375</v>
      </c>
      <c r="X265" s="18">
        <v>35592375</v>
      </c>
      <c r="Y265" s="19" t="s">
        <v>339</v>
      </c>
      <c r="Z265" s="19" t="s">
        <v>258</v>
      </c>
      <c r="AA265" s="14" t="s">
        <v>655</v>
      </c>
      <c r="AB265" s="14" t="s">
        <v>656</v>
      </c>
      <c r="AC265" s="14">
        <v>6012220601</v>
      </c>
      <c r="AD265" s="14" t="s">
        <v>657</v>
      </c>
      <c r="AE265" s="82">
        <v>0</v>
      </c>
      <c r="AF265" s="82">
        <v>0</v>
      </c>
      <c r="AG265" s="82">
        <v>36139950</v>
      </c>
      <c r="AH265" s="82">
        <v>0</v>
      </c>
      <c r="AI265" s="82">
        <v>0</v>
      </c>
      <c r="AJ265" s="82">
        <v>3285450</v>
      </c>
      <c r="AK265" s="82">
        <v>0</v>
      </c>
      <c r="AL265" s="82">
        <v>3285450</v>
      </c>
      <c r="AM265" s="82">
        <v>0</v>
      </c>
      <c r="AN265" s="82">
        <v>3285450</v>
      </c>
      <c r="AO265" s="82">
        <v>0</v>
      </c>
      <c r="AP265" s="82">
        <v>3285450</v>
      </c>
      <c r="AQ265" s="82">
        <v>0</v>
      </c>
      <c r="AR265" s="82">
        <v>3285450</v>
      </c>
      <c r="AS265" s="82">
        <v>0</v>
      </c>
      <c r="AT265" s="82">
        <v>3285450</v>
      </c>
      <c r="AU265" s="82">
        <v>0</v>
      </c>
      <c r="AV265" s="82">
        <v>3285450</v>
      </c>
      <c r="AW265" s="82">
        <v>0</v>
      </c>
      <c r="AX265" s="82">
        <v>3285450</v>
      </c>
      <c r="AY265" s="82">
        <v>0</v>
      </c>
      <c r="AZ265" s="82">
        <v>3285450</v>
      </c>
      <c r="BA265" s="82">
        <v>0</v>
      </c>
      <c r="BB265" s="82">
        <v>6570900</v>
      </c>
      <c r="BC265" s="82">
        <f t="shared" ref="BC265:BD265" si="522">AE265+AG265+AI265+AK265+AM265+AO265+AQ265+AS265+AU265+AW265+AY265+BA265</f>
        <v>36139950</v>
      </c>
      <c r="BD265" s="82">
        <f t="shared" si="522"/>
        <v>36139950</v>
      </c>
      <c r="BE265" s="83">
        <f t="shared" si="515"/>
        <v>-547575</v>
      </c>
      <c r="BF265" s="83">
        <f t="shared" si="516"/>
        <v>-547575</v>
      </c>
      <c r="BG265" s="14" t="str">
        <f ca="1">IFERROR(__xludf.DUMMYFUNCTION("REGEXEXTRACT(O259,""^\S+\s(.+)$"")"),"Prestar servicios profesionales para apoyar a la Oficina de Tecnologías de la Información, en el desarrollo y seguimiento de actividades administrativas, de planeación y coordinación con las diferentes áreas de la entidad, de acuerdo con las necesidades d"&amp;"e la dependencia y los lineamientos institucionales.")</f>
        <v>Prestar servicios profesionales para apoyar a la Oficina de Tecnologías de la Información, en el desarrollo y seguimiento de actividades administrativas, de planeación y coordinación con las diferentes áreas de la entidad, de acuerdo con las necesidades de la dependencia y los lineamientos institucionales.</v>
      </c>
      <c r="BH265" s="23">
        <v>0</v>
      </c>
      <c r="BI265" s="23">
        <v>0</v>
      </c>
      <c r="BJ265" s="23">
        <v>36139950</v>
      </c>
      <c r="BK265" s="23">
        <v>0</v>
      </c>
      <c r="BL265" s="23">
        <v>0</v>
      </c>
      <c r="BM265" s="23">
        <v>2737875</v>
      </c>
      <c r="BN265" s="23">
        <v>-547575</v>
      </c>
      <c r="BO265" s="23">
        <v>3285450</v>
      </c>
      <c r="BP265" s="23">
        <v>0</v>
      </c>
      <c r="BQ265" s="23">
        <v>3285450</v>
      </c>
      <c r="BR265" s="23">
        <v>0</v>
      </c>
      <c r="BS265" s="23">
        <v>3285450</v>
      </c>
      <c r="BT265" s="23">
        <v>0</v>
      </c>
      <c r="BU265" s="23">
        <v>3285450</v>
      </c>
      <c r="BV265" s="23">
        <v>0</v>
      </c>
      <c r="BW265" s="23">
        <v>3285450</v>
      </c>
      <c r="BX265" s="23">
        <v>0</v>
      </c>
      <c r="BY265" s="23">
        <v>3285450</v>
      </c>
      <c r="BZ265" s="23">
        <v>0</v>
      </c>
      <c r="CA265" s="23">
        <v>3285450</v>
      </c>
      <c r="CB265" s="23">
        <v>0</v>
      </c>
      <c r="CC265" s="23">
        <v>3285450</v>
      </c>
      <c r="CD265" s="23">
        <v>0</v>
      </c>
      <c r="CE265" s="23">
        <v>6570900</v>
      </c>
      <c r="CF265" s="28"/>
      <c r="CG265" s="28"/>
      <c r="CH265" s="25">
        <f t="shared" ref="CH265:CI265" si="523">BH265+BJ265+BL265+BN265+BP265+BR265+BT265+BV265+BX265+BZ265+CB265+CD265+CF265</f>
        <v>35592375</v>
      </c>
      <c r="CI265" s="25">
        <f t="shared" si="523"/>
        <v>35592375</v>
      </c>
      <c r="CJ265" s="26">
        <f t="shared" si="518"/>
        <v>0</v>
      </c>
      <c r="CK265" s="26">
        <f t="shared" si="519"/>
        <v>0</v>
      </c>
    </row>
    <row r="266" spans="1:89" ht="90" customHeight="1" x14ac:dyDescent="0.3">
      <c r="A266" s="13" t="s">
        <v>248</v>
      </c>
      <c r="B266" s="14" t="s">
        <v>20</v>
      </c>
      <c r="C266" s="15" t="s">
        <v>651</v>
      </c>
      <c r="D266" s="14" t="s">
        <v>67</v>
      </c>
      <c r="E266" s="13" t="s">
        <v>250</v>
      </c>
      <c r="F266" s="13" t="s">
        <v>250</v>
      </c>
      <c r="G266" s="14">
        <v>16</v>
      </c>
      <c r="H266" s="13" t="s">
        <v>856</v>
      </c>
      <c r="I266" s="15" t="s">
        <v>708</v>
      </c>
      <c r="J266" s="14" t="s">
        <v>25</v>
      </c>
      <c r="K266" s="15" t="s">
        <v>102</v>
      </c>
      <c r="L266" s="14">
        <v>80111620</v>
      </c>
      <c r="M266" s="14" t="s">
        <v>26</v>
      </c>
      <c r="N266" s="14" t="s">
        <v>253</v>
      </c>
      <c r="O266" s="15" t="s">
        <v>857</v>
      </c>
      <c r="P266" s="14" t="s">
        <v>255</v>
      </c>
      <c r="Q266" s="14" t="s">
        <v>255</v>
      </c>
      <c r="R266" s="14" t="s">
        <v>255</v>
      </c>
      <c r="S266" s="17">
        <v>11</v>
      </c>
      <c r="T266" s="14" t="s">
        <v>256</v>
      </c>
      <c r="U266" s="14" t="s">
        <v>257</v>
      </c>
      <c r="V266" s="14" t="s">
        <v>113</v>
      </c>
      <c r="W266" s="18">
        <v>22500000</v>
      </c>
      <c r="X266" s="18">
        <v>22500000</v>
      </c>
      <c r="Y266" s="19" t="s">
        <v>339</v>
      </c>
      <c r="Z266" s="19" t="s">
        <v>258</v>
      </c>
      <c r="AA266" s="14" t="s">
        <v>655</v>
      </c>
      <c r="AB266" s="14" t="s">
        <v>656</v>
      </c>
      <c r="AC266" s="14">
        <v>6012220601</v>
      </c>
      <c r="AD266" s="14" t="s">
        <v>657</v>
      </c>
      <c r="AE266" s="82">
        <v>0</v>
      </c>
      <c r="AF266" s="82">
        <v>0</v>
      </c>
      <c r="AG266" s="82">
        <v>0</v>
      </c>
      <c r="AH266" s="82">
        <v>0</v>
      </c>
      <c r="AI266" s="82">
        <v>0</v>
      </c>
      <c r="AJ266" s="82">
        <v>0</v>
      </c>
      <c r="AK266" s="82">
        <v>0</v>
      </c>
      <c r="AL266" s="82">
        <v>0</v>
      </c>
      <c r="AM266" s="82">
        <v>0</v>
      </c>
      <c r="AN266" s="82">
        <v>0</v>
      </c>
      <c r="AO266" s="82">
        <v>0</v>
      </c>
      <c r="AP266" s="82">
        <v>0</v>
      </c>
      <c r="AQ266" s="82">
        <v>0</v>
      </c>
      <c r="AR266" s="82">
        <v>0</v>
      </c>
      <c r="AS266" s="82">
        <v>0</v>
      </c>
      <c r="AT266" s="82">
        <v>0</v>
      </c>
      <c r="AU266" s="82">
        <v>0</v>
      </c>
      <c r="AV266" s="82">
        <v>0</v>
      </c>
      <c r="AW266" s="82">
        <v>0</v>
      </c>
      <c r="AX266" s="82">
        <v>0</v>
      </c>
      <c r="AY266" s="82">
        <v>0</v>
      </c>
      <c r="AZ266" s="82">
        <v>0</v>
      </c>
      <c r="BA266" s="82">
        <v>36139950</v>
      </c>
      <c r="BB266" s="82">
        <v>36139950</v>
      </c>
      <c r="BC266" s="82">
        <f t="shared" ref="BC266:BD266" si="524">AE266+AG266+AI266+AK266+AM266+AO266+AQ266+AS266+AU266+AW266+AY266+BA266</f>
        <v>36139950</v>
      </c>
      <c r="BD266" s="82">
        <f t="shared" si="524"/>
        <v>36139950</v>
      </c>
      <c r="BE266" s="83">
        <f t="shared" si="515"/>
        <v>-13639950</v>
      </c>
      <c r="BF266" s="83">
        <f t="shared" si="516"/>
        <v>-13639950</v>
      </c>
      <c r="BG266" s="14" t="str">
        <f ca="1">IFERROR(__xludf.DUMMYFUNCTION("REGEXEXTRACT(O260,""^\S+\s(.+)$"")"),"Prestar servicios de apoyo a la gestión para el apoyo contable, financiero y presupuestal de los proyectos de inversión de la entidad, en especial el de la Oficina de Tecnologías de la Información para apoyar el seguimiento a la ejecución presupuestal y e"&amp;"l cumplimiento de las obligaciones conforme a la normatividad vigente")</f>
        <v>Prestar servicios de apoyo a la gestión para el apoyo contable, financiero y presupuestal de los proyectos de inversión de la entidad, en especial el de la Oficina de Tecnologías de la Información para apoyar el seguimiento a la ejecución presupuestal y el cumplimiento de las obligaciones conforme a la normatividad vigente</v>
      </c>
      <c r="BH266" s="23">
        <v>0</v>
      </c>
      <c r="BI266" s="23">
        <v>0</v>
      </c>
      <c r="BJ266" s="23">
        <v>0</v>
      </c>
      <c r="BK266" s="23">
        <v>0</v>
      </c>
      <c r="BL266" s="23">
        <v>0</v>
      </c>
      <c r="BM266" s="23">
        <v>0</v>
      </c>
      <c r="BN266" s="23">
        <v>0</v>
      </c>
      <c r="BO266" s="23">
        <v>0</v>
      </c>
      <c r="BP266" s="23">
        <v>0</v>
      </c>
      <c r="BQ266" s="23">
        <v>0</v>
      </c>
      <c r="BR266" s="23">
        <v>0</v>
      </c>
      <c r="BS266" s="23">
        <v>0</v>
      </c>
      <c r="BT266" s="23">
        <v>0</v>
      </c>
      <c r="BU266" s="23">
        <v>0</v>
      </c>
      <c r="BV266" s="23">
        <v>22500000</v>
      </c>
      <c r="BW266" s="23">
        <v>0</v>
      </c>
      <c r="BX266" s="23">
        <v>0</v>
      </c>
      <c r="BY266" s="23">
        <v>4500000</v>
      </c>
      <c r="BZ266" s="23">
        <v>0</v>
      </c>
      <c r="CA266" s="23">
        <v>4500000</v>
      </c>
      <c r="CB266" s="23">
        <v>0</v>
      </c>
      <c r="CC266" s="23">
        <v>4500000</v>
      </c>
      <c r="CD266" s="23">
        <v>0</v>
      </c>
      <c r="CE266" s="23">
        <v>9000000</v>
      </c>
      <c r="CF266" s="28"/>
      <c r="CG266" s="28"/>
      <c r="CH266" s="25">
        <f t="shared" ref="CH266:CI266" si="525">BH266+BJ266+BL266+BN266+BP266+BR266+BT266+BV266+BX266+BZ266+CB266+CD266+CF266</f>
        <v>22500000</v>
      </c>
      <c r="CI266" s="25">
        <f t="shared" si="525"/>
        <v>22500000</v>
      </c>
      <c r="CJ266" s="26">
        <f t="shared" si="518"/>
        <v>0</v>
      </c>
      <c r="CK266" s="26">
        <f t="shared" si="519"/>
        <v>0</v>
      </c>
    </row>
    <row r="267" spans="1:89" ht="90" customHeight="1" x14ac:dyDescent="0.3">
      <c r="A267" s="13" t="s">
        <v>248</v>
      </c>
      <c r="B267" s="14" t="s">
        <v>20</v>
      </c>
      <c r="C267" s="15" t="s">
        <v>651</v>
      </c>
      <c r="D267" s="14" t="s">
        <v>67</v>
      </c>
      <c r="E267" s="13" t="s">
        <v>250</v>
      </c>
      <c r="F267" s="13" t="s">
        <v>250</v>
      </c>
      <c r="G267" s="14">
        <v>16</v>
      </c>
      <c r="H267" s="13" t="s">
        <v>858</v>
      </c>
      <c r="I267" s="15" t="s">
        <v>659</v>
      </c>
      <c r="J267" s="14" t="s">
        <v>21</v>
      </c>
      <c r="K267" s="15" t="s">
        <v>97</v>
      </c>
      <c r="L267" s="14">
        <v>43231513</v>
      </c>
      <c r="M267" s="14" t="s">
        <v>22</v>
      </c>
      <c r="N267" s="14" t="s">
        <v>770</v>
      </c>
      <c r="O267" s="15" t="s">
        <v>859</v>
      </c>
      <c r="P267" s="14" t="s">
        <v>784</v>
      </c>
      <c r="Q267" s="14" t="s">
        <v>784</v>
      </c>
      <c r="R267" s="14" t="s">
        <v>281</v>
      </c>
      <c r="S267" s="17">
        <v>12</v>
      </c>
      <c r="T267" s="14" t="s">
        <v>256</v>
      </c>
      <c r="U267" s="14" t="s">
        <v>282</v>
      </c>
      <c r="V267" s="14" t="s">
        <v>112</v>
      </c>
      <c r="W267" s="18">
        <v>6460050</v>
      </c>
      <c r="X267" s="18">
        <v>6460050</v>
      </c>
      <c r="Y267" s="19" t="s">
        <v>339</v>
      </c>
      <c r="Z267" s="19" t="s">
        <v>258</v>
      </c>
      <c r="AA267" s="14" t="s">
        <v>655</v>
      </c>
      <c r="AB267" s="14" t="s">
        <v>656</v>
      </c>
      <c r="AC267" s="14">
        <v>6012220601</v>
      </c>
      <c r="AD267" s="14" t="s">
        <v>657</v>
      </c>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f t="shared" ref="BC267:BD267" si="526">AE267+AG267+AI267+AK267+AM267+AO267+AQ267+AS267+AU267+AW267+AY267+BA267</f>
        <v>0</v>
      </c>
      <c r="BD267" s="82">
        <f t="shared" si="526"/>
        <v>0</v>
      </c>
      <c r="BE267" s="83">
        <f t="shared" si="515"/>
        <v>6460050</v>
      </c>
      <c r="BF267" s="83">
        <f t="shared" si="516"/>
        <v>6460050</v>
      </c>
      <c r="BG267" s="14" t="str">
        <f ca="1">IFERROR(__xludf.DUMMYFUNCTION("REGEXEXTRACT(O261,""^\S+\s(.+)$"")"),"Adquirir el servicio de licenciamiento de Office 365 usado en la entidad")</f>
        <v>Adquirir el servicio de licenciamiento de Office 365 usado en la entidad</v>
      </c>
      <c r="BH267" s="23">
        <v>0</v>
      </c>
      <c r="BI267" s="23">
        <v>0</v>
      </c>
      <c r="BJ267" s="23">
        <v>0</v>
      </c>
      <c r="BK267" s="23">
        <v>0</v>
      </c>
      <c r="BL267" s="23">
        <v>0</v>
      </c>
      <c r="BM267" s="23">
        <v>0</v>
      </c>
      <c r="BN267" s="23">
        <v>0</v>
      </c>
      <c r="BO267" s="23">
        <v>0</v>
      </c>
      <c r="BP267" s="23">
        <v>6460050</v>
      </c>
      <c r="BQ267" s="23">
        <v>0</v>
      </c>
      <c r="BR267" s="23">
        <v>0</v>
      </c>
      <c r="BS267" s="23">
        <v>0</v>
      </c>
      <c r="BT267" s="23">
        <v>0</v>
      </c>
      <c r="BU267" s="23">
        <v>0</v>
      </c>
      <c r="BV267" s="23">
        <v>0</v>
      </c>
      <c r="BW267" s="23">
        <v>6460050</v>
      </c>
      <c r="BX267" s="23">
        <v>0</v>
      </c>
      <c r="BY267" s="23">
        <v>0</v>
      </c>
      <c r="BZ267" s="23">
        <v>0</v>
      </c>
      <c r="CA267" s="23">
        <v>0</v>
      </c>
      <c r="CB267" s="23">
        <v>0</v>
      </c>
      <c r="CC267" s="23">
        <v>0</v>
      </c>
      <c r="CD267" s="23">
        <v>0</v>
      </c>
      <c r="CE267" s="23">
        <v>0</v>
      </c>
      <c r="CF267" s="28"/>
      <c r="CG267" s="28"/>
      <c r="CH267" s="25">
        <f t="shared" ref="CH267:CI267" si="527">BH267+BJ267+BL267+BN267+BP267+BR267+BT267+BV267+BX267+BZ267+CB267+CD267+CF267</f>
        <v>6460050</v>
      </c>
      <c r="CI267" s="25">
        <f t="shared" si="527"/>
        <v>6460050</v>
      </c>
      <c r="CJ267" s="26">
        <f t="shared" si="518"/>
        <v>0</v>
      </c>
      <c r="CK267" s="26">
        <f t="shared" si="519"/>
        <v>0</v>
      </c>
    </row>
    <row r="268" spans="1:89" ht="90" customHeight="1" x14ac:dyDescent="0.3">
      <c r="A268" s="13" t="s">
        <v>248</v>
      </c>
      <c r="B268" s="14" t="s">
        <v>20</v>
      </c>
      <c r="C268" s="15" t="s">
        <v>651</v>
      </c>
      <c r="D268" s="14" t="s">
        <v>67</v>
      </c>
      <c r="E268" s="13" t="s">
        <v>250</v>
      </c>
      <c r="F268" s="13" t="s">
        <v>250</v>
      </c>
      <c r="G268" s="14">
        <v>16</v>
      </c>
      <c r="H268" s="13" t="s">
        <v>860</v>
      </c>
      <c r="I268" s="15" t="s">
        <v>708</v>
      </c>
      <c r="J268" s="14" t="s">
        <v>25</v>
      </c>
      <c r="K268" s="15" t="s">
        <v>102</v>
      </c>
      <c r="L268" s="14">
        <v>43231513</v>
      </c>
      <c r="M268" s="14" t="s">
        <v>26</v>
      </c>
      <c r="N268" s="14" t="s">
        <v>770</v>
      </c>
      <c r="O268" s="15" t="s">
        <v>861</v>
      </c>
      <c r="P268" s="14" t="s">
        <v>784</v>
      </c>
      <c r="Q268" s="14" t="s">
        <v>784</v>
      </c>
      <c r="R268" s="14" t="s">
        <v>281</v>
      </c>
      <c r="S268" s="17">
        <v>12</v>
      </c>
      <c r="T268" s="14" t="s">
        <v>256</v>
      </c>
      <c r="U268" s="14" t="s">
        <v>282</v>
      </c>
      <c r="V268" s="14" t="s">
        <v>112</v>
      </c>
      <c r="W268" s="18">
        <v>7253400</v>
      </c>
      <c r="X268" s="18">
        <v>7253400</v>
      </c>
      <c r="Y268" s="19" t="s">
        <v>339</v>
      </c>
      <c r="Z268" s="19" t="s">
        <v>258</v>
      </c>
      <c r="AA268" s="14" t="s">
        <v>655</v>
      </c>
      <c r="AB268" s="14" t="s">
        <v>656</v>
      </c>
      <c r="AC268" s="14">
        <v>6012220601</v>
      </c>
      <c r="AD268" s="14" t="s">
        <v>657</v>
      </c>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f t="shared" ref="BC268:BD268" si="528">AE268+AG268+AI268+AK268+AM268+AO268+AQ268+AS268+AU268+AW268+AY268+BA268</f>
        <v>0</v>
      </c>
      <c r="BD268" s="82">
        <f t="shared" si="528"/>
        <v>0</v>
      </c>
      <c r="BE268" s="83">
        <f t="shared" si="515"/>
        <v>7253400</v>
      </c>
      <c r="BF268" s="83">
        <f t="shared" si="516"/>
        <v>7253400</v>
      </c>
      <c r="BG268" s="14" t="str">
        <f ca="1">IFERROR(__xludf.DUMMYFUNCTION("REGEXEXTRACT(O262,""^\S+\s(.+)$"")"),"Adquirir el servicio de licenciamiento de Office 365 usado en la entidad")</f>
        <v>Adquirir el servicio de licenciamiento de Office 365 usado en la entidad</v>
      </c>
      <c r="BH268" s="23">
        <v>0</v>
      </c>
      <c r="BI268" s="23">
        <v>0</v>
      </c>
      <c r="BJ268" s="23">
        <v>0</v>
      </c>
      <c r="BK268" s="23">
        <v>0</v>
      </c>
      <c r="BL268" s="23">
        <v>0</v>
      </c>
      <c r="BM268" s="23">
        <v>0</v>
      </c>
      <c r="BN268" s="23">
        <v>0</v>
      </c>
      <c r="BO268" s="23">
        <v>0</v>
      </c>
      <c r="BP268" s="23">
        <v>7253400</v>
      </c>
      <c r="BQ268" s="23">
        <v>0</v>
      </c>
      <c r="BR268" s="23">
        <v>0</v>
      </c>
      <c r="BS268" s="23">
        <v>0</v>
      </c>
      <c r="BT268" s="23">
        <v>0</v>
      </c>
      <c r="BU268" s="23">
        <v>0</v>
      </c>
      <c r="BV268" s="23">
        <v>0</v>
      </c>
      <c r="BW268" s="23">
        <v>7253400</v>
      </c>
      <c r="BX268" s="23">
        <v>0</v>
      </c>
      <c r="BY268" s="23">
        <v>0</v>
      </c>
      <c r="BZ268" s="23">
        <v>0</v>
      </c>
      <c r="CA268" s="23">
        <v>0</v>
      </c>
      <c r="CB268" s="23">
        <v>0</v>
      </c>
      <c r="CC268" s="23">
        <v>0</v>
      </c>
      <c r="CD268" s="23">
        <v>0</v>
      </c>
      <c r="CE268" s="23">
        <v>0</v>
      </c>
      <c r="CF268" s="28"/>
      <c r="CG268" s="28"/>
      <c r="CH268" s="25">
        <f t="shared" ref="CH268:CI268" si="529">BH268+BJ268+BL268+BN268+BP268+BR268+BT268+BV268+BX268+BZ268+CB268+CD268+CF268</f>
        <v>7253400</v>
      </c>
      <c r="CI268" s="25">
        <f t="shared" si="529"/>
        <v>7253400</v>
      </c>
      <c r="CJ268" s="26">
        <f t="shared" si="518"/>
        <v>0</v>
      </c>
      <c r="CK268" s="26">
        <f t="shared" si="519"/>
        <v>0</v>
      </c>
    </row>
    <row r="269" spans="1:89" ht="90" customHeight="1" x14ac:dyDescent="0.3">
      <c r="A269" s="13" t="s">
        <v>248</v>
      </c>
      <c r="B269" s="14" t="s">
        <v>20</v>
      </c>
      <c r="C269" s="15" t="s">
        <v>651</v>
      </c>
      <c r="D269" s="14" t="s">
        <v>67</v>
      </c>
      <c r="E269" s="13" t="s">
        <v>250</v>
      </c>
      <c r="F269" s="13" t="s">
        <v>250</v>
      </c>
      <c r="G269" s="14">
        <v>20</v>
      </c>
      <c r="H269" s="13" t="s">
        <v>862</v>
      </c>
      <c r="I269" s="15" t="s">
        <v>659</v>
      </c>
      <c r="J269" s="14" t="s">
        <v>21</v>
      </c>
      <c r="K269" s="15" t="s">
        <v>97</v>
      </c>
      <c r="L269" s="14" t="s">
        <v>782</v>
      </c>
      <c r="M269" s="14" t="s">
        <v>22</v>
      </c>
      <c r="N269" s="14" t="s">
        <v>466</v>
      </c>
      <c r="O269" s="15" t="s">
        <v>863</v>
      </c>
      <c r="P269" s="14" t="s">
        <v>614</v>
      </c>
      <c r="Q269" s="14" t="s">
        <v>614</v>
      </c>
      <c r="R269" s="14" t="s">
        <v>614</v>
      </c>
      <c r="S269" s="17">
        <v>12</v>
      </c>
      <c r="T269" s="14" t="s">
        <v>256</v>
      </c>
      <c r="U269" s="14" t="s">
        <v>282</v>
      </c>
      <c r="V269" s="14" t="s">
        <v>112</v>
      </c>
      <c r="W269" s="18">
        <v>5966667</v>
      </c>
      <c r="X269" s="18">
        <v>5966667</v>
      </c>
      <c r="Y269" s="19" t="s">
        <v>339</v>
      </c>
      <c r="Z269" s="19" t="s">
        <v>258</v>
      </c>
      <c r="AA269" s="14" t="s">
        <v>655</v>
      </c>
      <c r="AB269" s="14" t="s">
        <v>656</v>
      </c>
      <c r="AC269" s="14">
        <v>6012220601</v>
      </c>
      <c r="AD269" s="14" t="s">
        <v>657</v>
      </c>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3"/>
      <c r="BF269" s="83"/>
      <c r="BG269" s="14" t="str">
        <f ca="1">IFERROR(__xludf.DUMMYFUNCTION("REGEXEXTRACT(O263,""^\S+\s(.+)$"")"),"Adquirir el servicio de nube para Backup y DRP")</f>
        <v>Adquirir el servicio de nube para Backup y DRP</v>
      </c>
      <c r="BH269" s="23">
        <v>0</v>
      </c>
      <c r="BI269" s="23">
        <v>0</v>
      </c>
      <c r="BJ269" s="23">
        <v>0</v>
      </c>
      <c r="BK269" s="23">
        <v>0</v>
      </c>
      <c r="BL269" s="23">
        <v>0</v>
      </c>
      <c r="BM269" s="23">
        <v>0</v>
      </c>
      <c r="BN269" s="23">
        <v>0</v>
      </c>
      <c r="BO269" s="23">
        <v>0</v>
      </c>
      <c r="BP269" s="23">
        <v>0</v>
      </c>
      <c r="BQ269" s="23">
        <v>0</v>
      </c>
      <c r="BR269" s="23">
        <v>0</v>
      </c>
      <c r="BS269" s="23">
        <v>0</v>
      </c>
      <c r="BT269" s="23">
        <v>5966667</v>
      </c>
      <c r="BU269" s="23">
        <v>0</v>
      </c>
      <c r="BV269" s="23">
        <v>0</v>
      </c>
      <c r="BW269" s="23">
        <v>0</v>
      </c>
      <c r="BX269" s="23">
        <v>0</v>
      </c>
      <c r="BY269" s="23">
        <v>0</v>
      </c>
      <c r="BZ269" s="23">
        <v>0</v>
      </c>
      <c r="CA269" s="23">
        <v>0</v>
      </c>
      <c r="CB269" s="23">
        <v>0</v>
      </c>
      <c r="CC269" s="23">
        <v>0</v>
      </c>
      <c r="CD269" s="23">
        <v>0</v>
      </c>
      <c r="CE269" s="23">
        <v>5966667</v>
      </c>
      <c r="CF269" s="28"/>
      <c r="CG269" s="28"/>
      <c r="CH269" s="25">
        <f t="shared" ref="CH269:CI269" si="530">BH269+BJ269+BL269+BN269+BP269+BR269+BT269+BV269+BX269+BZ269+CB269+CD269+CF269</f>
        <v>5966667</v>
      </c>
      <c r="CI269" s="25">
        <f t="shared" si="530"/>
        <v>5966667</v>
      </c>
      <c r="CJ269" s="26">
        <f t="shared" si="518"/>
        <v>0</v>
      </c>
      <c r="CK269" s="26">
        <f t="shared" si="519"/>
        <v>0</v>
      </c>
    </row>
    <row r="270" spans="1:89" ht="90" customHeight="1" x14ac:dyDescent="0.3">
      <c r="A270" s="13" t="s">
        <v>248</v>
      </c>
      <c r="B270" s="14" t="s">
        <v>20</v>
      </c>
      <c r="C270" s="15" t="s">
        <v>651</v>
      </c>
      <c r="D270" s="14" t="s">
        <v>67</v>
      </c>
      <c r="E270" s="13" t="s">
        <v>250</v>
      </c>
      <c r="F270" s="13" t="s">
        <v>250</v>
      </c>
      <c r="G270" s="14">
        <v>20</v>
      </c>
      <c r="H270" s="13" t="s">
        <v>864</v>
      </c>
      <c r="I270" s="15" t="s">
        <v>708</v>
      </c>
      <c r="J270" s="14" t="s">
        <v>25</v>
      </c>
      <c r="K270" s="15" t="s">
        <v>101</v>
      </c>
      <c r="L270" s="14" t="s">
        <v>782</v>
      </c>
      <c r="M270" s="14" t="s">
        <v>26</v>
      </c>
      <c r="N270" s="14" t="s">
        <v>466</v>
      </c>
      <c r="O270" s="15" t="s">
        <v>865</v>
      </c>
      <c r="P270" s="14" t="s">
        <v>614</v>
      </c>
      <c r="Q270" s="14" t="s">
        <v>614</v>
      </c>
      <c r="R270" s="14" t="s">
        <v>614</v>
      </c>
      <c r="S270" s="17">
        <v>12</v>
      </c>
      <c r="T270" s="14" t="s">
        <v>256</v>
      </c>
      <c r="U270" s="14" t="s">
        <v>282</v>
      </c>
      <c r="V270" s="14" t="s">
        <v>113</v>
      </c>
      <c r="W270" s="18">
        <v>2280908</v>
      </c>
      <c r="X270" s="18">
        <v>2280908</v>
      </c>
      <c r="Y270" s="19" t="s">
        <v>339</v>
      </c>
      <c r="Z270" s="19" t="s">
        <v>258</v>
      </c>
      <c r="AA270" s="14" t="s">
        <v>655</v>
      </c>
      <c r="AB270" s="14" t="s">
        <v>656</v>
      </c>
      <c r="AC270" s="14">
        <v>6012220601</v>
      </c>
      <c r="AD270" s="14" t="s">
        <v>657</v>
      </c>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3"/>
      <c r="BF270" s="83"/>
      <c r="BG270" s="14" t="str">
        <f ca="1">IFERROR(__xludf.DUMMYFUNCTION("REGEXEXTRACT(O264,""^\S+\s(.+)$"")"),"Adquirir el servicio de nube para Backup y DRP")</f>
        <v>Adquirir el servicio de nube para Backup y DRP</v>
      </c>
      <c r="BH270" s="23">
        <v>0</v>
      </c>
      <c r="BI270" s="23">
        <v>0</v>
      </c>
      <c r="BJ270" s="23">
        <v>0</v>
      </c>
      <c r="BK270" s="23">
        <v>0</v>
      </c>
      <c r="BL270" s="23">
        <v>0</v>
      </c>
      <c r="BM270" s="23">
        <v>0</v>
      </c>
      <c r="BN270" s="23">
        <v>0</v>
      </c>
      <c r="BO270" s="23">
        <v>0</v>
      </c>
      <c r="BP270" s="23">
        <v>0</v>
      </c>
      <c r="BQ270" s="23">
        <v>0</v>
      </c>
      <c r="BR270" s="23">
        <v>0</v>
      </c>
      <c r="BS270" s="23">
        <v>0</v>
      </c>
      <c r="BT270" s="23">
        <v>2280908</v>
      </c>
      <c r="BU270" s="23">
        <v>0</v>
      </c>
      <c r="BV270" s="23">
        <v>0</v>
      </c>
      <c r="BW270" s="23">
        <v>0</v>
      </c>
      <c r="BX270" s="23">
        <v>0</v>
      </c>
      <c r="BY270" s="23">
        <v>0</v>
      </c>
      <c r="BZ270" s="23">
        <v>0</v>
      </c>
      <c r="CA270" s="23">
        <v>0</v>
      </c>
      <c r="CB270" s="23">
        <v>0</v>
      </c>
      <c r="CC270" s="23">
        <v>0</v>
      </c>
      <c r="CD270" s="23">
        <v>0</v>
      </c>
      <c r="CE270" s="23">
        <v>2280908</v>
      </c>
      <c r="CF270" s="28"/>
      <c r="CG270" s="28"/>
      <c r="CH270" s="25">
        <f t="shared" ref="CH270:CI270" si="531">BH270+BJ270+BL270+BN270+BP270+BR270+BT270+BV270+BX270+BZ270+CB270+CD270+CF270</f>
        <v>2280908</v>
      </c>
      <c r="CI270" s="25">
        <f t="shared" si="531"/>
        <v>2280908</v>
      </c>
      <c r="CJ270" s="26">
        <f t="shared" si="518"/>
        <v>0</v>
      </c>
      <c r="CK270" s="26">
        <f t="shared" si="519"/>
        <v>0</v>
      </c>
    </row>
    <row r="271" spans="1:89" ht="90" customHeight="1" x14ac:dyDescent="0.3">
      <c r="A271" s="13" t="s">
        <v>248</v>
      </c>
      <c r="B271" s="14" t="s">
        <v>20</v>
      </c>
      <c r="C271" s="15" t="s">
        <v>651</v>
      </c>
      <c r="D271" s="14" t="s">
        <v>67</v>
      </c>
      <c r="E271" s="13" t="s">
        <v>250</v>
      </c>
      <c r="F271" s="13" t="s">
        <v>250</v>
      </c>
      <c r="G271" s="14">
        <v>20</v>
      </c>
      <c r="H271" s="13" t="s">
        <v>866</v>
      </c>
      <c r="I271" s="15" t="s">
        <v>708</v>
      </c>
      <c r="J271" s="14" t="s">
        <v>25</v>
      </c>
      <c r="K271" s="15" t="s">
        <v>102</v>
      </c>
      <c r="L271" s="14">
        <v>80111620</v>
      </c>
      <c r="M271" s="14" t="s">
        <v>26</v>
      </c>
      <c r="N271" s="14" t="s">
        <v>253</v>
      </c>
      <c r="O271" s="15" t="s">
        <v>867</v>
      </c>
      <c r="P271" s="14" t="s">
        <v>281</v>
      </c>
      <c r="Q271" s="14" t="s">
        <v>281</v>
      </c>
      <c r="R271" s="14" t="s">
        <v>281</v>
      </c>
      <c r="S271" s="17">
        <v>1</v>
      </c>
      <c r="T271" s="14" t="s">
        <v>256</v>
      </c>
      <c r="U271" s="14" t="s">
        <v>257</v>
      </c>
      <c r="V271" s="14" t="s">
        <v>112</v>
      </c>
      <c r="W271" s="18">
        <v>566667</v>
      </c>
      <c r="X271" s="18">
        <v>566667</v>
      </c>
      <c r="Y271" s="19" t="s">
        <v>339</v>
      </c>
      <c r="Z271" s="19" t="s">
        <v>258</v>
      </c>
      <c r="AA271" s="14" t="s">
        <v>655</v>
      </c>
      <c r="AB271" s="14" t="s">
        <v>656</v>
      </c>
      <c r="AC271" s="14">
        <v>6012220601</v>
      </c>
      <c r="AD271" s="14" t="s">
        <v>657</v>
      </c>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3"/>
      <c r="BF271" s="83"/>
      <c r="BG271" s="14" t="str">
        <f ca="1">IFERROR(__xludf.DUMMYFUNCTION("REGEXEXTRACT(O265,""^\S+\s(.+)$"")"),"Prestar servicios profesionales especializados en la administración y gestión integral de bases de datos, con el fin de asegurar la correcta implementación, mantenimiento, y optimización de las bases de datos que soportan las aplicaciones y portales web d"&amp;"e la Entidad")</f>
        <v>Prestar servicios profesionales especializados en la administración y gestión integral de bases de datos, con el fin de asegurar la correcta implementación, mantenimiento, y optimización de las bases de datos que soportan las aplicaciones y portales web de la Entidad</v>
      </c>
      <c r="BH271" s="23">
        <v>0</v>
      </c>
      <c r="BI271" s="23">
        <v>0</v>
      </c>
      <c r="BJ271" s="23">
        <v>0</v>
      </c>
      <c r="BK271" s="23">
        <v>0</v>
      </c>
      <c r="BL271" s="23">
        <v>0</v>
      </c>
      <c r="BM271" s="23">
        <v>0</v>
      </c>
      <c r="BN271" s="23">
        <v>0</v>
      </c>
      <c r="BO271" s="23">
        <v>0</v>
      </c>
      <c r="BP271" s="23">
        <v>566667</v>
      </c>
      <c r="BQ271" s="23">
        <v>0</v>
      </c>
      <c r="BR271" s="23">
        <v>0</v>
      </c>
      <c r="BS271" s="23">
        <v>0</v>
      </c>
      <c r="BT271" s="23">
        <v>0</v>
      </c>
      <c r="BU271" s="23">
        <v>0</v>
      </c>
      <c r="BV271" s="23">
        <v>0</v>
      </c>
      <c r="BW271" s="23">
        <v>0</v>
      </c>
      <c r="BX271" s="23">
        <v>0</v>
      </c>
      <c r="BY271" s="23">
        <v>0</v>
      </c>
      <c r="BZ271" s="23">
        <v>0</v>
      </c>
      <c r="CA271" s="23">
        <v>0</v>
      </c>
      <c r="CB271" s="23">
        <v>0</v>
      </c>
      <c r="CC271" s="23">
        <v>0</v>
      </c>
      <c r="CD271" s="23">
        <v>0</v>
      </c>
      <c r="CE271" s="23">
        <v>566667</v>
      </c>
      <c r="CF271" s="28"/>
      <c r="CG271" s="28"/>
      <c r="CH271" s="25">
        <f t="shared" ref="CH271:CI271" si="532">BH271+BJ271+BL271+BN271+BP271+BR271+BT271+BV271+BX271+BZ271+CB271+CD271+CF271</f>
        <v>566667</v>
      </c>
      <c r="CI271" s="25">
        <f t="shared" si="532"/>
        <v>566667</v>
      </c>
      <c r="CJ271" s="26">
        <f t="shared" si="518"/>
        <v>0</v>
      </c>
      <c r="CK271" s="26">
        <f t="shared" si="519"/>
        <v>0</v>
      </c>
    </row>
    <row r="272" spans="1:89" ht="90" customHeight="1" x14ac:dyDescent="0.3">
      <c r="A272" s="13" t="s">
        <v>248</v>
      </c>
      <c r="B272" s="14" t="s">
        <v>20</v>
      </c>
      <c r="C272" s="15" t="s">
        <v>651</v>
      </c>
      <c r="D272" s="14" t="s">
        <v>67</v>
      </c>
      <c r="E272" s="13" t="s">
        <v>250</v>
      </c>
      <c r="F272" s="13" t="s">
        <v>250</v>
      </c>
      <c r="G272" s="14">
        <v>20</v>
      </c>
      <c r="H272" s="13" t="s">
        <v>868</v>
      </c>
      <c r="I272" s="15" t="s">
        <v>708</v>
      </c>
      <c r="J272" s="14" t="s">
        <v>25</v>
      </c>
      <c r="K272" s="15" t="s">
        <v>102</v>
      </c>
      <c r="L272" s="14">
        <v>80111620</v>
      </c>
      <c r="M272" s="14" t="s">
        <v>26</v>
      </c>
      <c r="N272" s="14" t="s">
        <v>253</v>
      </c>
      <c r="O272" s="15" t="s">
        <v>869</v>
      </c>
      <c r="P272" s="14" t="s">
        <v>281</v>
      </c>
      <c r="Q272" s="14" t="s">
        <v>281</v>
      </c>
      <c r="R272" s="14" t="s">
        <v>281</v>
      </c>
      <c r="S272" s="17">
        <v>1</v>
      </c>
      <c r="T272" s="14" t="s">
        <v>256</v>
      </c>
      <c r="U272" s="14" t="s">
        <v>257</v>
      </c>
      <c r="V272" s="14" t="s">
        <v>112</v>
      </c>
      <c r="W272" s="18">
        <v>2458000</v>
      </c>
      <c r="X272" s="18">
        <v>2458000</v>
      </c>
      <c r="Y272" s="19" t="s">
        <v>339</v>
      </c>
      <c r="Z272" s="19" t="s">
        <v>258</v>
      </c>
      <c r="AA272" s="14" t="s">
        <v>655</v>
      </c>
      <c r="AB272" s="14" t="s">
        <v>656</v>
      </c>
      <c r="AC272" s="14">
        <v>6012220601</v>
      </c>
      <c r="AD272" s="14" t="s">
        <v>657</v>
      </c>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3"/>
      <c r="BF272" s="83"/>
      <c r="BG272" s="14" t="str">
        <f ca="1">IFERROR(__xludf.DUMMYFUNCTION("REGEXEXTRACT(O266,""^\S+\s(.+)$"")"),"Prestar servicios profesionales especializados para el fortalecimiento de la gestión de la seguridad perimetral de la Unidad de Planeación Minero Energética (UPME), blindando la infraestructura tecnológica a través de procesos óptimos sobre las herramient"&amp;"as de seguridad, de acuerdo a una arquitectura de seguridad digital en constante evolución con su respectiva base documental.")</f>
        <v>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v>
      </c>
      <c r="BH272" s="23">
        <v>0</v>
      </c>
      <c r="BI272" s="23">
        <v>0</v>
      </c>
      <c r="BJ272" s="23">
        <v>0</v>
      </c>
      <c r="BK272" s="23">
        <v>0</v>
      </c>
      <c r="BL272" s="23">
        <v>0</v>
      </c>
      <c r="BM272" s="23">
        <v>0</v>
      </c>
      <c r="BN272" s="23">
        <v>0</v>
      </c>
      <c r="BO272" s="23">
        <v>0</v>
      </c>
      <c r="BP272" s="23">
        <v>2458000</v>
      </c>
      <c r="BQ272" s="23">
        <v>0</v>
      </c>
      <c r="BR272" s="23">
        <v>0</v>
      </c>
      <c r="BS272" s="23">
        <v>0</v>
      </c>
      <c r="BT272" s="23">
        <v>0</v>
      </c>
      <c r="BU272" s="23">
        <v>0</v>
      </c>
      <c r="BV272" s="23">
        <v>0</v>
      </c>
      <c r="BW272" s="23">
        <v>0</v>
      </c>
      <c r="BX272" s="23">
        <v>0</v>
      </c>
      <c r="BY272" s="23">
        <v>0</v>
      </c>
      <c r="BZ272" s="23">
        <v>0</v>
      </c>
      <c r="CA272" s="23">
        <v>0</v>
      </c>
      <c r="CB272" s="23">
        <v>0</v>
      </c>
      <c r="CC272" s="23">
        <v>0</v>
      </c>
      <c r="CD272" s="23">
        <v>0</v>
      </c>
      <c r="CE272" s="23">
        <v>2458000</v>
      </c>
      <c r="CF272" s="28"/>
      <c r="CG272" s="28"/>
      <c r="CH272" s="25">
        <f t="shared" ref="CH272:CI272" si="533">BH272+BJ272+BL272+BN272+BP272+BR272+BT272+BV272+BX272+BZ272+CB272+CD272+CF272</f>
        <v>2458000</v>
      </c>
      <c r="CI272" s="25">
        <f t="shared" si="533"/>
        <v>2458000</v>
      </c>
      <c r="CJ272" s="26">
        <f t="shared" si="518"/>
        <v>0</v>
      </c>
      <c r="CK272" s="26">
        <f t="shared" si="519"/>
        <v>0</v>
      </c>
    </row>
    <row r="273" spans="1:89" ht="90" customHeight="1" x14ac:dyDescent="0.3">
      <c r="A273" s="13" t="s">
        <v>248</v>
      </c>
      <c r="B273" s="14" t="s">
        <v>20</v>
      </c>
      <c r="C273" s="15" t="s">
        <v>651</v>
      </c>
      <c r="D273" s="14" t="s">
        <v>67</v>
      </c>
      <c r="E273" s="13" t="s">
        <v>250</v>
      </c>
      <c r="F273" s="13" t="s">
        <v>250</v>
      </c>
      <c r="G273" s="14">
        <v>20</v>
      </c>
      <c r="H273" s="13" t="s">
        <v>870</v>
      </c>
      <c r="I273" s="15" t="s">
        <v>708</v>
      </c>
      <c r="J273" s="14" t="s">
        <v>25</v>
      </c>
      <c r="K273" s="15" t="s">
        <v>102</v>
      </c>
      <c r="L273" s="14" t="s">
        <v>782</v>
      </c>
      <c r="M273" s="14" t="s">
        <v>26</v>
      </c>
      <c r="N273" s="14" t="s">
        <v>466</v>
      </c>
      <c r="O273" s="15" t="s">
        <v>871</v>
      </c>
      <c r="P273" s="14" t="s">
        <v>614</v>
      </c>
      <c r="Q273" s="14" t="s">
        <v>614</v>
      </c>
      <c r="R273" s="14" t="s">
        <v>614</v>
      </c>
      <c r="S273" s="17">
        <v>12</v>
      </c>
      <c r="T273" s="14" t="s">
        <v>256</v>
      </c>
      <c r="U273" s="14" t="s">
        <v>282</v>
      </c>
      <c r="V273" s="14" t="s">
        <v>112</v>
      </c>
      <c r="W273" s="18">
        <v>86488673</v>
      </c>
      <c r="X273" s="18">
        <v>86488673</v>
      </c>
      <c r="Y273" s="19" t="s">
        <v>339</v>
      </c>
      <c r="Z273" s="19" t="s">
        <v>258</v>
      </c>
      <c r="AA273" s="14" t="s">
        <v>655</v>
      </c>
      <c r="AB273" s="14" t="s">
        <v>656</v>
      </c>
      <c r="AC273" s="14">
        <v>6012220601</v>
      </c>
      <c r="AD273" s="14" t="s">
        <v>657</v>
      </c>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3"/>
      <c r="BF273" s="83"/>
      <c r="BG273" s="14" t="str">
        <f ca="1">IFERROR(__xludf.DUMMYFUNCTION("REGEXEXTRACT(O267,""^\S+\s(.+)$"")"),"Adquirir el servicio de nube para Backup y DRP")</f>
        <v>Adquirir el servicio de nube para Backup y DRP</v>
      </c>
      <c r="BH273" s="23">
        <v>0</v>
      </c>
      <c r="BI273" s="23">
        <v>0</v>
      </c>
      <c r="BJ273" s="23">
        <v>0</v>
      </c>
      <c r="BK273" s="23">
        <v>0</v>
      </c>
      <c r="BL273" s="23">
        <v>0</v>
      </c>
      <c r="BM273" s="23">
        <v>0</v>
      </c>
      <c r="BN273" s="23">
        <v>0</v>
      </c>
      <c r="BO273" s="23">
        <v>0</v>
      </c>
      <c r="BP273" s="23">
        <v>0</v>
      </c>
      <c r="BQ273" s="23">
        <v>0</v>
      </c>
      <c r="BR273" s="23">
        <v>0</v>
      </c>
      <c r="BS273" s="23">
        <v>0</v>
      </c>
      <c r="BT273" s="23">
        <v>86488673</v>
      </c>
      <c r="BU273" s="23">
        <v>0</v>
      </c>
      <c r="BV273" s="23">
        <v>0</v>
      </c>
      <c r="BW273" s="23">
        <v>0</v>
      </c>
      <c r="BX273" s="23">
        <v>0</v>
      </c>
      <c r="BY273" s="23">
        <v>0</v>
      </c>
      <c r="BZ273" s="23">
        <v>0</v>
      </c>
      <c r="CA273" s="23">
        <v>0</v>
      </c>
      <c r="CB273" s="23">
        <v>0</v>
      </c>
      <c r="CC273" s="23">
        <v>0</v>
      </c>
      <c r="CD273" s="23">
        <v>0</v>
      </c>
      <c r="CE273" s="23">
        <v>86488673</v>
      </c>
      <c r="CF273" s="28"/>
      <c r="CG273" s="28"/>
      <c r="CH273" s="25">
        <f t="shared" ref="CH273:CI273" si="534">BH273+BJ273+BL273+BN273+BP273+BR273+BT273+BV273+BX273+BZ273+CB273+CD273+CF273</f>
        <v>86488673</v>
      </c>
      <c r="CI273" s="25">
        <f t="shared" si="534"/>
        <v>86488673</v>
      </c>
      <c r="CJ273" s="26">
        <f t="shared" si="518"/>
        <v>0</v>
      </c>
      <c r="CK273" s="26">
        <f t="shared" si="519"/>
        <v>0</v>
      </c>
    </row>
    <row r="274" spans="1:89" ht="90" customHeight="1" x14ac:dyDescent="0.3">
      <c r="A274" s="13" t="s">
        <v>248</v>
      </c>
      <c r="B274" s="14" t="s">
        <v>20</v>
      </c>
      <c r="C274" s="15" t="s">
        <v>651</v>
      </c>
      <c r="D274" s="14" t="s">
        <v>67</v>
      </c>
      <c r="E274" s="13" t="s">
        <v>250</v>
      </c>
      <c r="F274" s="13" t="s">
        <v>250</v>
      </c>
      <c r="G274" s="14">
        <v>20</v>
      </c>
      <c r="H274" s="13" t="s">
        <v>872</v>
      </c>
      <c r="I274" s="15" t="s">
        <v>708</v>
      </c>
      <c r="J274" s="14" t="s">
        <v>25</v>
      </c>
      <c r="K274" s="15" t="s">
        <v>102</v>
      </c>
      <c r="L274" s="14" t="s">
        <v>873</v>
      </c>
      <c r="M274" s="14" t="s">
        <v>26</v>
      </c>
      <c r="N274" s="14" t="s">
        <v>466</v>
      </c>
      <c r="O274" s="15" t="s">
        <v>874</v>
      </c>
      <c r="P274" s="14" t="s">
        <v>614</v>
      </c>
      <c r="Q274" s="14" t="s">
        <v>614</v>
      </c>
      <c r="R274" s="14" t="s">
        <v>614</v>
      </c>
      <c r="S274" s="17">
        <v>12</v>
      </c>
      <c r="T274" s="14" t="s">
        <v>256</v>
      </c>
      <c r="U274" s="14" t="s">
        <v>282</v>
      </c>
      <c r="V274" s="14" t="s">
        <v>113</v>
      </c>
      <c r="W274" s="18">
        <v>66866667</v>
      </c>
      <c r="X274" s="18">
        <v>66866667</v>
      </c>
      <c r="Y274" s="19" t="s">
        <v>339</v>
      </c>
      <c r="Z274" s="19" t="s">
        <v>258</v>
      </c>
      <c r="AA274" s="14" t="s">
        <v>655</v>
      </c>
      <c r="AB274" s="14" t="s">
        <v>656</v>
      </c>
      <c r="AC274" s="14">
        <v>6012220601</v>
      </c>
      <c r="AD274" s="14" t="s">
        <v>657</v>
      </c>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3"/>
      <c r="BF274" s="83"/>
      <c r="BG274" s="14" t="str">
        <f ca="1">IFERROR(__xludf.DUMMYFUNCTION("REGEXEXTRACT(O268,""^\S+\s(.+)$"")"),"Adquirir el servicio de nube para Backup y DRP")</f>
        <v>Adquirir el servicio de nube para Backup y DRP</v>
      </c>
      <c r="BH274" s="23">
        <v>0</v>
      </c>
      <c r="BI274" s="23">
        <v>0</v>
      </c>
      <c r="BJ274" s="23">
        <v>0</v>
      </c>
      <c r="BK274" s="23">
        <v>0</v>
      </c>
      <c r="BL274" s="23">
        <v>0</v>
      </c>
      <c r="BM274" s="23">
        <v>0</v>
      </c>
      <c r="BN274" s="23">
        <v>0</v>
      </c>
      <c r="BO274" s="23">
        <v>0</v>
      </c>
      <c r="BP274" s="23">
        <v>0</v>
      </c>
      <c r="BQ274" s="23">
        <v>0</v>
      </c>
      <c r="BR274" s="23">
        <v>0</v>
      </c>
      <c r="BS274" s="23">
        <v>0</v>
      </c>
      <c r="BT274" s="23">
        <v>66866667</v>
      </c>
      <c r="BU274" s="23">
        <v>0</v>
      </c>
      <c r="BV274" s="23">
        <v>0</v>
      </c>
      <c r="BW274" s="23">
        <v>0</v>
      </c>
      <c r="BX274" s="23">
        <v>0</v>
      </c>
      <c r="BY274" s="23">
        <v>0</v>
      </c>
      <c r="BZ274" s="23">
        <v>0</v>
      </c>
      <c r="CA274" s="23">
        <v>0</v>
      </c>
      <c r="CB274" s="23">
        <v>0</v>
      </c>
      <c r="CC274" s="23">
        <v>0</v>
      </c>
      <c r="CD274" s="23">
        <v>0</v>
      </c>
      <c r="CE274" s="23">
        <v>66866667</v>
      </c>
      <c r="CF274" s="28"/>
      <c r="CG274" s="28"/>
      <c r="CH274" s="25">
        <f t="shared" ref="CH274:CI274" si="535">BH274+BJ274+BL274+BN274+BP274+BR274+BT274+BV274+BX274+BZ274+CB274+CD274+CF274</f>
        <v>66866667</v>
      </c>
      <c r="CI274" s="25">
        <f t="shared" si="535"/>
        <v>66866667</v>
      </c>
      <c r="CJ274" s="26">
        <f t="shared" si="518"/>
        <v>0</v>
      </c>
      <c r="CK274" s="26">
        <f t="shared" si="519"/>
        <v>0</v>
      </c>
    </row>
    <row r="275" spans="1:89" ht="90" customHeight="1" x14ac:dyDescent="0.3">
      <c r="A275" s="13" t="s">
        <v>248</v>
      </c>
      <c r="B275" s="14" t="s">
        <v>20</v>
      </c>
      <c r="C275" s="15" t="s">
        <v>651</v>
      </c>
      <c r="D275" s="14" t="s">
        <v>67</v>
      </c>
      <c r="E275" s="13" t="s">
        <v>250</v>
      </c>
      <c r="F275" s="13" t="s">
        <v>250</v>
      </c>
      <c r="G275" s="14">
        <v>20</v>
      </c>
      <c r="H275" s="13" t="s">
        <v>875</v>
      </c>
      <c r="I275" s="15" t="s">
        <v>708</v>
      </c>
      <c r="J275" s="14" t="s">
        <v>25</v>
      </c>
      <c r="K275" s="15" t="s">
        <v>102</v>
      </c>
      <c r="L275" s="14" t="s">
        <v>876</v>
      </c>
      <c r="M275" s="14" t="s">
        <v>26</v>
      </c>
      <c r="N275" s="14" t="s">
        <v>278</v>
      </c>
      <c r="O275" s="15" t="s">
        <v>877</v>
      </c>
      <c r="P275" s="14" t="s">
        <v>281</v>
      </c>
      <c r="Q275" s="14" t="s">
        <v>281</v>
      </c>
      <c r="R275" s="14" t="s">
        <v>281</v>
      </c>
      <c r="S275" s="17">
        <v>12</v>
      </c>
      <c r="T275" s="14" t="s">
        <v>256</v>
      </c>
      <c r="U275" s="14" t="s">
        <v>282</v>
      </c>
      <c r="V275" s="14" t="s">
        <v>113</v>
      </c>
      <c r="W275" s="18">
        <v>20000000</v>
      </c>
      <c r="X275" s="18">
        <v>20000000</v>
      </c>
      <c r="Y275" s="19" t="s">
        <v>339</v>
      </c>
      <c r="Z275" s="19" t="s">
        <v>258</v>
      </c>
      <c r="AA275" s="14" t="s">
        <v>655</v>
      </c>
      <c r="AB275" s="14" t="s">
        <v>656</v>
      </c>
      <c r="AC275" s="14">
        <v>6012220601</v>
      </c>
      <c r="AD275" s="14" t="s">
        <v>657</v>
      </c>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3"/>
      <c r="BF275" s="83"/>
      <c r="BG275" s="14" t="str">
        <f ca="1">IFERROR(__xludf.DUMMYFUNCTION("REGEXEXTRACT(O269,""^\S+\s(.+)$"")"),"Adquirir suministros tecnológicos de discos duros, baterías para cámara, cargadores para baterías y tarjetas de memoria SD-SDXC, para suplir las necesidades de las áreas de la Upme.")</f>
        <v>Adquirir suministros tecnológicos de discos duros, baterías para cámara, cargadores para baterías y tarjetas de memoria SD-SDXC, para suplir las necesidades de las áreas de la Upme.</v>
      </c>
      <c r="BH275" s="23">
        <v>0</v>
      </c>
      <c r="BI275" s="23">
        <v>0</v>
      </c>
      <c r="BJ275" s="23">
        <v>0</v>
      </c>
      <c r="BK275" s="23">
        <v>0</v>
      </c>
      <c r="BL275" s="23">
        <v>0</v>
      </c>
      <c r="BM275" s="23">
        <v>0</v>
      </c>
      <c r="BN275" s="23">
        <v>0</v>
      </c>
      <c r="BO275" s="23">
        <v>0</v>
      </c>
      <c r="BP275" s="23">
        <v>20000000</v>
      </c>
      <c r="BQ275" s="23">
        <v>0</v>
      </c>
      <c r="BR275" s="23">
        <v>0</v>
      </c>
      <c r="BS275" s="23">
        <v>0</v>
      </c>
      <c r="BT275" s="23">
        <v>0</v>
      </c>
      <c r="BU275" s="23">
        <v>0</v>
      </c>
      <c r="BV275" s="23">
        <v>0</v>
      </c>
      <c r="BW275" s="23">
        <v>0</v>
      </c>
      <c r="BX275" s="23">
        <v>0</v>
      </c>
      <c r="BY275" s="23">
        <v>0</v>
      </c>
      <c r="BZ275" s="23">
        <v>0</v>
      </c>
      <c r="CA275" s="23">
        <v>0</v>
      </c>
      <c r="CB275" s="23">
        <v>0</v>
      </c>
      <c r="CC275" s="23">
        <v>0</v>
      </c>
      <c r="CD275" s="23">
        <v>0</v>
      </c>
      <c r="CE275" s="23">
        <v>20000000</v>
      </c>
      <c r="CF275" s="28"/>
      <c r="CG275" s="28"/>
      <c r="CH275" s="25">
        <f t="shared" ref="CH275:CI275" si="536">BH275+BJ275+BL275+BN275+BP275+BR275+BT275+BV275+BX275+BZ275+CB275+CD275+CF275</f>
        <v>20000000</v>
      </c>
      <c r="CI275" s="25">
        <f t="shared" si="536"/>
        <v>20000000</v>
      </c>
      <c r="CJ275" s="26">
        <f t="shared" si="518"/>
        <v>0</v>
      </c>
      <c r="CK275" s="26">
        <f t="shared" si="519"/>
        <v>0</v>
      </c>
    </row>
    <row r="276" spans="1:89" ht="90" customHeight="1" x14ac:dyDescent="0.3">
      <c r="A276" s="13" t="s">
        <v>248</v>
      </c>
      <c r="B276" s="14" t="s">
        <v>27</v>
      </c>
      <c r="C276" s="15" t="s">
        <v>427</v>
      </c>
      <c r="D276" s="14" t="s">
        <v>68</v>
      </c>
      <c r="E276" s="13" t="s">
        <v>339</v>
      </c>
      <c r="F276" s="13" t="s">
        <v>250</v>
      </c>
      <c r="G276" s="14">
        <v>10</v>
      </c>
      <c r="H276" s="13" t="s">
        <v>878</v>
      </c>
      <c r="I276" s="15" t="s">
        <v>479</v>
      </c>
      <c r="J276" s="14" t="s">
        <v>4</v>
      </c>
      <c r="K276" s="15" t="s">
        <v>105</v>
      </c>
      <c r="L276" s="14" t="s">
        <v>258</v>
      </c>
      <c r="M276" s="14" t="s">
        <v>11</v>
      </c>
      <c r="N276" s="14" t="s">
        <v>602</v>
      </c>
      <c r="O276" s="15" t="s">
        <v>879</v>
      </c>
      <c r="P276" s="14" t="s">
        <v>258</v>
      </c>
      <c r="Q276" s="14" t="s">
        <v>258</v>
      </c>
      <c r="R276" s="14" t="s">
        <v>614</v>
      </c>
      <c r="S276" s="17" t="s">
        <v>258</v>
      </c>
      <c r="T276" s="14" t="s">
        <v>258</v>
      </c>
      <c r="U276" s="14" t="s">
        <v>258</v>
      </c>
      <c r="V276" s="14" t="s">
        <v>112</v>
      </c>
      <c r="W276" s="18">
        <v>74900400</v>
      </c>
      <c r="X276" s="18">
        <v>74900400</v>
      </c>
      <c r="Y276" s="19" t="s">
        <v>339</v>
      </c>
      <c r="Z276" s="19" t="s">
        <v>258</v>
      </c>
      <c r="AA276" s="19" t="s">
        <v>880</v>
      </c>
      <c r="AB276" s="14" t="s">
        <v>881</v>
      </c>
      <c r="AC276" s="14">
        <v>6012220601</v>
      </c>
      <c r="AD276" s="33" t="s">
        <v>311</v>
      </c>
      <c r="AE276" s="82">
        <v>0</v>
      </c>
      <c r="AF276" s="82">
        <v>0</v>
      </c>
      <c r="AG276" s="82">
        <v>0</v>
      </c>
      <c r="AH276" s="82">
        <v>0</v>
      </c>
      <c r="AI276" s="82">
        <v>0</v>
      </c>
      <c r="AJ276" s="82">
        <v>0</v>
      </c>
      <c r="AK276" s="82">
        <v>0</v>
      </c>
      <c r="AL276" s="82">
        <v>0</v>
      </c>
      <c r="AM276" s="82">
        <v>0</v>
      </c>
      <c r="AN276" s="82">
        <v>0</v>
      </c>
      <c r="AO276" s="82">
        <v>0</v>
      </c>
      <c r="AP276" s="82">
        <v>0</v>
      </c>
      <c r="AQ276" s="82">
        <v>0</v>
      </c>
      <c r="AR276" s="82">
        <v>0</v>
      </c>
      <c r="AS276" s="82">
        <v>13000000</v>
      </c>
      <c r="AT276" s="82">
        <v>13000000</v>
      </c>
      <c r="AU276" s="82">
        <v>13000000</v>
      </c>
      <c r="AV276" s="82">
        <v>13000000</v>
      </c>
      <c r="AW276" s="82">
        <v>13000000</v>
      </c>
      <c r="AX276" s="82">
        <v>13000000</v>
      </c>
      <c r="AY276" s="82">
        <v>13000000</v>
      </c>
      <c r="AZ276" s="82">
        <v>13000000</v>
      </c>
      <c r="BA276" s="82">
        <v>22900400</v>
      </c>
      <c r="BB276" s="82">
        <v>22900400</v>
      </c>
      <c r="BC276" s="82">
        <f t="shared" ref="BC276:BD276" si="537">AE276+AG276+AI276+AK276+AM276+AO276+AQ276+AS276+AU276+AW276+AY276+BA276</f>
        <v>74900400</v>
      </c>
      <c r="BD276" s="82">
        <f t="shared" si="537"/>
        <v>74900400</v>
      </c>
      <c r="BE276" s="83">
        <f t="shared" ref="BE276:BE388" si="538">X276-BC276</f>
        <v>0</v>
      </c>
      <c r="BF276" s="83">
        <f t="shared" ref="BF276:BF388" si="539">X276-BD276</f>
        <v>0</v>
      </c>
      <c r="BG276" s="14" t="str">
        <f ca="1">IFERROR(__xludf.DUMMYFUNCTION("REGEXEXTRACT(O270,""^\S+\s(.+)$"")"),"Gastos de personal de los empleos de la planta temporal")</f>
        <v>Gastos de personal de los empleos de la planta temporal</v>
      </c>
      <c r="BH276" s="23"/>
      <c r="BI276" s="23"/>
      <c r="BJ276" s="23"/>
      <c r="BK276" s="23"/>
      <c r="BL276" s="23"/>
      <c r="BM276" s="23"/>
      <c r="BN276" s="23"/>
      <c r="BO276" s="23"/>
      <c r="BP276" s="23"/>
      <c r="BQ276" s="23"/>
      <c r="BR276" s="23"/>
      <c r="BS276" s="23"/>
      <c r="BT276" s="23"/>
      <c r="BU276" s="23"/>
      <c r="BV276" s="23">
        <v>13000000</v>
      </c>
      <c r="BW276" s="23">
        <v>13000000</v>
      </c>
      <c r="BX276" s="23">
        <v>13000000</v>
      </c>
      <c r="BY276" s="23">
        <v>13000000</v>
      </c>
      <c r="BZ276" s="23">
        <v>13000000</v>
      </c>
      <c r="CA276" s="23">
        <v>13000000</v>
      </c>
      <c r="CB276" s="23">
        <v>13000000</v>
      </c>
      <c r="CC276" s="23">
        <v>13000000</v>
      </c>
      <c r="CD276" s="23">
        <v>22900400</v>
      </c>
      <c r="CE276" s="23">
        <v>22900400</v>
      </c>
      <c r="CF276" s="28"/>
      <c r="CG276" s="28"/>
      <c r="CH276" s="25">
        <f t="shared" ref="CH276:CI276" si="540">BH276+BJ276+BL276+BN276+BP276+BR276+BT276+BV276+BX276+BZ276+CB276+CD276+CF276</f>
        <v>74900400</v>
      </c>
      <c r="CI276" s="25">
        <f t="shared" si="540"/>
        <v>74900400</v>
      </c>
      <c r="CJ276" s="26">
        <f t="shared" si="518"/>
        <v>0</v>
      </c>
      <c r="CK276" s="26">
        <f t="shared" si="519"/>
        <v>0</v>
      </c>
    </row>
    <row r="277" spans="1:89" ht="90" customHeight="1" x14ac:dyDescent="0.3">
      <c r="A277" s="13" t="s">
        <v>248</v>
      </c>
      <c r="B277" s="14" t="s">
        <v>27</v>
      </c>
      <c r="C277" s="15" t="s">
        <v>427</v>
      </c>
      <c r="D277" s="14" t="s">
        <v>68</v>
      </c>
      <c r="E277" s="13" t="s">
        <v>250</v>
      </c>
      <c r="F277" s="13" t="s">
        <v>250</v>
      </c>
      <c r="G277" s="14">
        <v>68</v>
      </c>
      <c r="H277" s="13" t="s">
        <v>882</v>
      </c>
      <c r="I277" s="15" t="s">
        <v>479</v>
      </c>
      <c r="J277" s="14" t="s">
        <v>4</v>
      </c>
      <c r="K277" s="15" t="s">
        <v>105</v>
      </c>
      <c r="L277" s="14">
        <v>80111620</v>
      </c>
      <c r="M277" s="14" t="s">
        <v>11</v>
      </c>
      <c r="N277" s="14" t="s">
        <v>253</v>
      </c>
      <c r="O277" s="15" t="s">
        <v>883</v>
      </c>
      <c r="P277" s="14" t="s">
        <v>255</v>
      </c>
      <c r="Q277" s="14" t="s">
        <v>255</v>
      </c>
      <c r="R277" s="14" t="s">
        <v>255</v>
      </c>
      <c r="S277" s="17">
        <v>11.5</v>
      </c>
      <c r="T277" s="14" t="s">
        <v>256</v>
      </c>
      <c r="U277" s="14" t="s">
        <v>257</v>
      </c>
      <c r="V277" s="14" t="s">
        <v>112</v>
      </c>
      <c r="W277" s="18">
        <v>103500000</v>
      </c>
      <c r="X277" s="18">
        <v>103500000</v>
      </c>
      <c r="Y277" s="19" t="s">
        <v>339</v>
      </c>
      <c r="Z277" s="19" t="s">
        <v>258</v>
      </c>
      <c r="AA277" s="19" t="s">
        <v>884</v>
      </c>
      <c r="AB277" s="14" t="s">
        <v>885</v>
      </c>
      <c r="AC277" s="14">
        <v>6012220601</v>
      </c>
      <c r="AD277" s="33" t="s">
        <v>369</v>
      </c>
      <c r="AE277" s="82">
        <v>103500000</v>
      </c>
      <c r="AF277" s="82">
        <v>0</v>
      </c>
      <c r="AG277" s="82">
        <v>0</v>
      </c>
      <c r="AH277" s="82">
        <v>4500000</v>
      </c>
      <c r="AI277" s="82">
        <v>0</v>
      </c>
      <c r="AJ277" s="82">
        <v>9000000</v>
      </c>
      <c r="AK277" s="82">
        <v>0</v>
      </c>
      <c r="AL277" s="82">
        <v>9000000</v>
      </c>
      <c r="AM277" s="82">
        <v>0</v>
      </c>
      <c r="AN277" s="82">
        <v>9000000</v>
      </c>
      <c r="AO277" s="82">
        <v>0</v>
      </c>
      <c r="AP277" s="82">
        <v>9000000</v>
      </c>
      <c r="AQ277" s="82">
        <v>0</v>
      </c>
      <c r="AR277" s="82">
        <v>9000000</v>
      </c>
      <c r="AS277" s="82">
        <v>0</v>
      </c>
      <c r="AT277" s="82">
        <v>9000000</v>
      </c>
      <c r="AU277" s="82">
        <v>0</v>
      </c>
      <c r="AV277" s="82">
        <v>9000000</v>
      </c>
      <c r="AW277" s="82">
        <v>0</v>
      </c>
      <c r="AX277" s="82">
        <v>9000000</v>
      </c>
      <c r="AY277" s="82">
        <v>0</v>
      </c>
      <c r="AZ277" s="82">
        <v>9000000</v>
      </c>
      <c r="BA277" s="82">
        <v>0</v>
      </c>
      <c r="BB277" s="82">
        <v>18000000</v>
      </c>
      <c r="BC277" s="82">
        <f t="shared" ref="BC277:BD277" si="541">AE277+AG277+AI277+AK277+AM277+AO277+AQ277+AS277+AU277+AW277+AY277+BA277</f>
        <v>103500000</v>
      </c>
      <c r="BD277" s="82">
        <f t="shared" si="541"/>
        <v>103500000</v>
      </c>
      <c r="BE277" s="83">
        <f t="shared" si="538"/>
        <v>0</v>
      </c>
      <c r="BF277" s="83">
        <f t="shared" si="539"/>
        <v>0</v>
      </c>
      <c r="BG277" s="14" t="str">
        <f ca="1">IFERROR(__xludf.DUMMYFUNCTION("REGEXEXTRACT(O271,""^\S+\s(.+)$"")"),"Prestar los servicios profesionales para el desarrollo de las actividades de apoyo jurídico de la Secretaría General")</f>
        <v>Prestar los servicios profesionales para el desarrollo de las actividades de apoyo jurídico de la Secretaría General</v>
      </c>
      <c r="BH277" s="23">
        <v>103500000</v>
      </c>
      <c r="BI277" s="23"/>
      <c r="BJ277" s="23"/>
      <c r="BK277" s="23">
        <v>4500000</v>
      </c>
      <c r="BL277" s="23"/>
      <c r="BM277" s="23">
        <v>9000000</v>
      </c>
      <c r="BN277" s="23"/>
      <c r="BO277" s="23">
        <v>9000000</v>
      </c>
      <c r="BP277" s="23"/>
      <c r="BQ277" s="23">
        <v>9000000</v>
      </c>
      <c r="BR277" s="23"/>
      <c r="BS277" s="23">
        <v>9000000</v>
      </c>
      <c r="BT277" s="23"/>
      <c r="BU277" s="23">
        <v>9000000</v>
      </c>
      <c r="BV277" s="23"/>
      <c r="BW277" s="23">
        <v>9000000</v>
      </c>
      <c r="BX277" s="23"/>
      <c r="BY277" s="23">
        <v>9000000</v>
      </c>
      <c r="BZ277" s="23"/>
      <c r="CA277" s="23">
        <v>9000000</v>
      </c>
      <c r="CB277" s="23"/>
      <c r="CC277" s="23">
        <v>9000000</v>
      </c>
      <c r="CD277" s="23"/>
      <c r="CE277" s="23">
        <v>18000000</v>
      </c>
      <c r="CF277" s="28"/>
      <c r="CG277" s="28"/>
      <c r="CH277" s="25">
        <f t="shared" ref="CH277:CI277" si="542">BH277+BJ277+BL277+BN277+BP277+BR277+BT277+BV277+BX277+BZ277+CB277+CD277+CF277</f>
        <v>103500000</v>
      </c>
      <c r="CI277" s="25">
        <f t="shared" si="542"/>
        <v>103500000</v>
      </c>
      <c r="CJ277" s="26">
        <f t="shared" si="518"/>
        <v>0</v>
      </c>
      <c r="CK277" s="26">
        <f t="shared" si="519"/>
        <v>0</v>
      </c>
    </row>
    <row r="278" spans="1:89" ht="90" customHeight="1" x14ac:dyDescent="0.3">
      <c r="A278" s="13" t="s">
        <v>248</v>
      </c>
      <c r="B278" s="14" t="s">
        <v>27</v>
      </c>
      <c r="C278" s="15" t="s">
        <v>427</v>
      </c>
      <c r="D278" s="14" t="s">
        <v>68</v>
      </c>
      <c r="E278" s="13" t="s">
        <v>250</v>
      </c>
      <c r="F278" s="13" t="s">
        <v>250</v>
      </c>
      <c r="G278" s="14">
        <v>68</v>
      </c>
      <c r="H278" s="13" t="s">
        <v>886</v>
      </c>
      <c r="I278" s="15" t="s">
        <v>479</v>
      </c>
      <c r="J278" s="14" t="s">
        <v>4</v>
      </c>
      <c r="K278" s="15" t="s">
        <v>105</v>
      </c>
      <c r="L278" s="14">
        <v>80111620</v>
      </c>
      <c r="M278" s="14" t="s">
        <v>11</v>
      </c>
      <c r="N278" s="14" t="s">
        <v>253</v>
      </c>
      <c r="O278" s="15" t="s">
        <v>887</v>
      </c>
      <c r="P278" s="14" t="s">
        <v>255</v>
      </c>
      <c r="Q278" s="14" t="s">
        <v>255</v>
      </c>
      <c r="R278" s="14" t="s">
        <v>255</v>
      </c>
      <c r="S278" s="17">
        <v>11.5</v>
      </c>
      <c r="T278" s="14" t="s">
        <v>256</v>
      </c>
      <c r="U278" s="14" t="s">
        <v>257</v>
      </c>
      <c r="V278" s="14" t="s">
        <v>112</v>
      </c>
      <c r="W278" s="18">
        <v>86250000</v>
      </c>
      <c r="X278" s="18">
        <v>86250000</v>
      </c>
      <c r="Y278" s="19" t="s">
        <v>339</v>
      </c>
      <c r="Z278" s="19" t="s">
        <v>258</v>
      </c>
      <c r="AA278" s="19" t="s">
        <v>888</v>
      </c>
      <c r="AB278" s="14" t="s">
        <v>889</v>
      </c>
      <c r="AC278" s="14">
        <v>6012220601</v>
      </c>
      <c r="AD278" s="33" t="s">
        <v>890</v>
      </c>
      <c r="AE278" s="82">
        <v>86250000</v>
      </c>
      <c r="AF278" s="82">
        <v>0</v>
      </c>
      <c r="AG278" s="82">
        <v>0</v>
      </c>
      <c r="AH278" s="82">
        <v>3750000</v>
      </c>
      <c r="AI278" s="82">
        <v>0</v>
      </c>
      <c r="AJ278" s="82">
        <v>7500000</v>
      </c>
      <c r="AK278" s="82">
        <v>0</v>
      </c>
      <c r="AL278" s="82">
        <v>7500000</v>
      </c>
      <c r="AM278" s="82">
        <v>0</v>
      </c>
      <c r="AN278" s="82">
        <v>7500000</v>
      </c>
      <c r="AO278" s="82">
        <v>0</v>
      </c>
      <c r="AP278" s="82">
        <v>7500000</v>
      </c>
      <c r="AQ278" s="82">
        <v>0</v>
      </c>
      <c r="AR278" s="82">
        <v>7500000</v>
      </c>
      <c r="AS278" s="82">
        <v>0</v>
      </c>
      <c r="AT278" s="82">
        <v>7500000</v>
      </c>
      <c r="AU278" s="82">
        <v>0</v>
      </c>
      <c r="AV278" s="82">
        <v>7500000</v>
      </c>
      <c r="AW278" s="82">
        <v>0</v>
      </c>
      <c r="AX278" s="82">
        <v>7500000</v>
      </c>
      <c r="AY278" s="82">
        <v>0</v>
      </c>
      <c r="AZ278" s="82">
        <v>7500000</v>
      </c>
      <c r="BA278" s="82">
        <v>0</v>
      </c>
      <c r="BB278" s="82">
        <v>15000000</v>
      </c>
      <c r="BC278" s="82">
        <f t="shared" ref="BC278:BD278" si="543">AE278+AG278+AI278+AK278+AM278+AO278+AQ278+AS278+AU278+AW278+AY278+BA278</f>
        <v>86250000</v>
      </c>
      <c r="BD278" s="82">
        <f t="shared" si="543"/>
        <v>86250000</v>
      </c>
      <c r="BE278" s="83">
        <f t="shared" si="538"/>
        <v>0</v>
      </c>
      <c r="BF278" s="83">
        <f t="shared" si="539"/>
        <v>0</v>
      </c>
      <c r="BG278" s="14" t="str">
        <f ca="1">IFERROR(__xludf.DUMMYFUNCTION("REGEXEXTRACT(O272,""^\S+\s(.+)$"")"),"Prestar los servicios profesionales para apoyar el seguimiento y control de la ejecución presupuestal y financiera de los recursos de funcionamiento e inversión asignados a la Secretaría General, así como brindar apoyo en la gestión de nómina de la UPME")</f>
        <v>Prestar los servicios profesionales para apoyar el seguimiento y control de la ejecución presupuestal y financiera de los recursos de funcionamiento e inversión asignados a la Secretaría General, así como brindar apoyo en la gestión de nómina de la UPME</v>
      </c>
      <c r="BH278" s="23">
        <v>86250000</v>
      </c>
      <c r="BI278" s="23"/>
      <c r="BJ278" s="23"/>
      <c r="BK278" s="23">
        <v>3750000</v>
      </c>
      <c r="BL278" s="23"/>
      <c r="BM278" s="23">
        <v>7500000</v>
      </c>
      <c r="BN278" s="23"/>
      <c r="BO278" s="23">
        <v>7500000</v>
      </c>
      <c r="BP278" s="23"/>
      <c r="BQ278" s="23">
        <v>7500000</v>
      </c>
      <c r="BR278" s="23"/>
      <c r="BS278" s="23">
        <v>7500000</v>
      </c>
      <c r="BT278" s="23"/>
      <c r="BU278" s="23">
        <v>7500000</v>
      </c>
      <c r="BV278" s="23"/>
      <c r="BW278" s="23">
        <v>7500000</v>
      </c>
      <c r="BX278" s="23"/>
      <c r="BY278" s="23">
        <v>7500000</v>
      </c>
      <c r="BZ278" s="23"/>
      <c r="CA278" s="23">
        <v>7500000</v>
      </c>
      <c r="CB278" s="23"/>
      <c r="CC278" s="23">
        <v>7500000</v>
      </c>
      <c r="CD278" s="23"/>
      <c r="CE278" s="23">
        <v>15000000</v>
      </c>
      <c r="CF278" s="28"/>
      <c r="CG278" s="28"/>
      <c r="CH278" s="25">
        <f t="shared" ref="CH278:CI278" si="544">BH278+BJ278+BL278+BN278+BP278+BR278+BT278+BV278+BX278+BZ278+CB278+CD278+CF278</f>
        <v>86250000</v>
      </c>
      <c r="CI278" s="25">
        <f t="shared" si="544"/>
        <v>86250000</v>
      </c>
      <c r="CJ278" s="26">
        <f t="shared" si="518"/>
        <v>0</v>
      </c>
      <c r="CK278" s="26">
        <f t="shared" si="519"/>
        <v>0</v>
      </c>
    </row>
    <row r="279" spans="1:89" ht="90" customHeight="1" x14ac:dyDescent="0.3">
      <c r="A279" s="13" t="s">
        <v>248</v>
      </c>
      <c r="B279" s="14" t="s">
        <v>27</v>
      </c>
      <c r="C279" s="15" t="s">
        <v>427</v>
      </c>
      <c r="D279" s="14" t="s">
        <v>68</v>
      </c>
      <c r="E279" s="13" t="s">
        <v>250</v>
      </c>
      <c r="F279" s="13" t="s">
        <v>250</v>
      </c>
      <c r="G279" s="14">
        <v>68</v>
      </c>
      <c r="H279" s="13" t="s">
        <v>891</v>
      </c>
      <c r="I279" s="15" t="s">
        <v>479</v>
      </c>
      <c r="J279" s="14" t="s">
        <v>4</v>
      </c>
      <c r="K279" s="15" t="s">
        <v>105</v>
      </c>
      <c r="L279" s="14">
        <v>80111620</v>
      </c>
      <c r="M279" s="14" t="s">
        <v>11</v>
      </c>
      <c r="N279" s="14" t="s">
        <v>253</v>
      </c>
      <c r="O279" s="15" t="s">
        <v>892</v>
      </c>
      <c r="P279" s="14" t="s">
        <v>255</v>
      </c>
      <c r="Q279" s="14" t="s">
        <v>255</v>
      </c>
      <c r="R279" s="14" t="s">
        <v>255</v>
      </c>
      <c r="S279" s="17">
        <v>11.5</v>
      </c>
      <c r="T279" s="14" t="s">
        <v>256</v>
      </c>
      <c r="U279" s="14" t="s">
        <v>257</v>
      </c>
      <c r="V279" s="14" t="s">
        <v>112</v>
      </c>
      <c r="W279" s="18">
        <v>63250000</v>
      </c>
      <c r="X279" s="18">
        <v>63250000</v>
      </c>
      <c r="Y279" s="19" t="s">
        <v>339</v>
      </c>
      <c r="Z279" s="19" t="s">
        <v>258</v>
      </c>
      <c r="AA279" s="19" t="s">
        <v>880</v>
      </c>
      <c r="AB279" s="14" t="s">
        <v>881</v>
      </c>
      <c r="AC279" s="14">
        <v>6012220601</v>
      </c>
      <c r="AD279" s="33" t="s">
        <v>311</v>
      </c>
      <c r="AE279" s="82">
        <v>0</v>
      </c>
      <c r="AF279" s="82">
        <v>0</v>
      </c>
      <c r="AG279" s="82">
        <v>63250000</v>
      </c>
      <c r="AH279" s="82">
        <v>0</v>
      </c>
      <c r="AI279" s="82">
        <v>0</v>
      </c>
      <c r="AJ279" s="82">
        <v>2750000</v>
      </c>
      <c r="AK279" s="82">
        <v>0</v>
      </c>
      <c r="AL279" s="82">
        <v>5500000</v>
      </c>
      <c r="AM279" s="82">
        <v>0</v>
      </c>
      <c r="AN279" s="82">
        <v>5500000</v>
      </c>
      <c r="AO279" s="82">
        <v>0</v>
      </c>
      <c r="AP279" s="82">
        <v>5500000</v>
      </c>
      <c r="AQ279" s="82">
        <v>0</v>
      </c>
      <c r="AR279" s="82">
        <v>5500000</v>
      </c>
      <c r="AS279" s="82">
        <v>0</v>
      </c>
      <c r="AT279" s="82">
        <v>5500000</v>
      </c>
      <c r="AU279" s="82">
        <v>0</v>
      </c>
      <c r="AV279" s="82">
        <v>5500000</v>
      </c>
      <c r="AW279" s="82">
        <v>0</v>
      </c>
      <c r="AX279" s="82">
        <v>5500000</v>
      </c>
      <c r="AY279" s="82">
        <v>0</v>
      </c>
      <c r="AZ279" s="82">
        <v>5500000</v>
      </c>
      <c r="BA279" s="82">
        <v>0</v>
      </c>
      <c r="BB279" s="82">
        <v>16500000</v>
      </c>
      <c r="BC279" s="82">
        <f t="shared" ref="BC279:BD279" si="545">AE279+AG279+AI279+AK279+AM279+AO279+AQ279+AS279+AU279+AW279+AY279+BA279</f>
        <v>63250000</v>
      </c>
      <c r="BD279" s="82">
        <f t="shared" si="545"/>
        <v>63250000</v>
      </c>
      <c r="BE279" s="83">
        <f t="shared" si="538"/>
        <v>0</v>
      </c>
      <c r="BF279" s="83">
        <f t="shared" si="539"/>
        <v>0</v>
      </c>
      <c r="BG279" s="14" t="str">
        <f ca="1">IFERROR(__xludf.DUMMYFUNCTION("REGEXEXTRACT(O273,""^\S+\s(.+)$"")"),"Prestar servicios profesionales especializados para apoyar la implementación, seguimiento y mejora del Sistema de Gestión de Seguridad y Salud en el Trabajo (SG-SST) de la Unidad de Planeación Minero Energética UPME, en cumplimiento de la normatividad vig"&amp;"ente.")</f>
        <v>Prestar servicios profesionales especializados para apoyar la implementación, seguimiento y mejora del Sistema de Gestión de Seguridad y Salud en el Trabajo (SG-SST) de la Unidad de Planeación Minero Energética UPME, en cumplimiento de la normatividad vigente.</v>
      </c>
      <c r="BH279" s="23"/>
      <c r="BI279" s="23"/>
      <c r="BJ279" s="23">
        <v>63250000</v>
      </c>
      <c r="BK279" s="23"/>
      <c r="BL279" s="23"/>
      <c r="BM279" s="23">
        <v>2750000</v>
      </c>
      <c r="BN279" s="23"/>
      <c r="BO279" s="23">
        <v>5500000</v>
      </c>
      <c r="BP279" s="23"/>
      <c r="BQ279" s="23">
        <v>5500000</v>
      </c>
      <c r="BR279" s="23"/>
      <c r="BS279" s="23">
        <v>5500000</v>
      </c>
      <c r="BT279" s="23"/>
      <c r="BU279" s="23">
        <v>5500000</v>
      </c>
      <c r="BV279" s="23"/>
      <c r="BW279" s="23">
        <v>5500000</v>
      </c>
      <c r="BX279" s="23"/>
      <c r="BY279" s="23">
        <v>5500000</v>
      </c>
      <c r="BZ279" s="23"/>
      <c r="CA279" s="23">
        <v>5500000</v>
      </c>
      <c r="CB279" s="23"/>
      <c r="CC279" s="23">
        <v>5500000</v>
      </c>
      <c r="CD279" s="23"/>
      <c r="CE279" s="23">
        <v>16500000</v>
      </c>
      <c r="CF279" s="28"/>
      <c r="CG279" s="28"/>
      <c r="CH279" s="25">
        <f t="shared" ref="CH279:CI279" si="546">BH279+BJ279+BL279+BN279+BP279+BR279+BT279+BV279+BX279+BZ279+CB279+CD279+CF279</f>
        <v>63250000</v>
      </c>
      <c r="CI279" s="25">
        <f t="shared" si="546"/>
        <v>63250000</v>
      </c>
      <c r="CJ279" s="26">
        <f t="shared" si="518"/>
        <v>0</v>
      </c>
      <c r="CK279" s="26">
        <f t="shared" si="519"/>
        <v>0</v>
      </c>
    </row>
    <row r="280" spans="1:89" ht="90" customHeight="1" x14ac:dyDescent="0.3">
      <c r="A280" s="13" t="s">
        <v>248</v>
      </c>
      <c r="B280" s="14" t="s">
        <v>27</v>
      </c>
      <c r="C280" s="15" t="s">
        <v>427</v>
      </c>
      <c r="D280" s="14" t="s">
        <v>68</v>
      </c>
      <c r="E280" s="13" t="s">
        <v>250</v>
      </c>
      <c r="F280" s="13" t="s">
        <v>250</v>
      </c>
      <c r="G280" s="14">
        <v>68</v>
      </c>
      <c r="H280" s="13" t="s">
        <v>893</v>
      </c>
      <c r="I280" s="15" t="s">
        <v>479</v>
      </c>
      <c r="J280" s="14" t="s">
        <v>4</v>
      </c>
      <c r="K280" s="15" t="s">
        <v>105</v>
      </c>
      <c r="L280" s="14">
        <v>80111620</v>
      </c>
      <c r="M280" s="14" t="s">
        <v>11</v>
      </c>
      <c r="N280" s="14" t="s">
        <v>253</v>
      </c>
      <c r="O280" s="15" t="s">
        <v>894</v>
      </c>
      <c r="P280" s="14" t="s">
        <v>255</v>
      </c>
      <c r="Q280" s="14" t="s">
        <v>255</v>
      </c>
      <c r="R280" s="14" t="s">
        <v>255</v>
      </c>
      <c r="S280" s="17">
        <v>11.5</v>
      </c>
      <c r="T280" s="14" t="s">
        <v>256</v>
      </c>
      <c r="U280" s="14" t="s">
        <v>257</v>
      </c>
      <c r="V280" s="14" t="s">
        <v>112</v>
      </c>
      <c r="W280" s="18">
        <v>2758184</v>
      </c>
      <c r="X280" s="18">
        <v>2758184</v>
      </c>
      <c r="Y280" s="19" t="s">
        <v>339</v>
      </c>
      <c r="Z280" s="19" t="s">
        <v>258</v>
      </c>
      <c r="AA280" s="19" t="s">
        <v>895</v>
      </c>
      <c r="AB280" s="14" t="s">
        <v>27</v>
      </c>
      <c r="AC280" s="14">
        <v>6012220601</v>
      </c>
      <c r="AD280" s="33" t="s">
        <v>896</v>
      </c>
      <c r="AE280" s="82">
        <v>0</v>
      </c>
      <c r="AF280" s="82">
        <v>0</v>
      </c>
      <c r="AG280" s="82">
        <v>2758184</v>
      </c>
      <c r="AH280" s="82">
        <v>0</v>
      </c>
      <c r="AI280" s="82">
        <v>0</v>
      </c>
      <c r="AJ280" s="82">
        <v>0</v>
      </c>
      <c r="AK280" s="82">
        <v>0</v>
      </c>
      <c r="AL280" s="82">
        <v>0</v>
      </c>
      <c r="AM280" s="82">
        <v>0</v>
      </c>
      <c r="AN280" s="82">
        <v>2758184</v>
      </c>
      <c r="AO280" s="82">
        <v>0</v>
      </c>
      <c r="AP280" s="82">
        <v>0</v>
      </c>
      <c r="AQ280" s="82">
        <v>0</v>
      </c>
      <c r="AR280" s="82">
        <v>0</v>
      </c>
      <c r="AS280" s="82">
        <v>0</v>
      </c>
      <c r="AT280" s="82">
        <v>0</v>
      </c>
      <c r="AU280" s="82">
        <v>0</v>
      </c>
      <c r="AV280" s="82">
        <v>0</v>
      </c>
      <c r="AW280" s="82">
        <v>0</v>
      </c>
      <c r="AX280" s="82">
        <v>0</v>
      </c>
      <c r="AY280" s="82">
        <v>0</v>
      </c>
      <c r="AZ280" s="82">
        <v>0</v>
      </c>
      <c r="BA280" s="82">
        <v>0</v>
      </c>
      <c r="BB280" s="82">
        <v>0</v>
      </c>
      <c r="BC280" s="82">
        <f t="shared" ref="BC280:BD280" si="547">AE280+AG280+AI280+AK280+AM280+AO280+AQ280+AS280+AU280+AW280+AY280+BA280</f>
        <v>2758184</v>
      </c>
      <c r="BD280" s="82">
        <f t="shared" si="547"/>
        <v>2758184</v>
      </c>
      <c r="BE280" s="83">
        <f t="shared" si="538"/>
        <v>0</v>
      </c>
      <c r="BF280" s="83">
        <f t="shared" si="539"/>
        <v>0</v>
      </c>
      <c r="BG280" s="14" t="str">
        <f ca="1">IFERROR(__xludf.DUMMYFUNCTION("REGEXEXTRACT(O274,""^\S+\s(.+)$"")"),"Prestar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280" s="23"/>
      <c r="BI280" s="23"/>
      <c r="BJ280" s="23">
        <v>2758184</v>
      </c>
      <c r="BK280" s="23"/>
      <c r="BL280" s="23"/>
      <c r="BM280" s="23"/>
      <c r="BN280" s="23"/>
      <c r="BO280" s="23"/>
      <c r="BP280" s="23"/>
      <c r="BQ280" s="23">
        <v>2758184</v>
      </c>
      <c r="BR280" s="23"/>
      <c r="BS280" s="23"/>
      <c r="BT280" s="23"/>
      <c r="BU280" s="23"/>
      <c r="BV280" s="23"/>
      <c r="BW280" s="23"/>
      <c r="BX280" s="23"/>
      <c r="BY280" s="23"/>
      <c r="BZ280" s="23"/>
      <c r="CA280" s="23"/>
      <c r="CB280" s="23"/>
      <c r="CC280" s="23"/>
      <c r="CD280" s="23"/>
      <c r="CE280" s="23"/>
      <c r="CF280" s="28"/>
      <c r="CG280" s="28"/>
      <c r="CH280" s="25">
        <f t="shared" ref="CH280:CI280" si="548">BH280+BJ280+BL280+BN280+BP280+BR280+BT280+BV280+BX280+BZ280+CB280+CD280+CF280</f>
        <v>2758184</v>
      </c>
      <c r="CI280" s="25">
        <f t="shared" si="548"/>
        <v>2758184</v>
      </c>
      <c r="CJ280" s="26">
        <f t="shared" si="518"/>
        <v>0</v>
      </c>
      <c r="CK280" s="26">
        <f t="shared" si="519"/>
        <v>0</v>
      </c>
    </row>
    <row r="281" spans="1:89" ht="90" customHeight="1" x14ac:dyDescent="0.3">
      <c r="A281" s="13" t="s">
        <v>248</v>
      </c>
      <c r="B281" s="14" t="s">
        <v>27</v>
      </c>
      <c r="C281" s="15" t="s">
        <v>427</v>
      </c>
      <c r="D281" s="14" t="s">
        <v>68</v>
      </c>
      <c r="E281" s="13" t="s">
        <v>250</v>
      </c>
      <c r="F281" s="13" t="s">
        <v>250</v>
      </c>
      <c r="G281" s="14">
        <v>68</v>
      </c>
      <c r="H281" s="13" t="s">
        <v>897</v>
      </c>
      <c r="I281" s="15" t="s">
        <v>479</v>
      </c>
      <c r="J281" s="14" t="s">
        <v>4</v>
      </c>
      <c r="K281" s="15" t="s">
        <v>105</v>
      </c>
      <c r="L281" s="14">
        <v>80111620</v>
      </c>
      <c r="M281" s="14" t="s">
        <v>11</v>
      </c>
      <c r="N281" s="14" t="s">
        <v>253</v>
      </c>
      <c r="O281" s="15" t="s">
        <v>898</v>
      </c>
      <c r="P281" s="14" t="s">
        <v>255</v>
      </c>
      <c r="Q281" s="14" t="s">
        <v>255</v>
      </c>
      <c r="R281" s="14" t="s">
        <v>255</v>
      </c>
      <c r="S281" s="17">
        <v>11.5</v>
      </c>
      <c r="T281" s="14" t="s">
        <v>256</v>
      </c>
      <c r="U281" s="14" t="s">
        <v>257</v>
      </c>
      <c r="V281" s="14" t="s">
        <v>112</v>
      </c>
      <c r="W281" s="18">
        <v>2758184</v>
      </c>
      <c r="X281" s="18">
        <v>2758184</v>
      </c>
      <c r="Y281" s="19" t="s">
        <v>339</v>
      </c>
      <c r="Z281" s="19" t="s">
        <v>258</v>
      </c>
      <c r="AA281" s="19" t="s">
        <v>895</v>
      </c>
      <c r="AB281" s="14" t="s">
        <v>27</v>
      </c>
      <c r="AC281" s="14">
        <v>6012220601</v>
      </c>
      <c r="AD281" s="33" t="s">
        <v>896</v>
      </c>
      <c r="AE281" s="82">
        <v>0</v>
      </c>
      <c r="AF281" s="82">
        <v>0</v>
      </c>
      <c r="AG281" s="82">
        <v>0</v>
      </c>
      <c r="AH281" s="82">
        <v>0</v>
      </c>
      <c r="AI281" s="82">
        <v>0</v>
      </c>
      <c r="AJ281" s="82">
        <v>0</v>
      </c>
      <c r="AK281" s="82">
        <v>0</v>
      </c>
      <c r="AL281" s="82">
        <v>0</v>
      </c>
      <c r="AM281" s="82">
        <v>0</v>
      </c>
      <c r="AN281" s="82">
        <v>0</v>
      </c>
      <c r="AO281" s="82">
        <v>0</v>
      </c>
      <c r="AP281" s="82">
        <v>0</v>
      </c>
      <c r="AQ281" s="82">
        <v>2758184</v>
      </c>
      <c r="AR281" s="82">
        <v>0</v>
      </c>
      <c r="AS281" s="82">
        <v>0</v>
      </c>
      <c r="AT281" s="82">
        <v>0</v>
      </c>
      <c r="AU281" s="82">
        <v>0</v>
      </c>
      <c r="AV281" s="82">
        <v>0</v>
      </c>
      <c r="AW281" s="82">
        <v>0</v>
      </c>
      <c r="AX281" s="82">
        <v>900000</v>
      </c>
      <c r="AY281" s="82">
        <v>0</v>
      </c>
      <c r="AZ281" s="82">
        <v>900000</v>
      </c>
      <c r="BA281" s="82">
        <v>0</v>
      </c>
      <c r="BB281" s="82">
        <v>958184</v>
      </c>
      <c r="BC281" s="82">
        <f t="shared" ref="BC281:BD281" si="549">AE281+AG281+AI281+AK281+AM281+AO281+AQ281+AS281+AU281+AW281+AY281+BA281</f>
        <v>2758184</v>
      </c>
      <c r="BD281" s="82">
        <f t="shared" si="549"/>
        <v>2758184</v>
      </c>
      <c r="BE281" s="83">
        <f t="shared" si="538"/>
        <v>0</v>
      </c>
      <c r="BF281" s="83">
        <f t="shared" si="539"/>
        <v>0</v>
      </c>
      <c r="BG281" s="14" t="str">
        <f ca="1">IFERROR(__xludf.DUMMYFUNCTION("REGEXEXTRACT(O275,""^\S+\s(.+)$"")"),"Prestar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281" s="23"/>
      <c r="BI281" s="23"/>
      <c r="BJ281" s="23"/>
      <c r="BK281" s="23"/>
      <c r="BL281" s="23"/>
      <c r="BM281" s="23"/>
      <c r="BN281" s="23"/>
      <c r="BO281" s="23"/>
      <c r="BP281" s="23"/>
      <c r="BQ281" s="23"/>
      <c r="BR281" s="23"/>
      <c r="BS281" s="23"/>
      <c r="BT281" s="23">
        <v>2758184</v>
      </c>
      <c r="BU281" s="23"/>
      <c r="BV281" s="23"/>
      <c r="BW281" s="23"/>
      <c r="BX281" s="23"/>
      <c r="BY281" s="23"/>
      <c r="BZ281" s="23"/>
      <c r="CA281" s="23">
        <v>900000</v>
      </c>
      <c r="CB281" s="23"/>
      <c r="CC281" s="23">
        <v>900000</v>
      </c>
      <c r="CD281" s="23"/>
      <c r="CE281" s="23">
        <v>958184</v>
      </c>
      <c r="CF281" s="28"/>
      <c r="CG281" s="28"/>
      <c r="CH281" s="25">
        <f t="shared" ref="CH281:CI281" si="550">BH281+BJ281+BL281+BN281+BP281+BR281+BT281+BV281+BX281+BZ281+CB281+CD281+CF281</f>
        <v>2758184</v>
      </c>
      <c r="CI281" s="25">
        <f t="shared" si="550"/>
        <v>2758184</v>
      </c>
      <c r="CJ281" s="26">
        <f t="shared" si="518"/>
        <v>0</v>
      </c>
      <c r="CK281" s="26">
        <f t="shared" si="519"/>
        <v>0</v>
      </c>
    </row>
    <row r="282" spans="1:89" ht="90" customHeight="1" x14ac:dyDescent="0.3">
      <c r="A282" s="13" t="s">
        <v>248</v>
      </c>
      <c r="B282" s="14" t="s">
        <v>27</v>
      </c>
      <c r="C282" s="15" t="s">
        <v>427</v>
      </c>
      <c r="D282" s="14" t="s">
        <v>68</v>
      </c>
      <c r="E282" s="13" t="s">
        <v>250</v>
      </c>
      <c r="F282" s="13" t="s">
        <v>250</v>
      </c>
      <c r="G282" s="14">
        <v>68</v>
      </c>
      <c r="H282" s="13" t="s">
        <v>899</v>
      </c>
      <c r="I282" s="15" t="s">
        <v>479</v>
      </c>
      <c r="J282" s="14" t="s">
        <v>4</v>
      </c>
      <c r="K282" s="15" t="s">
        <v>105</v>
      </c>
      <c r="L282" s="14">
        <v>80111620</v>
      </c>
      <c r="M282" s="14" t="s">
        <v>11</v>
      </c>
      <c r="N282" s="14" t="s">
        <v>253</v>
      </c>
      <c r="O282" s="15" t="s">
        <v>900</v>
      </c>
      <c r="P282" s="14" t="s">
        <v>255</v>
      </c>
      <c r="Q282" s="14" t="s">
        <v>255</v>
      </c>
      <c r="R282" s="14" t="s">
        <v>255</v>
      </c>
      <c r="S282" s="17">
        <v>11.5</v>
      </c>
      <c r="T282" s="14" t="s">
        <v>256</v>
      </c>
      <c r="U282" s="14" t="s">
        <v>257</v>
      </c>
      <c r="V282" s="14" t="s">
        <v>112</v>
      </c>
      <c r="W282" s="18">
        <v>2758184</v>
      </c>
      <c r="X282" s="18">
        <v>2758184</v>
      </c>
      <c r="Y282" s="19" t="s">
        <v>339</v>
      </c>
      <c r="Z282" s="19" t="s">
        <v>258</v>
      </c>
      <c r="AA282" s="19" t="s">
        <v>895</v>
      </c>
      <c r="AB282" s="14" t="s">
        <v>27</v>
      </c>
      <c r="AC282" s="14">
        <v>6012220601</v>
      </c>
      <c r="AD282" s="33" t="s">
        <v>896</v>
      </c>
      <c r="AE282" s="82">
        <v>0</v>
      </c>
      <c r="AF282" s="82">
        <v>0</v>
      </c>
      <c r="AG282" s="82">
        <v>0</v>
      </c>
      <c r="AH282" s="82">
        <v>0</v>
      </c>
      <c r="AI282" s="82">
        <v>0</v>
      </c>
      <c r="AJ282" s="82">
        <v>0</v>
      </c>
      <c r="AK282" s="82">
        <v>0</v>
      </c>
      <c r="AL282" s="82">
        <v>0</v>
      </c>
      <c r="AM282" s="82">
        <v>0</v>
      </c>
      <c r="AN282" s="82">
        <v>0</v>
      </c>
      <c r="AO282" s="82">
        <v>0</v>
      </c>
      <c r="AP282" s="82">
        <v>0</v>
      </c>
      <c r="AQ282" s="82">
        <v>2758184</v>
      </c>
      <c r="AR282" s="82">
        <v>0</v>
      </c>
      <c r="AS282" s="82">
        <v>0</v>
      </c>
      <c r="AT282" s="82">
        <v>0</v>
      </c>
      <c r="AU282" s="82">
        <v>0</v>
      </c>
      <c r="AV282" s="82">
        <v>0</v>
      </c>
      <c r="AW282" s="82">
        <v>0</v>
      </c>
      <c r="AX282" s="82">
        <v>900000</v>
      </c>
      <c r="AY282" s="82">
        <v>0</v>
      </c>
      <c r="AZ282" s="82">
        <v>900000</v>
      </c>
      <c r="BA282" s="82">
        <v>0</v>
      </c>
      <c r="BB282" s="82">
        <v>958184</v>
      </c>
      <c r="BC282" s="82">
        <f t="shared" ref="BC282:BD282" si="551">AE282+AG282+AI282+AK282+AM282+AO282+AQ282+AS282+AU282+AW282+AY282+BA282</f>
        <v>2758184</v>
      </c>
      <c r="BD282" s="82">
        <f t="shared" si="551"/>
        <v>2758184</v>
      </c>
      <c r="BE282" s="83">
        <f t="shared" si="538"/>
        <v>0</v>
      </c>
      <c r="BF282" s="83">
        <f t="shared" si="539"/>
        <v>0</v>
      </c>
      <c r="BG282" s="14" t="str">
        <f ca="1">IFERROR(__xludf.DUMMYFUNCTION("REGEXEXTRACT(O276,""^\S+\s(.+)$"")"),"Prestar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282" s="23"/>
      <c r="BI282" s="23"/>
      <c r="BJ282" s="23"/>
      <c r="BK282" s="23"/>
      <c r="BL282" s="23"/>
      <c r="BM282" s="23"/>
      <c r="BN282" s="23"/>
      <c r="BO282" s="23"/>
      <c r="BP282" s="23"/>
      <c r="BQ282" s="23"/>
      <c r="BR282" s="23"/>
      <c r="BS282" s="23"/>
      <c r="BT282" s="23">
        <v>2758184</v>
      </c>
      <c r="BU282" s="23"/>
      <c r="BV282" s="23"/>
      <c r="BW282" s="23"/>
      <c r="BX282" s="23"/>
      <c r="BY282" s="23"/>
      <c r="BZ282" s="23"/>
      <c r="CA282" s="23">
        <v>900000</v>
      </c>
      <c r="CB282" s="23"/>
      <c r="CC282" s="23">
        <v>900000</v>
      </c>
      <c r="CD282" s="23"/>
      <c r="CE282" s="23">
        <v>958184</v>
      </c>
      <c r="CF282" s="28"/>
      <c r="CG282" s="28"/>
      <c r="CH282" s="25">
        <f t="shared" ref="CH282:CI282" si="552">BH282+BJ282+BL282+BN282+BP282+BR282+BT282+BV282+BX282+BZ282+CB282+CD282+CF282</f>
        <v>2758184</v>
      </c>
      <c r="CI282" s="25">
        <f t="shared" si="552"/>
        <v>2758184</v>
      </c>
      <c r="CJ282" s="26">
        <f t="shared" si="518"/>
        <v>0</v>
      </c>
      <c r="CK282" s="26">
        <f t="shared" si="519"/>
        <v>0</v>
      </c>
    </row>
    <row r="283" spans="1:89" ht="90" customHeight="1" x14ac:dyDescent="0.3">
      <c r="A283" s="13" t="s">
        <v>248</v>
      </c>
      <c r="B283" s="14" t="s">
        <v>27</v>
      </c>
      <c r="C283" s="15" t="s">
        <v>427</v>
      </c>
      <c r="D283" s="14" t="s">
        <v>68</v>
      </c>
      <c r="E283" s="13" t="s">
        <v>250</v>
      </c>
      <c r="F283" s="13" t="s">
        <v>250</v>
      </c>
      <c r="G283" s="14">
        <v>68</v>
      </c>
      <c r="H283" s="13" t="s">
        <v>901</v>
      </c>
      <c r="I283" s="15" t="s">
        <v>479</v>
      </c>
      <c r="J283" s="14" t="s">
        <v>4</v>
      </c>
      <c r="K283" s="15" t="s">
        <v>105</v>
      </c>
      <c r="L283" s="14">
        <v>80111620</v>
      </c>
      <c r="M283" s="14" t="s">
        <v>11</v>
      </c>
      <c r="N283" s="14" t="s">
        <v>253</v>
      </c>
      <c r="O283" s="15" t="s">
        <v>902</v>
      </c>
      <c r="P283" s="14" t="s">
        <v>255</v>
      </c>
      <c r="Q283" s="14" t="s">
        <v>255</v>
      </c>
      <c r="R283" s="14" t="s">
        <v>255</v>
      </c>
      <c r="S283" s="17">
        <v>11.5</v>
      </c>
      <c r="T283" s="14" t="s">
        <v>256</v>
      </c>
      <c r="U283" s="14" t="s">
        <v>257</v>
      </c>
      <c r="V283" s="14" t="s">
        <v>112</v>
      </c>
      <c r="W283" s="18">
        <v>82800000</v>
      </c>
      <c r="X283" s="18">
        <v>82800000</v>
      </c>
      <c r="Y283" s="19" t="s">
        <v>339</v>
      </c>
      <c r="Z283" s="19" t="s">
        <v>258</v>
      </c>
      <c r="AA283" s="19" t="s">
        <v>293</v>
      </c>
      <c r="AB283" s="14" t="s">
        <v>903</v>
      </c>
      <c r="AC283" s="14">
        <v>6012220601</v>
      </c>
      <c r="AD283" s="14" t="s">
        <v>294</v>
      </c>
      <c r="AE283" s="82">
        <v>0</v>
      </c>
      <c r="AF283" s="82">
        <v>0</v>
      </c>
      <c r="AG283" s="82">
        <v>82800000</v>
      </c>
      <c r="AH283" s="82">
        <v>0</v>
      </c>
      <c r="AI283" s="82">
        <v>0</v>
      </c>
      <c r="AJ283" s="82">
        <v>3600000</v>
      </c>
      <c r="AK283" s="82">
        <v>0</v>
      </c>
      <c r="AL283" s="82">
        <v>7200000</v>
      </c>
      <c r="AM283" s="82">
        <v>0</v>
      </c>
      <c r="AN283" s="82">
        <v>7200000</v>
      </c>
      <c r="AO283" s="82">
        <v>0</v>
      </c>
      <c r="AP283" s="82">
        <v>7200000</v>
      </c>
      <c r="AQ283" s="82">
        <v>0</v>
      </c>
      <c r="AR283" s="82">
        <v>7200000</v>
      </c>
      <c r="AS283" s="82">
        <v>0</v>
      </c>
      <c r="AT283" s="82">
        <v>7200000</v>
      </c>
      <c r="AU283" s="82">
        <v>0</v>
      </c>
      <c r="AV283" s="82">
        <v>7200000</v>
      </c>
      <c r="AW283" s="82">
        <v>0</v>
      </c>
      <c r="AX283" s="82">
        <v>7200000</v>
      </c>
      <c r="AY283" s="82">
        <v>0</v>
      </c>
      <c r="AZ283" s="82">
        <v>7200000</v>
      </c>
      <c r="BA283" s="82">
        <v>0</v>
      </c>
      <c r="BB283" s="82">
        <v>21600000</v>
      </c>
      <c r="BC283" s="82">
        <f t="shared" ref="BC283:BD283" si="553">AE283+AG283+AI283+AK283+AM283+AO283+AQ283+AS283+AU283+AW283+AY283+BA283</f>
        <v>82800000</v>
      </c>
      <c r="BD283" s="82">
        <f t="shared" si="553"/>
        <v>82800000</v>
      </c>
      <c r="BE283" s="83">
        <f t="shared" si="538"/>
        <v>0</v>
      </c>
      <c r="BF283" s="83">
        <f t="shared" si="539"/>
        <v>0</v>
      </c>
      <c r="BG283" s="14" t="str">
        <f ca="1">IFERROR(__xludf.DUMMYFUNCTION("REGEXEXTRACT(O277,""^\S+\s(.+)$"")"),"Prestar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283" s="23"/>
      <c r="BI283" s="23"/>
      <c r="BJ283" s="23">
        <v>82800000</v>
      </c>
      <c r="BK283" s="23"/>
      <c r="BL283" s="23"/>
      <c r="BM283" s="23">
        <v>3600000</v>
      </c>
      <c r="BN283" s="23"/>
      <c r="BO283" s="23">
        <v>7200000</v>
      </c>
      <c r="BP283" s="23"/>
      <c r="BQ283" s="23">
        <v>7200000</v>
      </c>
      <c r="BR283" s="23"/>
      <c r="BS283" s="23">
        <v>7200000</v>
      </c>
      <c r="BT283" s="23"/>
      <c r="BU283" s="23">
        <v>7200000</v>
      </c>
      <c r="BV283" s="23"/>
      <c r="BW283" s="23">
        <v>7200000</v>
      </c>
      <c r="BX283" s="23"/>
      <c r="BY283" s="23">
        <v>7200000</v>
      </c>
      <c r="BZ283" s="23"/>
      <c r="CA283" s="23">
        <v>7200000</v>
      </c>
      <c r="CB283" s="23"/>
      <c r="CC283" s="23">
        <v>7200000</v>
      </c>
      <c r="CD283" s="23"/>
      <c r="CE283" s="23">
        <v>21600000</v>
      </c>
      <c r="CF283" s="28"/>
      <c r="CG283" s="28"/>
      <c r="CH283" s="25">
        <f t="shared" ref="CH283:CI283" si="554">BH283+BJ283+BL283+BN283+BP283+BR283+BT283+BV283+BX283+BZ283+CB283+CD283+CF283</f>
        <v>82800000</v>
      </c>
      <c r="CI283" s="25">
        <f t="shared" si="554"/>
        <v>82800000</v>
      </c>
      <c r="CJ283" s="26">
        <f t="shared" si="518"/>
        <v>0</v>
      </c>
      <c r="CK283" s="26">
        <f t="shared" si="519"/>
        <v>0</v>
      </c>
    </row>
    <row r="284" spans="1:89" ht="90" customHeight="1" x14ac:dyDescent="0.3">
      <c r="A284" s="13" t="s">
        <v>248</v>
      </c>
      <c r="B284" s="14" t="s">
        <v>27</v>
      </c>
      <c r="C284" s="15" t="s">
        <v>427</v>
      </c>
      <c r="D284" s="14" t="s">
        <v>68</v>
      </c>
      <c r="E284" s="13" t="s">
        <v>250</v>
      </c>
      <c r="F284" s="13" t="s">
        <v>250</v>
      </c>
      <c r="G284" s="14">
        <v>3</v>
      </c>
      <c r="H284" s="13" t="s">
        <v>904</v>
      </c>
      <c r="I284" s="15" t="s">
        <v>479</v>
      </c>
      <c r="J284" s="14" t="s">
        <v>4</v>
      </c>
      <c r="K284" s="15" t="s">
        <v>105</v>
      </c>
      <c r="L284" s="14">
        <v>80111620</v>
      </c>
      <c r="M284" s="14" t="s">
        <v>11</v>
      </c>
      <c r="N284" s="14" t="s">
        <v>253</v>
      </c>
      <c r="O284" s="15" t="s">
        <v>905</v>
      </c>
      <c r="P284" s="14" t="s">
        <v>255</v>
      </c>
      <c r="Q284" s="14" t="s">
        <v>255</v>
      </c>
      <c r="R284" s="14" t="s">
        <v>255</v>
      </c>
      <c r="S284" s="17">
        <v>11.5</v>
      </c>
      <c r="T284" s="14" t="s">
        <v>256</v>
      </c>
      <c r="U284" s="14" t="s">
        <v>257</v>
      </c>
      <c r="V284" s="14" t="s">
        <v>112</v>
      </c>
      <c r="W284" s="18">
        <v>68200000</v>
      </c>
      <c r="X284" s="18">
        <v>68200000</v>
      </c>
      <c r="Y284" s="19" t="s">
        <v>339</v>
      </c>
      <c r="Z284" s="19" t="s">
        <v>258</v>
      </c>
      <c r="AA284" s="19" t="s">
        <v>293</v>
      </c>
      <c r="AB284" s="14" t="s">
        <v>903</v>
      </c>
      <c r="AC284" s="14">
        <v>6012220601</v>
      </c>
      <c r="AD284" s="14" t="s">
        <v>294</v>
      </c>
      <c r="AE284" s="82">
        <v>0</v>
      </c>
      <c r="AF284" s="82">
        <v>0</v>
      </c>
      <c r="AG284" s="82">
        <v>68200000</v>
      </c>
      <c r="AH284" s="82">
        <v>0</v>
      </c>
      <c r="AI284" s="82">
        <v>0</v>
      </c>
      <c r="AJ284" s="82">
        <v>6200000</v>
      </c>
      <c r="AK284" s="82">
        <v>0</v>
      </c>
      <c r="AL284" s="82">
        <v>6200000</v>
      </c>
      <c r="AM284" s="82">
        <v>0</v>
      </c>
      <c r="AN284" s="82">
        <v>6200000</v>
      </c>
      <c r="AO284" s="82">
        <v>0</v>
      </c>
      <c r="AP284" s="82">
        <v>6200000</v>
      </c>
      <c r="AQ284" s="82">
        <v>0</v>
      </c>
      <c r="AR284" s="82">
        <v>6200000</v>
      </c>
      <c r="AS284" s="82">
        <v>0</v>
      </c>
      <c r="AT284" s="82">
        <v>6200000</v>
      </c>
      <c r="AU284" s="82">
        <v>0</v>
      </c>
      <c r="AV284" s="82">
        <v>6200000</v>
      </c>
      <c r="AW284" s="82">
        <v>0</v>
      </c>
      <c r="AX284" s="82">
        <v>6200000</v>
      </c>
      <c r="AY284" s="82">
        <v>0</v>
      </c>
      <c r="AZ284" s="82">
        <v>6200000</v>
      </c>
      <c r="BA284" s="82">
        <v>0</v>
      </c>
      <c r="BB284" s="82">
        <v>12400000</v>
      </c>
      <c r="BC284" s="82">
        <f t="shared" ref="BC284:BD284" si="555">AE284+AG284+AI284+AK284+AM284+AO284+AQ284+AS284+AU284+AW284+AY284+BA284</f>
        <v>68200000</v>
      </c>
      <c r="BD284" s="82">
        <f t="shared" si="555"/>
        <v>68200000</v>
      </c>
      <c r="BE284" s="83">
        <f t="shared" si="538"/>
        <v>0</v>
      </c>
      <c r="BF284" s="83">
        <f t="shared" si="539"/>
        <v>0</v>
      </c>
      <c r="BG284" s="14" t="str">
        <f ca="1">IFERROR(__xludf.DUMMYFUNCTION("REGEXEXTRACT(O278,""^\S+\s(.+)$"")"),"Prestar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284" s="23"/>
      <c r="BI284" s="23"/>
      <c r="BJ284" s="23">
        <v>68200000</v>
      </c>
      <c r="BK284" s="23"/>
      <c r="BL284" s="23"/>
      <c r="BM284" s="23">
        <v>6200000</v>
      </c>
      <c r="BN284" s="23"/>
      <c r="BO284" s="23">
        <v>6200000</v>
      </c>
      <c r="BP284" s="23"/>
      <c r="BQ284" s="23">
        <v>6200000</v>
      </c>
      <c r="BR284" s="23"/>
      <c r="BS284" s="23">
        <v>6200000</v>
      </c>
      <c r="BT284" s="23"/>
      <c r="BU284" s="23">
        <v>6200000</v>
      </c>
      <c r="BV284" s="23"/>
      <c r="BW284" s="23">
        <v>6200000</v>
      </c>
      <c r="BX284" s="23"/>
      <c r="BY284" s="23">
        <v>6200000</v>
      </c>
      <c r="BZ284" s="23"/>
      <c r="CA284" s="23">
        <v>6200000</v>
      </c>
      <c r="CB284" s="23"/>
      <c r="CC284" s="23">
        <v>6200000</v>
      </c>
      <c r="CD284" s="23"/>
      <c r="CE284" s="23">
        <v>12400000</v>
      </c>
      <c r="CF284" s="28"/>
      <c r="CG284" s="28"/>
      <c r="CH284" s="25">
        <f t="shared" ref="CH284:CI284" si="556">BH284+BJ284+BL284+BN284+BP284+BR284+BT284+BV284+BX284+BZ284+CB284+CD284+CF284</f>
        <v>68200000</v>
      </c>
      <c r="CI284" s="25">
        <f t="shared" si="556"/>
        <v>68200000</v>
      </c>
      <c r="CJ284" s="26">
        <f t="shared" si="518"/>
        <v>0</v>
      </c>
      <c r="CK284" s="26">
        <f t="shared" si="519"/>
        <v>0</v>
      </c>
    </row>
    <row r="285" spans="1:89" ht="90" customHeight="1" x14ac:dyDescent="0.3">
      <c r="A285" s="13" t="s">
        <v>248</v>
      </c>
      <c r="B285" s="14" t="s">
        <v>27</v>
      </c>
      <c r="C285" s="15" t="s">
        <v>427</v>
      </c>
      <c r="D285" s="14" t="s">
        <v>68</v>
      </c>
      <c r="E285" s="13" t="s">
        <v>250</v>
      </c>
      <c r="F285" s="13" t="s">
        <v>250</v>
      </c>
      <c r="G285" s="14">
        <v>5</v>
      </c>
      <c r="H285" s="13" t="s">
        <v>906</v>
      </c>
      <c r="I285" s="15" t="s">
        <v>479</v>
      </c>
      <c r="J285" s="14" t="s">
        <v>4</v>
      </c>
      <c r="K285" s="15" t="s">
        <v>105</v>
      </c>
      <c r="L285" s="14">
        <v>80111620</v>
      </c>
      <c r="M285" s="14" t="s">
        <v>11</v>
      </c>
      <c r="N285" s="14" t="s">
        <v>253</v>
      </c>
      <c r="O285" s="15" t="s">
        <v>907</v>
      </c>
      <c r="P285" s="14" t="s">
        <v>255</v>
      </c>
      <c r="Q285" s="14" t="s">
        <v>255</v>
      </c>
      <c r="R285" s="14" t="s">
        <v>255</v>
      </c>
      <c r="S285" s="17">
        <v>11.5</v>
      </c>
      <c r="T285" s="14" t="s">
        <v>256</v>
      </c>
      <c r="U285" s="14" t="s">
        <v>257</v>
      </c>
      <c r="V285" s="14" t="s">
        <v>112</v>
      </c>
      <c r="W285" s="18">
        <v>37200000</v>
      </c>
      <c r="X285" s="18">
        <v>37200000</v>
      </c>
      <c r="Y285" s="19" t="s">
        <v>339</v>
      </c>
      <c r="Z285" s="19" t="s">
        <v>258</v>
      </c>
      <c r="AA285" s="19" t="s">
        <v>293</v>
      </c>
      <c r="AB285" s="14" t="s">
        <v>903</v>
      </c>
      <c r="AC285" s="14">
        <v>6012220601</v>
      </c>
      <c r="AD285" s="14" t="s">
        <v>294</v>
      </c>
      <c r="AE285" s="82">
        <v>37200000</v>
      </c>
      <c r="AF285" s="82">
        <v>0</v>
      </c>
      <c r="AG285" s="82">
        <v>0</v>
      </c>
      <c r="AH285" s="82">
        <v>0</v>
      </c>
      <c r="AI285" s="82">
        <v>0</v>
      </c>
      <c r="AJ285" s="82">
        <v>6200000</v>
      </c>
      <c r="AK285" s="82">
        <v>0</v>
      </c>
      <c r="AL285" s="82">
        <v>6200000</v>
      </c>
      <c r="AM285" s="82">
        <v>0</v>
      </c>
      <c r="AN285" s="82">
        <v>6200000</v>
      </c>
      <c r="AO285" s="82">
        <v>0</v>
      </c>
      <c r="AP285" s="82">
        <v>6200000</v>
      </c>
      <c r="AQ285" s="82">
        <v>0</v>
      </c>
      <c r="AR285" s="82">
        <v>6200000</v>
      </c>
      <c r="AS285" s="82">
        <v>0</v>
      </c>
      <c r="AT285" s="82">
        <v>6200000</v>
      </c>
      <c r="AU285" s="82">
        <v>0</v>
      </c>
      <c r="AV285" s="82">
        <v>0</v>
      </c>
      <c r="AW285" s="82">
        <v>0</v>
      </c>
      <c r="AX285" s="82">
        <v>0</v>
      </c>
      <c r="AY285" s="82">
        <v>0</v>
      </c>
      <c r="AZ285" s="82">
        <v>0</v>
      </c>
      <c r="BA285" s="82">
        <v>0</v>
      </c>
      <c r="BB285" s="82">
        <v>0</v>
      </c>
      <c r="BC285" s="82">
        <f t="shared" ref="BC285:BD285" si="557">AE285+AG285+AI285+AK285+AM285+AO285+AQ285+AS285+AU285+AW285+AY285+BA285</f>
        <v>37200000</v>
      </c>
      <c r="BD285" s="82">
        <f t="shared" si="557"/>
        <v>37200000</v>
      </c>
      <c r="BE285" s="83">
        <f t="shared" si="538"/>
        <v>0</v>
      </c>
      <c r="BF285" s="83">
        <f t="shared" si="539"/>
        <v>0</v>
      </c>
      <c r="BG285" s="14" t="str">
        <f ca="1">IFERROR(__xludf.DUMMYFUNCTION("REGEXEXTRACT(O279,""^\S+\s(.+)$"")"),"Prestar servicios ​profesionales en asuntos jurídicos relacionados con los procesos ​y procedimientos administrativos y de planeación de competencia de la Oficina Asesora Jurídica de la UPME, en el marco de la gestión institucional de la Entidad.")</f>
        <v>Prestar servicios ​profesionales en asuntos jurídicos relacionados con los procesos ​y procedimientos administrativos y de planeación de competencia de la Oficina Asesora Jurídica de la UPME, en el marco de la gestión institucional de la Entidad.</v>
      </c>
      <c r="BH285" s="23">
        <v>37200000</v>
      </c>
      <c r="BI285" s="23"/>
      <c r="BJ285" s="23"/>
      <c r="BK285" s="23"/>
      <c r="BL285" s="23"/>
      <c r="BM285" s="23">
        <v>6200000</v>
      </c>
      <c r="BN285" s="23"/>
      <c r="BO285" s="23">
        <v>6200000</v>
      </c>
      <c r="BP285" s="23"/>
      <c r="BQ285" s="23">
        <v>6200000</v>
      </c>
      <c r="BR285" s="23"/>
      <c r="BS285" s="23">
        <v>6200000</v>
      </c>
      <c r="BT285" s="23"/>
      <c r="BU285" s="23">
        <v>6200000</v>
      </c>
      <c r="BV285" s="23"/>
      <c r="BW285" s="23">
        <v>6200000</v>
      </c>
      <c r="BX285" s="23"/>
      <c r="BY285" s="23"/>
      <c r="BZ285" s="23"/>
      <c r="CA285" s="23"/>
      <c r="CB285" s="23"/>
      <c r="CC285" s="23"/>
      <c r="CD285" s="23"/>
      <c r="CE285" s="23"/>
      <c r="CF285" s="28"/>
      <c r="CG285" s="28"/>
      <c r="CH285" s="25">
        <f t="shared" ref="CH285:CI285" si="558">BH285+BJ285+BL285+BN285+BP285+BR285+BT285+BV285+BX285+BZ285+CB285+CD285+CF285</f>
        <v>37200000</v>
      </c>
      <c r="CI285" s="25">
        <f t="shared" si="558"/>
        <v>37200000</v>
      </c>
      <c r="CJ285" s="26">
        <f t="shared" si="518"/>
        <v>0</v>
      </c>
      <c r="CK285" s="26">
        <f t="shared" si="519"/>
        <v>0</v>
      </c>
    </row>
    <row r="286" spans="1:89" ht="90" customHeight="1" x14ac:dyDescent="0.3">
      <c r="A286" s="13" t="s">
        <v>248</v>
      </c>
      <c r="B286" s="14" t="s">
        <v>27</v>
      </c>
      <c r="C286" s="15" t="s">
        <v>427</v>
      </c>
      <c r="D286" s="14" t="s">
        <v>68</v>
      </c>
      <c r="E286" s="13" t="s">
        <v>250</v>
      </c>
      <c r="F286" s="13" t="s">
        <v>250</v>
      </c>
      <c r="G286" s="14">
        <v>68</v>
      </c>
      <c r="H286" s="13" t="s">
        <v>908</v>
      </c>
      <c r="I286" s="15" t="s">
        <v>479</v>
      </c>
      <c r="J286" s="14" t="s">
        <v>4</v>
      </c>
      <c r="K286" s="15" t="s">
        <v>105</v>
      </c>
      <c r="L286" s="14">
        <v>80111620</v>
      </c>
      <c r="M286" s="14" t="s">
        <v>11</v>
      </c>
      <c r="N286" s="14" t="s">
        <v>253</v>
      </c>
      <c r="O286" s="15" t="s">
        <v>909</v>
      </c>
      <c r="P286" s="14" t="s">
        <v>255</v>
      </c>
      <c r="Q286" s="14" t="s">
        <v>255</v>
      </c>
      <c r="R286" s="14" t="s">
        <v>255</v>
      </c>
      <c r="S286" s="17">
        <v>11.5</v>
      </c>
      <c r="T286" s="14" t="s">
        <v>256</v>
      </c>
      <c r="U286" s="14" t="s">
        <v>257</v>
      </c>
      <c r="V286" s="14" t="s">
        <v>112</v>
      </c>
      <c r="W286" s="18">
        <v>156400000</v>
      </c>
      <c r="X286" s="18">
        <v>156400000</v>
      </c>
      <c r="Y286" s="19" t="s">
        <v>339</v>
      </c>
      <c r="Z286" s="19" t="s">
        <v>258</v>
      </c>
      <c r="AA286" s="19" t="s">
        <v>910</v>
      </c>
      <c r="AB286" s="14" t="s">
        <v>911</v>
      </c>
      <c r="AC286" s="14">
        <v>6012220601</v>
      </c>
      <c r="AD286" s="33" t="s">
        <v>307</v>
      </c>
      <c r="AE286" s="82">
        <v>156400000</v>
      </c>
      <c r="AF286" s="82">
        <v>0</v>
      </c>
      <c r="AG286" s="82">
        <v>0</v>
      </c>
      <c r="AH286" s="82">
        <v>6800000</v>
      </c>
      <c r="AI286" s="82">
        <v>0</v>
      </c>
      <c r="AJ286" s="82">
        <v>13600000</v>
      </c>
      <c r="AK286" s="82">
        <v>0</v>
      </c>
      <c r="AL286" s="82">
        <v>13600000</v>
      </c>
      <c r="AM286" s="82">
        <v>0</v>
      </c>
      <c r="AN286" s="82">
        <v>13600000</v>
      </c>
      <c r="AO286" s="82">
        <v>0</v>
      </c>
      <c r="AP286" s="82">
        <v>13600000</v>
      </c>
      <c r="AQ286" s="82">
        <v>0</v>
      </c>
      <c r="AR286" s="82">
        <v>13600000</v>
      </c>
      <c r="AS286" s="82">
        <v>0</v>
      </c>
      <c r="AT286" s="82">
        <v>13600000</v>
      </c>
      <c r="AU286" s="82">
        <v>0</v>
      </c>
      <c r="AV286" s="82">
        <v>13600000</v>
      </c>
      <c r="AW286" s="82">
        <v>0</v>
      </c>
      <c r="AX286" s="82">
        <v>13600000</v>
      </c>
      <c r="AY286" s="82">
        <v>0</v>
      </c>
      <c r="AZ286" s="82">
        <v>13600000</v>
      </c>
      <c r="BA286" s="82">
        <v>0</v>
      </c>
      <c r="BB286" s="82">
        <v>27200000</v>
      </c>
      <c r="BC286" s="82">
        <f t="shared" ref="BC286:BD286" si="559">AE286+AG286+AI286+AK286+AM286+AO286+AQ286+AS286+AU286+AW286+AY286+BA286</f>
        <v>156400000</v>
      </c>
      <c r="BD286" s="82">
        <f t="shared" si="559"/>
        <v>156400000</v>
      </c>
      <c r="BE286" s="83">
        <f t="shared" si="538"/>
        <v>0</v>
      </c>
      <c r="BF286" s="83">
        <f t="shared" si="539"/>
        <v>0</v>
      </c>
      <c r="BG286" s="14" t="str">
        <f ca="1">IFERROR(__xludf.DUMMYFUNCTION("REGEXEXTRACT(O280,""^\S+\s(.+)$"")"),"Prestar servicios profesionales de asesoría estratégica a la Dirección General de la Unidad de Planeación Minero Energética UPME, orientados al fortalecimiento de la gestión pública y la gestión de atención al ciudadano, mediante la formulación de lineami"&amp;"entos, recomendaciones técnicas y acompañamiento especializado para la toma de decisiones, en concordancia con el MIPG, la normatividad vigente y los objetivos institucionales.")</f>
        <v>Prestar servicios profesionales de asesoría estratégica a la Dirección General de la Unidad de Planeación Minero Energética UPME, orientados al fortalecimiento de la gestión pública y la gestión de atención al ciudadano, mediante la formulación de lineamientos, recomendaciones técnicas y acompañamiento especializado para la toma de decisiones, en concordancia con el MIPG, la normatividad vigente y los objetivos institucionales.</v>
      </c>
      <c r="BH286" s="23">
        <v>156400000</v>
      </c>
      <c r="BI286" s="23"/>
      <c r="BJ286" s="23"/>
      <c r="BK286" s="23">
        <v>6800000</v>
      </c>
      <c r="BL286" s="23"/>
      <c r="BM286" s="23">
        <v>13600000</v>
      </c>
      <c r="BN286" s="23"/>
      <c r="BO286" s="23">
        <v>13600000</v>
      </c>
      <c r="BP286" s="23"/>
      <c r="BQ286" s="23">
        <v>13600000</v>
      </c>
      <c r="BR286" s="23"/>
      <c r="BS286" s="23">
        <v>13600000</v>
      </c>
      <c r="BT286" s="23"/>
      <c r="BU286" s="23">
        <v>13600000</v>
      </c>
      <c r="BV286" s="23"/>
      <c r="BW286" s="23">
        <v>13600000</v>
      </c>
      <c r="BX286" s="23"/>
      <c r="BY286" s="23">
        <v>13600000</v>
      </c>
      <c r="BZ286" s="23"/>
      <c r="CA286" s="23">
        <v>13600000</v>
      </c>
      <c r="CB286" s="23"/>
      <c r="CC286" s="23">
        <v>13600000</v>
      </c>
      <c r="CD286" s="23"/>
      <c r="CE286" s="23">
        <v>27200000</v>
      </c>
      <c r="CF286" s="28"/>
      <c r="CG286" s="28"/>
      <c r="CH286" s="25">
        <f t="shared" ref="CH286:CI286" si="560">BH286+BJ286+BL286+BN286+BP286+BR286+BT286+BV286+BX286+BZ286+CB286+CD286+CF286</f>
        <v>156400000</v>
      </c>
      <c r="CI286" s="25">
        <f t="shared" si="560"/>
        <v>156400000</v>
      </c>
      <c r="CJ286" s="26">
        <f t="shared" si="518"/>
        <v>0</v>
      </c>
      <c r="CK286" s="26">
        <f t="shared" si="519"/>
        <v>0</v>
      </c>
    </row>
    <row r="287" spans="1:89" ht="90" customHeight="1" x14ac:dyDescent="0.3">
      <c r="A287" s="13" t="s">
        <v>248</v>
      </c>
      <c r="B287" s="14" t="s">
        <v>27</v>
      </c>
      <c r="C287" s="15" t="s">
        <v>427</v>
      </c>
      <c r="D287" s="14" t="s">
        <v>68</v>
      </c>
      <c r="E287" s="13" t="s">
        <v>250</v>
      </c>
      <c r="F287" s="13" t="s">
        <v>250</v>
      </c>
      <c r="G287" s="14">
        <v>68</v>
      </c>
      <c r="H287" s="13" t="s">
        <v>912</v>
      </c>
      <c r="I287" s="15" t="s">
        <v>479</v>
      </c>
      <c r="J287" s="14" t="s">
        <v>4</v>
      </c>
      <c r="K287" s="15" t="s">
        <v>105</v>
      </c>
      <c r="L287" s="14">
        <v>80111620</v>
      </c>
      <c r="M287" s="14" t="s">
        <v>11</v>
      </c>
      <c r="N287" s="14" t="s">
        <v>253</v>
      </c>
      <c r="O287" s="15" t="s">
        <v>913</v>
      </c>
      <c r="P287" s="14" t="s">
        <v>255</v>
      </c>
      <c r="Q287" s="14" t="s">
        <v>255</v>
      </c>
      <c r="R287" s="14" t="s">
        <v>255</v>
      </c>
      <c r="S287" s="17">
        <v>7.3</v>
      </c>
      <c r="T287" s="14" t="s">
        <v>256</v>
      </c>
      <c r="U287" s="14" t="s">
        <v>257</v>
      </c>
      <c r="V287" s="14" t="s">
        <v>112</v>
      </c>
      <c r="W287" s="18">
        <v>16100000</v>
      </c>
      <c r="X287" s="18">
        <v>16100000</v>
      </c>
      <c r="Y287" s="19" t="s">
        <v>339</v>
      </c>
      <c r="Z287" s="19" t="s">
        <v>258</v>
      </c>
      <c r="AA287" s="19" t="s">
        <v>910</v>
      </c>
      <c r="AB287" s="14" t="s">
        <v>911</v>
      </c>
      <c r="AC287" s="14">
        <v>6012220601</v>
      </c>
      <c r="AD287" s="33" t="s">
        <v>307</v>
      </c>
      <c r="AE287" s="82">
        <v>0</v>
      </c>
      <c r="AF287" s="82">
        <v>0</v>
      </c>
      <c r="AG287" s="82">
        <v>16100000</v>
      </c>
      <c r="AH287" s="82">
        <v>0</v>
      </c>
      <c r="AI287" s="82">
        <v>0</v>
      </c>
      <c r="AJ287" s="82">
        <v>1100000</v>
      </c>
      <c r="AK287" s="82">
        <v>0</v>
      </c>
      <c r="AL287" s="82">
        <v>2200000</v>
      </c>
      <c r="AM287" s="82">
        <v>0</v>
      </c>
      <c r="AN287" s="82">
        <v>2200000</v>
      </c>
      <c r="AO287" s="82">
        <v>0</v>
      </c>
      <c r="AP287" s="82">
        <v>2200000</v>
      </c>
      <c r="AQ287" s="82">
        <v>0</v>
      </c>
      <c r="AR287" s="82">
        <v>2200000</v>
      </c>
      <c r="AS287" s="82">
        <v>0</v>
      </c>
      <c r="AT287" s="82">
        <v>2200000</v>
      </c>
      <c r="AU287" s="82">
        <v>0</v>
      </c>
      <c r="AV287" s="82">
        <v>2200000</v>
      </c>
      <c r="AW287" s="82">
        <v>0</v>
      </c>
      <c r="AX287" s="82">
        <v>1800000</v>
      </c>
      <c r="AY287" s="82">
        <v>0</v>
      </c>
      <c r="AZ287" s="82">
        <v>0</v>
      </c>
      <c r="BA287" s="82">
        <v>0</v>
      </c>
      <c r="BB287" s="82">
        <v>0</v>
      </c>
      <c r="BC287" s="82">
        <f t="shared" ref="BC287:BD287" si="561">AE287+AG287+AI287+AK287+AM287+AO287+AQ287+AS287+AU287+AW287+AY287+BA287</f>
        <v>16100000</v>
      </c>
      <c r="BD287" s="82">
        <f t="shared" si="561"/>
        <v>16100000</v>
      </c>
      <c r="BE287" s="83">
        <f t="shared" si="538"/>
        <v>0</v>
      </c>
      <c r="BF287" s="83">
        <f t="shared" si="539"/>
        <v>0</v>
      </c>
      <c r="BG287" s="14" t="str">
        <f ca="1">IFERROR(__xludf.DUMMYFUNCTION("REGEXEXTRACT(O281,""^\S+\s(.+)$"")"),"Prestar servicios de apoyo a la gestión documental de la Unidad de Planeación Minero Energética")</f>
        <v>Prestar servicios de apoyo a la gestión documental de la Unidad de Planeación Minero Energética</v>
      </c>
      <c r="BH287" s="23"/>
      <c r="BI287" s="23"/>
      <c r="BJ287" s="23">
        <v>16100000</v>
      </c>
      <c r="BK287" s="23"/>
      <c r="BL287" s="23"/>
      <c r="BM287" s="23">
        <v>1100000</v>
      </c>
      <c r="BN287" s="23"/>
      <c r="BO287" s="23">
        <v>2200000</v>
      </c>
      <c r="BP287" s="23"/>
      <c r="BQ287" s="23">
        <v>2200000</v>
      </c>
      <c r="BR287" s="23"/>
      <c r="BS287" s="23">
        <v>2200000</v>
      </c>
      <c r="BT287" s="23"/>
      <c r="BU287" s="23">
        <v>2200000</v>
      </c>
      <c r="BV287" s="23"/>
      <c r="BW287" s="23">
        <v>2200000</v>
      </c>
      <c r="BX287" s="23"/>
      <c r="BY287" s="23">
        <v>2200000</v>
      </c>
      <c r="BZ287" s="23"/>
      <c r="CA287" s="23">
        <v>1800000</v>
      </c>
      <c r="CB287" s="23"/>
      <c r="CC287" s="23"/>
      <c r="CD287" s="23"/>
      <c r="CE287" s="23"/>
      <c r="CF287" s="28"/>
      <c r="CG287" s="28"/>
      <c r="CH287" s="25">
        <f t="shared" ref="CH287:CI287" si="562">BH287+BJ287+BL287+BN287+BP287+BR287+BT287+BV287+BX287+BZ287+CB287+CD287+CF287</f>
        <v>16100000</v>
      </c>
      <c r="CI287" s="25">
        <f t="shared" si="562"/>
        <v>16100000</v>
      </c>
      <c r="CJ287" s="26">
        <f t="shared" si="518"/>
        <v>0</v>
      </c>
      <c r="CK287" s="26">
        <f t="shared" si="519"/>
        <v>0</v>
      </c>
    </row>
    <row r="288" spans="1:89" ht="90" customHeight="1" x14ac:dyDescent="0.3">
      <c r="A288" s="13" t="s">
        <v>248</v>
      </c>
      <c r="B288" s="14" t="s">
        <v>27</v>
      </c>
      <c r="C288" s="15" t="s">
        <v>427</v>
      </c>
      <c r="D288" s="14" t="s">
        <v>68</v>
      </c>
      <c r="E288" s="13" t="s">
        <v>250</v>
      </c>
      <c r="F288" s="13" t="s">
        <v>250</v>
      </c>
      <c r="G288" s="14">
        <v>68</v>
      </c>
      <c r="H288" s="13" t="s">
        <v>914</v>
      </c>
      <c r="I288" s="15" t="s">
        <v>479</v>
      </c>
      <c r="J288" s="14" t="s">
        <v>4</v>
      </c>
      <c r="K288" s="15" t="s">
        <v>105</v>
      </c>
      <c r="L288" s="14">
        <v>80111620</v>
      </c>
      <c r="M288" s="14" t="s">
        <v>11</v>
      </c>
      <c r="N288" s="14" t="s">
        <v>253</v>
      </c>
      <c r="O288" s="15" t="s">
        <v>915</v>
      </c>
      <c r="P288" s="14" t="s">
        <v>255</v>
      </c>
      <c r="Q288" s="14" t="s">
        <v>255</v>
      </c>
      <c r="R288" s="14" t="s">
        <v>255</v>
      </c>
      <c r="S288" s="17">
        <v>11.5</v>
      </c>
      <c r="T288" s="14" t="s">
        <v>256</v>
      </c>
      <c r="U288" s="14" t="s">
        <v>257</v>
      </c>
      <c r="V288" s="14" t="s">
        <v>112</v>
      </c>
      <c r="W288" s="18">
        <v>43700000</v>
      </c>
      <c r="X288" s="18">
        <v>43700000</v>
      </c>
      <c r="Y288" s="19" t="s">
        <v>339</v>
      </c>
      <c r="Z288" s="19" t="s">
        <v>258</v>
      </c>
      <c r="AA288" s="19" t="s">
        <v>880</v>
      </c>
      <c r="AB288" s="14" t="s">
        <v>881</v>
      </c>
      <c r="AC288" s="14">
        <v>6012220601</v>
      </c>
      <c r="AD288" s="33" t="s">
        <v>311</v>
      </c>
      <c r="AE288" s="82">
        <v>0</v>
      </c>
      <c r="AF288" s="82">
        <v>0</v>
      </c>
      <c r="AG288" s="82">
        <v>43700000</v>
      </c>
      <c r="AH288" s="82">
        <v>0</v>
      </c>
      <c r="AI288" s="82">
        <v>0</v>
      </c>
      <c r="AJ288" s="82">
        <v>1900000</v>
      </c>
      <c r="AK288" s="82">
        <v>0</v>
      </c>
      <c r="AL288" s="82">
        <v>3800000</v>
      </c>
      <c r="AM288" s="82">
        <v>0</v>
      </c>
      <c r="AN288" s="82">
        <v>3800000</v>
      </c>
      <c r="AO288" s="82">
        <v>0</v>
      </c>
      <c r="AP288" s="82">
        <v>3800000</v>
      </c>
      <c r="AQ288" s="82">
        <v>0</v>
      </c>
      <c r="AR288" s="82">
        <v>3800000</v>
      </c>
      <c r="AS288" s="82">
        <v>0</v>
      </c>
      <c r="AT288" s="82">
        <v>3800000</v>
      </c>
      <c r="AU288" s="82">
        <v>0</v>
      </c>
      <c r="AV288" s="82">
        <v>3800000</v>
      </c>
      <c r="AW288" s="82">
        <v>0</v>
      </c>
      <c r="AX288" s="82">
        <v>3800000</v>
      </c>
      <c r="AY288" s="82">
        <v>0</v>
      </c>
      <c r="AZ288" s="82">
        <v>3800000</v>
      </c>
      <c r="BA288" s="82">
        <v>0</v>
      </c>
      <c r="BB288" s="82">
        <v>11400000</v>
      </c>
      <c r="BC288" s="82">
        <f t="shared" ref="BC288:BD288" si="563">AE288+AG288+AI288+AK288+AM288+AO288+AQ288+AS288+AU288+AW288+AY288+BA288</f>
        <v>43700000</v>
      </c>
      <c r="BD288" s="82">
        <f t="shared" si="563"/>
        <v>43700000</v>
      </c>
      <c r="BE288" s="83">
        <f t="shared" si="538"/>
        <v>0</v>
      </c>
      <c r="BF288" s="83">
        <f t="shared" si="539"/>
        <v>0</v>
      </c>
      <c r="BG288" s="14" t="str">
        <f ca="1">IFERROR(__xludf.DUMMYFUNCTION("REGEXEXTRACT(O282,""^\S+\s(.+)$"")"),"Prestar servicios profesionales para apoyar la gestión del talento humano de la Unidad de Planeación Minero Energética UPME, mediante la elaboración, actualización y organización de documentos metodológicos, lineamientos e instrumentos técnicos asociados "&amp;"a los procesos de Gestión de Talento Humano, en concordancia con la normatividad vigente y los lineamientos institucionales.")</f>
        <v>Prestar servicios profesionales para apoyar la gestión del talento humano de la Unidad de Planeación Minero Energética UPME, mediante la elaboración, actualización y organización de documentos metodológicos, lineamientos e instrumentos técnicos asociados a los procesos de Gestión de Talento Humano, en concordancia con la normatividad vigente y los lineamientos institucionales.</v>
      </c>
      <c r="BH288" s="23"/>
      <c r="BI288" s="23"/>
      <c r="BJ288" s="23">
        <v>43700000</v>
      </c>
      <c r="BK288" s="23"/>
      <c r="BL288" s="23"/>
      <c r="BM288" s="23">
        <v>1900000</v>
      </c>
      <c r="BN288" s="23"/>
      <c r="BO288" s="23">
        <v>3800000</v>
      </c>
      <c r="BP288" s="23"/>
      <c r="BQ288" s="23">
        <v>3800000</v>
      </c>
      <c r="BR288" s="23"/>
      <c r="BS288" s="23">
        <v>3800000</v>
      </c>
      <c r="BT288" s="23"/>
      <c r="BU288" s="23">
        <v>3800000</v>
      </c>
      <c r="BV288" s="23"/>
      <c r="BW288" s="23">
        <v>3800000</v>
      </c>
      <c r="BX288" s="23"/>
      <c r="BY288" s="23">
        <v>3800000</v>
      </c>
      <c r="BZ288" s="23"/>
      <c r="CA288" s="23">
        <v>3800000</v>
      </c>
      <c r="CB288" s="23"/>
      <c r="CC288" s="23">
        <v>3800000</v>
      </c>
      <c r="CD288" s="23"/>
      <c r="CE288" s="23">
        <v>11400000</v>
      </c>
      <c r="CF288" s="28"/>
      <c r="CG288" s="28"/>
      <c r="CH288" s="25">
        <f t="shared" ref="CH288:CI288" si="564">BH288+BJ288+BL288+BN288+BP288+BR288+BT288+BV288+BX288+BZ288+CB288+CD288+CF288</f>
        <v>43700000</v>
      </c>
      <c r="CI288" s="25">
        <f t="shared" si="564"/>
        <v>43700000</v>
      </c>
      <c r="CJ288" s="26">
        <f t="shared" si="518"/>
        <v>0</v>
      </c>
      <c r="CK288" s="26">
        <f t="shared" si="519"/>
        <v>0</v>
      </c>
    </row>
    <row r="289" spans="1:89" ht="90" customHeight="1" x14ac:dyDescent="0.3">
      <c r="A289" s="13" t="s">
        <v>248</v>
      </c>
      <c r="B289" s="14" t="s">
        <v>27</v>
      </c>
      <c r="C289" s="15" t="s">
        <v>427</v>
      </c>
      <c r="D289" s="14" t="s">
        <v>68</v>
      </c>
      <c r="E289" s="13" t="s">
        <v>250</v>
      </c>
      <c r="F289" s="13" t="s">
        <v>250</v>
      </c>
      <c r="G289" s="14">
        <v>68</v>
      </c>
      <c r="H289" s="13" t="s">
        <v>916</v>
      </c>
      <c r="I289" s="15" t="s">
        <v>479</v>
      </c>
      <c r="J289" s="14" t="s">
        <v>4</v>
      </c>
      <c r="K289" s="15" t="s">
        <v>105</v>
      </c>
      <c r="L289" s="14">
        <v>80111620</v>
      </c>
      <c r="M289" s="14" t="s">
        <v>11</v>
      </c>
      <c r="N289" s="14" t="s">
        <v>253</v>
      </c>
      <c r="O289" s="15" t="s">
        <v>917</v>
      </c>
      <c r="P289" s="14" t="s">
        <v>255</v>
      </c>
      <c r="Q289" s="14" t="s">
        <v>255</v>
      </c>
      <c r="R289" s="14" t="s">
        <v>255</v>
      </c>
      <c r="S289" s="17">
        <v>6.5</v>
      </c>
      <c r="T289" s="14" t="s">
        <v>256</v>
      </c>
      <c r="U289" s="14" t="s">
        <v>257</v>
      </c>
      <c r="V289" s="14" t="s">
        <v>112</v>
      </c>
      <c r="W289" s="18">
        <v>26721162</v>
      </c>
      <c r="X289" s="18">
        <v>26721162</v>
      </c>
      <c r="Y289" s="19" t="s">
        <v>339</v>
      </c>
      <c r="Z289" s="19" t="s">
        <v>258</v>
      </c>
      <c r="AA289" s="19" t="s">
        <v>880</v>
      </c>
      <c r="AB289" s="14" t="s">
        <v>881</v>
      </c>
      <c r="AC289" s="14">
        <v>6012220601</v>
      </c>
      <c r="AD289" s="33" t="s">
        <v>311</v>
      </c>
      <c r="AE289" s="82">
        <v>26721162</v>
      </c>
      <c r="AF289" s="82">
        <v>0</v>
      </c>
      <c r="AG289" s="82">
        <v>0</v>
      </c>
      <c r="AH289" s="82">
        <v>2750000</v>
      </c>
      <c r="AI289" s="82">
        <v>0</v>
      </c>
      <c r="AJ289" s="82">
        <v>5500000</v>
      </c>
      <c r="AK289" s="82">
        <v>0</v>
      </c>
      <c r="AL289" s="82">
        <v>5500000</v>
      </c>
      <c r="AM289" s="82">
        <v>0</v>
      </c>
      <c r="AN289" s="82">
        <v>5500000</v>
      </c>
      <c r="AO289" s="82">
        <v>0</v>
      </c>
      <c r="AP289" s="82">
        <v>5500000</v>
      </c>
      <c r="AQ289" s="82">
        <v>0</v>
      </c>
      <c r="AR289" s="82">
        <v>1971162</v>
      </c>
      <c r="AS289" s="82">
        <v>0</v>
      </c>
      <c r="AT289" s="82">
        <v>0</v>
      </c>
      <c r="AU289" s="82">
        <v>0</v>
      </c>
      <c r="AV289" s="82">
        <v>0</v>
      </c>
      <c r="AW289" s="82">
        <v>0</v>
      </c>
      <c r="AX289" s="82">
        <v>0</v>
      </c>
      <c r="AY289" s="82">
        <v>0</v>
      </c>
      <c r="AZ289" s="82">
        <v>0</v>
      </c>
      <c r="BA289" s="82">
        <v>0</v>
      </c>
      <c r="BB289" s="82">
        <v>0</v>
      </c>
      <c r="BC289" s="82">
        <f t="shared" ref="BC289:BD289" si="565">AE289+AG289+AI289+AK289+AM289+AO289+AQ289+AS289+AU289+AW289+AY289+BA289</f>
        <v>26721162</v>
      </c>
      <c r="BD289" s="82">
        <f t="shared" si="565"/>
        <v>26721162</v>
      </c>
      <c r="BE289" s="83">
        <f t="shared" si="538"/>
        <v>0</v>
      </c>
      <c r="BF289" s="83">
        <f t="shared" si="539"/>
        <v>0</v>
      </c>
      <c r="BG289" s="14" t="str">
        <f ca="1">IFERROR(__xludf.DUMMYFUNCTION("REGEXEXTRACT(O283,""^\S+\s(.+)$"")"),"Prestar los servicios profesionales para apoyar al Grupo Interno de Trabajo de Gestión del Talento Humano de la UPME en el seguimiento, análisis y consolidación de información relacionada con los planes de mejoramiento, planes de acción, auditorías intern"&amp;"as, MIPG y demás instrumentos de gestión, contribuyendo al fortalecimiento de los sistemas de control y calidad de los procesos de talento humano de la entidad.")</f>
        <v>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v>
      </c>
      <c r="BH289" s="23">
        <v>26721162</v>
      </c>
      <c r="BI289" s="23"/>
      <c r="BJ289" s="23"/>
      <c r="BK289" s="23">
        <v>2750000</v>
      </c>
      <c r="BL289" s="23"/>
      <c r="BM289" s="23">
        <v>5500000</v>
      </c>
      <c r="BN289" s="23"/>
      <c r="BO289" s="23">
        <v>5500000</v>
      </c>
      <c r="BP289" s="23"/>
      <c r="BQ289" s="23">
        <v>5500000</v>
      </c>
      <c r="BR289" s="23"/>
      <c r="BS289" s="23">
        <v>5500000</v>
      </c>
      <c r="BT289" s="23"/>
      <c r="BU289" s="23">
        <v>1971162</v>
      </c>
      <c r="BV289" s="23"/>
      <c r="BW289" s="23"/>
      <c r="BX289" s="23"/>
      <c r="BY289" s="23"/>
      <c r="BZ289" s="23"/>
      <c r="CA289" s="23"/>
      <c r="CB289" s="23"/>
      <c r="CC289" s="23"/>
      <c r="CD289" s="23"/>
      <c r="CE289" s="23"/>
      <c r="CF289" s="28"/>
      <c r="CG289" s="28"/>
      <c r="CH289" s="25">
        <f t="shared" ref="CH289:CI289" si="566">BH289+BJ289+BL289+BN289+BP289+BR289+BT289+BV289+BX289+BZ289+CB289+CD289+CF289</f>
        <v>26721162</v>
      </c>
      <c r="CI289" s="25">
        <f t="shared" si="566"/>
        <v>26721162</v>
      </c>
      <c r="CJ289" s="26">
        <f t="shared" si="518"/>
        <v>0</v>
      </c>
      <c r="CK289" s="26">
        <f t="shared" si="519"/>
        <v>0</v>
      </c>
    </row>
    <row r="290" spans="1:89" ht="90" customHeight="1" x14ac:dyDescent="0.3">
      <c r="A290" s="13" t="s">
        <v>248</v>
      </c>
      <c r="B290" s="14" t="s">
        <v>27</v>
      </c>
      <c r="C290" s="15" t="s">
        <v>427</v>
      </c>
      <c r="D290" s="14" t="s">
        <v>68</v>
      </c>
      <c r="E290" s="13" t="s">
        <v>250</v>
      </c>
      <c r="F290" s="13" t="s">
        <v>250</v>
      </c>
      <c r="G290" s="14">
        <v>68</v>
      </c>
      <c r="H290" s="13" t="s">
        <v>918</v>
      </c>
      <c r="I290" s="15" t="s">
        <v>479</v>
      </c>
      <c r="J290" s="14" t="s">
        <v>28</v>
      </c>
      <c r="K290" s="15" t="s">
        <v>107</v>
      </c>
      <c r="L290" s="14">
        <v>80111620</v>
      </c>
      <c r="M290" s="14" t="s">
        <v>29</v>
      </c>
      <c r="N290" s="14" t="s">
        <v>253</v>
      </c>
      <c r="O290" s="15" t="s">
        <v>919</v>
      </c>
      <c r="P290" s="14" t="s">
        <v>255</v>
      </c>
      <c r="Q290" s="14" t="s">
        <v>255</v>
      </c>
      <c r="R290" s="14" t="s">
        <v>255</v>
      </c>
      <c r="S290" s="17">
        <v>6.5</v>
      </c>
      <c r="T290" s="14" t="s">
        <v>256</v>
      </c>
      <c r="U290" s="14" t="s">
        <v>257</v>
      </c>
      <c r="V290" s="14" t="s">
        <v>113</v>
      </c>
      <c r="W290" s="18">
        <v>9028838</v>
      </c>
      <c r="X290" s="18">
        <v>9028838</v>
      </c>
      <c r="Y290" s="19" t="s">
        <v>339</v>
      </c>
      <c r="Z290" s="19" t="s">
        <v>258</v>
      </c>
      <c r="AA290" s="19" t="s">
        <v>880</v>
      </c>
      <c r="AB290" s="14" t="s">
        <v>881</v>
      </c>
      <c r="AC290" s="14">
        <v>6012220601</v>
      </c>
      <c r="AD290" s="33" t="s">
        <v>311</v>
      </c>
      <c r="AE290" s="82">
        <v>9028838</v>
      </c>
      <c r="AF290" s="82">
        <v>0</v>
      </c>
      <c r="AG290" s="82">
        <v>0</v>
      </c>
      <c r="AH290" s="82">
        <v>0</v>
      </c>
      <c r="AI290" s="82">
        <v>0</v>
      </c>
      <c r="AJ290" s="82">
        <v>0</v>
      </c>
      <c r="AK290" s="82">
        <v>0</v>
      </c>
      <c r="AL290" s="82">
        <v>0</v>
      </c>
      <c r="AM290" s="82">
        <v>0</v>
      </c>
      <c r="AN290" s="82">
        <v>0</v>
      </c>
      <c r="AO290" s="82">
        <v>0</v>
      </c>
      <c r="AP290" s="82">
        <v>0</v>
      </c>
      <c r="AQ290" s="82">
        <v>0</v>
      </c>
      <c r="AR290" s="82">
        <v>3528838</v>
      </c>
      <c r="AS290" s="82">
        <v>0</v>
      </c>
      <c r="AT290" s="82">
        <v>5500000</v>
      </c>
      <c r="AU290" s="82">
        <v>0</v>
      </c>
      <c r="AV290" s="82">
        <v>0</v>
      </c>
      <c r="AW290" s="82">
        <v>0</v>
      </c>
      <c r="AX290" s="82">
        <v>0</v>
      </c>
      <c r="AY290" s="82">
        <v>0</v>
      </c>
      <c r="AZ290" s="82">
        <v>0</v>
      </c>
      <c r="BA290" s="82">
        <v>0</v>
      </c>
      <c r="BB290" s="82">
        <v>0</v>
      </c>
      <c r="BC290" s="82">
        <f t="shared" ref="BC290:BD290" si="567">AE290+AG290+AI290+AK290+AM290+AO290+AQ290+AS290+AU290+AW290+AY290+BA290</f>
        <v>9028838</v>
      </c>
      <c r="BD290" s="82">
        <f t="shared" si="567"/>
        <v>9028838</v>
      </c>
      <c r="BE290" s="83">
        <f t="shared" si="538"/>
        <v>0</v>
      </c>
      <c r="BF290" s="83">
        <f t="shared" si="539"/>
        <v>0</v>
      </c>
      <c r="BG290" s="14" t="str">
        <f ca="1">IFERROR(__xludf.DUMMYFUNCTION("REGEXEXTRACT(O284,""^\S+\s(.+)$"")"),"Prestar los servicios profesionales para apoyar al Grupo Interno de Trabajo de Gestión del Talento Humano de la UPME en el seguimiento, análisis y consolidación de información relacionada con los planes de mejoramiento, planes de acción, auditorías intern"&amp;"as, MIPG y demás instrumentos de gestión, contribuyendo al fortalecimiento de los sistemas de control y calidad de los procesos de talento humano de la entidad.")</f>
        <v>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v>
      </c>
      <c r="BH290" s="23">
        <v>9028838</v>
      </c>
      <c r="BI290" s="23"/>
      <c r="BJ290" s="23"/>
      <c r="BK290" s="23"/>
      <c r="BL290" s="23"/>
      <c r="BM290" s="23"/>
      <c r="BN290" s="23"/>
      <c r="BO290" s="23"/>
      <c r="BP290" s="23"/>
      <c r="BQ290" s="23"/>
      <c r="BR290" s="23"/>
      <c r="BS290" s="23"/>
      <c r="BT290" s="23"/>
      <c r="BU290" s="23">
        <v>3528838</v>
      </c>
      <c r="BV290" s="23"/>
      <c r="BW290" s="23">
        <v>5500000</v>
      </c>
      <c r="BX290" s="23"/>
      <c r="BY290" s="23"/>
      <c r="BZ290" s="23"/>
      <c r="CA290" s="23"/>
      <c r="CB290" s="23"/>
      <c r="CC290" s="23"/>
      <c r="CD290" s="23"/>
      <c r="CE290" s="23"/>
      <c r="CF290" s="28"/>
      <c r="CG290" s="28"/>
      <c r="CH290" s="25">
        <f t="shared" ref="CH290:CI290" si="568">BH290+BJ290+BL290+BN290+BP290+BR290+BT290+BV290+BX290+BZ290+CB290+CD290+CF290</f>
        <v>9028838</v>
      </c>
      <c r="CI290" s="25">
        <f t="shared" si="568"/>
        <v>9028838</v>
      </c>
      <c r="CJ290" s="26">
        <f t="shared" si="518"/>
        <v>0</v>
      </c>
      <c r="CK290" s="26">
        <f t="shared" si="519"/>
        <v>0</v>
      </c>
    </row>
    <row r="291" spans="1:89" ht="90" customHeight="1" x14ac:dyDescent="0.3">
      <c r="A291" s="13" t="s">
        <v>248</v>
      </c>
      <c r="B291" s="14" t="s">
        <v>27</v>
      </c>
      <c r="C291" s="15" t="s">
        <v>427</v>
      </c>
      <c r="D291" s="14" t="s">
        <v>68</v>
      </c>
      <c r="E291" s="13" t="s">
        <v>250</v>
      </c>
      <c r="F291" s="13" t="s">
        <v>250</v>
      </c>
      <c r="G291" s="14">
        <v>68</v>
      </c>
      <c r="H291" s="13" t="s">
        <v>920</v>
      </c>
      <c r="I291" s="15" t="s">
        <v>479</v>
      </c>
      <c r="J291" s="14" t="s">
        <v>28</v>
      </c>
      <c r="K291" s="15" t="s">
        <v>107</v>
      </c>
      <c r="L291" s="14">
        <v>80111620</v>
      </c>
      <c r="M291" s="14" t="s">
        <v>29</v>
      </c>
      <c r="N291" s="14" t="s">
        <v>253</v>
      </c>
      <c r="O291" s="87" t="s">
        <v>921</v>
      </c>
      <c r="P291" s="14" t="s">
        <v>255</v>
      </c>
      <c r="Q291" s="14" t="s">
        <v>255</v>
      </c>
      <c r="R291" s="14" t="s">
        <v>255</v>
      </c>
      <c r="S291" s="17">
        <v>11</v>
      </c>
      <c r="T291" s="14" t="s">
        <v>256</v>
      </c>
      <c r="U291" s="14" t="s">
        <v>257</v>
      </c>
      <c r="V291" s="14" t="s">
        <v>113</v>
      </c>
      <c r="W291" s="18">
        <v>37900000</v>
      </c>
      <c r="X291" s="18">
        <v>37900000</v>
      </c>
      <c r="Y291" s="19" t="s">
        <v>339</v>
      </c>
      <c r="Z291" s="19" t="s">
        <v>258</v>
      </c>
      <c r="AA291" s="19" t="s">
        <v>880</v>
      </c>
      <c r="AB291" s="14" t="s">
        <v>881</v>
      </c>
      <c r="AC291" s="14">
        <v>6012220601</v>
      </c>
      <c r="AD291" s="33" t="s">
        <v>311</v>
      </c>
      <c r="AE291" s="82">
        <v>0</v>
      </c>
      <c r="AF291" s="82">
        <v>0</v>
      </c>
      <c r="AG291" s="82">
        <v>0</v>
      </c>
      <c r="AH291" s="82">
        <v>0</v>
      </c>
      <c r="AI291" s="82">
        <v>0</v>
      </c>
      <c r="AJ291" s="82">
        <v>0</v>
      </c>
      <c r="AK291" s="82">
        <v>0</v>
      </c>
      <c r="AL291" s="82">
        <v>0</v>
      </c>
      <c r="AM291" s="82">
        <v>0</v>
      </c>
      <c r="AN291" s="82">
        <v>0</v>
      </c>
      <c r="AO291" s="82">
        <v>0</v>
      </c>
      <c r="AP291" s="82">
        <v>0</v>
      </c>
      <c r="AQ291" s="82">
        <v>0</v>
      </c>
      <c r="AR291" s="82">
        <v>0</v>
      </c>
      <c r="AS291" s="82">
        <v>37900000</v>
      </c>
      <c r="AT291" s="82">
        <v>7580000</v>
      </c>
      <c r="AU291" s="82">
        <v>0</v>
      </c>
      <c r="AV291" s="82">
        <v>7580000</v>
      </c>
      <c r="AW291" s="82">
        <v>0</v>
      </c>
      <c r="AX291" s="82">
        <v>7580000</v>
      </c>
      <c r="AY291" s="82">
        <v>0</v>
      </c>
      <c r="AZ291" s="82">
        <v>7580000</v>
      </c>
      <c r="BA291" s="82">
        <v>0</v>
      </c>
      <c r="BB291" s="82">
        <v>7580000</v>
      </c>
      <c r="BC291" s="82">
        <f t="shared" ref="BC291:BD291" si="569">AE291+AG291+AI291+AK291+AM291+AO291+AQ291+AS291+AU291+AW291+AY291+BA291</f>
        <v>37900000</v>
      </c>
      <c r="BD291" s="82">
        <f t="shared" si="569"/>
        <v>37900000</v>
      </c>
      <c r="BE291" s="83">
        <f t="shared" si="538"/>
        <v>0</v>
      </c>
      <c r="BF291" s="83">
        <f t="shared" si="539"/>
        <v>0</v>
      </c>
      <c r="BG291" s="14" t="str">
        <f ca="1">IFERROR(__xludf.DUMMYFUNCTION("REGEXEXTRACT(O285,""^\S+\s(.+)$"")"),"Prestación de servicios profesionales especializados para apoyar el fortalecimiento de competencias técnicas para la planeación institucional y la configuración de entornos de aprendizaje e intercambio asociados a las prácticas y a la información sectoria"&amp;"l de la UPME")</f>
        <v>Prestación de servicios profesionales especializados para apoyar el fortalecimiento de competencias técnicas para la planeación institucional y la configuración de entornos de aprendizaje e intercambio asociados a las prácticas y a la información sectorial de la UPME</v>
      </c>
      <c r="BH291" s="23"/>
      <c r="BI291" s="23"/>
      <c r="BJ291" s="23"/>
      <c r="BK291" s="23"/>
      <c r="BL291" s="23"/>
      <c r="BM291" s="23"/>
      <c r="BN291" s="23"/>
      <c r="BO291" s="23"/>
      <c r="BP291" s="23"/>
      <c r="BQ291" s="23"/>
      <c r="BR291" s="23"/>
      <c r="BS291" s="23"/>
      <c r="BT291" s="23"/>
      <c r="BU291" s="23"/>
      <c r="BV291" s="23">
        <v>37900000</v>
      </c>
      <c r="BW291" s="23">
        <v>7580000</v>
      </c>
      <c r="BX291" s="23"/>
      <c r="BY291" s="23">
        <v>7580000</v>
      </c>
      <c r="BZ291" s="23"/>
      <c r="CA291" s="23">
        <v>7580000</v>
      </c>
      <c r="CB291" s="23"/>
      <c r="CC291" s="23">
        <v>7580000</v>
      </c>
      <c r="CD291" s="23"/>
      <c r="CE291" s="23">
        <v>7580000</v>
      </c>
      <c r="CF291" s="28"/>
      <c r="CG291" s="28"/>
      <c r="CH291" s="25">
        <f t="shared" ref="CH291:CI291" si="570">BH291+BJ291+BL291+BN291+BP291+BR291+BT291+BV291+BX291+BZ291+CB291+CD291+CF291</f>
        <v>37900000</v>
      </c>
      <c r="CI291" s="25">
        <f t="shared" si="570"/>
        <v>37900000</v>
      </c>
      <c r="CJ291" s="26">
        <f t="shared" si="518"/>
        <v>0</v>
      </c>
      <c r="CK291" s="26">
        <f t="shared" si="519"/>
        <v>0</v>
      </c>
    </row>
    <row r="292" spans="1:89" ht="90" customHeight="1" x14ac:dyDescent="0.3">
      <c r="A292" s="13" t="s">
        <v>248</v>
      </c>
      <c r="B292" s="14" t="s">
        <v>27</v>
      </c>
      <c r="C292" s="15" t="s">
        <v>427</v>
      </c>
      <c r="D292" s="14" t="s">
        <v>68</v>
      </c>
      <c r="E292" s="13" t="s">
        <v>250</v>
      </c>
      <c r="F292" s="13" t="s">
        <v>250</v>
      </c>
      <c r="G292" s="14">
        <v>68</v>
      </c>
      <c r="H292" s="13" t="s">
        <v>922</v>
      </c>
      <c r="I292" s="15" t="s">
        <v>479</v>
      </c>
      <c r="J292" s="14" t="s">
        <v>28</v>
      </c>
      <c r="K292" s="15" t="s">
        <v>107</v>
      </c>
      <c r="L292" s="14">
        <v>80111620</v>
      </c>
      <c r="M292" s="14" t="s">
        <v>29</v>
      </c>
      <c r="N292" s="14" t="s">
        <v>253</v>
      </c>
      <c r="O292" s="15" t="s">
        <v>923</v>
      </c>
      <c r="P292" s="14" t="s">
        <v>255</v>
      </c>
      <c r="Q292" s="14" t="s">
        <v>255</v>
      </c>
      <c r="R292" s="14" t="s">
        <v>255</v>
      </c>
      <c r="S292" s="17">
        <v>10.5</v>
      </c>
      <c r="T292" s="14" t="s">
        <v>256</v>
      </c>
      <c r="U292" s="14" t="s">
        <v>257</v>
      </c>
      <c r="V292" s="14" t="s">
        <v>113</v>
      </c>
      <c r="W292" s="18">
        <v>57750000</v>
      </c>
      <c r="X292" s="18">
        <v>57750000</v>
      </c>
      <c r="Y292" s="19" t="s">
        <v>339</v>
      </c>
      <c r="Z292" s="19" t="s">
        <v>258</v>
      </c>
      <c r="AA292" s="19" t="s">
        <v>880</v>
      </c>
      <c r="AB292" s="14" t="s">
        <v>881</v>
      </c>
      <c r="AC292" s="14">
        <v>6012220601</v>
      </c>
      <c r="AD292" s="33" t="s">
        <v>311</v>
      </c>
      <c r="AE292" s="82">
        <v>0</v>
      </c>
      <c r="AF292" s="82">
        <v>0</v>
      </c>
      <c r="AG292" s="82">
        <v>57750000</v>
      </c>
      <c r="AH292" s="82">
        <v>0</v>
      </c>
      <c r="AI292" s="82">
        <v>0</v>
      </c>
      <c r="AJ292" s="82">
        <v>2750000</v>
      </c>
      <c r="AK292" s="82">
        <v>0</v>
      </c>
      <c r="AL292" s="82">
        <v>5500000</v>
      </c>
      <c r="AM292" s="82">
        <v>0</v>
      </c>
      <c r="AN292" s="82">
        <v>5500000</v>
      </c>
      <c r="AO292" s="82">
        <v>0</v>
      </c>
      <c r="AP292" s="82">
        <v>5500000</v>
      </c>
      <c r="AQ292" s="82">
        <v>0</v>
      </c>
      <c r="AR292" s="82">
        <v>5500000</v>
      </c>
      <c r="AS292" s="82">
        <v>0</v>
      </c>
      <c r="AT292" s="82">
        <v>5500000</v>
      </c>
      <c r="AU292" s="82">
        <v>0</v>
      </c>
      <c r="AV292" s="82">
        <v>5500000</v>
      </c>
      <c r="AW292" s="82">
        <v>0</v>
      </c>
      <c r="AX292" s="82">
        <v>5500000</v>
      </c>
      <c r="AY292" s="82">
        <v>0</v>
      </c>
      <c r="AZ292" s="82">
        <v>5500000</v>
      </c>
      <c r="BA292" s="82">
        <v>0</v>
      </c>
      <c r="BB292" s="82">
        <v>11000000</v>
      </c>
      <c r="BC292" s="82">
        <f t="shared" ref="BC292:BD292" si="571">AE292+AG292+AI292+AK292+AM292+AO292+AQ292+AS292+AU292+AW292+AY292+BA292</f>
        <v>57750000</v>
      </c>
      <c r="BD292" s="82">
        <f t="shared" si="571"/>
        <v>57750000</v>
      </c>
      <c r="BE292" s="83">
        <f t="shared" si="538"/>
        <v>0</v>
      </c>
      <c r="BF292" s="83">
        <f t="shared" si="539"/>
        <v>0</v>
      </c>
      <c r="BG292" s="14" t="str">
        <f ca="1">IFERROR(__xludf.DUMMYFUNCTION("REGEXEXTRACT(O286,""^\S+\s(.+)$"")"),"Prestación de servicios profesionales en asesoria y apoyo jurídico para los planes transversales del Grupo Interno de Trabajo de Talento Humano de la entidad.")</f>
        <v>Prestación de servicios profesionales en asesoria y apoyo jurídico para los planes transversales del Grupo Interno de Trabajo de Talento Humano de la entidad.</v>
      </c>
      <c r="BH292" s="23"/>
      <c r="BI292" s="23"/>
      <c r="BJ292" s="23">
        <v>57750000</v>
      </c>
      <c r="BK292" s="23"/>
      <c r="BL292" s="23"/>
      <c r="BM292" s="23">
        <v>2750000</v>
      </c>
      <c r="BN292" s="23"/>
      <c r="BO292" s="23">
        <v>5500000</v>
      </c>
      <c r="BP292" s="23"/>
      <c r="BQ292" s="23">
        <v>5500000</v>
      </c>
      <c r="BR292" s="23"/>
      <c r="BS292" s="23">
        <v>5500000</v>
      </c>
      <c r="BT292" s="23"/>
      <c r="BU292" s="23">
        <v>5500000</v>
      </c>
      <c r="BV292" s="23"/>
      <c r="BW292" s="23">
        <v>5500000</v>
      </c>
      <c r="BX292" s="23"/>
      <c r="BY292" s="23">
        <v>5500000</v>
      </c>
      <c r="BZ292" s="23"/>
      <c r="CA292" s="23">
        <v>5500000</v>
      </c>
      <c r="CB292" s="23"/>
      <c r="CC292" s="23">
        <v>5500000</v>
      </c>
      <c r="CD292" s="23"/>
      <c r="CE292" s="23">
        <v>11000000</v>
      </c>
      <c r="CF292" s="28"/>
      <c r="CG292" s="28"/>
      <c r="CH292" s="25">
        <f t="shared" ref="CH292:CI292" si="572">BH292+BJ292+BL292+BN292+BP292+BR292+BT292+BV292+BX292+BZ292+CB292+CD292+CF292</f>
        <v>57750000</v>
      </c>
      <c r="CI292" s="25">
        <f t="shared" si="572"/>
        <v>57750000</v>
      </c>
      <c r="CJ292" s="26">
        <f t="shared" si="518"/>
        <v>0</v>
      </c>
      <c r="CK292" s="26">
        <f t="shared" si="519"/>
        <v>0</v>
      </c>
    </row>
    <row r="293" spans="1:89" ht="90" customHeight="1" x14ac:dyDescent="0.3">
      <c r="A293" s="13" t="s">
        <v>248</v>
      </c>
      <c r="B293" s="14" t="s">
        <v>27</v>
      </c>
      <c r="C293" s="15" t="s">
        <v>427</v>
      </c>
      <c r="D293" s="14" t="s">
        <v>68</v>
      </c>
      <c r="E293" s="13" t="s">
        <v>250</v>
      </c>
      <c r="F293" s="13" t="s">
        <v>250</v>
      </c>
      <c r="G293" s="14">
        <v>68</v>
      </c>
      <c r="H293" s="13" t="s">
        <v>924</v>
      </c>
      <c r="I293" s="15" t="s">
        <v>479</v>
      </c>
      <c r="J293" s="14" t="s">
        <v>28</v>
      </c>
      <c r="K293" s="15" t="s">
        <v>107</v>
      </c>
      <c r="L293" s="14">
        <v>80111620</v>
      </c>
      <c r="M293" s="14" t="s">
        <v>29</v>
      </c>
      <c r="N293" s="14" t="s">
        <v>253</v>
      </c>
      <c r="O293" s="15" t="s">
        <v>925</v>
      </c>
      <c r="P293" s="14" t="s">
        <v>255</v>
      </c>
      <c r="Q293" s="14" t="s">
        <v>255</v>
      </c>
      <c r="R293" s="14" t="s">
        <v>255</v>
      </c>
      <c r="S293" s="17">
        <v>11.5</v>
      </c>
      <c r="T293" s="14" t="s">
        <v>256</v>
      </c>
      <c r="U293" s="14" t="s">
        <v>257</v>
      </c>
      <c r="V293" s="14" t="s">
        <v>113</v>
      </c>
      <c r="W293" s="18">
        <v>82800000</v>
      </c>
      <c r="X293" s="18">
        <v>82800000</v>
      </c>
      <c r="Y293" s="19" t="s">
        <v>339</v>
      </c>
      <c r="Z293" s="19" t="s">
        <v>258</v>
      </c>
      <c r="AA293" s="19" t="s">
        <v>880</v>
      </c>
      <c r="AB293" s="14" t="s">
        <v>881</v>
      </c>
      <c r="AC293" s="14">
        <v>6012220601</v>
      </c>
      <c r="AD293" s="33" t="s">
        <v>311</v>
      </c>
      <c r="AE293" s="82">
        <v>79200000</v>
      </c>
      <c r="AF293" s="82">
        <v>0</v>
      </c>
      <c r="AG293" s="82">
        <v>0</v>
      </c>
      <c r="AH293" s="82">
        <v>3600000</v>
      </c>
      <c r="AI293" s="82">
        <v>0</v>
      </c>
      <c r="AJ293" s="82">
        <v>7200000</v>
      </c>
      <c r="AK293" s="82">
        <v>0</v>
      </c>
      <c r="AL293" s="82">
        <v>7200000</v>
      </c>
      <c r="AM293" s="82">
        <v>0</v>
      </c>
      <c r="AN293" s="82">
        <v>7200000</v>
      </c>
      <c r="AO293" s="82">
        <v>0</v>
      </c>
      <c r="AP293" s="82">
        <v>7200000</v>
      </c>
      <c r="AQ293" s="82">
        <v>0</v>
      </c>
      <c r="AR293" s="82">
        <v>7200000</v>
      </c>
      <c r="AS293" s="82">
        <v>3600000</v>
      </c>
      <c r="AT293" s="82">
        <v>7200000</v>
      </c>
      <c r="AU293" s="82">
        <v>0</v>
      </c>
      <c r="AV293" s="82">
        <v>7200000</v>
      </c>
      <c r="AW293" s="82">
        <v>0</v>
      </c>
      <c r="AX293" s="82">
        <v>7200000</v>
      </c>
      <c r="AY293" s="82">
        <v>0</v>
      </c>
      <c r="AZ293" s="82">
        <v>7200000</v>
      </c>
      <c r="BA293" s="82">
        <v>0</v>
      </c>
      <c r="BB293" s="82">
        <v>14400000</v>
      </c>
      <c r="BC293" s="82">
        <f t="shared" ref="BC293:BD293" si="573">AE293+AG293+AI293+AK293+AM293+AO293+AQ293+AS293+AU293+AW293+AY293+BA293</f>
        <v>82800000</v>
      </c>
      <c r="BD293" s="82">
        <f t="shared" si="573"/>
        <v>82800000</v>
      </c>
      <c r="BE293" s="83">
        <f t="shared" si="538"/>
        <v>0</v>
      </c>
      <c r="BF293" s="83">
        <f t="shared" si="539"/>
        <v>0</v>
      </c>
      <c r="BG293" s="14" t="str">
        <f ca="1">IFERROR(__xludf.DUMMYFUNCTION("REGEXEXTRACT(O287,""^\S+\s(.+)$"")"),"Prestar los servicios profesionales para asistir las actividades que fortalezcan la Gestión del Conocimiento por medio de la Dimensión del Talento Humano mediante la implementación de las políticas del Modelo Integrado de Planeación y Gestión MIPG, en esp"&amp;"ecial la Política de Integridad y la Política de Gestión del Talento Humano.")</f>
        <v>Prestar los servicios profesionales para asistir las actividades que fortalezcan la Gestión del Conocimiento por medio de la Dimensión del Talento Humano mediante la implementación de las políticas del Modelo Integrado de Planeación y Gestión MIPG, en especial la Política de Integridad y la Política de Gestión del Talento Humano.</v>
      </c>
      <c r="BH293" s="23">
        <v>79200000</v>
      </c>
      <c r="BI293" s="23"/>
      <c r="BJ293" s="23"/>
      <c r="BK293" s="23">
        <v>3600000</v>
      </c>
      <c r="BL293" s="23"/>
      <c r="BM293" s="23">
        <v>7200000</v>
      </c>
      <c r="BN293" s="23"/>
      <c r="BO293" s="23">
        <v>7200000</v>
      </c>
      <c r="BP293" s="23"/>
      <c r="BQ293" s="23">
        <v>7200000</v>
      </c>
      <c r="BR293" s="23"/>
      <c r="BS293" s="23">
        <v>7200000</v>
      </c>
      <c r="BT293" s="23"/>
      <c r="BU293" s="23">
        <v>7200000</v>
      </c>
      <c r="BV293" s="23">
        <v>3600000</v>
      </c>
      <c r="BW293" s="23">
        <v>7200000</v>
      </c>
      <c r="BX293" s="23"/>
      <c r="BY293" s="23">
        <v>7200000</v>
      </c>
      <c r="BZ293" s="23"/>
      <c r="CA293" s="23">
        <v>7200000</v>
      </c>
      <c r="CB293" s="23"/>
      <c r="CC293" s="23">
        <v>7200000</v>
      </c>
      <c r="CD293" s="23"/>
      <c r="CE293" s="23">
        <v>14400000</v>
      </c>
      <c r="CF293" s="28"/>
      <c r="CG293" s="28"/>
      <c r="CH293" s="25">
        <f t="shared" ref="CH293:CI293" si="574">BH293+BJ293+BL293+BN293+BP293+BR293+BT293+BV293+BX293+BZ293+CB293+CD293+CF293</f>
        <v>82800000</v>
      </c>
      <c r="CI293" s="25">
        <f t="shared" si="574"/>
        <v>82800000</v>
      </c>
      <c r="CJ293" s="26">
        <f t="shared" si="518"/>
        <v>0</v>
      </c>
      <c r="CK293" s="26">
        <f t="shared" si="519"/>
        <v>0</v>
      </c>
    </row>
    <row r="294" spans="1:89" ht="90" customHeight="1" x14ac:dyDescent="0.3">
      <c r="A294" s="13" t="s">
        <v>248</v>
      </c>
      <c r="B294" s="14" t="s">
        <v>27</v>
      </c>
      <c r="C294" s="15" t="s">
        <v>427</v>
      </c>
      <c r="D294" s="14" t="s">
        <v>68</v>
      </c>
      <c r="E294" s="13" t="s">
        <v>250</v>
      </c>
      <c r="F294" s="13" t="s">
        <v>250</v>
      </c>
      <c r="G294" s="14">
        <v>68</v>
      </c>
      <c r="H294" s="13" t="s">
        <v>926</v>
      </c>
      <c r="I294" s="15" t="s">
        <v>479</v>
      </c>
      <c r="J294" s="14" t="s">
        <v>28</v>
      </c>
      <c r="K294" s="15" t="s">
        <v>107</v>
      </c>
      <c r="L294" s="14">
        <v>80111620</v>
      </c>
      <c r="M294" s="14" t="s">
        <v>29</v>
      </c>
      <c r="N294" s="14" t="s">
        <v>253</v>
      </c>
      <c r="O294" s="15" t="s">
        <v>927</v>
      </c>
      <c r="P294" s="14" t="s">
        <v>255</v>
      </c>
      <c r="Q294" s="14" t="s">
        <v>255</v>
      </c>
      <c r="R294" s="14" t="s">
        <v>255</v>
      </c>
      <c r="S294" s="17">
        <v>11.5</v>
      </c>
      <c r="T294" s="14" t="s">
        <v>256</v>
      </c>
      <c r="U294" s="14" t="s">
        <v>257</v>
      </c>
      <c r="V294" s="14" t="s">
        <v>113</v>
      </c>
      <c r="W294" s="18">
        <v>82800000</v>
      </c>
      <c r="X294" s="18">
        <v>82800000</v>
      </c>
      <c r="Y294" s="19" t="s">
        <v>339</v>
      </c>
      <c r="Z294" s="19" t="s">
        <v>258</v>
      </c>
      <c r="AA294" s="19" t="s">
        <v>880</v>
      </c>
      <c r="AB294" s="14" t="s">
        <v>881</v>
      </c>
      <c r="AC294" s="14">
        <v>6012220601</v>
      </c>
      <c r="AD294" s="33" t="s">
        <v>311</v>
      </c>
      <c r="AE294" s="82">
        <v>82800000</v>
      </c>
      <c r="AF294" s="82">
        <v>0</v>
      </c>
      <c r="AG294" s="82">
        <v>0</v>
      </c>
      <c r="AH294" s="82">
        <v>3600000</v>
      </c>
      <c r="AI294" s="82">
        <v>0</v>
      </c>
      <c r="AJ294" s="82">
        <v>7200000</v>
      </c>
      <c r="AK294" s="82">
        <v>0</v>
      </c>
      <c r="AL294" s="82">
        <v>7200000</v>
      </c>
      <c r="AM294" s="82">
        <v>0</v>
      </c>
      <c r="AN294" s="82">
        <v>7200000</v>
      </c>
      <c r="AO294" s="82">
        <v>0</v>
      </c>
      <c r="AP294" s="82">
        <v>7200000</v>
      </c>
      <c r="AQ294" s="82">
        <v>0</v>
      </c>
      <c r="AR294" s="82">
        <v>7200000</v>
      </c>
      <c r="AS294" s="82">
        <v>0</v>
      </c>
      <c r="AT294" s="82">
        <v>7200000</v>
      </c>
      <c r="AU294" s="82">
        <v>0</v>
      </c>
      <c r="AV294" s="82">
        <v>7200000</v>
      </c>
      <c r="AW294" s="82">
        <v>0</v>
      </c>
      <c r="AX294" s="82">
        <v>7200000</v>
      </c>
      <c r="AY294" s="82">
        <v>0</v>
      </c>
      <c r="AZ294" s="82">
        <v>7200000</v>
      </c>
      <c r="BA294" s="82">
        <v>0</v>
      </c>
      <c r="BB294" s="82">
        <v>14400000</v>
      </c>
      <c r="BC294" s="82">
        <f t="shared" ref="BC294:BD294" si="575">AE294+AG294+AI294+AK294+AM294+AO294+AQ294+AS294+AU294+AW294+AY294+BA294</f>
        <v>82800000</v>
      </c>
      <c r="BD294" s="82">
        <f t="shared" si="575"/>
        <v>82800000</v>
      </c>
      <c r="BE294" s="83">
        <f t="shared" si="538"/>
        <v>0</v>
      </c>
      <c r="BF294" s="83">
        <f t="shared" si="539"/>
        <v>0</v>
      </c>
      <c r="BG294" s="14" t="str">
        <f ca="1">IFERROR(__xludf.DUMMYFUNCTION("REGEXEXTRACT(O288,""^\S+\s(.+)$"")"),"Prestar los servicios profesionales para asistir y acompañar la gestión de la dimensión del Talento Humano, en su componente de selección, vinculación capacitación, gestión del Conocimiento, así como apoyar lo inherente a Evaluación de Desempeño, Evaluaci"&amp;"ón de la Gestión Institucional y Acuerdos de Gestión.")</f>
        <v>Prestar los servicios profesionales para asistir y acompañar la gestión de la dimensión del Talento Humano, en su componente de selección, vinculación capacitación, gestión del Conocimiento, así como apoyar lo inherente a Evaluación de Desempeño, Evaluación de la Gestión Institucional y Acuerdos de Gestión.</v>
      </c>
      <c r="BH294" s="23">
        <v>82800000</v>
      </c>
      <c r="BI294" s="23"/>
      <c r="BJ294" s="23"/>
      <c r="BK294" s="23">
        <v>3600000</v>
      </c>
      <c r="BL294" s="23"/>
      <c r="BM294" s="23">
        <v>7200000</v>
      </c>
      <c r="BN294" s="23"/>
      <c r="BO294" s="23">
        <v>7200000</v>
      </c>
      <c r="BP294" s="23"/>
      <c r="BQ294" s="23">
        <v>7200000</v>
      </c>
      <c r="BR294" s="23"/>
      <c r="BS294" s="23">
        <v>7200000</v>
      </c>
      <c r="BT294" s="23"/>
      <c r="BU294" s="23">
        <v>7200000</v>
      </c>
      <c r="BV294" s="23"/>
      <c r="BW294" s="23">
        <v>7200000</v>
      </c>
      <c r="BX294" s="23"/>
      <c r="BY294" s="23">
        <v>7200000</v>
      </c>
      <c r="BZ294" s="23"/>
      <c r="CA294" s="23">
        <v>7200000</v>
      </c>
      <c r="CB294" s="23"/>
      <c r="CC294" s="23">
        <v>7200000</v>
      </c>
      <c r="CD294" s="23"/>
      <c r="CE294" s="23">
        <v>14400000</v>
      </c>
      <c r="CF294" s="28"/>
      <c r="CG294" s="28"/>
      <c r="CH294" s="25">
        <f t="shared" ref="CH294:CI294" si="576">BH294+BJ294+BL294+BN294+BP294+BR294+BT294+BV294+BX294+BZ294+CB294+CD294+CF294</f>
        <v>82800000</v>
      </c>
      <c r="CI294" s="25">
        <f t="shared" si="576"/>
        <v>82800000</v>
      </c>
      <c r="CJ294" s="26">
        <f t="shared" si="518"/>
        <v>0</v>
      </c>
      <c r="CK294" s="26">
        <f t="shared" si="519"/>
        <v>0</v>
      </c>
    </row>
    <row r="295" spans="1:89" ht="90" customHeight="1" x14ac:dyDescent="0.3">
      <c r="A295" s="13" t="s">
        <v>248</v>
      </c>
      <c r="B295" s="14" t="s">
        <v>27</v>
      </c>
      <c r="C295" s="15" t="s">
        <v>427</v>
      </c>
      <c r="D295" s="14" t="s">
        <v>68</v>
      </c>
      <c r="E295" s="13" t="s">
        <v>250</v>
      </c>
      <c r="F295" s="13" t="s">
        <v>250</v>
      </c>
      <c r="G295" s="14">
        <v>3</v>
      </c>
      <c r="H295" s="13" t="s">
        <v>928</v>
      </c>
      <c r="I295" s="15" t="s">
        <v>479</v>
      </c>
      <c r="J295" s="14" t="s">
        <v>28</v>
      </c>
      <c r="K295" s="15" t="s">
        <v>107</v>
      </c>
      <c r="L295" s="14">
        <v>80111620</v>
      </c>
      <c r="M295" s="14" t="s">
        <v>29</v>
      </c>
      <c r="N295" s="14" t="s">
        <v>253</v>
      </c>
      <c r="O295" s="15" t="s">
        <v>929</v>
      </c>
      <c r="P295" s="14" t="s">
        <v>255</v>
      </c>
      <c r="Q295" s="14" t="s">
        <v>255</v>
      </c>
      <c r="R295" s="14" t="s">
        <v>255</v>
      </c>
      <c r="S295" s="17">
        <v>11.5</v>
      </c>
      <c r="T295" s="14" t="s">
        <v>256</v>
      </c>
      <c r="U295" s="14" t="s">
        <v>257</v>
      </c>
      <c r="V295" s="14" t="s">
        <v>113</v>
      </c>
      <c r="W295" s="18">
        <v>37200000</v>
      </c>
      <c r="X295" s="18">
        <v>37200000</v>
      </c>
      <c r="Y295" s="19" t="s">
        <v>339</v>
      </c>
      <c r="Z295" s="19" t="s">
        <v>258</v>
      </c>
      <c r="AA295" s="19" t="s">
        <v>880</v>
      </c>
      <c r="AB295" s="14" t="s">
        <v>881</v>
      </c>
      <c r="AC295" s="14">
        <v>6012220601</v>
      </c>
      <c r="AD295" s="33" t="s">
        <v>311</v>
      </c>
      <c r="AE295" s="82">
        <v>37200000</v>
      </c>
      <c r="AF295" s="82">
        <v>0</v>
      </c>
      <c r="AG295" s="82">
        <v>0</v>
      </c>
      <c r="AH295" s="82">
        <v>3100000</v>
      </c>
      <c r="AI295" s="82">
        <v>0</v>
      </c>
      <c r="AJ295" s="82">
        <v>6200000</v>
      </c>
      <c r="AK295" s="82">
        <v>0</v>
      </c>
      <c r="AL295" s="82">
        <v>6200000</v>
      </c>
      <c r="AM295" s="82">
        <v>0</v>
      </c>
      <c r="AN295" s="82">
        <v>6200000</v>
      </c>
      <c r="AO295" s="82">
        <v>0</v>
      </c>
      <c r="AP295" s="82">
        <v>6200000</v>
      </c>
      <c r="AQ295" s="82">
        <v>0</v>
      </c>
      <c r="AR295" s="82">
        <v>6200000</v>
      </c>
      <c r="AS295" s="82">
        <v>0</v>
      </c>
      <c r="AT295" s="82">
        <v>3100000</v>
      </c>
      <c r="AU295" s="82">
        <v>0</v>
      </c>
      <c r="AV295" s="82">
        <v>0</v>
      </c>
      <c r="AW295" s="82">
        <v>0</v>
      </c>
      <c r="AX295" s="82">
        <v>0</v>
      </c>
      <c r="AY295" s="82">
        <v>0</v>
      </c>
      <c r="AZ295" s="82">
        <v>0</v>
      </c>
      <c r="BA295" s="82">
        <v>0</v>
      </c>
      <c r="BB295" s="82">
        <v>0</v>
      </c>
      <c r="BC295" s="82">
        <f t="shared" ref="BC295:BD295" si="577">AE295+AG295+AI295+AK295+AM295+AO295+AQ295+AS295+AU295+AW295+AY295+BA295</f>
        <v>37200000</v>
      </c>
      <c r="BD295" s="82">
        <f t="shared" si="577"/>
        <v>37200000</v>
      </c>
      <c r="BE295" s="83">
        <f t="shared" si="538"/>
        <v>0</v>
      </c>
      <c r="BF295" s="83">
        <f t="shared" si="539"/>
        <v>0</v>
      </c>
      <c r="BG295" s="14" t="str">
        <f ca="1">IFERROR(__xludf.DUMMYFUNCTION("REGEXEXTRACT(O289,""^\S+\s(.+)$"")"),"Prestar servicios profesionales para adelantar los asuntos jurídicos derivados de la gestión de talento humano de la Unidad de Planeación Minero Energética.")</f>
        <v>Prestar servicios profesionales para adelantar los asuntos jurídicos derivados de la gestión de talento humano de la Unidad de Planeación Minero Energética.</v>
      </c>
      <c r="BH295" s="23">
        <v>37200000</v>
      </c>
      <c r="BI295" s="23"/>
      <c r="BJ295" s="23">
        <v>0</v>
      </c>
      <c r="BK295" s="23">
        <v>3100000</v>
      </c>
      <c r="BL295" s="23">
        <v>0</v>
      </c>
      <c r="BM295" s="23">
        <v>6200000</v>
      </c>
      <c r="BN295" s="23">
        <v>0</v>
      </c>
      <c r="BO295" s="23">
        <v>6200000</v>
      </c>
      <c r="BP295" s="23">
        <v>0</v>
      </c>
      <c r="BQ295" s="23">
        <v>6200000</v>
      </c>
      <c r="BR295" s="23">
        <v>0</v>
      </c>
      <c r="BS295" s="23">
        <v>6200000</v>
      </c>
      <c r="BT295" s="23">
        <v>0</v>
      </c>
      <c r="BU295" s="23">
        <v>6200000</v>
      </c>
      <c r="BV295" s="23"/>
      <c r="BW295" s="23">
        <v>3100000</v>
      </c>
      <c r="BX295" s="23"/>
      <c r="BY295" s="23"/>
      <c r="BZ295" s="23"/>
      <c r="CA295" s="23"/>
      <c r="CB295" s="23"/>
      <c r="CC295" s="23"/>
      <c r="CD295" s="23"/>
      <c r="CE295" s="23"/>
      <c r="CF295" s="28"/>
      <c r="CG295" s="28"/>
      <c r="CH295" s="25">
        <f t="shared" ref="CH295:CI295" si="578">BH295+BJ295+BL295+BN295+BP295+BR295+BT295+BV295+BX295+BZ295+CB295+CD295+CF295</f>
        <v>37200000</v>
      </c>
      <c r="CI295" s="25">
        <f t="shared" si="578"/>
        <v>37200000</v>
      </c>
      <c r="CJ295" s="26">
        <f t="shared" si="518"/>
        <v>0</v>
      </c>
      <c r="CK295" s="26">
        <f t="shared" si="519"/>
        <v>0</v>
      </c>
    </row>
    <row r="296" spans="1:89" ht="90" customHeight="1" x14ac:dyDescent="0.3">
      <c r="A296" s="13" t="s">
        <v>248</v>
      </c>
      <c r="B296" s="14" t="s">
        <v>27</v>
      </c>
      <c r="C296" s="15" t="s">
        <v>427</v>
      </c>
      <c r="D296" s="14" t="s">
        <v>68</v>
      </c>
      <c r="E296" s="13" t="s">
        <v>250</v>
      </c>
      <c r="F296" s="13" t="s">
        <v>250</v>
      </c>
      <c r="G296" s="14">
        <v>68</v>
      </c>
      <c r="H296" s="13" t="s">
        <v>930</v>
      </c>
      <c r="I296" s="15" t="s">
        <v>479</v>
      </c>
      <c r="J296" s="14" t="s">
        <v>28</v>
      </c>
      <c r="K296" s="15" t="s">
        <v>107</v>
      </c>
      <c r="L296" s="14">
        <v>80111620</v>
      </c>
      <c r="M296" s="14" t="s">
        <v>29</v>
      </c>
      <c r="N296" s="14" t="s">
        <v>253</v>
      </c>
      <c r="O296" s="15" t="s">
        <v>931</v>
      </c>
      <c r="P296" s="14" t="s">
        <v>255</v>
      </c>
      <c r="Q296" s="14" t="s">
        <v>255</v>
      </c>
      <c r="R296" s="14" t="s">
        <v>255</v>
      </c>
      <c r="S296" s="17">
        <v>11.5</v>
      </c>
      <c r="T296" s="14" t="s">
        <v>256</v>
      </c>
      <c r="U296" s="14" t="s">
        <v>257</v>
      </c>
      <c r="V296" s="14" t="s">
        <v>113</v>
      </c>
      <c r="W296" s="18">
        <v>41825500</v>
      </c>
      <c r="X296" s="18">
        <v>41825500</v>
      </c>
      <c r="Y296" s="19" t="s">
        <v>339</v>
      </c>
      <c r="Z296" s="19" t="s">
        <v>258</v>
      </c>
      <c r="AA296" s="19" t="s">
        <v>880</v>
      </c>
      <c r="AB296" s="14" t="s">
        <v>881</v>
      </c>
      <c r="AC296" s="14">
        <v>6012220601</v>
      </c>
      <c r="AD296" s="33" t="s">
        <v>311</v>
      </c>
      <c r="AE296" s="82">
        <v>40007000</v>
      </c>
      <c r="AF296" s="82">
        <v>0</v>
      </c>
      <c r="AG296" s="82">
        <v>0</v>
      </c>
      <c r="AH296" s="82">
        <v>1818500</v>
      </c>
      <c r="AI296" s="82">
        <v>0</v>
      </c>
      <c r="AJ296" s="82">
        <v>3637000</v>
      </c>
      <c r="AK296" s="82">
        <v>0</v>
      </c>
      <c r="AL296" s="82">
        <v>3637000</v>
      </c>
      <c r="AM296" s="82">
        <v>0</v>
      </c>
      <c r="AN296" s="82">
        <v>3637000</v>
      </c>
      <c r="AO296" s="82">
        <v>0</v>
      </c>
      <c r="AP296" s="82">
        <v>3637000</v>
      </c>
      <c r="AQ296" s="82">
        <v>0</v>
      </c>
      <c r="AR296" s="82">
        <v>3637000</v>
      </c>
      <c r="AS296" s="82">
        <v>1818500</v>
      </c>
      <c r="AT296" s="82">
        <v>3637000</v>
      </c>
      <c r="AU296" s="82">
        <v>0</v>
      </c>
      <c r="AV296" s="82">
        <v>3637000</v>
      </c>
      <c r="AW296" s="82">
        <v>0</v>
      </c>
      <c r="AX296" s="82">
        <v>3637000</v>
      </c>
      <c r="AY296" s="82">
        <v>0</v>
      </c>
      <c r="AZ296" s="82">
        <v>3637000</v>
      </c>
      <c r="BA296" s="82">
        <v>0</v>
      </c>
      <c r="BB296" s="82">
        <v>7274000</v>
      </c>
      <c r="BC296" s="82">
        <f t="shared" ref="BC296:BD296" si="579">AE296+AG296+AI296+AK296+AM296+AO296+AQ296+AS296+AU296+AW296+AY296+BA296</f>
        <v>41825500</v>
      </c>
      <c r="BD296" s="82">
        <f t="shared" si="579"/>
        <v>41825500</v>
      </c>
      <c r="BE296" s="83">
        <f t="shared" si="538"/>
        <v>0</v>
      </c>
      <c r="BF296" s="83">
        <f t="shared" si="539"/>
        <v>0</v>
      </c>
      <c r="BG296" s="14" t="str">
        <f ca="1">IFERROR(__xludf.DUMMYFUNCTION("REGEXEXTRACT(O290,""^\S+\s(.+)$"")"),"Prestar servicios de apoyo técnico y administrativo a la Secretaría General y al Grupo Interno de Trabajo de Talento Humano de la UPME, en el desarrollo y ejecución de los procesos transversales del área, tales como gestión documental, actualización de ba"&amp;"ses de datos, seguimiento a actividades del plan de bienestar, inducción y reinducción, capacitaciones, seguridad y salud en el trabajo, así como demás actividades que se requieran para el cumplimiento de los objetivos institucionales en materia de gestió"&amp;"n del talento humano.")</f>
        <v>Prestar servicios de apoyo técnico y administrativo a la Secretaría General y al Grupo Interno de Trabajo de Talento Humano de la UPME, en el desarrollo y ejecución de los procesos transversales del área, tales como gestión documental, actualización de bases de datos, seguimiento a actividades del plan de bienestar, inducción y reinducción, capacitaciones, seguridad y salud en el trabajo, así como demás actividades que se requieran para el cumplimiento de los objetivos institucionales en materia de gestión del talento humano.</v>
      </c>
      <c r="BH296" s="23">
        <v>40007000</v>
      </c>
      <c r="BI296" s="23"/>
      <c r="BJ296" s="23"/>
      <c r="BK296" s="23">
        <v>1818500</v>
      </c>
      <c r="BL296" s="23"/>
      <c r="BM296" s="23">
        <v>3637000</v>
      </c>
      <c r="BN296" s="23"/>
      <c r="BO296" s="23">
        <v>3637000</v>
      </c>
      <c r="BP296" s="23"/>
      <c r="BQ296" s="23">
        <v>3637000</v>
      </c>
      <c r="BR296" s="23"/>
      <c r="BS296" s="23">
        <v>3637000</v>
      </c>
      <c r="BT296" s="23"/>
      <c r="BU296" s="23">
        <v>3637000</v>
      </c>
      <c r="BV296" s="23">
        <v>1818500</v>
      </c>
      <c r="BW296" s="23">
        <v>3637000</v>
      </c>
      <c r="BX296" s="23"/>
      <c r="BY296" s="23">
        <v>3637000</v>
      </c>
      <c r="BZ296" s="23"/>
      <c r="CA296" s="23">
        <v>3637000</v>
      </c>
      <c r="CB296" s="23"/>
      <c r="CC296" s="23">
        <v>3637000</v>
      </c>
      <c r="CD296" s="23"/>
      <c r="CE296" s="23">
        <v>7274000</v>
      </c>
      <c r="CF296" s="28"/>
      <c r="CG296" s="28"/>
      <c r="CH296" s="25">
        <f t="shared" ref="CH296:CI296" si="580">BH296+BJ296+BL296+BN296+BP296+BR296+BT296+BV296+BX296+BZ296+CB296+CD296+CF296</f>
        <v>41825500</v>
      </c>
      <c r="CI296" s="25">
        <f t="shared" si="580"/>
        <v>41825500</v>
      </c>
      <c r="CJ296" s="26">
        <f t="shared" si="518"/>
        <v>0</v>
      </c>
      <c r="CK296" s="26">
        <f t="shared" si="519"/>
        <v>0</v>
      </c>
    </row>
    <row r="297" spans="1:89" ht="90" customHeight="1" x14ac:dyDescent="0.3">
      <c r="A297" s="13" t="s">
        <v>248</v>
      </c>
      <c r="B297" s="14" t="s">
        <v>27</v>
      </c>
      <c r="C297" s="15" t="s">
        <v>427</v>
      </c>
      <c r="D297" s="14" t="s">
        <v>68</v>
      </c>
      <c r="E297" s="13" t="s">
        <v>250</v>
      </c>
      <c r="F297" s="13" t="s">
        <v>250</v>
      </c>
      <c r="G297" s="14">
        <v>68</v>
      </c>
      <c r="H297" s="13" t="s">
        <v>932</v>
      </c>
      <c r="I297" s="15" t="s">
        <v>479</v>
      </c>
      <c r="J297" s="14" t="s">
        <v>28</v>
      </c>
      <c r="K297" s="15" t="s">
        <v>107</v>
      </c>
      <c r="L297" s="14">
        <v>80111620</v>
      </c>
      <c r="M297" s="14" t="s">
        <v>29</v>
      </c>
      <c r="N297" s="14" t="s">
        <v>253</v>
      </c>
      <c r="O297" s="15" t="s">
        <v>933</v>
      </c>
      <c r="P297" s="14" t="s">
        <v>255</v>
      </c>
      <c r="Q297" s="14" t="s">
        <v>255</v>
      </c>
      <c r="R297" s="14" t="s">
        <v>255</v>
      </c>
      <c r="S297" s="17">
        <v>7.5</v>
      </c>
      <c r="T297" s="14" t="s">
        <v>256</v>
      </c>
      <c r="U297" s="14" t="s">
        <v>257</v>
      </c>
      <c r="V297" s="14" t="s">
        <v>113</v>
      </c>
      <c r="W297" s="18">
        <v>26250000</v>
      </c>
      <c r="X297" s="18">
        <v>26250000</v>
      </c>
      <c r="Y297" s="19" t="s">
        <v>339</v>
      </c>
      <c r="Z297" s="19" t="s">
        <v>258</v>
      </c>
      <c r="AA297" s="19" t="s">
        <v>880</v>
      </c>
      <c r="AB297" s="14" t="s">
        <v>881</v>
      </c>
      <c r="AC297" s="14">
        <v>6012220601</v>
      </c>
      <c r="AD297" s="33" t="s">
        <v>311</v>
      </c>
      <c r="AE297" s="82">
        <v>25955055</v>
      </c>
      <c r="AF297" s="82">
        <v>0</v>
      </c>
      <c r="AG297" s="82">
        <v>0</v>
      </c>
      <c r="AH297" s="82">
        <v>1750000</v>
      </c>
      <c r="AI297" s="82">
        <v>0</v>
      </c>
      <c r="AJ297" s="82">
        <v>3500000</v>
      </c>
      <c r="AK297" s="82">
        <v>0</v>
      </c>
      <c r="AL297" s="82">
        <v>3500000</v>
      </c>
      <c r="AM297" s="82">
        <v>0</v>
      </c>
      <c r="AN297" s="82">
        <v>3500000</v>
      </c>
      <c r="AO297" s="82">
        <v>0</v>
      </c>
      <c r="AP297" s="82">
        <v>3500000</v>
      </c>
      <c r="AQ297" s="82">
        <v>0</v>
      </c>
      <c r="AR297" s="82">
        <v>3500000</v>
      </c>
      <c r="AS297" s="82">
        <v>294945</v>
      </c>
      <c r="AT297" s="82">
        <v>3500000</v>
      </c>
      <c r="AU297" s="82">
        <v>0</v>
      </c>
      <c r="AV297" s="82">
        <v>3500000</v>
      </c>
      <c r="AW297" s="82">
        <v>0</v>
      </c>
      <c r="AX297" s="82">
        <v>0</v>
      </c>
      <c r="AY297" s="82">
        <v>0</v>
      </c>
      <c r="AZ297" s="82">
        <v>0</v>
      </c>
      <c r="BA297" s="82">
        <v>0</v>
      </c>
      <c r="BB297" s="82">
        <v>0</v>
      </c>
      <c r="BC297" s="82">
        <f t="shared" ref="BC297:BD297" si="581">AE297+AG297+AI297+AK297+AM297+AO297+AQ297+AS297+AU297+AW297+AY297+BA297</f>
        <v>26250000</v>
      </c>
      <c r="BD297" s="82">
        <f t="shared" si="581"/>
        <v>26250000</v>
      </c>
      <c r="BE297" s="83">
        <f t="shared" si="538"/>
        <v>0</v>
      </c>
      <c r="BF297" s="83">
        <f t="shared" si="539"/>
        <v>0</v>
      </c>
      <c r="BG297" s="14" t="str">
        <f ca="1">IFERROR(__xludf.DUMMYFUNCTION("REGEXEXTRACT(O291,""^\S+\s(.+)$"")"),"Prestar servicios profesionales para apoyar la proyección, revisión y trámite de actos administrativos y demás actividades relacionadas con los procesos del área de talento humano de la UPME, conforme a los lineamientos de la entidad.")</f>
        <v>Prestar servicios profesionales para apoyar la proyección, revisión y trámite de actos administrativos y demás actividades relacionadas con los procesos del área de talento humano de la UPME, conforme a los lineamientos de la entidad.</v>
      </c>
      <c r="BH297" s="23">
        <v>25955055</v>
      </c>
      <c r="BI297" s="23"/>
      <c r="BJ297" s="23"/>
      <c r="BK297" s="23">
        <v>1750000</v>
      </c>
      <c r="BL297" s="23"/>
      <c r="BM297" s="23">
        <v>3500000</v>
      </c>
      <c r="BN297" s="23"/>
      <c r="BO297" s="23">
        <v>3500000</v>
      </c>
      <c r="BP297" s="23"/>
      <c r="BQ297" s="23">
        <v>3500000</v>
      </c>
      <c r="BR297" s="23"/>
      <c r="BS297" s="23">
        <v>3500000</v>
      </c>
      <c r="BT297" s="23"/>
      <c r="BU297" s="23">
        <v>3500000</v>
      </c>
      <c r="BV297" s="23">
        <v>294945</v>
      </c>
      <c r="BW297" s="23">
        <v>3500000</v>
      </c>
      <c r="BX297" s="23"/>
      <c r="BY297" s="23">
        <v>3500000</v>
      </c>
      <c r="BZ297" s="23"/>
      <c r="CA297" s="23"/>
      <c r="CB297" s="23"/>
      <c r="CC297" s="23"/>
      <c r="CD297" s="23"/>
      <c r="CE297" s="23"/>
      <c r="CF297" s="28"/>
      <c r="CG297" s="28"/>
      <c r="CH297" s="25">
        <f t="shared" ref="CH297:CI297" si="582">BH297+BJ297+BL297+BN297+BP297+BR297+BT297+BV297+BX297+BZ297+CB297+CD297+CF297</f>
        <v>26250000</v>
      </c>
      <c r="CI297" s="25">
        <f t="shared" si="582"/>
        <v>26250000</v>
      </c>
      <c r="CJ297" s="26">
        <f t="shared" si="518"/>
        <v>0</v>
      </c>
      <c r="CK297" s="26">
        <f t="shared" si="519"/>
        <v>0</v>
      </c>
    </row>
    <row r="298" spans="1:89" ht="90" customHeight="1" x14ac:dyDescent="0.3">
      <c r="A298" s="13" t="s">
        <v>248</v>
      </c>
      <c r="B298" s="14" t="s">
        <v>27</v>
      </c>
      <c r="C298" s="15" t="s">
        <v>427</v>
      </c>
      <c r="D298" s="14" t="s">
        <v>68</v>
      </c>
      <c r="E298" s="13" t="s">
        <v>250</v>
      </c>
      <c r="F298" s="13" t="s">
        <v>250</v>
      </c>
      <c r="G298" s="14">
        <v>68</v>
      </c>
      <c r="H298" s="13" t="s">
        <v>934</v>
      </c>
      <c r="I298" s="15" t="s">
        <v>479</v>
      </c>
      <c r="J298" s="14" t="s">
        <v>28</v>
      </c>
      <c r="K298" s="15" t="s">
        <v>107</v>
      </c>
      <c r="L298" s="14">
        <v>80111620</v>
      </c>
      <c r="M298" s="14" t="s">
        <v>29</v>
      </c>
      <c r="N298" s="14" t="s">
        <v>253</v>
      </c>
      <c r="O298" s="15" t="s">
        <v>935</v>
      </c>
      <c r="P298" s="14" t="s">
        <v>255</v>
      </c>
      <c r="Q298" s="14" t="s">
        <v>255</v>
      </c>
      <c r="R298" s="14" t="s">
        <v>255</v>
      </c>
      <c r="S298" s="17">
        <v>11.5</v>
      </c>
      <c r="T298" s="14" t="s">
        <v>256</v>
      </c>
      <c r="U298" s="14" t="s">
        <v>257</v>
      </c>
      <c r="V298" s="14" t="s">
        <v>113</v>
      </c>
      <c r="W298" s="18">
        <v>30000000</v>
      </c>
      <c r="X298" s="18">
        <v>30000000</v>
      </c>
      <c r="Y298" s="19" t="s">
        <v>339</v>
      </c>
      <c r="Z298" s="19" t="s">
        <v>258</v>
      </c>
      <c r="AA298" s="19" t="s">
        <v>880</v>
      </c>
      <c r="AB298" s="14" t="s">
        <v>881</v>
      </c>
      <c r="AC298" s="14">
        <v>6012220601</v>
      </c>
      <c r="AD298" s="33" t="s">
        <v>311</v>
      </c>
      <c r="AE298" s="82">
        <v>30000000</v>
      </c>
      <c r="AF298" s="82">
        <v>0</v>
      </c>
      <c r="AG298" s="82">
        <v>0</v>
      </c>
      <c r="AH298" s="82">
        <v>0</v>
      </c>
      <c r="AI298" s="82">
        <v>0</v>
      </c>
      <c r="AJ298" s="82">
        <v>0</v>
      </c>
      <c r="AK298" s="82">
        <v>0</v>
      </c>
      <c r="AL298" s="82">
        <v>0</v>
      </c>
      <c r="AM298" s="82">
        <v>0</v>
      </c>
      <c r="AN298" s="82">
        <v>0</v>
      </c>
      <c r="AO298" s="82">
        <v>0</v>
      </c>
      <c r="AP298" s="82">
        <v>0</v>
      </c>
      <c r="AQ298" s="82">
        <v>0</v>
      </c>
      <c r="AR298" s="82">
        <v>0</v>
      </c>
      <c r="AS298" s="82">
        <v>0</v>
      </c>
      <c r="AT298" s="82">
        <v>0</v>
      </c>
      <c r="AU298" s="82">
        <v>0</v>
      </c>
      <c r="AV298" s="82">
        <v>6000000</v>
      </c>
      <c r="AW298" s="82">
        <v>0</v>
      </c>
      <c r="AX298" s="82">
        <v>6000000</v>
      </c>
      <c r="AY298" s="82">
        <v>0</v>
      </c>
      <c r="AZ298" s="82">
        <v>6000000</v>
      </c>
      <c r="BA298" s="82">
        <v>0</v>
      </c>
      <c r="BB298" s="82">
        <v>12000000</v>
      </c>
      <c r="BC298" s="82">
        <f t="shared" ref="BC298:BD298" si="583">AE298+AG298+AI298+AK298+AM298+AO298+AQ298+AS298+AU298+AW298+AY298+BA298</f>
        <v>30000000</v>
      </c>
      <c r="BD298" s="82">
        <f t="shared" si="583"/>
        <v>30000000</v>
      </c>
      <c r="BE298" s="83">
        <f t="shared" si="538"/>
        <v>0</v>
      </c>
      <c r="BF298" s="83">
        <f t="shared" si="539"/>
        <v>0</v>
      </c>
      <c r="BG298" s="14" t="str">
        <f ca="1">IFERROR(__xludf.DUMMYFUNCTION("REGEXEXTRACT(O292,""^\S+\s(.+)$"")"),"Prestar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298" s="23">
        <v>30000000</v>
      </c>
      <c r="BI298" s="23"/>
      <c r="BJ298" s="23"/>
      <c r="BK298" s="23"/>
      <c r="BL298" s="23"/>
      <c r="BM298" s="23"/>
      <c r="BN298" s="23"/>
      <c r="BO298" s="23"/>
      <c r="BP298" s="23"/>
      <c r="BQ298" s="23"/>
      <c r="BR298" s="23"/>
      <c r="BS298" s="23"/>
      <c r="BT298" s="23"/>
      <c r="BU298" s="23"/>
      <c r="BV298" s="23"/>
      <c r="BW298" s="23"/>
      <c r="BX298" s="23"/>
      <c r="BY298" s="23">
        <v>6000000</v>
      </c>
      <c r="BZ298" s="23"/>
      <c r="CA298" s="23">
        <v>6000000</v>
      </c>
      <c r="CB298" s="23"/>
      <c r="CC298" s="23">
        <v>6000000</v>
      </c>
      <c r="CD298" s="23"/>
      <c r="CE298" s="23">
        <v>12000000</v>
      </c>
      <c r="CF298" s="28"/>
      <c r="CG298" s="28"/>
      <c r="CH298" s="25">
        <f t="shared" ref="CH298:CI298" si="584">BH298+BJ298+BL298+BN298+BP298+BR298+BT298+BV298+BX298+BZ298+CB298+CD298+CF298</f>
        <v>30000000</v>
      </c>
      <c r="CI298" s="25">
        <f t="shared" si="584"/>
        <v>30000000</v>
      </c>
      <c r="CJ298" s="26">
        <f t="shared" si="518"/>
        <v>0</v>
      </c>
      <c r="CK298" s="26">
        <f t="shared" si="519"/>
        <v>0</v>
      </c>
    </row>
    <row r="299" spans="1:89" ht="90" customHeight="1" x14ac:dyDescent="0.3">
      <c r="A299" s="13" t="s">
        <v>248</v>
      </c>
      <c r="B299" s="14" t="s">
        <v>27</v>
      </c>
      <c r="C299" s="15" t="s">
        <v>427</v>
      </c>
      <c r="D299" s="14" t="s">
        <v>68</v>
      </c>
      <c r="E299" s="13" t="s">
        <v>250</v>
      </c>
      <c r="F299" s="13" t="s">
        <v>250</v>
      </c>
      <c r="G299" s="14">
        <v>68</v>
      </c>
      <c r="H299" s="13" t="s">
        <v>936</v>
      </c>
      <c r="I299" s="15" t="s">
        <v>479</v>
      </c>
      <c r="J299" s="14" t="s">
        <v>28</v>
      </c>
      <c r="K299" s="15" t="s">
        <v>107</v>
      </c>
      <c r="L299" s="14">
        <v>80111620</v>
      </c>
      <c r="M299" s="14" t="s">
        <v>29</v>
      </c>
      <c r="N299" s="14" t="s">
        <v>253</v>
      </c>
      <c r="O299" s="15" t="s">
        <v>937</v>
      </c>
      <c r="P299" s="14" t="s">
        <v>255</v>
      </c>
      <c r="Q299" s="14" t="s">
        <v>255</v>
      </c>
      <c r="R299" s="14" t="s">
        <v>255</v>
      </c>
      <c r="S299" s="17">
        <v>7</v>
      </c>
      <c r="T299" s="14" t="s">
        <v>256</v>
      </c>
      <c r="U299" s="14" t="s">
        <v>257</v>
      </c>
      <c r="V299" s="14" t="s">
        <v>113</v>
      </c>
      <c r="W299" s="18">
        <v>16346400</v>
      </c>
      <c r="X299" s="18">
        <v>16346400</v>
      </c>
      <c r="Y299" s="19" t="s">
        <v>339</v>
      </c>
      <c r="Z299" s="19" t="s">
        <v>258</v>
      </c>
      <c r="AA299" s="19" t="s">
        <v>880</v>
      </c>
      <c r="AB299" s="14" t="s">
        <v>881</v>
      </c>
      <c r="AC299" s="14">
        <v>6012220601</v>
      </c>
      <c r="AD299" s="33" t="s">
        <v>311</v>
      </c>
      <c r="AE299" s="82">
        <v>16346400</v>
      </c>
      <c r="AF299" s="82">
        <v>0</v>
      </c>
      <c r="AG299" s="82">
        <v>0</v>
      </c>
      <c r="AH299" s="82">
        <v>1167600</v>
      </c>
      <c r="AI299" s="82">
        <v>0</v>
      </c>
      <c r="AJ299" s="82">
        <v>2335200</v>
      </c>
      <c r="AK299" s="82">
        <v>0</v>
      </c>
      <c r="AL299" s="82">
        <v>2335200</v>
      </c>
      <c r="AM299" s="82">
        <v>0</v>
      </c>
      <c r="AN299" s="82">
        <v>2335200</v>
      </c>
      <c r="AO299" s="82">
        <v>0</v>
      </c>
      <c r="AP299" s="82">
        <v>2335200</v>
      </c>
      <c r="AQ299" s="82">
        <v>0</v>
      </c>
      <c r="AR299" s="82">
        <v>2335200</v>
      </c>
      <c r="AS299" s="82">
        <v>0</v>
      </c>
      <c r="AT299" s="82">
        <v>2335200</v>
      </c>
      <c r="AU299" s="82">
        <v>0</v>
      </c>
      <c r="AV299" s="82">
        <v>1167600</v>
      </c>
      <c r="AW299" s="82">
        <v>0</v>
      </c>
      <c r="AX299" s="82">
        <v>0</v>
      </c>
      <c r="AY299" s="82">
        <v>0</v>
      </c>
      <c r="AZ299" s="82">
        <v>0</v>
      </c>
      <c r="BA299" s="82">
        <v>0</v>
      </c>
      <c r="BB299" s="82">
        <v>0</v>
      </c>
      <c r="BC299" s="82">
        <f t="shared" ref="BC299:BD299" si="585">AE299+AG299+AI299+AK299+AM299+AO299+AQ299+AS299+AU299+AW299+AY299+BA299</f>
        <v>16346400</v>
      </c>
      <c r="BD299" s="82">
        <f t="shared" si="585"/>
        <v>16346400</v>
      </c>
      <c r="BE299" s="83">
        <f t="shared" si="538"/>
        <v>0</v>
      </c>
      <c r="BF299" s="83">
        <f t="shared" si="539"/>
        <v>0</v>
      </c>
      <c r="BG299" s="14" t="str">
        <f ca="1">IFERROR(__xludf.DUMMYFUNCTION("REGEXEXTRACT(O293,""^\S+\s(.+)$"")"),"Prestar servicios de apoyo a la gestión de Talento Humano, mediante el soporte operativo y documental requerido para la ejecución, organización, control y archivo de los procesos administrativos del área, contribuyendo al cumplimiento oportuno y eficiente"&amp;" de las funciones asignadas.")</f>
        <v>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v>
      </c>
      <c r="BH299" s="23">
        <v>16346400</v>
      </c>
      <c r="BI299" s="23"/>
      <c r="BJ299" s="23"/>
      <c r="BK299" s="23">
        <v>1167600</v>
      </c>
      <c r="BL299" s="23"/>
      <c r="BM299" s="23">
        <v>2335200</v>
      </c>
      <c r="BN299" s="23"/>
      <c r="BO299" s="23">
        <v>2335200</v>
      </c>
      <c r="BP299" s="23"/>
      <c r="BQ299" s="23">
        <v>2335200</v>
      </c>
      <c r="BR299" s="23"/>
      <c r="BS299" s="23">
        <v>2335200</v>
      </c>
      <c r="BT299" s="23"/>
      <c r="BU299" s="23">
        <v>2335200</v>
      </c>
      <c r="BV299" s="23"/>
      <c r="BW299" s="23">
        <v>2335200</v>
      </c>
      <c r="BX299" s="23"/>
      <c r="BY299" s="23">
        <v>1167600</v>
      </c>
      <c r="BZ299" s="23"/>
      <c r="CA299" s="23"/>
      <c r="CB299" s="23"/>
      <c r="CC299" s="23"/>
      <c r="CD299" s="23"/>
      <c r="CE299" s="23"/>
      <c r="CF299" s="28"/>
      <c r="CG299" s="28"/>
      <c r="CH299" s="25">
        <f t="shared" ref="CH299:CI299" si="586">BH299+BJ299+BL299+BN299+BP299+BR299+BT299+BV299+BX299+BZ299+CB299+CD299+CF299</f>
        <v>16346400</v>
      </c>
      <c r="CI299" s="25">
        <f t="shared" si="586"/>
        <v>16346400</v>
      </c>
      <c r="CJ299" s="26">
        <f t="shared" si="518"/>
        <v>0</v>
      </c>
      <c r="CK299" s="26">
        <f t="shared" si="519"/>
        <v>0</v>
      </c>
    </row>
    <row r="300" spans="1:89" ht="90" customHeight="1" x14ac:dyDescent="0.3">
      <c r="A300" s="13" t="s">
        <v>248</v>
      </c>
      <c r="B300" s="14" t="s">
        <v>27</v>
      </c>
      <c r="C300" s="15" t="s">
        <v>427</v>
      </c>
      <c r="D300" s="14" t="s">
        <v>68</v>
      </c>
      <c r="E300" s="13" t="s">
        <v>250</v>
      </c>
      <c r="F300" s="13" t="s">
        <v>250</v>
      </c>
      <c r="G300" s="14">
        <v>68</v>
      </c>
      <c r="H300" s="13" t="s">
        <v>938</v>
      </c>
      <c r="I300" s="15" t="s">
        <v>479</v>
      </c>
      <c r="J300" s="14" t="s">
        <v>28</v>
      </c>
      <c r="K300" s="15" t="s">
        <v>107</v>
      </c>
      <c r="L300" s="14">
        <v>80111620</v>
      </c>
      <c r="M300" s="14" t="s">
        <v>29</v>
      </c>
      <c r="N300" s="14" t="s">
        <v>253</v>
      </c>
      <c r="O300" s="15" t="s">
        <v>939</v>
      </c>
      <c r="P300" s="14" t="s">
        <v>255</v>
      </c>
      <c r="Q300" s="14" t="s">
        <v>255</v>
      </c>
      <c r="R300" s="14" t="s">
        <v>255</v>
      </c>
      <c r="S300" s="17">
        <v>11.5</v>
      </c>
      <c r="T300" s="14" t="s">
        <v>256</v>
      </c>
      <c r="U300" s="14" t="s">
        <v>257</v>
      </c>
      <c r="V300" s="14" t="s">
        <v>113</v>
      </c>
      <c r="W300" s="18">
        <v>8472336</v>
      </c>
      <c r="X300" s="18">
        <v>8472336</v>
      </c>
      <c r="Y300" s="19" t="s">
        <v>339</v>
      </c>
      <c r="Z300" s="19" t="s">
        <v>258</v>
      </c>
      <c r="AA300" s="19" t="s">
        <v>880</v>
      </c>
      <c r="AB300" s="14" t="s">
        <v>881</v>
      </c>
      <c r="AC300" s="14">
        <v>6012220601</v>
      </c>
      <c r="AD300" s="33" t="s">
        <v>311</v>
      </c>
      <c r="AE300" s="82">
        <v>8472336</v>
      </c>
      <c r="AF300" s="82">
        <v>0</v>
      </c>
      <c r="AG300" s="82">
        <v>0</v>
      </c>
      <c r="AH300" s="82">
        <v>3113500</v>
      </c>
      <c r="AI300" s="82">
        <v>0</v>
      </c>
      <c r="AJ300" s="82">
        <v>5358836</v>
      </c>
      <c r="AK300" s="82">
        <v>0</v>
      </c>
      <c r="AL300" s="82">
        <v>0</v>
      </c>
      <c r="AM300" s="82">
        <v>0</v>
      </c>
      <c r="AN300" s="82">
        <v>0</v>
      </c>
      <c r="AO300" s="82">
        <v>0</v>
      </c>
      <c r="AP300" s="82">
        <v>0</v>
      </c>
      <c r="AQ300" s="82">
        <v>0</v>
      </c>
      <c r="AR300" s="82">
        <v>0</v>
      </c>
      <c r="AS300" s="82">
        <v>0</v>
      </c>
      <c r="AT300" s="82">
        <v>0</v>
      </c>
      <c r="AU300" s="82">
        <v>0</v>
      </c>
      <c r="AV300" s="82">
        <v>0</v>
      </c>
      <c r="AW300" s="82">
        <v>0</v>
      </c>
      <c r="AX300" s="82">
        <v>0</v>
      </c>
      <c r="AY300" s="82">
        <v>0</v>
      </c>
      <c r="AZ300" s="82">
        <v>0</v>
      </c>
      <c r="BA300" s="82">
        <v>0</v>
      </c>
      <c r="BB300" s="82">
        <v>0</v>
      </c>
      <c r="BC300" s="82">
        <f t="shared" ref="BC300:BD300" si="587">AE300+AG300+AI300+AK300+AM300+AO300+AQ300+AS300+AU300+AW300+AY300+BA300</f>
        <v>8472336</v>
      </c>
      <c r="BD300" s="82">
        <f t="shared" si="587"/>
        <v>8472336</v>
      </c>
      <c r="BE300" s="83">
        <f t="shared" si="538"/>
        <v>0</v>
      </c>
      <c r="BF300" s="83">
        <f t="shared" si="539"/>
        <v>0</v>
      </c>
      <c r="BG300" s="14" t="str">
        <f ca="1">IFERROR(__xludf.DUMMYFUNCTION("REGEXEXTRACT(O294,""^\S+\s(.+)$"")"),"Prestar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300" s="23">
        <v>8472336</v>
      </c>
      <c r="BI300" s="23"/>
      <c r="BJ300" s="23"/>
      <c r="BK300" s="23">
        <v>3113500</v>
      </c>
      <c r="BL300" s="23"/>
      <c r="BM300" s="23">
        <v>5358836</v>
      </c>
      <c r="BN300" s="23"/>
      <c r="BO300" s="23"/>
      <c r="BP300" s="23"/>
      <c r="BQ300" s="23"/>
      <c r="BR300" s="23"/>
      <c r="BS300" s="23"/>
      <c r="BT300" s="23"/>
      <c r="BU300" s="23"/>
      <c r="BV300" s="23"/>
      <c r="BW300" s="23"/>
      <c r="BX300" s="23"/>
      <c r="BY300" s="23"/>
      <c r="BZ300" s="23"/>
      <c r="CA300" s="23"/>
      <c r="CB300" s="23"/>
      <c r="CC300" s="23"/>
      <c r="CD300" s="23"/>
      <c r="CE300" s="23"/>
      <c r="CF300" s="28"/>
      <c r="CG300" s="28"/>
      <c r="CH300" s="25">
        <f t="shared" ref="CH300:CI300" si="588">BH300+BJ300+BL300+BN300+BP300+BR300+BT300+BV300+BX300+BZ300+CB300+CD300+CF300</f>
        <v>8472336</v>
      </c>
      <c r="CI300" s="25">
        <f t="shared" si="588"/>
        <v>8472336</v>
      </c>
      <c r="CJ300" s="26">
        <f t="shared" si="518"/>
        <v>0</v>
      </c>
      <c r="CK300" s="26">
        <f t="shared" si="519"/>
        <v>0</v>
      </c>
    </row>
    <row r="301" spans="1:89" ht="90" customHeight="1" x14ac:dyDescent="0.3">
      <c r="A301" s="13" t="s">
        <v>248</v>
      </c>
      <c r="B301" s="14" t="s">
        <v>27</v>
      </c>
      <c r="C301" s="15" t="s">
        <v>427</v>
      </c>
      <c r="D301" s="14" t="s">
        <v>68</v>
      </c>
      <c r="E301" s="13" t="s">
        <v>250</v>
      </c>
      <c r="F301" s="13" t="s">
        <v>250</v>
      </c>
      <c r="G301" s="14">
        <v>68</v>
      </c>
      <c r="H301" s="13" t="s">
        <v>940</v>
      </c>
      <c r="I301" s="15" t="s">
        <v>479</v>
      </c>
      <c r="J301" s="14" t="s">
        <v>28</v>
      </c>
      <c r="K301" s="15" t="s">
        <v>107</v>
      </c>
      <c r="L301" s="14">
        <v>80111620</v>
      </c>
      <c r="M301" s="14" t="s">
        <v>29</v>
      </c>
      <c r="N301" s="14" t="s">
        <v>253</v>
      </c>
      <c r="O301" s="15" t="s">
        <v>941</v>
      </c>
      <c r="P301" s="14" t="s">
        <v>255</v>
      </c>
      <c r="Q301" s="14" t="s">
        <v>255</v>
      </c>
      <c r="R301" s="14" t="s">
        <v>255</v>
      </c>
      <c r="S301" s="17">
        <v>11.5</v>
      </c>
      <c r="T301" s="14" t="s">
        <v>256</v>
      </c>
      <c r="U301" s="14" t="s">
        <v>257</v>
      </c>
      <c r="V301" s="14" t="s">
        <v>112</v>
      </c>
      <c r="W301" s="18">
        <v>2814063</v>
      </c>
      <c r="X301" s="18">
        <v>2814063</v>
      </c>
      <c r="Y301" s="19" t="s">
        <v>339</v>
      </c>
      <c r="Z301" s="19" t="s">
        <v>258</v>
      </c>
      <c r="AA301" s="19" t="s">
        <v>880</v>
      </c>
      <c r="AB301" s="14" t="s">
        <v>881</v>
      </c>
      <c r="AC301" s="14">
        <v>6012220601</v>
      </c>
      <c r="AD301" s="33" t="s">
        <v>311</v>
      </c>
      <c r="AE301" s="82">
        <v>0</v>
      </c>
      <c r="AF301" s="82">
        <v>0</v>
      </c>
      <c r="AG301" s="82">
        <v>2814063</v>
      </c>
      <c r="AH301" s="82">
        <v>0</v>
      </c>
      <c r="AI301" s="82">
        <v>0</v>
      </c>
      <c r="AJ301" s="82">
        <v>868164</v>
      </c>
      <c r="AK301" s="82">
        <v>0</v>
      </c>
      <c r="AL301" s="82">
        <v>1945899</v>
      </c>
      <c r="AM301" s="82">
        <v>0</v>
      </c>
      <c r="AN301" s="82">
        <v>0</v>
      </c>
      <c r="AO301" s="82">
        <v>0</v>
      </c>
      <c r="AP301" s="82">
        <v>0</v>
      </c>
      <c r="AQ301" s="82">
        <v>0</v>
      </c>
      <c r="AR301" s="82">
        <v>0</v>
      </c>
      <c r="AS301" s="82">
        <v>0</v>
      </c>
      <c r="AT301" s="82">
        <v>0</v>
      </c>
      <c r="AU301" s="82">
        <v>0</v>
      </c>
      <c r="AV301" s="82">
        <v>0</v>
      </c>
      <c r="AW301" s="82">
        <v>0</v>
      </c>
      <c r="AX301" s="82">
        <v>0</v>
      </c>
      <c r="AY301" s="82">
        <v>0</v>
      </c>
      <c r="AZ301" s="82">
        <v>0</v>
      </c>
      <c r="BA301" s="82">
        <v>0</v>
      </c>
      <c r="BB301" s="82">
        <v>0</v>
      </c>
      <c r="BC301" s="82">
        <f t="shared" ref="BC301:BD301" si="589">AE301+AG301+AI301+AK301+AM301+AO301+AQ301+AS301+AU301+AW301+AY301+BA301</f>
        <v>2814063</v>
      </c>
      <c r="BD301" s="82">
        <f t="shared" si="589"/>
        <v>2814063</v>
      </c>
      <c r="BE301" s="83">
        <f t="shared" si="538"/>
        <v>0</v>
      </c>
      <c r="BF301" s="83">
        <f t="shared" si="539"/>
        <v>0</v>
      </c>
      <c r="BG301" s="14" t="str">
        <f ca="1">IFERROR(__xludf.DUMMYFUNCTION("REGEXEXTRACT(O295,""^\S+\s(.+)$"")"),"Prestar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301" s="23"/>
      <c r="BI301" s="23"/>
      <c r="BJ301" s="23">
        <v>2814063</v>
      </c>
      <c r="BK301" s="23"/>
      <c r="BL301" s="23"/>
      <c r="BM301" s="23">
        <v>868164</v>
      </c>
      <c r="BN301" s="23"/>
      <c r="BO301" s="23">
        <v>1945899</v>
      </c>
      <c r="BP301" s="23"/>
      <c r="BQ301" s="23"/>
      <c r="BR301" s="23"/>
      <c r="BS301" s="23"/>
      <c r="BT301" s="23"/>
      <c r="BU301" s="23"/>
      <c r="BV301" s="23"/>
      <c r="BW301" s="23"/>
      <c r="BX301" s="23"/>
      <c r="BY301" s="23"/>
      <c r="BZ301" s="23"/>
      <c r="CA301" s="23"/>
      <c r="CB301" s="23"/>
      <c r="CC301" s="23"/>
      <c r="CD301" s="23"/>
      <c r="CE301" s="23"/>
      <c r="CF301" s="28"/>
      <c r="CG301" s="28"/>
      <c r="CH301" s="25">
        <f t="shared" ref="CH301:CI301" si="590">BH301+BJ301+BL301+BN301+BP301+BR301+BT301+BV301+BX301+BZ301+CB301+CD301+CF301</f>
        <v>2814063</v>
      </c>
      <c r="CI301" s="25">
        <f t="shared" si="590"/>
        <v>2814063</v>
      </c>
      <c r="CJ301" s="26">
        <f t="shared" si="518"/>
        <v>0</v>
      </c>
      <c r="CK301" s="26">
        <f t="shared" si="519"/>
        <v>0</v>
      </c>
    </row>
    <row r="302" spans="1:89" ht="90" customHeight="1" x14ac:dyDescent="0.3">
      <c r="A302" s="13" t="s">
        <v>248</v>
      </c>
      <c r="B302" s="14" t="s">
        <v>27</v>
      </c>
      <c r="C302" s="15" t="s">
        <v>427</v>
      </c>
      <c r="D302" s="14" t="s">
        <v>68</v>
      </c>
      <c r="E302" s="13" t="s">
        <v>250</v>
      </c>
      <c r="F302" s="13" t="s">
        <v>250</v>
      </c>
      <c r="G302" s="14">
        <v>68</v>
      </c>
      <c r="H302" s="13" t="s">
        <v>942</v>
      </c>
      <c r="I302" s="15" t="s">
        <v>479</v>
      </c>
      <c r="J302" s="14" t="s">
        <v>28</v>
      </c>
      <c r="K302" s="15" t="s">
        <v>108</v>
      </c>
      <c r="L302" s="14">
        <v>80111620</v>
      </c>
      <c r="M302" s="14" t="s">
        <v>29</v>
      </c>
      <c r="N302" s="14" t="s">
        <v>253</v>
      </c>
      <c r="O302" s="15" t="s">
        <v>943</v>
      </c>
      <c r="P302" s="14" t="s">
        <v>255</v>
      </c>
      <c r="Q302" s="14" t="s">
        <v>255</v>
      </c>
      <c r="R302" s="14" t="s">
        <v>255</v>
      </c>
      <c r="S302" s="17">
        <v>11.5</v>
      </c>
      <c r="T302" s="14" t="s">
        <v>256</v>
      </c>
      <c r="U302" s="14" t="s">
        <v>257</v>
      </c>
      <c r="V302" s="14" t="s">
        <v>112</v>
      </c>
      <c r="W302" s="18">
        <v>60324101</v>
      </c>
      <c r="X302" s="18">
        <v>60324101</v>
      </c>
      <c r="Y302" s="19" t="s">
        <v>339</v>
      </c>
      <c r="Z302" s="19" t="s">
        <v>258</v>
      </c>
      <c r="AA302" s="19" t="s">
        <v>880</v>
      </c>
      <c r="AB302" s="14" t="s">
        <v>881</v>
      </c>
      <c r="AC302" s="14">
        <v>6012220601</v>
      </c>
      <c r="AD302" s="33" t="s">
        <v>311</v>
      </c>
      <c r="AE302" s="82">
        <v>60024664</v>
      </c>
      <c r="AF302" s="82">
        <v>0</v>
      </c>
      <c r="AG302" s="82">
        <v>0</v>
      </c>
      <c r="AH302" s="82">
        <v>0</v>
      </c>
      <c r="AI302" s="82">
        <v>0</v>
      </c>
      <c r="AJ302" s="82">
        <v>0</v>
      </c>
      <c r="AK302" s="82">
        <v>0</v>
      </c>
      <c r="AL302" s="82">
        <v>4281101</v>
      </c>
      <c r="AM302" s="82">
        <v>0</v>
      </c>
      <c r="AN302" s="82">
        <v>6227000</v>
      </c>
      <c r="AO302" s="82">
        <v>0</v>
      </c>
      <c r="AP302" s="82">
        <v>6227000</v>
      </c>
      <c r="AQ302" s="82">
        <v>0</v>
      </c>
      <c r="AR302" s="82">
        <v>6227000</v>
      </c>
      <c r="AS302" s="82">
        <v>299437</v>
      </c>
      <c r="AT302" s="82">
        <v>6227000</v>
      </c>
      <c r="AU302" s="82">
        <v>0</v>
      </c>
      <c r="AV302" s="82">
        <v>6227000</v>
      </c>
      <c r="AW302" s="82">
        <v>0</v>
      </c>
      <c r="AX302" s="82">
        <v>6227000</v>
      </c>
      <c r="AY302" s="82">
        <v>0</v>
      </c>
      <c r="AZ302" s="82">
        <v>6227000</v>
      </c>
      <c r="BA302" s="82">
        <v>0</v>
      </c>
      <c r="BB302" s="82">
        <v>12454000</v>
      </c>
      <c r="BC302" s="82">
        <f t="shared" ref="BC302:BD302" si="591">AE302+AG302+AI302+AK302+AM302+AO302+AQ302+AS302+AU302+AW302+AY302+BA302</f>
        <v>60324101</v>
      </c>
      <c r="BD302" s="82">
        <f t="shared" si="591"/>
        <v>60324101</v>
      </c>
      <c r="BE302" s="83">
        <f t="shared" si="538"/>
        <v>0</v>
      </c>
      <c r="BF302" s="83">
        <f t="shared" si="539"/>
        <v>0</v>
      </c>
      <c r="BG302" s="14" t="str">
        <f ca="1">IFERROR(__xludf.DUMMYFUNCTION("REGEXEXTRACT(O296,""^\S+\s(.+)$"")"),"Prestar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302" s="23">
        <v>60024664</v>
      </c>
      <c r="BI302" s="23"/>
      <c r="BJ302" s="23"/>
      <c r="BK302" s="23"/>
      <c r="BL302" s="23"/>
      <c r="BM302" s="23"/>
      <c r="BN302" s="23"/>
      <c r="BO302" s="23">
        <v>4281101</v>
      </c>
      <c r="BP302" s="23"/>
      <c r="BQ302" s="23">
        <v>6227000</v>
      </c>
      <c r="BR302" s="23"/>
      <c r="BS302" s="23">
        <v>6227000</v>
      </c>
      <c r="BT302" s="23"/>
      <c r="BU302" s="23">
        <v>6227000</v>
      </c>
      <c r="BV302" s="23">
        <v>299437</v>
      </c>
      <c r="BW302" s="23">
        <v>6227000</v>
      </c>
      <c r="BX302" s="23"/>
      <c r="BY302" s="23">
        <v>6227000</v>
      </c>
      <c r="BZ302" s="23"/>
      <c r="CA302" s="23">
        <v>6227000</v>
      </c>
      <c r="CB302" s="23"/>
      <c r="CC302" s="23">
        <v>6227000</v>
      </c>
      <c r="CD302" s="23"/>
      <c r="CE302" s="23">
        <v>12454000</v>
      </c>
      <c r="CF302" s="28"/>
      <c r="CG302" s="28"/>
      <c r="CH302" s="25">
        <f t="shared" ref="CH302:CI302" si="592">BH302+BJ302+BL302+BN302+BP302+BR302+BT302+BV302+BX302+BZ302+CB302+CD302+CF302</f>
        <v>60324101</v>
      </c>
      <c r="CI302" s="25">
        <f t="shared" si="592"/>
        <v>60324101</v>
      </c>
      <c r="CJ302" s="26">
        <f t="shared" si="518"/>
        <v>0</v>
      </c>
      <c r="CK302" s="26">
        <f t="shared" si="519"/>
        <v>0</v>
      </c>
    </row>
    <row r="303" spans="1:89" ht="90" customHeight="1" x14ac:dyDescent="0.3">
      <c r="A303" s="13" t="s">
        <v>248</v>
      </c>
      <c r="B303" s="14" t="s">
        <v>27</v>
      </c>
      <c r="C303" s="15" t="s">
        <v>427</v>
      </c>
      <c r="D303" s="14" t="s">
        <v>68</v>
      </c>
      <c r="E303" s="13" t="s">
        <v>250</v>
      </c>
      <c r="F303" s="13" t="s">
        <v>250</v>
      </c>
      <c r="G303" s="14">
        <v>68</v>
      </c>
      <c r="H303" s="13" t="s">
        <v>944</v>
      </c>
      <c r="I303" s="15" t="s">
        <v>479</v>
      </c>
      <c r="J303" s="14" t="s">
        <v>28</v>
      </c>
      <c r="K303" s="15" t="s">
        <v>108</v>
      </c>
      <c r="L303" s="14">
        <v>80111620</v>
      </c>
      <c r="M303" s="14" t="s">
        <v>29</v>
      </c>
      <c r="N303" s="14" t="s">
        <v>253</v>
      </c>
      <c r="O303" s="15" t="s">
        <v>945</v>
      </c>
      <c r="P303" s="14" t="s">
        <v>255</v>
      </c>
      <c r="Q303" s="14" t="s">
        <v>255</v>
      </c>
      <c r="R303" s="14" t="s">
        <v>255</v>
      </c>
      <c r="S303" s="17">
        <v>11.5</v>
      </c>
      <c r="T303" s="14" t="s">
        <v>256</v>
      </c>
      <c r="U303" s="14" t="s">
        <v>257</v>
      </c>
      <c r="V303" s="14" t="s">
        <v>112</v>
      </c>
      <c r="W303" s="18">
        <v>71610500</v>
      </c>
      <c r="X303" s="18">
        <v>71610500</v>
      </c>
      <c r="Y303" s="19" t="s">
        <v>339</v>
      </c>
      <c r="Z303" s="19" t="s">
        <v>258</v>
      </c>
      <c r="AA303" s="19" t="s">
        <v>880</v>
      </c>
      <c r="AB303" s="14" t="s">
        <v>881</v>
      </c>
      <c r="AC303" s="14">
        <v>6012220601</v>
      </c>
      <c r="AD303" s="33" t="s">
        <v>311</v>
      </c>
      <c r="AE303" s="82">
        <v>68497000</v>
      </c>
      <c r="AF303" s="82">
        <v>0</v>
      </c>
      <c r="AG303" s="82">
        <v>0</v>
      </c>
      <c r="AH303" s="82">
        <v>3113500</v>
      </c>
      <c r="AI303" s="82">
        <v>0</v>
      </c>
      <c r="AJ303" s="82">
        <v>6227000</v>
      </c>
      <c r="AK303" s="82">
        <v>0</v>
      </c>
      <c r="AL303" s="82">
        <v>6227000</v>
      </c>
      <c r="AM303" s="82">
        <v>0</v>
      </c>
      <c r="AN303" s="82">
        <v>6227000</v>
      </c>
      <c r="AO303" s="82">
        <v>0</v>
      </c>
      <c r="AP303" s="82">
        <v>6227000</v>
      </c>
      <c r="AQ303" s="82">
        <v>0</v>
      </c>
      <c r="AR303" s="82">
        <v>6227000</v>
      </c>
      <c r="AS303" s="82">
        <v>3113500</v>
      </c>
      <c r="AT303" s="82">
        <v>6227000</v>
      </c>
      <c r="AU303" s="82">
        <v>0</v>
      </c>
      <c r="AV303" s="82">
        <v>6227000</v>
      </c>
      <c r="AW303" s="82">
        <v>0</v>
      </c>
      <c r="AX303" s="82">
        <v>6227000</v>
      </c>
      <c r="AY303" s="82">
        <v>0</v>
      </c>
      <c r="AZ303" s="82">
        <v>6227000</v>
      </c>
      <c r="BA303" s="82">
        <v>0</v>
      </c>
      <c r="BB303" s="82">
        <v>12454000</v>
      </c>
      <c r="BC303" s="82">
        <f t="shared" ref="BC303:BD303" si="593">AE303+AG303+AI303+AK303+AM303+AO303+AQ303+AS303+AU303+AW303+AY303+BA303</f>
        <v>71610500</v>
      </c>
      <c r="BD303" s="82">
        <f t="shared" si="593"/>
        <v>71610500</v>
      </c>
      <c r="BE303" s="83">
        <f t="shared" si="538"/>
        <v>0</v>
      </c>
      <c r="BF303" s="83">
        <f t="shared" si="539"/>
        <v>0</v>
      </c>
      <c r="BG303" s="14" t="str">
        <f ca="1">IFERROR(__xludf.DUMMYFUNCTION("REGEXEXTRACT(O297,""^\S+\s(.+)$"")"),"Prestar servicios profesionales para apoyar la sustanciación y revisión de actos administrativos, respuestas a derechos de petición, conceptos, circulares; así como los procesos disciplinarios adelantados en la Secretaría General de la UPME")</f>
        <v>Prestar servicios profesionales para apoyar la sustanciación y revisión de actos administrativos, respuestas a derechos de petición, conceptos, circulares; así como los procesos disciplinarios adelantados en la Secretaría General de la UPME</v>
      </c>
      <c r="BH303" s="23">
        <v>68497000</v>
      </c>
      <c r="BI303" s="23"/>
      <c r="BJ303" s="23"/>
      <c r="BK303" s="23">
        <v>3113500</v>
      </c>
      <c r="BL303" s="23"/>
      <c r="BM303" s="23">
        <v>6227000</v>
      </c>
      <c r="BN303" s="23"/>
      <c r="BO303" s="23">
        <v>6227000</v>
      </c>
      <c r="BP303" s="23"/>
      <c r="BQ303" s="23">
        <v>6227000</v>
      </c>
      <c r="BR303" s="23"/>
      <c r="BS303" s="23">
        <v>6227000</v>
      </c>
      <c r="BT303" s="23"/>
      <c r="BU303" s="23">
        <v>6227000</v>
      </c>
      <c r="BV303" s="23">
        <v>3113500</v>
      </c>
      <c r="BW303" s="23">
        <v>6227000</v>
      </c>
      <c r="BX303" s="23"/>
      <c r="BY303" s="23">
        <v>6227000</v>
      </c>
      <c r="BZ303" s="23"/>
      <c r="CA303" s="23">
        <v>6227000</v>
      </c>
      <c r="CB303" s="23"/>
      <c r="CC303" s="23">
        <v>6227000</v>
      </c>
      <c r="CD303" s="23"/>
      <c r="CE303" s="23">
        <v>12454000</v>
      </c>
      <c r="CF303" s="28"/>
      <c r="CG303" s="28"/>
      <c r="CH303" s="25">
        <f t="shared" ref="CH303:CI303" si="594">BH303+BJ303+BL303+BN303+BP303+BR303+BT303+BV303+BX303+BZ303+CB303+CD303+CF303</f>
        <v>71610500</v>
      </c>
      <c r="CI303" s="25">
        <f t="shared" si="594"/>
        <v>71610500</v>
      </c>
      <c r="CJ303" s="26">
        <f t="shared" si="518"/>
        <v>0</v>
      </c>
      <c r="CK303" s="26">
        <f t="shared" si="519"/>
        <v>0</v>
      </c>
    </row>
    <row r="304" spans="1:89" ht="90" customHeight="1" x14ac:dyDescent="0.3">
      <c r="A304" s="13" t="s">
        <v>248</v>
      </c>
      <c r="B304" s="14" t="s">
        <v>27</v>
      </c>
      <c r="C304" s="15" t="s">
        <v>427</v>
      </c>
      <c r="D304" s="14" t="s">
        <v>68</v>
      </c>
      <c r="E304" s="13" t="s">
        <v>250</v>
      </c>
      <c r="F304" s="13" t="s">
        <v>250</v>
      </c>
      <c r="G304" s="14">
        <v>68</v>
      </c>
      <c r="H304" s="13" t="s">
        <v>946</v>
      </c>
      <c r="I304" s="15" t="s">
        <v>479</v>
      </c>
      <c r="J304" s="14" t="s">
        <v>28</v>
      </c>
      <c r="K304" s="15" t="s">
        <v>108</v>
      </c>
      <c r="L304" s="14">
        <v>80111620</v>
      </c>
      <c r="M304" s="14" t="s">
        <v>29</v>
      </c>
      <c r="N304" s="14" t="s">
        <v>253</v>
      </c>
      <c r="O304" s="15" t="s">
        <v>947</v>
      </c>
      <c r="P304" s="14" t="s">
        <v>255</v>
      </c>
      <c r="Q304" s="14" t="s">
        <v>255</v>
      </c>
      <c r="R304" s="14" t="s">
        <v>255</v>
      </c>
      <c r="S304" s="17">
        <v>11.5</v>
      </c>
      <c r="T304" s="14" t="s">
        <v>256</v>
      </c>
      <c r="U304" s="14" t="s">
        <v>257</v>
      </c>
      <c r="V304" s="14" t="s">
        <v>112</v>
      </c>
      <c r="W304" s="18">
        <v>42504000</v>
      </c>
      <c r="X304" s="18">
        <v>42504000</v>
      </c>
      <c r="Y304" s="19" t="s">
        <v>339</v>
      </c>
      <c r="Z304" s="19" t="s">
        <v>258</v>
      </c>
      <c r="AA304" s="19" t="s">
        <v>910</v>
      </c>
      <c r="AB304" s="14" t="s">
        <v>911</v>
      </c>
      <c r="AC304" s="14">
        <v>6012220601</v>
      </c>
      <c r="AD304" s="33" t="s">
        <v>307</v>
      </c>
      <c r="AE304" s="82">
        <v>40968742</v>
      </c>
      <c r="AF304" s="82">
        <v>0</v>
      </c>
      <c r="AG304" s="82">
        <v>0</v>
      </c>
      <c r="AH304" s="82">
        <v>1848000</v>
      </c>
      <c r="AI304" s="82">
        <v>0</v>
      </c>
      <c r="AJ304" s="82">
        <v>3696000</v>
      </c>
      <c r="AK304" s="82">
        <v>0</v>
      </c>
      <c r="AL304" s="82">
        <v>3696000</v>
      </c>
      <c r="AM304" s="82">
        <v>0</v>
      </c>
      <c r="AN304" s="82">
        <v>3696000</v>
      </c>
      <c r="AO304" s="82">
        <v>0</v>
      </c>
      <c r="AP304" s="82">
        <v>3696000</v>
      </c>
      <c r="AQ304" s="82">
        <v>0</v>
      </c>
      <c r="AR304" s="82">
        <v>3696000</v>
      </c>
      <c r="AS304" s="82">
        <v>1535258</v>
      </c>
      <c r="AT304" s="82">
        <v>3696000</v>
      </c>
      <c r="AU304" s="82">
        <v>0</v>
      </c>
      <c r="AV304" s="82">
        <v>3696000</v>
      </c>
      <c r="AW304" s="82">
        <v>0</v>
      </c>
      <c r="AX304" s="82">
        <v>3696000</v>
      </c>
      <c r="AY304" s="82">
        <v>0</v>
      </c>
      <c r="AZ304" s="82">
        <v>3696000</v>
      </c>
      <c r="BA304" s="82">
        <v>0</v>
      </c>
      <c r="BB304" s="82">
        <v>7392000</v>
      </c>
      <c r="BC304" s="82">
        <f t="shared" ref="BC304:BD304" si="595">AE304+AG304+AI304+AK304+AM304+AO304+AQ304+AS304+AU304+AW304+AY304+BA304</f>
        <v>42504000</v>
      </c>
      <c r="BD304" s="82">
        <f t="shared" si="595"/>
        <v>42504000</v>
      </c>
      <c r="BE304" s="83">
        <f t="shared" si="538"/>
        <v>0</v>
      </c>
      <c r="BF304" s="83">
        <f t="shared" si="539"/>
        <v>0</v>
      </c>
      <c r="BG304" s="14" t="str">
        <f ca="1">IFERROR(__xludf.DUMMYFUNCTION("REGEXEXTRACT(O298,""^\S+\s(.+)$"")"),"Prestar servicios de apoyo requeridos en gestión administrativa, documental, correspondencia y demás asuntos administrativos requeridos por la Upme.")</f>
        <v>Prestar servicios de apoyo requeridos en gestión administrativa, documental, correspondencia y demás asuntos administrativos requeridos por la Upme.</v>
      </c>
      <c r="BH304" s="23">
        <v>40968742</v>
      </c>
      <c r="BI304" s="23"/>
      <c r="BJ304" s="23"/>
      <c r="BK304" s="23">
        <v>1848000</v>
      </c>
      <c r="BL304" s="23"/>
      <c r="BM304" s="23">
        <v>3696000</v>
      </c>
      <c r="BN304" s="23"/>
      <c r="BO304" s="23">
        <v>3696000</v>
      </c>
      <c r="BP304" s="23"/>
      <c r="BQ304" s="23">
        <v>3696000</v>
      </c>
      <c r="BR304" s="23"/>
      <c r="BS304" s="23">
        <v>3696000</v>
      </c>
      <c r="BT304" s="23"/>
      <c r="BU304" s="23">
        <v>3696000</v>
      </c>
      <c r="BV304" s="23">
        <v>1535258</v>
      </c>
      <c r="BW304" s="23">
        <v>3696000</v>
      </c>
      <c r="BX304" s="23"/>
      <c r="BY304" s="23">
        <v>3696000</v>
      </c>
      <c r="BZ304" s="23"/>
      <c r="CA304" s="23">
        <v>3696000</v>
      </c>
      <c r="CB304" s="23"/>
      <c r="CC304" s="23">
        <v>3696000</v>
      </c>
      <c r="CD304" s="23"/>
      <c r="CE304" s="23">
        <v>7392000</v>
      </c>
      <c r="CF304" s="28"/>
      <c r="CG304" s="28"/>
      <c r="CH304" s="25">
        <f t="shared" ref="CH304:CI304" si="596">BH304+BJ304+BL304+BN304+BP304+BR304+BT304+BV304+BX304+BZ304+CB304+CD304+CF304</f>
        <v>42504000</v>
      </c>
      <c r="CI304" s="25">
        <f t="shared" si="596"/>
        <v>42504000</v>
      </c>
      <c r="CJ304" s="26">
        <f t="shared" si="518"/>
        <v>0</v>
      </c>
      <c r="CK304" s="26">
        <f t="shared" si="519"/>
        <v>0</v>
      </c>
    </row>
    <row r="305" spans="1:89" ht="90" customHeight="1" x14ac:dyDescent="0.3">
      <c r="A305" s="13" t="s">
        <v>248</v>
      </c>
      <c r="B305" s="14" t="s">
        <v>27</v>
      </c>
      <c r="C305" s="15" t="s">
        <v>427</v>
      </c>
      <c r="D305" s="14" t="s">
        <v>68</v>
      </c>
      <c r="E305" s="13" t="s">
        <v>250</v>
      </c>
      <c r="F305" s="13" t="s">
        <v>250</v>
      </c>
      <c r="G305" s="14">
        <v>68</v>
      </c>
      <c r="H305" s="13" t="s">
        <v>948</v>
      </c>
      <c r="I305" s="15" t="s">
        <v>479</v>
      </c>
      <c r="J305" s="14" t="s">
        <v>28</v>
      </c>
      <c r="K305" s="15" t="s">
        <v>108</v>
      </c>
      <c r="L305" s="14">
        <v>80111620</v>
      </c>
      <c r="M305" s="14" t="s">
        <v>29</v>
      </c>
      <c r="N305" s="14" t="s">
        <v>253</v>
      </c>
      <c r="O305" s="15" t="s">
        <v>949</v>
      </c>
      <c r="P305" s="14" t="s">
        <v>255</v>
      </c>
      <c r="Q305" s="14" t="s">
        <v>255</v>
      </c>
      <c r="R305" s="14" t="s">
        <v>255</v>
      </c>
      <c r="S305" s="17">
        <v>11.5</v>
      </c>
      <c r="T305" s="14" t="s">
        <v>256</v>
      </c>
      <c r="U305" s="14" t="s">
        <v>257</v>
      </c>
      <c r="V305" s="14" t="s">
        <v>112</v>
      </c>
      <c r="W305" s="18">
        <v>62445000</v>
      </c>
      <c r="X305" s="18">
        <v>62445000</v>
      </c>
      <c r="Y305" s="19" t="s">
        <v>339</v>
      </c>
      <c r="Z305" s="19" t="s">
        <v>258</v>
      </c>
      <c r="AA305" s="19" t="s">
        <v>880</v>
      </c>
      <c r="AB305" s="14" t="s">
        <v>881</v>
      </c>
      <c r="AC305" s="14">
        <v>6012220601</v>
      </c>
      <c r="AD305" s="33" t="s">
        <v>311</v>
      </c>
      <c r="AE305" s="82">
        <v>62445000</v>
      </c>
      <c r="AF305" s="82">
        <v>0</v>
      </c>
      <c r="AG305" s="82">
        <v>0</v>
      </c>
      <c r="AH305" s="82">
        <v>2715000</v>
      </c>
      <c r="AI305" s="82">
        <v>0</v>
      </c>
      <c r="AJ305" s="82">
        <v>5430000</v>
      </c>
      <c r="AK305" s="82">
        <v>0</v>
      </c>
      <c r="AL305" s="82">
        <v>5430000</v>
      </c>
      <c r="AM305" s="82">
        <v>0</v>
      </c>
      <c r="AN305" s="82">
        <v>5430000</v>
      </c>
      <c r="AO305" s="82">
        <v>0</v>
      </c>
      <c r="AP305" s="82">
        <v>5430000</v>
      </c>
      <c r="AQ305" s="82">
        <v>0</v>
      </c>
      <c r="AR305" s="82">
        <v>5430000</v>
      </c>
      <c r="AS305" s="82">
        <v>0</v>
      </c>
      <c r="AT305" s="82">
        <v>5430000</v>
      </c>
      <c r="AU305" s="82">
        <v>0</v>
      </c>
      <c r="AV305" s="82">
        <v>5430000</v>
      </c>
      <c r="AW305" s="82">
        <v>0</v>
      </c>
      <c r="AX305" s="82">
        <v>5430000</v>
      </c>
      <c r="AY305" s="82">
        <v>0</v>
      </c>
      <c r="AZ305" s="82">
        <v>5430000</v>
      </c>
      <c r="BA305" s="82">
        <v>0</v>
      </c>
      <c r="BB305" s="82">
        <v>10860000</v>
      </c>
      <c r="BC305" s="82">
        <f t="shared" ref="BC305:BD305" si="597">AE305+AG305+AI305+AK305+AM305+AO305+AQ305+AS305+AU305+AW305+AY305+BA305</f>
        <v>62445000</v>
      </c>
      <c r="BD305" s="82">
        <f t="shared" si="597"/>
        <v>62445000</v>
      </c>
      <c r="BE305" s="83">
        <f t="shared" si="538"/>
        <v>0</v>
      </c>
      <c r="BF305" s="83">
        <f t="shared" si="539"/>
        <v>0</v>
      </c>
      <c r="BG305" s="14" t="str">
        <f ca="1">IFERROR(__xludf.DUMMYFUNCTION("REGEXEXTRACT(O299,""^\S+\s(.+)$"")"),"Prestar los servicios profesionales para realizar y apoyar las diferentes actividades que fortalezcan la gestión del conocimiento por medio de la implementación de las políticas del Modelo Integrado de Planeación y Gestión MIPG y la política de Gestión de"&amp;"l Talento Humano, en especial el programa de capacitación del Sistema de Gestión de Seguridad y Salud en el Trabajo de la UPME.")</f>
        <v>Prestar los servicios profesionales para realizar y apoyar las diferentes actividades que fortalezcan la gestión del conocimiento por medio de la implementación de las políticas del Modelo Integrado de Planeación y Gestión MIPG y la política de Gestión del Talento Humano, en especial el programa de capacitación del Sistema de Gestión de Seguridad y Salud en el Trabajo de la UPME.</v>
      </c>
      <c r="BH305" s="23">
        <v>62445000</v>
      </c>
      <c r="BI305" s="23"/>
      <c r="BJ305" s="23"/>
      <c r="BK305" s="23">
        <v>2715000</v>
      </c>
      <c r="BL305" s="23"/>
      <c r="BM305" s="23">
        <v>5430000</v>
      </c>
      <c r="BN305" s="23"/>
      <c r="BO305" s="23">
        <v>5430000</v>
      </c>
      <c r="BP305" s="23"/>
      <c r="BQ305" s="23">
        <v>5430000</v>
      </c>
      <c r="BR305" s="23"/>
      <c r="BS305" s="23">
        <v>5430000</v>
      </c>
      <c r="BT305" s="23"/>
      <c r="BU305" s="23">
        <v>5430000</v>
      </c>
      <c r="BV305" s="23"/>
      <c r="BW305" s="23">
        <v>5430000</v>
      </c>
      <c r="BX305" s="23"/>
      <c r="BY305" s="23">
        <v>5430000</v>
      </c>
      <c r="BZ305" s="23"/>
      <c r="CA305" s="23">
        <v>5430000</v>
      </c>
      <c r="CB305" s="23"/>
      <c r="CC305" s="23">
        <v>5430000</v>
      </c>
      <c r="CD305" s="23"/>
      <c r="CE305" s="23">
        <v>10860000</v>
      </c>
      <c r="CF305" s="28"/>
      <c r="CG305" s="28"/>
      <c r="CH305" s="25">
        <f t="shared" ref="CH305:CI305" si="598">BH305+BJ305+BL305+BN305+BP305+BR305+BT305+BV305+BX305+BZ305+CB305+CD305+CF305</f>
        <v>62445000</v>
      </c>
      <c r="CI305" s="25">
        <f t="shared" si="598"/>
        <v>62445000</v>
      </c>
      <c r="CJ305" s="26">
        <f t="shared" si="518"/>
        <v>0</v>
      </c>
      <c r="CK305" s="26">
        <f t="shared" si="519"/>
        <v>0</v>
      </c>
    </row>
    <row r="306" spans="1:89" ht="90" customHeight="1" x14ac:dyDescent="0.3">
      <c r="A306" s="13" t="s">
        <v>248</v>
      </c>
      <c r="B306" s="14" t="s">
        <v>27</v>
      </c>
      <c r="C306" s="15" t="s">
        <v>427</v>
      </c>
      <c r="D306" s="14" t="s">
        <v>68</v>
      </c>
      <c r="E306" s="13" t="s">
        <v>250</v>
      </c>
      <c r="F306" s="13" t="s">
        <v>250</v>
      </c>
      <c r="G306" s="14">
        <v>6</v>
      </c>
      <c r="H306" s="13" t="s">
        <v>950</v>
      </c>
      <c r="I306" s="15" t="s">
        <v>479</v>
      </c>
      <c r="J306" s="14" t="s">
        <v>28</v>
      </c>
      <c r="K306" s="15" t="s">
        <v>108</v>
      </c>
      <c r="L306" s="14">
        <v>80111620</v>
      </c>
      <c r="M306" s="14" t="s">
        <v>29</v>
      </c>
      <c r="N306" s="14" t="s">
        <v>951</v>
      </c>
      <c r="O306" s="15" t="s">
        <v>952</v>
      </c>
      <c r="P306" s="14" t="s">
        <v>255</v>
      </c>
      <c r="Q306" s="14" t="s">
        <v>255</v>
      </c>
      <c r="R306" s="14" t="s">
        <v>255</v>
      </c>
      <c r="S306" s="17">
        <v>11.5</v>
      </c>
      <c r="T306" s="14" t="s">
        <v>256</v>
      </c>
      <c r="U306" s="14" t="s">
        <v>511</v>
      </c>
      <c r="V306" s="14" t="s">
        <v>112</v>
      </c>
      <c r="W306" s="18">
        <v>150997373</v>
      </c>
      <c r="X306" s="18">
        <v>150997373</v>
      </c>
      <c r="Y306" s="19" t="s">
        <v>339</v>
      </c>
      <c r="Z306" s="19" t="s">
        <v>258</v>
      </c>
      <c r="AA306" s="19" t="s">
        <v>880</v>
      </c>
      <c r="AB306" s="14" t="s">
        <v>881</v>
      </c>
      <c r="AC306" s="14">
        <v>6012220601</v>
      </c>
      <c r="AD306" s="33" t="s">
        <v>311</v>
      </c>
      <c r="AE306" s="82">
        <v>0</v>
      </c>
      <c r="AF306" s="82">
        <v>0</v>
      </c>
      <c r="AG306" s="82">
        <v>150997373</v>
      </c>
      <c r="AH306" s="82">
        <v>0</v>
      </c>
      <c r="AI306" s="82">
        <v>0</v>
      </c>
      <c r="AJ306" s="82">
        <v>0</v>
      </c>
      <c r="AK306" s="82">
        <v>0</v>
      </c>
      <c r="AL306" s="82">
        <v>37749343</v>
      </c>
      <c r="AM306" s="82">
        <v>0</v>
      </c>
      <c r="AN306" s="82">
        <v>0</v>
      </c>
      <c r="AO306" s="82">
        <v>0</v>
      </c>
      <c r="AP306" s="82">
        <v>0</v>
      </c>
      <c r="AQ306" s="82">
        <v>0</v>
      </c>
      <c r="AR306" s="82">
        <v>37749343</v>
      </c>
      <c r="AS306" s="82">
        <v>0</v>
      </c>
      <c r="AT306" s="82">
        <v>0</v>
      </c>
      <c r="AU306" s="82">
        <v>0</v>
      </c>
      <c r="AV306" s="82">
        <v>0</v>
      </c>
      <c r="AW306" s="82">
        <v>0</v>
      </c>
      <c r="AX306" s="82">
        <v>37749343</v>
      </c>
      <c r="AY306" s="82">
        <v>0</v>
      </c>
      <c r="AZ306" s="82">
        <v>0</v>
      </c>
      <c r="BA306" s="82">
        <v>0</v>
      </c>
      <c r="BB306" s="82">
        <v>37749344</v>
      </c>
      <c r="BC306" s="82">
        <f t="shared" ref="BC306:BD306" si="599">AE306+AG306+AI306+AK306+AM306+AO306+AQ306+AS306+AU306+AW306+AY306+BA306</f>
        <v>150997373</v>
      </c>
      <c r="BD306" s="82">
        <f t="shared" si="599"/>
        <v>150997373</v>
      </c>
      <c r="BE306" s="83">
        <f t="shared" si="538"/>
        <v>0</v>
      </c>
      <c r="BF306" s="83">
        <f t="shared" si="539"/>
        <v>0</v>
      </c>
      <c r="BG306" s="14" t="str">
        <f ca="1">IFERROR(__xludf.DUMMYFUNCTION("REGEXEXTRACT(O300,""^\S+\s(.+)$"")"),"Contratar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306" s="23"/>
      <c r="BI306" s="23"/>
      <c r="BJ306" s="23">
        <v>150997373</v>
      </c>
      <c r="BK306" s="23"/>
      <c r="BL306" s="23"/>
      <c r="BM306" s="23"/>
      <c r="BN306" s="23"/>
      <c r="BO306" s="23">
        <v>37749343</v>
      </c>
      <c r="BP306" s="23"/>
      <c r="BQ306" s="23"/>
      <c r="BR306" s="23"/>
      <c r="BS306" s="23"/>
      <c r="BT306" s="23"/>
      <c r="BU306" s="23">
        <v>37749343</v>
      </c>
      <c r="BV306" s="23"/>
      <c r="BW306" s="23"/>
      <c r="BX306" s="23"/>
      <c r="BY306" s="23"/>
      <c r="BZ306" s="23"/>
      <c r="CA306" s="23">
        <v>37749343</v>
      </c>
      <c r="CB306" s="23"/>
      <c r="CC306" s="23"/>
      <c r="CD306" s="23"/>
      <c r="CE306" s="23">
        <v>37749344</v>
      </c>
      <c r="CF306" s="28"/>
      <c r="CG306" s="28"/>
      <c r="CH306" s="25">
        <f t="shared" ref="CH306:CI306" si="600">BH306+BJ306+BL306+BN306+BP306+BR306+BT306+BV306+BX306+BZ306+CB306+CD306+CF306</f>
        <v>150997373</v>
      </c>
      <c r="CI306" s="25">
        <f t="shared" si="600"/>
        <v>150997373</v>
      </c>
      <c r="CJ306" s="26">
        <f t="shared" si="518"/>
        <v>0</v>
      </c>
      <c r="CK306" s="26">
        <f t="shared" si="519"/>
        <v>0</v>
      </c>
    </row>
    <row r="307" spans="1:89" ht="90" customHeight="1" x14ac:dyDescent="0.3">
      <c r="A307" s="13" t="s">
        <v>248</v>
      </c>
      <c r="B307" s="14" t="s">
        <v>27</v>
      </c>
      <c r="C307" s="15" t="s">
        <v>427</v>
      </c>
      <c r="D307" s="14" t="s">
        <v>68</v>
      </c>
      <c r="E307" s="13" t="s">
        <v>250</v>
      </c>
      <c r="F307" s="13" t="s">
        <v>250</v>
      </c>
      <c r="G307" s="14">
        <v>68</v>
      </c>
      <c r="H307" s="13" t="s">
        <v>953</v>
      </c>
      <c r="I307" s="15" t="s">
        <v>479</v>
      </c>
      <c r="J307" s="14" t="s">
        <v>28</v>
      </c>
      <c r="K307" s="15" t="s">
        <v>108</v>
      </c>
      <c r="L307" s="14">
        <v>80111620</v>
      </c>
      <c r="M307" s="14" t="s">
        <v>29</v>
      </c>
      <c r="N307" s="14" t="s">
        <v>253</v>
      </c>
      <c r="O307" s="15" t="s">
        <v>954</v>
      </c>
      <c r="P307" s="14" t="s">
        <v>255</v>
      </c>
      <c r="Q307" s="14" t="s">
        <v>255</v>
      </c>
      <c r="R307" s="88" t="s">
        <v>255</v>
      </c>
      <c r="S307" s="17">
        <v>3</v>
      </c>
      <c r="T307" s="14" t="s">
        <v>256</v>
      </c>
      <c r="U307" s="14" t="s">
        <v>257</v>
      </c>
      <c r="V307" s="14" t="s">
        <v>112</v>
      </c>
      <c r="W307" s="18">
        <v>12000000</v>
      </c>
      <c r="X307" s="18">
        <v>12000000</v>
      </c>
      <c r="Y307" s="19" t="s">
        <v>339</v>
      </c>
      <c r="Z307" s="19" t="s">
        <v>258</v>
      </c>
      <c r="AA307" s="19" t="s">
        <v>880</v>
      </c>
      <c r="AB307" s="14" t="s">
        <v>881</v>
      </c>
      <c r="AC307" s="14">
        <v>6012220601</v>
      </c>
      <c r="AD307" s="33" t="s">
        <v>311</v>
      </c>
      <c r="AE307" s="82">
        <v>0</v>
      </c>
      <c r="AF307" s="82">
        <v>0</v>
      </c>
      <c r="AG307" s="82">
        <v>0</v>
      </c>
      <c r="AH307" s="82">
        <v>0</v>
      </c>
      <c r="AI307" s="82">
        <v>0</v>
      </c>
      <c r="AJ307" s="82">
        <v>0</v>
      </c>
      <c r="AK307" s="82">
        <v>0</v>
      </c>
      <c r="AL307" s="82">
        <v>0</v>
      </c>
      <c r="AM307" s="82">
        <v>0</v>
      </c>
      <c r="AN307" s="82">
        <v>0</v>
      </c>
      <c r="AO307" s="82">
        <v>0</v>
      </c>
      <c r="AP307" s="82">
        <v>0</v>
      </c>
      <c r="AQ307" s="82">
        <v>12000000</v>
      </c>
      <c r="AR307" s="82">
        <v>0</v>
      </c>
      <c r="AS307" s="82">
        <v>0</v>
      </c>
      <c r="AT307" s="82">
        <v>0</v>
      </c>
      <c r="AU307" s="82">
        <v>0</v>
      </c>
      <c r="AV307" s="82">
        <v>12000000</v>
      </c>
      <c r="AW307" s="82">
        <v>0</v>
      </c>
      <c r="AX307" s="82">
        <v>0</v>
      </c>
      <c r="AY307" s="82">
        <v>0</v>
      </c>
      <c r="AZ307" s="82">
        <v>0</v>
      </c>
      <c r="BA307" s="82">
        <v>0</v>
      </c>
      <c r="BB307" s="82">
        <v>0</v>
      </c>
      <c r="BC307" s="82">
        <f t="shared" ref="BC307:BD307" si="601">AE307+AG307+AI307+AK307+AM307+AO307+AQ307+AS307+AU307+AW307+AY307+BA307</f>
        <v>12000000</v>
      </c>
      <c r="BD307" s="82">
        <f t="shared" si="601"/>
        <v>12000000</v>
      </c>
      <c r="BE307" s="83">
        <f t="shared" si="538"/>
        <v>0</v>
      </c>
      <c r="BF307" s="83">
        <f t="shared" si="539"/>
        <v>0</v>
      </c>
      <c r="BG307" s="14" t="str">
        <f ca="1">IFERROR(__xludf.DUMMYFUNCTION("REGEXEXTRACT(O301,""^\S+\s(.+)$"")"),"Contratar la aplicación de la Batería de Instrumentos para la Evaluación de Factores de Riesgo Psicosocial a los servidores de la Unidad de Planeación Minero Energética – UPME, así como el desarrollo de las acciones de intervención derivadas de los result"&amp;"ados obtenidos, con el fin de promover el bienestar laboral y el mejoramiento de las condiciones psicosociales en la entidad.")</f>
        <v>Contratar la aplicación de la Batería de Instrumentos para la Evaluación de Factores de Riesgo Psicosocial a los servidores de la Unidad de Planeación Minero Energética – UPME, así como el desarrollo de las acciones de intervención derivadas de los resultados obtenidos, con el fin de promover el bienestar laboral y el mejoramiento de las condiciones psicosociales en la entidad.</v>
      </c>
      <c r="BH307" s="23"/>
      <c r="BI307" s="23"/>
      <c r="BJ307" s="23"/>
      <c r="BK307" s="23"/>
      <c r="BL307" s="23"/>
      <c r="BM307" s="23"/>
      <c r="BN307" s="23"/>
      <c r="BO307" s="23"/>
      <c r="BP307" s="23"/>
      <c r="BQ307" s="23"/>
      <c r="BR307" s="23"/>
      <c r="BS307" s="23"/>
      <c r="BT307" s="23">
        <v>12000000</v>
      </c>
      <c r="BU307" s="23"/>
      <c r="BV307" s="23"/>
      <c r="BW307" s="23"/>
      <c r="BX307" s="23"/>
      <c r="BY307" s="23">
        <v>12000000</v>
      </c>
      <c r="BZ307" s="23"/>
      <c r="CA307" s="23"/>
      <c r="CB307" s="23"/>
      <c r="CC307" s="23"/>
      <c r="CD307" s="23"/>
      <c r="CE307" s="23"/>
      <c r="CF307" s="28"/>
      <c r="CG307" s="28"/>
      <c r="CH307" s="25">
        <f t="shared" ref="CH307:CI307" si="602">BH307+BJ307+BL307+BN307+BP307+BR307+BT307+BV307+BX307+BZ307+CB307+CD307+CF307</f>
        <v>12000000</v>
      </c>
      <c r="CI307" s="25">
        <f t="shared" si="602"/>
        <v>12000000</v>
      </c>
      <c r="CJ307" s="26">
        <f t="shared" si="518"/>
        <v>0</v>
      </c>
      <c r="CK307" s="26">
        <f t="shared" si="519"/>
        <v>0</v>
      </c>
    </row>
    <row r="308" spans="1:89" ht="90" customHeight="1" x14ac:dyDescent="0.3">
      <c r="A308" s="13" t="s">
        <v>248</v>
      </c>
      <c r="B308" s="14" t="s">
        <v>27</v>
      </c>
      <c r="C308" s="15" t="s">
        <v>427</v>
      </c>
      <c r="D308" s="14" t="s">
        <v>68</v>
      </c>
      <c r="E308" s="13" t="s">
        <v>250</v>
      </c>
      <c r="F308" s="13" t="s">
        <v>250</v>
      </c>
      <c r="G308" s="14">
        <v>68</v>
      </c>
      <c r="H308" s="13" t="s">
        <v>955</v>
      </c>
      <c r="I308" s="15" t="s">
        <v>479</v>
      </c>
      <c r="J308" s="14" t="s">
        <v>28</v>
      </c>
      <c r="K308" s="15" t="s">
        <v>108</v>
      </c>
      <c r="L308" s="14">
        <v>80111620</v>
      </c>
      <c r="M308" s="14" t="s">
        <v>29</v>
      </c>
      <c r="N308" s="14" t="s">
        <v>253</v>
      </c>
      <c r="O308" s="87" t="s">
        <v>956</v>
      </c>
      <c r="P308" s="14" t="s">
        <v>255</v>
      </c>
      <c r="Q308" s="14" t="s">
        <v>255</v>
      </c>
      <c r="R308" s="14" t="s">
        <v>255</v>
      </c>
      <c r="S308" s="17">
        <v>11</v>
      </c>
      <c r="T308" s="14" t="s">
        <v>256</v>
      </c>
      <c r="U308" s="14" t="s">
        <v>257</v>
      </c>
      <c r="V308" s="14" t="s">
        <v>112</v>
      </c>
      <c r="W308" s="18">
        <v>27864000</v>
      </c>
      <c r="X308" s="18">
        <v>27864000</v>
      </c>
      <c r="Y308" s="19" t="s">
        <v>339</v>
      </c>
      <c r="Z308" s="19" t="s">
        <v>258</v>
      </c>
      <c r="AA308" s="19" t="s">
        <v>880</v>
      </c>
      <c r="AB308" s="14" t="s">
        <v>881</v>
      </c>
      <c r="AC308" s="14">
        <v>6012220601</v>
      </c>
      <c r="AD308" s="33" t="s">
        <v>311</v>
      </c>
      <c r="AE308" s="82">
        <v>0</v>
      </c>
      <c r="AF308" s="82">
        <v>0</v>
      </c>
      <c r="AG308" s="82">
        <v>0</v>
      </c>
      <c r="AH308" s="82">
        <v>0</v>
      </c>
      <c r="AI308" s="82">
        <v>0</v>
      </c>
      <c r="AJ308" s="82">
        <v>0</v>
      </c>
      <c r="AK308" s="82">
        <v>0</v>
      </c>
      <c r="AL308" s="82">
        <v>0</v>
      </c>
      <c r="AM308" s="82">
        <v>0</v>
      </c>
      <c r="AN308" s="82">
        <v>0</v>
      </c>
      <c r="AO308" s="82">
        <v>0</v>
      </c>
      <c r="AP308" s="82">
        <v>0</v>
      </c>
      <c r="AQ308" s="82">
        <v>0</v>
      </c>
      <c r="AR308" s="82">
        <v>0</v>
      </c>
      <c r="AS308" s="82">
        <v>27864000</v>
      </c>
      <c r="AT308" s="82">
        <v>5572800</v>
      </c>
      <c r="AU308" s="82">
        <v>0</v>
      </c>
      <c r="AV308" s="82">
        <v>5572800</v>
      </c>
      <c r="AW308" s="82">
        <v>0</v>
      </c>
      <c r="AX308" s="82">
        <v>5572800</v>
      </c>
      <c r="AY308" s="82">
        <v>0</v>
      </c>
      <c r="AZ308" s="82">
        <v>5572800</v>
      </c>
      <c r="BA308" s="82">
        <v>0</v>
      </c>
      <c r="BB308" s="82">
        <v>5572800</v>
      </c>
      <c r="BC308" s="82">
        <f t="shared" ref="BC308:BD308" si="603">AE308+AG308+AI308+AK308+AM308+AO308+AQ308+AS308+AU308+AW308+AY308+BA308</f>
        <v>27864000</v>
      </c>
      <c r="BD308" s="82">
        <f t="shared" si="603"/>
        <v>27864000</v>
      </c>
      <c r="BE308" s="83">
        <f t="shared" si="538"/>
        <v>0</v>
      </c>
      <c r="BF308" s="83">
        <f t="shared" si="539"/>
        <v>0</v>
      </c>
      <c r="BG308" s="14" t="str">
        <f ca="1">IFERROR(__xludf.DUMMYFUNCTION("REGEXEXTRACT(O302,""^\S+\s(.+)$"")"),"Prestación de servicios profesionales especializados para apoyar el fortalecimiento de competencias técnicas para la planeación institucional y la configuración de entornos de aprendizaje e intercambio asociados a las prácticas y a la información sectoria"&amp;"l de la UPME")</f>
        <v>Prestación de servicios profesionales especializados para apoyar el fortalecimiento de competencias técnicas para la planeación institucional y la configuración de entornos de aprendizaje e intercambio asociados a las prácticas y a la información sectorial de la UPME</v>
      </c>
      <c r="BH308" s="23"/>
      <c r="BI308" s="23"/>
      <c r="BJ308" s="23"/>
      <c r="BK308" s="23"/>
      <c r="BL308" s="23"/>
      <c r="BM308" s="23"/>
      <c r="BN308" s="23"/>
      <c r="BO308" s="23"/>
      <c r="BP308" s="23"/>
      <c r="BQ308" s="23"/>
      <c r="BR308" s="23"/>
      <c r="BS308" s="23"/>
      <c r="BT308" s="23"/>
      <c r="BU308" s="23"/>
      <c r="BV308" s="23">
        <v>27864000</v>
      </c>
      <c r="BW308" s="23">
        <v>5572800</v>
      </c>
      <c r="BX308" s="23"/>
      <c r="BY308" s="23">
        <v>5572800</v>
      </c>
      <c r="BZ308" s="23"/>
      <c r="CA308" s="23">
        <v>5572800</v>
      </c>
      <c r="CB308" s="23"/>
      <c r="CC308" s="23">
        <v>5572800</v>
      </c>
      <c r="CD308" s="23"/>
      <c r="CE308" s="23">
        <v>5572800</v>
      </c>
      <c r="CF308" s="28"/>
      <c r="CG308" s="28"/>
      <c r="CH308" s="25">
        <f t="shared" ref="CH308:CI308" si="604">BH308+BJ308+BL308+BN308+BP308+BR308+BT308+BV308+BX308+BZ308+CB308+CD308+CF308</f>
        <v>27864000</v>
      </c>
      <c r="CI308" s="25">
        <f t="shared" si="604"/>
        <v>27864000</v>
      </c>
      <c r="CJ308" s="26">
        <f t="shared" si="518"/>
        <v>0</v>
      </c>
      <c r="CK308" s="26">
        <f t="shared" si="519"/>
        <v>0</v>
      </c>
    </row>
    <row r="309" spans="1:89" ht="90" customHeight="1" x14ac:dyDescent="0.3">
      <c r="A309" s="13" t="s">
        <v>248</v>
      </c>
      <c r="B309" s="14" t="s">
        <v>27</v>
      </c>
      <c r="C309" s="15" t="s">
        <v>427</v>
      </c>
      <c r="D309" s="14" t="s">
        <v>68</v>
      </c>
      <c r="E309" s="13" t="s">
        <v>250</v>
      </c>
      <c r="F309" s="13" t="s">
        <v>250</v>
      </c>
      <c r="G309" s="14">
        <v>3</v>
      </c>
      <c r="H309" s="13" t="s">
        <v>957</v>
      </c>
      <c r="I309" s="15" t="s">
        <v>479</v>
      </c>
      <c r="J309" s="14" t="s">
        <v>28</v>
      </c>
      <c r="K309" s="15" t="s">
        <v>107</v>
      </c>
      <c r="L309" s="14">
        <v>80111620</v>
      </c>
      <c r="M309" s="14" t="s">
        <v>29</v>
      </c>
      <c r="N309" s="14" t="s">
        <v>253</v>
      </c>
      <c r="O309" s="15" t="s">
        <v>958</v>
      </c>
      <c r="P309" s="14" t="s">
        <v>255</v>
      </c>
      <c r="Q309" s="14" t="s">
        <v>255</v>
      </c>
      <c r="R309" s="14" t="s">
        <v>255</v>
      </c>
      <c r="S309" s="17">
        <v>8.5</v>
      </c>
      <c r="T309" s="14" t="s">
        <v>256</v>
      </c>
      <c r="U309" s="14" t="s">
        <v>257</v>
      </c>
      <c r="V309" s="14" t="s">
        <v>113</v>
      </c>
      <c r="W309" s="18">
        <v>34100000</v>
      </c>
      <c r="X309" s="18">
        <v>34100000</v>
      </c>
      <c r="Y309" s="19" t="s">
        <v>339</v>
      </c>
      <c r="Z309" s="19" t="s">
        <v>258</v>
      </c>
      <c r="AA309" s="19" t="s">
        <v>293</v>
      </c>
      <c r="AB309" s="14" t="s">
        <v>903</v>
      </c>
      <c r="AC309" s="14">
        <v>6012220601</v>
      </c>
      <c r="AD309" s="14" t="s">
        <v>294</v>
      </c>
      <c r="AE309" s="82">
        <v>34100000</v>
      </c>
      <c r="AF309" s="82">
        <v>0</v>
      </c>
      <c r="AG309" s="82">
        <v>0</v>
      </c>
      <c r="AH309" s="82">
        <v>0</v>
      </c>
      <c r="AI309" s="82">
        <v>0</v>
      </c>
      <c r="AJ309" s="82">
        <v>7200000</v>
      </c>
      <c r="AK309" s="82">
        <v>0</v>
      </c>
      <c r="AL309" s="82">
        <v>7200000</v>
      </c>
      <c r="AM309" s="82">
        <v>0</v>
      </c>
      <c r="AN309" s="82">
        <v>7200000</v>
      </c>
      <c r="AO309" s="82">
        <v>0</v>
      </c>
      <c r="AP309" s="82">
        <v>7200000</v>
      </c>
      <c r="AQ309" s="82">
        <v>0</v>
      </c>
      <c r="AR309" s="82">
        <v>5300000</v>
      </c>
      <c r="AS309" s="82">
        <v>0</v>
      </c>
      <c r="AT309" s="82">
        <v>0</v>
      </c>
      <c r="AU309" s="82">
        <v>0</v>
      </c>
      <c r="AV309" s="82">
        <v>0</v>
      </c>
      <c r="AW309" s="82">
        <v>0</v>
      </c>
      <c r="AX309" s="82">
        <v>0</v>
      </c>
      <c r="AY309" s="82">
        <v>0</v>
      </c>
      <c r="AZ309" s="82">
        <v>0</v>
      </c>
      <c r="BA309" s="82">
        <v>0</v>
      </c>
      <c r="BB309" s="82">
        <v>0</v>
      </c>
      <c r="BC309" s="82">
        <f t="shared" ref="BC309:BD309" si="605">AE309+AG309+AI309+AK309+AM309+AO309+AQ309+AS309+AU309+AW309+AY309+BA309</f>
        <v>34100000</v>
      </c>
      <c r="BD309" s="82">
        <f t="shared" si="605"/>
        <v>34100000</v>
      </c>
      <c r="BE309" s="83">
        <f t="shared" si="538"/>
        <v>0</v>
      </c>
      <c r="BF309" s="83">
        <f t="shared" si="539"/>
        <v>0</v>
      </c>
      <c r="BG309" s="14" t="str">
        <f ca="1">IFERROR(__xludf.DUMMYFUNCTION("REGEXEXTRACT(O303,""^\S+\s(.+)$"")"),"Prestar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309" s="23">
        <v>34100000</v>
      </c>
      <c r="BI309" s="23"/>
      <c r="BJ309" s="23"/>
      <c r="BK309" s="23"/>
      <c r="BL309" s="23"/>
      <c r="BM309" s="23">
        <v>7200000</v>
      </c>
      <c r="BN309" s="23"/>
      <c r="BO309" s="23">
        <v>7200000</v>
      </c>
      <c r="BP309" s="23"/>
      <c r="BQ309" s="23">
        <v>7200000</v>
      </c>
      <c r="BR309" s="23"/>
      <c r="BS309" s="23">
        <v>7200000</v>
      </c>
      <c r="BT309" s="23"/>
      <c r="BU309" s="23">
        <v>5300000</v>
      </c>
      <c r="BV309" s="23"/>
      <c r="BW309" s="23"/>
      <c r="BX309" s="23"/>
      <c r="BY309" s="23"/>
      <c r="BZ309" s="23"/>
      <c r="CA309" s="23"/>
      <c r="CB309" s="23"/>
      <c r="CC309" s="23"/>
      <c r="CD309" s="23"/>
      <c r="CE309" s="23"/>
      <c r="CF309" s="28"/>
      <c r="CG309" s="28"/>
      <c r="CH309" s="25">
        <f t="shared" ref="CH309:CI309" si="606">BH309+BJ309+BL309+BN309+BP309+BR309+BT309+BV309+BX309+BZ309+CB309+CD309+CF309</f>
        <v>34100000</v>
      </c>
      <c r="CI309" s="25">
        <f t="shared" si="606"/>
        <v>34100000</v>
      </c>
      <c r="CJ309" s="26">
        <f t="shared" si="518"/>
        <v>0</v>
      </c>
      <c r="CK309" s="26">
        <f t="shared" si="519"/>
        <v>0</v>
      </c>
    </row>
    <row r="310" spans="1:89" ht="90" customHeight="1" x14ac:dyDescent="0.3">
      <c r="A310" s="13" t="s">
        <v>248</v>
      </c>
      <c r="B310" s="14" t="s">
        <v>27</v>
      </c>
      <c r="C310" s="15" t="s">
        <v>427</v>
      </c>
      <c r="D310" s="14" t="s">
        <v>68</v>
      </c>
      <c r="E310" s="13" t="s">
        <v>250</v>
      </c>
      <c r="F310" s="13" t="s">
        <v>250</v>
      </c>
      <c r="G310" s="14">
        <v>3</v>
      </c>
      <c r="H310" s="13" t="s">
        <v>959</v>
      </c>
      <c r="I310" s="15" t="s">
        <v>479</v>
      </c>
      <c r="J310" s="14" t="s">
        <v>4</v>
      </c>
      <c r="K310" s="15" t="s">
        <v>105</v>
      </c>
      <c r="L310" s="14">
        <v>80111620</v>
      </c>
      <c r="M310" s="14" t="s">
        <v>11</v>
      </c>
      <c r="N310" s="14" t="s">
        <v>253</v>
      </c>
      <c r="O310" s="15" t="s">
        <v>960</v>
      </c>
      <c r="P310" s="14" t="s">
        <v>255</v>
      </c>
      <c r="Q310" s="14" t="s">
        <v>255</v>
      </c>
      <c r="R310" s="14" t="s">
        <v>255</v>
      </c>
      <c r="S310" s="17">
        <v>8.5</v>
      </c>
      <c r="T310" s="14" t="s">
        <v>256</v>
      </c>
      <c r="U310" s="14" t="s">
        <v>257</v>
      </c>
      <c r="V310" s="14" t="s">
        <v>112</v>
      </c>
      <c r="W310" s="18">
        <v>27100000</v>
      </c>
      <c r="X310" s="18">
        <v>27100000</v>
      </c>
      <c r="Y310" s="19" t="s">
        <v>339</v>
      </c>
      <c r="Z310" s="19" t="s">
        <v>258</v>
      </c>
      <c r="AA310" s="19" t="s">
        <v>293</v>
      </c>
      <c r="AB310" s="14" t="s">
        <v>903</v>
      </c>
      <c r="AC310" s="14">
        <v>6012220601</v>
      </c>
      <c r="AD310" s="14" t="s">
        <v>294</v>
      </c>
      <c r="AE310" s="82">
        <v>27100000</v>
      </c>
      <c r="AF310" s="82">
        <v>0</v>
      </c>
      <c r="AG310" s="82">
        <v>0</v>
      </c>
      <c r="AH310" s="82">
        <v>0</v>
      </c>
      <c r="AI310" s="82">
        <v>0</v>
      </c>
      <c r="AJ310" s="82">
        <v>0</v>
      </c>
      <c r="AK310" s="82">
        <v>0</v>
      </c>
      <c r="AL310" s="82">
        <v>0</v>
      </c>
      <c r="AM310" s="82">
        <v>0</v>
      </c>
      <c r="AN310" s="82">
        <v>0</v>
      </c>
      <c r="AO310" s="82">
        <v>0</v>
      </c>
      <c r="AP310" s="82">
        <v>0</v>
      </c>
      <c r="AQ310" s="82">
        <v>0</v>
      </c>
      <c r="AR310" s="82">
        <v>1900000</v>
      </c>
      <c r="AS310" s="82">
        <v>0</v>
      </c>
      <c r="AT310" s="82">
        <v>7200000</v>
      </c>
      <c r="AU310" s="82">
        <v>0</v>
      </c>
      <c r="AV310" s="82">
        <v>7200000</v>
      </c>
      <c r="AW310" s="82">
        <v>0</v>
      </c>
      <c r="AX310" s="82">
        <v>7200000</v>
      </c>
      <c r="AY310" s="82">
        <v>0</v>
      </c>
      <c r="AZ310" s="82">
        <v>3600000</v>
      </c>
      <c r="BA310" s="82">
        <v>0</v>
      </c>
      <c r="BB310" s="82">
        <v>0</v>
      </c>
      <c r="BC310" s="82">
        <f t="shared" ref="BC310:BD310" si="607">AE310+AG310+AI310+AK310+AM310+AO310+AQ310+AS310+AU310+AW310+AY310+BA310</f>
        <v>27100000</v>
      </c>
      <c r="BD310" s="82">
        <f t="shared" si="607"/>
        <v>27100000</v>
      </c>
      <c r="BE310" s="83">
        <f t="shared" si="538"/>
        <v>0</v>
      </c>
      <c r="BF310" s="83">
        <f t="shared" si="539"/>
        <v>0</v>
      </c>
      <c r="BG310" s="14" t="str">
        <f ca="1">IFERROR(__xludf.DUMMYFUNCTION("REGEXEXTRACT(O304,""^\S+\s(.+)$"")"),"Prestar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310" s="23">
        <v>27100000</v>
      </c>
      <c r="BI310" s="23"/>
      <c r="BJ310" s="23"/>
      <c r="BK310" s="23"/>
      <c r="BL310" s="23"/>
      <c r="BM310" s="23"/>
      <c r="BN310" s="23"/>
      <c r="BO310" s="23"/>
      <c r="BP310" s="23"/>
      <c r="BQ310" s="23"/>
      <c r="BR310" s="23"/>
      <c r="BS310" s="23"/>
      <c r="BT310" s="23"/>
      <c r="BU310" s="23">
        <v>1900000</v>
      </c>
      <c r="BV310" s="23"/>
      <c r="BW310" s="23">
        <v>7200000</v>
      </c>
      <c r="BX310" s="23"/>
      <c r="BY310" s="23">
        <v>7200000</v>
      </c>
      <c r="BZ310" s="23"/>
      <c r="CA310" s="23">
        <v>7200000</v>
      </c>
      <c r="CB310" s="23"/>
      <c r="CC310" s="23">
        <v>3600000</v>
      </c>
      <c r="CD310" s="23"/>
      <c r="CE310" s="23"/>
      <c r="CF310" s="28"/>
      <c r="CG310" s="28"/>
      <c r="CH310" s="25">
        <f t="shared" ref="CH310:CI310" si="608">BH310+BJ310+BL310+BN310+BP310+BR310+BT310+BV310+BX310+BZ310+CB310+CD310+CF310</f>
        <v>27100000</v>
      </c>
      <c r="CI310" s="25">
        <f t="shared" si="608"/>
        <v>27100000</v>
      </c>
      <c r="CJ310" s="26">
        <f t="shared" si="518"/>
        <v>0</v>
      </c>
      <c r="CK310" s="26">
        <f t="shared" si="519"/>
        <v>0</v>
      </c>
    </row>
    <row r="311" spans="1:89" ht="90" customHeight="1" x14ac:dyDescent="0.3">
      <c r="A311" s="13" t="s">
        <v>248</v>
      </c>
      <c r="B311" s="14" t="s">
        <v>27</v>
      </c>
      <c r="C311" s="15" t="s">
        <v>427</v>
      </c>
      <c r="D311" s="14" t="s">
        <v>68</v>
      </c>
      <c r="E311" s="13" t="s">
        <v>250</v>
      </c>
      <c r="F311" s="13" t="s">
        <v>250</v>
      </c>
      <c r="G311" s="14">
        <v>5</v>
      </c>
      <c r="H311" s="13" t="s">
        <v>961</v>
      </c>
      <c r="I311" s="15" t="s">
        <v>479</v>
      </c>
      <c r="J311" s="14" t="s">
        <v>4</v>
      </c>
      <c r="K311" s="15" t="s">
        <v>105</v>
      </c>
      <c r="L311" s="14">
        <v>80111620</v>
      </c>
      <c r="M311" s="14" t="s">
        <v>11</v>
      </c>
      <c r="N311" s="14" t="s">
        <v>253</v>
      </c>
      <c r="O311" s="15" t="s">
        <v>962</v>
      </c>
      <c r="P311" s="14" t="s">
        <v>255</v>
      </c>
      <c r="Q311" s="14" t="s">
        <v>255</v>
      </c>
      <c r="R311" s="14" t="s">
        <v>255</v>
      </c>
      <c r="S311" s="17">
        <v>6</v>
      </c>
      <c r="T311" s="14" t="s">
        <v>256</v>
      </c>
      <c r="U311" s="14" t="s">
        <v>257</v>
      </c>
      <c r="V311" s="14" t="s">
        <v>112</v>
      </c>
      <c r="W311" s="18">
        <v>31000000</v>
      </c>
      <c r="X311" s="18">
        <v>31000000</v>
      </c>
      <c r="Y311" s="19" t="s">
        <v>339</v>
      </c>
      <c r="Z311" s="19" t="s">
        <v>258</v>
      </c>
      <c r="AA311" s="19" t="s">
        <v>880</v>
      </c>
      <c r="AB311" s="14" t="s">
        <v>881</v>
      </c>
      <c r="AC311" s="14">
        <v>6012220601</v>
      </c>
      <c r="AD311" s="33" t="s">
        <v>311</v>
      </c>
      <c r="AE311" s="82">
        <v>0</v>
      </c>
      <c r="AF311" s="82">
        <v>0</v>
      </c>
      <c r="AG311" s="82">
        <v>31000000</v>
      </c>
      <c r="AH311" s="82">
        <v>0</v>
      </c>
      <c r="AI311" s="82">
        <v>0</v>
      </c>
      <c r="AJ311" s="82">
        <v>5166600</v>
      </c>
      <c r="AK311" s="82">
        <v>0</v>
      </c>
      <c r="AL311" s="82">
        <v>5166600</v>
      </c>
      <c r="AM311" s="82">
        <v>0</v>
      </c>
      <c r="AN311" s="82">
        <v>5166600</v>
      </c>
      <c r="AO311" s="82">
        <v>0</v>
      </c>
      <c r="AP311" s="82">
        <v>5166600</v>
      </c>
      <c r="AQ311" s="82">
        <v>0</v>
      </c>
      <c r="AR311" s="82">
        <v>5166600</v>
      </c>
      <c r="AS311" s="82">
        <v>0</v>
      </c>
      <c r="AT311" s="82">
        <v>5167000</v>
      </c>
      <c r="AU311" s="82">
        <v>0</v>
      </c>
      <c r="AV311" s="82">
        <v>0</v>
      </c>
      <c r="AW311" s="82">
        <v>0</v>
      </c>
      <c r="AX311" s="82">
        <v>0</v>
      </c>
      <c r="AY311" s="82">
        <v>0</v>
      </c>
      <c r="AZ311" s="82">
        <v>0</v>
      </c>
      <c r="BA311" s="82">
        <v>0</v>
      </c>
      <c r="BB311" s="82">
        <v>0</v>
      </c>
      <c r="BC311" s="82">
        <f t="shared" ref="BC311:BD311" si="609">AE311+AG311+AI311+AK311+AM311+AO311+AQ311+AS311+AU311+AW311+AY311+BA311</f>
        <v>31000000</v>
      </c>
      <c r="BD311" s="82">
        <f t="shared" si="609"/>
        <v>31000000</v>
      </c>
      <c r="BE311" s="83">
        <f t="shared" si="538"/>
        <v>0</v>
      </c>
      <c r="BF311" s="83">
        <f t="shared" si="539"/>
        <v>0</v>
      </c>
      <c r="BG311" s="14" t="str">
        <f ca="1">IFERROR(__xludf.DUMMYFUNCTION("REGEXEXTRACT(O305,""^\S+\s(.+)$"")"),"Prestar servicios profesionales para apoyar la sustanciación de actos administrativos, respuestas a derechos de petición y circulares adelantadas en la Secretaría General de la UPME.")</f>
        <v>Prestar servicios profesionales para apoyar la sustanciación de actos administrativos, respuestas a derechos de petición y circulares adelantadas en la Secretaría General de la UPME.</v>
      </c>
      <c r="BH311" s="23"/>
      <c r="BI311" s="23"/>
      <c r="BJ311" s="23">
        <v>31000000</v>
      </c>
      <c r="BK311" s="23"/>
      <c r="BL311" s="23"/>
      <c r="BM311" s="23">
        <v>5166600</v>
      </c>
      <c r="BN311" s="23"/>
      <c r="BO311" s="23">
        <v>5166600</v>
      </c>
      <c r="BP311" s="23"/>
      <c r="BQ311" s="23">
        <v>5166600</v>
      </c>
      <c r="BR311" s="23"/>
      <c r="BS311" s="23">
        <v>5166600</v>
      </c>
      <c r="BT311" s="23"/>
      <c r="BU311" s="23">
        <v>5166600</v>
      </c>
      <c r="BV311" s="23"/>
      <c r="BW311" s="23">
        <v>5167000</v>
      </c>
      <c r="BX311" s="23"/>
      <c r="BY311" s="23"/>
      <c r="BZ311" s="23"/>
      <c r="CA311" s="23"/>
      <c r="CB311" s="23"/>
      <c r="CC311" s="23"/>
      <c r="CD311" s="23"/>
      <c r="CE311" s="23"/>
      <c r="CF311" s="28"/>
      <c r="CG311" s="28"/>
      <c r="CH311" s="25">
        <f t="shared" ref="CH311:CI311" si="610">BH311+BJ311+BL311+BN311+BP311+BR311+BT311+BV311+BX311+BZ311+CB311+CD311+CF311</f>
        <v>31000000</v>
      </c>
      <c r="CI311" s="25">
        <f t="shared" si="610"/>
        <v>31000000</v>
      </c>
      <c r="CJ311" s="26">
        <f t="shared" si="518"/>
        <v>0</v>
      </c>
      <c r="CK311" s="26">
        <f t="shared" si="519"/>
        <v>0</v>
      </c>
    </row>
    <row r="312" spans="1:89" ht="90" customHeight="1" x14ac:dyDescent="0.3">
      <c r="A312" s="13" t="s">
        <v>248</v>
      </c>
      <c r="B312" s="14" t="s">
        <v>27</v>
      </c>
      <c r="C312" s="15" t="s">
        <v>427</v>
      </c>
      <c r="D312" s="14" t="s">
        <v>68</v>
      </c>
      <c r="E312" s="13" t="s">
        <v>250</v>
      </c>
      <c r="F312" s="13" t="s">
        <v>250</v>
      </c>
      <c r="G312" s="14">
        <v>10</v>
      </c>
      <c r="H312" s="13" t="s">
        <v>963</v>
      </c>
      <c r="I312" s="15" t="s">
        <v>479</v>
      </c>
      <c r="J312" s="14" t="s">
        <v>4</v>
      </c>
      <c r="K312" s="15" t="s">
        <v>105</v>
      </c>
      <c r="L312" s="14">
        <v>80111620</v>
      </c>
      <c r="M312" s="14" t="s">
        <v>11</v>
      </c>
      <c r="N312" s="14" t="s">
        <v>253</v>
      </c>
      <c r="O312" s="15" t="s">
        <v>964</v>
      </c>
      <c r="P312" s="14" t="s">
        <v>255</v>
      </c>
      <c r="Q312" s="14" t="s">
        <v>255</v>
      </c>
      <c r="R312" s="14" t="s">
        <v>255</v>
      </c>
      <c r="S312" s="17">
        <v>10</v>
      </c>
      <c r="T312" s="14" t="s">
        <v>256</v>
      </c>
      <c r="U312" s="14" t="s">
        <v>257</v>
      </c>
      <c r="V312" s="14" t="s">
        <v>112</v>
      </c>
      <c r="W312" s="18">
        <v>50000000</v>
      </c>
      <c r="X312" s="18">
        <v>50000000</v>
      </c>
      <c r="Y312" s="19" t="s">
        <v>339</v>
      </c>
      <c r="Z312" s="19" t="s">
        <v>258</v>
      </c>
      <c r="AA312" s="19" t="s">
        <v>880</v>
      </c>
      <c r="AB312" s="14" t="s">
        <v>881</v>
      </c>
      <c r="AC312" s="14">
        <v>6012220601</v>
      </c>
      <c r="AD312" s="33" t="s">
        <v>311</v>
      </c>
      <c r="AE312" s="82">
        <v>0</v>
      </c>
      <c r="AF312" s="82">
        <v>0</v>
      </c>
      <c r="AG312" s="82">
        <v>50000000</v>
      </c>
      <c r="AH312" s="82">
        <v>0</v>
      </c>
      <c r="AI312" s="82">
        <v>0</v>
      </c>
      <c r="AJ312" s="82">
        <v>5000000</v>
      </c>
      <c r="AK312" s="82">
        <v>0</v>
      </c>
      <c r="AL312" s="82">
        <v>5000000</v>
      </c>
      <c r="AM312" s="82">
        <v>0</v>
      </c>
      <c r="AN312" s="82">
        <v>5000000</v>
      </c>
      <c r="AO312" s="82">
        <v>0</v>
      </c>
      <c r="AP312" s="82">
        <v>5000000</v>
      </c>
      <c r="AQ312" s="82">
        <v>0</v>
      </c>
      <c r="AR312" s="82">
        <v>5000000</v>
      </c>
      <c r="AS312" s="82">
        <v>0</v>
      </c>
      <c r="AT312" s="82">
        <v>5000000</v>
      </c>
      <c r="AU312" s="82">
        <v>0</v>
      </c>
      <c r="AV312" s="82">
        <v>5000000</v>
      </c>
      <c r="AW312" s="82">
        <v>0</v>
      </c>
      <c r="AX312" s="82">
        <v>5000000</v>
      </c>
      <c r="AY312" s="82">
        <v>0</v>
      </c>
      <c r="AZ312" s="82">
        <v>5000000</v>
      </c>
      <c r="BA312" s="82">
        <v>0</v>
      </c>
      <c r="BB312" s="82">
        <v>5000000</v>
      </c>
      <c r="BC312" s="82">
        <f t="shared" ref="BC312:BD312" si="611">AE312+AG312+AI312+AK312+AM312+AO312+AQ312+AS312+AU312+AW312+AY312+BA312</f>
        <v>50000000</v>
      </c>
      <c r="BD312" s="82">
        <f t="shared" si="611"/>
        <v>50000000</v>
      </c>
      <c r="BE312" s="83">
        <f t="shared" si="538"/>
        <v>0</v>
      </c>
      <c r="BF312" s="83">
        <f t="shared" si="539"/>
        <v>0</v>
      </c>
      <c r="BG312" s="14" t="str">
        <f ca="1">IFERROR(__xludf.DUMMYFUNCTION("REGEXEXTRACT(O306,""^\S+\s(.+)$"")"),"Prestar los servicios profesionales para la evaluación, validación y emisión de los conceptos técnicos y financieros de los proyectos energéticos presentados a los mecanismos y/o fondos para el acceso a recursos del sector minas y energía.")</f>
        <v>Prestar los servicios profesionales para la evaluación, validación y emisión de los conceptos técnicos y financieros de los proyectos energéticos presentados a los mecanismos y/o fondos para el acceso a recursos del sector minas y energía.</v>
      </c>
      <c r="BH312" s="23"/>
      <c r="BI312" s="23"/>
      <c r="BJ312" s="23">
        <v>50000000</v>
      </c>
      <c r="BK312" s="23"/>
      <c r="BL312" s="23"/>
      <c r="BM312" s="23">
        <v>5000000</v>
      </c>
      <c r="BN312" s="23"/>
      <c r="BO312" s="23">
        <v>5000000</v>
      </c>
      <c r="BP312" s="23"/>
      <c r="BQ312" s="23">
        <v>5000000</v>
      </c>
      <c r="BR312" s="23"/>
      <c r="BS312" s="23">
        <v>5000000</v>
      </c>
      <c r="BT312" s="23"/>
      <c r="BU312" s="23">
        <v>5000000</v>
      </c>
      <c r="BV312" s="23"/>
      <c r="BW312" s="23">
        <v>5000000</v>
      </c>
      <c r="BX312" s="23"/>
      <c r="BY312" s="23">
        <v>5000000</v>
      </c>
      <c r="BZ312" s="23"/>
      <c r="CA312" s="23">
        <v>5000000</v>
      </c>
      <c r="CB312" s="23"/>
      <c r="CC312" s="23">
        <v>5000000</v>
      </c>
      <c r="CD312" s="23"/>
      <c r="CE312" s="23">
        <v>5000000</v>
      </c>
      <c r="CF312" s="28"/>
      <c r="CG312" s="28"/>
      <c r="CH312" s="25">
        <f t="shared" ref="CH312:CI312" si="612">BH312+BJ312+BL312+BN312+BP312+BR312+BT312+BV312+BX312+BZ312+CB312+CD312+CF312</f>
        <v>50000000</v>
      </c>
      <c r="CI312" s="25">
        <f t="shared" si="612"/>
        <v>50000000</v>
      </c>
      <c r="CJ312" s="26">
        <f t="shared" si="518"/>
        <v>0</v>
      </c>
      <c r="CK312" s="26">
        <f t="shared" si="519"/>
        <v>0</v>
      </c>
    </row>
    <row r="313" spans="1:89" ht="90" customHeight="1" x14ac:dyDescent="0.3">
      <c r="A313" s="13" t="s">
        <v>248</v>
      </c>
      <c r="B313" s="14" t="s">
        <v>27</v>
      </c>
      <c r="C313" s="15" t="s">
        <v>427</v>
      </c>
      <c r="D313" s="14" t="s">
        <v>68</v>
      </c>
      <c r="E313" s="13" t="s">
        <v>250</v>
      </c>
      <c r="F313" s="13" t="s">
        <v>250</v>
      </c>
      <c r="G313" s="14">
        <v>10</v>
      </c>
      <c r="H313" s="13" t="s">
        <v>965</v>
      </c>
      <c r="I313" s="15" t="s">
        <v>479</v>
      </c>
      <c r="J313" s="14" t="s">
        <v>4</v>
      </c>
      <c r="K313" s="15" t="s">
        <v>105</v>
      </c>
      <c r="L313" s="14">
        <v>80111620</v>
      </c>
      <c r="M313" s="14" t="s">
        <v>11</v>
      </c>
      <c r="N313" s="14" t="s">
        <v>253</v>
      </c>
      <c r="O313" s="15" t="s">
        <v>966</v>
      </c>
      <c r="P313" s="14" t="s">
        <v>255</v>
      </c>
      <c r="Q313" s="14" t="s">
        <v>255</v>
      </c>
      <c r="R313" s="14" t="s">
        <v>255</v>
      </c>
      <c r="S313" s="17">
        <v>10</v>
      </c>
      <c r="T313" s="14" t="s">
        <v>256</v>
      </c>
      <c r="U313" s="14" t="s">
        <v>257</v>
      </c>
      <c r="V313" s="14" t="s">
        <v>112</v>
      </c>
      <c r="W313" s="18">
        <v>50000000</v>
      </c>
      <c r="X313" s="18">
        <v>50000000</v>
      </c>
      <c r="Y313" s="19" t="s">
        <v>339</v>
      </c>
      <c r="Z313" s="19" t="s">
        <v>258</v>
      </c>
      <c r="AA313" s="19" t="s">
        <v>880</v>
      </c>
      <c r="AB313" s="14" t="s">
        <v>881</v>
      </c>
      <c r="AC313" s="14">
        <v>6012220601</v>
      </c>
      <c r="AD313" s="33" t="s">
        <v>311</v>
      </c>
      <c r="AE313" s="82">
        <v>0</v>
      </c>
      <c r="AF313" s="82">
        <v>0</v>
      </c>
      <c r="AG313" s="82">
        <v>0</v>
      </c>
      <c r="AH313" s="82">
        <v>0</v>
      </c>
      <c r="AI313" s="82">
        <v>0</v>
      </c>
      <c r="AJ313" s="82">
        <v>0</v>
      </c>
      <c r="AK313" s="82">
        <v>0</v>
      </c>
      <c r="AL313" s="82">
        <v>0</v>
      </c>
      <c r="AM313" s="82">
        <v>0</v>
      </c>
      <c r="AN313" s="82">
        <v>0</v>
      </c>
      <c r="AO313" s="82">
        <v>0</v>
      </c>
      <c r="AP313" s="82">
        <v>0</v>
      </c>
      <c r="AQ313" s="82">
        <v>50000000</v>
      </c>
      <c r="AR313" s="82">
        <v>0</v>
      </c>
      <c r="AS313" s="82">
        <v>0</v>
      </c>
      <c r="AT313" s="82">
        <v>10000000</v>
      </c>
      <c r="AU313" s="82">
        <v>0</v>
      </c>
      <c r="AV313" s="82">
        <v>10000000</v>
      </c>
      <c r="AW313" s="82">
        <v>0</v>
      </c>
      <c r="AX313" s="82">
        <v>10000000</v>
      </c>
      <c r="AY313" s="82">
        <v>0</v>
      </c>
      <c r="AZ313" s="82">
        <v>10000000</v>
      </c>
      <c r="BA313" s="82">
        <v>0</v>
      </c>
      <c r="BB313" s="82">
        <v>10000000</v>
      </c>
      <c r="BC313" s="82">
        <f t="shared" ref="BC313:BD313" si="613">AE313+AG313+AI313+AK313+AM313+AO313+AQ313+AS313+AU313+AW313+AY313+BA313</f>
        <v>50000000</v>
      </c>
      <c r="BD313" s="82">
        <f t="shared" si="613"/>
        <v>50000000</v>
      </c>
      <c r="BE313" s="83">
        <f t="shared" si="538"/>
        <v>0</v>
      </c>
      <c r="BF313" s="83">
        <f t="shared" si="539"/>
        <v>0</v>
      </c>
      <c r="BG313" s="14" t="str">
        <f ca="1">IFERROR(__xludf.DUMMYFUNCTION("REGEXEXTRACT(O307,""^\S+\s(.+)$"")"),"Prestar servicios profesionales de apoyo administrativo, incluyendo la organización y sistematización de la información, el control y seguimiento de entregables, así como la elaboración, generación y consolidación de informes y reportes institucionales de"&amp;" la Upme")</f>
        <v>Prestar servicios profesionales de apoyo administrativo, incluyendo la organización y sistematización de la información, el control y seguimiento de entregables, así como la elaboración, generación y consolidación de informes y reportes institucionales de la Upme</v>
      </c>
      <c r="BH313" s="23"/>
      <c r="BI313" s="23"/>
      <c r="BJ313" s="23"/>
      <c r="BK313" s="23"/>
      <c r="BL313" s="23"/>
      <c r="BM313" s="23"/>
      <c r="BN313" s="23"/>
      <c r="BO313" s="23"/>
      <c r="BP313" s="23"/>
      <c r="BQ313" s="23"/>
      <c r="BR313" s="23"/>
      <c r="BS313" s="23"/>
      <c r="BT313" s="23">
        <v>50000000</v>
      </c>
      <c r="BU313" s="23"/>
      <c r="BV313" s="23"/>
      <c r="BW313" s="23">
        <v>10000000</v>
      </c>
      <c r="BX313" s="23"/>
      <c r="BY313" s="23">
        <v>10000000</v>
      </c>
      <c r="BZ313" s="23"/>
      <c r="CA313" s="23">
        <v>10000000</v>
      </c>
      <c r="CB313" s="23"/>
      <c r="CC313" s="23">
        <v>10000000</v>
      </c>
      <c r="CD313" s="23"/>
      <c r="CE313" s="23">
        <v>10000000</v>
      </c>
      <c r="CF313" s="28"/>
      <c r="CG313" s="28"/>
      <c r="CH313" s="25">
        <f t="shared" ref="CH313:CI313" si="614">BH313+BJ313+BL313+BN313+BP313+BR313+BT313+BV313+BX313+BZ313+CB313+CD313+CF313</f>
        <v>50000000</v>
      </c>
      <c r="CI313" s="25">
        <f t="shared" si="614"/>
        <v>50000000</v>
      </c>
      <c r="CJ313" s="26">
        <f t="shared" si="518"/>
        <v>0</v>
      </c>
      <c r="CK313" s="26">
        <f t="shared" si="519"/>
        <v>0</v>
      </c>
    </row>
    <row r="314" spans="1:89" ht="90" customHeight="1" x14ac:dyDescent="0.3">
      <c r="A314" s="89" t="s">
        <v>248</v>
      </c>
      <c r="B314" s="90" t="s">
        <v>30</v>
      </c>
      <c r="C314" s="91" t="s">
        <v>967</v>
      </c>
      <c r="D314" s="90" t="s">
        <v>60</v>
      </c>
      <c r="E314" s="89" t="s">
        <v>250</v>
      </c>
      <c r="F314" s="89" t="s">
        <v>250</v>
      </c>
      <c r="G314" s="90">
        <v>68</v>
      </c>
      <c r="H314" s="13" t="s">
        <v>968</v>
      </c>
      <c r="I314" s="15" t="s">
        <v>969</v>
      </c>
      <c r="J314" s="14" t="s">
        <v>9</v>
      </c>
      <c r="K314" s="15" t="s">
        <v>72</v>
      </c>
      <c r="L314" s="14">
        <v>80111620</v>
      </c>
      <c r="M314" s="14" t="s">
        <v>32</v>
      </c>
      <c r="N314" s="14" t="s">
        <v>253</v>
      </c>
      <c r="O314" s="15" t="s">
        <v>970</v>
      </c>
      <c r="P314" s="14" t="s">
        <v>255</v>
      </c>
      <c r="Q314" s="14" t="s">
        <v>255</v>
      </c>
      <c r="R314" s="14" t="s">
        <v>255</v>
      </c>
      <c r="S314" s="17">
        <v>11.5</v>
      </c>
      <c r="T314" s="14" t="s">
        <v>256</v>
      </c>
      <c r="U314" s="14" t="s">
        <v>257</v>
      </c>
      <c r="V314" s="14" t="s">
        <v>112</v>
      </c>
      <c r="W314" s="18">
        <v>138000000</v>
      </c>
      <c r="X314" s="18">
        <v>138000000</v>
      </c>
      <c r="Y314" s="19" t="s">
        <v>339</v>
      </c>
      <c r="Z314" s="19" t="s">
        <v>258</v>
      </c>
      <c r="AA314" s="14" t="s">
        <v>971</v>
      </c>
      <c r="AB314" s="14" t="s">
        <v>972</v>
      </c>
      <c r="AC314" s="14">
        <v>6012220601</v>
      </c>
      <c r="AD314" s="14" t="s">
        <v>973</v>
      </c>
      <c r="AE314" s="82">
        <v>0</v>
      </c>
      <c r="AF314" s="82">
        <v>0</v>
      </c>
      <c r="AG314" s="82">
        <v>126000000</v>
      </c>
      <c r="AH314" s="82">
        <v>0</v>
      </c>
      <c r="AI314" s="82">
        <v>0</v>
      </c>
      <c r="AJ314" s="82">
        <v>10000000</v>
      </c>
      <c r="AK314" s="82">
        <v>0</v>
      </c>
      <c r="AL314" s="82">
        <v>12000000</v>
      </c>
      <c r="AM314" s="82">
        <v>0</v>
      </c>
      <c r="AN314" s="82">
        <v>12000000</v>
      </c>
      <c r="AO314" s="82">
        <v>0</v>
      </c>
      <c r="AP314" s="82">
        <v>12000000</v>
      </c>
      <c r="AQ314" s="82">
        <v>0</v>
      </c>
      <c r="AR314" s="82">
        <v>12000000</v>
      </c>
      <c r="AS314" s="82">
        <v>0</v>
      </c>
      <c r="AT314" s="82">
        <v>12000000</v>
      </c>
      <c r="AU314" s="82">
        <v>0</v>
      </c>
      <c r="AV314" s="82">
        <v>12000000</v>
      </c>
      <c r="AW314" s="82">
        <v>0</v>
      </c>
      <c r="AX314" s="82">
        <v>12000000</v>
      </c>
      <c r="AY314" s="82">
        <v>0</v>
      </c>
      <c r="AZ314" s="82">
        <v>12000000</v>
      </c>
      <c r="BA314" s="82">
        <v>12000000</v>
      </c>
      <c r="BB314" s="82">
        <v>32000000</v>
      </c>
      <c r="BC314" s="82">
        <f t="shared" ref="BC314:BD314" si="615">AE314+AG314+AI314+AK314+AM314+AO314+AQ314+AS314+AU314+AW314+AY314+BA314</f>
        <v>138000000</v>
      </c>
      <c r="BD314" s="82">
        <f t="shared" si="615"/>
        <v>138000000</v>
      </c>
      <c r="BE314" s="83">
        <f t="shared" si="538"/>
        <v>0</v>
      </c>
      <c r="BF314" s="83">
        <f t="shared" si="539"/>
        <v>0</v>
      </c>
      <c r="BG314" s="14" t="str">
        <f ca="1">IFERROR(__xludf.DUMMYFUNCTION("REGEXEXTRACT(O308,""^\S+\s(.+)$"")"),"Prestar servicios profesionales para apoyar la construcción del componente de cambio climático, incluyendo la evaluación de emisiones de Gases de Efecto Invernadero, GEI,  el Balance Energético Colombiano, BECO, y los planes y programas que desarrolla la "&amp;"Subdirección de Demanda.")</f>
        <v>Prestar servicios profesionales para apoyar la construcción del componente de cambio climático, incluyendo la evaluación de emisiones de Gases de Efecto Invernadero, GEI,  el Balance Energético Colombiano, BECO, y los planes y programas que desarrolla la Subdirección de Demanda.</v>
      </c>
      <c r="BH314" s="23"/>
      <c r="BI314" s="23"/>
      <c r="BJ314" s="23">
        <v>126000000</v>
      </c>
      <c r="BK314" s="23"/>
      <c r="BL314" s="23"/>
      <c r="BM314" s="23">
        <v>10000000</v>
      </c>
      <c r="BN314" s="23"/>
      <c r="BO314" s="23">
        <v>12000000</v>
      </c>
      <c r="BP314" s="23"/>
      <c r="BQ314" s="23">
        <v>12000000</v>
      </c>
      <c r="BR314" s="23"/>
      <c r="BS314" s="23">
        <v>12000000</v>
      </c>
      <c r="BT314" s="23"/>
      <c r="BU314" s="23">
        <v>12000000</v>
      </c>
      <c r="BV314" s="23"/>
      <c r="BW314" s="23">
        <v>12000000</v>
      </c>
      <c r="BX314" s="23"/>
      <c r="BY314" s="23">
        <v>12000000</v>
      </c>
      <c r="BZ314" s="23"/>
      <c r="CA314" s="23">
        <v>12000000</v>
      </c>
      <c r="CB314" s="23"/>
      <c r="CC314" s="23">
        <v>12000000</v>
      </c>
      <c r="CD314" s="23">
        <v>12000000</v>
      </c>
      <c r="CE314" s="23">
        <v>32000000</v>
      </c>
      <c r="CF314" s="28"/>
      <c r="CG314" s="28"/>
      <c r="CH314" s="25">
        <f t="shared" ref="CH314:CI314" si="616">BH314+BJ314+BL314+BN314+BP314+BR314+BT314+BV314+BX314+BZ314+CB314+CD314+CF314</f>
        <v>138000000</v>
      </c>
      <c r="CI314" s="25">
        <f t="shared" si="616"/>
        <v>138000000</v>
      </c>
      <c r="CJ314" s="26">
        <f t="shared" si="518"/>
        <v>0</v>
      </c>
      <c r="CK314" s="26">
        <f t="shared" si="519"/>
        <v>0</v>
      </c>
    </row>
    <row r="315" spans="1:89" ht="90" customHeight="1" x14ac:dyDescent="0.3">
      <c r="A315" s="13" t="s">
        <v>248</v>
      </c>
      <c r="B315" s="14" t="s">
        <v>30</v>
      </c>
      <c r="C315" s="15" t="s">
        <v>967</v>
      </c>
      <c r="D315" s="14" t="s">
        <v>60</v>
      </c>
      <c r="E315" s="13" t="s">
        <v>250</v>
      </c>
      <c r="F315" s="13" t="s">
        <v>250</v>
      </c>
      <c r="G315" s="14">
        <v>68</v>
      </c>
      <c r="H315" s="13" t="s">
        <v>974</v>
      </c>
      <c r="I315" s="15" t="s">
        <v>969</v>
      </c>
      <c r="J315" s="14" t="s">
        <v>9</v>
      </c>
      <c r="K315" s="15" t="s">
        <v>74</v>
      </c>
      <c r="L315" s="14">
        <v>80111620</v>
      </c>
      <c r="M315" s="14" t="s">
        <v>32</v>
      </c>
      <c r="N315" s="14" t="s">
        <v>253</v>
      </c>
      <c r="O315" s="15" t="s">
        <v>975</v>
      </c>
      <c r="P315" s="14" t="s">
        <v>255</v>
      </c>
      <c r="Q315" s="14" t="s">
        <v>255</v>
      </c>
      <c r="R315" s="14" t="s">
        <v>255</v>
      </c>
      <c r="S315" s="17">
        <v>11.5</v>
      </c>
      <c r="T315" s="14" t="s">
        <v>256</v>
      </c>
      <c r="U315" s="14" t="s">
        <v>257</v>
      </c>
      <c r="V315" s="14" t="s">
        <v>113</v>
      </c>
      <c r="W315" s="18">
        <v>145750000</v>
      </c>
      <c r="X315" s="18">
        <v>145750000</v>
      </c>
      <c r="Y315" s="19" t="s">
        <v>339</v>
      </c>
      <c r="Z315" s="19" t="s">
        <v>258</v>
      </c>
      <c r="AA315" s="14" t="s">
        <v>971</v>
      </c>
      <c r="AB315" s="14" t="s">
        <v>972</v>
      </c>
      <c r="AC315" s="14">
        <v>6012220602</v>
      </c>
      <c r="AD315" s="14" t="s">
        <v>973</v>
      </c>
      <c r="AE315" s="82">
        <v>143750000</v>
      </c>
      <c r="AF315" s="82">
        <v>0</v>
      </c>
      <c r="AG315" s="82">
        <v>0</v>
      </c>
      <c r="AH315" s="82">
        <v>6336956</v>
      </c>
      <c r="AI315" s="82">
        <v>0</v>
      </c>
      <c r="AJ315" s="82">
        <v>12673913</v>
      </c>
      <c r="AK315" s="82">
        <v>0</v>
      </c>
      <c r="AL315" s="82">
        <v>12673913</v>
      </c>
      <c r="AM315" s="82">
        <v>0</v>
      </c>
      <c r="AN315" s="82">
        <v>12673913</v>
      </c>
      <c r="AO315" s="82">
        <v>0</v>
      </c>
      <c r="AP315" s="82">
        <v>12673913</v>
      </c>
      <c r="AQ315" s="82">
        <v>0</v>
      </c>
      <c r="AR315" s="82">
        <v>12673913</v>
      </c>
      <c r="AS315" s="82">
        <v>0</v>
      </c>
      <c r="AT315" s="82">
        <v>12673913</v>
      </c>
      <c r="AU315" s="82">
        <v>0</v>
      </c>
      <c r="AV315" s="82">
        <v>12673913</v>
      </c>
      <c r="AW315" s="82">
        <v>0</v>
      </c>
      <c r="AX315" s="82">
        <v>12673913</v>
      </c>
      <c r="AY315" s="82">
        <v>1000000</v>
      </c>
      <c r="AZ315" s="82">
        <v>12673913</v>
      </c>
      <c r="BA315" s="82">
        <v>1000000</v>
      </c>
      <c r="BB315" s="82">
        <v>25347827</v>
      </c>
      <c r="BC315" s="82">
        <f t="shared" ref="BC315:BD315" si="617">AE315+AG315+AI315+AK315+AM315+AO315+AQ315+AS315+AU315+AW315+AY315+BA315</f>
        <v>145750000</v>
      </c>
      <c r="BD315" s="82">
        <f t="shared" si="617"/>
        <v>145750000</v>
      </c>
      <c r="BE315" s="83">
        <f t="shared" si="538"/>
        <v>0</v>
      </c>
      <c r="BF315" s="83">
        <f t="shared" si="539"/>
        <v>0</v>
      </c>
      <c r="BG315" s="14" t="str">
        <f ca="1">IFERROR(__xludf.DUMMYFUNCTION("REGEXEXTRACT(O309,""^\S+\s(.+)$"")"),"Prestar servicios profesionales para apoyar la definición, estructuración e implementación de la arquitectura de datos e información relacionada con los procesos de la Subdirección de Demanda, incluyendo actividades de analítica de datos mediante herramie"&amp;"ntas matemáticas y estadísticas. Asimismo, apoyar el desarrollo de prospectiva energética y articulación del equipo de datos de la Subdirección.")</f>
        <v>Prestar servicios profesionales para apoyar la definición, estructuración e implementación de la arquitectura de datos e información relacionada con los procesos de la Subdirección de Demanda, incluyendo actividades de analítica de datos mediante herramientas matemáticas y estadísticas. Asimismo, apoyar el desarrollo de prospectiva energética y articulación del equipo de datos de la Subdirección.</v>
      </c>
      <c r="BH315" s="23">
        <v>143750000</v>
      </c>
      <c r="BI315" s="23"/>
      <c r="BJ315" s="23"/>
      <c r="BK315" s="23">
        <v>6336956</v>
      </c>
      <c r="BL315" s="23"/>
      <c r="BM315" s="23">
        <v>12673913</v>
      </c>
      <c r="BN315" s="23"/>
      <c r="BO315" s="23">
        <v>12673913</v>
      </c>
      <c r="BP315" s="23"/>
      <c r="BQ315" s="23">
        <v>12673913</v>
      </c>
      <c r="BR315" s="23"/>
      <c r="BS315" s="23">
        <v>12673913</v>
      </c>
      <c r="BT315" s="23"/>
      <c r="BU315" s="23">
        <v>12673913</v>
      </c>
      <c r="BV315" s="23"/>
      <c r="BW315" s="23">
        <v>12673913</v>
      </c>
      <c r="BX315" s="23"/>
      <c r="BY315" s="23">
        <v>12673913</v>
      </c>
      <c r="BZ315" s="23"/>
      <c r="CA315" s="23">
        <v>12673913</v>
      </c>
      <c r="CB315" s="23">
        <v>1000000</v>
      </c>
      <c r="CC315" s="23">
        <v>12673913</v>
      </c>
      <c r="CD315" s="23">
        <v>1000000</v>
      </c>
      <c r="CE315" s="23">
        <v>25347827</v>
      </c>
      <c r="CF315" s="28"/>
      <c r="CG315" s="28"/>
      <c r="CH315" s="25">
        <f t="shared" ref="CH315:CI315" si="618">BH315+BJ315+BL315+BN315+BP315+BR315+BT315+BV315+BX315+BZ315+CB315+CD315+CF315</f>
        <v>145750000</v>
      </c>
      <c r="CI315" s="25">
        <f t="shared" si="618"/>
        <v>145750000</v>
      </c>
      <c r="CJ315" s="26">
        <f t="shared" si="518"/>
        <v>0</v>
      </c>
      <c r="CK315" s="26">
        <f t="shared" si="519"/>
        <v>0</v>
      </c>
    </row>
    <row r="316" spans="1:89" ht="90" customHeight="1" x14ac:dyDescent="0.3">
      <c r="A316" s="13" t="s">
        <v>248</v>
      </c>
      <c r="B316" s="14" t="s">
        <v>30</v>
      </c>
      <c r="C316" s="15" t="s">
        <v>967</v>
      </c>
      <c r="D316" s="14" t="s">
        <v>60</v>
      </c>
      <c r="E316" s="13" t="s">
        <v>250</v>
      </c>
      <c r="F316" s="13" t="s">
        <v>250</v>
      </c>
      <c r="G316" s="14">
        <v>68</v>
      </c>
      <c r="H316" s="13" t="s">
        <v>976</v>
      </c>
      <c r="I316" s="15" t="s">
        <v>969</v>
      </c>
      <c r="J316" s="14" t="s">
        <v>9</v>
      </c>
      <c r="K316" s="15" t="s">
        <v>74</v>
      </c>
      <c r="L316" s="14">
        <v>80111620</v>
      </c>
      <c r="M316" s="14" t="s">
        <v>32</v>
      </c>
      <c r="N316" s="14" t="s">
        <v>253</v>
      </c>
      <c r="O316" s="15" t="s">
        <v>977</v>
      </c>
      <c r="P316" s="14" t="s">
        <v>255</v>
      </c>
      <c r="Q316" s="14" t="s">
        <v>255</v>
      </c>
      <c r="R316" s="14" t="s">
        <v>255</v>
      </c>
      <c r="S316" s="17">
        <v>11.5</v>
      </c>
      <c r="T316" s="14" t="s">
        <v>256</v>
      </c>
      <c r="U316" s="14" t="s">
        <v>257</v>
      </c>
      <c r="V316" s="14" t="s">
        <v>113</v>
      </c>
      <c r="W316" s="18">
        <v>115000000</v>
      </c>
      <c r="X316" s="18">
        <v>115000000</v>
      </c>
      <c r="Y316" s="19" t="s">
        <v>339</v>
      </c>
      <c r="Z316" s="19" t="s">
        <v>258</v>
      </c>
      <c r="AA316" s="14" t="s">
        <v>971</v>
      </c>
      <c r="AB316" s="14" t="s">
        <v>972</v>
      </c>
      <c r="AC316" s="14">
        <v>6012220603</v>
      </c>
      <c r="AD316" s="14" t="s">
        <v>973</v>
      </c>
      <c r="AE316" s="82">
        <v>0</v>
      </c>
      <c r="AF316" s="82">
        <v>0</v>
      </c>
      <c r="AG316" s="82">
        <v>110000000</v>
      </c>
      <c r="AH316" s="82">
        <v>0</v>
      </c>
      <c r="AI316" s="82">
        <v>0</v>
      </c>
      <c r="AJ316" s="82">
        <v>8333333</v>
      </c>
      <c r="AK316" s="82">
        <v>0</v>
      </c>
      <c r="AL316" s="82">
        <v>10000000</v>
      </c>
      <c r="AM316" s="82">
        <v>0</v>
      </c>
      <c r="AN316" s="82">
        <v>10000000</v>
      </c>
      <c r="AO316" s="82">
        <v>0</v>
      </c>
      <c r="AP316" s="82">
        <v>10000000</v>
      </c>
      <c r="AQ316" s="82">
        <v>0</v>
      </c>
      <c r="AR316" s="82">
        <v>10000000</v>
      </c>
      <c r="AS316" s="82">
        <v>0</v>
      </c>
      <c r="AT316" s="82">
        <v>10000000</v>
      </c>
      <c r="AU316" s="82">
        <v>0</v>
      </c>
      <c r="AV316" s="82">
        <v>10000000</v>
      </c>
      <c r="AW316" s="82">
        <v>0</v>
      </c>
      <c r="AX316" s="82">
        <v>10000000</v>
      </c>
      <c r="AY316" s="82">
        <v>0</v>
      </c>
      <c r="AZ316" s="82">
        <v>10000000</v>
      </c>
      <c r="BA316" s="82">
        <v>5000000</v>
      </c>
      <c r="BB316" s="82">
        <v>26666667</v>
      </c>
      <c r="BC316" s="82">
        <f t="shared" ref="BC316:BD316" si="619">AE316+AG316+AI316+AK316+AM316+AO316+AQ316+AS316+AU316+AW316+AY316+BA316</f>
        <v>115000000</v>
      </c>
      <c r="BD316" s="82">
        <f t="shared" si="619"/>
        <v>115000000</v>
      </c>
      <c r="BE316" s="83">
        <f t="shared" si="538"/>
        <v>0</v>
      </c>
      <c r="BF316" s="83">
        <f t="shared" si="539"/>
        <v>0</v>
      </c>
      <c r="BG316" s="14" t="str">
        <f ca="1">IFERROR(__xludf.DUMMYFUNCTION("REGEXEXTRACT(O310,""^\S+\s(.+)$"")"),"Prestar servicios profesionales para la asesoría y los análisis energéticos, así como prospectivos desarrollados para la Subdirección de Demanda, con énfasis en las cadenas de distribución de hidrocarburos, combustibles líquidos y gas, para fortalecer la "&amp;"planificación y la toma de decisiones sectoriales.")</f>
        <v>Prestar servicios profesionales para la asesoría y los análisis energéticos, así como prospectivos desarrollados para la Subdirección de Demanda, con énfasis en las cadenas de distribución de hidrocarburos, combustibles líquidos y gas, para fortalecer la planificación y la toma de decisiones sectoriales.</v>
      </c>
      <c r="BH316" s="23"/>
      <c r="BI316" s="23"/>
      <c r="BJ316" s="23">
        <v>110000000</v>
      </c>
      <c r="BK316" s="23"/>
      <c r="BL316" s="23"/>
      <c r="BM316" s="23">
        <v>8333333</v>
      </c>
      <c r="BN316" s="23"/>
      <c r="BO316" s="23">
        <v>10000000</v>
      </c>
      <c r="BP316" s="23"/>
      <c r="BQ316" s="23">
        <v>10000000</v>
      </c>
      <c r="BR316" s="23"/>
      <c r="BS316" s="23">
        <v>10000000</v>
      </c>
      <c r="BT316" s="23"/>
      <c r="BU316" s="23">
        <v>10000000</v>
      </c>
      <c r="BV316" s="23"/>
      <c r="BW316" s="23">
        <v>10000000</v>
      </c>
      <c r="BX316" s="23"/>
      <c r="BY316" s="23">
        <v>10000000</v>
      </c>
      <c r="BZ316" s="23"/>
      <c r="CA316" s="23">
        <v>10000000</v>
      </c>
      <c r="CB316" s="23"/>
      <c r="CC316" s="23">
        <v>10000000</v>
      </c>
      <c r="CD316" s="23">
        <v>5000000</v>
      </c>
      <c r="CE316" s="23">
        <v>26666667</v>
      </c>
      <c r="CF316" s="28"/>
      <c r="CG316" s="28"/>
      <c r="CH316" s="25">
        <f t="shared" ref="CH316:CI316" si="620">BH316+BJ316+BL316+BN316+BP316+BR316+BT316+BV316+BX316+BZ316+CB316+CD316+CF316</f>
        <v>115000000</v>
      </c>
      <c r="CI316" s="25">
        <f t="shared" si="620"/>
        <v>115000000</v>
      </c>
      <c r="CJ316" s="26">
        <f t="shared" si="518"/>
        <v>0</v>
      </c>
      <c r="CK316" s="26">
        <f t="shared" si="519"/>
        <v>0</v>
      </c>
    </row>
    <row r="317" spans="1:89" ht="90" customHeight="1" x14ac:dyDescent="0.3">
      <c r="A317" s="13" t="s">
        <v>248</v>
      </c>
      <c r="B317" s="14" t="s">
        <v>30</v>
      </c>
      <c r="C317" s="15" t="s">
        <v>967</v>
      </c>
      <c r="D317" s="14" t="s">
        <v>60</v>
      </c>
      <c r="E317" s="13" t="s">
        <v>250</v>
      </c>
      <c r="F317" s="13" t="s">
        <v>250</v>
      </c>
      <c r="G317" s="14">
        <v>68</v>
      </c>
      <c r="H317" s="13" t="s">
        <v>978</v>
      </c>
      <c r="I317" s="15" t="s">
        <v>969</v>
      </c>
      <c r="J317" s="14" t="s">
        <v>9</v>
      </c>
      <c r="K317" s="15" t="s">
        <v>74</v>
      </c>
      <c r="L317" s="14">
        <v>80111620</v>
      </c>
      <c r="M317" s="14" t="s">
        <v>32</v>
      </c>
      <c r="N317" s="14" t="s">
        <v>253</v>
      </c>
      <c r="O317" s="15" t="s">
        <v>979</v>
      </c>
      <c r="P317" s="14" t="s">
        <v>255</v>
      </c>
      <c r="Q317" s="14" t="s">
        <v>255</v>
      </c>
      <c r="R317" s="14" t="s">
        <v>255</v>
      </c>
      <c r="S317" s="17">
        <v>11.5</v>
      </c>
      <c r="T317" s="14" t="s">
        <v>256</v>
      </c>
      <c r="U317" s="14" t="s">
        <v>257</v>
      </c>
      <c r="V317" s="14" t="s">
        <v>113</v>
      </c>
      <c r="W317" s="18">
        <v>122350000</v>
      </c>
      <c r="X317" s="18">
        <v>122350000</v>
      </c>
      <c r="Y317" s="19" t="s">
        <v>339</v>
      </c>
      <c r="Z317" s="19" t="s">
        <v>258</v>
      </c>
      <c r="AA317" s="14" t="s">
        <v>971</v>
      </c>
      <c r="AB317" s="14" t="s">
        <v>972</v>
      </c>
      <c r="AC317" s="14">
        <v>6012220604</v>
      </c>
      <c r="AD317" s="14" t="s">
        <v>973</v>
      </c>
      <c r="AE317" s="82">
        <v>0</v>
      </c>
      <c r="AF317" s="82">
        <v>0</v>
      </c>
      <c r="AG317" s="82">
        <v>115500000</v>
      </c>
      <c r="AH317" s="82">
        <v>0</v>
      </c>
      <c r="AI317" s="82">
        <v>0</v>
      </c>
      <c r="AJ317" s="82">
        <v>8750000</v>
      </c>
      <c r="AK317" s="82">
        <v>0</v>
      </c>
      <c r="AL317" s="82">
        <v>10500000</v>
      </c>
      <c r="AM317" s="82">
        <v>0</v>
      </c>
      <c r="AN317" s="82">
        <v>10500000</v>
      </c>
      <c r="AO317" s="82">
        <v>0</v>
      </c>
      <c r="AP317" s="82">
        <v>10500000</v>
      </c>
      <c r="AQ317" s="82">
        <v>0</v>
      </c>
      <c r="AR317" s="82">
        <v>10500000</v>
      </c>
      <c r="AS317" s="82">
        <v>0</v>
      </c>
      <c r="AT317" s="82">
        <v>10500000</v>
      </c>
      <c r="AU317" s="82">
        <v>0</v>
      </c>
      <c r="AV317" s="82">
        <v>10500000</v>
      </c>
      <c r="AW317" s="82">
        <v>0</v>
      </c>
      <c r="AX317" s="82">
        <v>10500000</v>
      </c>
      <c r="AY317" s="82">
        <v>0</v>
      </c>
      <c r="AZ317" s="82">
        <v>10500000</v>
      </c>
      <c r="BA317" s="82">
        <v>6850000</v>
      </c>
      <c r="BB317" s="82">
        <v>29600000</v>
      </c>
      <c r="BC317" s="82">
        <f t="shared" ref="BC317:BD317" si="621">AE317+AG317+AI317+AK317+AM317+AO317+AQ317+AS317+AU317+AW317+AY317+BA317</f>
        <v>122350000</v>
      </c>
      <c r="BD317" s="82">
        <f t="shared" si="621"/>
        <v>122350000</v>
      </c>
      <c r="BE317" s="83">
        <f t="shared" si="538"/>
        <v>0</v>
      </c>
      <c r="BF317" s="83">
        <f t="shared" si="539"/>
        <v>0</v>
      </c>
      <c r="BG317" s="14" t="str">
        <f ca="1">IFERROR(__xludf.DUMMYFUNCTION("REGEXEXTRACT(O311,""^\S+\s(.+)$"")"),"Prestar servicios profesionales para el diseño, evaluación y seguimiento de estrategias e instrumentos de eficiencia energética asociados con climatización y refrigeración y calor directo e indirecto, en los sectores residencial, terciario e industrial co"&amp;"lombiano; en el marco de la Transición Energética Justa, TEJ.")</f>
        <v>Prestar servicios profesionales para el diseño, evaluación y seguimiento de estrategias e instrumentos de eficiencia energética asociados con climatización y refrigeración y calor directo e indirecto, en los sectores residencial, terciario e industrial colombiano; en el marco de la Transición Energética Justa, TEJ.</v>
      </c>
      <c r="BH317" s="23"/>
      <c r="BI317" s="23"/>
      <c r="BJ317" s="23">
        <v>115500000</v>
      </c>
      <c r="BK317" s="23"/>
      <c r="BL317" s="23"/>
      <c r="BM317" s="23">
        <v>8750000</v>
      </c>
      <c r="BN317" s="23"/>
      <c r="BO317" s="23">
        <v>10500000</v>
      </c>
      <c r="BP317" s="23"/>
      <c r="BQ317" s="23">
        <v>10500000</v>
      </c>
      <c r="BR317" s="23"/>
      <c r="BS317" s="23">
        <v>10500000</v>
      </c>
      <c r="BT317" s="23"/>
      <c r="BU317" s="23">
        <v>10500000</v>
      </c>
      <c r="BV317" s="23"/>
      <c r="BW317" s="23">
        <v>10500000</v>
      </c>
      <c r="BX317" s="23"/>
      <c r="BY317" s="23">
        <v>10500000</v>
      </c>
      <c r="BZ317" s="23"/>
      <c r="CA317" s="23">
        <v>10500000</v>
      </c>
      <c r="CB317" s="23"/>
      <c r="CC317" s="23">
        <v>10500000</v>
      </c>
      <c r="CD317" s="23">
        <v>6850000</v>
      </c>
      <c r="CE317" s="23">
        <v>29600000</v>
      </c>
      <c r="CF317" s="28"/>
      <c r="CG317" s="28"/>
      <c r="CH317" s="25">
        <f t="shared" ref="CH317:CI317" si="622">BH317+BJ317+BL317+BN317+BP317+BR317+BT317+BV317+BX317+BZ317+CB317+CD317+CF317</f>
        <v>122350000</v>
      </c>
      <c r="CI317" s="25">
        <f t="shared" si="622"/>
        <v>122350000</v>
      </c>
      <c r="CJ317" s="26">
        <f t="shared" si="518"/>
        <v>0</v>
      </c>
      <c r="CK317" s="26">
        <f t="shared" si="519"/>
        <v>0</v>
      </c>
    </row>
    <row r="318" spans="1:89" ht="90" customHeight="1" x14ac:dyDescent="0.3">
      <c r="A318" s="13" t="s">
        <v>248</v>
      </c>
      <c r="B318" s="14" t="s">
        <v>30</v>
      </c>
      <c r="C318" s="15" t="s">
        <v>967</v>
      </c>
      <c r="D318" s="14" t="s">
        <v>60</v>
      </c>
      <c r="E318" s="13" t="s">
        <v>250</v>
      </c>
      <c r="F318" s="13" t="s">
        <v>250</v>
      </c>
      <c r="G318" s="14">
        <v>68</v>
      </c>
      <c r="H318" s="13" t="s">
        <v>980</v>
      </c>
      <c r="I318" s="15" t="s">
        <v>969</v>
      </c>
      <c r="J318" s="14" t="s">
        <v>9</v>
      </c>
      <c r="K318" s="15" t="s">
        <v>74</v>
      </c>
      <c r="L318" s="14">
        <v>80111620</v>
      </c>
      <c r="M318" s="14" t="s">
        <v>32</v>
      </c>
      <c r="N318" s="14" t="s">
        <v>253</v>
      </c>
      <c r="O318" s="15" t="s">
        <v>981</v>
      </c>
      <c r="P318" s="14" t="s">
        <v>255</v>
      </c>
      <c r="Q318" s="14" t="s">
        <v>255</v>
      </c>
      <c r="R318" s="14" t="s">
        <v>255</v>
      </c>
      <c r="S318" s="17">
        <v>11.5</v>
      </c>
      <c r="T318" s="14" t="s">
        <v>256</v>
      </c>
      <c r="U318" s="14" t="s">
        <v>257</v>
      </c>
      <c r="V318" s="14" t="s">
        <v>113</v>
      </c>
      <c r="W318" s="18">
        <v>104500000</v>
      </c>
      <c r="X318" s="18">
        <v>104500000</v>
      </c>
      <c r="Y318" s="19" t="s">
        <v>339</v>
      </c>
      <c r="Z318" s="19" t="s">
        <v>258</v>
      </c>
      <c r="AA318" s="14" t="s">
        <v>971</v>
      </c>
      <c r="AB318" s="14" t="s">
        <v>972</v>
      </c>
      <c r="AC318" s="14">
        <v>6012220605</v>
      </c>
      <c r="AD318" s="14" t="s">
        <v>973</v>
      </c>
      <c r="AE318" s="82">
        <v>0</v>
      </c>
      <c r="AF318" s="82">
        <v>0</v>
      </c>
      <c r="AG318" s="82">
        <v>99000000</v>
      </c>
      <c r="AH318" s="82">
        <v>0</v>
      </c>
      <c r="AI318" s="82">
        <v>0</v>
      </c>
      <c r="AJ318" s="82">
        <v>7500000</v>
      </c>
      <c r="AK318" s="82">
        <v>0</v>
      </c>
      <c r="AL318" s="82">
        <v>9000000</v>
      </c>
      <c r="AM318" s="82">
        <v>0</v>
      </c>
      <c r="AN318" s="82">
        <v>9000000</v>
      </c>
      <c r="AO318" s="82">
        <v>0</v>
      </c>
      <c r="AP318" s="82">
        <v>9000000</v>
      </c>
      <c r="AQ318" s="82">
        <v>0</v>
      </c>
      <c r="AR318" s="82">
        <v>9000000</v>
      </c>
      <c r="AS318" s="82">
        <v>0</v>
      </c>
      <c r="AT318" s="82">
        <v>9000000</v>
      </c>
      <c r="AU318" s="82">
        <v>0</v>
      </c>
      <c r="AV318" s="82">
        <v>9000000</v>
      </c>
      <c r="AW318" s="82">
        <v>0</v>
      </c>
      <c r="AX318" s="82">
        <v>9000000</v>
      </c>
      <c r="AY318" s="82">
        <v>0</v>
      </c>
      <c r="AZ318" s="82">
        <v>9000000</v>
      </c>
      <c r="BA318" s="82">
        <v>5500000</v>
      </c>
      <c r="BB318" s="82">
        <v>25000000</v>
      </c>
      <c r="BC318" s="82">
        <f t="shared" ref="BC318:BD318" si="623">AE318+AG318+AI318+AK318+AM318+AO318+AQ318+AS318+AU318+AW318+AY318+BA318</f>
        <v>104500000</v>
      </c>
      <c r="BD318" s="82">
        <f t="shared" si="623"/>
        <v>104500000</v>
      </c>
      <c r="BE318" s="83">
        <f t="shared" si="538"/>
        <v>0</v>
      </c>
      <c r="BF318" s="83">
        <f t="shared" si="539"/>
        <v>0</v>
      </c>
      <c r="BG318" s="14" t="str">
        <f ca="1">IFERROR(__xludf.DUMMYFUNCTION("REGEXEXTRACT(O312,""^\S+\s(.+)$"")"),"Prestar servicios profesionales para apoyar la elaboración de estudios y el desarrollo de modelamiento para el Plan de Bioenergía, así como apoyar la elaboración de documentos de planeación y adelantar las gestiones asociadas al hidrógeno, en el marco de "&amp;"la Transición Energética Justa (TEJ).")</f>
        <v>Prestar servicios profesionales para apoyar la elaboración de estudios y el desarrollo de modelamiento para el Plan de Bioenergía, así como apoyar la elaboración de documentos de planeación y adelantar las gestiones asociadas al hidrógeno, en el marco de la Transición Energética Justa (TEJ).</v>
      </c>
      <c r="BH318" s="23"/>
      <c r="BI318" s="23"/>
      <c r="BJ318" s="23">
        <v>99000000</v>
      </c>
      <c r="BK318" s="23"/>
      <c r="BL318" s="23"/>
      <c r="BM318" s="23">
        <v>7500000</v>
      </c>
      <c r="BN318" s="23"/>
      <c r="BO318" s="23">
        <v>9000000</v>
      </c>
      <c r="BP318" s="23"/>
      <c r="BQ318" s="23">
        <v>9000000</v>
      </c>
      <c r="BR318" s="23"/>
      <c r="BS318" s="23">
        <v>9000000</v>
      </c>
      <c r="BT318" s="23"/>
      <c r="BU318" s="23">
        <v>9000000</v>
      </c>
      <c r="BV318" s="23"/>
      <c r="BW318" s="23">
        <v>9000000</v>
      </c>
      <c r="BX318" s="23"/>
      <c r="BY318" s="23">
        <v>9000000</v>
      </c>
      <c r="BZ318" s="23"/>
      <c r="CA318" s="23">
        <v>9000000</v>
      </c>
      <c r="CB318" s="23"/>
      <c r="CC318" s="23">
        <v>9000000</v>
      </c>
      <c r="CD318" s="23">
        <v>5500000</v>
      </c>
      <c r="CE318" s="23">
        <v>25000000</v>
      </c>
      <c r="CF318" s="28"/>
      <c r="CG318" s="28"/>
      <c r="CH318" s="25">
        <f t="shared" ref="CH318:CI318" si="624">BH318+BJ318+BL318+BN318+BP318+BR318+BT318+BV318+BX318+BZ318+CB318+CD318+CF318</f>
        <v>104500000</v>
      </c>
      <c r="CI318" s="25">
        <f t="shared" si="624"/>
        <v>104500000</v>
      </c>
      <c r="CJ318" s="26">
        <f t="shared" si="518"/>
        <v>0</v>
      </c>
      <c r="CK318" s="26">
        <f t="shared" si="519"/>
        <v>0</v>
      </c>
    </row>
    <row r="319" spans="1:89" ht="90" customHeight="1" x14ac:dyDescent="0.3">
      <c r="A319" s="13" t="s">
        <v>248</v>
      </c>
      <c r="B319" s="14" t="s">
        <v>30</v>
      </c>
      <c r="C319" s="15" t="s">
        <v>967</v>
      </c>
      <c r="D319" s="14" t="s">
        <v>60</v>
      </c>
      <c r="E319" s="13" t="s">
        <v>250</v>
      </c>
      <c r="F319" s="13" t="s">
        <v>250</v>
      </c>
      <c r="G319" s="14">
        <v>68</v>
      </c>
      <c r="H319" s="13" t="s">
        <v>982</v>
      </c>
      <c r="I319" s="15" t="s">
        <v>969</v>
      </c>
      <c r="J319" s="14" t="s">
        <v>9</v>
      </c>
      <c r="K319" s="15" t="s">
        <v>74</v>
      </c>
      <c r="L319" s="14">
        <v>80111620</v>
      </c>
      <c r="M319" s="14" t="s">
        <v>32</v>
      </c>
      <c r="N319" s="14" t="s">
        <v>253</v>
      </c>
      <c r="O319" s="15" t="s">
        <v>983</v>
      </c>
      <c r="P319" s="14" t="s">
        <v>255</v>
      </c>
      <c r="Q319" s="14" t="s">
        <v>255</v>
      </c>
      <c r="R319" s="14" t="s">
        <v>255</v>
      </c>
      <c r="S319" s="17">
        <v>11.5</v>
      </c>
      <c r="T319" s="14" t="s">
        <v>256</v>
      </c>
      <c r="U319" s="14" t="s">
        <v>257</v>
      </c>
      <c r="V319" s="14" t="s">
        <v>113</v>
      </c>
      <c r="W319" s="18">
        <v>115000000</v>
      </c>
      <c r="X319" s="18">
        <v>115000000</v>
      </c>
      <c r="Y319" s="19" t="s">
        <v>339</v>
      </c>
      <c r="Z319" s="19" t="s">
        <v>258</v>
      </c>
      <c r="AA319" s="14" t="s">
        <v>971</v>
      </c>
      <c r="AB319" s="14" t="s">
        <v>972</v>
      </c>
      <c r="AC319" s="14">
        <v>6012220606</v>
      </c>
      <c r="AD319" s="14" t="s">
        <v>973</v>
      </c>
      <c r="AE319" s="82">
        <v>0</v>
      </c>
      <c r="AF319" s="82">
        <v>0</v>
      </c>
      <c r="AG319" s="82">
        <v>110000000</v>
      </c>
      <c r="AH319" s="82">
        <v>0</v>
      </c>
      <c r="AI319" s="82">
        <v>0</v>
      </c>
      <c r="AJ319" s="82">
        <v>8333333</v>
      </c>
      <c r="AK319" s="82">
        <v>0</v>
      </c>
      <c r="AL319" s="82">
        <v>10000000</v>
      </c>
      <c r="AM319" s="82">
        <v>0</v>
      </c>
      <c r="AN319" s="82">
        <v>10000000</v>
      </c>
      <c r="AO319" s="82">
        <v>0</v>
      </c>
      <c r="AP319" s="82">
        <v>10000000</v>
      </c>
      <c r="AQ319" s="82">
        <v>0</v>
      </c>
      <c r="AR319" s="82">
        <v>10000000</v>
      </c>
      <c r="AS319" s="82">
        <v>0</v>
      </c>
      <c r="AT319" s="82">
        <v>10000000</v>
      </c>
      <c r="AU319" s="82">
        <v>0</v>
      </c>
      <c r="AV319" s="82">
        <v>10000000</v>
      </c>
      <c r="AW319" s="82">
        <v>0</v>
      </c>
      <c r="AX319" s="82">
        <v>10000000</v>
      </c>
      <c r="AY319" s="82">
        <v>0</v>
      </c>
      <c r="AZ319" s="82">
        <v>10000000</v>
      </c>
      <c r="BA319" s="82">
        <v>5000000</v>
      </c>
      <c r="BB319" s="82">
        <v>26666667</v>
      </c>
      <c r="BC319" s="82">
        <f t="shared" ref="BC319:BD319" si="625">AE319+AG319+AI319+AK319+AM319+AO319+AQ319+AS319+AU319+AW319+AY319+BA319</f>
        <v>115000000</v>
      </c>
      <c r="BD319" s="82">
        <f t="shared" si="625"/>
        <v>115000000</v>
      </c>
      <c r="BE319" s="83">
        <f t="shared" si="538"/>
        <v>0</v>
      </c>
      <c r="BF319" s="83">
        <f t="shared" si="539"/>
        <v>0</v>
      </c>
      <c r="BG319" s="14" t="str">
        <f ca="1">IFERROR(__xludf.DUMMYFUNCTION("REGEXEXTRACT(O313,""^\S+\s(.+)$"")"),"Prestar servicios profesionales para apoyar la definición de líneas base y meta de eficiencia energética del sector transporte y apoyar la construcción de modelos computacionales enfocados en la predicción del comportamiento del sector transporte, como in"&amp;"sumos para el PEN y la actualización del PAI PROURE 2026; en el marco de la Transición Energética Justa, TEJ.")</f>
        <v>Prestar servicios profesionales para apoyar la definición de líneas base y meta de eficiencia energética del sector transporte y apoyar la construcción de modelos computacionales enfocados en la predicción del comportamiento del sector transporte, como insumos para el PEN y la actualización del PAI PROURE 2026; en el marco de la Transición Energética Justa, TEJ.</v>
      </c>
      <c r="BH319" s="23"/>
      <c r="BI319" s="23"/>
      <c r="BJ319" s="23">
        <v>110000000</v>
      </c>
      <c r="BK319" s="23"/>
      <c r="BL319" s="23"/>
      <c r="BM319" s="23">
        <v>8333333</v>
      </c>
      <c r="BN319" s="23"/>
      <c r="BO319" s="23">
        <v>10000000</v>
      </c>
      <c r="BP319" s="23"/>
      <c r="BQ319" s="23">
        <v>10000000</v>
      </c>
      <c r="BR319" s="23"/>
      <c r="BS319" s="23">
        <v>10000000</v>
      </c>
      <c r="BT319" s="23"/>
      <c r="BU319" s="23">
        <v>10000000</v>
      </c>
      <c r="BV319" s="23"/>
      <c r="BW319" s="23">
        <v>10000000</v>
      </c>
      <c r="BX319" s="23"/>
      <c r="BY319" s="23">
        <v>10000000</v>
      </c>
      <c r="BZ319" s="23"/>
      <c r="CA319" s="23">
        <v>10000000</v>
      </c>
      <c r="CB319" s="23"/>
      <c r="CC319" s="23">
        <v>10000000</v>
      </c>
      <c r="CD319" s="23">
        <v>5000000</v>
      </c>
      <c r="CE319" s="23">
        <v>26666667</v>
      </c>
      <c r="CF319" s="28"/>
      <c r="CG319" s="28"/>
      <c r="CH319" s="25">
        <f t="shared" ref="CH319:CI319" si="626">BH319+BJ319+BL319+BN319+BP319+BR319+BT319+BV319+BX319+BZ319+CB319+CD319+CF319</f>
        <v>115000000</v>
      </c>
      <c r="CI319" s="25">
        <f t="shared" si="626"/>
        <v>115000000</v>
      </c>
      <c r="CJ319" s="26">
        <f t="shared" si="518"/>
        <v>0</v>
      </c>
      <c r="CK319" s="26">
        <f t="shared" si="519"/>
        <v>0</v>
      </c>
    </row>
    <row r="320" spans="1:89" ht="90" customHeight="1" x14ac:dyDescent="0.3">
      <c r="A320" s="13" t="s">
        <v>248</v>
      </c>
      <c r="B320" s="14" t="s">
        <v>30</v>
      </c>
      <c r="C320" s="15" t="s">
        <v>967</v>
      </c>
      <c r="D320" s="14" t="s">
        <v>60</v>
      </c>
      <c r="E320" s="13" t="s">
        <v>250</v>
      </c>
      <c r="F320" s="13" t="s">
        <v>250</v>
      </c>
      <c r="G320" s="14">
        <v>3</v>
      </c>
      <c r="H320" s="13" t="s">
        <v>984</v>
      </c>
      <c r="I320" s="15" t="s">
        <v>969</v>
      </c>
      <c r="J320" s="14" t="s">
        <v>9</v>
      </c>
      <c r="K320" s="15" t="s">
        <v>74</v>
      </c>
      <c r="L320" s="14">
        <v>80111620</v>
      </c>
      <c r="M320" s="14" t="s">
        <v>32</v>
      </c>
      <c r="N320" s="14" t="s">
        <v>253</v>
      </c>
      <c r="O320" s="15" t="s">
        <v>985</v>
      </c>
      <c r="P320" s="14" t="s">
        <v>255</v>
      </c>
      <c r="Q320" s="14" t="s">
        <v>255</v>
      </c>
      <c r="R320" s="14" t="s">
        <v>255</v>
      </c>
      <c r="S320" s="17">
        <v>11.5</v>
      </c>
      <c r="T320" s="14" t="s">
        <v>256</v>
      </c>
      <c r="U320" s="14" t="s">
        <v>257</v>
      </c>
      <c r="V320" s="14" t="s">
        <v>113</v>
      </c>
      <c r="W320" s="18">
        <v>121750000</v>
      </c>
      <c r="X320" s="18">
        <v>121750000</v>
      </c>
      <c r="Y320" s="19" t="s">
        <v>339</v>
      </c>
      <c r="Z320" s="19" t="s">
        <v>258</v>
      </c>
      <c r="AA320" s="14" t="s">
        <v>971</v>
      </c>
      <c r="AB320" s="14" t="s">
        <v>972</v>
      </c>
      <c r="AC320" s="14">
        <v>6012220607</v>
      </c>
      <c r="AD320" s="14" t="s">
        <v>973</v>
      </c>
      <c r="AE320" s="82">
        <v>0</v>
      </c>
      <c r="AF320" s="82">
        <v>0</v>
      </c>
      <c r="AG320" s="82">
        <v>115500000</v>
      </c>
      <c r="AH320" s="82">
        <v>0</v>
      </c>
      <c r="AI320" s="82">
        <v>0</v>
      </c>
      <c r="AJ320" s="82">
        <v>8750000</v>
      </c>
      <c r="AK320" s="82">
        <v>0</v>
      </c>
      <c r="AL320" s="82">
        <v>10500000</v>
      </c>
      <c r="AM320" s="82">
        <v>0</v>
      </c>
      <c r="AN320" s="82">
        <v>10500000</v>
      </c>
      <c r="AO320" s="82">
        <v>0</v>
      </c>
      <c r="AP320" s="82">
        <v>10500000</v>
      </c>
      <c r="AQ320" s="82">
        <v>0</v>
      </c>
      <c r="AR320" s="82">
        <v>10500000</v>
      </c>
      <c r="AS320" s="82">
        <v>0</v>
      </c>
      <c r="AT320" s="82">
        <v>10500000</v>
      </c>
      <c r="AU320" s="82">
        <v>0</v>
      </c>
      <c r="AV320" s="82">
        <v>10500000</v>
      </c>
      <c r="AW320" s="82">
        <v>0</v>
      </c>
      <c r="AX320" s="82">
        <v>10500000</v>
      </c>
      <c r="AY320" s="82">
        <v>0</v>
      </c>
      <c r="AZ320" s="82">
        <v>10500000</v>
      </c>
      <c r="BA320" s="82">
        <v>6250000</v>
      </c>
      <c r="BB320" s="82">
        <v>29000000</v>
      </c>
      <c r="BC320" s="82">
        <f t="shared" ref="BC320:BD320" si="627">AE320+AG320+AI320+AK320+AM320+AO320+AQ320+AS320+AU320+AW320+AY320+BA320</f>
        <v>121750000</v>
      </c>
      <c r="BD320" s="82">
        <f t="shared" si="627"/>
        <v>121750000</v>
      </c>
      <c r="BE320" s="83">
        <f t="shared" si="538"/>
        <v>0</v>
      </c>
      <c r="BF320" s="83">
        <f t="shared" si="539"/>
        <v>0</v>
      </c>
      <c r="BG320" s="14" t="str">
        <f ca="1">IFERROR(__xludf.DUMMYFUNCTION("REGEXEXTRACT(O314,""^\S+\s(.+)$"")"),"Prestar servicios profesionales para apoyar la determinación de las líneas base y meta de eficiencia energética de la oferta y transformación de energía a partir de estudios, iniciativas y proyectos de GEE, así como la gestión y acompañamiento tecnico de "&amp;"los planes priorizados por la Subdirección de Demanda, en el marco de la Transición Energética Justa, TEJ.")</f>
        <v>Prestar servicios profesionales para apoyar la determinación de las líneas base y meta de eficiencia energética de la oferta y transformación de energía a partir de estudios, iniciativas y proyectos de GEE, así como la gestión y acompañamiento tecnico de los planes priorizados por la Subdirección de Demanda, en el marco de la Transición Energética Justa, TEJ.</v>
      </c>
      <c r="BH320" s="23"/>
      <c r="BI320" s="23"/>
      <c r="BJ320" s="23">
        <v>115500000</v>
      </c>
      <c r="BK320" s="23"/>
      <c r="BL320" s="23"/>
      <c r="BM320" s="23">
        <v>8750000</v>
      </c>
      <c r="BN320" s="23"/>
      <c r="BO320" s="23">
        <v>10500000</v>
      </c>
      <c r="BP320" s="23"/>
      <c r="BQ320" s="23">
        <v>10500000</v>
      </c>
      <c r="BR320" s="23"/>
      <c r="BS320" s="23">
        <v>10500000</v>
      </c>
      <c r="BT320" s="23"/>
      <c r="BU320" s="23">
        <v>10500000</v>
      </c>
      <c r="BV320" s="23"/>
      <c r="BW320" s="23">
        <v>10500000</v>
      </c>
      <c r="BX320" s="23"/>
      <c r="BY320" s="23">
        <v>10500000</v>
      </c>
      <c r="BZ320" s="23"/>
      <c r="CA320" s="23">
        <v>10500000</v>
      </c>
      <c r="CB320" s="23"/>
      <c r="CC320" s="23">
        <v>10500000</v>
      </c>
      <c r="CD320" s="23">
        <v>6250000</v>
      </c>
      <c r="CE320" s="23">
        <v>29000000</v>
      </c>
      <c r="CF320" s="28"/>
      <c r="CG320" s="28"/>
      <c r="CH320" s="25">
        <f t="shared" ref="CH320:CI320" si="628">BH320+BJ320+BL320+BN320+BP320+BR320+BT320+BV320+BX320+BZ320+CB320+CD320+CF320</f>
        <v>121750000</v>
      </c>
      <c r="CI320" s="25">
        <f t="shared" si="628"/>
        <v>121750000</v>
      </c>
      <c r="CJ320" s="26">
        <f t="shared" si="518"/>
        <v>0</v>
      </c>
      <c r="CK320" s="26">
        <f t="shared" si="519"/>
        <v>0</v>
      </c>
    </row>
    <row r="321" spans="1:89" ht="90" customHeight="1" x14ac:dyDescent="0.3">
      <c r="A321" s="13" t="s">
        <v>248</v>
      </c>
      <c r="B321" s="14" t="s">
        <v>30</v>
      </c>
      <c r="C321" s="15" t="s">
        <v>967</v>
      </c>
      <c r="D321" s="14" t="s">
        <v>60</v>
      </c>
      <c r="E321" s="13" t="s">
        <v>250</v>
      </c>
      <c r="F321" s="13" t="s">
        <v>250</v>
      </c>
      <c r="G321" s="14">
        <v>4</v>
      </c>
      <c r="H321" s="13" t="s">
        <v>986</v>
      </c>
      <c r="I321" s="15" t="s">
        <v>987</v>
      </c>
      <c r="J321" s="14" t="s">
        <v>4</v>
      </c>
      <c r="K321" s="15" t="s">
        <v>76</v>
      </c>
      <c r="L321" s="14">
        <v>80111620</v>
      </c>
      <c r="M321" s="14" t="s">
        <v>33</v>
      </c>
      <c r="N321" s="14" t="s">
        <v>253</v>
      </c>
      <c r="O321" s="15" t="s">
        <v>988</v>
      </c>
      <c r="P321" s="14" t="s">
        <v>255</v>
      </c>
      <c r="Q321" s="14" t="s">
        <v>255</v>
      </c>
      <c r="R321" s="14" t="s">
        <v>255</v>
      </c>
      <c r="S321" s="17">
        <v>7</v>
      </c>
      <c r="T321" s="14" t="s">
        <v>256</v>
      </c>
      <c r="U321" s="14" t="s">
        <v>257</v>
      </c>
      <c r="V321" s="14" t="s">
        <v>112</v>
      </c>
      <c r="W321" s="18">
        <v>45500000</v>
      </c>
      <c r="X321" s="18">
        <v>45500000</v>
      </c>
      <c r="Y321" s="19" t="s">
        <v>339</v>
      </c>
      <c r="Z321" s="19" t="s">
        <v>258</v>
      </c>
      <c r="AA321" s="14" t="s">
        <v>971</v>
      </c>
      <c r="AB321" s="14" t="s">
        <v>972</v>
      </c>
      <c r="AC321" s="14">
        <v>6012220608</v>
      </c>
      <c r="AD321" s="14" t="s">
        <v>973</v>
      </c>
      <c r="AE321" s="82">
        <v>0</v>
      </c>
      <c r="AF321" s="82">
        <v>0</v>
      </c>
      <c r="AG321" s="82">
        <v>0</v>
      </c>
      <c r="AH321" s="82">
        <v>0</v>
      </c>
      <c r="AI321" s="82">
        <v>0</v>
      </c>
      <c r="AJ321" s="82">
        <v>0</v>
      </c>
      <c r="AK321" s="82">
        <v>0</v>
      </c>
      <c r="AL321" s="82">
        <v>0</v>
      </c>
      <c r="AM321" s="82">
        <v>0</v>
      </c>
      <c r="AN321" s="82">
        <v>0</v>
      </c>
      <c r="AO321" s="82">
        <v>0</v>
      </c>
      <c r="AP321" s="82">
        <v>0</v>
      </c>
      <c r="AQ321" s="82">
        <v>45500000</v>
      </c>
      <c r="AR321" s="82">
        <v>0</v>
      </c>
      <c r="AS321" s="82">
        <v>0</v>
      </c>
      <c r="AT321" s="82">
        <v>5000000</v>
      </c>
      <c r="AU321" s="82">
        <v>0</v>
      </c>
      <c r="AV321" s="82">
        <v>5000000</v>
      </c>
      <c r="AW321" s="82">
        <v>0</v>
      </c>
      <c r="AX321" s="82">
        <v>5000000</v>
      </c>
      <c r="AY321" s="82">
        <v>0</v>
      </c>
      <c r="AZ321" s="82">
        <v>5000000</v>
      </c>
      <c r="BA321" s="82">
        <v>0</v>
      </c>
      <c r="BB321" s="82">
        <v>25500000</v>
      </c>
      <c r="BC321" s="82">
        <f t="shared" ref="BC321:BD321" si="629">AE321+AG321+AI321+AK321+AM321+AO321+AQ321+AS321+AU321+AW321+AY321+BA321</f>
        <v>45500000</v>
      </c>
      <c r="BD321" s="82">
        <f t="shared" si="629"/>
        <v>45500000</v>
      </c>
      <c r="BE321" s="83">
        <f t="shared" si="538"/>
        <v>0</v>
      </c>
      <c r="BF321" s="83">
        <f t="shared" si="539"/>
        <v>0</v>
      </c>
      <c r="BG321" s="14" t="str">
        <f ca="1">IFERROR(__xludf.DUMMYFUNCTION("REGEXEXTRACT(O315,""^\S+\s(.+)$"")"),"Prestar servicios profesionales para desarrollar y actualizar modelos de optimización para la transición de la demanda y la oferta de energía en el marco de los planes de la Subdirección de Demanda, a partir de buenas prácticas de modelamiento empleadas a"&amp;" nivel internacional, así como asesorar y apoyar la elaboración de documentos de planeación, en el marco de la Transición Energética Justa (TEJ).")</f>
        <v>Prestar servicios profesionales para desarrollar y actualizar modelos de optimización para la transición de la demanda y la oferta de energía en el marco de los planes de la Subdirección de Demanda, a partir de buenas prácticas de modelamiento empleadas a nivel internacional, así como asesorar y apoyar la elaboración de documentos de planeación, en el marco de la Transición Energética Justa (TEJ).</v>
      </c>
      <c r="BH321" s="23"/>
      <c r="BI321" s="23"/>
      <c r="BJ321" s="23"/>
      <c r="BK321" s="23"/>
      <c r="BL321" s="23"/>
      <c r="BM321" s="23"/>
      <c r="BN321" s="23"/>
      <c r="BO321" s="23"/>
      <c r="BP321" s="23"/>
      <c r="BQ321" s="23"/>
      <c r="BR321" s="23"/>
      <c r="BS321" s="23"/>
      <c r="BT321" s="23">
        <v>45500000</v>
      </c>
      <c r="BU321" s="23"/>
      <c r="BV321" s="23"/>
      <c r="BW321" s="23">
        <v>5000000</v>
      </c>
      <c r="BX321" s="23"/>
      <c r="BY321" s="23">
        <v>5000000</v>
      </c>
      <c r="BZ321" s="23"/>
      <c r="CA321" s="23">
        <v>5000000</v>
      </c>
      <c r="CB321" s="23"/>
      <c r="CC321" s="23">
        <v>5000000</v>
      </c>
      <c r="CD321" s="23"/>
      <c r="CE321" s="23">
        <v>25500000</v>
      </c>
      <c r="CF321" s="28"/>
      <c r="CG321" s="28"/>
      <c r="CH321" s="25">
        <f t="shared" ref="CH321:CI321" si="630">BH321+BJ321+BL321+BN321+BP321+BR321+BT321+BV321+BX321+BZ321+CB321+CD321+CF321</f>
        <v>45500000</v>
      </c>
      <c r="CI321" s="25">
        <f t="shared" si="630"/>
        <v>45500000</v>
      </c>
      <c r="CJ321" s="26">
        <f t="shared" si="518"/>
        <v>0</v>
      </c>
      <c r="CK321" s="26">
        <f t="shared" si="519"/>
        <v>0</v>
      </c>
    </row>
    <row r="322" spans="1:89" ht="90" customHeight="1" x14ac:dyDescent="0.3">
      <c r="A322" s="13" t="s">
        <v>248</v>
      </c>
      <c r="B322" s="14" t="s">
        <v>30</v>
      </c>
      <c r="C322" s="15" t="s">
        <v>967</v>
      </c>
      <c r="D322" s="14" t="s">
        <v>60</v>
      </c>
      <c r="E322" s="13" t="s">
        <v>250</v>
      </c>
      <c r="F322" s="13" t="s">
        <v>250</v>
      </c>
      <c r="G322" s="14">
        <v>68</v>
      </c>
      <c r="H322" s="13" t="s">
        <v>989</v>
      </c>
      <c r="I322" s="15" t="s">
        <v>969</v>
      </c>
      <c r="J322" s="14" t="s">
        <v>9</v>
      </c>
      <c r="K322" s="15" t="s">
        <v>73</v>
      </c>
      <c r="L322" s="14">
        <v>80111620</v>
      </c>
      <c r="M322" s="14" t="s">
        <v>32</v>
      </c>
      <c r="N322" s="14" t="s">
        <v>253</v>
      </c>
      <c r="O322" s="15" t="s">
        <v>990</v>
      </c>
      <c r="P322" s="14" t="s">
        <v>255</v>
      </c>
      <c r="Q322" s="14" t="s">
        <v>255</v>
      </c>
      <c r="R322" s="14" t="s">
        <v>255</v>
      </c>
      <c r="S322" s="17">
        <v>11.5</v>
      </c>
      <c r="T322" s="14" t="s">
        <v>256</v>
      </c>
      <c r="U322" s="14" t="s">
        <v>257</v>
      </c>
      <c r="V322" s="14" t="s">
        <v>112</v>
      </c>
      <c r="W322" s="18">
        <v>156250000</v>
      </c>
      <c r="X322" s="18">
        <v>156250000</v>
      </c>
      <c r="Y322" s="19" t="s">
        <v>339</v>
      </c>
      <c r="Z322" s="19" t="s">
        <v>258</v>
      </c>
      <c r="AA322" s="14" t="s">
        <v>971</v>
      </c>
      <c r="AB322" s="14" t="s">
        <v>972</v>
      </c>
      <c r="AC322" s="14">
        <v>6012220609</v>
      </c>
      <c r="AD322" s="14" t="s">
        <v>973</v>
      </c>
      <c r="AE322" s="82">
        <v>155250000</v>
      </c>
      <c r="AF322" s="82">
        <v>0</v>
      </c>
      <c r="AG322" s="82">
        <v>0</v>
      </c>
      <c r="AH322" s="82">
        <v>5400000</v>
      </c>
      <c r="AI322" s="82">
        <v>0</v>
      </c>
      <c r="AJ322" s="82">
        <v>13500000</v>
      </c>
      <c r="AK322" s="82">
        <v>0</v>
      </c>
      <c r="AL322" s="82">
        <v>13500000</v>
      </c>
      <c r="AM322" s="82">
        <v>0</v>
      </c>
      <c r="AN322" s="82">
        <v>13500000</v>
      </c>
      <c r="AO322" s="82">
        <v>0</v>
      </c>
      <c r="AP322" s="82">
        <v>13500000</v>
      </c>
      <c r="AQ322" s="82">
        <v>0</v>
      </c>
      <c r="AR322" s="82">
        <v>13500000</v>
      </c>
      <c r="AS322" s="82">
        <v>0</v>
      </c>
      <c r="AT322" s="82">
        <v>13500000</v>
      </c>
      <c r="AU322" s="82">
        <v>0</v>
      </c>
      <c r="AV322" s="82">
        <v>13500000</v>
      </c>
      <c r="AW322" s="82">
        <v>0</v>
      </c>
      <c r="AX322" s="82">
        <v>13500000</v>
      </c>
      <c r="AY322" s="82">
        <v>0</v>
      </c>
      <c r="AZ322" s="82">
        <v>13500000</v>
      </c>
      <c r="BA322" s="82">
        <v>1000000</v>
      </c>
      <c r="BB322" s="82">
        <v>29350000</v>
      </c>
      <c r="BC322" s="82">
        <f t="shared" ref="BC322:BD322" si="631">AE322+AG322+AI322+AK322+AM322+AO322+AQ322+AS322+AU322+AW322+AY322+BA322</f>
        <v>156250000</v>
      </c>
      <c r="BD322" s="82">
        <f t="shared" si="631"/>
        <v>156250000</v>
      </c>
      <c r="BE322" s="83">
        <f t="shared" si="538"/>
        <v>0</v>
      </c>
      <c r="BF322" s="83">
        <f t="shared" si="539"/>
        <v>0</v>
      </c>
      <c r="BG322" s="14" t="str">
        <f ca="1">IFERROR(__xludf.DUMMYFUNCTION("REGEXEXTRACT(O316,""^\S+\s(.+)$"")"),"Prestar servicios profesionales para la construcción de modelos matemáticos y de analítica de datos, así como la elaboración y divulgación de documentos de planeación, en el marco de la Transición Energética Justa, TEJ.")</f>
        <v>Prestar servicios profesionales para la construcción de modelos matemáticos y de analítica de datos, así como la elaboración y divulgación de documentos de planeación, en el marco de la Transición Energética Justa, TEJ.</v>
      </c>
      <c r="BH322" s="23">
        <v>155250000</v>
      </c>
      <c r="BI322" s="23"/>
      <c r="BJ322" s="23"/>
      <c r="BK322" s="23">
        <v>5400000</v>
      </c>
      <c r="BL322" s="23"/>
      <c r="BM322" s="23">
        <v>13500000</v>
      </c>
      <c r="BN322" s="23"/>
      <c r="BO322" s="23">
        <v>13500000</v>
      </c>
      <c r="BP322" s="23"/>
      <c r="BQ322" s="23">
        <v>13500000</v>
      </c>
      <c r="BR322" s="23"/>
      <c r="BS322" s="23">
        <v>13500000</v>
      </c>
      <c r="BT322" s="23"/>
      <c r="BU322" s="23">
        <v>13500000</v>
      </c>
      <c r="BV322" s="23"/>
      <c r="BW322" s="23">
        <v>13500000</v>
      </c>
      <c r="BX322" s="23"/>
      <c r="BY322" s="23">
        <v>13500000</v>
      </c>
      <c r="BZ322" s="23"/>
      <c r="CA322" s="23">
        <v>13500000</v>
      </c>
      <c r="CB322" s="23"/>
      <c r="CC322" s="23">
        <v>13500000</v>
      </c>
      <c r="CD322" s="23">
        <v>1000000</v>
      </c>
      <c r="CE322" s="23">
        <v>29350000</v>
      </c>
      <c r="CF322" s="28"/>
      <c r="CG322" s="28"/>
      <c r="CH322" s="25">
        <f t="shared" ref="CH322:CI322" si="632">BH322+BJ322+BL322+BN322+BP322+BR322+BT322+BV322+BX322+BZ322+CB322+CD322+CF322</f>
        <v>156250000</v>
      </c>
      <c r="CI322" s="25">
        <f t="shared" si="632"/>
        <v>156250000</v>
      </c>
      <c r="CJ322" s="26">
        <f t="shared" si="518"/>
        <v>0</v>
      </c>
      <c r="CK322" s="26">
        <f t="shared" si="519"/>
        <v>0</v>
      </c>
    </row>
    <row r="323" spans="1:89" ht="90" customHeight="1" x14ac:dyDescent="0.3">
      <c r="A323" s="13" t="s">
        <v>248</v>
      </c>
      <c r="B323" s="14" t="s">
        <v>30</v>
      </c>
      <c r="C323" s="15" t="s">
        <v>967</v>
      </c>
      <c r="D323" s="14" t="s">
        <v>60</v>
      </c>
      <c r="E323" s="13" t="s">
        <v>250</v>
      </c>
      <c r="F323" s="13" t="s">
        <v>250</v>
      </c>
      <c r="G323" s="14">
        <v>68</v>
      </c>
      <c r="H323" s="13" t="s">
        <v>991</v>
      </c>
      <c r="I323" s="15" t="s">
        <v>969</v>
      </c>
      <c r="J323" s="14" t="s">
        <v>9</v>
      </c>
      <c r="K323" s="15" t="s">
        <v>74</v>
      </c>
      <c r="L323" s="14">
        <v>80111620</v>
      </c>
      <c r="M323" s="14" t="s">
        <v>32</v>
      </c>
      <c r="N323" s="14" t="s">
        <v>253</v>
      </c>
      <c r="O323" s="15" t="s">
        <v>992</v>
      </c>
      <c r="P323" s="14" t="s">
        <v>255</v>
      </c>
      <c r="Q323" s="14" t="s">
        <v>255</v>
      </c>
      <c r="R323" s="14" t="s">
        <v>255</v>
      </c>
      <c r="S323" s="17">
        <v>11.5</v>
      </c>
      <c r="T323" s="14" t="s">
        <v>256</v>
      </c>
      <c r="U323" s="14" t="s">
        <v>257</v>
      </c>
      <c r="V323" s="14" t="s">
        <v>112</v>
      </c>
      <c r="W323" s="18">
        <v>58300000</v>
      </c>
      <c r="X323" s="18">
        <v>58300000</v>
      </c>
      <c r="Y323" s="19" t="s">
        <v>339</v>
      </c>
      <c r="Z323" s="19" t="s">
        <v>258</v>
      </c>
      <c r="AA323" s="14" t="s">
        <v>971</v>
      </c>
      <c r="AB323" s="14" t="s">
        <v>972</v>
      </c>
      <c r="AC323" s="14">
        <v>6012220612</v>
      </c>
      <c r="AD323" s="14" t="s">
        <v>973</v>
      </c>
      <c r="AE323" s="82">
        <v>47850000</v>
      </c>
      <c r="AF323" s="82">
        <v>0</v>
      </c>
      <c r="AG323" s="82">
        <v>0</v>
      </c>
      <c r="AH323" s="82">
        <v>0</v>
      </c>
      <c r="AI323" s="82">
        <v>0</v>
      </c>
      <c r="AJ323" s="82">
        <v>4350000</v>
      </c>
      <c r="AK323" s="82">
        <v>0</v>
      </c>
      <c r="AL323" s="82">
        <v>4350000</v>
      </c>
      <c r="AM323" s="82">
        <v>0</v>
      </c>
      <c r="AN323" s="82">
        <v>4350000</v>
      </c>
      <c r="AO323" s="82">
        <v>0</v>
      </c>
      <c r="AP323" s="82">
        <v>4350000</v>
      </c>
      <c r="AQ323" s="82">
        <v>0</v>
      </c>
      <c r="AR323" s="82">
        <v>4350000</v>
      </c>
      <c r="AS323" s="82">
        <v>0</v>
      </c>
      <c r="AT323" s="82">
        <v>4350000</v>
      </c>
      <c r="AU323" s="82">
        <v>0</v>
      </c>
      <c r="AV323" s="82">
        <v>4350000</v>
      </c>
      <c r="AW323" s="82">
        <v>0</v>
      </c>
      <c r="AX323" s="82">
        <v>4350000</v>
      </c>
      <c r="AY323" s="82">
        <v>0</v>
      </c>
      <c r="AZ323" s="82">
        <v>4350000</v>
      </c>
      <c r="BA323" s="82">
        <v>10450000</v>
      </c>
      <c r="BB323" s="82">
        <v>19150000</v>
      </c>
      <c r="BC323" s="82">
        <f t="shared" ref="BC323:BD323" si="633">AE323+AG323+AI323+AK323+AM323+AO323+AQ323+AS323+AU323+AW323+AY323+BA323</f>
        <v>58300000</v>
      </c>
      <c r="BD323" s="82">
        <f t="shared" si="633"/>
        <v>58300000</v>
      </c>
      <c r="BE323" s="83">
        <f t="shared" si="538"/>
        <v>0</v>
      </c>
      <c r="BF323" s="83">
        <f t="shared" si="539"/>
        <v>0</v>
      </c>
      <c r="BG323" s="14" t="str">
        <f ca="1">IFERROR(__xludf.DUMMYFUNCTION("REGEXEXTRACT(O317,""^\S+\s(.+)$"")"),"Prestar servicios profesionales para el desarrollo del Plan de Bioenergía Nacional, apoyando la identificación y análisis de aspectos tecnológicos, económicos, sociales, regulatorios y ambientales para la conceptualización de los documentos estratégicos q"&amp;"ue desarrolla la Subdirección de Demanda, incluyendo el Plan Energético Nacional, y brindando soporte técnico, analítico y de coordinación en las etapas de formulación del Plan Nacional de Bioenergía de Colombia 2025, asegurando su alineación con las polí"&amp;"ticas nacionales de desarrollo sostenible y la Transición Energética Justa (TEJ).")</f>
        <v>Prestar servicios profesionales para el desarrollo del Plan de Bioenergía Nacional, apoyando la identificación y análisis de aspectos tecnológicos, económicos, sociales, regulatorios y ambientales para la conceptualización de los documentos estratégicos que desarrolla la Subdirección de Demanda, incluyendo el Plan Energético Nacional, y brindando soporte técnico, analítico y de coordinación en las etapas de formulación del Plan Nacional de Bioenergía de Colombia 2025, asegurando su alineación con las políticas nacionales de desarrollo sostenible y la Transición Energética Justa (TEJ).</v>
      </c>
      <c r="BH323" s="23">
        <v>47850000</v>
      </c>
      <c r="BI323" s="23"/>
      <c r="BJ323" s="23"/>
      <c r="BK323" s="23"/>
      <c r="BL323" s="23"/>
      <c r="BM323" s="23">
        <v>4350000</v>
      </c>
      <c r="BN323" s="23"/>
      <c r="BO323" s="23">
        <v>4350000</v>
      </c>
      <c r="BP323" s="23"/>
      <c r="BQ323" s="23">
        <v>4350000</v>
      </c>
      <c r="BR323" s="23"/>
      <c r="BS323" s="23">
        <v>4350000</v>
      </c>
      <c r="BT323" s="23"/>
      <c r="BU323" s="23">
        <v>4350000</v>
      </c>
      <c r="BV323" s="23"/>
      <c r="BW323" s="23">
        <v>4350000</v>
      </c>
      <c r="BX323" s="23"/>
      <c r="BY323" s="23">
        <v>4350000</v>
      </c>
      <c r="BZ323" s="23"/>
      <c r="CA323" s="23">
        <v>4350000</v>
      </c>
      <c r="CB323" s="23"/>
      <c r="CC323" s="23">
        <v>4350000</v>
      </c>
      <c r="CD323" s="23">
        <v>10450000</v>
      </c>
      <c r="CE323" s="23">
        <v>19150000</v>
      </c>
      <c r="CF323" s="28"/>
      <c r="CG323" s="28"/>
      <c r="CH323" s="25">
        <f t="shared" ref="CH323:CI323" si="634">BH323+BJ323+BL323+BN323+BP323+BR323+BT323+BV323+BX323+BZ323+CB323+CD323+CF323</f>
        <v>58300000</v>
      </c>
      <c r="CI323" s="25">
        <f t="shared" si="634"/>
        <v>58300000</v>
      </c>
      <c r="CJ323" s="26">
        <f t="shared" si="518"/>
        <v>0</v>
      </c>
      <c r="CK323" s="26">
        <f t="shared" si="519"/>
        <v>0</v>
      </c>
    </row>
    <row r="324" spans="1:89" ht="90" customHeight="1" x14ac:dyDescent="0.3">
      <c r="A324" s="13" t="s">
        <v>248</v>
      </c>
      <c r="B324" s="14" t="s">
        <v>30</v>
      </c>
      <c r="C324" s="15" t="s">
        <v>967</v>
      </c>
      <c r="D324" s="14" t="s">
        <v>60</v>
      </c>
      <c r="E324" s="13" t="s">
        <v>250</v>
      </c>
      <c r="F324" s="13" t="s">
        <v>250</v>
      </c>
      <c r="G324" s="14">
        <v>4</v>
      </c>
      <c r="H324" s="13" t="s">
        <v>993</v>
      </c>
      <c r="I324" s="15" t="s">
        <v>987</v>
      </c>
      <c r="J324" s="14" t="s">
        <v>4</v>
      </c>
      <c r="K324" s="15" t="s">
        <v>72</v>
      </c>
      <c r="L324" s="14">
        <v>80111620</v>
      </c>
      <c r="M324" s="14" t="s">
        <v>33</v>
      </c>
      <c r="N324" s="14" t="s">
        <v>253</v>
      </c>
      <c r="O324" s="15" t="s">
        <v>994</v>
      </c>
      <c r="P324" s="14" t="s">
        <v>255</v>
      </c>
      <c r="Q324" s="14" t="s">
        <v>255</v>
      </c>
      <c r="R324" s="14" t="s">
        <v>255</v>
      </c>
      <c r="S324" s="17">
        <v>7</v>
      </c>
      <c r="T324" s="14" t="s">
        <v>256</v>
      </c>
      <c r="U324" s="14" t="s">
        <v>257</v>
      </c>
      <c r="V324" s="14" t="s">
        <v>112</v>
      </c>
      <c r="W324" s="18">
        <v>99850000</v>
      </c>
      <c r="X324" s="18">
        <v>99850000</v>
      </c>
      <c r="Y324" s="19" t="s">
        <v>339</v>
      </c>
      <c r="Z324" s="19" t="s">
        <v>258</v>
      </c>
      <c r="AA324" s="14" t="s">
        <v>971</v>
      </c>
      <c r="AB324" s="14" t="s">
        <v>972</v>
      </c>
      <c r="AC324" s="14">
        <v>6012220613</v>
      </c>
      <c r="AD324" s="14" t="s">
        <v>973</v>
      </c>
      <c r="AE324" s="82">
        <v>93100000</v>
      </c>
      <c r="AF324" s="82">
        <v>0</v>
      </c>
      <c r="AG324" s="82">
        <v>0</v>
      </c>
      <c r="AH324" s="82">
        <v>0</v>
      </c>
      <c r="AI324" s="82">
        <v>0</v>
      </c>
      <c r="AJ324" s="82">
        <v>13300000</v>
      </c>
      <c r="AK324" s="82">
        <v>0</v>
      </c>
      <c r="AL324" s="82">
        <v>13300000</v>
      </c>
      <c r="AM324" s="82">
        <v>0</v>
      </c>
      <c r="AN324" s="82">
        <v>13300000</v>
      </c>
      <c r="AO324" s="82">
        <v>0</v>
      </c>
      <c r="AP324" s="82">
        <v>13300000</v>
      </c>
      <c r="AQ324" s="82">
        <v>0</v>
      </c>
      <c r="AR324" s="82">
        <v>13300000</v>
      </c>
      <c r="AS324" s="82">
        <v>0</v>
      </c>
      <c r="AT324" s="82">
        <v>13300000</v>
      </c>
      <c r="AU324" s="82">
        <v>0</v>
      </c>
      <c r="AV324" s="82">
        <v>13300000</v>
      </c>
      <c r="AW324" s="82">
        <v>0</v>
      </c>
      <c r="AX324" s="82">
        <v>6750000</v>
      </c>
      <c r="AY324" s="82">
        <v>0</v>
      </c>
      <c r="AZ324" s="82">
        <v>0</v>
      </c>
      <c r="BA324" s="82">
        <v>6750000</v>
      </c>
      <c r="BB324" s="82">
        <v>0</v>
      </c>
      <c r="BC324" s="82">
        <f t="shared" ref="BC324:BD324" si="635">AE324+AG324+AI324+AK324+AM324+AO324+AQ324+AS324+AU324+AW324+AY324+BA324</f>
        <v>99850000</v>
      </c>
      <c r="BD324" s="82">
        <f t="shared" si="635"/>
        <v>99850000</v>
      </c>
      <c r="BE324" s="83">
        <f t="shared" si="538"/>
        <v>0</v>
      </c>
      <c r="BF324" s="83">
        <f t="shared" si="539"/>
        <v>0</v>
      </c>
      <c r="BG324" s="14" t="str">
        <f ca="1">IFERROR(__xludf.DUMMYFUNCTION("REGEXEXTRACT(O318,""^\S+\s(.+)$"")"),"Prestar servicios profesionales para apoyar el análisis de los planes y demás iniciativas priorizadas por la Subdirección de Demanda, así como apoyar la elaboración de documentos de planeación, en particular aquellos relacionados con evaluaciones económic"&amp;"as y de beneficio–costo, en el marco de la Transición Energética Justa del país.")</f>
        <v>Prestar servicios profesionales para apoyar el análisis de los planes y demás iniciativas priorizadas por la Subdirección de Demanda, así como apoyar la elaboración de documentos de planeación, en particular aquellos relacionados con evaluaciones económicas y de beneficio–costo, en el marco de la Transición Energética Justa del país.</v>
      </c>
      <c r="BH324" s="23">
        <v>93100000</v>
      </c>
      <c r="BI324" s="23"/>
      <c r="BJ324" s="23"/>
      <c r="BK324" s="23"/>
      <c r="BL324" s="23"/>
      <c r="BM324" s="23">
        <v>13300000</v>
      </c>
      <c r="BN324" s="23"/>
      <c r="BO324" s="23">
        <v>13300000</v>
      </c>
      <c r="BP324" s="23"/>
      <c r="BQ324" s="23">
        <v>13300000</v>
      </c>
      <c r="BR324" s="23"/>
      <c r="BS324" s="23">
        <v>13300000</v>
      </c>
      <c r="BT324" s="23"/>
      <c r="BU324" s="23">
        <v>13300000</v>
      </c>
      <c r="BV324" s="23"/>
      <c r="BW324" s="23">
        <v>13300000</v>
      </c>
      <c r="BX324" s="23"/>
      <c r="BY324" s="23">
        <v>13300000</v>
      </c>
      <c r="BZ324" s="23"/>
      <c r="CA324" s="23">
        <v>6750000</v>
      </c>
      <c r="CB324" s="23"/>
      <c r="CC324" s="23"/>
      <c r="CD324" s="23">
        <v>6750000</v>
      </c>
      <c r="CE324" s="23"/>
      <c r="CF324" s="28"/>
      <c r="CG324" s="28"/>
      <c r="CH324" s="25">
        <f t="shared" ref="CH324:CI324" si="636">BH324+BJ324+BL324+BN324+BP324+BR324+BT324+BV324+BX324+BZ324+CB324+CD324+CF324</f>
        <v>99850000</v>
      </c>
      <c r="CI324" s="25">
        <f t="shared" si="636"/>
        <v>99850000</v>
      </c>
      <c r="CJ324" s="26">
        <f t="shared" si="518"/>
        <v>0</v>
      </c>
      <c r="CK324" s="26">
        <f t="shared" si="519"/>
        <v>0</v>
      </c>
    </row>
    <row r="325" spans="1:89" ht="90" customHeight="1" x14ac:dyDescent="0.3">
      <c r="A325" s="13" t="s">
        <v>248</v>
      </c>
      <c r="B325" s="14" t="s">
        <v>30</v>
      </c>
      <c r="C325" s="15" t="s">
        <v>967</v>
      </c>
      <c r="D325" s="14" t="s">
        <v>60</v>
      </c>
      <c r="E325" s="13" t="s">
        <v>250</v>
      </c>
      <c r="F325" s="13" t="s">
        <v>250</v>
      </c>
      <c r="G325" s="14">
        <v>68</v>
      </c>
      <c r="H325" s="13" t="s">
        <v>995</v>
      </c>
      <c r="I325" s="15" t="s">
        <v>969</v>
      </c>
      <c r="J325" s="14" t="s">
        <v>9</v>
      </c>
      <c r="K325" s="15" t="s">
        <v>72</v>
      </c>
      <c r="L325" s="14">
        <v>80111620</v>
      </c>
      <c r="M325" s="14" t="s">
        <v>32</v>
      </c>
      <c r="N325" s="14" t="s">
        <v>253</v>
      </c>
      <c r="O325" s="15" t="s">
        <v>996</v>
      </c>
      <c r="P325" s="14" t="s">
        <v>255</v>
      </c>
      <c r="Q325" s="14" t="s">
        <v>255</v>
      </c>
      <c r="R325" s="14" t="s">
        <v>255</v>
      </c>
      <c r="S325" s="17">
        <v>11.5</v>
      </c>
      <c r="T325" s="14" t="s">
        <v>256</v>
      </c>
      <c r="U325" s="14" t="s">
        <v>257</v>
      </c>
      <c r="V325" s="14" t="s">
        <v>112</v>
      </c>
      <c r="W325" s="18">
        <v>152762172</v>
      </c>
      <c r="X325" s="18">
        <v>152762172</v>
      </c>
      <c r="Y325" s="19" t="s">
        <v>339</v>
      </c>
      <c r="Z325" s="19" t="s">
        <v>258</v>
      </c>
      <c r="AA325" s="14" t="s">
        <v>971</v>
      </c>
      <c r="AB325" s="14" t="s">
        <v>972</v>
      </c>
      <c r="AC325" s="14">
        <v>6012220614</v>
      </c>
      <c r="AD325" s="14" t="s">
        <v>973</v>
      </c>
      <c r="AE325" s="82">
        <v>146300000</v>
      </c>
      <c r="AF325" s="82">
        <v>0</v>
      </c>
      <c r="AG325" s="82">
        <v>0</v>
      </c>
      <c r="AH325" s="82">
        <v>1330000</v>
      </c>
      <c r="AI325" s="82">
        <v>0</v>
      </c>
      <c r="AJ325" s="82">
        <v>13300000</v>
      </c>
      <c r="AK325" s="82">
        <v>0</v>
      </c>
      <c r="AL325" s="82">
        <v>13300000</v>
      </c>
      <c r="AM325" s="82">
        <v>0</v>
      </c>
      <c r="AN325" s="82">
        <v>13300000</v>
      </c>
      <c r="AO325" s="82">
        <v>0</v>
      </c>
      <c r="AP325" s="82">
        <v>13300000</v>
      </c>
      <c r="AQ325" s="82">
        <v>0</v>
      </c>
      <c r="AR325" s="82">
        <v>13300000</v>
      </c>
      <c r="AS325" s="82">
        <v>0</v>
      </c>
      <c r="AT325" s="82">
        <v>13300000</v>
      </c>
      <c r="AU325" s="82">
        <v>0</v>
      </c>
      <c r="AV325" s="82">
        <v>13300000</v>
      </c>
      <c r="AW325" s="82">
        <v>0</v>
      </c>
      <c r="AX325" s="82">
        <v>13300000</v>
      </c>
      <c r="AY325" s="82">
        <v>0</v>
      </c>
      <c r="AZ325" s="82">
        <v>13300000</v>
      </c>
      <c r="BA325" s="82">
        <v>6462172</v>
      </c>
      <c r="BB325" s="82">
        <v>31732172</v>
      </c>
      <c r="BC325" s="82">
        <f t="shared" ref="BC325:BD325" si="637">AE325+AG325+AI325+AK325+AM325+AO325+AQ325+AS325+AU325+AW325+AY325+BA325</f>
        <v>152762172</v>
      </c>
      <c r="BD325" s="82">
        <f t="shared" si="637"/>
        <v>152762172</v>
      </c>
      <c r="BE325" s="83">
        <f t="shared" si="538"/>
        <v>0</v>
      </c>
      <c r="BF325" s="83">
        <f t="shared" si="539"/>
        <v>0</v>
      </c>
      <c r="BG325" s="14" t="str">
        <f ca="1">IFERROR(__xludf.DUMMYFUNCTION("REGEXEXTRACT(O319,""^\S+\s(.+)$"")"),"Prestar servicios profesionales para apoyar la definición de líneas base y meta de eficiencia energética y los análisis beneficio costo de los planes de la Subdirección priorizados, a partir de estudios, iniciativas y proyectos; en el marco de la Transici"&amp;"ón Energética Justa, TEJ.")</f>
        <v>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v>
      </c>
      <c r="BH325" s="23">
        <v>146300000</v>
      </c>
      <c r="BI325" s="23"/>
      <c r="BJ325" s="23"/>
      <c r="BK325" s="23">
        <v>1330000</v>
      </c>
      <c r="BL325" s="23"/>
      <c r="BM325" s="23">
        <v>13300000</v>
      </c>
      <c r="BN325" s="23"/>
      <c r="BO325" s="23">
        <v>13300000</v>
      </c>
      <c r="BP325" s="23"/>
      <c r="BQ325" s="23">
        <v>13300000</v>
      </c>
      <c r="BR325" s="23"/>
      <c r="BS325" s="23">
        <v>13300000</v>
      </c>
      <c r="BT325" s="23"/>
      <c r="BU325" s="23">
        <v>13300000</v>
      </c>
      <c r="BV325" s="23"/>
      <c r="BW325" s="23">
        <v>13300000</v>
      </c>
      <c r="BX325" s="23"/>
      <c r="BY325" s="23">
        <v>13300000</v>
      </c>
      <c r="BZ325" s="23"/>
      <c r="CA325" s="23">
        <v>13300000</v>
      </c>
      <c r="CB325" s="23"/>
      <c r="CC325" s="23">
        <v>13300000</v>
      </c>
      <c r="CD325" s="23">
        <v>6462172</v>
      </c>
      <c r="CE325" s="23">
        <v>31732172</v>
      </c>
      <c r="CF325" s="28"/>
      <c r="CG325" s="28"/>
      <c r="CH325" s="25">
        <f t="shared" ref="CH325:CI325" si="638">BH325+BJ325+BL325+BN325+BP325+BR325+BT325+BV325+BX325+BZ325+CB325+CD325+CF325</f>
        <v>152762172</v>
      </c>
      <c r="CI325" s="25">
        <f t="shared" si="638"/>
        <v>152762172</v>
      </c>
      <c r="CJ325" s="26">
        <f t="shared" si="518"/>
        <v>0</v>
      </c>
      <c r="CK325" s="26">
        <f t="shared" si="519"/>
        <v>0</v>
      </c>
    </row>
    <row r="326" spans="1:89" ht="90" customHeight="1" x14ac:dyDescent="0.3">
      <c r="A326" s="13" t="s">
        <v>248</v>
      </c>
      <c r="B326" s="14" t="s">
        <v>30</v>
      </c>
      <c r="C326" s="15" t="s">
        <v>967</v>
      </c>
      <c r="D326" s="14" t="s">
        <v>60</v>
      </c>
      <c r="E326" s="13" t="s">
        <v>250</v>
      </c>
      <c r="F326" s="13" t="s">
        <v>250</v>
      </c>
      <c r="G326" s="14">
        <v>68</v>
      </c>
      <c r="H326" s="13" t="s">
        <v>997</v>
      </c>
      <c r="I326" s="15" t="s">
        <v>969</v>
      </c>
      <c r="J326" s="14" t="s">
        <v>9</v>
      </c>
      <c r="K326" s="15" t="s">
        <v>74</v>
      </c>
      <c r="L326" s="14">
        <v>80111620</v>
      </c>
      <c r="M326" s="14" t="s">
        <v>32</v>
      </c>
      <c r="N326" s="14" t="s">
        <v>253</v>
      </c>
      <c r="O326" s="15" t="s">
        <v>998</v>
      </c>
      <c r="P326" s="14" t="s">
        <v>255</v>
      </c>
      <c r="Q326" s="14" t="s">
        <v>255</v>
      </c>
      <c r="R326" s="14" t="s">
        <v>255</v>
      </c>
      <c r="S326" s="17">
        <v>11.5</v>
      </c>
      <c r="T326" s="14" t="s">
        <v>256</v>
      </c>
      <c r="U326" s="14" t="s">
        <v>257</v>
      </c>
      <c r="V326" s="14" t="s">
        <v>112</v>
      </c>
      <c r="W326" s="18">
        <v>2687828</v>
      </c>
      <c r="X326" s="18">
        <v>2687828</v>
      </c>
      <c r="Y326" s="19" t="s">
        <v>339</v>
      </c>
      <c r="Z326" s="19" t="s">
        <v>258</v>
      </c>
      <c r="AA326" s="14" t="s">
        <v>971</v>
      </c>
      <c r="AB326" s="14" t="s">
        <v>972</v>
      </c>
      <c r="AC326" s="14">
        <v>6012220615</v>
      </c>
      <c r="AD326" s="14" t="s">
        <v>973</v>
      </c>
      <c r="AE326" s="82">
        <v>0</v>
      </c>
      <c r="AF326" s="82">
        <v>0</v>
      </c>
      <c r="AG326" s="82">
        <v>0</v>
      </c>
      <c r="AH326" s="82">
        <v>0</v>
      </c>
      <c r="AI326" s="82">
        <v>0</v>
      </c>
      <c r="AJ326" s="82">
        <v>0</v>
      </c>
      <c r="AK326" s="82">
        <v>0</v>
      </c>
      <c r="AL326" s="82">
        <v>0</v>
      </c>
      <c r="AM326" s="82">
        <v>0</v>
      </c>
      <c r="AN326" s="82">
        <v>0</v>
      </c>
      <c r="AO326" s="82">
        <v>0</v>
      </c>
      <c r="AP326" s="82">
        <v>0</v>
      </c>
      <c r="AQ326" s="82">
        <v>0</v>
      </c>
      <c r="AR326" s="82">
        <v>0</v>
      </c>
      <c r="AS326" s="82">
        <v>0</v>
      </c>
      <c r="AT326" s="82">
        <v>0</v>
      </c>
      <c r="AU326" s="82">
        <v>0</v>
      </c>
      <c r="AV326" s="82">
        <v>0</v>
      </c>
      <c r="AW326" s="82">
        <v>0</v>
      </c>
      <c r="AX326" s="82">
        <v>0</v>
      </c>
      <c r="AY326" s="82">
        <v>2687828</v>
      </c>
      <c r="AZ326" s="82">
        <v>0</v>
      </c>
      <c r="BA326" s="82">
        <v>0</v>
      </c>
      <c r="BB326" s="82">
        <v>2687828</v>
      </c>
      <c r="BC326" s="82">
        <f t="shared" ref="BC326:BD326" si="639">AE326+AG326+AI326+AK326+AM326+AO326+AQ326+AS326+AU326+AW326+AY326+BA326</f>
        <v>2687828</v>
      </c>
      <c r="BD326" s="82">
        <f t="shared" si="639"/>
        <v>2687828</v>
      </c>
      <c r="BE326" s="83">
        <f t="shared" si="538"/>
        <v>0</v>
      </c>
      <c r="BF326" s="83">
        <f t="shared" si="539"/>
        <v>0</v>
      </c>
      <c r="BG326" s="14" t="str">
        <f ca="1">IFERROR(__xludf.DUMMYFUNCTION("REGEXEXTRACT(O320,""^\S+\s(.+)$"")"),"Prestar servicios profesionales para apoyar la definición de líneas base y meta de eficiencia energética y los análisis beneficio costo de los planes de la Subdirección priorizados, a partir de estudios, iniciativas y proyectos; en el marco de la Transici"&amp;"ón Energética Justa, TEJ.")</f>
        <v>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v>
      </c>
      <c r="BH326" s="23"/>
      <c r="BI326" s="23"/>
      <c r="BJ326" s="23"/>
      <c r="BK326" s="23"/>
      <c r="BL326" s="23"/>
      <c r="BM326" s="23"/>
      <c r="BN326" s="23"/>
      <c r="BO326" s="23"/>
      <c r="BP326" s="23"/>
      <c r="BQ326" s="23"/>
      <c r="BR326" s="23"/>
      <c r="BS326" s="23"/>
      <c r="BT326" s="23"/>
      <c r="BU326" s="23"/>
      <c r="BV326" s="23"/>
      <c r="BW326" s="23"/>
      <c r="BX326" s="23"/>
      <c r="BY326" s="23"/>
      <c r="BZ326" s="23"/>
      <c r="CA326" s="23"/>
      <c r="CB326" s="23">
        <v>2687828</v>
      </c>
      <c r="CC326" s="23"/>
      <c r="CD326" s="23"/>
      <c r="CE326" s="23">
        <v>2687828</v>
      </c>
      <c r="CF326" s="28"/>
      <c r="CG326" s="28"/>
      <c r="CH326" s="25">
        <f t="shared" ref="CH326:CI326" si="640">BH326+BJ326+BL326+BN326+BP326+BR326+BT326+BV326+BX326+BZ326+CB326+CD326+CF326</f>
        <v>2687828</v>
      </c>
      <c r="CI326" s="25">
        <f t="shared" si="640"/>
        <v>2687828</v>
      </c>
      <c r="CJ326" s="26">
        <f t="shared" si="518"/>
        <v>0</v>
      </c>
      <c r="CK326" s="26">
        <f t="shared" si="519"/>
        <v>0</v>
      </c>
    </row>
    <row r="327" spans="1:89" ht="90" customHeight="1" x14ac:dyDescent="0.3">
      <c r="A327" s="13" t="s">
        <v>248</v>
      </c>
      <c r="B327" s="14" t="s">
        <v>30</v>
      </c>
      <c r="C327" s="15" t="s">
        <v>967</v>
      </c>
      <c r="D327" s="14" t="s">
        <v>60</v>
      </c>
      <c r="E327" s="13" t="s">
        <v>250</v>
      </c>
      <c r="F327" s="13" t="s">
        <v>250</v>
      </c>
      <c r="G327" s="14">
        <v>4</v>
      </c>
      <c r="H327" s="13" t="s">
        <v>999</v>
      </c>
      <c r="I327" s="15" t="s">
        <v>1000</v>
      </c>
      <c r="J327" s="14" t="s">
        <v>15</v>
      </c>
      <c r="K327" s="15" t="s">
        <v>71</v>
      </c>
      <c r="L327" s="14">
        <v>80111620</v>
      </c>
      <c r="M327" s="14" t="s">
        <v>31</v>
      </c>
      <c r="N327" s="14" t="s">
        <v>253</v>
      </c>
      <c r="O327" s="15" t="s">
        <v>1001</v>
      </c>
      <c r="P327" s="14" t="s">
        <v>255</v>
      </c>
      <c r="Q327" s="14" t="s">
        <v>255</v>
      </c>
      <c r="R327" s="14" t="s">
        <v>255</v>
      </c>
      <c r="S327" s="17">
        <v>11.27</v>
      </c>
      <c r="T327" s="14" t="s">
        <v>256</v>
      </c>
      <c r="U327" s="14" t="s">
        <v>257</v>
      </c>
      <c r="V327" s="14" t="s">
        <v>112</v>
      </c>
      <c r="W327" s="18">
        <v>50400000</v>
      </c>
      <c r="X327" s="18">
        <v>50400000</v>
      </c>
      <c r="Y327" s="19" t="s">
        <v>339</v>
      </c>
      <c r="Z327" s="19" t="s">
        <v>258</v>
      </c>
      <c r="AA327" s="14" t="s">
        <v>971</v>
      </c>
      <c r="AB327" s="14" t="s">
        <v>972</v>
      </c>
      <c r="AC327" s="14">
        <v>6012220616</v>
      </c>
      <c r="AD327" s="14" t="s">
        <v>973</v>
      </c>
      <c r="AE327" s="82">
        <v>0</v>
      </c>
      <c r="AF327" s="82">
        <v>0</v>
      </c>
      <c r="AG327" s="82">
        <v>50400000</v>
      </c>
      <c r="AH327" s="82">
        <v>0</v>
      </c>
      <c r="AI327" s="82">
        <v>0</v>
      </c>
      <c r="AJ327" s="82">
        <v>5000000</v>
      </c>
      <c r="AK327" s="82">
        <v>0</v>
      </c>
      <c r="AL327" s="82">
        <v>5000000</v>
      </c>
      <c r="AM327" s="82">
        <v>0</v>
      </c>
      <c r="AN327" s="82">
        <v>5000000</v>
      </c>
      <c r="AO327" s="82">
        <v>0</v>
      </c>
      <c r="AP327" s="82">
        <v>5000000</v>
      </c>
      <c r="AQ327" s="82">
        <v>0</v>
      </c>
      <c r="AR327" s="82">
        <v>5000000</v>
      </c>
      <c r="AS327" s="82">
        <v>0</v>
      </c>
      <c r="AT327" s="82">
        <v>5000000</v>
      </c>
      <c r="AU327" s="82">
        <v>0</v>
      </c>
      <c r="AV327" s="82">
        <v>5000000</v>
      </c>
      <c r="AW327" s="82">
        <v>0</v>
      </c>
      <c r="AX327" s="82">
        <v>5000000</v>
      </c>
      <c r="AY327" s="82">
        <v>0</v>
      </c>
      <c r="AZ327" s="82">
        <v>1400000</v>
      </c>
      <c r="BA327" s="82">
        <v>0</v>
      </c>
      <c r="BB327" s="82">
        <v>9000000</v>
      </c>
      <c r="BC327" s="82">
        <f t="shared" ref="BC327:BD327" si="641">AE327+AG327+AI327+AK327+AM327+AO327+AQ327+AS327+AU327+AW327+AY327+BA327</f>
        <v>50400000</v>
      </c>
      <c r="BD327" s="82">
        <f t="shared" si="641"/>
        <v>50400000</v>
      </c>
      <c r="BE327" s="83">
        <f t="shared" si="538"/>
        <v>0</v>
      </c>
      <c r="BF327" s="83">
        <f t="shared" si="539"/>
        <v>0</v>
      </c>
      <c r="BG327" s="14" t="str">
        <f ca="1">IFERROR(__xludf.DUMMYFUNCTION("REGEXEXTRACT(O321,""^\S+\s(.+)$"")"),"Prestar servicios profesionales en la gestión jurídica integral de la UPME, mediante el análisis, elaboración y proyección de conceptos jurídicos, respuestas a requerimientos, recursos administrativos y demás actuaciones jurídicas, de conformidad con el m"&amp;"arco normativo vigente.")</f>
        <v>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v>
      </c>
      <c r="BH327" s="23"/>
      <c r="BI327" s="23"/>
      <c r="BJ327" s="23">
        <v>50400000</v>
      </c>
      <c r="BK327" s="23"/>
      <c r="BL327" s="23"/>
      <c r="BM327" s="23">
        <v>5000000</v>
      </c>
      <c r="BN327" s="23"/>
      <c r="BO327" s="23">
        <v>5000000</v>
      </c>
      <c r="BP327" s="23"/>
      <c r="BQ327" s="23">
        <v>5000000</v>
      </c>
      <c r="BR327" s="23"/>
      <c r="BS327" s="23">
        <v>5000000</v>
      </c>
      <c r="BT327" s="23"/>
      <c r="BU327" s="23">
        <v>5000000</v>
      </c>
      <c r="BV327" s="23"/>
      <c r="BW327" s="23">
        <v>5000000</v>
      </c>
      <c r="BX327" s="23"/>
      <c r="BY327" s="23">
        <v>5000000</v>
      </c>
      <c r="BZ327" s="23"/>
      <c r="CA327" s="23">
        <v>5000000</v>
      </c>
      <c r="CB327" s="23"/>
      <c r="CC327" s="23">
        <v>1400000</v>
      </c>
      <c r="CD327" s="23"/>
      <c r="CE327" s="23">
        <v>9000000</v>
      </c>
      <c r="CF327" s="28"/>
      <c r="CG327" s="28"/>
      <c r="CH327" s="25">
        <f t="shared" ref="CH327:CI327" si="642">BH327+BJ327+BL327+BN327+BP327+BR327+BT327+BV327+BX327+BZ327+CB327+CD327+CF327</f>
        <v>50400000</v>
      </c>
      <c r="CI327" s="25">
        <f t="shared" si="642"/>
        <v>50400000</v>
      </c>
      <c r="CJ327" s="26">
        <f t="shared" si="518"/>
        <v>0</v>
      </c>
      <c r="CK327" s="26">
        <f t="shared" si="519"/>
        <v>0</v>
      </c>
    </row>
    <row r="328" spans="1:89" ht="90" customHeight="1" x14ac:dyDescent="0.3">
      <c r="A328" s="13" t="s">
        <v>248</v>
      </c>
      <c r="B328" s="14" t="s">
        <v>30</v>
      </c>
      <c r="C328" s="15" t="s">
        <v>967</v>
      </c>
      <c r="D328" s="14" t="s">
        <v>60</v>
      </c>
      <c r="E328" s="13" t="s">
        <v>250</v>
      </c>
      <c r="F328" s="13" t="s">
        <v>250</v>
      </c>
      <c r="G328" s="14">
        <v>3</v>
      </c>
      <c r="H328" s="13" t="s">
        <v>1002</v>
      </c>
      <c r="I328" s="15" t="s">
        <v>1000</v>
      </c>
      <c r="J328" s="14" t="s">
        <v>15</v>
      </c>
      <c r="K328" s="15" t="s">
        <v>71</v>
      </c>
      <c r="L328" s="14">
        <v>80111620</v>
      </c>
      <c r="M328" s="14" t="s">
        <v>31</v>
      </c>
      <c r="N328" s="14" t="s">
        <v>253</v>
      </c>
      <c r="O328" s="15" t="s">
        <v>1003</v>
      </c>
      <c r="P328" s="14" t="s">
        <v>255</v>
      </c>
      <c r="Q328" s="14" t="s">
        <v>255</v>
      </c>
      <c r="R328" s="14" t="s">
        <v>255</v>
      </c>
      <c r="S328" s="17">
        <v>11.4</v>
      </c>
      <c r="T328" s="14" t="s">
        <v>256</v>
      </c>
      <c r="U328" s="14" t="s">
        <v>257</v>
      </c>
      <c r="V328" s="14" t="s">
        <v>112</v>
      </c>
      <c r="W328" s="18">
        <v>43916819</v>
      </c>
      <c r="X328" s="18">
        <v>43916819</v>
      </c>
      <c r="Y328" s="19" t="s">
        <v>339</v>
      </c>
      <c r="Z328" s="19" t="s">
        <v>258</v>
      </c>
      <c r="AA328" s="14" t="s">
        <v>971</v>
      </c>
      <c r="AB328" s="14" t="s">
        <v>972</v>
      </c>
      <c r="AC328" s="14">
        <v>6012220616</v>
      </c>
      <c r="AD328" s="14" t="s">
        <v>973</v>
      </c>
      <c r="AE328" s="82">
        <v>0</v>
      </c>
      <c r="AF328" s="82">
        <v>0</v>
      </c>
      <c r="AG328" s="82">
        <v>43916819</v>
      </c>
      <c r="AH328" s="82">
        <v>0</v>
      </c>
      <c r="AI328" s="82">
        <v>0</v>
      </c>
      <c r="AJ328" s="82">
        <v>6000000</v>
      </c>
      <c r="AK328" s="82">
        <v>0</v>
      </c>
      <c r="AL328" s="82">
        <v>6000000</v>
      </c>
      <c r="AM328" s="82">
        <v>0</v>
      </c>
      <c r="AN328" s="82">
        <v>6000000</v>
      </c>
      <c r="AO328" s="82">
        <v>0</v>
      </c>
      <c r="AP328" s="82">
        <v>6000000</v>
      </c>
      <c r="AQ328" s="82">
        <v>0</v>
      </c>
      <c r="AR328" s="82">
        <v>6000000</v>
      </c>
      <c r="AS328" s="82">
        <v>0</v>
      </c>
      <c r="AT328" s="82">
        <v>6000000</v>
      </c>
      <c r="AU328" s="82">
        <v>0</v>
      </c>
      <c r="AV328" s="82">
        <v>6000000</v>
      </c>
      <c r="AW328" s="82">
        <v>0</v>
      </c>
      <c r="AX328" s="82">
        <v>1916819</v>
      </c>
      <c r="AY328" s="82">
        <v>0</v>
      </c>
      <c r="AZ328" s="82">
        <v>0</v>
      </c>
      <c r="BA328" s="82">
        <v>0</v>
      </c>
      <c r="BB328" s="82">
        <v>0</v>
      </c>
      <c r="BC328" s="82">
        <f t="shared" ref="BC328:BD328" si="643">AE328+AG328+AI328+AK328+AM328+AO328+AQ328+AS328+AU328+AW328+AY328+BA328</f>
        <v>43916819</v>
      </c>
      <c r="BD328" s="82">
        <f t="shared" si="643"/>
        <v>43916819</v>
      </c>
      <c r="BE328" s="83">
        <f t="shared" si="538"/>
        <v>0</v>
      </c>
      <c r="BF328" s="83">
        <f t="shared" si="539"/>
        <v>0</v>
      </c>
      <c r="BG328" s="14" t="str">
        <f ca="1">IFERROR(__xludf.DUMMYFUNCTION("REGEXEXTRACT(O322,""^\S+\s(.+)$"")"),"Prestar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28" s="23"/>
      <c r="BI328" s="23"/>
      <c r="BJ328" s="23">
        <v>43916819</v>
      </c>
      <c r="BK328" s="23"/>
      <c r="BL328" s="23"/>
      <c r="BM328" s="23">
        <v>6000000</v>
      </c>
      <c r="BN328" s="23"/>
      <c r="BO328" s="23">
        <v>6000000</v>
      </c>
      <c r="BP328" s="23"/>
      <c r="BQ328" s="23">
        <v>6000000</v>
      </c>
      <c r="BR328" s="23"/>
      <c r="BS328" s="23">
        <v>6000000</v>
      </c>
      <c r="BT328" s="23"/>
      <c r="BU328" s="23">
        <v>6000000</v>
      </c>
      <c r="BV328" s="23"/>
      <c r="BW328" s="23">
        <v>6000000</v>
      </c>
      <c r="BX328" s="23"/>
      <c r="BY328" s="23">
        <v>6000000</v>
      </c>
      <c r="BZ328" s="23"/>
      <c r="CA328" s="23">
        <v>1916819</v>
      </c>
      <c r="CB328" s="23"/>
      <c r="CC328" s="23"/>
      <c r="CD328" s="23"/>
      <c r="CE328" s="23"/>
      <c r="CF328" s="28"/>
      <c r="CG328" s="28"/>
      <c r="CH328" s="25">
        <f t="shared" ref="CH328:CI328" si="644">BH328+BJ328+BL328+BN328+BP328+BR328+BT328+BV328+BX328+BZ328+CB328+CD328+CF328</f>
        <v>43916819</v>
      </c>
      <c r="CI328" s="25">
        <f t="shared" si="644"/>
        <v>43916819</v>
      </c>
      <c r="CJ328" s="26">
        <f t="shared" si="518"/>
        <v>0</v>
      </c>
      <c r="CK328" s="26">
        <f t="shared" si="519"/>
        <v>0</v>
      </c>
    </row>
    <row r="329" spans="1:89" ht="90" customHeight="1" x14ac:dyDescent="0.3">
      <c r="A329" s="13" t="s">
        <v>248</v>
      </c>
      <c r="B329" s="14" t="s">
        <v>30</v>
      </c>
      <c r="C329" s="15" t="s">
        <v>967</v>
      </c>
      <c r="D329" s="14" t="s">
        <v>60</v>
      </c>
      <c r="E329" s="13" t="s">
        <v>250</v>
      </c>
      <c r="F329" s="13" t="s">
        <v>250</v>
      </c>
      <c r="G329" s="14">
        <v>3</v>
      </c>
      <c r="H329" s="13" t="s">
        <v>1004</v>
      </c>
      <c r="I329" s="15" t="s">
        <v>969</v>
      </c>
      <c r="J329" s="14" t="s">
        <v>9</v>
      </c>
      <c r="K329" s="15" t="s">
        <v>74</v>
      </c>
      <c r="L329" s="14">
        <v>80111620</v>
      </c>
      <c r="M329" s="14" t="s">
        <v>32</v>
      </c>
      <c r="N329" s="14" t="s">
        <v>253</v>
      </c>
      <c r="O329" s="15" t="s">
        <v>1005</v>
      </c>
      <c r="P329" s="14" t="s">
        <v>255</v>
      </c>
      <c r="Q329" s="14" t="s">
        <v>255</v>
      </c>
      <c r="R329" s="14" t="s">
        <v>255</v>
      </c>
      <c r="S329" s="17">
        <v>11.4</v>
      </c>
      <c r="T329" s="14" t="s">
        <v>256</v>
      </c>
      <c r="U329" s="14" t="s">
        <v>257</v>
      </c>
      <c r="V329" s="14" t="s">
        <v>112</v>
      </c>
      <c r="W329" s="18">
        <v>6483181</v>
      </c>
      <c r="X329" s="18">
        <v>6483181</v>
      </c>
      <c r="Y329" s="19" t="s">
        <v>339</v>
      </c>
      <c r="Z329" s="19" t="s">
        <v>258</v>
      </c>
      <c r="AA329" s="14" t="s">
        <v>971</v>
      </c>
      <c r="AB329" s="14" t="s">
        <v>972</v>
      </c>
      <c r="AC329" s="14">
        <v>6012220617</v>
      </c>
      <c r="AD329" s="14" t="s">
        <v>973</v>
      </c>
      <c r="AE329" s="82">
        <v>0</v>
      </c>
      <c r="AF329" s="82">
        <v>0</v>
      </c>
      <c r="AG329" s="82">
        <v>6483181</v>
      </c>
      <c r="AH329" s="82">
        <v>0</v>
      </c>
      <c r="AI329" s="82">
        <v>0</v>
      </c>
      <c r="AJ329" s="82">
        <v>0</v>
      </c>
      <c r="AK329" s="82">
        <v>0</v>
      </c>
      <c r="AL329" s="82">
        <v>0</v>
      </c>
      <c r="AM329" s="82">
        <v>0</v>
      </c>
      <c r="AN329" s="82">
        <v>0</v>
      </c>
      <c r="AO329" s="82">
        <v>0</v>
      </c>
      <c r="AP329" s="82">
        <v>0</v>
      </c>
      <c r="AQ329" s="82">
        <v>0</v>
      </c>
      <c r="AR329" s="82">
        <v>0</v>
      </c>
      <c r="AS329" s="82">
        <v>0</v>
      </c>
      <c r="AT329" s="82">
        <v>0</v>
      </c>
      <c r="AU329" s="82">
        <v>0</v>
      </c>
      <c r="AV329" s="82">
        <v>0</v>
      </c>
      <c r="AW329" s="82">
        <v>0</v>
      </c>
      <c r="AX329" s="82">
        <v>4083181</v>
      </c>
      <c r="AY329" s="82">
        <v>0</v>
      </c>
      <c r="AZ329" s="82">
        <v>2400000</v>
      </c>
      <c r="BA329" s="82">
        <v>0</v>
      </c>
      <c r="BB329" s="82">
        <v>0</v>
      </c>
      <c r="BC329" s="82">
        <f t="shared" ref="BC329:BD329" si="645">AE329+AG329+AI329+AK329+AM329+AO329+AQ329+AS329+AU329+AW329+AY329+BA329</f>
        <v>6483181</v>
      </c>
      <c r="BD329" s="82">
        <f t="shared" si="645"/>
        <v>6483181</v>
      </c>
      <c r="BE329" s="83">
        <f t="shared" si="538"/>
        <v>0</v>
      </c>
      <c r="BF329" s="83">
        <f t="shared" si="539"/>
        <v>0</v>
      </c>
      <c r="BG329" s="14" t="str">
        <f ca="1">IFERROR(__xludf.DUMMYFUNCTION("REGEXEXTRACT(O323,""^\S+\s(.+)$"")"),"Prestar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29" s="23"/>
      <c r="BI329" s="23"/>
      <c r="BJ329" s="23">
        <v>6483181</v>
      </c>
      <c r="BK329" s="23"/>
      <c r="BL329" s="23"/>
      <c r="BM329" s="23"/>
      <c r="BN329" s="23"/>
      <c r="BO329" s="23"/>
      <c r="BP329" s="23"/>
      <c r="BQ329" s="23"/>
      <c r="BR329" s="23"/>
      <c r="BS329" s="23"/>
      <c r="BT329" s="23"/>
      <c r="BU329" s="23"/>
      <c r="BV329" s="23"/>
      <c r="BW329" s="23"/>
      <c r="BX329" s="23"/>
      <c r="BY329" s="23"/>
      <c r="BZ329" s="23"/>
      <c r="CA329" s="23">
        <v>4083181</v>
      </c>
      <c r="CB329" s="23"/>
      <c r="CC329" s="23">
        <v>2400000</v>
      </c>
      <c r="CD329" s="23"/>
      <c r="CE329" s="23"/>
      <c r="CF329" s="28"/>
      <c r="CG329" s="28"/>
      <c r="CH329" s="25">
        <f t="shared" ref="CH329:CI329" si="646">BH329+BJ329+BL329+BN329+BP329+BR329+BT329+BV329+BX329+BZ329+CB329+CD329+CF329</f>
        <v>6483181</v>
      </c>
      <c r="CI329" s="25">
        <f t="shared" si="646"/>
        <v>6483181</v>
      </c>
      <c r="CJ329" s="26">
        <f t="shared" si="518"/>
        <v>0</v>
      </c>
      <c r="CK329" s="26">
        <f t="shared" si="519"/>
        <v>0</v>
      </c>
    </row>
    <row r="330" spans="1:89" ht="90" customHeight="1" x14ac:dyDescent="0.3">
      <c r="A330" s="13" t="s">
        <v>248</v>
      </c>
      <c r="B330" s="14" t="s">
        <v>30</v>
      </c>
      <c r="C330" s="15" t="s">
        <v>967</v>
      </c>
      <c r="D330" s="14" t="s">
        <v>60</v>
      </c>
      <c r="E330" s="13" t="s">
        <v>250</v>
      </c>
      <c r="F330" s="13" t="s">
        <v>250</v>
      </c>
      <c r="G330" s="14">
        <v>68</v>
      </c>
      <c r="H330" s="13" t="s">
        <v>1006</v>
      </c>
      <c r="I330" s="15" t="s">
        <v>969</v>
      </c>
      <c r="J330" s="14" t="s">
        <v>9</v>
      </c>
      <c r="K330" s="15" t="s">
        <v>73</v>
      </c>
      <c r="L330" s="14">
        <v>80111620</v>
      </c>
      <c r="M330" s="14" t="s">
        <v>32</v>
      </c>
      <c r="N330" s="14" t="s">
        <v>253</v>
      </c>
      <c r="O330" s="15" t="s">
        <v>1007</v>
      </c>
      <c r="P330" s="14" t="s">
        <v>255</v>
      </c>
      <c r="Q330" s="14" t="s">
        <v>255</v>
      </c>
      <c r="R330" s="14" t="s">
        <v>255</v>
      </c>
      <c r="S330" s="17">
        <v>11.5</v>
      </c>
      <c r="T330" s="14" t="s">
        <v>256</v>
      </c>
      <c r="U330" s="14" t="s">
        <v>257</v>
      </c>
      <c r="V330" s="14" t="s">
        <v>112</v>
      </c>
      <c r="W330" s="18">
        <v>57500000</v>
      </c>
      <c r="X330" s="18">
        <v>57500000</v>
      </c>
      <c r="Y330" s="19" t="s">
        <v>339</v>
      </c>
      <c r="Z330" s="19" t="s">
        <v>258</v>
      </c>
      <c r="AA330" s="14" t="s">
        <v>971</v>
      </c>
      <c r="AB330" s="14" t="s">
        <v>972</v>
      </c>
      <c r="AC330" s="14">
        <v>6012220618</v>
      </c>
      <c r="AD330" s="14" t="s">
        <v>973</v>
      </c>
      <c r="AE330" s="82">
        <v>57500000</v>
      </c>
      <c r="AF330" s="82">
        <v>0</v>
      </c>
      <c r="AG330" s="82">
        <v>0</v>
      </c>
      <c r="AH330" s="82">
        <v>0</v>
      </c>
      <c r="AI330" s="82">
        <v>0</v>
      </c>
      <c r="AJ330" s="82">
        <v>0</v>
      </c>
      <c r="AK330" s="82">
        <v>0</v>
      </c>
      <c r="AL330" s="82">
        <v>0</v>
      </c>
      <c r="AM330" s="82">
        <v>0</v>
      </c>
      <c r="AN330" s="82">
        <v>0</v>
      </c>
      <c r="AO330" s="82">
        <v>0</v>
      </c>
      <c r="AP330" s="82">
        <v>0</v>
      </c>
      <c r="AQ330" s="82">
        <v>0</v>
      </c>
      <c r="AR330" s="82">
        <v>0</v>
      </c>
      <c r="AS330" s="82">
        <v>0</v>
      </c>
      <c r="AT330" s="82">
        <v>0</v>
      </c>
      <c r="AU330" s="82">
        <v>0</v>
      </c>
      <c r="AV330" s="82">
        <v>10000000</v>
      </c>
      <c r="AW330" s="82">
        <v>0</v>
      </c>
      <c r="AX330" s="82">
        <v>10000000</v>
      </c>
      <c r="AY330" s="82">
        <v>0</v>
      </c>
      <c r="AZ330" s="82">
        <v>10000000</v>
      </c>
      <c r="BA330" s="82">
        <v>0</v>
      </c>
      <c r="BB330" s="82">
        <v>27500000</v>
      </c>
      <c r="BC330" s="82">
        <f t="shared" ref="BC330:BD330" si="647">AE330+AG330+AI330+AK330+AM330+AO330+AQ330+AS330+AU330+AW330+AY330+BA330</f>
        <v>57500000</v>
      </c>
      <c r="BD330" s="82">
        <f t="shared" si="647"/>
        <v>57500000</v>
      </c>
      <c r="BE330" s="83">
        <f t="shared" si="538"/>
        <v>0</v>
      </c>
      <c r="BF330" s="83">
        <f t="shared" si="539"/>
        <v>0</v>
      </c>
      <c r="BG330" s="14" t="str">
        <f ca="1">IFERROR(__xludf.DUMMYFUNCTION("REGEXEXTRACT(O324,""^\S+\s(.+)$"")"),"Prestación de servicios profesionales para el diseño, desarrollo y fortalecimiento de la estrategia de comunicación y divulgación de los portales interactivos, sistemas de información, trámites e instrumentos de planeación asociados a las Subdirecciones d"&amp;"e Gestión de la Información y de Demanda.")</f>
        <v>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v>
      </c>
      <c r="BH330" s="23">
        <v>57500000</v>
      </c>
      <c r="BI330" s="23"/>
      <c r="BJ330" s="23"/>
      <c r="BK330" s="23"/>
      <c r="BL330" s="23"/>
      <c r="BM330" s="23"/>
      <c r="BN330" s="23"/>
      <c r="BO330" s="23"/>
      <c r="BP330" s="23"/>
      <c r="BQ330" s="23"/>
      <c r="BR330" s="23"/>
      <c r="BS330" s="23"/>
      <c r="BT330" s="23"/>
      <c r="BU330" s="23"/>
      <c r="BV330" s="23"/>
      <c r="BW330" s="23"/>
      <c r="BX330" s="23"/>
      <c r="BY330" s="23">
        <v>10000000</v>
      </c>
      <c r="BZ330" s="23"/>
      <c r="CA330" s="23">
        <v>10000000</v>
      </c>
      <c r="CB330" s="23"/>
      <c r="CC330" s="23">
        <v>10000000</v>
      </c>
      <c r="CD330" s="23"/>
      <c r="CE330" s="23">
        <v>27500000</v>
      </c>
      <c r="CF330" s="28"/>
      <c r="CG330" s="28"/>
      <c r="CH330" s="25">
        <f t="shared" ref="CH330:CI330" si="648">BH330+BJ330+BL330+BN330+BP330+BR330+BT330+BV330+BX330+BZ330+CB330+CD330+CF330</f>
        <v>57500000</v>
      </c>
      <c r="CI330" s="25">
        <f t="shared" si="648"/>
        <v>57500000</v>
      </c>
      <c r="CJ330" s="26">
        <f t="shared" si="518"/>
        <v>0</v>
      </c>
      <c r="CK330" s="26">
        <f t="shared" si="519"/>
        <v>0</v>
      </c>
    </row>
    <row r="331" spans="1:89" ht="90" customHeight="1" x14ac:dyDescent="0.3">
      <c r="A331" s="13" t="s">
        <v>248</v>
      </c>
      <c r="B331" s="14" t="s">
        <v>30</v>
      </c>
      <c r="C331" s="15" t="s">
        <v>967</v>
      </c>
      <c r="D331" s="14" t="s">
        <v>60</v>
      </c>
      <c r="E331" s="13" t="s">
        <v>250</v>
      </c>
      <c r="F331" s="13" t="s">
        <v>250</v>
      </c>
      <c r="G331" s="14">
        <v>68</v>
      </c>
      <c r="H331" s="13" t="s">
        <v>1008</v>
      </c>
      <c r="I331" s="15" t="s">
        <v>969</v>
      </c>
      <c r="J331" s="14" t="s">
        <v>9</v>
      </c>
      <c r="K331" s="15" t="s">
        <v>74</v>
      </c>
      <c r="L331" s="14">
        <v>80111620</v>
      </c>
      <c r="M331" s="14" t="s">
        <v>32</v>
      </c>
      <c r="N331" s="14" t="s">
        <v>253</v>
      </c>
      <c r="O331" s="15" t="s">
        <v>1009</v>
      </c>
      <c r="P331" s="14" t="s">
        <v>255</v>
      </c>
      <c r="Q331" s="14" t="s">
        <v>255</v>
      </c>
      <c r="R331" s="14" t="s">
        <v>255</v>
      </c>
      <c r="S331" s="17">
        <v>11.2</v>
      </c>
      <c r="T331" s="14" t="s">
        <v>256</v>
      </c>
      <c r="U331" s="14" t="s">
        <v>257</v>
      </c>
      <c r="V331" s="14" t="s">
        <v>113</v>
      </c>
      <c r="W331" s="18">
        <v>100800000</v>
      </c>
      <c r="X331" s="18">
        <v>100800000</v>
      </c>
      <c r="Y331" s="19" t="s">
        <v>339</v>
      </c>
      <c r="Z331" s="19" t="s">
        <v>258</v>
      </c>
      <c r="AA331" s="14" t="s">
        <v>971</v>
      </c>
      <c r="AB331" s="14" t="s">
        <v>972</v>
      </c>
      <c r="AC331" s="14">
        <v>6012220619</v>
      </c>
      <c r="AD331" s="14" t="s">
        <v>973</v>
      </c>
      <c r="AE331" s="82">
        <v>0</v>
      </c>
      <c r="AF331" s="82">
        <v>0</v>
      </c>
      <c r="AG331" s="82">
        <v>99000000</v>
      </c>
      <c r="AH331" s="82">
        <v>0</v>
      </c>
      <c r="AI331" s="82">
        <v>0</v>
      </c>
      <c r="AJ331" s="82">
        <v>9000000</v>
      </c>
      <c r="AK331" s="82">
        <v>0</v>
      </c>
      <c r="AL331" s="82">
        <v>9000000</v>
      </c>
      <c r="AM331" s="82">
        <v>0</v>
      </c>
      <c r="AN331" s="82">
        <v>9000000</v>
      </c>
      <c r="AO331" s="82">
        <v>0</v>
      </c>
      <c r="AP331" s="82">
        <v>9000000</v>
      </c>
      <c r="AQ331" s="82">
        <v>0</v>
      </c>
      <c r="AR331" s="82">
        <v>9000000</v>
      </c>
      <c r="AS331" s="82">
        <v>0</v>
      </c>
      <c r="AT331" s="82">
        <v>9000000</v>
      </c>
      <c r="AU331" s="82">
        <v>0</v>
      </c>
      <c r="AV331" s="82">
        <v>9000000</v>
      </c>
      <c r="AW331" s="82">
        <v>0</v>
      </c>
      <c r="AX331" s="82">
        <v>9000000</v>
      </c>
      <c r="AY331" s="82">
        <v>0</v>
      </c>
      <c r="AZ331" s="82">
        <v>9000000</v>
      </c>
      <c r="BA331" s="82">
        <v>1800000</v>
      </c>
      <c r="BB331" s="82">
        <v>19800000</v>
      </c>
      <c r="BC331" s="82">
        <f t="shared" ref="BC331:BD331" si="649">AE331+AG331+AI331+AK331+AM331+AO331+AQ331+AS331+AU331+AW331+AY331+BA331</f>
        <v>100800000</v>
      </c>
      <c r="BD331" s="82">
        <f t="shared" si="649"/>
        <v>100800000</v>
      </c>
      <c r="BE331" s="83">
        <f t="shared" si="538"/>
        <v>0</v>
      </c>
      <c r="BF331" s="83">
        <f t="shared" si="539"/>
        <v>0</v>
      </c>
      <c r="BG331" s="14" t="str">
        <f ca="1">IFERROR(__xludf.DUMMYFUNCTION("REGEXEXTRACT(O325,""^\S+\s(.+)$"")"),"Prestar servicios profesionales para la recopilación, sistematización y centralización de información relacionada con la bioenergía en Colombia, con el propósito de fortalecer la gestión, el análisis y la disponibilidad de datos del equipo de Nuevos Energ"&amp;"éticos, en apoyo a las acciones de planeación y desarrollo del sector energético nacional.")</f>
        <v>Prestar servicios profesionales para la recopilación, sistematización y centralización de información relacionada con la bioenergía en Colombia, con el propósito de fortalecer la gestión, el análisis y la disponibilidad de datos del equipo de Nuevos Energéticos, en apoyo a las acciones de planeación y desarrollo del sector energético nacional.</v>
      </c>
      <c r="BH331" s="23"/>
      <c r="BI331" s="23"/>
      <c r="BJ331" s="23">
        <v>99000000</v>
      </c>
      <c r="BK331" s="23"/>
      <c r="BL331" s="23"/>
      <c r="BM331" s="23">
        <v>9000000</v>
      </c>
      <c r="BN331" s="23"/>
      <c r="BO331" s="23">
        <v>9000000</v>
      </c>
      <c r="BP331" s="23"/>
      <c r="BQ331" s="23">
        <v>9000000</v>
      </c>
      <c r="BR331" s="23"/>
      <c r="BS331" s="23">
        <v>9000000</v>
      </c>
      <c r="BT331" s="23"/>
      <c r="BU331" s="23">
        <v>9000000</v>
      </c>
      <c r="BV331" s="23"/>
      <c r="BW331" s="23">
        <v>9000000</v>
      </c>
      <c r="BX331" s="23"/>
      <c r="BY331" s="23">
        <v>9000000</v>
      </c>
      <c r="BZ331" s="23"/>
      <c r="CA331" s="23">
        <v>9000000</v>
      </c>
      <c r="CB331" s="23"/>
      <c r="CC331" s="23">
        <v>9000000</v>
      </c>
      <c r="CD331" s="23">
        <v>1800000</v>
      </c>
      <c r="CE331" s="23">
        <v>19800000</v>
      </c>
      <c r="CF331" s="28"/>
      <c r="CG331" s="28"/>
      <c r="CH331" s="25">
        <f t="shared" ref="CH331:CI331" si="650">BH331+BJ331+BL331+BN331+BP331+BR331+BT331+BV331+BX331+BZ331+CB331+CD331+CF331</f>
        <v>100800000</v>
      </c>
      <c r="CI331" s="25">
        <f t="shared" si="650"/>
        <v>100800000</v>
      </c>
      <c r="CJ331" s="26">
        <f t="shared" si="518"/>
        <v>0</v>
      </c>
      <c r="CK331" s="26">
        <f t="shared" si="519"/>
        <v>0</v>
      </c>
    </row>
    <row r="332" spans="1:89" ht="90" customHeight="1" x14ac:dyDescent="0.3">
      <c r="A332" s="13" t="s">
        <v>248</v>
      </c>
      <c r="B332" s="14" t="s">
        <v>30</v>
      </c>
      <c r="C332" s="15" t="s">
        <v>967</v>
      </c>
      <c r="D332" s="14" t="s">
        <v>60</v>
      </c>
      <c r="E332" s="13" t="s">
        <v>250</v>
      </c>
      <c r="F332" s="13" t="s">
        <v>250</v>
      </c>
      <c r="G332" s="14">
        <v>6</v>
      </c>
      <c r="H332" s="13" t="s">
        <v>1010</v>
      </c>
      <c r="I332" s="15" t="s">
        <v>969</v>
      </c>
      <c r="J332" s="14" t="s">
        <v>9</v>
      </c>
      <c r="K332" s="15" t="s">
        <v>74</v>
      </c>
      <c r="L332" s="14">
        <v>80111620</v>
      </c>
      <c r="M332" s="14" t="s">
        <v>32</v>
      </c>
      <c r="N332" s="14" t="s">
        <v>253</v>
      </c>
      <c r="O332" s="15" t="s">
        <v>1011</v>
      </c>
      <c r="P332" s="14" t="s">
        <v>255</v>
      </c>
      <c r="Q332" s="14" t="s">
        <v>255</v>
      </c>
      <c r="R332" s="14" t="s">
        <v>255</v>
      </c>
      <c r="S332" s="17">
        <v>11.5</v>
      </c>
      <c r="T332" s="14" t="s">
        <v>256</v>
      </c>
      <c r="U332" s="14" t="s">
        <v>257</v>
      </c>
      <c r="V332" s="14" t="s">
        <v>112</v>
      </c>
      <c r="W332" s="18">
        <v>57500000</v>
      </c>
      <c r="X332" s="18">
        <v>57500000</v>
      </c>
      <c r="Y332" s="19" t="s">
        <v>339</v>
      </c>
      <c r="Z332" s="19" t="s">
        <v>258</v>
      </c>
      <c r="AA332" s="14" t="s">
        <v>971</v>
      </c>
      <c r="AB332" s="14" t="s">
        <v>972</v>
      </c>
      <c r="AC332" s="14">
        <v>6012220621</v>
      </c>
      <c r="AD332" s="14" t="s">
        <v>973</v>
      </c>
      <c r="AE332" s="82">
        <v>55000000</v>
      </c>
      <c r="AF332" s="82">
        <v>0</v>
      </c>
      <c r="AG332" s="82">
        <v>0</v>
      </c>
      <c r="AH332" s="82">
        <v>0</v>
      </c>
      <c r="AI332" s="82">
        <v>0</v>
      </c>
      <c r="AJ332" s="82">
        <v>5000000</v>
      </c>
      <c r="AK332" s="82">
        <v>0</v>
      </c>
      <c r="AL332" s="82">
        <v>5000000</v>
      </c>
      <c r="AM332" s="82">
        <v>0</v>
      </c>
      <c r="AN332" s="82">
        <v>5000000</v>
      </c>
      <c r="AO332" s="82">
        <v>0</v>
      </c>
      <c r="AP332" s="82">
        <v>5000000</v>
      </c>
      <c r="AQ332" s="82">
        <v>0</v>
      </c>
      <c r="AR332" s="82">
        <v>5000000</v>
      </c>
      <c r="AS332" s="82">
        <v>0</v>
      </c>
      <c r="AT332" s="82">
        <v>5000000</v>
      </c>
      <c r="AU332" s="82">
        <v>0</v>
      </c>
      <c r="AV332" s="82">
        <v>5000000</v>
      </c>
      <c r="AW332" s="82">
        <v>0</v>
      </c>
      <c r="AX332" s="82">
        <v>5000000</v>
      </c>
      <c r="AY332" s="82">
        <v>0</v>
      </c>
      <c r="AZ332" s="82">
        <v>5000000</v>
      </c>
      <c r="BA332" s="82">
        <v>2500000</v>
      </c>
      <c r="BB332" s="82">
        <v>12500000</v>
      </c>
      <c r="BC332" s="82">
        <f t="shared" ref="BC332:BD332" si="651">AE332+AG332+AI332+AK332+AM332+AO332+AQ332+AS332+AU332+AW332+AY332+BA332</f>
        <v>57500000</v>
      </c>
      <c r="BD332" s="82">
        <f t="shared" si="651"/>
        <v>57500000</v>
      </c>
      <c r="BE332" s="83">
        <f t="shared" si="538"/>
        <v>0</v>
      </c>
      <c r="BF332" s="83">
        <f t="shared" si="539"/>
        <v>0</v>
      </c>
      <c r="BG332" s="14" t="str">
        <f ca="1">IFERROR(__xludf.DUMMYFUNCTION("REGEXEXTRACT(O326,""^\S+\s(.+)$"")"),"Prestar servicios de apoyo a la gestión  para brindar soporte análisis de modelos de optimización y datos aplicados al sector energético, así como apoyar las actividades relacionadas con el procesamiento de la información, generación de resultados e indic"&amp;"adores que contribuyan a la toma de decisiones y al fortalecimiento de los procesos misionales dentro de la subdirección de demanda.")</f>
        <v>Prestar servicios de apoyo a la gestión  para brindar soporte análisis de modelos de optimización y datos aplicados al sector energético, así como apoyar las actividades relacionadas con el procesamiento de la información, generación de resultados e indicadores que contribuyan a la toma de decisiones y al fortalecimiento de los procesos misionales dentro de la subdirección de demanda.</v>
      </c>
      <c r="BH332" s="23">
        <v>55000000</v>
      </c>
      <c r="BI332" s="23"/>
      <c r="BJ332" s="23"/>
      <c r="BK332" s="23"/>
      <c r="BL332" s="23"/>
      <c r="BM332" s="23">
        <v>5000000</v>
      </c>
      <c r="BN332" s="23"/>
      <c r="BO332" s="23">
        <v>5000000</v>
      </c>
      <c r="BP332" s="23"/>
      <c r="BQ332" s="23">
        <v>5000000</v>
      </c>
      <c r="BR332" s="23"/>
      <c r="BS332" s="23">
        <v>5000000</v>
      </c>
      <c r="BT332" s="23"/>
      <c r="BU332" s="23">
        <v>5000000</v>
      </c>
      <c r="BV332" s="23"/>
      <c r="BW332" s="23">
        <v>5000000</v>
      </c>
      <c r="BX332" s="23"/>
      <c r="BY332" s="23">
        <v>5000000</v>
      </c>
      <c r="BZ332" s="23"/>
      <c r="CA332" s="23">
        <v>5000000</v>
      </c>
      <c r="CB332" s="23"/>
      <c r="CC332" s="23">
        <v>5000000</v>
      </c>
      <c r="CD332" s="23">
        <v>2500000</v>
      </c>
      <c r="CE332" s="23">
        <v>12500000</v>
      </c>
      <c r="CF332" s="28"/>
      <c r="CG332" s="28"/>
      <c r="CH332" s="25">
        <f t="shared" ref="CH332:CI332" si="652">BH332+BJ332+BL332+BN332+BP332+BR332+BT332+BV332+BX332+BZ332+CB332+CD332+CF332</f>
        <v>57500000</v>
      </c>
      <c r="CI332" s="25">
        <f t="shared" si="652"/>
        <v>57500000</v>
      </c>
      <c r="CJ332" s="26">
        <f t="shared" si="518"/>
        <v>0</v>
      </c>
      <c r="CK332" s="26">
        <f t="shared" si="519"/>
        <v>0</v>
      </c>
    </row>
    <row r="333" spans="1:89" ht="90" customHeight="1" x14ac:dyDescent="0.3">
      <c r="A333" s="13" t="s">
        <v>248</v>
      </c>
      <c r="B333" s="14" t="s">
        <v>30</v>
      </c>
      <c r="C333" s="15" t="s">
        <v>967</v>
      </c>
      <c r="D333" s="14" t="s">
        <v>60</v>
      </c>
      <c r="E333" s="13" t="s">
        <v>250</v>
      </c>
      <c r="F333" s="13" t="s">
        <v>250</v>
      </c>
      <c r="G333" s="14">
        <v>68</v>
      </c>
      <c r="H333" s="13" t="s">
        <v>1012</v>
      </c>
      <c r="I333" s="15" t="s">
        <v>987</v>
      </c>
      <c r="J333" s="14" t="s">
        <v>4</v>
      </c>
      <c r="K333" s="15" t="s">
        <v>72</v>
      </c>
      <c r="L333" s="14">
        <v>80111620</v>
      </c>
      <c r="M333" s="14" t="s">
        <v>33</v>
      </c>
      <c r="N333" s="14" t="s">
        <v>253</v>
      </c>
      <c r="O333" s="15" t="s">
        <v>1013</v>
      </c>
      <c r="P333" s="14" t="s">
        <v>255</v>
      </c>
      <c r="Q333" s="14" t="s">
        <v>255</v>
      </c>
      <c r="R333" s="14" t="s">
        <v>255</v>
      </c>
      <c r="S333" s="17">
        <v>11.5</v>
      </c>
      <c r="T333" s="14" t="s">
        <v>256</v>
      </c>
      <c r="U333" s="14" t="s">
        <v>257</v>
      </c>
      <c r="V333" s="14" t="s">
        <v>112</v>
      </c>
      <c r="W333" s="18">
        <v>69000000</v>
      </c>
      <c r="X333" s="18">
        <v>69000000</v>
      </c>
      <c r="Y333" s="19" t="s">
        <v>339</v>
      </c>
      <c r="Z333" s="19" t="s">
        <v>258</v>
      </c>
      <c r="AA333" s="14" t="s">
        <v>971</v>
      </c>
      <c r="AB333" s="14" t="s">
        <v>972</v>
      </c>
      <c r="AC333" s="14">
        <v>6012220622</v>
      </c>
      <c r="AD333" s="14" t="s">
        <v>973</v>
      </c>
      <c r="AE333" s="82">
        <v>0</v>
      </c>
      <c r="AF333" s="82">
        <v>0</v>
      </c>
      <c r="AG333" s="82">
        <v>0</v>
      </c>
      <c r="AH333" s="82">
        <v>0</v>
      </c>
      <c r="AI333" s="82">
        <v>0</v>
      </c>
      <c r="AJ333" s="82">
        <v>0</v>
      </c>
      <c r="AK333" s="82">
        <v>0</v>
      </c>
      <c r="AL333" s="82">
        <v>0</v>
      </c>
      <c r="AM333" s="82">
        <v>0</v>
      </c>
      <c r="AN333" s="82">
        <v>0</v>
      </c>
      <c r="AO333" s="82">
        <v>0</v>
      </c>
      <c r="AP333" s="82">
        <v>0</v>
      </c>
      <c r="AQ333" s="82">
        <v>0</v>
      </c>
      <c r="AR333" s="82">
        <v>0</v>
      </c>
      <c r="AS333" s="82">
        <v>69000000</v>
      </c>
      <c r="AT333" s="82">
        <v>0</v>
      </c>
      <c r="AU333" s="82">
        <v>0</v>
      </c>
      <c r="AV333" s="82">
        <v>13800000</v>
      </c>
      <c r="AW333" s="82">
        <v>0</v>
      </c>
      <c r="AX333" s="82">
        <v>13800000</v>
      </c>
      <c r="AY333" s="82">
        <v>0</v>
      </c>
      <c r="AZ333" s="82">
        <v>13800000</v>
      </c>
      <c r="BA333" s="82">
        <v>0</v>
      </c>
      <c r="BB333" s="82">
        <v>27600000</v>
      </c>
      <c r="BC333" s="82">
        <f t="shared" ref="BC333:BD333" si="653">AE333+AG333+AI333+AK333+AM333+AO333+AQ333+AS333+AU333+AW333+AY333+BA333</f>
        <v>69000000</v>
      </c>
      <c r="BD333" s="82">
        <f t="shared" si="653"/>
        <v>69000000</v>
      </c>
      <c r="BE333" s="83">
        <f t="shared" si="538"/>
        <v>0</v>
      </c>
      <c r="BF333" s="83">
        <f t="shared" si="539"/>
        <v>0</v>
      </c>
      <c r="BG333" s="14" t="str">
        <f ca="1">IFERROR(__xludf.DUMMYFUNCTION("REGEXEXTRACT(O327,""^\S+\s(.+)$"")"),"Prestar servicios profesionales para la elaboración, análisis, actualización del Balance Energético Colombiano (BECO), mediante la recolección, depuración y análisis de información energética y económica, la construcción y  el desarrollo de análisis cuant"&amp;"itativos y cualitativos, y la elaboración de insumos técnicos.")</f>
        <v>Prestar servicios profesionales para la elaboración, análisis, actualización del Balance Energético Colombiano (BECO), mediante la recolección, depuración y análisis de información energética y económica, la construcción y  el desarrollo de análisis cuantitativos y cualitativos, y la elaboración de insumos técnicos.</v>
      </c>
      <c r="BH333" s="23"/>
      <c r="BI333" s="23"/>
      <c r="BJ333" s="23"/>
      <c r="BK333" s="23"/>
      <c r="BL333" s="23"/>
      <c r="BM333" s="23"/>
      <c r="BN333" s="23"/>
      <c r="BO333" s="23"/>
      <c r="BP333" s="23"/>
      <c r="BQ333" s="23"/>
      <c r="BR333" s="23"/>
      <c r="BS333" s="23"/>
      <c r="BT333" s="23"/>
      <c r="BU333" s="23"/>
      <c r="BV333" s="23">
        <v>69000000</v>
      </c>
      <c r="BW333" s="23"/>
      <c r="BX333" s="23"/>
      <c r="BY333" s="23">
        <v>13800000</v>
      </c>
      <c r="BZ333" s="23"/>
      <c r="CA333" s="23">
        <v>13800000</v>
      </c>
      <c r="CB333" s="23"/>
      <c r="CC333" s="23">
        <v>13800000</v>
      </c>
      <c r="CD333" s="23"/>
      <c r="CE333" s="23">
        <v>27600000</v>
      </c>
      <c r="CF333" s="28"/>
      <c r="CG333" s="28"/>
      <c r="CH333" s="25">
        <f t="shared" ref="CH333:CI333" si="654">BH333+BJ333+BL333+BN333+BP333+BR333+BT333+BV333+BX333+BZ333+CB333+CD333+CF333</f>
        <v>69000000</v>
      </c>
      <c r="CI333" s="25">
        <f t="shared" si="654"/>
        <v>69000000</v>
      </c>
      <c r="CJ333" s="26">
        <f t="shared" si="518"/>
        <v>0</v>
      </c>
      <c r="CK333" s="26">
        <f t="shared" si="519"/>
        <v>0</v>
      </c>
    </row>
    <row r="334" spans="1:89" ht="90" customHeight="1" x14ac:dyDescent="0.3">
      <c r="A334" s="13" t="s">
        <v>248</v>
      </c>
      <c r="B334" s="14" t="s">
        <v>30</v>
      </c>
      <c r="C334" s="15" t="s">
        <v>967</v>
      </c>
      <c r="D334" s="14" t="s">
        <v>60</v>
      </c>
      <c r="E334" s="13" t="s">
        <v>250</v>
      </c>
      <c r="F334" s="13" t="s">
        <v>250</v>
      </c>
      <c r="G334" s="14">
        <v>9</v>
      </c>
      <c r="H334" s="13" t="s">
        <v>1014</v>
      </c>
      <c r="I334" s="15" t="s">
        <v>969</v>
      </c>
      <c r="J334" s="14" t="s">
        <v>9</v>
      </c>
      <c r="K334" s="15" t="s">
        <v>74</v>
      </c>
      <c r="L334" s="14">
        <v>80111620</v>
      </c>
      <c r="M334" s="14" t="s">
        <v>32</v>
      </c>
      <c r="N334" s="14" t="s">
        <v>253</v>
      </c>
      <c r="O334" s="15" t="s">
        <v>1015</v>
      </c>
      <c r="P334" s="14" t="s">
        <v>255</v>
      </c>
      <c r="Q334" s="14" t="s">
        <v>255</v>
      </c>
      <c r="R334" s="14" t="s">
        <v>255</v>
      </c>
      <c r="S334" s="17">
        <v>11</v>
      </c>
      <c r="T334" s="14" t="s">
        <v>256</v>
      </c>
      <c r="U334" s="14" t="s">
        <v>257</v>
      </c>
      <c r="V334" s="14" t="s">
        <v>112</v>
      </c>
      <c r="W334" s="18">
        <v>36792000</v>
      </c>
      <c r="X334" s="18">
        <v>36792000</v>
      </c>
      <c r="Y334" s="19" t="s">
        <v>339</v>
      </c>
      <c r="Z334" s="19" t="s">
        <v>258</v>
      </c>
      <c r="AA334" s="14" t="s">
        <v>971</v>
      </c>
      <c r="AB334" s="14" t="s">
        <v>972</v>
      </c>
      <c r="AC334" s="14">
        <v>6012220623</v>
      </c>
      <c r="AD334" s="14" t="s">
        <v>973</v>
      </c>
      <c r="AE334" s="82">
        <v>0</v>
      </c>
      <c r="AF334" s="82">
        <v>0</v>
      </c>
      <c r="AG334" s="82">
        <v>0</v>
      </c>
      <c r="AH334" s="82">
        <v>0</v>
      </c>
      <c r="AI334" s="82">
        <v>0</v>
      </c>
      <c r="AJ334" s="82">
        <v>0</v>
      </c>
      <c r="AK334" s="82">
        <v>0</v>
      </c>
      <c r="AL334" s="82">
        <v>0</v>
      </c>
      <c r="AM334" s="82">
        <v>0</v>
      </c>
      <c r="AN334" s="82">
        <v>0</v>
      </c>
      <c r="AO334" s="82">
        <v>0</v>
      </c>
      <c r="AP334" s="82">
        <v>0</v>
      </c>
      <c r="AQ334" s="82">
        <v>36792000</v>
      </c>
      <c r="AR334" s="82">
        <v>0</v>
      </c>
      <c r="AS334" s="82">
        <v>0</v>
      </c>
      <c r="AT334" s="82">
        <v>4000000</v>
      </c>
      <c r="AU334" s="82">
        <v>0</v>
      </c>
      <c r="AV334" s="82">
        <v>4000000</v>
      </c>
      <c r="AW334" s="82">
        <v>0</v>
      </c>
      <c r="AX334" s="82">
        <v>4000000</v>
      </c>
      <c r="AY334" s="82">
        <v>0</v>
      </c>
      <c r="AZ334" s="82">
        <v>4000000</v>
      </c>
      <c r="BA334" s="82">
        <v>0</v>
      </c>
      <c r="BB334" s="82">
        <v>20792000</v>
      </c>
      <c r="BC334" s="82">
        <f t="shared" ref="BC334:BD334" si="655">AE334+AG334+AI334+AK334+AM334+AO334+AQ334+AS334+AU334+AW334+AY334+BA334</f>
        <v>36792000</v>
      </c>
      <c r="BD334" s="82">
        <f t="shared" si="655"/>
        <v>36792000</v>
      </c>
      <c r="BE334" s="83">
        <f t="shared" si="538"/>
        <v>0</v>
      </c>
      <c r="BF334" s="83">
        <f t="shared" si="539"/>
        <v>0</v>
      </c>
      <c r="BG334" s="14" t="str">
        <f ca="1">IFERROR(__xludf.DUMMYFUNCTION("REGEXEXTRACT(O328,""^\S+\s(.+)$"")"),"Prestar servicios profesionales para el análisis de información energética, contribuyendo a  la elaboración de estudios, reportes e indicadores.")</f>
        <v>Prestar servicios profesionales para el análisis de información energética, contribuyendo a  la elaboración de estudios, reportes e indicadores.</v>
      </c>
      <c r="BH334" s="23"/>
      <c r="BI334" s="23"/>
      <c r="BJ334" s="23"/>
      <c r="BK334" s="23"/>
      <c r="BL334" s="23"/>
      <c r="BM334" s="23"/>
      <c r="BN334" s="23"/>
      <c r="BO334" s="23"/>
      <c r="BP334" s="23"/>
      <c r="BQ334" s="23"/>
      <c r="BR334" s="23"/>
      <c r="BS334" s="23"/>
      <c r="BT334" s="23">
        <v>36792000</v>
      </c>
      <c r="BU334" s="23"/>
      <c r="BV334" s="23"/>
      <c r="BW334" s="23">
        <v>4000000</v>
      </c>
      <c r="BX334" s="23"/>
      <c r="BY334" s="23">
        <v>4000000</v>
      </c>
      <c r="BZ334" s="23"/>
      <c r="CA334" s="23">
        <v>4000000</v>
      </c>
      <c r="CB334" s="23"/>
      <c r="CC334" s="23">
        <v>4000000</v>
      </c>
      <c r="CD334" s="23"/>
      <c r="CE334" s="23">
        <v>20792000</v>
      </c>
      <c r="CF334" s="28"/>
      <c r="CG334" s="28"/>
      <c r="CH334" s="25">
        <f t="shared" ref="CH334:CI334" si="656">BH334+BJ334+BL334+BN334+BP334+BR334+BT334+BV334+BX334+BZ334+CB334+CD334+CF334</f>
        <v>36792000</v>
      </c>
      <c r="CI334" s="25">
        <f t="shared" si="656"/>
        <v>36792000</v>
      </c>
      <c r="CJ334" s="26">
        <f t="shared" si="518"/>
        <v>0</v>
      </c>
      <c r="CK334" s="26">
        <f t="shared" si="519"/>
        <v>0</v>
      </c>
    </row>
    <row r="335" spans="1:89" ht="90" customHeight="1" x14ac:dyDescent="0.3">
      <c r="A335" s="13" t="s">
        <v>248</v>
      </c>
      <c r="B335" s="14" t="s">
        <v>30</v>
      </c>
      <c r="C335" s="15" t="s">
        <v>967</v>
      </c>
      <c r="D335" s="14" t="s">
        <v>60</v>
      </c>
      <c r="E335" s="13" t="s">
        <v>250</v>
      </c>
      <c r="F335" s="13" t="s">
        <v>250</v>
      </c>
      <c r="G335" s="14">
        <v>8</v>
      </c>
      <c r="H335" s="13" t="s">
        <v>1016</v>
      </c>
      <c r="I335" s="15" t="s">
        <v>969</v>
      </c>
      <c r="J335" s="14" t="s">
        <v>9</v>
      </c>
      <c r="K335" s="15" t="s">
        <v>74</v>
      </c>
      <c r="L335" s="14">
        <v>80111620</v>
      </c>
      <c r="M335" s="14" t="s">
        <v>32</v>
      </c>
      <c r="N335" s="14" t="s">
        <v>253</v>
      </c>
      <c r="O335" s="15" t="s">
        <v>1017</v>
      </c>
      <c r="P335" s="14" t="s">
        <v>255</v>
      </c>
      <c r="Q335" s="14" t="s">
        <v>255</v>
      </c>
      <c r="R335" s="14" t="s">
        <v>255</v>
      </c>
      <c r="S335" s="17">
        <v>11</v>
      </c>
      <c r="T335" s="14" t="s">
        <v>256</v>
      </c>
      <c r="U335" s="14" t="s">
        <v>257</v>
      </c>
      <c r="V335" s="14" t="s">
        <v>112</v>
      </c>
      <c r="W335" s="18">
        <v>115000000</v>
      </c>
      <c r="X335" s="18">
        <v>115000000</v>
      </c>
      <c r="Y335" s="19" t="s">
        <v>339</v>
      </c>
      <c r="Z335" s="19" t="s">
        <v>258</v>
      </c>
      <c r="AA335" s="14" t="s">
        <v>971</v>
      </c>
      <c r="AB335" s="14" t="s">
        <v>972</v>
      </c>
      <c r="AC335" s="14">
        <v>6012220624</v>
      </c>
      <c r="AD335" s="14" t="s">
        <v>973</v>
      </c>
      <c r="AE335" s="82">
        <v>0</v>
      </c>
      <c r="AF335" s="82">
        <v>0</v>
      </c>
      <c r="AG335" s="82">
        <v>110000000</v>
      </c>
      <c r="AH335" s="82">
        <v>0</v>
      </c>
      <c r="AI335" s="82">
        <v>0</v>
      </c>
      <c r="AJ335" s="82">
        <v>10000000</v>
      </c>
      <c r="AK335" s="82">
        <v>0</v>
      </c>
      <c r="AL335" s="82">
        <v>10000000</v>
      </c>
      <c r="AM335" s="82">
        <v>0</v>
      </c>
      <c r="AN335" s="82">
        <v>10000000</v>
      </c>
      <c r="AO335" s="82">
        <v>0</v>
      </c>
      <c r="AP335" s="82">
        <v>10000000</v>
      </c>
      <c r="AQ335" s="82">
        <v>0</v>
      </c>
      <c r="AR335" s="82">
        <v>10000000</v>
      </c>
      <c r="AS335" s="82">
        <v>0</v>
      </c>
      <c r="AT335" s="82">
        <v>10000000</v>
      </c>
      <c r="AU335" s="82">
        <v>0</v>
      </c>
      <c r="AV335" s="82">
        <v>10000000</v>
      </c>
      <c r="AW335" s="82">
        <v>0</v>
      </c>
      <c r="AX335" s="82">
        <v>10000000</v>
      </c>
      <c r="AY335" s="82">
        <v>0</v>
      </c>
      <c r="AZ335" s="82">
        <v>10000000</v>
      </c>
      <c r="BA335" s="82">
        <v>5000000</v>
      </c>
      <c r="BB335" s="82">
        <v>25000000</v>
      </c>
      <c r="BC335" s="82">
        <f t="shared" ref="BC335:BD335" si="657">AE335+AG335+AI335+AK335+AM335+AO335+AQ335+AS335+AU335+AW335+AY335+BA335</f>
        <v>115000000</v>
      </c>
      <c r="BD335" s="82">
        <f t="shared" si="657"/>
        <v>115000000</v>
      </c>
      <c r="BE335" s="83">
        <f t="shared" si="538"/>
        <v>0</v>
      </c>
      <c r="BF335" s="83">
        <f t="shared" si="539"/>
        <v>0</v>
      </c>
      <c r="BG335" s="14" t="str">
        <f ca="1">IFERROR(__xludf.DUMMYFUNCTION("REGEXEXTRACT(O329,""^\S+\s(.+)$"")"),"Prestar servicios profesionales para brindar soporte técnico y regulatorio especializado para la elaboración de documentos de recomendaciones, análisis de impacto normativo y soporte estratégico en la formulación del Plan Energético Nacional (PEN) y los p"&amp;"lanes  de la Subdirección de Demanda en el marco de la transición energética justa (TEJ)						")</f>
        <v xml:space="preserve">Prestar servicios profesionales para brindar soporte técnico y regulatorio especializado para la elaboración de documentos de recomendaciones, análisis de impacto normativo y soporte estratégico en la formulación del Plan Energético Nacional (PEN) y los planes  de la Subdirección de Demanda en el marco de la transición energética justa (TEJ)						</v>
      </c>
      <c r="BH335" s="23"/>
      <c r="BI335" s="23"/>
      <c r="BJ335" s="23">
        <v>110000000</v>
      </c>
      <c r="BK335" s="23"/>
      <c r="BL335" s="23"/>
      <c r="BM335" s="23">
        <v>10000000</v>
      </c>
      <c r="BN335" s="23"/>
      <c r="BO335" s="23">
        <v>10000000</v>
      </c>
      <c r="BP335" s="23"/>
      <c r="BQ335" s="23">
        <v>10000000</v>
      </c>
      <c r="BR335" s="23"/>
      <c r="BS335" s="23">
        <v>10000000</v>
      </c>
      <c r="BT335" s="23"/>
      <c r="BU335" s="23">
        <v>10000000</v>
      </c>
      <c r="BV335" s="23"/>
      <c r="BW335" s="23">
        <v>10000000</v>
      </c>
      <c r="BX335" s="23"/>
      <c r="BY335" s="23">
        <v>10000000</v>
      </c>
      <c r="BZ335" s="23"/>
      <c r="CA335" s="23">
        <v>10000000</v>
      </c>
      <c r="CB335" s="23"/>
      <c r="CC335" s="23">
        <v>10000000</v>
      </c>
      <c r="CD335" s="23">
        <v>5000000</v>
      </c>
      <c r="CE335" s="23">
        <v>25000000</v>
      </c>
      <c r="CF335" s="28"/>
      <c r="CG335" s="28"/>
      <c r="CH335" s="25">
        <f t="shared" ref="CH335:CI335" si="658">BH335+BJ335+BL335+BN335+BP335+BR335+BT335+BV335+BX335+BZ335+CB335+CD335+CF335</f>
        <v>115000000</v>
      </c>
      <c r="CI335" s="25">
        <f t="shared" si="658"/>
        <v>115000000</v>
      </c>
      <c r="CJ335" s="26">
        <f t="shared" si="518"/>
        <v>0</v>
      </c>
      <c r="CK335" s="26">
        <f t="shared" si="519"/>
        <v>0</v>
      </c>
    </row>
    <row r="336" spans="1:89" ht="90" customHeight="1" x14ac:dyDescent="0.3">
      <c r="A336" s="13" t="s">
        <v>248</v>
      </c>
      <c r="B336" s="14" t="s">
        <v>30</v>
      </c>
      <c r="C336" s="15" t="s">
        <v>967</v>
      </c>
      <c r="D336" s="14" t="s">
        <v>60</v>
      </c>
      <c r="E336" s="13" t="s">
        <v>250</v>
      </c>
      <c r="F336" s="13" t="s">
        <v>250</v>
      </c>
      <c r="G336" s="14">
        <v>68</v>
      </c>
      <c r="H336" s="13" t="s">
        <v>1018</v>
      </c>
      <c r="I336" s="15" t="s">
        <v>987</v>
      </c>
      <c r="J336" s="14" t="s">
        <v>4</v>
      </c>
      <c r="K336" s="15" t="s">
        <v>75</v>
      </c>
      <c r="L336" s="14">
        <v>80111620</v>
      </c>
      <c r="M336" s="14" t="s">
        <v>33</v>
      </c>
      <c r="N336" s="14" t="s">
        <v>253</v>
      </c>
      <c r="O336" s="15" t="s">
        <v>1019</v>
      </c>
      <c r="P336" s="14" t="s">
        <v>255</v>
      </c>
      <c r="Q336" s="14" t="s">
        <v>255</v>
      </c>
      <c r="R336" s="14" t="s">
        <v>255</v>
      </c>
      <c r="S336" s="17">
        <v>11.5</v>
      </c>
      <c r="T336" s="14" t="s">
        <v>256</v>
      </c>
      <c r="U336" s="14" t="s">
        <v>257</v>
      </c>
      <c r="V336" s="14" t="s">
        <v>112</v>
      </c>
      <c r="W336" s="18">
        <v>57500000</v>
      </c>
      <c r="X336" s="18">
        <v>57500000</v>
      </c>
      <c r="Y336" s="19" t="s">
        <v>339</v>
      </c>
      <c r="Z336" s="19" t="s">
        <v>258</v>
      </c>
      <c r="AA336" s="14" t="s">
        <v>971</v>
      </c>
      <c r="AB336" s="14" t="s">
        <v>972</v>
      </c>
      <c r="AC336" s="14">
        <v>6012220626</v>
      </c>
      <c r="AD336" s="14" t="s">
        <v>973</v>
      </c>
      <c r="AE336" s="82">
        <v>0</v>
      </c>
      <c r="AF336" s="82">
        <v>0</v>
      </c>
      <c r="AG336" s="82">
        <v>55000000</v>
      </c>
      <c r="AH336" s="82">
        <v>0</v>
      </c>
      <c r="AI336" s="82">
        <v>0</v>
      </c>
      <c r="AJ336" s="82">
        <v>5000000</v>
      </c>
      <c r="AK336" s="82">
        <v>0</v>
      </c>
      <c r="AL336" s="82">
        <v>5000000</v>
      </c>
      <c r="AM336" s="82">
        <v>0</v>
      </c>
      <c r="AN336" s="82">
        <v>5000000</v>
      </c>
      <c r="AO336" s="82">
        <v>0</v>
      </c>
      <c r="AP336" s="82">
        <v>5000000</v>
      </c>
      <c r="AQ336" s="82">
        <v>0</v>
      </c>
      <c r="AR336" s="82">
        <v>5000000</v>
      </c>
      <c r="AS336" s="82">
        <v>0</v>
      </c>
      <c r="AT336" s="82">
        <v>5000000</v>
      </c>
      <c r="AU336" s="82">
        <v>0</v>
      </c>
      <c r="AV336" s="82">
        <v>5000000</v>
      </c>
      <c r="AW336" s="82">
        <v>0</v>
      </c>
      <c r="AX336" s="82">
        <v>5000000</v>
      </c>
      <c r="AY336" s="82">
        <v>0</v>
      </c>
      <c r="AZ336" s="82">
        <v>5000000</v>
      </c>
      <c r="BA336" s="82">
        <v>2500000</v>
      </c>
      <c r="BB336" s="82">
        <v>12500000</v>
      </c>
      <c r="BC336" s="82">
        <f t="shared" ref="BC336:BD336" si="659">AE336+AG336+AI336+AK336+AM336+AO336+AQ336+AS336+AU336+AW336+AY336+BA336</f>
        <v>57500000</v>
      </c>
      <c r="BD336" s="82">
        <f t="shared" si="659"/>
        <v>57500000</v>
      </c>
      <c r="BE336" s="83">
        <f t="shared" si="538"/>
        <v>0</v>
      </c>
      <c r="BF336" s="83">
        <f t="shared" si="539"/>
        <v>0</v>
      </c>
      <c r="BG336" s="14" t="str">
        <f ca="1">IFERROR(__xludf.DUMMYFUNCTION("REGEXEXTRACT(O330,""^\S+\s(.+)$"")"),"Prestar servicios profesionales para apoyar el desarrollo, mantenimiento y actualización de sistemas de información geográfica, mediante la gestión, modelamiento y administración de información espacial. Así mismo, apoyar el diseño e implementación de ser"&amp;"vicios geográficos y aplicaciones web geoespaciales que permitan la visualización, análisis y uso eficiente de la información territorial, en apoyo a los procesos y necesidades misionales de la entidad.")</f>
        <v>Prestar servicios profesionales para apoyar el desarrollo, mantenimiento y actualización de sistemas de información geográfica, mediante la gestión, modelamiento y administración de información espacial. Así mismo, apoyar el diseño e implementación de servicios geográficos y aplicaciones web geoespaciales que permitan la visualización, análisis y uso eficiente de la información territorial, en apoyo a los procesos y necesidades misionales de la entidad.</v>
      </c>
      <c r="BH336" s="23"/>
      <c r="BI336" s="23"/>
      <c r="BJ336" s="23">
        <v>55000000</v>
      </c>
      <c r="BK336" s="23"/>
      <c r="BL336" s="23"/>
      <c r="BM336" s="23">
        <v>5000000</v>
      </c>
      <c r="BN336" s="23"/>
      <c r="BO336" s="23">
        <v>5000000</v>
      </c>
      <c r="BP336" s="23"/>
      <c r="BQ336" s="23">
        <v>5000000</v>
      </c>
      <c r="BR336" s="23"/>
      <c r="BS336" s="23">
        <v>5000000</v>
      </c>
      <c r="BT336" s="23"/>
      <c r="BU336" s="23">
        <v>5000000</v>
      </c>
      <c r="BV336" s="23"/>
      <c r="BW336" s="23">
        <v>5000000</v>
      </c>
      <c r="BX336" s="23"/>
      <c r="BY336" s="23">
        <v>5000000</v>
      </c>
      <c r="BZ336" s="23"/>
      <c r="CA336" s="23">
        <v>5000000</v>
      </c>
      <c r="CB336" s="23"/>
      <c r="CC336" s="23">
        <v>5000000</v>
      </c>
      <c r="CD336" s="23">
        <v>2500000</v>
      </c>
      <c r="CE336" s="23">
        <v>12500000</v>
      </c>
      <c r="CF336" s="28"/>
      <c r="CG336" s="28"/>
      <c r="CH336" s="25">
        <f t="shared" ref="CH336:CI336" si="660">BH336+BJ336+BL336+BN336+BP336+BR336+BT336+BV336+BX336+BZ336+CB336+CD336+CF336</f>
        <v>57500000</v>
      </c>
      <c r="CI336" s="25">
        <f t="shared" si="660"/>
        <v>57500000</v>
      </c>
      <c r="CJ336" s="26">
        <f t="shared" si="518"/>
        <v>0</v>
      </c>
      <c r="CK336" s="26">
        <f t="shared" si="519"/>
        <v>0</v>
      </c>
    </row>
    <row r="337" spans="1:89" ht="90" customHeight="1" x14ac:dyDescent="0.3">
      <c r="A337" s="13" t="s">
        <v>248</v>
      </c>
      <c r="B337" s="14" t="s">
        <v>30</v>
      </c>
      <c r="C337" s="15" t="s">
        <v>967</v>
      </c>
      <c r="D337" s="14" t="s">
        <v>60</v>
      </c>
      <c r="E337" s="13" t="s">
        <v>250</v>
      </c>
      <c r="F337" s="13" t="s">
        <v>250</v>
      </c>
      <c r="G337" s="14">
        <v>4</v>
      </c>
      <c r="H337" s="13" t="s">
        <v>1020</v>
      </c>
      <c r="I337" s="15" t="s">
        <v>969</v>
      </c>
      <c r="J337" s="14" t="s">
        <v>9</v>
      </c>
      <c r="K337" s="15" t="s">
        <v>74</v>
      </c>
      <c r="L337" s="14">
        <v>80111620</v>
      </c>
      <c r="M337" s="14" t="s">
        <v>32</v>
      </c>
      <c r="N337" s="14" t="s">
        <v>253</v>
      </c>
      <c r="O337" s="15" t="s">
        <v>1021</v>
      </c>
      <c r="P337" s="14" t="s">
        <v>255</v>
      </c>
      <c r="Q337" s="14" t="s">
        <v>255</v>
      </c>
      <c r="R337" s="14" t="s">
        <v>255</v>
      </c>
      <c r="S337" s="17">
        <v>7</v>
      </c>
      <c r="T337" s="14" t="s">
        <v>256</v>
      </c>
      <c r="U337" s="14" t="s">
        <v>257</v>
      </c>
      <c r="V337" s="14" t="s">
        <v>112</v>
      </c>
      <c r="W337" s="18">
        <v>63000000</v>
      </c>
      <c r="X337" s="18">
        <v>63000000</v>
      </c>
      <c r="Y337" s="19" t="s">
        <v>339</v>
      </c>
      <c r="Z337" s="19" t="s">
        <v>258</v>
      </c>
      <c r="AA337" s="14" t="s">
        <v>971</v>
      </c>
      <c r="AB337" s="14" t="s">
        <v>972</v>
      </c>
      <c r="AC337" s="14">
        <v>6012220627</v>
      </c>
      <c r="AD337" s="14" t="s">
        <v>973</v>
      </c>
      <c r="AE337" s="82">
        <v>0</v>
      </c>
      <c r="AF337" s="82">
        <v>0</v>
      </c>
      <c r="AG337" s="82">
        <v>0</v>
      </c>
      <c r="AH337" s="82">
        <v>0</v>
      </c>
      <c r="AI337" s="82">
        <v>0</v>
      </c>
      <c r="AJ337" s="82">
        <v>0</v>
      </c>
      <c r="AK337" s="82">
        <v>0</v>
      </c>
      <c r="AL337" s="82">
        <v>0</v>
      </c>
      <c r="AM337" s="82">
        <v>0</v>
      </c>
      <c r="AN337" s="82">
        <v>0</v>
      </c>
      <c r="AO337" s="82">
        <v>0</v>
      </c>
      <c r="AP337" s="82">
        <v>0</v>
      </c>
      <c r="AQ337" s="82">
        <v>63000000</v>
      </c>
      <c r="AR337" s="82">
        <v>0</v>
      </c>
      <c r="AS337" s="82">
        <v>0</v>
      </c>
      <c r="AT337" s="82">
        <v>9000000</v>
      </c>
      <c r="AU337" s="82">
        <v>0</v>
      </c>
      <c r="AV337" s="82">
        <v>9000000</v>
      </c>
      <c r="AW337" s="82">
        <v>0</v>
      </c>
      <c r="AX337" s="82">
        <v>9000000</v>
      </c>
      <c r="AY337" s="82">
        <v>0</v>
      </c>
      <c r="AZ337" s="82">
        <v>9000000</v>
      </c>
      <c r="BA337" s="82">
        <v>0</v>
      </c>
      <c r="BB337" s="82">
        <v>27000000</v>
      </c>
      <c r="BC337" s="82">
        <f t="shared" ref="BC337:BD337" si="661">AE337+AG337+AI337+AK337+AM337+AO337+AQ337+AS337+AU337+AW337+AY337+BA337</f>
        <v>63000000</v>
      </c>
      <c r="BD337" s="82">
        <f t="shared" si="661"/>
        <v>63000000</v>
      </c>
      <c r="BE337" s="83">
        <f t="shared" si="538"/>
        <v>0</v>
      </c>
      <c r="BF337" s="83">
        <f t="shared" si="539"/>
        <v>0</v>
      </c>
      <c r="BG337" s="14" t="str">
        <f ca="1">IFERROR(__xludf.DUMMYFUNCTION("REGEXEXTRACT(O331,""^\S+\s(.+)$"")"),"Prestar servicios profesionales para apoyar la identificación, análisis y evaluación de potenciales, metas y medidas de eficiencia energética en los sectores residencial y terciario en Colombia, como insumos técnicos para la actualización y desarrollo del"&amp;" PAI y el PROURE, en el marco de la Transición Energética Justa – TEJ.")</f>
        <v>Prestar servicios profesionales para apoyar la identificación, análisis y evaluación de potenciales, metas y medidas de eficiencia energética en los sectores residencial y terciario en Colombia, como insumos técnicos para la actualización y desarrollo del PAI y el PROURE, en el marco de la Transición Energética Justa – TEJ.</v>
      </c>
      <c r="BH337" s="23"/>
      <c r="BI337" s="23"/>
      <c r="BJ337" s="23"/>
      <c r="BK337" s="23"/>
      <c r="BL337" s="23"/>
      <c r="BM337" s="23"/>
      <c r="BN337" s="23"/>
      <c r="BO337" s="23"/>
      <c r="BP337" s="23"/>
      <c r="BQ337" s="23"/>
      <c r="BR337" s="23"/>
      <c r="BS337" s="23"/>
      <c r="BT337" s="23">
        <v>63000000</v>
      </c>
      <c r="BU337" s="23"/>
      <c r="BV337" s="23"/>
      <c r="BW337" s="23">
        <v>9000000</v>
      </c>
      <c r="BX337" s="23"/>
      <c r="BY337" s="23">
        <v>9000000</v>
      </c>
      <c r="BZ337" s="23"/>
      <c r="CA337" s="23">
        <v>9000000</v>
      </c>
      <c r="CB337" s="23"/>
      <c r="CC337" s="23">
        <v>9000000</v>
      </c>
      <c r="CD337" s="23"/>
      <c r="CE337" s="23">
        <v>27000000</v>
      </c>
      <c r="CF337" s="28"/>
      <c r="CG337" s="28"/>
      <c r="CH337" s="25">
        <f t="shared" ref="CH337:CI337" si="662">BH337+BJ337+BL337+BN337+BP337+BR337+BT337+BV337+BX337+BZ337+CB337+CD337+CF337</f>
        <v>63000000</v>
      </c>
      <c r="CI337" s="25">
        <f t="shared" si="662"/>
        <v>63000000</v>
      </c>
      <c r="CJ337" s="26">
        <f t="shared" si="518"/>
        <v>0</v>
      </c>
      <c r="CK337" s="26">
        <f t="shared" si="519"/>
        <v>0</v>
      </c>
    </row>
    <row r="338" spans="1:89" ht="90" customHeight="1" x14ac:dyDescent="0.3">
      <c r="A338" s="13" t="s">
        <v>248</v>
      </c>
      <c r="B338" s="14" t="s">
        <v>30</v>
      </c>
      <c r="C338" s="15" t="s">
        <v>967</v>
      </c>
      <c r="D338" s="14" t="s">
        <v>60</v>
      </c>
      <c r="E338" s="13" t="s">
        <v>250</v>
      </c>
      <c r="F338" s="13" t="s">
        <v>250</v>
      </c>
      <c r="G338" s="14">
        <v>68</v>
      </c>
      <c r="H338" s="13" t="s">
        <v>1022</v>
      </c>
      <c r="I338" s="15" t="s">
        <v>969</v>
      </c>
      <c r="J338" s="14" t="s">
        <v>9</v>
      </c>
      <c r="K338" s="15" t="s">
        <v>74</v>
      </c>
      <c r="L338" s="14">
        <v>80111620</v>
      </c>
      <c r="M338" s="14" t="s">
        <v>32</v>
      </c>
      <c r="N338" s="14" t="s">
        <v>253</v>
      </c>
      <c r="O338" s="15" t="s">
        <v>1023</v>
      </c>
      <c r="P338" s="14" t="s">
        <v>255</v>
      </c>
      <c r="Q338" s="14" t="s">
        <v>255</v>
      </c>
      <c r="R338" s="14" t="s">
        <v>255</v>
      </c>
      <c r="S338" s="17">
        <v>11.5</v>
      </c>
      <c r="T338" s="14" t="s">
        <v>256</v>
      </c>
      <c r="U338" s="14" t="s">
        <v>257</v>
      </c>
      <c r="V338" s="14" t="s">
        <v>112</v>
      </c>
      <c r="W338" s="18">
        <v>60000000</v>
      </c>
      <c r="X338" s="18">
        <v>60000000</v>
      </c>
      <c r="Y338" s="19" t="s">
        <v>339</v>
      </c>
      <c r="Z338" s="19" t="s">
        <v>258</v>
      </c>
      <c r="AA338" s="14" t="s">
        <v>971</v>
      </c>
      <c r="AB338" s="14" t="s">
        <v>972</v>
      </c>
      <c r="AC338" s="14">
        <v>6012220628</v>
      </c>
      <c r="AD338" s="14" t="s">
        <v>973</v>
      </c>
      <c r="AE338" s="82">
        <v>0</v>
      </c>
      <c r="AF338" s="82">
        <v>0</v>
      </c>
      <c r="AG338" s="82">
        <v>55000000</v>
      </c>
      <c r="AH338" s="82">
        <v>0</v>
      </c>
      <c r="AI338" s="82">
        <v>0</v>
      </c>
      <c r="AJ338" s="82">
        <v>5000000</v>
      </c>
      <c r="AK338" s="82">
        <v>0</v>
      </c>
      <c r="AL338" s="82">
        <v>5000000</v>
      </c>
      <c r="AM338" s="82">
        <v>0</v>
      </c>
      <c r="AN338" s="82">
        <v>5000000</v>
      </c>
      <c r="AO338" s="82">
        <v>0</v>
      </c>
      <c r="AP338" s="82">
        <v>5000000</v>
      </c>
      <c r="AQ338" s="82">
        <v>0</v>
      </c>
      <c r="AR338" s="82">
        <v>5000000</v>
      </c>
      <c r="AS338" s="82">
        <v>0</v>
      </c>
      <c r="AT338" s="82">
        <v>5000000</v>
      </c>
      <c r="AU338" s="82">
        <v>0</v>
      </c>
      <c r="AV338" s="82">
        <v>5000000</v>
      </c>
      <c r="AW338" s="82">
        <v>0</v>
      </c>
      <c r="AX338" s="82">
        <v>5000000</v>
      </c>
      <c r="AY338" s="82">
        <v>0</v>
      </c>
      <c r="AZ338" s="82">
        <v>5000000</v>
      </c>
      <c r="BA338" s="82">
        <v>5000000</v>
      </c>
      <c r="BB338" s="82">
        <v>15000000</v>
      </c>
      <c r="BC338" s="82">
        <f t="shared" ref="BC338:BD338" si="663">AE338+AG338+AI338+AK338+AM338+AO338+AQ338+AS338+AU338+AW338+AY338+BA338</f>
        <v>60000000</v>
      </c>
      <c r="BD338" s="82">
        <f t="shared" si="663"/>
        <v>60000000</v>
      </c>
      <c r="BE338" s="83">
        <f t="shared" si="538"/>
        <v>0</v>
      </c>
      <c r="BF338" s="83">
        <f t="shared" si="539"/>
        <v>0</v>
      </c>
      <c r="BG338" s="14" t="str">
        <f ca="1">IFERROR(__xludf.DUMMYFUNCTION("REGEXEXTRACT(O332,""^\S+\s(.+)$"")"),"Prestar servicios de apoyo a la gestión para la conceptualización e incorporación de variables socioambientales en la construcción de escenarios energéticos, mediante el levantamiento, procesamiento y análisis de datos, así como el apoyo a la articulación"&amp;" técnica e interinstitucional de documentos de planeación de la Subdirección de Demanda, en el marco de la TEJ.")</f>
        <v>Prestar servicios de apoyo a la gestión para la conceptualización e incorporación de variables socioambientales en la construcción de escenarios energéticos, mediante el levantamiento, procesamiento y análisis de datos, así como el apoyo a la articulación técnica e interinstitucional de documentos de planeación de la Subdirección de Demanda, en el marco de la TEJ.</v>
      </c>
      <c r="BH338" s="23"/>
      <c r="BI338" s="23"/>
      <c r="BJ338" s="23">
        <v>55000000</v>
      </c>
      <c r="BK338" s="23"/>
      <c r="BL338" s="23"/>
      <c r="BM338" s="23">
        <v>5000000</v>
      </c>
      <c r="BN338" s="23"/>
      <c r="BO338" s="23">
        <v>5000000</v>
      </c>
      <c r="BP338" s="23"/>
      <c r="BQ338" s="23">
        <v>5000000</v>
      </c>
      <c r="BR338" s="23"/>
      <c r="BS338" s="23">
        <v>5000000</v>
      </c>
      <c r="BT338" s="23"/>
      <c r="BU338" s="23">
        <v>5000000</v>
      </c>
      <c r="BV338" s="23"/>
      <c r="BW338" s="23">
        <v>5000000</v>
      </c>
      <c r="BX338" s="23"/>
      <c r="BY338" s="23">
        <v>5000000</v>
      </c>
      <c r="BZ338" s="23"/>
      <c r="CA338" s="23">
        <v>5000000</v>
      </c>
      <c r="CB338" s="23"/>
      <c r="CC338" s="23">
        <v>5000000</v>
      </c>
      <c r="CD338" s="23">
        <v>5000000</v>
      </c>
      <c r="CE338" s="23">
        <v>15000000</v>
      </c>
      <c r="CF338" s="28"/>
      <c r="CG338" s="28"/>
      <c r="CH338" s="25">
        <f t="shared" ref="CH338:CI338" si="664">BH338+BJ338+BL338+BN338+BP338+BR338+BT338+BV338+BX338+BZ338+CB338+CD338+CF338</f>
        <v>60000000</v>
      </c>
      <c r="CI338" s="25">
        <f t="shared" si="664"/>
        <v>60000000</v>
      </c>
      <c r="CJ338" s="26">
        <f t="shared" si="518"/>
        <v>0</v>
      </c>
      <c r="CK338" s="26">
        <f t="shared" si="519"/>
        <v>0</v>
      </c>
    </row>
    <row r="339" spans="1:89" ht="90" customHeight="1" x14ac:dyDescent="0.3">
      <c r="A339" s="13" t="s">
        <v>248</v>
      </c>
      <c r="B339" s="14" t="s">
        <v>30</v>
      </c>
      <c r="C339" s="15" t="s">
        <v>967</v>
      </c>
      <c r="D339" s="14" t="s">
        <v>60</v>
      </c>
      <c r="E339" s="13" t="s">
        <v>250</v>
      </c>
      <c r="F339" s="13" t="s">
        <v>250</v>
      </c>
      <c r="G339" s="14">
        <v>68</v>
      </c>
      <c r="H339" s="13" t="s">
        <v>1024</v>
      </c>
      <c r="I339" s="15" t="s">
        <v>969</v>
      </c>
      <c r="J339" s="14" t="s">
        <v>9</v>
      </c>
      <c r="K339" s="15" t="s">
        <v>73</v>
      </c>
      <c r="L339" s="14">
        <v>80111620</v>
      </c>
      <c r="M339" s="14" t="s">
        <v>32</v>
      </c>
      <c r="N339" s="14" t="s">
        <v>253</v>
      </c>
      <c r="O339" s="15" t="s">
        <v>1025</v>
      </c>
      <c r="P339" s="14" t="s">
        <v>255</v>
      </c>
      <c r="Q339" s="14" t="s">
        <v>255</v>
      </c>
      <c r="R339" s="14" t="s">
        <v>255</v>
      </c>
      <c r="S339" s="17">
        <v>11.5</v>
      </c>
      <c r="T339" s="14" t="s">
        <v>256</v>
      </c>
      <c r="U339" s="14" t="s">
        <v>257</v>
      </c>
      <c r="V339" s="14" t="s">
        <v>112</v>
      </c>
      <c r="W339" s="18">
        <v>103615412</v>
      </c>
      <c r="X339" s="18">
        <v>103615412</v>
      </c>
      <c r="Y339" s="19" t="s">
        <v>339</v>
      </c>
      <c r="Z339" s="19" t="s">
        <v>258</v>
      </c>
      <c r="AA339" s="14" t="s">
        <v>971</v>
      </c>
      <c r="AB339" s="14" t="s">
        <v>972</v>
      </c>
      <c r="AC339" s="14">
        <v>6012220629</v>
      </c>
      <c r="AD339" s="14" t="s">
        <v>973</v>
      </c>
      <c r="AE339" s="82">
        <v>0</v>
      </c>
      <c r="AF339" s="82">
        <v>0</v>
      </c>
      <c r="AG339" s="82">
        <v>103615412</v>
      </c>
      <c r="AH339" s="82">
        <v>0</v>
      </c>
      <c r="AI339" s="82">
        <v>0</v>
      </c>
      <c r="AJ339" s="82">
        <v>9650000</v>
      </c>
      <c r="AK339" s="82">
        <v>0</v>
      </c>
      <c r="AL339" s="82">
        <v>9650000</v>
      </c>
      <c r="AM339" s="82">
        <v>0</v>
      </c>
      <c r="AN339" s="82">
        <v>9650000</v>
      </c>
      <c r="AO339" s="82">
        <v>0</v>
      </c>
      <c r="AP339" s="82">
        <v>9650000</v>
      </c>
      <c r="AQ339" s="82">
        <v>0</v>
      </c>
      <c r="AR339" s="82">
        <v>9650000</v>
      </c>
      <c r="AS339" s="82">
        <v>0</v>
      </c>
      <c r="AT339" s="82">
        <v>9650000</v>
      </c>
      <c r="AU339" s="82">
        <v>0</v>
      </c>
      <c r="AV339" s="82">
        <v>9650000</v>
      </c>
      <c r="AW339" s="82">
        <v>0</v>
      </c>
      <c r="AX339" s="82">
        <v>9650000</v>
      </c>
      <c r="AY339" s="82">
        <v>0</v>
      </c>
      <c r="AZ339" s="82">
        <v>8395342</v>
      </c>
      <c r="BA339" s="82">
        <v>0</v>
      </c>
      <c r="BB339" s="82">
        <v>18020070</v>
      </c>
      <c r="BC339" s="82">
        <f t="shared" ref="BC339:BD339" si="665">AE339+AG339+AI339+AK339+AM339+AO339+AQ339+AS339+AU339+AW339+AY339+BA339</f>
        <v>103615412</v>
      </c>
      <c r="BD339" s="82">
        <f t="shared" si="665"/>
        <v>103615412</v>
      </c>
      <c r="BE339" s="83">
        <f t="shared" si="538"/>
        <v>0</v>
      </c>
      <c r="BF339" s="83">
        <f t="shared" si="539"/>
        <v>0</v>
      </c>
      <c r="BG339" s="14" t="str">
        <f ca="1">IFERROR(__xludf.DUMMYFUNCTION("REGEXEXTRACT(O333,""^\S+\s(.+)$"")"),"Prestar los servicios profesionales para realizar el seguimiento a la demanda de energía de los grandes consumidores, para establecer el impacto en las proyecciones de demanda en los diferentes planes de la entidad, en aras de impulsar las FNCE y la GEE; "&amp;"en el marco de la transición energética justa del país.")</f>
        <v>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v>
      </c>
      <c r="BH339" s="23"/>
      <c r="BI339" s="23"/>
      <c r="BJ339" s="23">
        <v>103615412</v>
      </c>
      <c r="BK339" s="23"/>
      <c r="BL339" s="23"/>
      <c r="BM339" s="23">
        <v>9650000</v>
      </c>
      <c r="BN339" s="23"/>
      <c r="BO339" s="23">
        <v>9650000</v>
      </c>
      <c r="BP339" s="23"/>
      <c r="BQ339" s="23">
        <v>9650000</v>
      </c>
      <c r="BR339" s="23"/>
      <c r="BS339" s="23">
        <v>9650000</v>
      </c>
      <c r="BT339" s="23"/>
      <c r="BU339" s="23">
        <v>9650000</v>
      </c>
      <c r="BV339" s="23"/>
      <c r="BW339" s="23">
        <v>9650000</v>
      </c>
      <c r="BX339" s="23"/>
      <c r="BY339" s="23">
        <v>9650000</v>
      </c>
      <c r="BZ339" s="23"/>
      <c r="CA339" s="23">
        <v>9650000</v>
      </c>
      <c r="CB339" s="23"/>
      <c r="CC339" s="23">
        <v>8395342</v>
      </c>
      <c r="CD339" s="23"/>
      <c r="CE339" s="23">
        <v>18020070</v>
      </c>
      <c r="CF339" s="28"/>
      <c r="CG339" s="28"/>
      <c r="CH339" s="25">
        <f t="shared" ref="CH339:CI339" si="666">BH339+BJ339+BL339+BN339+BP339+BR339+BT339+BV339+BX339+BZ339+CB339+CD339+CF339</f>
        <v>103615412</v>
      </c>
      <c r="CI339" s="25">
        <f t="shared" si="666"/>
        <v>103615412</v>
      </c>
      <c r="CJ339" s="26">
        <f t="shared" si="518"/>
        <v>0</v>
      </c>
      <c r="CK339" s="26">
        <f t="shared" si="519"/>
        <v>0</v>
      </c>
    </row>
    <row r="340" spans="1:89" ht="90" customHeight="1" x14ac:dyDescent="0.3">
      <c r="A340" s="13" t="s">
        <v>248</v>
      </c>
      <c r="B340" s="14" t="s">
        <v>30</v>
      </c>
      <c r="C340" s="15" t="s">
        <v>967</v>
      </c>
      <c r="D340" s="14" t="s">
        <v>60</v>
      </c>
      <c r="E340" s="13" t="s">
        <v>250</v>
      </c>
      <c r="F340" s="13" t="s">
        <v>250</v>
      </c>
      <c r="G340" s="14">
        <v>68</v>
      </c>
      <c r="H340" s="13" t="s">
        <v>1026</v>
      </c>
      <c r="I340" s="15" t="s">
        <v>1000</v>
      </c>
      <c r="J340" s="14" t="s">
        <v>15</v>
      </c>
      <c r="K340" s="15" t="s">
        <v>70</v>
      </c>
      <c r="L340" s="14">
        <v>80111620</v>
      </c>
      <c r="M340" s="14" t="s">
        <v>31</v>
      </c>
      <c r="N340" s="14" t="s">
        <v>253</v>
      </c>
      <c r="O340" s="15" t="s">
        <v>1027</v>
      </c>
      <c r="P340" s="14" t="s">
        <v>255</v>
      </c>
      <c r="Q340" s="14" t="s">
        <v>255</v>
      </c>
      <c r="R340" s="14" t="s">
        <v>255</v>
      </c>
      <c r="S340" s="17">
        <v>11.5</v>
      </c>
      <c r="T340" s="14" t="s">
        <v>256</v>
      </c>
      <c r="U340" s="14" t="s">
        <v>257</v>
      </c>
      <c r="V340" s="14" t="s">
        <v>112</v>
      </c>
      <c r="W340" s="18">
        <v>11384588</v>
      </c>
      <c r="X340" s="18">
        <v>11384588</v>
      </c>
      <c r="Y340" s="19" t="s">
        <v>339</v>
      </c>
      <c r="Z340" s="19" t="s">
        <v>258</v>
      </c>
      <c r="AA340" s="14" t="s">
        <v>971</v>
      </c>
      <c r="AB340" s="14" t="s">
        <v>972</v>
      </c>
      <c r="AC340" s="14">
        <v>6012220629</v>
      </c>
      <c r="AD340" s="14" t="s">
        <v>973</v>
      </c>
      <c r="AE340" s="82">
        <v>0</v>
      </c>
      <c r="AF340" s="82">
        <v>0</v>
      </c>
      <c r="AG340" s="82">
        <v>2534588</v>
      </c>
      <c r="AH340" s="82">
        <v>0</v>
      </c>
      <c r="AI340" s="82">
        <v>0</v>
      </c>
      <c r="AJ340" s="82">
        <v>0</v>
      </c>
      <c r="AK340" s="82">
        <v>0</v>
      </c>
      <c r="AL340" s="82">
        <v>0</v>
      </c>
      <c r="AM340" s="82">
        <v>0</v>
      </c>
      <c r="AN340" s="82">
        <v>0</v>
      </c>
      <c r="AO340" s="82">
        <v>0</v>
      </c>
      <c r="AP340" s="82">
        <v>0</v>
      </c>
      <c r="AQ340" s="82">
        <v>0</v>
      </c>
      <c r="AR340" s="82">
        <v>0</v>
      </c>
      <c r="AS340" s="82">
        <v>0</v>
      </c>
      <c r="AT340" s="82">
        <v>0</v>
      </c>
      <c r="AU340" s="82">
        <v>0</v>
      </c>
      <c r="AV340" s="82">
        <v>0</v>
      </c>
      <c r="AW340" s="82">
        <v>0</v>
      </c>
      <c r="AX340" s="82">
        <v>0</v>
      </c>
      <c r="AY340" s="82">
        <v>0</v>
      </c>
      <c r="AZ340" s="82">
        <v>1254658</v>
      </c>
      <c r="BA340" s="82">
        <v>8850000</v>
      </c>
      <c r="BB340" s="82">
        <v>10129930</v>
      </c>
      <c r="BC340" s="82">
        <f t="shared" ref="BC340:BD340" si="667">AE340+AG340+AI340+AK340+AM340+AO340+AQ340+AS340+AU340+AW340+AY340+BA340</f>
        <v>11384588</v>
      </c>
      <c r="BD340" s="82">
        <f t="shared" si="667"/>
        <v>11384588</v>
      </c>
      <c r="BE340" s="83">
        <f t="shared" si="538"/>
        <v>0</v>
      </c>
      <c r="BF340" s="83">
        <f t="shared" si="539"/>
        <v>0</v>
      </c>
      <c r="BG340" s="14" t="str">
        <f ca="1">IFERROR(__xludf.DUMMYFUNCTION("REGEXEXTRACT(O334,""^\S+\s(.+)$"")"),"Prestar los servicios profesionales para realizar el seguimiento a la demanda de energía de los grandes consumidores, para establecer el impacto en las proyecciones de demanda en los diferentes planes de la entidad, en aras de impulsar las FNCE y la GEE; "&amp;"en el marco de la transición energética justa del país.")</f>
        <v>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v>
      </c>
      <c r="BH340" s="23"/>
      <c r="BI340" s="23"/>
      <c r="BJ340" s="23">
        <v>2534588</v>
      </c>
      <c r="BK340" s="23"/>
      <c r="BL340" s="23"/>
      <c r="BM340" s="23"/>
      <c r="BN340" s="23"/>
      <c r="BO340" s="23"/>
      <c r="BP340" s="23"/>
      <c r="BQ340" s="23"/>
      <c r="BR340" s="23"/>
      <c r="BS340" s="23"/>
      <c r="BT340" s="23"/>
      <c r="BU340" s="23"/>
      <c r="BV340" s="23"/>
      <c r="BW340" s="23"/>
      <c r="BX340" s="23"/>
      <c r="BY340" s="23"/>
      <c r="BZ340" s="23"/>
      <c r="CA340" s="23"/>
      <c r="CB340" s="23"/>
      <c r="CC340" s="23">
        <v>1254658</v>
      </c>
      <c r="CD340" s="23">
        <v>8850000</v>
      </c>
      <c r="CE340" s="23">
        <v>10129930</v>
      </c>
      <c r="CF340" s="28"/>
      <c r="CG340" s="28"/>
      <c r="CH340" s="25">
        <f t="shared" ref="CH340:CI340" si="668">BH340+BJ340+BL340+BN340+BP340+BR340+BT340+BV340+BX340+BZ340+CB340+CD340+CF340</f>
        <v>11384588</v>
      </c>
      <c r="CI340" s="25">
        <f t="shared" si="668"/>
        <v>11384588</v>
      </c>
      <c r="CJ340" s="26">
        <f t="shared" si="518"/>
        <v>0</v>
      </c>
      <c r="CK340" s="26">
        <f t="shared" si="519"/>
        <v>0</v>
      </c>
    </row>
    <row r="341" spans="1:89" ht="90" customHeight="1" x14ac:dyDescent="0.3">
      <c r="A341" s="13" t="s">
        <v>248</v>
      </c>
      <c r="B341" s="14" t="s">
        <v>30</v>
      </c>
      <c r="C341" s="15" t="s">
        <v>967</v>
      </c>
      <c r="D341" s="14" t="s">
        <v>60</v>
      </c>
      <c r="E341" s="13" t="s">
        <v>250</v>
      </c>
      <c r="F341" s="13" t="s">
        <v>250</v>
      </c>
      <c r="G341" s="14">
        <v>68</v>
      </c>
      <c r="H341" s="13" t="s">
        <v>1028</v>
      </c>
      <c r="I341" s="15" t="s">
        <v>969</v>
      </c>
      <c r="J341" s="14" t="s">
        <v>9</v>
      </c>
      <c r="K341" s="15" t="s">
        <v>74</v>
      </c>
      <c r="L341" s="14">
        <v>80111620</v>
      </c>
      <c r="M341" s="14" t="s">
        <v>32</v>
      </c>
      <c r="N341" s="14" t="s">
        <v>253</v>
      </c>
      <c r="O341" s="15" t="s">
        <v>1029</v>
      </c>
      <c r="P341" s="14" t="s">
        <v>255</v>
      </c>
      <c r="Q341" s="14" t="s">
        <v>255</v>
      </c>
      <c r="R341" s="14" t="s">
        <v>255</v>
      </c>
      <c r="S341" s="17">
        <v>11.4</v>
      </c>
      <c r="T341" s="14" t="s">
        <v>256</v>
      </c>
      <c r="U341" s="14" t="s">
        <v>257</v>
      </c>
      <c r="V341" s="14" t="s">
        <v>112</v>
      </c>
      <c r="W341" s="18">
        <v>17100000</v>
      </c>
      <c r="X341" s="18">
        <v>17100000</v>
      </c>
      <c r="Y341" s="19" t="s">
        <v>339</v>
      </c>
      <c r="Z341" s="19" t="s">
        <v>258</v>
      </c>
      <c r="AA341" s="14" t="s">
        <v>971</v>
      </c>
      <c r="AB341" s="14" t="s">
        <v>972</v>
      </c>
      <c r="AC341" s="14">
        <v>6012220631</v>
      </c>
      <c r="AD341" s="14" t="s">
        <v>973</v>
      </c>
      <c r="AE341" s="82">
        <v>0</v>
      </c>
      <c r="AF341" s="82">
        <v>0</v>
      </c>
      <c r="AG341" s="82">
        <v>0</v>
      </c>
      <c r="AH341" s="82">
        <v>0</v>
      </c>
      <c r="AI341" s="82">
        <v>0</v>
      </c>
      <c r="AJ341" s="82">
        <v>0</v>
      </c>
      <c r="AK341" s="82">
        <v>0</v>
      </c>
      <c r="AL341" s="82">
        <v>0</v>
      </c>
      <c r="AM341" s="82">
        <v>0</v>
      </c>
      <c r="AN341" s="82">
        <v>0</v>
      </c>
      <c r="AO341" s="82">
        <v>0</v>
      </c>
      <c r="AP341" s="82">
        <v>0</v>
      </c>
      <c r="AQ341" s="82">
        <v>0</v>
      </c>
      <c r="AR341" s="82">
        <v>0</v>
      </c>
      <c r="AS341" s="82">
        <v>17100000</v>
      </c>
      <c r="AT341" s="82">
        <v>0</v>
      </c>
      <c r="AU341" s="82">
        <v>0</v>
      </c>
      <c r="AV341" s="82">
        <v>3420000</v>
      </c>
      <c r="AW341" s="82">
        <v>0</v>
      </c>
      <c r="AX341" s="82">
        <v>3420000</v>
      </c>
      <c r="AY341" s="82">
        <v>0</v>
      </c>
      <c r="AZ341" s="82">
        <v>3420000</v>
      </c>
      <c r="BA341" s="82">
        <v>0</v>
      </c>
      <c r="BB341" s="82">
        <v>6840000</v>
      </c>
      <c r="BC341" s="82">
        <f t="shared" ref="BC341:BD341" si="669">AE341+AG341+AI341+AK341+AM341+AO341+AQ341+AS341+AU341+AW341+AY341+BA341</f>
        <v>17100000</v>
      </c>
      <c r="BD341" s="82">
        <f t="shared" si="669"/>
        <v>17100000</v>
      </c>
      <c r="BE341" s="83">
        <f t="shared" si="538"/>
        <v>0</v>
      </c>
      <c r="BF341" s="83">
        <f t="shared" si="539"/>
        <v>0</v>
      </c>
      <c r="BG341" s="14" t="str">
        <f ca="1">IFERROR(__xludf.DUMMYFUNCTION("REGEXEXTRACT(O335,""^\S+\s(.+)$"")"),"Prestar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41" s="23"/>
      <c r="BI341" s="23"/>
      <c r="BJ341" s="23"/>
      <c r="BK341" s="23"/>
      <c r="BL341" s="23"/>
      <c r="BM341" s="23"/>
      <c r="BN341" s="23"/>
      <c r="BO341" s="23"/>
      <c r="BP341" s="23"/>
      <c r="BQ341" s="23"/>
      <c r="BR341" s="23"/>
      <c r="BS341" s="23"/>
      <c r="BT341" s="23"/>
      <c r="BU341" s="23"/>
      <c r="BV341" s="23">
        <v>17100000</v>
      </c>
      <c r="BW341" s="23"/>
      <c r="BX341" s="23"/>
      <c r="BY341" s="23">
        <v>3420000</v>
      </c>
      <c r="BZ341" s="23"/>
      <c r="CA341" s="23">
        <v>3420000</v>
      </c>
      <c r="CB341" s="23"/>
      <c r="CC341" s="23">
        <v>3420000</v>
      </c>
      <c r="CD341" s="23"/>
      <c r="CE341" s="23">
        <v>6840000</v>
      </c>
      <c r="CF341" s="28"/>
      <c r="CG341" s="28"/>
      <c r="CH341" s="25">
        <f t="shared" ref="CH341:CI341" si="670">BH341+BJ341+BL341+BN341+BP341+BR341+BT341+BV341+BX341+BZ341+CB341+CD341+CF341</f>
        <v>17100000</v>
      </c>
      <c r="CI341" s="25">
        <f t="shared" si="670"/>
        <v>17100000</v>
      </c>
      <c r="CJ341" s="26">
        <f t="shared" si="518"/>
        <v>0</v>
      </c>
      <c r="CK341" s="26">
        <f t="shared" si="519"/>
        <v>0</v>
      </c>
    </row>
    <row r="342" spans="1:89" ht="90" customHeight="1" x14ac:dyDescent="0.3">
      <c r="A342" s="13" t="s">
        <v>248</v>
      </c>
      <c r="B342" s="14" t="s">
        <v>30</v>
      </c>
      <c r="C342" s="15" t="s">
        <v>967</v>
      </c>
      <c r="D342" s="14" t="s">
        <v>60</v>
      </c>
      <c r="E342" s="13" t="s">
        <v>250</v>
      </c>
      <c r="F342" s="13" t="s">
        <v>250</v>
      </c>
      <c r="G342" s="14">
        <v>68</v>
      </c>
      <c r="H342" s="13" t="s">
        <v>1030</v>
      </c>
      <c r="I342" s="15" t="s">
        <v>969</v>
      </c>
      <c r="J342" s="14" t="s">
        <v>9</v>
      </c>
      <c r="K342" s="15" t="s">
        <v>74</v>
      </c>
      <c r="L342" s="14">
        <v>80111620</v>
      </c>
      <c r="M342" s="14" t="s">
        <v>32</v>
      </c>
      <c r="N342" s="14" t="s">
        <v>253</v>
      </c>
      <c r="O342" s="15" t="s">
        <v>1031</v>
      </c>
      <c r="P342" s="14" t="s">
        <v>255</v>
      </c>
      <c r="Q342" s="14" t="s">
        <v>255</v>
      </c>
      <c r="R342" s="14" t="s">
        <v>255</v>
      </c>
      <c r="S342" s="17">
        <v>11.4</v>
      </c>
      <c r="T342" s="14" t="s">
        <v>256</v>
      </c>
      <c r="U342" s="14" t="s">
        <v>257</v>
      </c>
      <c r="V342" s="14" t="s">
        <v>112</v>
      </c>
      <c r="W342" s="18">
        <v>17100000</v>
      </c>
      <c r="X342" s="18">
        <v>17100000</v>
      </c>
      <c r="Y342" s="19" t="s">
        <v>339</v>
      </c>
      <c r="Z342" s="19" t="s">
        <v>258</v>
      </c>
      <c r="AA342" s="14" t="s">
        <v>971</v>
      </c>
      <c r="AB342" s="14" t="s">
        <v>972</v>
      </c>
      <c r="AC342" s="14">
        <v>6012220632</v>
      </c>
      <c r="AD342" s="14" t="s">
        <v>973</v>
      </c>
      <c r="AE342" s="82">
        <v>0</v>
      </c>
      <c r="AF342" s="82">
        <v>0</v>
      </c>
      <c r="AG342" s="82">
        <v>16344000</v>
      </c>
      <c r="AH342" s="82">
        <v>0</v>
      </c>
      <c r="AI342" s="82">
        <v>0</v>
      </c>
      <c r="AJ342" s="82">
        <v>2270000</v>
      </c>
      <c r="AK342" s="82">
        <v>0</v>
      </c>
      <c r="AL342" s="82">
        <v>2270000</v>
      </c>
      <c r="AM342" s="82">
        <v>0</v>
      </c>
      <c r="AN342" s="82">
        <v>2270000</v>
      </c>
      <c r="AO342" s="82">
        <v>0</v>
      </c>
      <c r="AP342" s="82">
        <v>2270000</v>
      </c>
      <c r="AQ342" s="82">
        <v>0</v>
      </c>
      <c r="AR342" s="82">
        <v>2270000</v>
      </c>
      <c r="AS342" s="82">
        <v>0</v>
      </c>
      <c r="AT342" s="82">
        <v>2270000</v>
      </c>
      <c r="AU342" s="82">
        <v>0</v>
      </c>
      <c r="AV342" s="82">
        <v>2270000</v>
      </c>
      <c r="AW342" s="82">
        <v>0</v>
      </c>
      <c r="AX342" s="82">
        <v>1210000</v>
      </c>
      <c r="AY342" s="82">
        <v>0</v>
      </c>
      <c r="AZ342" s="82">
        <v>0</v>
      </c>
      <c r="BA342" s="82">
        <v>756000</v>
      </c>
      <c r="BB342" s="82">
        <v>0</v>
      </c>
      <c r="BC342" s="82">
        <f t="shared" ref="BC342:BD342" si="671">AE342+AG342+AI342+AK342+AM342+AO342+AQ342+AS342+AU342+AW342+AY342+BA342</f>
        <v>17100000</v>
      </c>
      <c r="BD342" s="82">
        <f t="shared" si="671"/>
        <v>17100000</v>
      </c>
      <c r="BE342" s="83">
        <f t="shared" si="538"/>
        <v>0</v>
      </c>
      <c r="BF342" s="83">
        <f t="shared" si="539"/>
        <v>0</v>
      </c>
      <c r="BG342" s="14" t="str">
        <f ca="1">IFERROR(__xludf.DUMMYFUNCTION("REGEXEXTRACT(O336,""^\S+\s(.+)$"")"),"Prestar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42" s="23"/>
      <c r="BI342" s="23"/>
      <c r="BJ342" s="23">
        <v>16344000</v>
      </c>
      <c r="BK342" s="23"/>
      <c r="BL342" s="23"/>
      <c r="BM342" s="23">
        <v>2270000</v>
      </c>
      <c r="BN342" s="23"/>
      <c r="BO342" s="23">
        <v>2270000</v>
      </c>
      <c r="BP342" s="23"/>
      <c r="BQ342" s="23">
        <v>2270000</v>
      </c>
      <c r="BR342" s="23"/>
      <c r="BS342" s="23">
        <v>2270000</v>
      </c>
      <c r="BT342" s="23"/>
      <c r="BU342" s="23">
        <v>2270000</v>
      </c>
      <c r="BV342" s="23"/>
      <c r="BW342" s="23">
        <v>2270000</v>
      </c>
      <c r="BX342" s="23"/>
      <c r="BY342" s="23">
        <v>2270000</v>
      </c>
      <c r="BZ342" s="23"/>
      <c r="CA342" s="23">
        <v>1210000</v>
      </c>
      <c r="CB342" s="23"/>
      <c r="CC342" s="23"/>
      <c r="CD342" s="23">
        <v>756000</v>
      </c>
      <c r="CE342" s="23"/>
      <c r="CF342" s="28"/>
      <c r="CG342" s="28"/>
      <c r="CH342" s="25">
        <f t="shared" ref="CH342:CI342" si="672">BH342+BJ342+BL342+BN342+BP342+BR342+BT342+BV342+BX342+BZ342+CB342+CD342+CF342</f>
        <v>17100000</v>
      </c>
      <c r="CI342" s="25">
        <f t="shared" si="672"/>
        <v>17100000</v>
      </c>
      <c r="CJ342" s="26">
        <f t="shared" si="518"/>
        <v>0</v>
      </c>
      <c r="CK342" s="26">
        <f t="shared" si="519"/>
        <v>0</v>
      </c>
    </row>
    <row r="343" spans="1:89" ht="90" customHeight="1" x14ac:dyDescent="0.3">
      <c r="A343" s="13" t="s">
        <v>248</v>
      </c>
      <c r="B343" s="14" t="s">
        <v>30</v>
      </c>
      <c r="C343" s="15" t="s">
        <v>967</v>
      </c>
      <c r="D343" s="14" t="s">
        <v>60</v>
      </c>
      <c r="E343" s="13" t="s">
        <v>250</v>
      </c>
      <c r="F343" s="13" t="s">
        <v>250</v>
      </c>
      <c r="G343" s="14">
        <v>68</v>
      </c>
      <c r="H343" s="13" t="s">
        <v>1032</v>
      </c>
      <c r="I343" s="15" t="s">
        <v>969</v>
      </c>
      <c r="J343" s="14" t="s">
        <v>9</v>
      </c>
      <c r="K343" s="15" t="s">
        <v>74</v>
      </c>
      <c r="L343" s="14">
        <v>80111620</v>
      </c>
      <c r="M343" s="14" t="s">
        <v>32</v>
      </c>
      <c r="N343" s="14" t="s">
        <v>253</v>
      </c>
      <c r="O343" s="15" t="s">
        <v>1033</v>
      </c>
      <c r="P343" s="14" t="s">
        <v>255</v>
      </c>
      <c r="Q343" s="14" t="s">
        <v>255</v>
      </c>
      <c r="R343" s="14" t="s">
        <v>255</v>
      </c>
      <c r="S343" s="17">
        <v>11.2</v>
      </c>
      <c r="T343" s="14" t="s">
        <v>256</v>
      </c>
      <c r="U343" s="14" t="s">
        <v>257</v>
      </c>
      <c r="V343" s="14" t="s">
        <v>112</v>
      </c>
      <c r="W343" s="18">
        <v>16800000</v>
      </c>
      <c r="X343" s="18">
        <v>16800000</v>
      </c>
      <c r="Y343" s="19" t="s">
        <v>339</v>
      </c>
      <c r="Z343" s="19" t="s">
        <v>258</v>
      </c>
      <c r="AA343" s="14" t="s">
        <v>971</v>
      </c>
      <c r="AB343" s="14" t="s">
        <v>972</v>
      </c>
      <c r="AC343" s="14">
        <v>6012220632</v>
      </c>
      <c r="AD343" s="14" t="s">
        <v>973</v>
      </c>
      <c r="AE343" s="82">
        <v>0</v>
      </c>
      <c r="AF343" s="82">
        <v>0</v>
      </c>
      <c r="AG343" s="82">
        <v>0</v>
      </c>
      <c r="AH343" s="82">
        <v>0</v>
      </c>
      <c r="AI343" s="82">
        <v>0</v>
      </c>
      <c r="AJ343" s="82">
        <v>0</v>
      </c>
      <c r="AK343" s="82">
        <v>0</v>
      </c>
      <c r="AL343" s="82">
        <v>0</v>
      </c>
      <c r="AM343" s="82">
        <v>0</v>
      </c>
      <c r="AN343" s="82">
        <v>0</v>
      </c>
      <c r="AO343" s="82">
        <v>0</v>
      </c>
      <c r="AP343" s="82">
        <v>0</v>
      </c>
      <c r="AQ343" s="82">
        <v>0</v>
      </c>
      <c r="AR343" s="82">
        <v>0</v>
      </c>
      <c r="AS343" s="82">
        <v>16800000</v>
      </c>
      <c r="AT343" s="82">
        <v>0</v>
      </c>
      <c r="AU343" s="82">
        <v>0</v>
      </c>
      <c r="AV343" s="82">
        <v>3360000</v>
      </c>
      <c r="AW343" s="82">
        <v>0</v>
      </c>
      <c r="AX343" s="82">
        <v>3360000</v>
      </c>
      <c r="AY343" s="82">
        <v>0</v>
      </c>
      <c r="AZ343" s="82">
        <v>3360000</v>
      </c>
      <c r="BA343" s="82">
        <v>0</v>
      </c>
      <c r="BB343" s="82">
        <v>6720000</v>
      </c>
      <c r="BC343" s="82">
        <f t="shared" ref="BC343:BD343" si="673">AE343+AG343+AI343+AK343+AM343+AO343+AQ343+AS343+AU343+AW343+AY343+BA343</f>
        <v>16800000</v>
      </c>
      <c r="BD343" s="82">
        <f t="shared" si="673"/>
        <v>16800000</v>
      </c>
      <c r="BE343" s="83">
        <f t="shared" si="538"/>
        <v>0</v>
      </c>
      <c r="BF343" s="83">
        <f t="shared" si="539"/>
        <v>0</v>
      </c>
      <c r="BG343" s="14" t="str">
        <f ca="1">IFERROR(__xludf.DUMMYFUNCTION("REGEXEXTRACT(O337,""^\S+\s(.+)$"")"),"Prestar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43" s="23"/>
      <c r="BI343" s="23"/>
      <c r="BJ343" s="23"/>
      <c r="BK343" s="23"/>
      <c r="BL343" s="23"/>
      <c r="BM343" s="23"/>
      <c r="BN343" s="23"/>
      <c r="BO343" s="23"/>
      <c r="BP343" s="23"/>
      <c r="BQ343" s="23"/>
      <c r="BR343" s="23"/>
      <c r="BS343" s="23"/>
      <c r="BT343" s="23"/>
      <c r="BU343" s="23"/>
      <c r="BV343" s="23">
        <v>16800000</v>
      </c>
      <c r="BW343" s="23"/>
      <c r="BX343" s="23"/>
      <c r="BY343" s="23">
        <v>3360000</v>
      </c>
      <c r="BZ343" s="23"/>
      <c r="CA343" s="23">
        <v>3360000</v>
      </c>
      <c r="CB343" s="23"/>
      <c r="CC343" s="23">
        <v>3360000</v>
      </c>
      <c r="CD343" s="23"/>
      <c r="CE343" s="23">
        <v>6720000</v>
      </c>
      <c r="CF343" s="28"/>
      <c r="CG343" s="28"/>
      <c r="CH343" s="25">
        <f t="shared" ref="CH343:CI343" si="674">BH343+BJ343+BL343+BN343+BP343+BR343+BT343+BV343+BX343+BZ343+CB343+CD343+CF343</f>
        <v>16800000</v>
      </c>
      <c r="CI343" s="25">
        <f t="shared" si="674"/>
        <v>16800000</v>
      </c>
      <c r="CJ343" s="26">
        <f t="shared" si="518"/>
        <v>0</v>
      </c>
      <c r="CK343" s="26">
        <f t="shared" si="519"/>
        <v>0</v>
      </c>
    </row>
    <row r="344" spans="1:89" ht="90" customHeight="1" x14ac:dyDescent="0.3">
      <c r="A344" s="13" t="s">
        <v>248</v>
      </c>
      <c r="B344" s="14" t="s">
        <v>30</v>
      </c>
      <c r="C344" s="15" t="s">
        <v>967</v>
      </c>
      <c r="D344" s="14" t="s">
        <v>60</v>
      </c>
      <c r="E344" s="13" t="s">
        <v>250</v>
      </c>
      <c r="F344" s="13" t="s">
        <v>250</v>
      </c>
      <c r="G344" s="14">
        <v>68</v>
      </c>
      <c r="H344" s="13" t="s">
        <v>1034</v>
      </c>
      <c r="I344" s="15" t="s">
        <v>969</v>
      </c>
      <c r="J344" s="14" t="s">
        <v>9</v>
      </c>
      <c r="K344" s="15" t="s">
        <v>74</v>
      </c>
      <c r="L344" s="14">
        <v>80111620</v>
      </c>
      <c r="M344" s="14" t="s">
        <v>32</v>
      </c>
      <c r="N344" s="14" t="s">
        <v>253</v>
      </c>
      <c r="O344" s="15" t="s">
        <v>1035</v>
      </c>
      <c r="P344" s="14" t="s">
        <v>255</v>
      </c>
      <c r="Q344" s="14" t="s">
        <v>255</v>
      </c>
      <c r="R344" s="14" t="s">
        <v>255</v>
      </c>
      <c r="S344" s="17">
        <v>11.4</v>
      </c>
      <c r="T344" s="14" t="s">
        <v>256</v>
      </c>
      <c r="U344" s="14" t="s">
        <v>257</v>
      </c>
      <c r="V344" s="14" t="s">
        <v>112</v>
      </c>
      <c r="W344" s="18">
        <v>17100000</v>
      </c>
      <c r="X344" s="18">
        <v>17100000</v>
      </c>
      <c r="Y344" s="19" t="s">
        <v>339</v>
      </c>
      <c r="Z344" s="19" t="s">
        <v>258</v>
      </c>
      <c r="AA344" s="14" t="s">
        <v>971</v>
      </c>
      <c r="AB344" s="14" t="s">
        <v>972</v>
      </c>
      <c r="AC344" s="14">
        <v>6012220633</v>
      </c>
      <c r="AD344" s="14" t="s">
        <v>973</v>
      </c>
      <c r="AE344" s="82">
        <v>0</v>
      </c>
      <c r="AF344" s="82">
        <v>0</v>
      </c>
      <c r="AG344" s="82">
        <v>0</v>
      </c>
      <c r="AH344" s="82">
        <v>0</v>
      </c>
      <c r="AI344" s="82">
        <v>0</v>
      </c>
      <c r="AJ344" s="82">
        <v>0</v>
      </c>
      <c r="AK344" s="82">
        <v>0</v>
      </c>
      <c r="AL344" s="82">
        <v>0</v>
      </c>
      <c r="AM344" s="82">
        <v>0</v>
      </c>
      <c r="AN344" s="82">
        <v>0</v>
      </c>
      <c r="AO344" s="82">
        <v>0</v>
      </c>
      <c r="AP344" s="82">
        <v>0</v>
      </c>
      <c r="AQ344" s="82">
        <v>17100000</v>
      </c>
      <c r="AR344" s="82">
        <v>0</v>
      </c>
      <c r="AS344" s="82">
        <v>0</v>
      </c>
      <c r="AT344" s="82">
        <v>4000000</v>
      </c>
      <c r="AU344" s="82">
        <v>0</v>
      </c>
      <c r="AV344" s="82">
        <v>4000000</v>
      </c>
      <c r="AW344" s="82">
        <v>0</v>
      </c>
      <c r="AX344" s="82">
        <v>4000000</v>
      </c>
      <c r="AY344" s="82">
        <v>0</v>
      </c>
      <c r="AZ344" s="82">
        <v>4000000</v>
      </c>
      <c r="BA344" s="82">
        <v>0</v>
      </c>
      <c r="BB344" s="82">
        <v>1100000</v>
      </c>
      <c r="BC344" s="82">
        <f t="shared" ref="BC344:BD344" si="675">AE344+AG344+AI344+AK344+AM344+AO344+AQ344+AS344+AU344+AW344+AY344+BA344</f>
        <v>17100000</v>
      </c>
      <c r="BD344" s="82">
        <f t="shared" si="675"/>
        <v>17100000</v>
      </c>
      <c r="BE344" s="83">
        <f t="shared" si="538"/>
        <v>0</v>
      </c>
      <c r="BF344" s="83">
        <f t="shared" si="539"/>
        <v>0</v>
      </c>
      <c r="BG344" s="14" t="str">
        <f ca="1">IFERROR(__xludf.DUMMYFUNCTION("REGEXEXTRACT(O338,""^\S+\s(.+)$"")"),"Prestar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44" s="23"/>
      <c r="BI344" s="23"/>
      <c r="BJ344" s="23"/>
      <c r="BK344" s="23"/>
      <c r="BL344" s="23"/>
      <c r="BM344" s="23"/>
      <c r="BN344" s="23"/>
      <c r="BO344" s="23"/>
      <c r="BP344" s="23"/>
      <c r="BQ344" s="23"/>
      <c r="BR344" s="23"/>
      <c r="BS344" s="23"/>
      <c r="BT344" s="23">
        <v>17100000</v>
      </c>
      <c r="BU344" s="23"/>
      <c r="BV344" s="23"/>
      <c r="BW344" s="23">
        <v>4000000</v>
      </c>
      <c r="BX344" s="23"/>
      <c r="BY344" s="23">
        <v>4000000</v>
      </c>
      <c r="BZ344" s="23"/>
      <c r="CA344" s="23">
        <v>4000000</v>
      </c>
      <c r="CB344" s="23"/>
      <c r="CC344" s="23">
        <v>4000000</v>
      </c>
      <c r="CD344" s="23"/>
      <c r="CE344" s="23">
        <v>1100000</v>
      </c>
      <c r="CF344" s="28"/>
      <c r="CG344" s="28"/>
      <c r="CH344" s="25">
        <f t="shared" ref="CH344:CI344" si="676">BH344+BJ344+BL344+BN344+BP344+BR344+BT344+BV344+BX344+BZ344+CB344+CD344+CF344</f>
        <v>17100000</v>
      </c>
      <c r="CI344" s="25">
        <f t="shared" si="676"/>
        <v>17100000</v>
      </c>
      <c r="CJ344" s="26">
        <f t="shared" si="518"/>
        <v>0</v>
      </c>
      <c r="CK344" s="26">
        <f t="shared" si="519"/>
        <v>0</v>
      </c>
    </row>
    <row r="345" spans="1:89" ht="90" customHeight="1" x14ac:dyDescent="0.3">
      <c r="A345" s="13" t="s">
        <v>248</v>
      </c>
      <c r="B345" s="14" t="s">
        <v>30</v>
      </c>
      <c r="C345" s="15" t="s">
        <v>967</v>
      </c>
      <c r="D345" s="14" t="s">
        <v>60</v>
      </c>
      <c r="E345" s="13" t="s">
        <v>250</v>
      </c>
      <c r="F345" s="13" t="s">
        <v>250</v>
      </c>
      <c r="G345" s="14">
        <v>68</v>
      </c>
      <c r="H345" s="13" t="s">
        <v>1036</v>
      </c>
      <c r="I345" s="15" t="s">
        <v>987</v>
      </c>
      <c r="J345" s="14" t="s">
        <v>4</v>
      </c>
      <c r="K345" s="15" t="s">
        <v>75</v>
      </c>
      <c r="L345" s="14">
        <v>80111620</v>
      </c>
      <c r="M345" s="14" t="s">
        <v>33</v>
      </c>
      <c r="N345" s="14" t="s">
        <v>253</v>
      </c>
      <c r="O345" s="15" t="s">
        <v>1037</v>
      </c>
      <c r="P345" s="14" t="s">
        <v>255</v>
      </c>
      <c r="Q345" s="14" t="s">
        <v>255</v>
      </c>
      <c r="R345" s="14" t="s">
        <v>255</v>
      </c>
      <c r="S345" s="17">
        <v>11.4</v>
      </c>
      <c r="T345" s="14" t="s">
        <v>256</v>
      </c>
      <c r="U345" s="14" t="s">
        <v>257</v>
      </c>
      <c r="V345" s="14" t="s">
        <v>112</v>
      </c>
      <c r="W345" s="18">
        <v>17100000</v>
      </c>
      <c r="X345" s="18">
        <v>17100000</v>
      </c>
      <c r="Y345" s="19" t="s">
        <v>339</v>
      </c>
      <c r="Z345" s="19" t="s">
        <v>258</v>
      </c>
      <c r="AA345" s="14" t="s">
        <v>971</v>
      </c>
      <c r="AB345" s="14" t="s">
        <v>972</v>
      </c>
      <c r="AC345" s="14">
        <v>6012220633</v>
      </c>
      <c r="AD345" s="14" t="s">
        <v>973</v>
      </c>
      <c r="AE345" s="82">
        <v>0</v>
      </c>
      <c r="AF345" s="82">
        <v>0</v>
      </c>
      <c r="AG345" s="82">
        <v>0</v>
      </c>
      <c r="AH345" s="82">
        <v>0</v>
      </c>
      <c r="AI345" s="82">
        <v>0</v>
      </c>
      <c r="AJ345" s="82">
        <v>0</v>
      </c>
      <c r="AK345" s="82">
        <v>0</v>
      </c>
      <c r="AL345" s="82">
        <v>0</v>
      </c>
      <c r="AM345" s="82">
        <v>0</v>
      </c>
      <c r="AN345" s="82">
        <v>0</v>
      </c>
      <c r="AO345" s="82">
        <v>0</v>
      </c>
      <c r="AP345" s="82">
        <v>0</v>
      </c>
      <c r="AQ345" s="82">
        <v>17100000</v>
      </c>
      <c r="AR345" s="82">
        <v>0</v>
      </c>
      <c r="AS345" s="82">
        <v>0</v>
      </c>
      <c r="AT345" s="82">
        <v>4000000</v>
      </c>
      <c r="AU345" s="82">
        <v>0</v>
      </c>
      <c r="AV345" s="82">
        <v>4000000</v>
      </c>
      <c r="AW345" s="82">
        <v>0</v>
      </c>
      <c r="AX345" s="82">
        <v>4000000</v>
      </c>
      <c r="AY345" s="82">
        <v>0</v>
      </c>
      <c r="AZ345" s="82">
        <v>4000000</v>
      </c>
      <c r="BA345" s="82">
        <v>0</v>
      </c>
      <c r="BB345" s="82">
        <v>1100000</v>
      </c>
      <c r="BC345" s="82">
        <f t="shared" ref="BC345:BD345" si="677">AE345+AG345+AI345+AK345+AM345+AO345+AQ345+AS345+AU345+AW345+AY345+BA345</f>
        <v>17100000</v>
      </c>
      <c r="BD345" s="82">
        <f t="shared" si="677"/>
        <v>17100000</v>
      </c>
      <c r="BE345" s="83">
        <f t="shared" si="538"/>
        <v>0</v>
      </c>
      <c r="BF345" s="83">
        <f t="shared" si="539"/>
        <v>0</v>
      </c>
      <c r="BG345" s="14" t="str">
        <f ca="1">IFERROR(__xludf.DUMMYFUNCTION("REGEXEXTRACT(O339,""^\S+\s(.+)$"")"),"Prestar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45" s="23"/>
      <c r="BI345" s="23"/>
      <c r="BJ345" s="23"/>
      <c r="BK345" s="23"/>
      <c r="BL345" s="23"/>
      <c r="BM345" s="23"/>
      <c r="BN345" s="23"/>
      <c r="BO345" s="23"/>
      <c r="BP345" s="23"/>
      <c r="BQ345" s="23"/>
      <c r="BR345" s="23"/>
      <c r="BS345" s="23"/>
      <c r="BT345" s="23">
        <v>17100000</v>
      </c>
      <c r="BU345" s="23"/>
      <c r="BV345" s="23"/>
      <c r="BW345" s="23">
        <v>4000000</v>
      </c>
      <c r="BX345" s="23"/>
      <c r="BY345" s="23">
        <v>4000000</v>
      </c>
      <c r="BZ345" s="23"/>
      <c r="CA345" s="23">
        <v>4000000</v>
      </c>
      <c r="CB345" s="23"/>
      <c r="CC345" s="23">
        <v>4000000</v>
      </c>
      <c r="CD345" s="23"/>
      <c r="CE345" s="23">
        <v>1100000</v>
      </c>
      <c r="CF345" s="28"/>
      <c r="CG345" s="28"/>
      <c r="CH345" s="25">
        <f t="shared" ref="CH345:CI345" si="678">BH345+BJ345+BL345+BN345+BP345+BR345+BT345+BV345+BX345+BZ345+CB345+CD345+CF345</f>
        <v>17100000</v>
      </c>
      <c r="CI345" s="25">
        <f t="shared" si="678"/>
        <v>17100000</v>
      </c>
      <c r="CJ345" s="26">
        <f t="shared" si="518"/>
        <v>0</v>
      </c>
      <c r="CK345" s="26">
        <f t="shared" si="519"/>
        <v>0</v>
      </c>
    </row>
    <row r="346" spans="1:89" ht="90" customHeight="1" x14ac:dyDescent="0.3">
      <c r="A346" s="13" t="s">
        <v>248</v>
      </c>
      <c r="B346" s="14" t="s">
        <v>30</v>
      </c>
      <c r="C346" s="15" t="s">
        <v>967</v>
      </c>
      <c r="D346" s="14" t="s">
        <v>60</v>
      </c>
      <c r="E346" s="13" t="s">
        <v>250</v>
      </c>
      <c r="F346" s="13" t="s">
        <v>250</v>
      </c>
      <c r="G346" s="14">
        <v>68</v>
      </c>
      <c r="H346" s="13" t="s">
        <v>1038</v>
      </c>
      <c r="I346" s="15" t="s">
        <v>987</v>
      </c>
      <c r="J346" s="14" t="s">
        <v>4</v>
      </c>
      <c r="K346" s="15" t="s">
        <v>76</v>
      </c>
      <c r="L346" s="14">
        <v>80111620</v>
      </c>
      <c r="M346" s="14" t="s">
        <v>33</v>
      </c>
      <c r="N346" s="14" t="s">
        <v>253</v>
      </c>
      <c r="O346" s="15" t="s">
        <v>1039</v>
      </c>
      <c r="P346" s="14" t="s">
        <v>255</v>
      </c>
      <c r="Q346" s="14" t="s">
        <v>255</v>
      </c>
      <c r="R346" s="14" t="s">
        <v>255</v>
      </c>
      <c r="S346" s="17">
        <v>11.5</v>
      </c>
      <c r="T346" s="14" t="s">
        <v>256</v>
      </c>
      <c r="U346" s="14" t="s">
        <v>257</v>
      </c>
      <c r="V346" s="14" t="s">
        <v>112</v>
      </c>
      <c r="W346" s="18">
        <v>72300000</v>
      </c>
      <c r="X346" s="18">
        <v>72300000</v>
      </c>
      <c r="Y346" s="19" t="s">
        <v>339</v>
      </c>
      <c r="Z346" s="19" t="s">
        <v>258</v>
      </c>
      <c r="AA346" s="14" t="s">
        <v>971</v>
      </c>
      <c r="AB346" s="14" t="s">
        <v>972</v>
      </c>
      <c r="AC346" s="14">
        <v>6012220634</v>
      </c>
      <c r="AD346" s="14" t="s">
        <v>973</v>
      </c>
      <c r="AE346" s="82">
        <v>0</v>
      </c>
      <c r="AF346" s="82">
        <v>0</v>
      </c>
      <c r="AG346" s="82">
        <v>36080000</v>
      </c>
      <c r="AH346" s="82">
        <v>0</v>
      </c>
      <c r="AI346" s="82">
        <v>0</v>
      </c>
      <c r="AJ346" s="82">
        <v>3280000</v>
      </c>
      <c r="AK346" s="82">
        <v>0</v>
      </c>
      <c r="AL346" s="82">
        <v>3280000</v>
      </c>
      <c r="AM346" s="82">
        <v>0</v>
      </c>
      <c r="AN346" s="82">
        <v>3280000</v>
      </c>
      <c r="AO346" s="82">
        <v>0</v>
      </c>
      <c r="AP346" s="82">
        <v>3280000</v>
      </c>
      <c r="AQ346" s="82">
        <v>0</v>
      </c>
      <c r="AR346" s="82">
        <v>3280000</v>
      </c>
      <c r="AS346" s="82">
        <v>0</v>
      </c>
      <c r="AT346" s="82">
        <v>3280000</v>
      </c>
      <c r="AU346" s="82">
        <v>0</v>
      </c>
      <c r="AV346" s="82">
        <v>3280000</v>
      </c>
      <c r="AW346" s="82">
        <v>0</v>
      </c>
      <c r="AX346" s="82">
        <v>3280000</v>
      </c>
      <c r="AY346" s="82">
        <v>18110000</v>
      </c>
      <c r="AZ346" s="82">
        <v>3280000</v>
      </c>
      <c r="BA346" s="82">
        <v>18110000</v>
      </c>
      <c r="BB346" s="82">
        <v>42780000</v>
      </c>
      <c r="BC346" s="82">
        <f t="shared" ref="BC346:BD346" si="679">AE346+AG346+AI346+AK346+AM346+AO346+AQ346+AS346+AU346+AW346+AY346+BA346</f>
        <v>72300000</v>
      </c>
      <c r="BD346" s="82">
        <f t="shared" si="679"/>
        <v>72300000</v>
      </c>
      <c r="BE346" s="83">
        <f t="shared" si="538"/>
        <v>0</v>
      </c>
      <c r="BF346" s="83">
        <f t="shared" si="539"/>
        <v>0</v>
      </c>
      <c r="BG346" s="14" t="str">
        <f ca="1">IFERROR(__xludf.DUMMYFUNCTION("REGEXEXTRACT(O340,""^\S+\s(.+)$"")"),"Prestar servicios profesionales para la construcción de modelos matemáticos y de analítica de datos, así como la elaboración y divulgación de documentos de planeación, en el marco de la Transición Energética Justa, TEJ.")</f>
        <v>Prestar servicios profesionales para la construcción de modelos matemáticos y de analítica de datos, así como la elaboración y divulgación de documentos de planeación, en el marco de la Transición Energética Justa, TEJ.</v>
      </c>
      <c r="BH346" s="23"/>
      <c r="BI346" s="23"/>
      <c r="BJ346" s="23">
        <v>36080000</v>
      </c>
      <c r="BK346" s="23"/>
      <c r="BL346" s="23"/>
      <c r="BM346" s="23">
        <v>3280000</v>
      </c>
      <c r="BN346" s="23"/>
      <c r="BO346" s="23">
        <v>3280000</v>
      </c>
      <c r="BP346" s="23"/>
      <c r="BQ346" s="23">
        <v>3280000</v>
      </c>
      <c r="BR346" s="23"/>
      <c r="BS346" s="23">
        <v>3280000</v>
      </c>
      <c r="BT346" s="23"/>
      <c r="BU346" s="23">
        <v>3280000</v>
      </c>
      <c r="BV346" s="23"/>
      <c r="BW346" s="23">
        <v>3280000</v>
      </c>
      <c r="BX346" s="23"/>
      <c r="BY346" s="23">
        <v>3280000</v>
      </c>
      <c r="BZ346" s="23"/>
      <c r="CA346" s="23">
        <v>3280000</v>
      </c>
      <c r="CB346" s="23">
        <v>18110000</v>
      </c>
      <c r="CC346" s="23">
        <v>3280000</v>
      </c>
      <c r="CD346" s="23">
        <v>18110000</v>
      </c>
      <c r="CE346" s="23">
        <v>42780000</v>
      </c>
      <c r="CF346" s="28"/>
      <c r="CG346" s="28"/>
      <c r="CH346" s="25">
        <f t="shared" ref="CH346:CI346" si="680">BH346+BJ346+BL346+BN346+BP346+BR346+BT346+BV346+BX346+BZ346+CB346+CD346+CF346</f>
        <v>72300000</v>
      </c>
      <c r="CI346" s="25">
        <f t="shared" si="680"/>
        <v>72300000</v>
      </c>
      <c r="CJ346" s="26">
        <f t="shared" si="518"/>
        <v>0</v>
      </c>
      <c r="CK346" s="26">
        <f t="shared" si="519"/>
        <v>0</v>
      </c>
    </row>
    <row r="347" spans="1:89" ht="90" customHeight="1" x14ac:dyDescent="0.3">
      <c r="A347" s="13" t="s">
        <v>248</v>
      </c>
      <c r="B347" s="14" t="s">
        <v>30</v>
      </c>
      <c r="C347" s="15" t="s">
        <v>967</v>
      </c>
      <c r="D347" s="14" t="s">
        <v>60</v>
      </c>
      <c r="E347" s="13" t="s">
        <v>250</v>
      </c>
      <c r="F347" s="13" t="s">
        <v>250</v>
      </c>
      <c r="G347" s="14">
        <v>68</v>
      </c>
      <c r="H347" s="13" t="s">
        <v>1040</v>
      </c>
      <c r="I347" s="15" t="s">
        <v>987</v>
      </c>
      <c r="J347" s="14" t="s">
        <v>4</v>
      </c>
      <c r="K347" s="15" t="s">
        <v>72</v>
      </c>
      <c r="L347" s="14">
        <v>80111620</v>
      </c>
      <c r="M347" s="14" t="s">
        <v>33</v>
      </c>
      <c r="N347" s="14" t="s">
        <v>253</v>
      </c>
      <c r="O347" s="15" t="s">
        <v>1041</v>
      </c>
      <c r="P347" s="14" t="s">
        <v>255</v>
      </c>
      <c r="Q347" s="14" t="s">
        <v>255</v>
      </c>
      <c r="R347" s="14" t="s">
        <v>255</v>
      </c>
      <c r="S347" s="17">
        <v>11.5</v>
      </c>
      <c r="T347" s="14" t="s">
        <v>256</v>
      </c>
      <c r="U347" s="14" t="s">
        <v>257</v>
      </c>
      <c r="V347" s="14" t="s">
        <v>112</v>
      </c>
      <c r="W347" s="18">
        <v>80500000</v>
      </c>
      <c r="X347" s="18">
        <v>80500000</v>
      </c>
      <c r="Y347" s="19" t="s">
        <v>339</v>
      </c>
      <c r="Z347" s="19" t="s">
        <v>258</v>
      </c>
      <c r="AA347" s="14" t="s">
        <v>971</v>
      </c>
      <c r="AB347" s="14" t="s">
        <v>972</v>
      </c>
      <c r="AC347" s="14">
        <v>6012220636</v>
      </c>
      <c r="AD347" s="14" t="s">
        <v>973</v>
      </c>
      <c r="AE347" s="82">
        <v>0</v>
      </c>
      <c r="AF347" s="82">
        <v>0</v>
      </c>
      <c r="AG347" s="82">
        <v>77000000</v>
      </c>
      <c r="AH347" s="82">
        <v>0</v>
      </c>
      <c r="AI347" s="82">
        <v>0</v>
      </c>
      <c r="AJ347" s="82">
        <v>7000000</v>
      </c>
      <c r="AK347" s="82">
        <v>0</v>
      </c>
      <c r="AL347" s="82">
        <v>7000000</v>
      </c>
      <c r="AM347" s="82">
        <v>0</v>
      </c>
      <c r="AN347" s="82">
        <v>7000000</v>
      </c>
      <c r="AO347" s="82">
        <v>0</v>
      </c>
      <c r="AP347" s="82">
        <v>7000000</v>
      </c>
      <c r="AQ347" s="82">
        <v>0</v>
      </c>
      <c r="AR347" s="82">
        <v>7000000</v>
      </c>
      <c r="AS347" s="82">
        <v>0</v>
      </c>
      <c r="AT347" s="82">
        <v>7000000</v>
      </c>
      <c r="AU347" s="82">
        <v>0</v>
      </c>
      <c r="AV347" s="82">
        <v>7000000</v>
      </c>
      <c r="AW347" s="82">
        <v>0</v>
      </c>
      <c r="AX347" s="82">
        <v>7000000</v>
      </c>
      <c r="AY347" s="82">
        <v>0</v>
      </c>
      <c r="AZ347" s="82">
        <v>7000000</v>
      </c>
      <c r="BA347" s="82">
        <v>3500000</v>
      </c>
      <c r="BB347" s="82">
        <v>17500000</v>
      </c>
      <c r="BC347" s="82">
        <f t="shared" ref="BC347:BD347" si="681">AE347+AG347+AI347+AK347+AM347+AO347+AQ347+AS347+AU347+AW347+AY347+BA347</f>
        <v>80500000</v>
      </c>
      <c r="BD347" s="82">
        <f t="shared" si="681"/>
        <v>80500000</v>
      </c>
      <c r="BE347" s="83">
        <f t="shared" si="538"/>
        <v>0</v>
      </c>
      <c r="BF347" s="83">
        <f t="shared" si="539"/>
        <v>0</v>
      </c>
      <c r="BG347" s="14" t="str">
        <f ca="1">IFERROR(__xludf.DUMMYFUNCTION("REGEXEXTRACT(O341,""^\S+\s(.+)$"")"),"Prestar servicios profesionales para el diseño, desarrollo, mantenimiento y despliegue de aplicaciones web que soporten los planes, estudios, documentos técnicos y productos desarrollados por la Subdirección de Demanda. Así mismo, apoyar la implementación"&amp;" de soluciones tecnológicas que faciliten la gestión, análisis, visualización y difusión de la información asociada a los procesos de la Subdirección de Demanda, garantizando la calidad, continuidad y adecuado funcionamiento de los sistemas de información"&amp;", en articulación con los equipos técnicos y funcionales de la entidad.")</f>
        <v>Prestar servicios profesionales para el diseño, desarrollo, mantenimiento y despliegue de aplicaciones web que soporten los planes, estudios, documentos técnicos y productos desarrollados por la Subdirección de Demanda. Así mismo, apoyar la implementación de soluciones tecnológicas que faciliten la gestión, análisis, visualización y difusión de la información asociada a los procesos de la Subdirección de Demanda, garantizando la calidad, continuidad y adecuado funcionamiento de los sistemas de información, en articulación con los equipos técnicos y funcionales de la entidad.</v>
      </c>
      <c r="BH347" s="23"/>
      <c r="BI347" s="23"/>
      <c r="BJ347" s="23">
        <v>77000000</v>
      </c>
      <c r="BK347" s="23"/>
      <c r="BL347" s="23"/>
      <c r="BM347" s="23">
        <v>7000000</v>
      </c>
      <c r="BN347" s="23"/>
      <c r="BO347" s="23">
        <v>7000000</v>
      </c>
      <c r="BP347" s="23"/>
      <c r="BQ347" s="23">
        <v>7000000</v>
      </c>
      <c r="BR347" s="23"/>
      <c r="BS347" s="23">
        <v>7000000</v>
      </c>
      <c r="BT347" s="23"/>
      <c r="BU347" s="23">
        <v>7000000</v>
      </c>
      <c r="BV347" s="23"/>
      <c r="BW347" s="23">
        <v>7000000</v>
      </c>
      <c r="BX347" s="23"/>
      <c r="BY347" s="23">
        <v>7000000</v>
      </c>
      <c r="BZ347" s="23"/>
      <c r="CA347" s="23">
        <v>7000000</v>
      </c>
      <c r="CB347" s="23"/>
      <c r="CC347" s="23">
        <v>7000000</v>
      </c>
      <c r="CD347" s="23">
        <v>3500000</v>
      </c>
      <c r="CE347" s="23">
        <v>17500000</v>
      </c>
      <c r="CF347" s="28"/>
      <c r="CG347" s="28"/>
      <c r="CH347" s="25">
        <f t="shared" ref="CH347:CI347" si="682">BH347+BJ347+BL347+BN347+BP347+BR347+BT347+BV347+BX347+BZ347+CB347+CD347+CF347</f>
        <v>80500000</v>
      </c>
      <c r="CI347" s="25">
        <f t="shared" si="682"/>
        <v>80500000</v>
      </c>
      <c r="CJ347" s="26">
        <f t="shared" si="518"/>
        <v>0</v>
      </c>
      <c r="CK347" s="26">
        <f t="shared" si="519"/>
        <v>0</v>
      </c>
    </row>
    <row r="348" spans="1:89" ht="90" customHeight="1" x14ac:dyDescent="0.3">
      <c r="A348" s="13" t="s">
        <v>248</v>
      </c>
      <c r="B348" s="14" t="s">
        <v>30</v>
      </c>
      <c r="C348" s="15" t="s">
        <v>967</v>
      </c>
      <c r="D348" s="14" t="s">
        <v>60</v>
      </c>
      <c r="E348" s="13" t="s">
        <v>250</v>
      </c>
      <c r="F348" s="13" t="s">
        <v>250</v>
      </c>
      <c r="G348" s="14">
        <v>68</v>
      </c>
      <c r="H348" s="13" t="s">
        <v>1042</v>
      </c>
      <c r="I348" s="15" t="s">
        <v>987</v>
      </c>
      <c r="J348" s="14" t="s">
        <v>4</v>
      </c>
      <c r="K348" s="15" t="s">
        <v>75</v>
      </c>
      <c r="L348" s="14">
        <v>80111620</v>
      </c>
      <c r="M348" s="14" t="s">
        <v>33</v>
      </c>
      <c r="N348" s="14" t="s">
        <v>253</v>
      </c>
      <c r="O348" s="15" t="s">
        <v>1043</v>
      </c>
      <c r="P348" s="14" t="s">
        <v>255</v>
      </c>
      <c r="Q348" s="14" t="s">
        <v>255</v>
      </c>
      <c r="R348" s="14" t="s">
        <v>255</v>
      </c>
      <c r="S348" s="17">
        <v>11.2</v>
      </c>
      <c r="T348" s="14" t="s">
        <v>256</v>
      </c>
      <c r="U348" s="14" t="s">
        <v>257</v>
      </c>
      <c r="V348" s="14" t="s">
        <v>112</v>
      </c>
      <c r="W348" s="18">
        <v>67200000</v>
      </c>
      <c r="X348" s="18">
        <v>67200000</v>
      </c>
      <c r="Y348" s="19" t="s">
        <v>339</v>
      </c>
      <c r="Z348" s="19" t="s">
        <v>258</v>
      </c>
      <c r="AA348" s="14" t="s">
        <v>971</v>
      </c>
      <c r="AB348" s="14" t="s">
        <v>972</v>
      </c>
      <c r="AC348" s="14">
        <v>6012220637</v>
      </c>
      <c r="AD348" s="14" t="s">
        <v>973</v>
      </c>
      <c r="AE348" s="82">
        <v>0</v>
      </c>
      <c r="AF348" s="82">
        <v>0</v>
      </c>
      <c r="AG348" s="82">
        <v>66000000</v>
      </c>
      <c r="AH348" s="82">
        <v>0</v>
      </c>
      <c r="AI348" s="82">
        <v>0</v>
      </c>
      <c r="AJ348" s="82">
        <v>6000000</v>
      </c>
      <c r="AK348" s="82">
        <v>0</v>
      </c>
      <c r="AL348" s="82">
        <v>6000000</v>
      </c>
      <c r="AM348" s="82">
        <v>0</v>
      </c>
      <c r="AN348" s="82">
        <v>6000000</v>
      </c>
      <c r="AO348" s="82">
        <v>0</v>
      </c>
      <c r="AP348" s="82">
        <v>6000000</v>
      </c>
      <c r="AQ348" s="82">
        <v>0</v>
      </c>
      <c r="AR348" s="82">
        <v>6000000</v>
      </c>
      <c r="AS348" s="82">
        <v>0</v>
      </c>
      <c r="AT348" s="82">
        <v>6000000</v>
      </c>
      <c r="AU348" s="82">
        <v>0</v>
      </c>
      <c r="AV348" s="82">
        <v>6000000</v>
      </c>
      <c r="AW348" s="82">
        <v>0</v>
      </c>
      <c r="AX348" s="82">
        <v>6000000</v>
      </c>
      <c r="AY348" s="82">
        <v>0</v>
      </c>
      <c r="AZ348" s="82">
        <v>6000000</v>
      </c>
      <c r="BA348" s="82">
        <v>1200000</v>
      </c>
      <c r="BB348" s="82">
        <v>13200000</v>
      </c>
      <c r="BC348" s="82">
        <f t="shared" ref="BC348:BD348" si="683">AE348+AG348+AI348+AK348+AM348+AO348+AQ348+AS348+AU348+AW348+AY348+BA348</f>
        <v>67200000</v>
      </c>
      <c r="BD348" s="82">
        <f t="shared" si="683"/>
        <v>67200000</v>
      </c>
      <c r="BE348" s="83">
        <f t="shared" si="538"/>
        <v>0</v>
      </c>
      <c r="BF348" s="83">
        <f t="shared" si="539"/>
        <v>0</v>
      </c>
      <c r="BG348" s="14" t="str">
        <f ca="1">IFERROR(__xludf.DUMMYFUNCTION("REGEXEXTRACT(O342,""^\S+\s(.+)$"")"),"Prestar servicios profesionales en análisis de datos energéticos para el BECO, incluyendo la revisión y aseguramiento de la calidad de la información, la creación de documentos técnicos, el apoyo en procesos de certificación y la elaboración de estadístic"&amp;"as, contribuyendo al análisis económico y la toma de decisiones estratégicas de la entidad.")</f>
        <v>Prestar servicios profesionales en análisis de datos energéticos para el BECO, incluyendo la revisión y aseguramiento de la calidad de la información, la creación de documentos técnicos, el apoyo en procesos de certificación y la elaboración de estadísticas, contribuyendo al análisis económico y la toma de decisiones estratégicas de la entidad.</v>
      </c>
      <c r="BH348" s="23"/>
      <c r="BI348" s="23"/>
      <c r="BJ348" s="23">
        <v>66000000</v>
      </c>
      <c r="BK348" s="23"/>
      <c r="BL348" s="23"/>
      <c r="BM348" s="23">
        <v>6000000</v>
      </c>
      <c r="BN348" s="23"/>
      <c r="BO348" s="23">
        <v>6000000</v>
      </c>
      <c r="BP348" s="23"/>
      <c r="BQ348" s="23">
        <v>6000000</v>
      </c>
      <c r="BR348" s="23"/>
      <c r="BS348" s="23">
        <v>6000000</v>
      </c>
      <c r="BT348" s="23"/>
      <c r="BU348" s="23">
        <v>6000000</v>
      </c>
      <c r="BV348" s="23"/>
      <c r="BW348" s="23">
        <v>6000000</v>
      </c>
      <c r="BX348" s="23"/>
      <c r="BY348" s="23">
        <v>6000000</v>
      </c>
      <c r="BZ348" s="23"/>
      <c r="CA348" s="23">
        <v>6000000</v>
      </c>
      <c r="CB348" s="23"/>
      <c r="CC348" s="23">
        <v>6000000</v>
      </c>
      <c r="CD348" s="23">
        <v>1200000</v>
      </c>
      <c r="CE348" s="23">
        <v>13200000</v>
      </c>
      <c r="CF348" s="28"/>
      <c r="CG348" s="28"/>
      <c r="CH348" s="25">
        <f t="shared" ref="CH348:CI348" si="684">BH348+BJ348+BL348+BN348+BP348+BR348+BT348+BV348+BX348+BZ348+CB348+CD348+CF348</f>
        <v>67200000</v>
      </c>
      <c r="CI348" s="25">
        <f t="shared" si="684"/>
        <v>67200000</v>
      </c>
      <c r="CJ348" s="26">
        <f t="shared" si="518"/>
        <v>0</v>
      </c>
      <c r="CK348" s="26">
        <f t="shared" si="519"/>
        <v>0</v>
      </c>
    </row>
    <row r="349" spans="1:89" ht="90" customHeight="1" x14ac:dyDescent="0.3">
      <c r="A349" s="13" t="s">
        <v>248</v>
      </c>
      <c r="B349" s="14" t="s">
        <v>30</v>
      </c>
      <c r="C349" s="15" t="s">
        <v>967</v>
      </c>
      <c r="D349" s="14" t="s">
        <v>60</v>
      </c>
      <c r="E349" s="13" t="s">
        <v>250</v>
      </c>
      <c r="F349" s="13" t="s">
        <v>250</v>
      </c>
      <c r="G349" s="14">
        <v>9</v>
      </c>
      <c r="H349" s="13" t="s">
        <v>1044</v>
      </c>
      <c r="I349" s="15" t="s">
        <v>969</v>
      </c>
      <c r="J349" s="14" t="s">
        <v>9</v>
      </c>
      <c r="K349" s="15" t="s">
        <v>74</v>
      </c>
      <c r="L349" s="14">
        <v>80111620</v>
      </c>
      <c r="M349" s="14" t="s">
        <v>32</v>
      </c>
      <c r="N349" s="14" t="s">
        <v>253</v>
      </c>
      <c r="O349" s="15" t="s">
        <v>1045</v>
      </c>
      <c r="P349" s="14" t="s">
        <v>255</v>
      </c>
      <c r="Q349" s="14" t="s">
        <v>255</v>
      </c>
      <c r="R349" s="14" t="s">
        <v>255</v>
      </c>
      <c r="S349" s="17">
        <v>11</v>
      </c>
      <c r="T349" s="14" t="s">
        <v>256</v>
      </c>
      <c r="U349" s="14" t="s">
        <v>257</v>
      </c>
      <c r="V349" s="14" t="s">
        <v>113</v>
      </c>
      <c r="W349" s="18">
        <v>37449000</v>
      </c>
      <c r="X349" s="18">
        <v>37449000</v>
      </c>
      <c r="Y349" s="19" t="s">
        <v>339</v>
      </c>
      <c r="Z349" s="19" t="s">
        <v>258</v>
      </c>
      <c r="AA349" s="14" t="s">
        <v>971</v>
      </c>
      <c r="AB349" s="14" t="s">
        <v>972</v>
      </c>
      <c r="AC349" s="14">
        <v>6012220640</v>
      </c>
      <c r="AD349" s="14" t="s">
        <v>973</v>
      </c>
      <c r="AE349" s="82">
        <v>0</v>
      </c>
      <c r="AF349" s="82">
        <v>0</v>
      </c>
      <c r="AG349" s="82">
        <v>36135000</v>
      </c>
      <c r="AH349" s="82">
        <v>0</v>
      </c>
      <c r="AI349" s="82">
        <v>0</v>
      </c>
      <c r="AJ349" s="82">
        <v>3285000</v>
      </c>
      <c r="AK349" s="82">
        <v>0</v>
      </c>
      <c r="AL349" s="82">
        <v>3285000</v>
      </c>
      <c r="AM349" s="82">
        <v>0</v>
      </c>
      <c r="AN349" s="82">
        <v>3285000</v>
      </c>
      <c r="AO349" s="82">
        <v>0</v>
      </c>
      <c r="AP349" s="82">
        <v>3285000</v>
      </c>
      <c r="AQ349" s="82">
        <v>0</v>
      </c>
      <c r="AR349" s="82">
        <v>3285000</v>
      </c>
      <c r="AS349" s="82">
        <v>0</v>
      </c>
      <c r="AT349" s="82">
        <v>3285000</v>
      </c>
      <c r="AU349" s="82">
        <v>0</v>
      </c>
      <c r="AV349" s="82">
        <v>3285000</v>
      </c>
      <c r="AW349" s="82">
        <v>0</v>
      </c>
      <c r="AX349" s="82">
        <v>3285000</v>
      </c>
      <c r="AY349" s="82">
        <v>0</v>
      </c>
      <c r="AZ349" s="82">
        <v>3285000</v>
      </c>
      <c r="BA349" s="82">
        <v>1314000</v>
      </c>
      <c r="BB349" s="82">
        <v>7884000</v>
      </c>
      <c r="BC349" s="82">
        <f t="shared" ref="BC349:BD349" si="685">AE349+AG349+AI349+AK349+AM349+AO349+AQ349+AS349+AU349+AW349+AY349+BA349</f>
        <v>37449000</v>
      </c>
      <c r="BD349" s="82">
        <f t="shared" si="685"/>
        <v>37449000</v>
      </c>
      <c r="BE349" s="83">
        <f t="shared" si="538"/>
        <v>0</v>
      </c>
      <c r="BF349" s="83">
        <f t="shared" si="539"/>
        <v>0</v>
      </c>
      <c r="BG349" s="14" t="str">
        <f ca="1">IFERROR(__xludf.DUMMYFUNCTION("REGEXEXTRACT(O343,""^\S+\s(.+)$"")"),"Prestar servicios profesionales para el análisis de información energética, contribuyendo a  la elaboración de estudios, reportes e indicadores.")</f>
        <v>Prestar servicios profesionales para el análisis de información energética, contribuyendo a  la elaboración de estudios, reportes e indicadores.</v>
      </c>
      <c r="BH349" s="23"/>
      <c r="BI349" s="23"/>
      <c r="BJ349" s="23">
        <v>36135000</v>
      </c>
      <c r="BK349" s="23"/>
      <c r="BL349" s="23"/>
      <c r="BM349" s="23">
        <v>3285000</v>
      </c>
      <c r="BN349" s="23"/>
      <c r="BO349" s="23">
        <v>3285000</v>
      </c>
      <c r="BP349" s="23"/>
      <c r="BQ349" s="23">
        <v>3285000</v>
      </c>
      <c r="BR349" s="23"/>
      <c r="BS349" s="23">
        <v>3285000</v>
      </c>
      <c r="BT349" s="23"/>
      <c r="BU349" s="23">
        <v>3285000</v>
      </c>
      <c r="BV349" s="23"/>
      <c r="BW349" s="23">
        <v>3285000</v>
      </c>
      <c r="BX349" s="23"/>
      <c r="BY349" s="23">
        <v>3285000</v>
      </c>
      <c r="BZ349" s="23"/>
      <c r="CA349" s="23">
        <v>3285000</v>
      </c>
      <c r="CB349" s="23"/>
      <c r="CC349" s="23">
        <v>3285000</v>
      </c>
      <c r="CD349" s="23">
        <v>1314000</v>
      </c>
      <c r="CE349" s="23">
        <v>7884000</v>
      </c>
      <c r="CF349" s="28"/>
      <c r="CG349" s="28"/>
      <c r="CH349" s="25">
        <f t="shared" ref="CH349:CI349" si="686">BH349+BJ349+BL349+BN349+BP349+BR349+BT349+BV349+BX349+BZ349+CB349+CD349+CF349</f>
        <v>37449000</v>
      </c>
      <c r="CI349" s="25">
        <f t="shared" si="686"/>
        <v>37449000</v>
      </c>
      <c r="CJ349" s="26">
        <f t="shared" si="518"/>
        <v>0</v>
      </c>
      <c r="CK349" s="26">
        <f t="shared" si="519"/>
        <v>0</v>
      </c>
    </row>
    <row r="350" spans="1:89" ht="90" customHeight="1" x14ac:dyDescent="0.3">
      <c r="A350" s="13" t="s">
        <v>248</v>
      </c>
      <c r="B350" s="14" t="s">
        <v>30</v>
      </c>
      <c r="C350" s="15" t="s">
        <v>967</v>
      </c>
      <c r="D350" s="14" t="s">
        <v>60</v>
      </c>
      <c r="E350" s="13" t="s">
        <v>250</v>
      </c>
      <c r="F350" s="13" t="s">
        <v>250</v>
      </c>
      <c r="G350" s="14">
        <v>68</v>
      </c>
      <c r="H350" s="13" t="s">
        <v>1046</v>
      </c>
      <c r="I350" s="15" t="s">
        <v>987</v>
      </c>
      <c r="J350" s="14" t="s">
        <v>4</v>
      </c>
      <c r="K350" s="15" t="s">
        <v>72</v>
      </c>
      <c r="L350" s="14">
        <v>80111620</v>
      </c>
      <c r="M350" s="14" t="s">
        <v>33</v>
      </c>
      <c r="N350" s="14" t="s">
        <v>253</v>
      </c>
      <c r="O350" s="15" t="s">
        <v>1047</v>
      </c>
      <c r="P350" s="14" t="s">
        <v>255</v>
      </c>
      <c r="Q350" s="14" t="s">
        <v>255</v>
      </c>
      <c r="R350" s="14" t="s">
        <v>255</v>
      </c>
      <c r="S350" s="17">
        <v>11.5</v>
      </c>
      <c r="T350" s="14" t="s">
        <v>256</v>
      </c>
      <c r="U350" s="14" t="s">
        <v>257</v>
      </c>
      <c r="V350" s="14" t="s">
        <v>112</v>
      </c>
      <c r="W350" s="18">
        <v>106950000</v>
      </c>
      <c r="X350" s="18">
        <v>106950000</v>
      </c>
      <c r="Y350" s="19" t="s">
        <v>339</v>
      </c>
      <c r="Z350" s="19" t="s">
        <v>258</v>
      </c>
      <c r="AA350" s="14" t="s">
        <v>971</v>
      </c>
      <c r="AB350" s="14" t="s">
        <v>972</v>
      </c>
      <c r="AC350" s="14">
        <v>6012220641</v>
      </c>
      <c r="AD350" s="14" t="s">
        <v>973</v>
      </c>
      <c r="AE350" s="82">
        <v>102300000</v>
      </c>
      <c r="AF350" s="82">
        <v>0</v>
      </c>
      <c r="AG350" s="82">
        <v>0</v>
      </c>
      <c r="AH350" s="82">
        <v>0</v>
      </c>
      <c r="AI350" s="82">
        <v>0</v>
      </c>
      <c r="AJ350" s="82">
        <v>9300000</v>
      </c>
      <c r="AK350" s="82">
        <v>0</v>
      </c>
      <c r="AL350" s="82">
        <v>9300000</v>
      </c>
      <c r="AM350" s="82">
        <v>0</v>
      </c>
      <c r="AN350" s="82">
        <v>9300000</v>
      </c>
      <c r="AO350" s="82">
        <v>0</v>
      </c>
      <c r="AP350" s="82">
        <v>9300000</v>
      </c>
      <c r="AQ350" s="82">
        <v>0</v>
      </c>
      <c r="AR350" s="82">
        <v>9300000</v>
      </c>
      <c r="AS350" s="82">
        <v>0</v>
      </c>
      <c r="AT350" s="82">
        <v>9300000</v>
      </c>
      <c r="AU350" s="82">
        <v>0</v>
      </c>
      <c r="AV350" s="82">
        <v>9300000</v>
      </c>
      <c r="AW350" s="82">
        <v>0</v>
      </c>
      <c r="AX350" s="82">
        <v>9300000</v>
      </c>
      <c r="AY350" s="82">
        <v>0</v>
      </c>
      <c r="AZ350" s="82">
        <v>9300000</v>
      </c>
      <c r="BA350" s="82">
        <v>4650000</v>
      </c>
      <c r="BB350" s="82">
        <v>23250000</v>
      </c>
      <c r="BC350" s="82">
        <f t="shared" ref="BC350:BD350" si="687">AE350+AG350+AI350+AK350+AM350+AO350+AQ350+AS350+AU350+AW350+AY350+BA350</f>
        <v>106950000</v>
      </c>
      <c r="BD350" s="82">
        <f t="shared" si="687"/>
        <v>106950000</v>
      </c>
      <c r="BE350" s="83">
        <f t="shared" si="538"/>
        <v>0</v>
      </c>
      <c r="BF350" s="83">
        <f t="shared" si="539"/>
        <v>0</v>
      </c>
      <c r="BG350" s="14" t="str">
        <f ca="1">IFERROR(__xludf.DUMMYFUNCTION("REGEXEXTRACT(O344,""^\S+\s(.+)$"")"),"Prestar servicios profesionales para brindar soporte técnico, jurídico y regulatorio en la Subdirección de Demanda, mediante el análisis de información y evaluación de impactos normativos que apoyen la formulación de planes y la toma de decisiones estraté"&amp;"gicas.")</f>
        <v>Prestar servicios profesionales para brindar soporte técnico, jurídico y regulatorio en la Subdirección de Demanda, mediante el análisis de información y evaluación de impactos normativos que apoyen la formulación de planes y la toma de decisiones estratégicas.</v>
      </c>
      <c r="BH350" s="23">
        <v>102300000</v>
      </c>
      <c r="BI350" s="23"/>
      <c r="BJ350" s="23"/>
      <c r="BK350" s="23"/>
      <c r="BL350" s="23"/>
      <c r="BM350" s="23">
        <v>9300000</v>
      </c>
      <c r="BN350" s="23"/>
      <c r="BO350" s="23">
        <v>9300000</v>
      </c>
      <c r="BP350" s="23"/>
      <c r="BQ350" s="23">
        <v>9300000</v>
      </c>
      <c r="BR350" s="23"/>
      <c r="BS350" s="23">
        <v>9300000</v>
      </c>
      <c r="BT350" s="23"/>
      <c r="BU350" s="23">
        <v>9300000</v>
      </c>
      <c r="BV350" s="23"/>
      <c r="BW350" s="23">
        <v>9300000</v>
      </c>
      <c r="BX350" s="23"/>
      <c r="BY350" s="23">
        <v>9300000</v>
      </c>
      <c r="BZ350" s="23"/>
      <c r="CA350" s="23">
        <v>9300000</v>
      </c>
      <c r="CB350" s="23"/>
      <c r="CC350" s="23">
        <v>9300000</v>
      </c>
      <c r="CD350" s="23">
        <v>4650000</v>
      </c>
      <c r="CE350" s="23">
        <v>23250000</v>
      </c>
      <c r="CF350" s="28"/>
      <c r="CG350" s="28"/>
      <c r="CH350" s="25">
        <f t="shared" ref="CH350:CI350" si="688">BH350+BJ350+BL350+BN350+BP350+BR350+BT350+BV350+BX350+BZ350+CB350+CD350+CF350</f>
        <v>106950000</v>
      </c>
      <c r="CI350" s="25">
        <f t="shared" si="688"/>
        <v>106950000</v>
      </c>
      <c r="CJ350" s="26">
        <f t="shared" si="518"/>
        <v>0</v>
      </c>
      <c r="CK350" s="26">
        <f t="shared" si="519"/>
        <v>0</v>
      </c>
    </row>
    <row r="351" spans="1:89" ht="90" customHeight="1" x14ac:dyDescent="0.3">
      <c r="A351" s="13" t="s">
        <v>248</v>
      </c>
      <c r="B351" s="14" t="s">
        <v>30</v>
      </c>
      <c r="C351" s="15" t="s">
        <v>967</v>
      </c>
      <c r="D351" s="14" t="s">
        <v>60</v>
      </c>
      <c r="E351" s="13" t="s">
        <v>250</v>
      </c>
      <c r="F351" s="13" t="s">
        <v>250</v>
      </c>
      <c r="G351" s="14">
        <v>6</v>
      </c>
      <c r="H351" s="13" t="s">
        <v>1048</v>
      </c>
      <c r="I351" s="15" t="s">
        <v>969</v>
      </c>
      <c r="J351" s="14" t="s">
        <v>9</v>
      </c>
      <c r="K351" s="15" t="s">
        <v>74</v>
      </c>
      <c r="L351" s="14">
        <v>80111620</v>
      </c>
      <c r="M351" s="14" t="s">
        <v>32</v>
      </c>
      <c r="N351" s="14" t="s">
        <v>253</v>
      </c>
      <c r="O351" s="15" t="s">
        <v>1049</v>
      </c>
      <c r="P351" s="14" t="s">
        <v>255</v>
      </c>
      <c r="Q351" s="14" t="s">
        <v>255</v>
      </c>
      <c r="R351" s="14" t="s">
        <v>255</v>
      </c>
      <c r="S351" s="17">
        <v>7</v>
      </c>
      <c r="T351" s="14" t="s">
        <v>256</v>
      </c>
      <c r="U351" s="14" t="s">
        <v>257</v>
      </c>
      <c r="V351" s="14" t="s">
        <v>112</v>
      </c>
      <c r="W351" s="18">
        <v>63000000</v>
      </c>
      <c r="X351" s="18">
        <v>63000000</v>
      </c>
      <c r="Y351" s="19" t="s">
        <v>339</v>
      </c>
      <c r="Z351" s="19" t="s">
        <v>258</v>
      </c>
      <c r="AA351" s="14" t="s">
        <v>971</v>
      </c>
      <c r="AB351" s="14" t="s">
        <v>972</v>
      </c>
      <c r="AC351" s="14">
        <v>6012220643</v>
      </c>
      <c r="AD351" s="14" t="s">
        <v>973</v>
      </c>
      <c r="AE351" s="82">
        <v>0</v>
      </c>
      <c r="AF351" s="82">
        <v>0</v>
      </c>
      <c r="AG351" s="82">
        <v>63000000</v>
      </c>
      <c r="AH351" s="82">
        <v>0</v>
      </c>
      <c r="AI351" s="82">
        <v>0</v>
      </c>
      <c r="AJ351" s="82">
        <v>9000000</v>
      </c>
      <c r="AK351" s="82">
        <v>0</v>
      </c>
      <c r="AL351" s="82">
        <v>9000000</v>
      </c>
      <c r="AM351" s="82">
        <v>0</v>
      </c>
      <c r="AN351" s="82">
        <v>9000000</v>
      </c>
      <c r="AO351" s="82">
        <v>0</v>
      </c>
      <c r="AP351" s="82">
        <v>9000000</v>
      </c>
      <c r="AQ351" s="82">
        <v>0</v>
      </c>
      <c r="AR351" s="82">
        <v>9000000</v>
      </c>
      <c r="AS351" s="82">
        <v>0</v>
      </c>
      <c r="AT351" s="82">
        <v>9000000</v>
      </c>
      <c r="AU351" s="82">
        <v>0</v>
      </c>
      <c r="AV351" s="82">
        <v>9000000</v>
      </c>
      <c r="AW351" s="82">
        <v>0</v>
      </c>
      <c r="AX351" s="82">
        <v>0</v>
      </c>
      <c r="AY351" s="82">
        <v>0</v>
      </c>
      <c r="AZ351" s="82">
        <v>0</v>
      </c>
      <c r="BA351" s="82">
        <v>0</v>
      </c>
      <c r="BB351" s="82">
        <v>0</v>
      </c>
      <c r="BC351" s="82">
        <f t="shared" ref="BC351:BD351" si="689">AE351+AG351+AI351+AK351+AM351+AO351+AQ351+AS351+AU351+AW351+AY351+BA351</f>
        <v>63000000</v>
      </c>
      <c r="BD351" s="82">
        <f t="shared" si="689"/>
        <v>63000000</v>
      </c>
      <c r="BE351" s="83">
        <f t="shared" si="538"/>
        <v>0</v>
      </c>
      <c r="BF351" s="83">
        <f t="shared" si="539"/>
        <v>0</v>
      </c>
      <c r="BG351" s="14" t="str">
        <f ca="1">IFERROR(__xludf.DUMMYFUNCTION("REGEXEXTRACT(O345,""^\S+\s(.+)$"")"),"Prestar servicios profesionales para apoyar la definición de líneas base y meta de eficiencia como insumos para el PEN y la actualización del PAI PROURE 2026, mediante el análisis de información del sector transporte con énfasis en los modos fluvial, férr"&amp;"eo, marítimo y aéreo, el desarrollo de modelos computacionales de predicción del comportamiento del sector y el soporte técnico a las medidas de eficiencia energética priorizadas; en el marco de la Transición Energética Justa, TEJ.")</f>
        <v>Prestar servicios profesionales para apoyar la definición de líneas base y meta de eficiencia como insumos para el PEN y la actualización del PAI PROURE 2026, mediante el análisis de información del sector transporte con énfasis en los modos fluvial, férreo, marítimo y aéreo, el desarrollo de modelos computacionales de predicción del comportamiento del sector y el soporte técnico a las medidas de eficiencia energética priorizadas; en el marco de la Transición Energética Justa, TEJ.</v>
      </c>
      <c r="BH351" s="23"/>
      <c r="BI351" s="23"/>
      <c r="BJ351" s="23">
        <v>63000000</v>
      </c>
      <c r="BK351" s="23"/>
      <c r="BL351" s="23"/>
      <c r="BM351" s="23">
        <v>9000000</v>
      </c>
      <c r="BN351" s="23"/>
      <c r="BO351" s="23">
        <v>9000000</v>
      </c>
      <c r="BP351" s="23"/>
      <c r="BQ351" s="23">
        <v>9000000</v>
      </c>
      <c r="BR351" s="23"/>
      <c r="BS351" s="23">
        <v>9000000</v>
      </c>
      <c r="BT351" s="23"/>
      <c r="BU351" s="23">
        <v>9000000</v>
      </c>
      <c r="BV351" s="23"/>
      <c r="BW351" s="23">
        <v>9000000</v>
      </c>
      <c r="BX351" s="23"/>
      <c r="BY351" s="23">
        <v>9000000</v>
      </c>
      <c r="BZ351" s="23"/>
      <c r="CA351" s="23"/>
      <c r="CB351" s="23"/>
      <c r="CC351" s="23"/>
      <c r="CD351" s="23"/>
      <c r="CE351" s="23"/>
      <c r="CF351" s="28"/>
      <c r="CG351" s="28"/>
      <c r="CH351" s="25">
        <f t="shared" ref="CH351:CI351" si="690">BH351+BJ351+BL351+BN351+BP351+BR351+BT351+BV351+BX351+BZ351+CB351+CD351+CF351</f>
        <v>63000000</v>
      </c>
      <c r="CI351" s="25">
        <f t="shared" si="690"/>
        <v>63000000</v>
      </c>
      <c r="CJ351" s="26">
        <f t="shared" si="518"/>
        <v>0</v>
      </c>
      <c r="CK351" s="26">
        <f t="shared" si="519"/>
        <v>0</v>
      </c>
    </row>
    <row r="352" spans="1:89" ht="90" customHeight="1" x14ac:dyDescent="0.3">
      <c r="A352" s="13" t="s">
        <v>248</v>
      </c>
      <c r="B352" s="14" t="s">
        <v>30</v>
      </c>
      <c r="C352" s="15" t="s">
        <v>967</v>
      </c>
      <c r="D352" s="14" t="s">
        <v>60</v>
      </c>
      <c r="E352" s="13" t="s">
        <v>250</v>
      </c>
      <c r="F352" s="13" t="s">
        <v>250</v>
      </c>
      <c r="G352" s="14">
        <v>4</v>
      </c>
      <c r="H352" s="13" t="s">
        <v>1050</v>
      </c>
      <c r="I352" s="15" t="s">
        <v>969</v>
      </c>
      <c r="J352" s="14" t="s">
        <v>9</v>
      </c>
      <c r="K352" s="15" t="s">
        <v>74</v>
      </c>
      <c r="L352" s="14">
        <v>80111620</v>
      </c>
      <c r="M352" s="14" t="s">
        <v>32</v>
      </c>
      <c r="N352" s="14" t="s">
        <v>253</v>
      </c>
      <c r="O352" s="15" t="s">
        <v>1051</v>
      </c>
      <c r="P352" s="14" t="s">
        <v>255</v>
      </c>
      <c r="Q352" s="14" t="s">
        <v>255</v>
      </c>
      <c r="R352" s="14" t="s">
        <v>255</v>
      </c>
      <c r="S352" s="17">
        <v>7</v>
      </c>
      <c r="T352" s="14" t="s">
        <v>256</v>
      </c>
      <c r="U352" s="14" t="s">
        <v>257</v>
      </c>
      <c r="V352" s="14" t="s">
        <v>112</v>
      </c>
      <c r="W352" s="18">
        <v>63000000</v>
      </c>
      <c r="X352" s="18">
        <v>63000000</v>
      </c>
      <c r="Y352" s="19" t="s">
        <v>339</v>
      </c>
      <c r="Z352" s="19" t="s">
        <v>258</v>
      </c>
      <c r="AA352" s="14" t="s">
        <v>971</v>
      </c>
      <c r="AB352" s="14" t="s">
        <v>972</v>
      </c>
      <c r="AC352" s="14">
        <v>6012220644</v>
      </c>
      <c r="AD352" s="14" t="s">
        <v>973</v>
      </c>
      <c r="AE352" s="82">
        <v>0</v>
      </c>
      <c r="AF352" s="82">
        <v>0</v>
      </c>
      <c r="AG352" s="82">
        <v>63000000</v>
      </c>
      <c r="AH352" s="82">
        <v>0</v>
      </c>
      <c r="AI352" s="82">
        <v>0</v>
      </c>
      <c r="AJ352" s="82">
        <v>9000000</v>
      </c>
      <c r="AK352" s="82">
        <v>0</v>
      </c>
      <c r="AL352" s="82">
        <v>9000000</v>
      </c>
      <c r="AM352" s="82">
        <v>0</v>
      </c>
      <c r="AN352" s="82">
        <v>9000000</v>
      </c>
      <c r="AO352" s="82">
        <v>0</v>
      </c>
      <c r="AP352" s="82">
        <v>9000000</v>
      </c>
      <c r="AQ352" s="82">
        <v>0</v>
      </c>
      <c r="AR352" s="82">
        <v>9000000</v>
      </c>
      <c r="AS352" s="82">
        <v>0</v>
      </c>
      <c r="AT352" s="82">
        <v>9000000</v>
      </c>
      <c r="AU352" s="82">
        <v>0</v>
      </c>
      <c r="AV352" s="82">
        <v>9000000</v>
      </c>
      <c r="AW352" s="82">
        <v>0</v>
      </c>
      <c r="AX352" s="82">
        <v>0</v>
      </c>
      <c r="AY352" s="82">
        <v>0</v>
      </c>
      <c r="AZ352" s="82">
        <v>0</v>
      </c>
      <c r="BA352" s="82">
        <v>0</v>
      </c>
      <c r="BB352" s="82">
        <v>0</v>
      </c>
      <c r="BC352" s="82">
        <f t="shared" ref="BC352:BD352" si="691">AE352+AG352+AI352+AK352+AM352+AO352+AQ352+AS352+AU352+AW352+AY352+BA352</f>
        <v>63000000</v>
      </c>
      <c r="BD352" s="82">
        <f t="shared" si="691"/>
        <v>63000000</v>
      </c>
      <c r="BE352" s="83">
        <f t="shared" si="538"/>
        <v>0</v>
      </c>
      <c r="BF352" s="83">
        <f t="shared" si="539"/>
        <v>0</v>
      </c>
      <c r="BG352" s="14" t="str">
        <f ca="1">IFERROR(__xludf.DUMMYFUNCTION("REGEXEXTRACT(O346,""^\S+\s(.+)$"")"),"Prestar servicios profesionales para apoyar la identificación, análisis y evaluación de potenciales, metas y medidas de eficiencia energética en la producción y transporte de hidrocarburos y minerales y termoeléctricas en Colombia, como insumos técnicos p"&amp;"ara la actualización y desarrollo del PAI y el PROURE, en el marco de la Transición Energética Justa – TEJ.")</f>
        <v>Prestar servicios profesionales para apoyar la identificación, análisis y evaluación de potenciales, metas y medidas de eficiencia energética en la producción y transporte de hidrocarburos y minerales y termoeléctricas en Colombia, como insumos técnicos para la actualización y desarrollo del PAI y el PROURE, en el marco de la Transición Energética Justa – TEJ.</v>
      </c>
      <c r="BH352" s="23"/>
      <c r="BI352" s="23"/>
      <c r="BJ352" s="23">
        <v>63000000</v>
      </c>
      <c r="BK352" s="23"/>
      <c r="BL352" s="23"/>
      <c r="BM352" s="23">
        <v>9000000</v>
      </c>
      <c r="BN352" s="23"/>
      <c r="BO352" s="23">
        <v>9000000</v>
      </c>
      <c r="BP352" s="23"/>
      <c r="BQ352" s="23">
        <v>9000000</v>
      </c>
      <c r="BR352" s="23"/>
      <c r="BS352" s="23">
        <v>9000000</v>
      </c>
      <c r="BT352" s="23"/>
      <c r="BU352" s="23">
        <v>9000000</v>
      </c>
      <c r="BV352" s="23"/>
      <c r="BW352" s="23">
        <v>9000000</v>
      </c>
      <c r="BX352" s="23"/>
      <c r="BY352" s="23">
        <v>9000000</v>
      </c>
      <c r="BZ352" s="23"/>
      <c r="CA352" s="23"/>
      <c r="CB352" s="23"/>
      <c r="CC352" s="23"/>
      <c r="CD352" s="23"/>
      <c r="CE352" s="23"/>
      <c r="CF352" s="28"/>
      <c r="CG352" s="28"/>
      <c r="CH352" s="25">
        <f t="shared" ref="CH352:CI352" si="692">BH352+BJ352+BL352+BN352+BP352+BR352+BT352+BV352+BX352+BZ352+CB352+CD352+CF352</f>
        <v>63000000</v>
      </c>
      <c r="CI352" s="25">
        <f t="shared" si="692"/>
        <v>63000000</v>
      </c>
      <c r="CJ352" s="26">
        <f t="shared" si="518"/>
        <v>0</v>
      </c>
      <c r="CK352" s="26">
        <f t="shared" si="519"/>
        <v>0</v>
      </c>
    </row>
    <row r="353" spans="1:89" ht="90" customHeight="1" x14ac:dyDescent="0.3">
      <c r="A353" s="13" t="s">
        <v>248</v>
      </c>
      <c r="B353" s="14" t="s">
        <v>30</v>
      </c>
      <c r="C353" s="15" t="s">
        <v>967</v>
      </c>
      <c r="D353" s="14" t="s">
        <v>60</v>
      </c>
      <c r="E353" s="13" t="s">
        <v>250</v>
      </c>
      <c r="F353" s="13" t="s">
        <v>250</v>
      </c>
      <c r="G353" s="14">
        <v>4</v>
      </c>
      <c r="H353" s="13" t="s">
        <v>1052</v>
      </c>
      <c r="I353" s="15" t="s">
        <v>987</v>
      </c>
      <c r="J353" s="14" t="s">
        <v>4</v>
      </c>
      <c r="K353" s="15" t="s">
        <v>75</v>
      </c>
      <c r="L353" s="14">
        <v>80111620</v>
      </c>
      <c r="M353" s="14" t="s">
        <v>33</v>
      </c>
      <c r="N353" s="14" t="s">
        <v>253</v>
      </c>
      <c r="O353" s="15" t="s">
        <v>1053</v>
      </c>
      <c r="P353" s="14" t="s">
        <v>255</v>
      </c>
      <c r="Q353" s="14" t="s">
        <v>255</v>
      </c>
      <c r="R353" s="14" t="s">
        <v>255</v>
      </c>
      <c r="S353" s="17">
        <v>7</v>
      </c>
      <c r="T353" s="14" t="s">
        <v>256</v>
      </c>
      <c r="U353" s="14" t="s">
        <v>257</v>
      </c>
      <c r="V353" s="14" t="s">
        <v>112</v>
      </c>
      <c r="W353" s="18">
        <v>70000000</v>
      </c>
      <c r="X353" s="18">
        <v>70000000</v>
      </c>
      <c r="Y353" s="19" t="s">
        <v>339</v>
      </c>
      <c r="Z353" s="19" t="s">
        <v>258</v>
      </c>
      <c r="AA353" s="14" t="s">
        <v>971</v>
      </c>
      <c r="AB353" s="14" t="s">
        <v>972</v>
      </c>
      <c r="AC353" s="14">
        <v>6012220644</v>
      </c>
      <c r="AD353" s="14" t="s">
        <v>973</v>
      </c>
      <c r="AE353" s="82">
        <v>70000000</v>
      </c>
      <c r="AF353" s="82">
        <v>0</v>
      </c>
      <c r="AG353" s="82">
        <v>0</v>
      </c>
      <c r="AH353" s="82">
        <v>0</v>
      </c>
      <c r="AI353" s="82">
        <v>0</v>
      </c>
      <c r="AJ353" s="82">
        <v>10000000</v>
      </c>
      <c r="AK353" s="82">
        <v>0</v>
      </c>
      <c r="AL353" s="82">
        <v>10000000</v>
      </c>
      <c r="AM353" s="82">
        <v>0</v>
      </c>
      <c r="AN353" s="82">
        <v>10000000</v>
      </c>
      <c r="AO353" s="82">
        <v>0</v>
      </c>
      <c r="AP353" s="82">
        <v>10000000</v>
      </c>
      <c r="AQ353" s="82">
        <v>0</v>
      </c>
      <c r="AR353" s="82">
        <v>10000000</v>
      </c>
      <c r="AS353" s="82">
        <v>0</v>
      </c>
      <c r="AT353" s="82">
        <v>10000000</v>
      </c>
      <c r="AU353" s="82">
        <v>0</v>
      </c>
      <c r="AV353" s="82">
        <v>10000000</v>
      </c>
      <c r="AW353" s="82">
        <v>0</v>
      </c>
      <c r="AX353" s="82">
        <v>0</v>
      </c>
      <c r="AY353" s="82">
        <v>0</v>
      </c>
      <c r="AZ353" s="82">
        <v>0</v>
      </c>
      <c r="BA353" s="82">
        <v>0</v>
      </c>
      <c r="BB353" s="82">
        <v>0</v>
      </c>
      <c r="BC353" s="82">
        <f t="shared" ref="BC353:BD353" si="693">AE353+AG353+AI353+AK353+AM353+AO353+AQ353+AS353+AU353+AW353+AY353+BA353</f>
        <v>70000000</v>
      </c>
      <c r="BD353" s="82">
        <f t="shared" si="693"/>
        <v>70000000</v>
      </c>
      <c r="BE353" s="83">
        <f t="shared" si="538"/>
        <v>0</v>
      </c>
      <c r="BF353" s="83">
        <f t="shared" si="539"/>
        <v>0</v>
      </c>
      <c r="BG353" s="14" t="str">
        <f ca="1">IFERROR(__xludf.DUMMYFUNCTION("REGEXEXTRACT(O347,""^\S+\s(.+)$"")"),"Prestar servicios profesionales para proponer modelos basados en optimización  y proyección de escenarios para la transición de la demanda y la oferta de energía en el marco de los planes de la subdirección de demanda, a partir de buenas prácticas de mode"&amp;"lamiento empleadas a nivel internacional, en el marco de la Transición Energética Justa")</f>
        <v>Prestar servicios profesionales para proponer modelos basados en optimización  y proyección de escenarios para la transición de la demanda y la oferta de energía en el marco de los planes de la subdirección de demanda, a partir de buenas prácticas de modelamiento empleadas a nivel internacional, en el marco de la Transición Energética Justa</v>
      </c>
      <c r="BH353" s="23">
        <v>70000000</v>
      </c>
      <c r="BI353" s="23"/>
      <c r="BJ353" s="23"/>
      <c r="BK353" s="23"/>
      <c r="BL353" s="23"/>
      <c r="BM353" s="23">
        <v>10000000</v>
      </c>
      <c r="BN353" s="23"/>
      <c r="BO353" s="23">
        <v>10000000</v>
      </c>
      <c r="BP353" s="23"/>
      <c r="BQ353" s="23">
        <v>10000000</v>
      </c>
      <c r="BR353" s="23"/>
      <c r="BS353" s="23">
        <v>10000000</v>
      </c>
      <c r="BT353" s="23"/>
      <c r="BU353" s="23">
        <v>10000000</v>
      </c>
      <c r="BV353" s="23"/>
      <c r="BW353" s="23">
        <v>10000000</v>
      </c>
      <c r="BX353" s="23"/>
      <c r="BY353" s="23">
        <v>10000000</v>
      </c>
      <c r="BZ353" s="23"/>
      <c r="CA353" s="23"/>
      <c r="CB353" s="23"/>
      <c r="CC353" s="23"/>
      <c r="CD353" s="23"/>
      <c r="CE353" s="23"/>
      <c r="CF353" s="28"/>
      <c r="CG353" s="28"/>
      <c r="CH353" s="25">
        <f t="shared" ref="CH353:CI353" si="694">BH353+BJ353+BL353+BN353+BP353+BR353+BT353+BV353+BX353+BZ353+CB353+CD353+CF353</f>
        <v>70000000</v>
      </c>
      <c r="CI353" s="25">
        <f t="shared" si="694"/>
        <v>70000000</v>
      </c>
      <c r="CJ353" s="26">
        <f t="shared" si="518"/>
        <v>0</v>
      </c>
      <c r="CK353" s="26">
        <f t="shared" si="519"/>
        <v>0</v>
      </c>
    </row>
    <row r="354" spans="1:89" ht="90" customHeight="1" x14ac:dyDescent="0.3">
      <c r="A354" s="13" t="s">
        <v>248</v>
      </c>
      <c r="B354" s="14" t="s">
        <v>30</v>
      </c>
      <c r="C354" s="15" t="s">
        <v>967</v>
      </c>
      <c r="D354" s="14" t="s">
        <v>60</v>
      </c>
      <c r="E354" s="13" t="s">
        <v>250</v>
      </c>
      <c r="F354" s="13" t="s">
        <v>250</v>
      </c>
      <c r="G354" s="14">
        <v>68</v>
      </c>
      <c r="H354" s="13" t="s">
        <v>1054</v>
      </c>
      <c r="I354" s="15" t="s">
        <v>1000</v>
      </c>
      <c r="J354" s="14" t="s">
        <v>15</v>
      </c>
      <c r="K354" s="15" t="s">
        <v>70</v>
      </c>
      <c r="L354" s="14">
        <v>80111620</v>
      </c>
      <c r="M354" s="14" t="s">
        <v>31</v>
      </c>
      <c r="N354" s="14" t="s">
        <v>253</v>
      </c>
      <c r="O354" s="15" t="s">
        <v>1055</v>
      </c>
      <c r="P354" s="14" t="s">
        <v>255</v>
      </c>
      <c r="Q354" s="14" t="s">
        <v>255</v>
      </c>
      <c r="R354" s="14" t="s">
        <v>255</v>
      </c>
      <c r="S354" s="17">
        <v>11.4</v>
      </c>
      <c r="T354" s="14" t="s">
        <v>256</v>
      </c>
      <c r="U354" s="14" t="s">
        <v>257</v>
      </c>
      <c r="V354" s="14" t="s">
        <v>112</v>
      </c>
      <c r="W354" s="18">
        <v>68400000</v>
      </c>
      <c r="X354" s="18">
        <v>68400000</v>
      </c>
      <c r="Y354" s="19" t="s">
        <v>339</v>
      </c>
      <c r="Z354" s="19" t="s">
        <v>258</v>
      </c>
      <c r="AA354" s="14" t="s">
        <v>971</v>
      </c>
      <c r="AB354" s="14" t="s">
        <v>972</v>
      </c>
      <c r="AC354" s="14">
        <v>6012220644</v>
      </c>
      <c r="AD354" s="14" t="s">
        <v>973</v>
      </c>
      <c r="AE354" s="82">
        <v>0</v>
      </c>
      <c r="AF354" s="82">
        <v>0</v>
      </c>
      <c r="AG354" s="82">
        <v>66000000</v>
      </c>
      <c r="AH354" s="82">
        <v>0</v>
      </c>
      <c r="AI354" s="82">
        <v>0</v>
      </c>
      <c r="AJ354" s="82">
        <v>6000000</v>
      </c>
      <c r="AK354" s="82">
        <v>0</v>
      </c>
      <c r="AL354" s="82">
        <v>6000000</v>
      </c>
      <c r="AM354" s="82">
        <v>0</v>
      </c>
      <c r="AN354" s="82">
        <v>6000000</v>
      </c>
      <c r="AO354" s="82">
        <v>0</v>
      </c>
      <c r="AP354" s="82">
        <v>6000000</v>
      </c>
      <c r="AQ354" s="82">
        <v>0</v>
      </c>
      <c r="AR354" s="82">
        <v>6000000</v>
      </c>
      <c r="AS354" s="82">
        <v>0</v>
      </c>
      <c r="AT354" s="82">
        <v>6000000</v>
      </c>
      <c r="AU354" s="82">
        <v>0</v>
      </c>
      <c r="AV354" s="82">
        <v>6000000</v>
      </c>
      <c r="AW354" s="82">
        <v>0</v>
      </c>
      <c r="AX354" s="82">
        <v>6000000</v>
      </c>
      <c r="AY354" s="82">
        <v>0</v>
      </c>
      <c r="AZ354" s="82">
        <v>6000000</v>
      </c>
      <c r="BA354" s="82">
        <v>2400000</v>
      </c>
      <c r="BB354" s="82">
        <v>14400000</v>
      </c>
      <c r="BC354" s="82">
        <f t="shared" ref="BC354:BD354" si="695">AE354+AG354+AI354+AK354+AM354+AO354+AQ354+AS354+AU354+AW354+AY354+BA354</f>
        <v>68400000</v>
      </c>
      <c r="BD354" s="82">
        <f t="shared" si="695"/>
        <v>68400000</v>
      </c>
      <c r="BE354" s="83">
        <f t="shared" si="538"/>
        <v>0</v>
      </c>
      <c r="BF354" s="83">
        <f t="shared" si="539"/>
        <v>0</v>
      </c>
      <c r="BG354" s="14" t="str">
        <f ca="1">IFERROR(__xludf.DUMMYFUNCTION("REGEXEXTRACT(O348,""^\S+\s(.+)$"")"),"Prestar servicios profesionales para apoyar la gestión, administración y optimización de la información de la Subdirección de Demanda, mediante el diseño, implementación y mantenimiento de bases de datos y flujos de datos que garanticen la disponibilidad,"&amp;" calidad y trazabilidad de la información. Así mismo, apoyar la integración de información proveniente de las diferentes dependencias de la entidad, actuando como enlace técnico para la adecuada articulación y fortalecimiento de los procesos de gestión de"&amp;" información asociados a la Subdirección de Demanda.")</f>
        <v>Prestar servicios profesionales para apoyar la gestión, administración y optimización de la información de la Subdirección de Demanda, mediante el diseño, implementación y mantenimiento de bases de datos y flujos de datos que garanticen la disponibilidad, calidad y trazabilidad de la información. Así mismo, apoyar la integración de información proveniente de las diferentes dependencias de la entidad, actuando como enlace técnico para la adecuada articulación y fortalecimiento de los procesos de gestión de información asociados a la Subdirección de Demanda.</v>
      </c>
      <c r="BH354" s="23"/>
      <c r="BI354" s="23"/>
      <c r="BJ354" s="23">
        <v>66000000</v>
      </c>
      <c r="BK354" s="23"/>
      <c r="BL354" s="23"/>
      <c r="BM354" s="23">
        <v>6000000</v>
      </c>
      <c r="BN354" s="23"/>
      <c r="BO354" s="23">
        <v>6000000</v>
      </c>
      <c r="BP354" s="23"/>
      <c r="BQ354" s="23">
        <v>6000000</v>
      </c>
      <c r="BR354" s="23"/>
      <c r="BS354" s="23">
        <v>6000000</v>
      </c>
      <c r="BT354" s="23"/>
      <c r="BU354" s="23">
        <v>6000000</v>
      </c>
      <c r="BV354" s="23"/>
      <c r="BW354" s="23">
        <v>6000000</v>
      </c>
      <c r="BX354" s="23"/>
      <c r="BY354" s="23">
        <v>6000000</v>
      </c>
      <c r="BZ354" s="23"/>
      <c r="CA354" s="23">
        <v>6000000</v>
      </c>
      <c r="CB354" s="23"/>
      <c r="CC354" s="23">
        <v>6000000</v>
      </c>
      <c r="CD354" s="23">
        <v>2400000</v>
      </c>
      <c r="CE354" s="23">
        <v>14400000</v>
      </c>
      <c r="CF354" s="28"/>
      <c r="CG354" s="28"/>
      <c r="CH354" s="25">
        <f t="shared" ref="CH354:CI354" si="696">BH354+BJ354+BL354+BN354+BP354+BR354+BT354+BV354+BX354+BZ354+CB354+CD354+CF354</f>
        <v>68400000</v>
      </c>
      <c r="CI354" s="25">
        <f t="shared" si="696"/>
        <v>68400000</v>
      </c>
      <c r="CJ354" s="26">
        <f t="shared" si="518"/>
        <v>0</v>
      </c>
      <c r="CK354" s="26">
        <f t="shared" si="519"/>
        <v>0</v>
      </c>
    </row>
    <row r="355" spans="1:89" ht="90" customHeight="1" x14ac:dyDescent="0.3">
      <c r="A355" s="13" t="s">
        <v>248</v>
      </c>
      <c r="B355" s="14" t="s">
        <v>30</v>
      </c>
      <c r="C355" s="15" t="s">
        <v>967</v>
      </c>
      <c r="D355" s="14" t="s">
        <v>60</v>
      </c>
      <c r="E355" s="13" t="s">
        <v>250</v>
      </c>
      <c r="F355" s="13" t="s">
        <v>250</v>
      </c>
      <c r="G355" s="14">
        <v>68</v>
      </c>
      <c r="H355" s="13" t="s">
        <v>1056</v>
      </c>
      <c r="I355" s="15" t="s">
        <v>1000</v>
      </c>
      <c r="J355" s="14" t="s">
        <v>15</v>
      </c>
      <c r="K355" s="15" t="s">
        <v>70</v>
      </c>
      <c r="L355" s="14">
        <v>80111620</v>
      </c>
      <c r="M355" s="14" t="s">
        <v>31</v>
      </c>
      <c r="N355" s="14" t="s">
        <v>253</v>
      </c>
      <c r="O355" s="15" t="s">
        <v>1057</v>
      </c>
      <c r="P355" s="14" t="s">
        <v>255</v>
      </c>
      <c r="Q355" s="14" t="s">
        <v>255</v>
      </c>
      <c r="R355" s="14" t="s">
        <v>255</v>
      </c>
      <c r="S355" s="17">
        <v>11.4</v>
      </c>
      <c r="T355" s="14" t="s">
        <v>256</v>
      </c>
      <c r="U355" s="14" t="s">
        <v>257</v>
      </c>
      <c r="V355" s="14" t="s">
        <v>112</v>
      </c>
      <c r="W355" s="18">
        <v>74100000</v>
      </c>
      <c r="X355" s="18">
        <v>74100000</v>
      </c>
      <c r="Y355" s="19" t="s">
        <v>339</v>
      </c>
      <c r="Z355" s="19" t="s">
        <v>258</v>
      </c>
      <c r="AA355" s="14" t="s">
        <v>971</v>
      </c>
      <c r="AB355" s="14" t="s">
        <v>972</v>
      </c>
      <c r="AC355" s="14">
        <v>6012220644</v>
      </c>
      <c r="AD355" s="14" t="s">
        <v>973</v>
      </c>
      <c r="AE355" s="82">
        <v>0</v>
      </c>
      <c r="AF355" s="82">
        <v>0</v>
      </c>
      <c r="AG355" s="82">
        <v>71500000</v>
      </c>
      <c r="AH355" s="82">
        <v>0</v>
      </c>
      <c r="AI355" s="82">
        <v>0</v>
      </c>
      <c r="AJ355" s="82">
        <v>6500000</v>
      </c>
      <c r="AK355" s="82">
        <v>0</v>
      </c>
      <c r="AL355" s="82">
        <v>6500000</v>
      </c>
      <c r="AM355" s="82">
        <v>0</v>
      </c>
      <c r="AN355" s="82">
        <v>6500000</v>
      </c>
      <c r="AO355" s="82">
        <v>0</v>
      </c>
      <c r="AP355" s="82">
        <v>6500000</v>
      </c>
      <c r="AQ355" s="82">
        <v>0</v>
      </c>
      <c r="AR355" s="82">
        <v>6500000</v>
      </c>
      <c r="AS355" s="82">
        <v>0</v>
      </c>
      <c r="AT355" s="82">
        <v>6500000</v>
      </c>
      <c r="AU355" s="82">
        <v>0</v>
      </c>
      <c r="AV355" s="82">
        <v>6500000</v>
      </c>
      <c r="AW355" s="82">
        <v>0</v>
      </c>
      <c r="AX355" s="82">
        <v>6500000</v>
      </c>
      <c r="AY355" s="82">
        <v>0</v>
      </c>
      <c r="AZ355" s="82">
        <v>6500000</v>
      </c>
      <c r="BA355" s="82">
        <v>2600000</v>
      </c>
      <c r="BB355" s="82">
        <v>15600000</v>
      </c>
      <c r="BC355" s="82">
        <f t="shared" ref="BC355:BD355" si="697">AE355+AG355+AI355+AK355+AM355+AO355+AQ355+AS355+AU355+AW355+AY355+BA355</f>
        <v>74100000</v>
      </c>
      <c r="BD355" s="82">
        <f t="shared" si="697"/>
        <v>74100000</v>
      </c>
      <c r="BE355" s="83">
        <f t="shared" si="538"/>
        <v>0</v>
      </c>
      <c r="BF355" s="83">
        <f t="shared" si="539"/>
        <v>0</v>
      </c>
      <c r="BG355" s="14" t="str">
        <f ca="1">IFERROR(__xludf.DUMMYFUNCTION("REGEXEXTRACT(O349,""^\S+\s(.+)$"")"),"Prestar servicios profesionales como Diseñador de Interfaz Gráfica (UI) para la presentación de datos, mediante la creación y desarrollo de elementos visuales e interactivos que garanticen funcionalidad, claridad y coherencia gráfica, conforme a los linea"&amp;"mientos institucionales.")</f>
        <v>Prestar servicios profesionales como Diseñador de Interfaz Gráfica (UI) para la presentación de datos, mediante la creación y desarrollo de elementos visuales e interactivos que garanticen funcionalidad, claridad y coherencia gráfica, conforme a los lineamientos institucionales.</v>
      </c>
      <c r="BH355" s="23"/>
      <c r="BI355" s="23"/>
      <c r="BJ355" s="23">
        <v>71500000</v>
      </c>
      <c r="BK355" s="23"/>
      <c r="BL355" s="23"/>
      <c r="BM355" s="23">
        <v>6500000</v>
      </c>
      <c r="BN355" s="23"/>
      <c r="BO355" s="23">
        <v>6500000</v>
      </c>
      <c r="BP355" s="23"/>
      <c r="BQ355" s="23">
        <v>6500000</v>
      </c>
      <c r="BR355" s="23"/>
      <c r="BS355" s="23">
        <v>6500000</v>
      </c>
      <c r="BT355" s="23"/>
      <c r="BU355" s="23">
        <v>6500000</v>
      </c>
      <c r="BV355" s="23"/>
      <c r="BW355" s="23">
        <v>6500000</v>
      </c>
      <c r="BX355" s="23"/>
      <c r="BY355" s="23">
        <v>6500000</v>
      </c>
      <c r="BZ355" s="23"/>
      <c r="CA355" s="23">
        <v>6500000</v>
      </c>
      <c r="CB355" s="23"/>
      <c r="CC355" s="23">
        <v>6500000</v>
      </c>
      <c r="CD355" s="23">
        <v>2600000</v>
      </c>
      <c r="CE355" s="23">
        <v>15600000</v>
      </c>
      <c r="CF355" s="28"/>
      <c r="CG355" s="28"/>
      <c r="CH355" s="25">
        <f t="shared" ref="CH355:CI355" si="698">BH355+BJ355+BL355+BN355+BP355+BR355+BT355+BV355+BX355+BZ355+CB355+CD355+CF355</f>
        <v>74100000</v>
      </c>
      <c r="CI355" s="25">
        <f t="shared" si="698"/>
        <v>74100000</v>
      </c>
      <c r="CJ355" s="26">
        <f t="shared" si="518"/>
        <v>0</v>
      </c>
      <c r="CK355" s="26">
        <f t="shared" si="519"/>
        <v>0</v>
      </c>
    </row>
    <row r="356" spans="1:89" ht="90" customHeight="1" x14ac:dyDescent="0.3">
      <c r="A356" s="13" t="s">
        <v>248</v>
      </c>
      <c r="B356" s="14" t="s">
        <v>30</v>
      </c>
      <c r="C356" s="15" t="s">
        <v>967</v>
      </c>
      <c r="D356" s="14" t="s">
        <v>60</v>
      </c>
      <c r="E356" s="13" t="s">
        <v>250</v>
      </c>
      <c r="F356" s="13" t="s">
        <v>250</v>
      </c>
      <c r="G356" s="14">
        <v>68</v>
      </c>
      <c r="H356" s="13" t="s">
        <v>1058</v>
      </c>
      <c r="I356" s="15" t="s">
        <v>1000</v>
      </c>
      <c r="J356" s="14" t="s">
        <v>15</v>
      </c>
      <c r="K356" s="15" t="s">
        <v>70</v>
      </c>
      <c r="L356" s="14">
        <v>80111620</v>
      </c>
      <c r="M356" s="14" t="s">
        <v>31</v>
      </c>
      <c r="N356" s="14" t="s">
        <v>253</v>
      </c>
      <c r="O356" s="15" t="s">
        <v>1059</v>
      </c>
      <c r="P356" s="14" t="s">
        <v>255</v>
      </c>
      <c r="Q356" s="14" t="s">
        <v>255</v>
      </c>
      <c r="R356" s="14" t="s">
        <v>255</v>
      </c>
      <c r="S356" s="17">
        <v>11.5</v>
      </c>
      <c r="T356" s="14" t="s">
        <v>256</v>
      </c>
      <c r="U356" s="14" t="s">
        <v>257</v>
      </c>
      <c r="V356" s="14" t="s">
        <v>112</v>
      </c>
      <c r="W356" s="18">
        <v>47150000</v>
      </c>
      <c r="X356" s="18">
        <v>47150000</v>
      </c>
      <c r="Y356" s="19" t="s">
        <v>339</v>
      </c>
      <c r="Z356" s="19" t="s">
        <v>258</v>
      </c>
      <c r="AA356" s="14" t="s">
        <v>971</v>
      </c>
      <c r="AB356" s="14" t="s">
        <v>972</v>
      </c>
      <c r="AC356" s="14">
        <v>6012220644</v>
      </c>
      <c r="AD356" s="14" t="s">
        <v>973</v>
      </c>
      <c r="AE356" s="82">
        <v>0</v>
      </c>
      <c r="AF356" s="82">
        <v>0</v>
      </c>
      <c r="AG356" s="82">
        <v>45100000</v>
      </c>
      <c r="AH356" s="82">
        <v>0</v>
      </c>
      <c r="AI356" s="82">
        <v>0</v>
      </c>
      <c r="AJ356" s="82">
        <v>4100000</v>
      </c>
      <c r="AK356" s="82">
        <v>0</v>
      </c>
      <c r="AL356" s="82">
        <v>4100000</v>
      </c>
      <c r="AM356" s="82">
        <v>0</v>
      </c>
      <c r="AN356" s="82">
        <v>4100000</v>
      </c>
      <c r="AO356" s="82">
        <v>0</v>
      </c>
      <c r="AP356" s="82">
        <v>4100000</v>
      </c>
      <c r="AQ356" s="82">
        <v>0</v>
      </c>
      <c r="AR356" s="82">
        <v>4100000</v>
      </c>
      <c r="AS356" s="82">
        <v>0</v>
      </c>
      <c r="AT356" s="82">
        <v>4100000</v>
      </c>
      <c r="AU356" s="82">
        <v>0</v>
      </c>
      <c r="AV356" s="82">
        <v>4100000</v>
      </c>
      <c r="AW356" s="82">
        <v>0</v>
      </c>
      <c r="AX356" s="82">
        <v>4100000</v>
      </c>
      <c r="AY356" s="82">
        <v>0</v>
      </c>
      <c r="AZ356" s="82">
        <v>4100000</v>
      </c>
      <c r="BA356" s="82">
        <v>2050000</v>
      </c>
      <c r="BB356" s="82">
        <v>10250000</v>
      </c>
      <c r="BC356" s="82">
        <f t="shared" ref="BC356:BD356" si="699">AE356+AG356+AI356+AK356+AM356+AO356+AQ356+AS356+AU356+AW356+AY356+BA356</f>
        <v>47150000</v>
      </c>
      <c r="BD356" s="82">
        <f t="shared" si="699"/>
        <v>47150000</v>
      </c>
      <c r="BE356" s="83">
        <f t="shared" si="538"/>
        <v>0</v>
      </c>
      <c r="BF356" s="83">
        <f t="shared" si="539"/>
        <v>0</v>
      </c>
      <c r="BG356" s="14" t="str">
        <f ca="1">IFERROR(__xludf.DUMMYFUNCTION("REGEXEXTRACT(O350,""^\S+\s(.+)$"")"),"Prestar servicios profesionales para apoyar la realización de la caracterización geográfica nacional de la distribución de hidrocarburos a nivel municipal y regional.")</f>
        <v>Prestar servicios profesionales para apoyar la realización de la caracterización geográfica nacional de la distribución de hidrocarburos a nivel municipal y regional.</v>
      </c>
      <c r="BH356" s="23"/>
      <c r="BI356" s="23"/>
      <c r="BJ356" s="23">
        <v>45100000</v>
      </c>
      <c r="BK356" s="23"/>
      <c r="BL356" s="23"/>
      <c r="BM356" s="23">
        <v>4100000</v>
      </c>
      <c r="BN356" s="23"/>
      <c r="BO356" s="23">
        <v>4100000</v>
      </c>
      <c r="BP356" s="23"/>
      <c r="BQ356" s="23">
        <v>4100000</v>
      </c>
      <c r="BR356" s="23"/>
      <c r="BS356" s="23">
        <v>4100000</v>
      </c>
      <c r="BT356" s="23"/>
      <c r="BU356" s="23">
        <v>4100000</v>
      </c>
      <c r="BV356" s="23"/>
      <c r="BW356" s="23">
        <v>4100000</v>
      </c>
      <c r="BX356" s="23"/>
      <c r="BY356" s="23">
        <v>4100000</v>
      </c>
      <c r="BZ356" s="23"/>
      <c r="CA356" s="23">
        <v>4100000</v>
      </c>
      <c r="CB356" s="23"/>
      <c r="CC356" s="23">
        <v>4100000</v>
      </c>
      <c r="CD356" s="23">
        <v>2050000</v>
      </c>
      <c r="CE356" s="23">
        <v>10250000</v>
      </c>
      <c r="CF356" s="28"/>
      <c r="CG356" s="28"/>
      <c r="CH356" s="25">
        <f t="shared" ref="CH356:CI356" si="700">BH356+BJ356+BL356+BN356+BP356+BR356+BT356+BV356+BX356+BZ356+CB356+CD356+CF356</f>
        <v>47150000</v>
      </c>
      <c r="CI356" s="25">
        <f t="shared" si="700"/>
        <v>47150000</v>
      </c>
      <c r="CJ356" s="26">
        <f t="shared" si="518"/>
        <v>0</v>
      </c>
      <c r="CK356" s="26">
        <f t="shared" si="519"/>
        <v>0</v>
      </c>
    </row>
    <row r="357" spans="1:89" ht="90" customHeight="1" x14ac:dyDescent="0.3">
      <c r="A357" s="13" t="s">
        <v>248</v>
      </c>
      <c r="B357" s="14" t="s">
        <v>30</v>
      </c>
      <c r="C357" s="15" t="s">
        <v>967</v>
      </c>
      <c r="D357" s="14" t="s">
        <v>60</v>
      </c>
      <c r="E357" s="13" t="s">
        <v>250</v>
      </c>
      <c r="F357" s="13" t="s">
        <v>250</v>
      </c>
      <c r="G357" s="14">
        <v>4</v>
      </c>
      <c r="H357" s="13" t="s">
        <v>1060</v>
      </c>
      <c r="I357" s="15" t="s">
        <v>987</v>
      </c>
      <c r="J357" s="14" t="s">
        <v>4</v>
      </c>
      <c r="K357" s="15" t="s">
        <v>75</v>
      </c>
      <c r="L357" s="14">
        <v>80111620</v>
      </c>
      <c r="M357" s="14" t="s">
        <v>33</v>
      </c>
      <c r="N357" s="14" t="s">
        <v>253</v>
      </c>
      <c r="O357" s="15" t="s">
        <v>1061</v>
      </c>
      <c r="P357" s="14" t="s">
        <v>255</v>
      </c>
      <c r="Q357" s="14" t="s">
        <v>255</v>
      </c>
      <c r="R357" s="14" t="s">
        <v>255</v>
      </c>
      <c r="S357" s="17">
        <v>11.4</v>
      </c>
      <c r="T357" s="14" t="s">
        <v>256</v>
      </c>
      <c r="U357" s="14" t="s">
        <v>257</v>
      </c>
      <c r="V357" s="14" t="s">
        <v>112</v>
      </c>
      <c r="W357" s="18">
        <v>74100000</v>
      </c>
      <c r="X357" s="18">
        <v>74100000</v>
      </c>
      <c r="Y357" s="19" t="s">
        <v>339</v>
      </c>
      <c r="Z357" s="19" t="s">
        <v>258</v>
      </c>
      <c r="AA357" s="14" t="s">
        <v>971</v>
      </c>
      <c r="AB357" s="14" t="s">
        <v>972</v>
      </c>
      <c r="AC357" s="14">
        <v>6012220644</v>
      </c>
      <c r="AD357" s="14" t="s">
        <v>973</v>
      </c>
      <c r="AE357" s="82">
        <v>0</v>
      </c>
      <c r="AF357" s="82">
        <v>0</v>
      </c>
      <c r="AG357" s="82">
        <v>71500000</v>
      </c>
      <c r="AH357" s="82">
        <v>0</v>
      </c>
      <c r="AI357" s="82">
        <v>0</v>
      </c>
      <c r="AJ357" s="82">
        <v>6500000</v>
      </c>
      <c r="AK357" s="82">
        <v>0</v>
      </c>
      <c r="AL357" s="82">
        <v>6500000</v>
      </c>
      <c r="AM357" s="82">
        <v>0</v>
      </c>
      <c r="AN357" s="82">
        <v>6500000</v>
      </c>
      <c r="AO357" s="82">
        <v>0</v>
      </c>
      <c r="AP357" s="82">
        <v>6500000</v>
      </c>
      <c r="AQ357" s="82">
        <v>0</v>
      </c>
      <c r="AR357" s="82">
        <v>6500000</v>
      </c>
      <c r="AS357" s="82">
        <v>0</v>
      </c>
      <c r="AT357" s="82">
        <v>6500000</v>
      </c>
      <c r="AU357" s="82">
        <v>0</v>
      </c>
      <c r="AV357" s="82">
        <v>6500000</v>
      </c>
      <c r="AW357" s="82">
        <v>0</v>
      </c>
      <c r="AX357" s="82">
        <v>6500000</v>
      </c>
      <c r="AY357" s="82">
        <v>0</v>
      </c>
      <c r="AZ357" s="82">
        <v>6500000</v>
      </c>
      <c r="BA357" s="82">
        <v>2600000</v>
      </c>
      <c r="BB357" s="82">
        <v>15600000</v>
      </c>
      <c r="BC357" s="82">
        <f t="shared" ref="BC357:BD357" si="701">AE357+AG357+AI357+AK357+AM357+AO357+AQ357+AS357+AU357+AW357+AY357+BA357</f>
        <v>74100000</v>
      </c>
      <c r="BD357" s="82">
        <f t="shared" si="701"/>
        <v>74100000</v>
      </c>
      <c r="BE357" s="83">
        <f t="shared" si="538"/>
        <v>0</v>
      </c>
      <c r="BF357" s="83">
        <f t="shared" si="539"/>
        <v>0</v>
      </c>
      <c r="BG357" s="14" t="str">
        <f ca="1">IFERROR(__xludf.DUMMYFUNCTION("REGEXEXTRACT(O351,""^\S+\s(.+)$"")"),"Prestar servicios profesionales para realizar el seguimiento en las actividades asociadas a la Evaluación de Incentivos Tributarios y apoyo a la supervisión de los contratos relacionados con el trámite de Incentivos.")</f>
        <v>Prestar servicios profesionales para realizar el seguimiento en las actividades asociadas a la Evaluación de Incentivos Tributarios y apoyo a la supervisión de los contratos relacionados con el trámite de Incentivos.</v>
      </c>
      <c r="BH357" s="23"/>
      <c r="BI357" s="23"/>
      <c r="BJ357" s="23">
        <v>71500000</v>
      </c>
      <c r="BK357" s="23"/>
      <c r="BL357" s="23"/>
      <c r="BM357" s="23">
        <v>6500000</v>
      </c>
      <c r="BN357" s="23"/>
      <c r="BO357" s="23">
        <v>6500000</v>
      </c>
      <c r="BP357" s="23"/>
      <c r="BQ357" s="23">
        <v>6500000</v>
      </c>
      <c r="BR357" s="23"/>
      <c r="BS357" s="23">
        <v>6500000</v>
      </c>
      <c r="BT357" s="23"/>
      <c r="BU357" s="23">
        <v>6500000</v>
      </c>
      <c r="BV357" s="23"/>
      <c r="BW357" s="23">
        <v>6500000</v>
      </c>
      <c r="BX357" s="23"/>
      <c r="BY357" s="23">
        <v>6500000</v>
      </c>
      <c r="BZ357" s="23"/>
      <c r="CA357" s="23">
        <v>6500000</v>
      </c>
      <c r="CB357" s="23"/>
      <c r="CC357" s="23">
        <v>6500000</v>
      </c>
      <c r="CD357" s="23">
        <v>2600000</v>
      </c>
      <c r="CE357" s="23">
        <v>15600000</v>
      </c>
      <c r="CF357" s="28"/>
      <c r="CG357" s="28"/>
      <c r="CH357" s="25">
        <f t="shared" ref="CH357:CI357" si="702">BH357+BJ357+BL357+BN357+BP357+BR357+BT357+BV357+BX357+BZ357+CB357+CD357+CF357</f>
        <v>74100000</v>
      </c>
      <c r="CI357" s="25">
        <f t="shared" si="702"/>
        <v>74100000</v>
      </c>
      <c r="CJ357" s="26">
        <f t="shared" si="518"/>
        <v>0</v>
      </c>
      <c r="CK357" s="26">
        <f t="shared" si="519"/>
        <v>0</v>
      </c>
    </row>
    <row r="358" spans="1:89" ht="90" customHeight="1" x14ac:dyDescent="0.3">
      <c r="A358" s="13" t="s">
        <v>248</v>
      </c>
      <c r="B358" s="14" t="s">
        <v>30</v>
      </c>
      <c r="C358" s="15" t="s">
        <v>967</v>
      </c>
      <c r="D358" s="14" t="s">
        <v>60</v>
      </c>
      <c r="E358" s="13" t="s">
        <v>250</v>
      </c>
      <c r="F358" s="13" t="s">
        <v>250</v>
      </c>
      <c r="G358" s="14">
        <v>3</v>
      </c>
      <c r="H358" s="13" t="s">
        <v>1062</v>
      </c>
      <c r="I358" s="15" t="s">
        <v>969</v>
      </c>
      <c r="J358" s="14" t="s">
        <v>9</v>
      </c>
      <c r="K358" s="15" t="s">
        <v>74</v>
      </c>
      <c r="L358" s="14">
        <v>80111620</v>
      </c>
      <c r="M358" s="14" t="s">
        <v>32</v>
      </c>
      <c r="N358" s="14" t="s">
        <v>253</v>
      </c>
      <c r="O358" s="15" t="s">
        <v>1063</v>
      </c>
      <c r="P358" s="14" t="s">
        <v>255</v>
      </c>
      <c r="Q358" s="14" t="s">
        <v>255</v>
      </c>
      <c r="R358" s="14" t="s">
        <v>255</v>
      </c>
      <c r="S358" s="17">
        <v>11.2</v>
      </c>
      <c r="T358" s="14" t="s">
        <v>256</v>
      </c>
      <c r="U358" s="14" t="s">
        <v>257</v>
      </c>
      <c r="V358" s="14" t="s">
        <v>112</v>
      </c>
      <c r="W358" s="18">
        <v>50400000</v>
      </c>
      <c r="X358" s="18">
        <v>50400000</v>
      </c>
      <c r="Y358" s="19" t="s">
        <v>339</v>
      </c>
      <c r="Z358" s="19" t="s">
        <v>258</v>
      </c>
      <c r="AA358" s="14" t="s">
        <v>971</v>
      </c>
      <c r="AB358" s="14" t="s">
        <v>972</v>
      </c>
      <c r="AC358" s="14">
        <v>6012220644</v>
      </c>
      <c r="AD358" s="14" t="s">
        <v>973</v>
      </c>
      <c r="AE358" s="82">
        <v>0</v>
      </c>
      <c r="AF358" s="82">
        <v>0</v>
      </c>
      <c r="AG358" s="82">
        <v>0</v>
      </c>
      <c r="AH358" s="82">
        <v>0</v>
      </c>
      <c r="AI358" s="82">
        <v>0</v>
      </c>
      <c r="AJ358" s="82">
        <v>0</v>
      </c>
      <c r="AK358" s="82">
        <v>0</v>
      </c>
      <c r="AL358" s="82">
        <v>0</v>
      </c>
      <c r="AM358" s="82">
        <v>0</v>
      </c>
      <c r="AN358" s="82">
        <v>0</v>
      </c>
      <c r="AO358" s="82">
        <v>0</v>
      </c>
      <c r="AP358" s="82">
        <v>0</v>
      </c>
      <c r="AQ358" s="82">
        <v>0</v>
      </c>
      <c r="AR358" s="82">
        <v>0</v>
      </c>
      <c r="AS358" s="82">
        <v>50400000</v>
      </c>
      <c r="AT358" s="82">
        <v>0</v>
      </c>
      <c r="AU358" s="82">
        <v>0</v>
      </c>
      <c r="AV358" s="82">
        <v>10080000</v>
      </c>
      <c r="AW358" s="82">
        <v>0</v>
      </c>
      <c r="AX358" s="82">
        <v>10080000</v>
      </c>
      <c r="AY358" s="82">
        <v>0</v>
      </c>
      <c r="AZ358" s="82">
        <v>10080000</v>
      </c>
      <c r="BA358" s="82">
        <v>0</v>
      </c>
      <c r="BB358" s="82">
        <v>20160000</v>
      </c>
      <c r="BC358" s="82">
        <f t="shared" ref="BC358:BD358" si="703">AE358+AG358+AI358+AK358+AM358+AO358+AQ358+AS358+AU358+AW358+AY358+BA358</f>
        <v>50400000</v>
      </c>
      <c r="BD358" s="82">
        <f t="shared" si="703"/>
        <v>50400000</v>
      </c>
      <c r="BE358" s="83">
        <f t="shared" si="538"/>
        <v>0</v>
      </c>
      <c r="BF358" s="83">
        <f t="shared" si="539"/>
        <v>0</v>
      </c>
      <c r="BG358" s="14" t="str">
        <f ca="1">IFERROR(__xludf.DUMMYFUNCTION("REGEXEXTRACT(O352,""^\S+\s(.+)$"")"),"Prestar servicios profesionales para la evaluación de inversiones en proyectos de Gestión Eficiente de la Energía, aplicando criterios técnicos y metodologías usadas en servicios de interventoría, a las solicitudes de incentivos tributarios de la UPME, as"&amp;"í como la validación documental, evaluación técnica y elaboración de recomendaciones sobre el avance en la implementación de las medidas de eficiencia energética reportadas a la UPME por las entidades públicas, en cumplimiento de lo dispuesto en el artícu"&amp;"lo 237 de la Ley 2294 de 2023 — Plan Nacional de Desarrollo 2022–2026.")</f>
        <v>Prestar servicios profesionales para la evaluación de inversiones en proyectos de Gestión Eficiente de la Energía, aplicando criterios técnicos y metodologías usadas en servicios de interventoría, a las solicitudes de incentivos tributarios de la UPME, así como la validación documental, evaluación técnica y elaboración de recomendaciones sobre el avance en la implementación de las medidas de eficiencia energética reportadas a la UPME por las entidades públicas, en cumplimiento de lo dispuesto en el artículo 237 de la Ley 2294 de 2023 — Plan Nacional de Desarrollo 2022–2026.</v>
      </c>
      <c r="BH358" s="23">
        <v>50050000</v>
      </c>
      <c r="BI358" s="23"/>
      <c r="BJ358" s="23"/>
      <c r="BK358" s="23"/>
      <c r="BL358" s="23"/>
      <c r="BM358" s="23"/>
      <c r="BN358" s="23"/>
      <c r="BO358" s="23"/>
      <c r="BP358" s="23"/>
      <c r="BQ358" s="23"/>
      <c r="BR358" s="23"/>
      <c r="BS358" s="23"/>
      <c r="BT358" s="23"/>
      <c r="BU358" s="23"/>
      <c r="BV358" s="23"/>
      <c r="BW358" s="23"/>
      <c r="BX358" s="23"/>
      <c r="BY358" s="23">
        <v>10080000</v>
      </c>
      <c r="BZ358" s="23">
        <v>350000</v>
      </c>
      <c r="CA358" s="23">
        <v>10080000</v>
      </c>
      <c r="CB358" s="23"/>
      <c r="CC358" s="23">
        <v>10080000</v>
      </c>
      <c r="CD358" s="23"/>
      <c r="CE358" s="23">
        <v>20160000</v>
      </c>
      <c r="CF358" s="28"/>
      <c r="CG358" s="28"/>
      <c r="CH358" s="25">
        <f t="shared" ref="CH358:CI358" si="704">BH358+BJ358+BL358+BN358+BP358+BR358+BT358+BV358+BX358+BZ358+CB358+CD358+CF358</f>
        <v>50400000</v>
      </c>
      <c r="CI358" s="25">
        <f t="shared" si="704"/>
        <v>50400000</v>
      </c>
      <c r="CJ358" s="26">
        <f t="shared" si="518"/>
        <v>0</v>
      </c>
      <c r="CK358" s="26">
        <f t="shared" si="519"/>
        <v>0</v>
      </c>
    </row>
    <row r="359" spans="1:89" ht="90" customHeight="1" x14ac:dyDescent="0.3">
      <c r="A359" s="13" t="s">
        <v>248</v>
      </c>
      <c r="B359" s="14" t="s">
        <v>30</v>
      </c>
      <c r="C359" s="15" t="s">
        <v>967</v>
      </c>
      <c r="D359" s="14" t="s">
        <v>60</v>
      </c>
      <c r="E359" s="13" t="s">
        <v>250</v>
      </c>
      <c r="F359" s="13" t="s">
        <v>250</v>
      </c>
      <c r="G359" s="14">
        <v>9</v>
      </c>
      <c r="H359" s="13" t="s">
        <v>1064</v>
      </c>
      <c r="I359" s="15" t="s">
        <v>969</v>
      </c>
      <c r="J359" s="14" t="s">
        <v>9</v>
      </c>
      <c r="K359" s="15" t="s">
        <v>74</v>
      </c>
      <c r="L359" s="14">
        <v>80111620</v>
      </c>
      <c r="M359" s="14" t="s">
        <v>32</v>
      </c>
      <c r="N359" s="14" t="s">
        <v>253</v>
      </c>
      <c r="O359" s="15" t="s">
        <v>1065</v>
      </c>
      <c r="P359" s="14" t="s">
        <v>255</v>
      </c>
      <c r="Q359" s="14" t="s">
        <v>255</v>
      </c>
      <c r="R359" s="14" t="s">
        <v>255</v>
      </c>
      <c r="S359" s="17">
        <v>11</v>
      </c>
      <c r="T359" s="14" t="s">
        <v>256</v>
      </c>
      <c r="U359" s="14" t="s">
        <v>257</v>
      </c>
      <c r="V359" s="14" t="s">
        <v>112</v>
      </c>
      <c r="W359" s="18">
        <v>62700000</v>
      </c>
      <c r="X359" s="18">
        <v>62700000</v>
      </c>
      <c r="Y359" s="19" t="s">
        <v>339</v>
      </c>
      <c r="Z359" s="19" t="s">
        <v>258</v>
      </c>
      <c r="AA359" s="14" t="s">
        <v>971</v>
      </c>
      <c r="AB359" s="14" t="s">
        <v>972</v>
      </c>
      <c r="AC359" s="14">
        <v>6012220644</v>
      </c>
      <c r="AD359" s="14" t="s">
        <v>973</v>
      </c>
      <c r="AE359" s="82">
        <v>0</v>
      </c>
      <c r="AF359" s="82">
        <v>0</v>
      </c>
      <c r="AG359" s="82">
        <v>36080000</v>
      </c>
      <c r="AH359" s="82">
        <v>0</v>
      </c>
      <c r="AI359" s="82">
        <v>0</v>
      </c>
      <c r="AJ359" s="82">
        <v>3280000</v>
      </c>
      <c r="AK359" s="82">
        <v>0</v>
      </c>
      <c r="AL359" s="82">
        <v>3280000</v>
      </c>
      <c r="AM359" s="82">
        <v>0</v>
      </c>
      <c r="AN359" s="82">
        <v>3280000</v>
      </c>
      <c r="AO359" s="82">
        <v>0</v>
      </c>
      <c r="AP359" s="82">
        <v>3280000</v>
      </c>
      <c r="AQ359" s="82">
        <v>0</v>
      </c>
      <c r="AR359" s="82">
        <v>3280000</v>
      </c>
      <c r="AS359" s="82">
        <v>0</v>
      </c>
      <c r="AT359" s="82">
        <v>3280000</v>
      </c>
      <c r="AU359" s="82">
        <v>0</v>
      </c>
      <c r="AV359" s="82">
        <v>3280000</v>
      </c>
      <c r="AW359" s="82">
        <v>0</v>
      </c>
      <c r="AX359" s="82">
        <v>3280000</v>
      </c>
      <c r="AY359" s="82">
        <v>13310000</v>
      </c>
      <c r="AZ359" s="82">
        <v>3280000</v>
      </c>
      <c r="BA359" s="82">
        <v>13310000</v>
      </c>
      <c r="BB359" s="82">
        <v>33180000</v>
      </c>
      <c r="BC359" s="82">
        <f t="shared" ref="BC359:BD359" si="705">AE359+AG359+AI359+AK359+AM359+AO359+AQ359+AS359+AU359+AW359+AY359+BA359</f>
        <v>62700000</v>
      </c>
      <c r="BD359" s="82">
        <f t="shared" si="705"/>
        <v>62700000</v>
      </c>
      <c r="BE359" s="83">
        <f t="shared" si="538"/>
        <v>0</v>
      </c>
      <c r="BF359" s="83">
        <f t="shared" si="539"/>
        <v>0</v>
      </c>
      <c r="BG359" s="14" t="str">
        <f ca="1">IFERROR(__xludf.DUMMYFUNCTION("REGEXEXTRACT(O353,""^\S+\s(.+)$"")"),"Prestar servicios profesionales para el desarrollo de las actividades  de gestión de la información en la Subdirección de Demanda, incluyendo, diseño, actualizacion y mantenimiento  de bases de datos.						")</f>
        <v xml:space="preserve">Prestar servicios profesionales para el desarrollo de las actividades  de gestión de la información en la Subdirección de Demanda, incluyendo, diseño, actualizacion y mantenimiento  de bases de datos.						</v>
      </c>
      <c r="BH359" s="23"/>
      <c r="BI359" s="23"/>
      <c r="BJ359" s="23">
        <v>36080000</v>
      </c>
      <c r="BK359" s="23"/>
      <c r="BL359" s="23"/>
      <c r="BM359" s="23">
        <v>3280000</v>
      </c>
      <c r="BN359" s="23"/>
      <c r="BO359" s="23">
        <v>3280000</v>
      </c>
      <c r="BP359" s="23"/>
      <c r="BQ359" s="23">
        <v>3280000</v>
      </c>
      <c r="BR359" s="23"/>
      <c r="BS359" s="23">
        <v>3280000</v>
      </c>
      <c r="BT359" s="23"/>
      <c r="BU359" s="23">
        <v>3280000</v>
      </c>
      <c r="BV359" s="23"/>
      <c r="BW359" s="23">
        <v>3280000</v>
      </c>
      <c r="BX359" s="23"/>
      <c r="BY359" s="23">
        <v>3280000</v>
      </c>
      <c r="BZ359" s="23"/>
      <c r="CA359" s="23">
        <v>3280000</v>
      </c>
      <c r="CB359" s="23">
        <v>13310000</v>
      </c>
      <c r="CC359" s="23">
        <v>3280000</v>
      </c>
      <c r="CD359" s="23">
        <v>13310000</v>
      </c>
      <c r="CE359" s="23">
        <v>33180000</v>
      </c>
      <c r="CF359" s="28"/>
      <c r="CG359" s="28"/>
      <c r="CH359" s="25">
        <f t="shared" ref="CH359:CI359" si="706">BH359+BJ359+BL359+BN359+BP359+BR359+BT359+BV359+BX359+BZ359+CB359+CD359+CF359</f>
        <v>62700000</v>
      </c>
      <c r="CI359" s="25">
        <f t="shared" si="706"/>
        <v>62700000</v>
      </c>
      <c r="CJ359" s="26">
        <f t="shared" si="518"/>
        <v>0</v>
      </c>
      <c r="CK359" s="26">
        <f t="shared" si="519"/>
        <v>0</v>
      </c>
    </row>
    <row r="360" spans="1:89" ht="90" customHeight="1" x14ac:dyDescent="0.3">
      <c r="A360" s="13" t="s">
        <v>248</v>
      </c>
      <c r="B360" s="14" t="s">
        <v>30</v>
      </c>
      <c r="C360" s="15" t="s">
        <v>967</v>
      </c>
      <c r="D360" s="14" t="s">
        <v>60</v>
      </c>
      <c r="E360" s="13" t="s">
        <v>250</v>
      </c>
      <c r="F360" s="13" t="s">
        <v>250</v>
      </c>
      <c r="G360" s="14">
        <v>22</v>
      </c>
      <c r="H360" s="13" t="s">
        <v>1066</v>
      </c>
      <c r="I360" s="15" t="s">
        <v>969</v>
      </c>
      <c r="J360" s="14" t="s">
        <v>9</v>
      </c>
      <c r="K360" s="15" t="s">
        <v>74</v>
      </c>
      <c r="L360" s="14">
        <v>80111620</v>
      </c>
      <c r="M360" s="14" t="s">
        <v>32</v>
      </c>
      <c r="N360" s="14" t="s">
        <v>253</v>
      </c>
      <c r="O360" s="15" t="s">
        <v>1067</v>
      </c>
      <c r="P360" s="14" t="s">
        <v>255</v>
      </c>
      <c r="Q360" s="14" t="s">
        <v>255</v>
      </c>
      <c r="R360" s="14" t="s">
        <v>255</v>
      </c>
      <c r="S360" s="17">
        <v>11.5</v>
      </c>
      <c r="T360" s="14" t="s">
        <v>256</v>
      </c>
      <c r="U360" s="14" t="s">
        <v>257</v>
      </c>
      <c r="V360" s="14" t="s">
        <v>112</v>
      </c>
      <c r="W360" s="18">
        <v>58000000</v>
      </c>
      <c r="X360" s="18">
        <v>58000000</v>
      </c>
      <c r="Y360" s="19" t="s">
        <v>339</v>
      </c>
      <c r="Z360" s="19" t="s">
        <v>258</v>
      </c>
      <c r="AA360" s="14" t="s">
        <v>971</v>
      </c>
      <c r="AB360" s="14" t="s">
        <v>972</v>
      </c>
      <c r="AC360" s="14">
        <v>6012220644</v>
      </c>
      <c r="AD360" s="14" t="s">
        <v>973</v>
      </c>
      <c r="AE360" s="82">
        <v>0</v>
      </c>
      <c r="AF360" s="82">
        <v>0</v>
      </c>
      <c r="AG360" s="82">
        <v>0</v>
      </c>
      <c r="AH360" s="82">
        <v>0</v>
      </c>
      <c r="AI360" s="82">
        <v>0</v>
      </c>
      <c r="AJ360" s="82">
        <v>0</v>
      </c>
      <c r="AK360" s="82">
        <v>0</v>
      </c>
      <c r="AL360" s="82">
        <v>0</v>
      </c>
      <c r="AM360" s="82">
        <v>0</v>
      </c>
      <c r="AN360" s="82">
        <v>0</v>
      </c>
      <c r="AO360" s="82">
        <v>0</v>
      </c>
      <c r="AP360" s="82">
        <v>0</v>
      </c>
      <c r="AQ360" s="82">
        <v>0</v>
      </c>
      <c r="AR360" s="82">
        <v>0</v>
      </c>
      <c r="AS360" s="82">
        <v>0</v>
      </c>
      <c r="AT360" s="82">
        <v>0</v>
      </c>
      <c r="AU360" s="82">
        <v>138000000</v>
      </c>
      <c r="AV360" s="82">
        <v>0</v>
      </c>
      <c r="AW360" s="82">
        <v>0</v>
      </c>
      <c r="AX360" s="82">
        <v>46000000</v>
      </c>
      <c r="AY360" s="82">
        <v>0</v>
      </c>
      <c r="AZ360" s="82">
        <v>46000000</v>
      </c>
      <c r="BA360" s="82">
        <v>0</v>
      </c>
      <c r="BB360" s="82">
        <v>46000000</v>
      </c>
      <c r="BC360" s="82">
        <f t="shared" ref="BC360:BD360" si="707">AE360+AG360+AI360+AK360+AM360+AO360+AQ360+AS360+AU360+AW360+AY360+BA360</f>
        <v>138000000</v>
      </c>
      <c r="BD360" s="82">
        <f t="shared" si="707"/>
        <v>138000000</v>
      </c>
      <c r="BE360" s="83">
        <f t="shared" si="538"/>
        <v>-80000000</v>
      </c>
      <c r="BF360" s="83">
        <f t="shared" si="539"/>
        <v>-80000000</v>
      </c>
      <c r="BG360" s="14" t="str">
        <f ca="1">IFERROR(__xludf.DUMMYFUNCTION("REGEXEXTRACT(O354,""^\S+\s(.+)$"")"),"Prestar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60" s="23">
        <v>0</v>
      </c>
      <c r="BI360" s="23">
        <v>0</v>
      </c>
      <c r="BJ360" s="23">
        <v>0</v>
      </c>
      <c r="BK360" s="23">
        <v>0</v>
      </c>
      <c r="BL360" s="23">
        <v>0</v>
      </c>
      <c r="BM360" s="23">
        <v>0</v>
      </c>
      <c r="BN360" s="23">
        <v>0</v>
      </c>
      <c r="BO360" s="23">
        <v>0</v>
      </c>
      <c r="BP360" s="23">
        <v>0</v>
      </c>
      <c r="BQ360" s="23">
        <v>0</v>
      </c>
      <c r="BR360" s="23">
        <v>0</v>
      </c>
      <c r="BS360" s="23">
        <v>0</v>
      </c>
      <c r="BT360" s="23">
        <v>0</v>
      </c>
      <c r="BU360" s="23">
        <v>0</v>
      </c>
      <c r="BV360" s="23">
        <v>0</v>
      </c>
      <c r="BW360" s="23">
        <v>0</v>
      </c>
      <c r="BX360" s="23">
        <v>58000000</v>
      </c>
      <c r="BY360" s="23">
        <v>0</v>
      </c>
      <c r="BZ360" s="23">
        <v>0</v>
      </c>
      <c r="CA360" s="23">
        <v>19000000</v>
      </c>
      <c r="CB360" s="23">
        <v>0</v>
      </c>
      <c r="CC360" s="23">
        <v>19000000</v>
      </c>
      <c r="CD360" s="23">
        <v>0</v>
      </c>
      <c r="CE360" s="23">
        <v>20000000</v>
      </c>
      <c r="CF360" s="28"/>
      <c r="CG360" s="28"/>
      <c r="CH360" s="25">
        <f t="shared" ref="CH360:CI360" si="708">BH360+BJ360+BL360+BN360+BP360+BR360+BT360+BV360+BX360+BZ360+CB360+CD360+CF360</f>
        <v>58000000</v>
      </c>
      <c r="CI360" s="25">
        <f t="shared" si="708"/>
        <v>58000000</v>
      </c>
      <c r="CJ360" s="26">
        <f t="shared" si="518"/>
        <v>0</v>
      </c>
      <c r="CK360" s="26">
        <f t="shared" si="519"/>
        <v>0</v>
      </c>
    </row>
    <row r="361" spans="1:89" ht="90" customHeight="1" x14ac:dyDescent="0.3">
      <c r="A361" s="13" t="s">
        <v>248</v>
      </c>
      <c r="B361" s="14" t="s">
        <v>30</v>
      </c>
      <c r="C361" s="15" t="s">
        <v>967</v>
      </c>
      <c r="D361" s="14" t="s">
        <v>60</v>
      </c>
      <c r="E361" s="13" t="s">
        <v>250</v>
      </c>
      <c r="F361" s="13" t="s">
        <v>250</v>
      </c>
      <c r="G361" s="14">
        <v>68</v>
      </c>
      <c r="H361" s="13" t="s">
        <v>1068</v>
      </c>
      <c r="I361" s="15" t="s">
        <v>987</v>
      </c>
      <c r="J361" s="14" t="s">
        <v>4</v>
      </c>
      <c r="K361" s="15" t="s">
        <v>75</v>
      </c>
      <c r="L361" s="14">
        <v>80111620</v>
      </c>
      <c r="M361" s="14" t="s">
        <v>33</v>
      </c>
      <c r="N361" s="14" t="s">
        <v>253</v>
      </c>
      <c r="O361" s="15" t="s">
        <v>1069</v>
      </c>
      <c r="P361" s="14" t="s">
        <v>255</v>
      </c>
      <c r="Q361" s="14" t="s">
        <v>255</v>
      </c>
      <c r="R361" s="14" t="s">
        <v>255</v>
      </c>
      <c r="S361" s="17">
        <v>11.4</v>
      </c>
      <c r="T361" s="14" t="s">
        <v>256</v>
      </c>
      <c r="U361" s="14" t="s">
        <v>257</v>
      </c>
      <c r="V361" s="14" t="s">
        <v>112</v>
      </c>
      <c r="W361" s="18">
        <v>136800000</v>
      </c>
      <c r="X361" s="18">
        <v>136800000</v>
      </c>
      <c r="Y361" s="19" t="s">
        <v>339</v>
      </c>
      <c r="Z361" s="19" t="s">
        <v>258</v>
      </c>
      <c r="AA361" s="14" t="s">
        <v>971</v>
      </c>
      <c r="AB361" s="14" t="s">
        <v>972</v>
      </c>
      <c r="AC361" s="14">
        <v>6012220644</v>
      </c>
      <c r="AD361" s="14" t="s">
        <v>973</v>
      </c>
      <c r="AE361" s="82">
        <v>0</v>
      </c>
      <c r="AF361" s="82">
        <v>0</v>
      </c>
      <c r="AG361" s="82">
        <v>0</v>
      </c>
      <c r="AH361" s="82">
        <v>0</v>
      </c>
      <c r="AI361" s="82">
        <v>0</v>
      </c>
      <c r="AJ361" s="82">
        <v>0</v>
      </c>
      <c r="AK361" s="82">
        <v>0</v>
      </c>
      <c r="AL361" s="82">
        <v>0</v>
      </c>
      <c r="AM361" s="82">
        <v>0</v>
      </c>
      <c r="AN361" s="82">
        <v>0</v>
      </c>
      <c r="AO361" s="82">
        <v>0</v>
      </c>
      <c r="AP361" s="82">
        <v>0</v>
      </c>
      <c r="AQ361" s="82">
        <v>0</v>
      </c>
      <c r="AR361" s="82">
        <v>0</v>
      </c>
      <c r="AS361" s="82">
        <v>0</v>
      </c>
      <c r="AT361" s="82">
        <v>0</v>
      </c>
      <c r="AU361" s="82">
        <v>136800000</v>
      </c>
      <c r="AV361" s="82">
        <v>0</v>
      </c>
      <c r="AW361" s="82">
        <v>0</v>
      </c>
      <c r="AX361" s="82">
        <v>45600000</v>
      </c>
      <c r="AY361" s="82">
        <v>0</v>
      </c>
      <c r="AZ361" s="82">
        <v>45600000</v>
      </c>
      <c r="BA361" s="82">
        <v>0</v>
      </c>
      <c r="BB361" s="82">
        <v>45600000</v>
      </c>
      <c r="BC361" s="82">
        <f t="shared" ref="BC361:BD361" si="709">AE361+AG361+AI361+AK361+AM361+AO361+AQ361+AS361+AU361+AW361+AY361+BA361</f>
        <v>136800000</v>
      </c>
      <c r="BD361" s="82">
        <f t="shared" si="709"/>
        <v>136800000</v>
      </c>
      <c r="BE361" s="83">
        <f t="shared" si="538"/>
        <v>0</v>
      </c>
      <c r="BF361" s="83">
        <f t="shared" si="539"/>
        <v>0</v>
      </c>
      <c r="BG361" s="14" t="str">
        <f ca="1">IFERROR(__xludf.DUMMYFUNCTION("REGEXEXTRACT(O355,""^\S+\s(.+)$"")"),"Prestar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61" s="23"/>
      <c r="BI361" s="23"/>
      <c r="BJ361" s="23"/>
      <c r="BK361" s="23"/>
      <c r="BL361" s="23"/>
      <c r="BM361" s="23"/>
      <c r="BN361" s="23"/>
      <c r="BO361" s="23"/>
      <c r="BP361" s="23"/>
      <c r="BQ361" s="23"/>
      <c r="BR361" s="23"/>
      <c r="BS361" s="23"/>
      <c r="BT361" s="23"/>
      <c r="BU361" s="23"/>
      <c r="BV361" s="23"/>
      <c r="BW361" s="23"/>
      <c r="BX361" s="23">
        <v>136800000</v>
      </c>
      <c r="BY361" s="23"/>
      <c r="BZ361" s="23"/>
      <c r="CA361" s="23">
        <v>45600000</v>
      </c>
      <c r="CB361" s="23"/>
      <c r="CC361" s="23">
        <v>45600000</v>
      </c>
      <c r="CD361" s="23"/>
      <c r="CE361" s="23">
        <v>45600000</v>
      </c>
      <c r="CF361" s="28"/>
      <c r="CG361" s="28"/>
      <c r="CH361" s="25">
        <f t="shared" ref="CH361:CI361" si="710">BH361+BJ361+BL361+BN361+BP361+BR361+BT361+BV361+BX361+BZ361+CB361+CD361+CF361</f>
        <v>136800000</v>
      </c>
      <c r="CI361" s="25">
        <f t="shared" si="710"/>
        <v>136800000</v>
      </c>
      <c r="CJ361" s="26">
        <f t="shared" si="518"/>
        <v>0</v>
      </c>
      <c r="CK361" s="26">
        <f t="shared" si="519"/>
        <v>0</v>
      </c>
    </row>
    <row r="362" spans="1:89" ht="90" customHeight="1" x14ac:dyDescent="0.3">
      <c r="A362" s="13" t="s">
        <v>248</v>
      </c>
      <c r="B362" s="14" t="s">
        <v>30</v>
      </c>
      <c r="C362" s="15" t="s">
        <v>967</v>
      </c>
      <c r="D362" s="14" t="s">
        <v>60</v>
      </c>
      <c r="E362" s="13" t="s">
        <v>250</v>
      </c>
      <c r="F362" s="13" t="s">
        <v>250</v>
      </c>
      <c r="G362" s="14">
        <v>68</v>
      </c>
      <c r="H362" s="13" t="s">
        <v>1070</v>
      </c>
      <c r="I362" s="15" t="s">
        <v>987</v>
      </c>
      <c r="J362" s="14" t="s">
        <v>4</v>
      </c>
      <c r="K362" s="15" t="s">
        <v>76</v>
      </c>
      <c r="L362" s="14">
        <v>80111620</v>
      </c>
      <c r="M362" s="14" t="s">
        <v>33</v>
      </c>
      <c r="N362" s="14" t="s">
        <v>253</v>
      </c>
      <c r="O362" s="15" t="s">
        <v>1071</v>
      </c>
      <c r="P362" s="14" t="s">
        <v>255</v>
      </c>
      <c r="Q362" s="14" t="s">
        <v>255</v>
      </c>
      <c r="R362" s="14" t="s">
        <v>255</v>
      </c>
      <c r="S362" s="17">
        <v>11.4</v>
      </c>
      <c r="T362" s="14" t="s">
        <v>256</v>
      </c>
      <c r="U362" s="14" t="s">
        <v>257</v>
      </c>
      <c r="V362" s="14" t="s">
        <v>112</v>
      </c>
      <c r="W362" s="18">
        <v>100248373</v>
      </c>
      <c r="X362" s="18">
        <v>100248373</v>
      </c>
      <c r="Y362" s="19" t="s">
        <v>339</v>
      </c>
      <c r="Z362" s="19" t="s">
        <v>258</v>
      </c>
      <c r="AA362" s="14" t="s">
        <v>971</v>
      </c>
      <c r="AB362" s="14" t="s">
        <v>972</v>
      </c>
      <c r="AC362" s="14">
        <v>6012220644</v>
      </c>
      <c r="AD362" s="14" t="s">
        <v>973</v>
      </c>
      <c r="AE362" s="82">
        <v>0</v>
      </c>
      <c r="AF362" s="82">
        <v>0</v>
      </c>
      <c r="AG362" s="82">
        <v>0</v>
      </c>
      <c r="AH362" s="82">
        <v>0</v>
      </c>
      <c r="AI362" s="82">
        <v>0</v>
      </c>
      <c r="AJ362" s="82">
        <v>0</v>
      </c>
      <c r="AK362" s="82">
        <v>0</v>
      </c>
      <c r="AL362" s="82">
        <v>0</v>
      </c>
      <c r="AM362" s="82">
        <v>0</v>
      </c>
      <c r="AN362" s="82">
        <v>0</v>
      </c>
      <c r="AO362" s="82">
        <v>0</v>
      </c>
      <c r="AP362" s="82">
        <v>0</v>
      </c>
      <c r="AQ362" s="82">
        <v>0</v>
      </c>
      <c r="AR362" s="82">
        <v>0</v>
      </c>
      <c r="AS362" s="82">
        <v>0</v>
      </c>
      <c r="AT362" s="82">
        <v>0</v>
      </c>
      <c r="AU362" s="82">
        <v>100248373</v>
      </c>
      <c r="AV362" s="82">
        <v>0</v>
      </c>
      <c r="AW362" s="82">
        <v>0</v>
      </c>
      <c r="AX362" s="82">
        <v>33500000</v>
      </c>
      <c r="AY362" s="82">
        <v>0</v>
      </c>
      <c r="AZ362" s="82">
        <v>33500000</v>
      </c>
      <c r="BA362" s="82">
        <v>0</v>
      </c>
      <c r="BB362" s="82">
        <v>33248373</v>
      </c>
      <c r="BC362" s="82">
        <f t="shared" ref="BC362:BD362" si="711">AE362+AG362+AI362+AK362+AM362+AO362+AQ362+AS362+AU362+AW362+AY362+BA362</f>
        <v>100248373</v>
      </c>
      <c r="BD362" s="82">
        <f t="shared" si="711"/>
        <v>100248373</v>
      </c>
      <c r="BE362" s="83">
        <f t="shared" si="538"/>
        <v>0</v>
      </c>
      <c r="BF362" s="83">
        <f t="shared" si="539"/>
        <v>0</v>
      </c>
      <c r="BG362" s="14" t="str">
        <f ca="1">IFERROR(__xludf.DUMMYFUNCTION("REGEXEXTRACT(O356,""^\S+\s(.+)$"")"),"Prestar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62" s="23"/>
      <c r="BI362" s="23"/>
      <c r="BJ362" s="23"/>
      <c r="BK362" s="23"/>
      <c r="BL362" s="23"/>
      <c r="BM362" s="23"/>
      <c r="BN362" s="23"/>
      <c r="BO362" s="23"/>
      <c r="BP362" s="23"/>
      <c r="BQ362" s="23"/>
      <c r="BR362" s="23"/>
      <c r="BS362" s="23"/>
      <c r="BT362" s="23"/>
      <c r="BU362" s="23"/>
      <c r="BV362" s="23"/>
      <c r="BW362" s="23"/>
      <c r="BX362" s="23">
        <v>100248373</v>
      </c>
      <c r="BY362" s="23"/>
      <c r="BZ362" s="23"/>
      <c r="CA362" s="23">
        <v>33500000</v>
      </c>
      <c r="CB362" s="23"/>
      <c r="CC362" s="23">
        <v>33500000</v>
      </c>
      <c r="CD362" s="23"/>
      <c r="CE362" s="23">
        <v>33248373</v>
      </c>
      <c r="CF362" s="28"/>
      <c r="CG362" s="28"/>
      <c r="CH362" s="25">
        <f t="shared" ref="CH362:CI362" si="712">BH362+BJ362+BL362+BN362+BP362+BR362+BT362+BV362+BX362+BZ362+CB362+CD362+CF362</f>
        <v>100248373</v>
      </c>
      <c r="CI362" s="25">
        <f t="shared" si="712"/>
        <v>100248373</v>
      </c>
      <c r="CJ362" s="26">
        <f t="shared" si="518"/>
        <v>0</v>
      </c>
      <c r="CK362" s="26">
        <f t="shared" si="519"/>
        <v>0</v>
      </c>
    </row>
    <row r="363" spans="1:89" ht="90" customHeight="1" x14ac:dyDescent="0.3">
      <c r="A363" s="13" t="s">
        <v>248</v>
      </c>
      <c r="B363" s="14" t="s">
        <v>30</v>
      </c>
      <c r="C363" s="15" t="s">
        <v>967</v>
      </c>
      <c r="D363" s="14" t="s">
        <v>60</v>
      </c>
      <c r="E363" s="13" t="s">
        <v>250</v>
      </c>
      <c r="F363" s="13" t="s">
        <v>250</v>
      </c>
      <c r="G363" s="14">
        <v>3</v>
      </c>
      <c r="H363" s="13" t="s">
        <v>1072</v>
      </c>
      <c r="I363" s="15" t="s">
        <v>1000</v>
      </c>
      <c r="J363" s="14" t="s">
        <v>15</v>
      </c>
      <c r="K363" s="15" t="s">
        <v>70</v>
      </c>
      <c r="L363" s="14">
        <v>80111620</v>
      </c>
      <c r="M363" s="14" t="s">
        <v>31</v>
      </c>
      <c r="N363" s="14" t="s">
        <v>253</v>
      </c>
      <c r="O363" s="15" t="s">
        <v>1073</v>
      </c>
      <c r="P363" s="14" t="s">
        <v>255</v>
      </c>
      <c r="Q363" s="14" t="s">
        <v>255</v>
      </c>
      <c r="R363" s="14" t="s">
        <v>255</v>
      </c>
      <c r="S363" s="17">
        <v>11.4</v>
      </c>
      <c r="T363" s="14" t="s">
        <v>256</v>
      </c>
      <c r="U363" s="14" t="s">
        <v>257</v>
      </c>
      <c r="V363" s="14" t="s">
        <v>112</v>
      </c>
      <c r="W363" s="18">
        <v>18551627</v>
      </c>
      <c r="X363" s="18">
        <v>18551627</v>
      </c>
      <c r="Y363" s="19" t="s">
        <v>339</v>
      </c>
      <c r="Z363" s="19" t="s">
        <v>258</v>
      </c>
      <c r="AA363" s="14" t="s">
        <v>971</v>
      </c>
      <c r="AB363" s="14" t="s">
        <v>972</v>
      </c>
      <c r="AC363" s="14">
        <v>6012220644</v>
      </c>
      <c r="AD363" s="14" t="s">
        <v>973</v>
      </c>
      <c r="AE363" s="82">
        <v>0</v>
      </c>
      <c r="AF363" s="82">
        <v>0</v>
      </c>
      <c r="AG363" s="82">
        <v>0</v>
      </c>
      <c r="AH363" s="82">
        <v>0</v>
      </c>
      <c r="AI363" s="82">
        <v>0</v>
      </c>
      <c r="AJ363" s="82">
        <v>0</v>
      </c>
      <c r="AK363" s="82">
        <v>0</v>
      </c>
      <c r="AL363" s="82">
        <v>0</v>
      </c>
      <c r="AM363" s="82">
        <v>0</v>
      </c>
      <c r="AN363" s="82">
        <v>0</v>
      </c>
      <c r="AO363" s="82">
        <v>0</v>
      </c>
      <c r="AP363" s="82">
        <v>0</v>
      </c>
      <c r="AQ363" s="82">
        <v>0</v>
      </c>
      <c r="AR363" s="82">
        <v>0</v>
      </c>
      <c r="AS363" s="82">
        <v>0</v>
      </c>
      <c r="AT363" s="82">
        <v>0</v>
      </c>
      <c r="AU363" s="82">
        <v>18551627</v>
      </c>
      <c r="AV363" s="82">
        <v>0</v>
      </c>
      <c r="AW363" s="82">
        <v>0</v>
      </c>
      <c r="AX363" s="82">
        <v>9300000</v>
      </c>
      <c r="AY363" s="82">
        <v>0</v>
      </c>
      <c r="AZ363" s="82">
        <v>9251627</v>
      </c>
      <c r="BA363" s="82">
        <v>0</v>
      </c>
      <c r="BB363" s="82">
        <v>0</v>
      </c>
      <c r="BC363" s="82">
        <f t="shared" ref="BC363:BD363" si="713">AE363+AG363+AI363+AK363+AM363+AO363+AQ363+AS363+AU363+AW363+AY363+BA363</f>
        <v>18551627</v>
      </c>
      <c r="BD363" s="82">
        <f t="shared" si="713"/>
        <v>18551627</v>
      </c>
      <c r="BE363" s="83">
        <f t="shared" si="538"/>
        <v>0</v>
      </c>
      <c r="BF363" s="83">
        <f t="shared" si="539"/>
        <v>0</v>
      </c>
      <c r="BG363" s="14" t="str">
        <f ca="1">IFERROR(__xludf.DUMMYFUNCTION("REGEXEXTRACT(O357,""^\S+\s(.+)$"")"),"Prestar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63" s="23"/>
      <c r="BI363" s="23"/>
      <c r="BJ363" s="23"/>
      <c r="BK363" s="23"/>
      <c r="BL363" s="23"/>
      <c r="BM363" s="23"/>
      <c r="BN363" s="23"/>
      <c r="BO363" s="23"/>
      <c r="BP363" s="23"/>
      <c r="BQ363" s="23"/>
      <c r="BR363" s="23"/>
      <c r="BS363" s="23"/>
      <c r="BT363" s="23"/>
      <c r="BU363" s="23"/>
      <c r="BV363" s="23"/>
      <c r="BW363" s="23"/>
      <c r="BX363" s="23">
        <v>18551627</v>
      </c>
      <c r="BY363" s="23"/>
      <c r="BZ363" s="23"/>
      <c r="CA363" s="23">
        <v>9300000</v>
      </c>
      <c r="CB363" s="23"/>
      <c r="CC363" s="23">
        <v>9251627</v>
      </c>
      <c r="CD363" s="23"/>
      <c r="CE363" s="23"/>
      <c r="CF363" s="28"/>
      <c r="CG363" s="28"/>
      <c r="CH363" s="25">
        <f t="shared" ref="CH363:CI363" si="714">BH363+BJ363+BL363+BN363+BP363+BR363+BT363+BV363+BX363+BZ363+CB363+CD363+CF363</f>
        <v>18551627</v>
      </c>
      <c r="CI363" s="25">
        <f t="shared" si="714"/>
        <v>18551627</v>
      </c>
      <c r="CJ363" s="26">
        <f t="shared" si="518"/>
        <v>0</v>
      </c>
      <c r="CK363" s="26">
        <f t="shared" si="519"/>
        <v>0</v>
      </c>
    </row>
    <row r="364" spans="1:89" ht="90" customHeight="1" x14ac:dyDescent="0.3">
      <c r="A364" s="13" t="s">
        <v>248</v>
      </c>
      <c r="B364" s="14" t="s">
        <v>30</v>
      </c>
      <c r="C364" s="15" t="s">
        <v>967</v>
      </c>
      <c r="D364" s="14" t="s">
        <v>60</v>
      </c>
      <c r="E364" s="13" t="s">
        <v>250</v>
      </c>
      <c r="F364" s="13" t="s">
        <v>250</v>
      </c>
      <c r="G364" s="14">
        <v>68</v>
      </c>
      <c r="H364" s="13" t="s">
        <v>1074</v>
      </c>
      <c r="I364" s="15" t="s">
        <v>987</v>
      </c>
      <c r="J364" s="14" t="s">
        <v>4</v>
      </c>
      <c r="K364" s="15" t="s">
        <v>72</v>
      </c>
      <c r="L364" s="14">
        <v>80111620</v>
      </c>
      <c r="M364" s="14" t="s">
        <v>33</v>
      </c>
      <c r="N364" s="14" t="s">
        <v>253</v>
      </c>
      <c r="O364" s="15" t="s">
        <v>1075</v>
      </c>
      <c r="P364" s="14" t="s">
        <v>255</v>
      </c>
      <c r="Q364" s="14" t="s">
        <v>255</v>
      </c>
      <c r="R364" s="14" t="s">
        <v>255</v>
      </c>
      <c r="S364" s="17">
        <v>11.4</v>
      </c>
      <c r="T364" s="14" t="s">
        <v>256</v>
      </c>
      <c r="U364" s="14" t="s">
        <v>257</v>
      </c>
      <c r="V364" s="14" t="s">
        <v>112</v>
      </c>
      <c r="W364" s="18">
        <v>72486080</v>
      </c>
      <c r="X364" s="18">
        <v>72486080</v>
      </c>
      <c r="Y364" s="19" t="s">
        <v>339</v>
      </c>
      <c r="Z364" s="19" t="s">
        <v>258</v>
      </c>
      <c r="AA364" s="14" t="s">
        <v>971</v>
      </c>
      <c r="AB364" s="14" t="s">
        <v>972</v>
      </c>
      <c r="AC364" s="14">
        <v>6012220644</v>
      </c>
      <c r="AD364" s="14" t="s">
        <v>973</v>
      </c>
      <c r="AE364" s="82">
        <v>72486080</v>
      </c>
      <c r="AF364" s="82">
        <v>0</v>
      </c>
      <c r="AG364" s="82">
        <v>0</v>
      </c>
      <c r="AH364" s="82">
        <v>2400000</v>
      </c>
      <c r="AI364" s="82">
        <v>0</v>
      </c>
      <c r="AJ364" s="82">
        <v>9000000</v>
      </c>
      <c r="AK364" s="82">
        <v>0</v>
      </c>
      <c r="AL364" s="82">
        <v>9000000</v>
      </c>
      <c r="AM364" s="82">
        <v>0</v>
      </c>
      <c r="AN364" s="82">
        <v>9000000</v>
      </c>
      <c r="AO364" s="82">
        <v>0</v>
      </c>
      <c r="AP364" s="82">
        <v>9000000</v>
      </c>
      <c r="AQ364" s="82">
        <v>0</v>
      </c>
      <c r="AR364" s="82">
        <v>9000000</v>
      </c>
      <c r="AS364" s="82">
        <v>0</v>
      </c>
      <c r="AT364" s="82">
        <v>9000000</v>
      </c>
      <c r="AU364" s="82">
        <v>0</v>
      </c>
      <c r="AV364" s="82">
        <v>9000000</v>
      </c>
      <c r="AW364" s="82">
        <v>0</v>
      </c>
      <c r="AX364" s="82">
        <v>7086080</v>
      </c>
      <c r="AY364" s="82">
        <v>0</v>
      </c>
      <c r="AZ364" s="82">
        <v>0</v>
      </c>
      <c r="BA364" s="82">
        <v>0</v>
      </c>
      <c r="BB364" s="82">
        <v>0</v>
      </c>
      <c r="BC364" s="82">
        <f t="shared" ref="BC364:BD364" si="715">AE364+AG364+AI364+AK364+AM364+AO364+AQ364+AS364+AU364+AW364+AY364+BA364</f>
        <v>72486080</v>
      </c>
      <c r="BD364" s="82">
        <f t="shared" si="715"/>
        <v>72486080</v>
      </c>
      <c r="BE364" s="83">
        <f t="shared" si="538"/>
        <v>0</v>
      </c>
      <c r="BF364" s="83">
        <f t="shared" si="539"/>
        <v>0</v>
      </c>
      <c r="BG364" s="14" t="str">
        <f ca="1">IFERROR(__xludf.DUMMYFUNCTION("REGEXEXTRACT(O358,""^\S+\s(.+)$"")"),"Prestar servicios profesionales en derecho para apoyar la gestión contractual de la UPME, mediante la asesoría jurídica en las etapas precontractual, contractual y poscontractual, la elaboración, revisión y análisis de documentos y actos administrativos c"&amp;"ontractuales, la emisión de conceptos jurídicos, y el acompañamiento a las dependencias de la Entidad, en concordancia con la normativa vigente y los lineamientos institucionales.")</f>
        <v>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v>
      </c>
      <c r="BH364" s="23">
        <v>72486080</v>
      </c>
      <c r="BI364" s="23"/>
      <c r="BJ364" s="23"/>
      <c r="BK364" s="23">
        <v>2400000</v>
      </c>
      <c r="BL364" s="23"/>
      <c r="BM364" s="23">
        <v>9000000</v>
      </c>
      <c r="BN364" s="23"/>
      <c r="BO364" s="23">
        <v>9000000</v>
      </c>
      <c r="BP364" s="23"/>
      <c r="BQ364" s="23">
        <v>9000000</v>
      </c>
      <c r="BR364" s="23"/>
      <c r="BS364" s="23">
        <v>9000000</v>
      </c>
      <c r="BT364" s="23"/>
      <c r="BU364" s="23">
        <v>9000000</v>
      </c>
      <c r="BV364" s="23"/>
      <c r="BW364" s="23">
        <v>9000000</v>
      </c>
      <c r="BX364" s="23"/>
      <c r="BY364" s="23">
        <v>9000000</v>
      </c>
      <c r="BZ364" s="23"/>
      <c r="CA364" s="23">
        <v>7086080</v>
      </c>
      <c r="CB364" s="23"/>
      <c r="CC364" s="23"/>
      <c r="CD364" s="23"/>
      <c r="CE364" s="23"/>
      <c r="CF364" s="28"/>
      <c r="CG364" s="28"/>
      <c r="CH364" s="25">
        <f t="shared" ref="CH364:CI364" si="716">BH364+BJ364+BL364+BN364+BP364+BR364+BT364+BV364+BX364+BZ364+CB364+CD364+CF364</f>
        <v>72486080</v>
      </c>
      <c r="CI364" s="25">
        <f t="shared" si="716"/>
        <v>72486080</v>
      </c>
      <c r="CJ364" s="26">
        <f t="shared" si="518"/>
        <v>0</v>
      </c>
      <c r="CK364" s="26">
        <f t="shared" si="519"/>
        <v>0</v>
      </c>
    </row>
    <row r="365" spans="1:89" ht="90" customHeight="1" x14ac:dyDescent="0.3">
      <c r="A365" s="13" t="s">
        <v>248</v>
      </c>
      <c r="B365" s="14" t="s">
        <v>30</v>
      </c>
      <c r="C365" s="15" t="s">
        <v>967</v>
      </c>
      <c r="D365" s="14" t="s">
        <v>60</v>
      </c>
      <c r="E365" s="13" t="s">
        <v>250</v>
      </c>
      <c r="F365" s="13" t="s">
        <v>250</v>
      </c>
      <c r="G365" s="14">
        <v>68</v>
      </c>
      <c r="H365" s="13" t="s">
        <v>1076</v>
      </c>
      <c r="I365" s="15" t="s">
        <v>969</v>
      </c>
      <c r="J365" s="14" t="s">
        <v>9</v>
      </c>
      <c r="K365" s="15" t="s">
        <v>74</v>
      </c>
      <c r="L365" s="14">
        <v>80111620</v>
      </c>
      <c r="M365" s="14" t="s">
        <v>32</v>
      </c>
      <c r="N365" s="14" t="s">
        <v>253</v>
      </c>
      <c r="O365" s="15" t="s">
        <v>1077</v>
      </c>
      <c r="P365" s="14" t="s">
        <v>255</v>
      </c>
      <c r="Q365" s="14" t="s">
        <v>255</v>
      </c>
      <c r="R365" s="14" t="s">
        <v>255</v>
      </c>
      <c r="S365" s="17">
        <v>11.4</v>
      </c>
      <c r="T365" s="14" t="s">
        <v>256</v>
      </c>
      <c r="U365" s="14" t="s">
        <v>257</v>
      </c>
      <c r="V365" s="14" t="s">
        <v>112</v>
      </c>
      <c r="W365" s="18">
        <v>30113920</v>
      </c>
      <c r="X365" s="18">
        <v>30113920</v>
      </c>
      <c r="Y365" s="19" t="s">
        <v>339</v>
      </c>
      <c r="Z365" s="19" t="s">
        <v>258</v>
      </c>
      <c r="AA365" s="14" t="s">
        <v>971</v>
      </c>
      <c r="AB365" s="14" t="s">
        <v>972</v>
      </c>
      <c r="AC365" s="14">
        <v>6012220644</v>
      </c>
      <c r="AD365" s="14" t="s">
        <v>973</v>
      </c>
      <c r="AE365" s="82">
        <v>30113920</v>
      </c>
      <c r="AF365" s="82">
        <v>0</v>
      </c>
      <c r="AG365" s="82">
        <v>0</v>
      </c>
      <c r="AH365" s="82">
        <v>0</v>
      </c>
      <c r="AI365" s="82">
        <v>0</v>
      </c>
      <c r="AJ365" s="82">
        <v>0</v>
      </c>
      <c r="AK365" s="82">
        <v>0</v>
      </c>
      <c r="AL365" s="82">
        <v>0</v>
      </c>
      <c r="AM365" s="82">
        <v>0</v>
      </c>
      <c r="AN365" s="82">
        <v>0</v>
      </c>
      <c r="AO365" s="82">
        <v>0</v>
      </c>
      <c r="AP365" s="82">
        <v>0</v>
      </c>
      <c r="AQ365" s="82">
        <v>0</v>
      </c>
      <c r="AR365" s="82">
        <v>0</v>
      </c>
      <c r="AS365" s="82">
        <v>0</v>
      </c>
      <c r="AT365" s="82">
        <v>0</v>
      </c>
      <c r="AU365" s="82">
        <v>0</v>
      </c>
      <c r="AV365" s="82">
        <v>0</v>
      </c>
      <c r="AW365" s="82">
        <v>0</v>
      </c>
      <c r="AX365" s="82">
        <v>1913920</v>
      </c>
      <c r="AY365" s="82">
        <v>0</v>
      </c>
      <c r="AZ365" s="82">
        <v>9000000</v>
      </c>
      <c r="BA365" s="82">
        <v>0</v>
      </c>
      <c r="BB365" s="82">
        <v>19200000</v>
      </c>
      <c r="BC365" s="82">
        <f t="shared" ref="BC365:BD365" si="717">AE365+AG365+AI365+AK365+AM365+AO365+AQ365+AS365+AU365+AW365+AY365+BA365</f>
        <v>30113920</v>
      </c>
      <c r="BD365" s="82">
        <f t="shared" si="717"/>
        <v>30113920</v>
      </c>
      <c r="BE365" s="83">
        <f t="shared" si="538"/>
        <v>0</v>
      </c>
      <c r="BF365" s="83">
        <f t="shared" si="539"/>
        <v>0</v>
      </c>
      <c r="BG365" s="14" t="str">
        <f ca="1">IFERROR(__xludf.DUMMYFUNCTION("REGEXEXTRACT(O359,""^\S+\s(.+)$"")"),"Prestar servicios profesionales en derecho para apoyar la gestión contractual de la UPME, mediante la asesoría jurídica en las etapas precontractual, contractual y poscontractual, la elaboración, revisión y análisis de documentos y actos administrativos c"&amp;"ontractuales, la emisión de conceptos jurídicos, y el acompañamiento a las dependencias de la Entidad, en concordancia con la normativa vigente y los lineamientos institucionales.")</f>
        <v>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v>
      </c>
      <c r="BH365" s="23">
        <v>30113920</v>
      </c>
      <c r="BI365" s="23"/>
      <c r="BJ365" s="23"/>
      <c r="BK365" s="23"/>
      <c r="BL365" s="23"/>
      <c r="BM365" s="23"/>
      <c r="BN365" s="23"/>
      <c r="BO365" s="23"/>
      <c r="BP365" s="23"/>
      <c r="BQ365" s="23"/>
      <c r="BR365" s="23"/>
      <c r="BS365" s="23"/>
      <c r="BT365" s="23"/>
      <c r="BU365" s="23"/>
      <c r="BV365" s="23"/>
      <c r="BW365" s="23"/>
      <c r="BX365" s="23"/>
      <c r="BY365" s="23"/>
      <c r="BZ365" s="23"/>
      <c r="CA365" s="23">
        <v>1913920</v>
      </c>
      <c r="CB365" s="23"/>
      <c r="CC365" s="23">
        <v>9000000</v>
      </c>
      <c r="CD365" s="23"/>
      <c r="CE365" s="23">
        <v>19200000</v>
      </c>
      <c r="CF365" s="28"/>
      <c r="CG365" s="28"/>
      <c r="CH365" s="25">
        <f t="shared" ref="CH365:CI365" si="718">BH365+BJ365+BL365+BN365+BP365+BR365+BT365+BV365+BX365+BZ365+CB365+CD365+CF365</f>
        <v>30113920</v>
      </c>
      <c r="CI365" s="25">
        <f t="shared" si="718"/>
        <v>30113920</v>
      </c>
      <c r="CJ365" s="26">
        <f t="shared" si="518"/>
        <v>0</v>
      </c>
      <c r="CK365" s="26">
        <f t="shared" si="519"/>
        <v>0</v>
      </c>
    </row>
    <row r="366" spans="1:89" ht="90" customHeight="1" x14ac:dyDescent="0.3">
      <c r="A366" s="13" t="s">
        <v>248</v>
      </c>
      <c r="B366" s="14" t="s">
        <v>30</v>
      </c>
      <c r="C366" s="15" t="s">
        <v>967</v>
      </c>
      <c r="D366" s="14" t="s">
        <v>60</v>
      </c>
      <c r="E366" s="13" t="s">
        <v>250</v>
      </c>
      <c r="F366" s="13" t="s">
        <v>250</v>
      </c>
      <c r="G366" s="14">
        <v>6</v>
      </c>
      <c r="H366" s="13" t="s">
        <v>1078</v>
      </c>
      <c r="I366" s="15" t="s">
        <v>1000</v>
      </c>
      <c r="J366" s="14" t="s">
        <v>15</v>
      </c>
      <c r="K366" s="15" t="s">
        <v>71</v>
      </c>
      <c r="L366" s="14">
        <v>80111620</v>
      </c>
      <c r="M366" s="14" t="s">
        <v>31</v>
      </c>
      <c r="N366" s="14" t="s">
        <v>253</v>
      </c>
      <c r="O366" s="15" t="s">
        <v>1079</v>
      </c>
      <c r="P366" s="14" t="s">
        <v>255</v>
      </c>
      <c r="Q366" s="14" t="s">
        <v>255</v>
      </c>
      <c r="R366" s="14" t="s">
        <v>255</v>
      </c>
      <c r="S366" s="17">
        <v>11.4</v>
      </c>
      <c r="T366" s="14" t="s">
        <v>256</v>
      </c>
      <c r="U366" s="14" t="s">
        <v>257</v>
      </c>
      <c r="V366" s="14" t="s">
        <v>112</v>
      </c>
      <c r="W366" s="18">
        <v>57000000</v>
      </c>
      <c r="X366" s="18">
        <v>57000000</v>
      </c>
      <c r="Y366" s="19" t="s">
        <v>339</v>
      </c>
      <c r="Z366" s="19" t="s">
        <v>258</v>
      </c>
      <c r="AA366" s="14" t="s">
        <v>971</v>
      </c>
      <c r="AB366" s="14" t="s">
        <v>972</v>
      </c>
      <c r="AC366" s="14">
        <v>6012220644</v>
      </c>
      <c r="AD366" s="14" t="s">
        <v>973</v>
      </c>
      <c r="AE366" s="82">
        <v>55000000</v>
      </c>
      <c r="AF366" s="82">
        <v>0</v>
      </c>
      <c r="AG366" s="82">
        <v>0</v>
      </c>
      <c r="AH366" s="82">
        <v>0</v>
      </c>
      <c r="AI366" s="82">
        <v>0</v>
      </c>
      <c r="AJ366" s="82">
        <v>5000000</v>
      </c>
      <c r="AK366" s="82">
        <v>0</v>
      </c>
      <c r="AL366" s="82">
        <v>5000000</v>
      </c>
      <c r="AM366" s="82">
        <v>0</v>
      </c>
      <c r="AN366" s="82">
        <v>5000000</v>
      </c>
      <c r="AO366" s="82">
        <v>0</v>
      </c>
      <c r="AP366" s="82">
        <v>5000000</v>
      </c>
      <c r="AQ366" s="82">
        <v>0</v>
      </c>
      <c r="AR366" s="82">
        <v>5000000</v>
      </c>
      <c r="AS366" s="82">
        <v>0</v>
      </c>
      <c r="AT366" s="82">
        <v>5000000</v>
      </c>
      <c r="AU366" s="82">
        <v>0</v>
      </c>
      <c r="AV366" s="82">
        <v>5000000</v>
      </c>
      <c r="AW366" s="82">
        <v>0</v>
      </c>
      <c r="AX366" s="82">
        <v>5000000</v>
      </c>
      <c r="AY366" s="82">
        <v>0</v>
      </c>
      <c r="AZ366" s="82">
        <v>5000000</v>
      </c>
      <c r="BA366" s="82">
        <v>2000000</v>
      </c>
      <c r="BB366" s="82">
        <v>12000000</v>
      </c>
      <c r="BC366" s="82">
        <f t="shared" ref="BC366:BD366" si="719">AE366+AG366+AI366+AK366+AM366+AO366+AQ366+AS366+AU366+AW366+AY366+BA366</f>
        <v>57000000</v>
      </c>
      <c r="BD366" s="82">
        <f t="shared" si="719"/>
        <v>57000000</v>
      </c>
      <c r="BE366" s="83">
        <f t="shared" si="538"/>
        <v>0</v>
      </c>
      <c r="BF366" s="83">
        <f t="shared" si="539"/>
        <v>0</v>
      </c>
      <c r="BG366" s="14" t="str">
        <f ca="1">IFERROR(__xludf.DUMMYFUNCTION("REGEXEXTRACT(O360,""^\S+\s(.+)$"")"),"Prestar servicios profesionales en el desarrollo de las actuaciones administrativas de la Entidad, mediante el análisis normativo, la proyección de respuestas a PQR´s  contribuyendo al cumplimiento de las funciones misionales y al fortalecimiento de la ge"&amp;"stión institucional.")</f>
        <v>Prestar servicios profesionales en el desarrollo de las actuaciones administrativas de la Entidad, mediante el análisis normativo, la proyección de respuestas a PQR´s  contribuyendo al cumplimiento de las funciones misionales y al fortalecimiento de la gestión institucional.</v>
      </c>
      <c r="BH366" s="23">
        <v>55000000</v>
      </c>
      <c r="BI366" s="23"/>
      <c r="BJ366" s="23"/>
      <c r="BK366" s="23"/>
      <c r="BL366" s="23"/>
      <c r="BM366" s="23">
        <v>5000000</v>
      </c>
      <c r="BN366" s="23"/>
      <c r="BO366" s="23">
        <v>5000000</v>
      </c>
      <c r="BP366" s="23"/>
      <c r="BQ366" s="23">
        <v>5000000</v>
      </c>
      <c r="BR366" s="23"/>
      <c r="BS366" s="23">
        <v>5000000</v>
      </c>
      <c r="BT366" s="23"/>
      <c r="BU366" s="23">
        <v>5000000</v>
      </c>
      <c r="BV366" s="23"/>
      <c r="BW366" s="23">
        <v>5000000</v>
      </c>
      <c r="BX366" s="23"/>
      <c r="BY366" s="23">
        <v>5000000</v>
      </c>
      <c r="BZ366" s="23"/>
      <c r="CA366" s="23">
        <v>5000000</v>
      </c>
      <c r="CB366" s="23"/>
      <c r="CC366" s="23">
        <v>5000000</v>
      </c>
      <c r="CD366" s="23">
        <v>2000000</v>
      </c>
      <c r="CE366" s="23">
        <v>12000000</v>
      </c>
      <c r="CF366" s="28"/>
      <c r="CG366" s="28"/>
      <c r="CH366" s="25">
        <f t="shared" ref="CH366:CI366" si="720">BH366+BJ366+BL366+BN366+BP366+BR366+BT366+BV366+BX366+BZ366+CB366+CD366+CF366</f>
        <v>57000000</v>
      </c>
      <c r="CI366" s="25">
        <f t="shared" si="720"/>
        <v>57000000</v>
      </c>
      <c r="CJ366" s="26">
        <f t="shared" si="518"/>
        <v>0</v>
      </c>
      <c r="CK366" s="26">
        <f t="shared" si="519"/>
        <v>0</v>
      </c>
    </row>
    <row r="367" spans="1:89" ht="90" customHeight="1" x14ac:dyDescent="0.3">
      <c r="A367" s="13" t="s">
        <v>248</v>
      </c>
      <c r="B367" s="14" t="s">
        <v>30</v>
      </c>
      <c r="C367" s="15" t="s">
        <v>967</v>
      </c>
      <c r="D367" s="14" t="s">
        <v>60</v>
      </c>
      <c r="E367" s="13" t="s">
        <v>250</v>
      </c>
      <c r="F367" s="13" t="s">
        <v>250</v>
      </c>
      <c r="G367" s="14">
        <v>68</v>
      </c>
      <c r="H367" s="13" t="s">
        <v>1080</v>
      </c>
      <c r="I367" s="15" t="s">
        <v>969</v>
      </c>
      <c r="J367" s="14" t="s">
        <v>9</v>
      </c>
      <c r="K367" s="15" t="s">
        <v>74</v>
      </c>
      <c r="L367" s="14">
        <v>80111620</v>
      </c>
      <c r="M367" s="14" t="s">
        <v>32</v>
      </c>
      <c r="N367" s="14" t="s">
        <v>253</v>
      </c>
      <c r="O367" s="15" t="s">
        <v>1081</v>
      </c>
      <c r="P367" s="14" t="s">
        <v>255</v>
      </c>
      <c r="Q367" s="14" t="s">
        <v>255</v>
      </c>
      <c r="R367" s="14" t="s">
        <v>255</v>
      </c>
      <c r="S367" s="17">
        <v>11.5</v>
      </c>
      <c r="T367" s="14" t="s">
        <v>256</v>
      </c>
      <c r="U367" s="14" t="s">
        <v>257</v>
      </c>
      <c r="V367" s="14" t="s">
        <v>112</v>
      </c>
      <c r="W367" s="18">
        <v>92000000</v>
      </c>
      <c r="X367" s="18">
        <v>92000000</v>
      </c>
      <c r="Y367" s="19" t="s">
        <v>339</v>
      </c>
      <c r="Z367" s="19" t="s">
        <v>258</v>
      </c>
      <c r="AA367" s="14" t="s">
        <v>971</v>
      </c>
      <c r="AB367" s="14" t="s">
        <v>972</v>
      </c>
      <c r="AC367" s="14">
        <v>6012220644</v>
      </c>
      <c r="AD367" s="14" t="s">
        <v>973</v>
      </c>
      <c r="AE367" s="82">
        <v>90000000</v>
      </c>
      <c r="AF367" s="82">
        <v>0</v>
      </c>
      <c r="AG367" s="82">
        <v>0</v>
      </c>
      <c r="AH367" s="82">
        <v>2400000</v>
      </c>
      <c r="AI367" s="82">
        <v>0</v>
      </c>
      <c r="AJ367" s="82">
        <v>9000000</v>
      </c>
      <c r="AK367" s="82">
        <v>0</v>
      </c>
      <c r="AL367" s="82">
        <v>9000000</v>
      </c>
      <c r="AM367" s="82">
        <v>0</v>
      </c>
      <c r="AN367" s="82">
        <v>9000000</v>
      </c>
      <c r="AO367" s="82">
        <v>0</v>
      </c>
      <c r="AP367" s="82">
        <v>9000000</v>
      </c>
      <c r="AQ367" s="82">
        <v>0</v>
      </c>
      <c r="AR367" s="82">
        <v>9000000</v>
      </c>
      <c r="AS367" s="82">
        <v>0</v>
      </c>
      <c r="AT367" s="82">
        <v>9000000</v>
      </c>
      <c r="AU367" s="82">
        <v>0</v>
      </c>
      <c r="AV367" s="82">
        <v>9000000</v>
      </c>
      <c r="AW367" s="82">
        <v>0</v>
      </c>
      <c r="AX367" s="82">
        <v>9000000</v>
      </c>
      <c r="AY367" s="82">
        <v>0</v>
      </c>
      <c r="AZ367" s="82">
        <v>9000000</v>
      </c>
      <c r="BA367" s="82">
        <v>2000000</v>
      </c>
      <c r="BB367" s="82">
        <v>8600000</v>
      </c>
      <c r="BC367" s="82">
        <f t="shared" ref="BC367:BD367" si="721">AE367+AG367+AI367+AK367+AM367+AO367+AQ367+AS367+AU367+AW367+AY367+BA367</f>
        <v>92000000</v>
      </c>
      <c r="BD367" s="82">
        <f t="shared" si="721"/>
        <v>92000000</v>
      </c>
      <c r="BE367" s="83">
        <f t="shared" si="538"/>
        <v>0</v>
      </c>
      <c r="BF367" s="83">
        <f t="shared" si="539"/>
        <v>0</v>
      </c>
      <c r="BG367" s="14" t="str">
        <f ca="1">IFERROR(__xludf.DUMMYFUNCTION("REGEXEXTRACT(O361,""^\S+\s(.+)$"")"),"Prestar servicios profesionales para las actividades de free press de la Unidad de Planeación Minero Energética- UPME, con énfasis en la estrategia de articulación intra e intersectorial para la planificación del desarrollo minero-energético.")</f>
        <v>Prestar servicios profesionales para las actividades de free press de la Unidad de Planeación Minero Energética- UPME, con énfasis en la estrategia de articulación intra e intersectorial para la planificación del desarrollo minero-energético.</v>
      </c>
      <c r="BH367" s="23">
        <v>90000000</v>
      </c>
      <c r="BI367" s="23"/>
      <c r="BJ367" s="23"/>
      <c r="BK367" s="23">
        <v>2400000</v>
      </c>
      <c r="BL367" s="23"/>
      <c r="BM367" s="23">
        <v>9000000</v>
      </c>
      <c r="BN367" s="23"/>
      <c r="BO367" s="23">
        <v>9000000</v>
      </c>
      <c r="BP367" s="23"/>
      <c r="BQ367" s="23">
        <v>9000000</v>
      </c>
      <c r="BR367" s="23"/>
      <c r="BS367" s="23">
        <v>9000000</v>
      </c>
      <c r="BT367" s="23"/>
      <c r="BU367" s="23">
        <v>9000000</v>
      </c>
      <c r="BV367" s="23"/>
      <c r="BW367" s="23">
        <v>9000000</v>
      </c>
      <c r="BX367" s="23"/>
      <c r="BY367" s="23">
        <v>9000000</v>
      </c>
      <c r="BZ367" s="23"/>
      <c r="CA367" s="23">
        <v>9000000</v>
      </c>
      <c r="CB367" s="23"/>
      <c r="CC367" s="23">
        <v>9000000</v>
      </c>
      <c r="CD367" s="23">
        <v>2000000</v>
      </c>
      <c r="CE367" s="23">
        <v>8600000</v>
      </c>
      <c r="CF367" s="28"/>
      <c r="CG367" s="28"/>
      <c r="CH367" s="25">
        <f t="shared" ref="CH367:CI367" si="722">BH367+BJ367+BL367+BN367+BP367+BR367+BT367+BV367+BX367+BZ367+CB367+CD367+CF367</f>
        <v>92000000</v>
      </c>
      <c r="CI367" s="25">
        <f t="shared" si="722"/>
        <v>92000000</v>
      </c>
      <c r="CJ367" s="26">
        <f t="shared" si="518"/>
        <v>0</v>
      </c>
      <c r="CK367" s="26">
        <f t="shared" si="519"/>
        <v>0</v>
      </c>
    </row>
    <row r="368" spans="1:89" ht="90" customHeight="1" x14ac:dyDescent="0.3">
      <c r="A368" s="13" t="s">
        <v>248</v>
      </c>
      <c r="B368" s="14" t="s">
        <v>30</v>
      </c>
      <c r="C368" s="15" t="s">
        <v>967</v>
      </c>
      <c r="D368" s="14" t="s">
        <v>60</v>
      </c>
      <c r="E368" s="13" t="s">
        <v>250</v>
      </c>
      <c r="F368" s="13" t="s">
        <v>250</v>
      </c>
      <c r="G368" s="14">
        <v>68</v>
      </c>
      <c r="H368" s="13" t="s">
        <v>1082</v>
      </c>
      <c r="I368" s="15" t="s">
        <v>969</v>
      </c>
      <c r="J368" s="14" t="s">
        <v>9</v>
      </c>
      <c r="K368" s="15" t="s">
        <v>74</v>
      </c>
      <c r="L368" s="14">
        <v>80111620</v>
      </c>
      <c r="M368" s="14" t="s">
        <v>32</v>
      </c>
      <c r="N368" s="14" t="s">
        <v>253</v>
      </c>
      <c r="O368" s="15" t="s">
        <v>1083</v>
      </c>
      <c r="P368" s="14" t="s">
        <v>255</v>
      </c>
      <c r="Q368" s="14" t="s">
        <v>255</v>
      </c>
      <c r="R368" s="14" t="s">
        <v>255</v>
      </c>
      <c r="S368" s="17">
        <v>11.5</v>
      </c>
      <c r="T368" s="14" t="s">
        <v>256</v>
      </c>
      <c r="U368" s="14" t="s">
        <v>257</v>
      </c>
      <c r="V368" s="14" t="s">
        <v>112</v>
      </c>
      <c r="W368" s="18">
        <v>103500000</v>
      </c>
      <c r="X368" s="18">
        <v>103500000</v>
      </c>
      <c r="Y368" s="19" t="s">
        <v>339</v>
      </c>
      <c r="Z368" s="19" t="s">
        <v>258</v>
      </c>
      <c r="AA368" s="14" t="s">
        <v>971</v>
      </c>
      <c r="AB368" s="14" t="s">
        <v>972</v>
      </c>
      <c r="AC368" s="14">
        <v>6012220644</v>
      </c>
      <c r="AD368" s="14" t="s">
        <v>973</v>
      </c>
      <c r="AE368" s="82">
        <v>99000000</v>
      </c>
      <c r="AF368" s="82">
        <v>0</v>
      </c>
      <c r="AG368" s="82">
        <v>0</v>
      </c>
      <c r="AH368" s="82">
        <v>0</v>
      </c>
      <c r="AI368" s="82">
        <v>0</v>
      </c>
      <c r="AJ368" s="82">
        <v>9000000</v>
      </c>
      <c r="AK368" s="82">
        <v>0</v>
      </c>
      <c r="AL368" s="82">
        <v>9000000</v>
      </c>
      <c r="AM368" s="82">
        <v>0</v>
      </c>
      <c r="AN368" s="82">
        <v>9000000</v>
      </c>
      <c r="AO368" s="82">
        <v>0</v>
      </c>
      <c r="AP368" s="82">
        <v>9000000</v>
      </c>
      <c r="AQ368" s="82">
        <v>0</v>
      </c>
      <c r="AR368" s="82">
        <v>9000000</v>
      </c>
      <c r="AS368" s="82">
        <v>0</v>
      </c>
      <c r="AT368" s="82">
        <v>9000000</v>
      </c>
      <c r="AU368" s="82">
        <v>0</v>
      </c>
      <c r="AV368" s="82">
        <v>9000000</v>
      </c>
      <c r="AW368" s="82">
        <v>0</v>
      </c>
      <c r="AX368" s="82">
        <v>9000000</v>
      </c>
      <c r="AY368" s="82">
        <v>0</v>
      </c>
      <c r="AZ368" s="82">
        <v>9000000</v>
      </c>
      <c r="BA368" s="82">
        <v>4500000</v>
      </c>
      <c r="BB368" s="82">
        <v>22500000</v>
      </c>
      <c r="BC368" s="82">
        <f t="shared" ref="BC368:BD368" si="723">AE368+AG368+AI368+AK368+AM368+AO368+AQ368+AS368+AU368+AW368+AY368+BA368</f>
        <v>103500000</v>
      </c>
      <c r="BD368" s="82">
        <f t="shared" si="723"/>
        <v>103500000</v>
      </c>
      <c r="BE368" s="83">
        <f t="shared" si="538"/>
        <v>0</v>
      </c>
      <c r="BF368" s="83">
        <f t="shared" si="539"/>
        <v>0</v>
      </c>
      <c r="BG368" s="14" t="str">
        <f ca="1">IFERROR(__xludf.DUMMYFUNCTION("REGEXEXTRACT(O362,""^\S+\s(.+)$"")"),"Prestar servicios profesionales en derecho para apoyar la gestión jurídica de la UPME, mediante la asesoría y acompañamiento en la sustanciación de procesos administrativos y contractuales, la elaboración y revisión de conceptos jurídicos, la revisión de "&amp;"actos administrativos, y la emisión de recomendaciones para garantizar el cumplimiento de la normativa vigente y los lineamientos institucionales de la Entidad")</f>
        <v>Prestar servicios profesionales en derecho para apoyar la gestión jurídica de la UPME, mediante la asesoría y acompañamiento en la sustanciación de procesos administrativos y contractuales, la elaboración y revisión de conceptos jurídicos, la revisión de actos administrativos, y la emisión de recomendaciones para garantizar el cumplimiento de la normativa vigente y los lineamientos institucionales de la Entidad</v>
      </c>
      <c r="BH368" s="23">
        <v>99000000</v>
      </c>
      <c r="BI368" s="23"/>
      <c r="BJ368" s="23"/>
      <c r="BK368" s="23"/>
      <c r="BL368" s="23"/>
      <c r="BM368" s="23">
        <v>9000000</v>
      </c>
      <c r="BN368" s="23"/>
      <c r="BO368" s="23">
        <v>9000000</v>
      </c>
      <c r="BP368" s="23"/>
      <c r="BQ368" s="23">
        <v>9000000</v>
      </c>
      <c r="BR368" s="23"/>
      <c r="BS368" s="23">
        <v>9000000</v>
      </c>
      <c r="BT368" s="23"/>
      <c r="BU368" s="23">
        <v>9000000</v>
      </c>
      <c r="BV368" s="23"/>
      <c r="BW368" s="23">
        <v>9000000</v>
      </c>
      <c r="BX368" s="23"/>
      <c r="BY368" s="23">
        <v>9000000</v>
      </c>
      <c r="BZ368" s="23"/>
      <c r="CA368" s="23">
        <v>9000000</v>
      </c>
      <c r="CB368" s="23"/>
      <c r="CC368" s="23">
        <v>9000000</v>
      </c>
      <c r="CD368" s="23">
        <v>4500000</v>
      </c>
      <c r="CE368" s="23">
        <v>22500000</v>
      </c>
      <c r="CF368" s="28"/>
      <c r="CG368" s="28"/>
      <c r="CH368" s="25">
        <f t="shared" ref="CH368:CI368" si="724">BH368+BJ368+BL368+BN368+BP368+BR368+BT368+BV368+BX368+BZ368+CB368+CD368+CF368</f>
        <v>103500000</v>
      </c>
      <c r="CI368" s="25">
        <f t="shared" si="724"/>
        <v>103500000</v>
      </c>
      <c r="CJ368" s="26">
        <f t="shared" si="518"/>
        <v>0</v>
      </c>
      <c r="CK368" s="26">
        <f t="shared" si="519"/>
        <v>0</v>
      </c>
    </row>
    <row r="369" spans="1:89" ht="90" customHeight="1" x14ac:dyDescent="0.3">
      <c r="A369" s="13" t="s">
        <v>248</v>
      </c>
      <c r="B369" s="14" t="s">
        <v>30</v>
      </c>
      <c r="C369" s="15" t="s">
        <v>967</v>
      </c>
      <c r="D369" s="14" t="s">
        <v>60</v>
      </c>
      <c r="E369" s="13" t="s">
        <v>250</v>
      </c>
      <c r="F369" s="13" t="s">
        <v>250</v>
      </c>
      <c r="G369" s="14">
        <v>9</v>
      </c>
      <c r="H369" s="13" t="s">
        <v>1084</v>
      </c>
      <c r="I369" s="15" t="s">
        <v>969</v>
      </c>
      <c r="J369" s="14" t="s">
        <v>9</v>
      </c>
      <c r="K369" s="15" t="s">
        <v>74</v>
      </c>
      <c r="L369" s="14">
        <v>80111620</v>
      </c>
      <c r="M369" s="14" t="s">
        <v>32</v>
      </c>
      <c r="N369" s="14" t="s">
        <v>253</v>
      </c>
      <c r="O369" s="15" t="s">
        <v>1085</v>
      </c>
      <c r="P369" s="14" t="s">
        <v>255</v>
      </c>
      <c r="Q369" s="14" t="s">
        <v>255</v>
      </c>
      <c r="R369" s="14" t="s">
        <v>255</v>
      </c>
      <c r="S369" s="17">
        <v>10.5</v>
      </c>
      <c r="T369" s="14" t="s">
        <v>256</v>
      </c>
      <c r="U369" s="14" t="s">
        <v>257</v>
      </c>
      <c r="V369" s="14" t="s">
        <v>112</v>
      </c>
      <c r="W369" s="18">
        <v>30000000</v>
      </c>
      <c r="X369" s="18">
        <v>30000000</v>
      </c>
      <c r="Y369" s="19" t="s">
        <v>339</v>
      </c>
      <c r="Z369" s="19" t="s">
        <v>258</v>
      </c>
      <c r="AA369" s="14" t="s">
        <v>971</v>
      </c>
      <c r="AB369" s="14" t="s">
        <v>972</v>
      </c>
      <c r="AC369" s="14">
        <v>6012220644</v>
      </c>
      <c r="AD369" s="14" t="s">
        <v>973</v>
      </c>
      <c r="AE369" s="82">
        <v>0</v>
      </c>
      <c r="AF369" s="82">
        <v>0</v>
      </c>
      <c r="AG369" s="82">
        <v>0</v>
      </c>
      <c r="AH369" s="82">
        <v>0</v>
      </c>
      <c r="AI369" s="82">
        <v>0</v>
      </c>
      <c r="AJ369" s="82">
        <v>0</v>
      </c>
      <c r="AK369" s="82">
        <v>0</v>
      </c>
      <c r="AL369" s="82">
        <v>0</v>
      </c>
      <c r="AM369" s="82">
        <v>0</v>
      </c>
      <c r="AN369" s="82">
        <v>0</v>
      </c>
      <c r="AO369" s="82">
        <v>0</v>
      </c>
      <c r="AP369" s="82">
        <v>0</v>
      </c>
      <c r="AQ369" s="82">
        <v>30000000</v>
      </c>
      <c r="AR369" s="82">
        <v>0</v>
      </c>
      <c r="AS369" s="82">
        <v>0</v>
      </c>
      <c r="AT369" s="82">
        <v>6000000</v>
      </c>
      <c r="AU369" s="82">
        <v>0</v>
      </c>
      <c r="AV369" s="82">
        <v>6000000</v>
      </c>
      <c r="AW369" s="82">
        <v>0</v>
      </c>
      <c r="AX369" s="82">
        <v>6000000</v>
      </c>
      <c r="AY369" s="82">
        <v>0</v>
      </c>
      <c r="AZ369" s="82">
        <v>6000000</v>
      </c>
      <c r="BA369" s="82">
        <v>0</v>
      </c>
      <c r="BB369" s="82">
        <v>6000000</v>
      </c>
      <c r="BC369" s="82">
        <f t="shared" ref="BC369:BD369" si="725">AE369+AG369+AI369+AK369+AM369+AO369+AQ369+AS369+AU369+AW369+AY369+BA369</f>
        <v>30000000</v>
      </c>
      <c r="BD369" s="82">
        <f t="shared" si="725"/>
        <v>30000000</v>
      </c>
      <c r="BE369" s="83">
        <f t="shared" si="538"/>
        <v>0</v>
      </c>
      <c r="BF369" s="83">
        <f t="shared" si="539"/>
        <v>0</v>
      </c>
      <c r="BG369" s="14" t="str">
        <f ca="1">IFERROR(__xludf.DUMMYFUNCTION("REGEXEXTRACT(O363,""^\S+\s(.+)$"")"),"Prestar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69" s="23"/>
      <c r="BI369" s="23"/>
      <c r="BJ369" s="23"/>
      <c r="BK369" s="23"/>
      <c r="BL369" s="23"/>
      <c r="BM369" s="23"/>
      <c r="BN369" s="23"/>
      <c r="BO369" s="23"/>
      <c r="BP369" s="23"/>
      <c r="BQ369" s="23"/>
      <c r="BR369" s="23"/>
      <c r="BS369" s="23"/>
      <c r="BT369" s="23">
        <v>30000000</v>
      </c>
      <c r="BU369" s="23"/>
      <c r="BV369" s="23"/>
      <c r="BW369" s="23">
        <v>6000000</v>
      </c>
      <c r="BX369" s="23"/>
      <c r="BY369" s="23">
        <v>6000000</v>
      </c>
      <c r="BZ369" s="23"/>
      <c r="CA369" s="23">
        <v>6000000</v>
      </c>
      <c r="CB369" s="23"/>
      <c r="CC369" s="23">
        <v>6000000</v>
      </c>
      <c r="CD369" s="23"/>
      <c r="CE369" s="23">
        <v>6000000</v>
      </c>
      <c r="CF369" s="28"/>
      <c r="CG369" s="28"/>
      <c r="CH369" s="25">
        <f t="shared" ref="CH369:CI369" si="726">BH369+BJ369+BL369+BN369+BP369+BR369+BT369+BV369+BX369+BZ369+CB369+CD369+CF369</f>
        <v>30000000</v>
      </c>
      <c r="CI369" s="25">
        <f t="shared" si="726"/>
        <v>30000000</v>
      </c>
      <c r="CJ369" s="26">
        <f t="shared" si="518"/>
        <v>0</v>
      </c>
      <c r="CK369" s="26">
        <f t="shared" si="519"/>
        <v>0</v>
      </c>
    </row>
    <row r="370" spans="1:89" ht="90" customHeight="1" x14ac:dyDescent="0.3">
      <c r="A370" s="13" t="s">
        <v>248</v>
      </c>
      <c r="B370" s="14" t="s">
        <v>30</v>
      </c>
      <c r="C370" s="15" t="s">
        <v>967</v>
      </c>
      <c r="D370" s="14" t="s">
        <v>60</v>
      </c>
      <c r="E370" s="13" t="s">
        <v>250</v>
      </c>
      <c r="F370" s="13" t="s">
        <v>250</v>
      </c>
      <c r="G370" s="14">
        <v>9</v>
      </c>
      <c r="H370" s="13" t="s">
        <v>1086</v>
      </c>
      <c r="I370" s="15" t="s">
        <v>1000</v>
      </c>
      <c r="J370" s="14" t="s">
        <v>15</v>
      </c>
      <c r="K370" s="15" t="s">
        <v>70</v>
      </c>
      <c r="L370" s="14">
        <v>80111620</v>
      </c>
      <c r="M370" s="14" t="s">
        <v>31</v>
      </c>
      <c r="N370" s="14" t="s">
        <v>253</v>
      </c>
      <c r="O370" s="15" t="s">
        <v>1087</v>
      </c>
      <c r="P370" s="14" t="s">
        <v>255</v>
      </c>
      <c r="Q370" s="14" t="s">
        <v>255</v>
      </c>
      <c r="R370" s="14" t="s">
        <v>255</v>
      </c>
      <c r="S370" s="17">
        <v>10.5</v>
      </c>
      <c r="T370" s="14" t="s">
        <v>256</v>
      </c>
      <c r="U370" s="14" t="s">
        <v>257</v>
      </c>
      <c r="V370" s="14" t="s">
        <v>112</v>
      </c>
      <c r="W370" s="18">
        <v>10724696</v>
      </c>
      <c r="X370" s="18">
        <v>10724696</v>
      </c>
      <c r="Y370" s="19" t="s">
        <v>339</v>
      </c>
      <c r="Z370" s="19" t="s">
        <v>258</v>
      </c>
      <c r="AA370" s="14" t="s">
        <v>971</v>
      </c>
      <c r="AB370" s="14" t="s">
        <v>972</v>
      </c>
      <c r="AC370" s="14">
        <v>6012220644</v>
      </c>
      <c r="AD370" s="14" t="s">
        <v>973</v>
      </c>
      <c r="AE370" s="82">
        <v>0</v>
      </c>
      <c r="AF370" s="82">
        <v>0</v>
      </c>
      <c r="AG370" s="82">
        <v>0</v>
      </c>
      <c r="AH370" s="82">
        <v>0</v>
      </c>
      <c r="AI370" s="82">
        <v>0</v>
      </c>
      <c r="AJ370" s="82">
        <v>0</v>
      </c>
      <c r="AK370" s="82">
        <v>0</v>
      </c>
      <c r="AL370" s="82">
        <v>0</v>
      </c>
      <c r="AM370" s="82">
        <v>0</v>
      </c>
      <c r="AN370" s="82">
        <v>0</v>
      </c>
      <c r="AO370" s="82">
        <v>0</v>
      </c>
      <c r="AP370" s="82">
        <v>0</v>
      </c>
      <c r="AQ370" s="82">
        <v>10724696</v>
      </c>
      <c r="AR370" s="82">
        <v>0</v>
      </c>
      <c r="AS370" s="82">
        <v>0</v>
      </c>
      <c r="AT370" s="82">
        <v>2144000</v>
      </c>
      <c r="AU370" s="82">
        <v>0</v>
      </c>
      <c r="AV370" s="82">
        <v>2144000</v>
      </c>
      <c r="AW370" s="82">
        <v>0</v>
      </c>
      <c r="AX370" s="82">
        <v>2144000</v>
      </c>
      <c r="AY370" s="82">
        <v>0</v>
      </c>
      <c r="AZ370" s="82">
        <v>2144000</v>
      </c>
      <c r="BA370" s="82">
        <v>0</v>
      </c>
      <c r="BB370" s="82">
        <v>2148696</v>
      </c>
      <c r="BC370" s="82">
        <f t="shared" ref="BC370:BD370" si="727">AE370+AG370+AI370+AK370+AM370+AO370+AQ370+AS370+AU370+AW370+AY370+BA370</f>
        <v>10724696</v>
      </c>
      <c r="BD370" s="82">
        <f t="shared" si="727"/>
        <v>10724696</v>
      </c>
      <c r="BE370" s="83">
        <f t="shared" si="538"/>
        <v>0</v>
      </c>
      <c r="BF370" s="83">
        <f t="shared" si="539"/>
        <v>0</v>
      </c>
      <c r="BG370" s="14" t="str">
        <f ca="1">IFERROR(__xludf.DUMMYFUNCTION("REGEXEXTRACT(O364,""^\S+\s(.+)$"")"),"Prestar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70" s="23"/>
      <c r="BI370" s="23"/>
      <c r="BJ370" s="23"/>
      <c r="BK370" s="23"/>
      <c r="BL370" s="23"/>
      <c r="BM370" s="23"/>
      <c r="BN370" s="23"/>
      <c r="BO370" s="23"/>
      <c r="BP370" s="23"/>
      <c r="BQ370" s="23"/>
      <c r="BR370" s="23"/>
      <c r="BS370" s="23"/>
      <c r="BT370" s="23">
        <v>10724696</v>
      </c>
      <c r="BU370" s="23"/>
      <c r="BV370" s="23"/>
      <c r="BW370" s="23">
        <v>2144000</v>
      </c>
      <c r="BX370" s="23"/>
      <c r="BY370" s="23">
        <v>2144000</v>
      </c>
      <c r="BZ370" s="23"/>
      <c r="CA370" s="23">
        <v>2144000</v>
      </c>
      <c r="CB370" s="23"/>
      <c r="CC370" s="23">
        <v>2144000</v>
      </c>
      <c r="CD370" s="23"/>
      <c r="CE370" s="23">
        <v>2148696</v>
      </c>
      <c r="CF370" s="28"/>
      <c r="CG370" s="28"/>
      <c r="CH370" s="25">
        <f t="shared" ref="CH370:CI370" si="728">BH370+BJ370+BL370+BN370+BP370+BR370+BT370+BV370+BX370+BZ370+CB370+CD370+CF370</f>
        <v>10724696</v>
      </c>
      <c r="CI370" s="25">
        <f t="shared" si="728"/>
        <v>10724696</v>
      </c>
      <c r="CJ370" s="26">
        <f t="shared" si="518"/>
        <v>0</v>
      </c>
      <c r="CK370" s="26">
        <f t="shared" si="519"/>
        <v>0</v>
      </c>
    </row>
    <row r="371" spans="1:89" ht="90" customHeight="1" x14ac:dyDescent="0.3">
      <c r="A371" s="13" t="s">
        <v>248</v>
      </c>
      <c r="B371" s="14" t="s">
        <v>30</v>
      </c>
      <c r="C371" s="15" t="s">
        <v>967</v>
      </c>
      <c r="D371" s="14" t="s">
        <v>60</v>
      </c>
      <c r="E371" s="13" t="s">
        <v>250</v>
      </c>
      <c r="F371" s="13" t="s">
        <v>250</v>
      </c>
      <c r="G371" s="14">
        <v>9</v>
      </c>
      <c r="H371" s="13" t="s">
        <v>1088</v>
      </c>
      <c r="I371" s="15" t="s">
        <v>1000</v>
      </c>
      <c r="J371" s="14" t="s">
        <v>15</v>
      </c>
      <c r="K371" s="15" t="s">
        <v>71</v>
      </c>
      <c r="L371" s="14">
        <v>80111620</v>
      </c>
      <c r="M371" s="14" t="s">
        <v>31</v>
      </c>
      <c r="N371" s="14" t="s">
        <v>253</v>
      </c>
      <c r="O371" s="15" t="s">
        <v>1089</v>
      </c>
      <c r="P371" s="14" t="s">
        <v>255</v>
      </c>
      <c r="Q371" s="14" t="s">
        <v>255</v>
      </c>
      <c r="R371" s="14" t="s">
        <v>255</v>
      </c>
      <c r="S371" s="17">
        <v>10.5</v>
      </c>
      <c r="T371" s="14" t="s">
        <v>256</v>
      </c>
      <c r="U371" s="14" t="s">
        <v>257</v>
      </c>
      <c r="V371" s="14" t="s">
        <v>112</v>
      </c>
      <c r="W371" s="18">
        <v>16275304</v>
      </c>
      <c r="X371" s="18">
        <v>16275304</v>
      </c>
      <c r="Y371" s="19" t="s">
        <v>339</v>
      </c>
      <c r="Z371" s="19" t="s">
        <v>258</v>
      </c>
      <c r="AA371" s="14" t="s">
        <v>971</v>
      </c>
      <c r="AB371" s="14" t="s">
        <v>972</v>
      </c>
      <c r="AC371" s="14">
        <v>6012220644</v>
      </c>
      <c r="AD371" s="14" t="s">
        <v>973</v>
      </c>
      <c r="AE371" s="82">
        <v>0</v>
      </c>
      <c r="AF371" s="82">
        <v>0</v>
      </c>
      <c r="AG371" s="82">
        <v>0</v>
      </c>
      <c r="AH371" s="82">
        <v>0</v>
      </c>
      <c r="AI371" s="82">
        <v>0</v>
      </c>
      <c r="AJ371" s="82">
        <v>0</v>
      </c>
      <c r="AK371" s="82">
        <v>0</v>
      </c>
      <c r="AL371" s="82">
        <v>0</v>
      </c>
      <c r="AM371" s="82">
        <v>0</v>
      </c>
      <c r="AN371" s="82">
        <v>0</v>
      </c>
      <c r="AO371" s="82">
        <v>0</v>
      </c>
      <c r="AP371" s="82">
        <v>0</v>
      </c>
      <c r="AQ371" s="82">
        <v>16275304</v>
      </c>
      <c r="AR371" s="82">
        <v>0</v>
      </c>
      <c r="AS371" s="82">
        <v>0</v>
      </c>
      <c r="AT371" s="82">
        <v>3255000</v>
      </c>
      <c r="AU371" s="82">
        <v>0</v>
      </c>
      <c r="AV371" s="82">
        <v>3255000</v>
      </c>
      <c r="AW371" s="82">
        <v>0</v>
      </c>
      <c r="AX371" s="82">
        <v>3255000</v>
      </c>
      <c r="AY371" s="82">
        <v>0</v>
      </c>
      <c r="AZ371" s="82">
        <v>3255000</v>
      </c>
      <c r="BA371" s="82">
        <v>0</v>
      </c>
      <c r="BB371" s="82">
        <v>3255304</v>
      </c>
      <c r="BC371" s="82">
        <f t="shared" ref="BC371:BD371" si="729">AE371+AG371+AI371+AK371+AM371+AO371+AQ371+AS371+AU371+AW371+AY371+BA371</f>
        <v>16275304</v>
      </c>
      <c r="BD371" s="82">
        <f t="shared" si="729"/>
        <v>16275304</v>
      </c>
      <c r="BE371" s="83">
        <f t="shared" si="538"/>
        <v>0</v>
      </c>
      <c r="BF371" s="83">
        <f t="shared" si="539"/>
        <v>0</v>
      </c>
      <c r="BG371" s="14" t="str">
        <f ca="1">IFERROR(__xludf.DUMMYFUNCTION("REGEXEXTRACT(O365,""^\S+\s(.+)$"")"),"Prestar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71" s="23"/>
      <c r="BI371" s="23"/>
      <c r="BJ371" s="23"/>
      <c r="BK371" s="23"/>
      <c r="BL371" s="23"/>
      <c r="BM371" s="23"/>
      <c r="BN371" s="23"/>
      <c r="BO371" s="23"/>
      <c r="BP371" s="23"/>
      <c r="BQ371" s="23"/>
      <c r="BR371" s="23"/>
      <c r="BS371" s="23"/>
      <c r="BT371" s="23">
        <v>16275304</v>
      </c>
      <c r="BU371" s="23"/>
      <c r="BV371" s="23"/>
      <c r="BW371" s="23">
        <v>3255000</v>
      </c>
      <c r="BX371" s="23"/>
      <c r="BY371" s="23">
        <v>3255000</v>
      </c>
      <c r="BZ371" s="23"/>
      <c r="CA371" s="23">
        <v>3255000</v>
      </c>
      <c r="CB371" s="23"/>
      <c r="CC371" s="23">
        <v>3255000</v>
      </c>
      <c r="CD371" s="23"/>
      <c r="CE371" s="23">
        <v>3255304</v>
      </c>
      <c r="CF371" s="28"/>
      <c r="CG371" s="28"/>
      <c r="CH371" s="25">
        <f t="shared" ref="CH371:CI371" si="730">BH371+BJ371+BL371+BN371+BP371+BR371+BT371+BV371+BX371+BZ371+CB371+CD371+CF371</f>
        <v>16275304</v>
      </c>
      <c r="CI371" s="25">
        <f t="shared" si="730"/>
        <v>16275304</v>
      </c>
      <c r="CJ371" s="26">
        <f t="shared" si="518"/>
        <v>0</v>
      </c>
      <c r="CK371" s="26">
        <f t="shared" si="519"/>
        <v>0</v>
      </c>
    </row>
    <row r="372" spans="1:89" ht="90" customHeight="1" x14ac:dyDescent="0.3">
      <c r="A372" s="13" t="s">
        <v>248</v>
      </c>
      <c r="B372" s="14" t="s">
        <v>30</v>
      </c>
      <c r="C372" s="15" t="s">
        <v>967</v>
      </c>
      <c r="D372" s="14" t="s">
        <v>60</v>
      </c>
      <c r="E372" s="13" t="s">
        <v>250</v>
      </c>
      <c r="F372" s="13" t="s">
        <v>250</v>
      </c>
      <c r="G372" s="14" t="s">
        <v>546</v>
      </c>
      <c r="H372" s="13" t="s">
        <v>1090</v>
      </c>
      <c r="I372" s="15" t="s">
        <v>1000</v>
      </c>
      <c r="J372" s="14" t="s">
        <v>15</v>
      </c>
      <c r="K372" s="15" t="s">
        <v>70</v>
      </c>
      <c r="L372" s="14" t="s">
        <v>277</v>
      </c>
      <c r="M372" s="14" t="s">
        <v>31</v>
      </c>
      <c r="N372" s="14" t="s">
        <v>278</v>
      </c>
      <c r="O372" s="85" t="s">
        <v>1091</v>
      </c>
      <c r="P372" s="14" t="s">
        <v>549</v>
      </c>
      <c r="Q372" s="14" t="s">
        <v>549</v>
      </c>
      <c r="R372" s="14" t="s">
        <v>280</v>
      </c>
      <c r="S372" s="17">
        <v>12</v>
      </c>
      <c r="T372" s="14" t="s">
        <v>256</v>
      </c>
      <c r="U372" s="14" t="s">
        <v>347</v>
      </c>
      <c r="V372" s="14" t="s">
        <v>112</v>
      </c>
      <c r="W372" s="18">
        <v>500000000</v>
      </c>
      <c r="X372" s="18">
        <v>500000000</v>
      </c>
      <c r="Y372" s="19" t="s">
        <v>339</v>
      </c>
      <c r="Z372" s="19" t="s">
        <v>258</v>
      </c>
      <c r="AA372" s="14" t="s">
        <v>971</v>
      </c>
      <c r="AB372" s="14" t="s">
        <v>972</v>
      </c>
      <c r="AC372" s="14">
        <v>6012220644</v>
      </c>
      <c r="AD372" s="14" t="s">
        <v>973</v>
      </c>
      <c r="AE372" s="82">
        <v>0</v>
      </c>
      <c r="AF372" s="82">
        <v>0</v>
      </c>
      <c r="AG372" s="82">
        <v>0</v>
      </c>
      <c r="AH372" s="82">
        <v>0</v>
      </c>
      <c r="AI372" s="82">
        <v>0</v>
      </c>
      <c r="AJ372" s="82">
        <v>0</v>
      </c>
      <c r="AK372" s="82">
        <v>500000000</v>
      </c>
      <c r="AL372" s="82">
        <v>0</v>
      </c>
      <c r="AM372" s="82">
        <v>0</v>
      </c>
      <c r="AN372" s="82">
        <v>0</v>
      </c>
      <c r="AO372" s="82">
        <v>0</v>
      </c>
      <c r="AP372" s="82">
        <v>500000000</v>
      </c>
      <c r="AQ372" s="82">
        <v>0</v>
      </c>
      <c r="AR372" s="82">
        <v>0</v>
      </c>
      <c r="AS372" s="82">
        <v>0</v>
      </c>
      <c r="AT372" s="82">
        <v>0</v>
      </c>
      <c r="AU372" s="82">
        <v>0</v>
      </c>
      <c r="AV372" s="82">
        <v>0</v>
      </c>
      <c r="AW372" s="82">
        <v>0</v>
      </c>
      <c r="AX372" s="82">
        <v>0</v>
      </c>
      <c r="AY372" s="82">
        <v>0</v>
      </c>
      <c r="AZ372" s="82">
        <v>0</v>
      </c>
      <c r="BA372" s="82">
        <v>0</v>
      </c>
      <c r="BB372" s="82">
        <v>0</v>
      </c>
      <c r="BC372" s="82">
        <f t="shared" ref="BC372:BD372" si="731">AE372+AG372+AI372+AK372+AM372+AO372+AQ372+AS372+AU372+AW372+AY372+BA372</f>
        <v>500000000</v>
      </c>
      <c r="BD372" s="82">
        <f t="shared" si="731"/>
        <v>500000000</v>
      </c>
      <c r="BE372" s="83">
        <f t="shared" si="538"/>
        <v>0</v>
      </c>
      <c r="BF372" s="83">
        <f t="shared" si="539"/>
        <v>0</v>
      </c>
      <c r="BG372" s="14" t="str">
        <f ca="1">IFERROR(__xludf.DUMMYFUNCTION("REGEXEXTRACT(O366,""^\S+\s(.+)$"")"),"Adquirir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372" s="23"/>
      <c r="BI372" s="23"/>
      <c r="BJ372" s="23"/>
      <c r="BK372" s="23"/>
      <c r="BL372" s="23"/>
      <c r="BM372" s="23"/>
      <c r="BN372" s="23">
        <v>500000000</v>
      </c>
      <c r="BO372" s="23"/>
      <c r="BP372" s="23"/>
      <c r="BQ372" s="23"/>
      <c r="BR372" s="23"/>
      <c r="BS372" s="23">
        <v>500000000</v>
      </c>
      <c r="BT372" s="23"/>
      <c r="BU372" s="23"/>
      <c r="BV372" s="23"/>
      <c r="BW372" s="23"/>
      <c r="BX372" s="23"/>
      <c r="BY372" s="23"/>
      <c r="BZ372" s="23"/>
      <c r="CA372" s="23"/>
      <c r="CB372" s="23"/>
      <c r="CC372" s="23"/>
      <c r="CD372" s="23"/>
      <c r="CE372" s="23"/>
      <c r="CF372" s="28"/>
      <c r="CG372" s="28"/>
      <c r="CH372" s="25">
        <f t="shared" ref="CH372:CI372" si="732">BH372+BJ372+BL372+BN372+BP372+BR372+BT372+BV372+BX372+BZ372+CB372+CD372+CF372</f>
        <v>500000000</v>
      </c>
      <c r="CI372" s="25">
        <f t="shared" si="732"/>
        <v>500000000</v>
      </c>
      <c r="CJ372" s="26">
        <f t="shared" si="518"/>
        <v>0</v>
      </c>
      <c r="CK372" s="26">
        <f t="shared" si="519"/>
        <v>0</v>
      </c>
    </row>
    <row r="373" spans="1:89" ht="90" customHeight="1" x14ac:dyDescent="0.3">
      <c r="A373" s="13" t="s">
        <v>248</v>
      </c>
      <c r="B373" s="14" t="s">
        <v>30</v>
      </c>
      <c r="C373" s="15" t="s">
        <v>967</v>
      </c>
      <c r="D373" s="14" t="s">
        <v>60</v>
      </c>
      <c r="E373" s="13" t="s">
        <v>250</v>
      </c>
      <c r="F373" s="13" t="s">
        <v>250</v>
      </c>
      <c r="G373" s="14">
        <v>68</v>
      </c>
      <c r="H373" s="13" t="s">
        <v>1092</v>
      </c>
      <c r="I373" s="15" t="s">
        <v>987</v>
      </c>
      <c r="J373" s="14" t="s">
        <v>4</v>
      </c>
      <c r="K373" s="15" t="s">
        <v>75</v>
      </c>
      <c r="L373" s="14">
        <v>80111713</v>
      </c>
      <c r="M373" s="14" t="s">
        <v>33</v>
      </c>
      <c r="N373" s="14" t="s">
        <v>767</v>
      </c>
      <c r="O373" s="15" t="s">
        <v>1093</v>
      </c>
      <c r="P373" s="14" t="s">
        <v>473</v>
      </c>
      <c r="Q373" s="14" t="s">
        <v>473</v>
      </c>
      <c r="R373" s="14" t="s">
        <v>468</v>
      </c>
      <c r="S373" s="17">
        <v>12</v>
      </c>
      <c r="T373" s="14" t="s">
        <v>256</v>
      </c>
      <c r="U373" s="14" t="s">
        <v>282</v>
      </c>
      <c r="V373" s="14" t="s">
        <v>112</v>
      </c>
      <c r="W373" s="18">
        <v>27357280</v>
      </c>
      <c r="X373" s="18">
        <v>27357280</v>
      </c>
      <c r="Y373" s="19" t="s">
        <v>339</v>
      </c>
      <c r="Z373" s="19" t="s">
        <v>258</v>
      </c>
      <c r="AA373" s="14" t="s">
        <v>971</v>
      </c>
      <c r="AB373" s="14" t="s">
        <v>972</v>
      </c>
      <c r="AC373" s="14">
        <v>6012220644</v>
      </c>
      <c r="AD373" s="14" t="s">
        <v>973</v>
      </c>
      <c r="AE373" s="82">
        <v>0</v>
      </c>
      <c r="AF373" s="82">
        <v>0</v>
      </c>
      <c r="AG373" s="82">
        <v>0</v>
      </c>
      <c r="AH373" s="82">
        <v>0</v>
      </c>
      <c r="AI373" s="82">
        <v>0</v>
      </c>
      <c r="AJ373" s="82">
        <v>0</v>
      </c>
      <c r="AK373" s="82">
        <v>0</v>
      </c>
      <c r="AL373" s="82">
        <v>0</v>
      </c>
      <c r="AM373" s="82">
        <v>0</v>
      </c>
      <c r="AN373" s="82">
        <v>0</v>
      </c>
      <c r="AO373" s="82">
        <v>0</v>
      </c>
      <c r="AP373" s="82">
        <v>0</v>
      </c>
      <c r="AQ373" s="82">
        <v>0</v>
      </c>
      <c r="AR373" s="82">
        <v>0</v>
      </c>
      <c r="AS373" s="82">
        <v>0</v>
      </c>
      <c r="AT373" s="82">
        <v>0</v>
      </c>
      <c r="AU373" s="82">
        <v>0</v>
      </c>
      <c r="AV373" s="82">
        <v>0</v>
      </c>
      <c r="AW373" s="82">
        <v>0</v>
      </c>
      <c r="AX373" s="82">
        <v>0</v>
      </c>
      <c r="AY373" s="82">
        <v>27357280</v>
      </c>
      <c r="AZ373" s="82">
        <v>0</v>
      </c>
      <c r="BA373" s="82">
        <v>0</v>
      </c>
      <c r="BB373" s="82">
        <v>27357280</v>
      </c>
      <c r="BC373" s="82">
        <f t="shared" ref="BC373:BD373" si="733">AE373+AG373+AI373+AK373+AM373+AO373+AQ373+AS373+AU373+AW373+AY373+BA373</f>
        <v>27357280</v>
      </c>
      <c r="BD373" s="82">
        <f t="shared" si="733"/>
        <v>27357280</v>
      </c>
      <c r="BE373" s="83">
        <f t="shared" si="538"/>
        <v>0</v>
      </c>
      <c r="BF373" s="83">
        <f t="shared" si="539"/>
        <v>0</v>
      </c>
      <c r="BG373" s="14" t="str">
        <f ca="1">IFERROR(__xludf.DUMMYFUNCTION("REGEXEXTRACT(O367,""^\S+\s(.+)$"")"),"Contratar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73" s="23"/>
      <c r="BI373" s="23"/>
      <c r="BJ373" s="23"/>
      <c r="BK373" s="23"/>
      <c r="BL373" s="23"/>
      <c r="BM373" s="23"/>
      <c r="BN373" s="23"/>
      <c r="BO373" s="23"/>
      <c r="BP373" s="23"/>
      <c r="BQ373" s="23"/>
      <c r="BR373" s="23"/>
      <c r="BS373" s="23"/>
      <c r="BT373" s="23"/>
      <c r="BU373" s="23"/>
      <c r="BV373" s="23"/>
      <c r="BW373" s="23"/>
      <c r="BX373" s="23"/>
      <c r="BY373" s="23"/>
      <c r="BZ373" s="23"/>
      <c r="CA373" s="23"/>
      <c r="CB373" s="23">
        <v>27357280</v>
      </c>
      <c r="CC373" s="23"/>
      <c r="CD373" s="23"/>
      <c r="CE373" s="23">
        <v>27357280</v>
      </c>
      <c r="CF373" s="28"/>
      <c r="CG373" s="28"/>
      <c r="CH373" s="25">
        <f t="shared" ref="CH373:CI373" si="734">BH373+BJ373+BL373+BN373+BP373+BR373+BT373+BV373+BX373+BZ373+CB373+CD373+CF373</f>
        <v>27357280</v>
      </c>
      <c r="CI373" s="25">
        <f t="shared" si="734"/>
        <v>27357280</v>
      </c>
      <c r="CJ373" s="26">
        <f t="shared" si="518"/>
        <v>0</v>
      </c>
      <c r="CK373" s="26">
        <f t="shared" si="519"/>
        <v>0</v>
      </c>
    </row>
    <row r="374" spans="1:89" ht="90" customHeight="1" x14ac:dyDescent="0.3">
      <c r="A374" s="13" t="s">
        <v>248</v>
      </c>
      <c r="B374" s="14" t="s">
        <v>30</v>
      </c>
      <c r="C374" s="15" t="s">
        <v>967</v>
      </c>
      <c r="D374" s="14" t="s">
        <v>60</v>
      </c>
      <c r="E374" s="13" t="s">
        <v>250</v>
      </c>
      <c r="F374" s="13" t="s">
        <v>250</v>
      </c>
      <c r="G374" s="14">
        <v>68</v>
      </c>
      <c r="H374" s="13" t="s">
        <v>1094</v>
      </c>
      <c r="I374" s="15" t="s">
        <v>969</v>
      </c>
      <c r="J374" s="14" t="s">
        <v>9</v>
      </c>
      <c r="K374" s="15" t="s">
        <v>74</v>
      </c>
      <c r="L374" s="14">
        <v>80111713</v>
      </c>
      <c r="M374" s="14" t="s">
        <v>32</v>
      </c>
      <c r="N374" s="14" t="s">
        <v>767</v>
      </c>
      <c r="O374" s="15" t="s">
        <v>1095</v>
      </c>
      <c r="P374" s="14" t="s">
        <v>473</v>
      </c>
      <c r="Q374" s="14" t="s">
        <v>473</v>
      </c>
      <c r="R374" s="14" t="s">
        <v>468</v>
      </c>
      <c r="S374" s="17">
        <v>12</v>
      </c>
      <c r="T374" s="14" t="s">
        <v>256</v>
      </c>
      <c r="U374" s="14" t="s">
        <v>282</v>
      </c>
      <c r="V374" s="14" t="s">
        <v>112</v>
      </c>
      <c r="W374" s="18">
        <v>286252</v>
      </c>
      <c r="X374" s="18">
        <v>286252</v>
      </c>
      <c r="Y374" s="19" t="s">
        <v>339</v>
      </c>
      <c r="Z374" s="19" t="s">
        <v>258</v>
      </c>
      <c r="AA374" s="14" t="s">
        <v>971</v>
      </c>
      <c r="AB374" s="14" t="s">
        <v>972</v>
      </c>
      <c r="AC374" s="14">
        <v>6012220644</v>
      </c>
      <c r="AD374" s="14" t="s">
        <v>973</v>
      </c>
      <c r="AE374" s="82">
        <v>0</v>
      </c>
      <c r="AF374" s="82">
        <v>0</v>
      </c>
      <c r="AG374" s="82">
        <v>0</v>
      </c>
      <c r="AH374" s="82">
        <v>0</v>
      </c>
      <c r="AI374" s="82">
        <v>0</v>
      </c>
      <c r="AJ374" s="82">
        <v>0</v>
      </c>
      <c r="AK374" s="82">
        <v>0</v>
      </c>
      <c r="AL374" s="82">
        <v>0</v>
      </c>
      <c r="AM374" s="82">
        <v>0</v>
      </c>
      <c r="AN374" s="82">
        <v>0</v>
      </c>
      <c r="AO374" s="82">
        <v>0</v>
      </c>
      <c r="AP374" s="82">
        <v>0</v>
      </c>
      <c r="AQ374" s="82">
        <v>0</v>
      </c>
      <c r="AR374" s="82">
        <v>0</v>
      </c>
      <c r="AS374" s="82">
        <v>0</v>
      </c>
      <c r="AT374" s="82">
        <v>0</v>
      </c>
      <c r="AU374" s="82">
        <v>0</v>
      </c>
      <c r="AV374" s="82">
        <v>0</v>
      </c>
      <c r="AW374" s="82">
        <v>0</v>
      </c>
      <c r="AX374" s="82">
        <v>0</v>
      </c>
      <c r="AY374" s="82">
        <v>286252</v>
      </c>
      <c r="AZ374" s="82">
        <v>0</v>
      </c>
      <c r="BA374" s="82">
        <v>0</v>
      </c>
      <c r="BB374" s="82">
        <v>286252</v>
      </c>
      <c r="BC374" s="82">
        <f t="shared" ref="BC374:BD374" si="735">AE374+AG374+AI374+AK374+AM374+AO374+AQ374+AS374+AU374+AW374+AY374+BA374</f>
        <v>286252</v>
      </c>
      <c r="BD374" s="82">
        <f t="shared" si="735"/>
        <v>286252</v>
      </c>
      <c r="BE374" s="83">
        <f t="shared" si="538"/>
        <v>0</v>
      </c>
      <c r="BF374" s="83">
        <f t="shared" si="539"/>
        <v>0</v>
      </c>
      <c r="BG374" s="14" t="str">
        <f ca="1">IFERROR(__xludf.DUMMYFUNCTION("REGEXEXTRACT(O368,""^\S+\s(.+)$"")"),"Contratar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74" s="23"/>
      <c r="BI374" s="23"/>
      <c r="BJ374" s="23"/>
      <c r="BK374" s="23"/>
      <c r="BL374" s="23"/>
      <c r="BM374" s="23"/>
      <c r="BN374" s="23"/>
      <c r="BO374" s="23"/>
      <c r="BP374" s="23"/>
      <c r="BQ374" s="23"/>
      <c r="BR374" s="23"/>
      <c r="BS374" s="23"/>
      <c r="BT374" s="23"/>
      <c r="BU374" s="23"/>
      <c r="BV374" s="23"/>
      <c r="BW374" s="23"/>
      <c r="BX374" s="23"/>
      <c r="BY374" s="23"/>
      <c r="BZ374" s="23"/>
      <c r="CA374" s="23"/>
      <c r="CB374" s="23">
        <v>286252</v>
      </c>
      <c r="CC374" s="23"/>
      <c r="CD374" s="23"/>
      <c r="CE374" s="23">
        <v>286252</v>
      </c>
      <c r="CF374" s="28"/>
      <c r="CG374" s="28"/>
      <c r="CH374" s="25">
        <f t="shared" ref="CH374:CI374" si="736">BH374+BJ374+BL374+BN374+BP374+BR374+BT374+BV374+BX374+BZ374+CB374+CD374+CF374</f>
        <v>286252</v>
      </c>
      <c r="CI374" s="25">
        <f t="shared" si="736"/>
        <v>286252</v>
      </c>
      <c r="CJ374" s="26">
        <f t="shared" si="518"/>
        <v>0</v>
      </c>
      <c r="CK374" s="26">
        <f t="shared" si="519"/>
        <v>0</v>
      </c>
    </row>
    <row r="375" spans="1:89" ht="90" customHeight="1" x14ac:dyDescent="0.3">
      <c r="A375" s="13" t="s">
        <v>248</v>
      </c>
      <c r="B375" s="14" t="s">
        <v>30</v>
      </c>
      <c r="C375" s="15" t="s">
        <v>967</v>
      </c>
      <c r="D375" s="14" t="s">
        <v>60</v>
      </c>
      <c r="E375" s="13" t="s">
        <v>250</v>
      </c>
      <c r="F375" s="13" t="s">
        <v>250</v>
      </c>
      <c r="G375" s="14">
        <v>68</v>
      </c>
      <c r="H375" s="13" t="s">
        <v>1096</v>
      </c>
      <c r="I375" s="15" t="s">
        <v>1000</v>
      </c>
      <c r="J375" s="14" t="s">
        <v>15</v>
      </c>
      <c r="K375" s="15" t="s">
        <v>70</v>
      </c>
      <c r="L375" s="14">
        <v>80111713</v>
      </c>
      <c r="M375" s="14" t="s">
        <v>31</v>
      </c>
      <c r="N375" s="14" t="s">
        <v>767</v>
      </c>
      <c r="O375" s="15" t="s">
        <v>1097</v>
      </c>
      <c r="P375" s="14" t="s">
        <v>473</v>
      </c>
      <c r="Q375" s="14" t="s">
        <v>473</v>
      </c>
      <c r="R375" s="14" t="s">
        <v>468</v>
      </c>
      <c r="S375" s="17">
        <v>12</v>
      </c>
      <c r="T375" s="14" t="s">
        <v>256</v>
      </c>
      <c r="U375" s="14" t="s">
        <v>282</v>
      </c>
      <c r="V375" s="14" t="s">
        <v>112</v>
      </c>
      <c r="W375" s="18">
        <v>18591085</v>
      </c>
      <c r="X375" s="18">
        <v>18591085</v>
      </c>
      <c r="Y375" s="19" t="s">
        <v>339</v>
      </c>
      <c r="Z375" s="19" t="s">
        <v>258</v>
      </c>
      <c r="AA375" s="14" t="s">
        <v>971</v>
      </c>
      <c r="AB375" s="14" t="s">
        <v>972</v>
      </c>
      <c r="AC375" s="14">
        <v>6012220644</v>
      </c>
      <c r="AD375" s="14" t="s">
        <v>973</v>
      </c>
      <c r="AE375" s="82">
        <v>0</v>
      </c>
      <c r="AF375" s="82">
        <v>0</v>
      </c>
      <c r="AG375" s="82">
        <v>0</v>
      </c>
      <c r="AH375" s="82">
        <v>0</v>
      </c>
      <c r="AI375" s="82">
        <v>0</v>
      </c>
      <c r="AJ375" s="82">
        <v>0</v>
      </c>
      <c r="AK375" s="82">
        <v>0</v>
      </c>
      <c r="AL375" s="82">
        <v>0</v>
      </c>
      <c r="AM375" s="82">
        <v>0</v>
      </c>
      <c r="AN375" s="82">
        <v>0</v>
      </c>
      <c r="AO375" s="82">
        <v>0</v>
      </c>
      <c r="AP375" s="82">
        <v>0</v>
      </c>
      <c r="AQ375" s="82">
        <v>0</v>
      </c>
      <c r="AR375" s="82">
        <v>0</v>
      </c>
      <c r="AS375" s="82">
        <v>0</v>
      </c>
      <c r="AT375" s="82">
        <v>0</v>
      </c>
      <c r="AU375" s="82">
        <v>0</v>
      </c>
      <c r="AV375" s="82">
        <v>0</v>
      </c>
      <c r="AW375" s="82">
        <v>0</v>
      </c>
      <c r="AX375" s="82">
        <v>0</v>
      </c>
      <c r="AY375" s="82">
        <v>18591085</v>
      </c>
      <c r="AZ375" s="82">
        <v>0</v>
      </c>
      <c r="BA375" s="82">
        <v>0</v>
      </c>
      <c r="BB375" s="82">
        <v>18591085</v>
      </c>
      <c r="BC375" s="82">
        <f t="shared" ref="BC375:BD375" si="737">AE375+AG375+AI375+AK375+AM375+AO375+AQ375+AS375+AU375+AW375+AY375+BA375</f>
        <v>18591085</v>
      </c>
      <c r="BD375" s="82">
        <f t="shared" si="737"/>
        <v>18591085</v>
      </c>
      <c r="BE375" s="83">
        <f t="shared" si="538"/>
        <v>0</v>
      </c>
      <c r="BF375" s="83">
        <f t="shared" si="539"/>
        <v>0</v>
      </c>
      <c r="BG375" s="14" t="str">
        <f ca="1">IFERROR(__xludf.DUMMYFUNCTION("REGEXEXTRACT(O369,""^\S+\s(.+)$"")"),"Contratar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75" s="23"/>
      <c r="BI375" s="23"/>
      <c r="BJ375" s="23"/>
      <c r="BK375" s="23"/>
      <c r="BL375" s="23"/>
      <c r="BM375" s="23"/>
      <c r="BN375" s="23"/>
      <c r="BO375" s="23"/>
      <c r="BP375" s="23"/>
      <c r="BQ375" s="23"/>
      <c r="BR375" s="23"/>
      <c r="BS375" s="23"/>
      <c r="BT375" s="23"/>
      <c r="BU375" s="23"/>
      <c r="BV375" s="23"/>
      <c r="BW375" s="23"/>
      <c r="BX375" s="23"/>
      <c r="BY375" s="23"/>
      <c r="BZ375" s="23"/>
      <c r="CA375" s="23"/>
      <c r="CB375" s="23">
        <v>18591085</v>
      </c>
      <c r="CC375" s="23"/>
      <c r="CD375" s="23"/>
      <c r="CE375" s="23">
        <v>18591085</v>
      </c>
      <c r="CF375" s="28"/>
      <c r="CG375" s="28"/>
      <c r="CH375" s="25">
        <f t="shared" ref="CH375:CI375" si="738">BH375+BJ375+BL375+BN375+BP375+BR375+BT375+BV375+BX375+BZ375+CB375+CD375+CF375</f>
        <v>18591085</v>
      </c>
      <c r="CI375" s="25">
        <f t="shared" si="738"/>
        <v>18591085</v>
      </c>
      <c r="CJ375" s="26">
        <f t="shared" si="518"/>
        <v>0</v>
      </c>
      <c r="CK375" s="26">
        <f t="shared" si="519"/>
        <v>0</v>
      </c>
    </row>
    <row r="376" spans="1:89" ht="90" customHeight="1" x14ac:dyDescent="0.3">
      <c r="A376" s="13" t="s">
        <v>248</v>
      </c>
      <c r="B376" s="14" t="s">
        <v>30</v>
      </c>
      <c r="C376" s="15" t="s">
        <v>967</v>
      </c>
      <c r="D376" s="14" t="s">
        <v>60</v>
      </c>
      <c r="E376" s="13" t="s">
        <v>250</v>
      </c>
      <c r="F376" s="13" t="s">
        <v>250</v>
      </c>
      <c r="G376" s="14">
        <v>68</v>
      </c>
      <c r="H376" s="13" t="s">
        <v>1098</v>
      </c>
      <c r="I376" s="15" t="s">
        <v>969</v>
      </c>
      <c r="J376" s="14" t="s">
        <v>9</v>
      </c>
      <c r="K376" s="15" t="s">
        <v>74</v>
      </c>
      <c r="L376" s="14">
        <v>80111713</v>
      </c>
      <c r="M376" s="14" t="s">
        <v>32</v>
      </c>
      <c r="N376" s="14" t="s">
        <v>767</v>
      </c>
      <c r="O376" s="15" t="s">
        <v>1099</v>
      </c>
      <c r="P376" s="14" t="s">
        <v>473</v>
      </c>
      <c r="Q376" s="14" t="s">
        <v>473</v>
      </c>
      <c r="R376" s="14" t="s">
        <v>468</v>
      </c>
      <c r="S376" s="17">
        <v>12</v>
      </c>
      <c r="T376" s="14" t="s">
        <v>256</v>
      </c>
      <c r="U376" s="14" t="s">
        <v>282</v>
      </c>
      <c r="V376" s="14" t="s">
        <v>113</v>
      </c>
      <c r="W376" s="18">
        <v>3765383</v>
      </c>
      <c r="X376" s="18">
        <v>3765383</v>
      </c>
      <c r="Y376" s="19" t="s">
        <v>339</v>
      </c>
      <c r="Z376" s="19" t="s">
        <v>258</v>
      </c>
      <c r="AA376" s="14" t="s">
        <v>971</v>
      </c>
      <c r="AB376" s="14" t="s">
        <v>972</v>
      </c>
      <c r="AC376" s="14">
        <v>6012220644</v>
      </c>
      <c r="AD376" s="14" t="s">
        <v>973</v>
      </c>
      <c r="AE376" s="82">
        <v>0</v>
      </c>
      <c r="AF376" s="82">
        <v>0</v>
      </c>
      <c r="AG376" s="82">
        <v>0</v>
      </c>
      <c r="AH376" s="82">
        <v>0</v>
      </c>
      <c r="AI376" s="82">
        <v>0</v>
      </c>
      <c r="AJ376" s="82">
        <v>0</v>
      </c>
      <c r="AK376" s="82">
        <v>0</v>
      </c>
      <c r="AL376" s="82">
        <v>0</v>
      </c>
      <c r="AM376" s="82">
        <v>0</v>
      </c>
      <c r="AN376" s="82">
        <v>0</v>
      </c>
      <c r="AO376" s="82">
        <v>0</v>
      </c>
      <c r="AP376" s="82">
        <v>0</v>
      </c>
      <c r="AQ376" s="82">
        <v>0</v>
      </c>
      <c r="AR376" s="82">
        <v>0</v>
      </c>
      <c r="AS376" s="82">
        <v>0</v>
      </c>
      <c r="AT376" s="82">
        <v>0</v>
      </c>
      <c r="AU376" s="82">
        <v>0</v>
      </c>
      <c r="AV376" s="82">
        <v>0</v>
      </c>
      <c r="AW376" s="82">
        <v>0</v>
      </c>
      <c r="AX376" s="82">
        <v>0</v>
      </c>
      <c r="AY376" s="82">
        <v>3765383</v>
      </c>
      <c r="AZ376" s="82">
        <v>0</v>
      </c>
      <c r="BA376" s="82">
        <v>0</v>
      </c>
      <c r="BB376" s="82">
        <v>3765383</v>
      </c>
      <c r="BC376" s="82">
        <f t="shared" ref="BC376:BD376" si="739">AE376+AG376+AI376+AK376+AM376+AO376+AQ376+AS376+AU376+AW376+AY376+BA376</f>
        <v>3765383</v>
      </c>
      <c r="BD376" s="82">
        <f t="shared" si="739"/>
        <v>3765383</v>
      </c>
      <c r="BE376" s="83">
        <f t="shared" si="538"/>
        <v>0</v>
      </c>
      <c r="BF376" s="83">
        <f t="shared" si="539"/>
        <v>0</v>
      </c>
      <c r="BG376" s="14" t="str">
        <f ca="1">IFERROR(__xludf.DUMMYFUNCTION("REGEXEXTRACT(O370,""^\S+\s(.+)$"")"),"Contratar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76" s="23"/>
      <c r="BI376" s="23"/>
      <c r="BJ376" s="23"/>
      <c r="BK376" s="23"/>
      <c r="BL376" s="23"/>
      <c r="BM376" s="23"/>
      <c r="BN376" s="23"/>
      <c r="BO376" s="23"/>
      <c r="BP376" s="23"/>
      <c r="BQ376" s="23"/>
      <c r="BR376" s="23"/>
      <c r="BS376" s="23"/>
      <c r="BT376" s="23"/>
      <c r="BU376" s="23"/>
      <c r="BV376" s="23"/>
      <c r="BW376" s="23"/>
      <c r="BX376" s="23"/>
      <c r="BY376" s="23"/>
      <c r="BZ376" s="23"/>
      <c r="CA376" s="23"/>
      <c r="CB376" s="23">
        <v>3765383</v>
      </c>
      <c r="CC376" s="23"/>
      <c r="CD376" s="23"/>
      <c r="CE376" s="23">
        <v>3765383</v>
      </c>
      <c r="CF376" s="28"/>
      <c r="CG376" s="28"/>
      <c r="CH376" s="25">
        <f t="shared" ref="CH376:CI376" si="740">BH376+BJ376+BL376+BN376+BP376+BR376+BT376+BV376+BX376+BZ376+CB376+CD376+CF376</f>
        <v>3765383</v>
      </c>
      <c r="CI376" s="25">
        <f t="shared" si="740"/>
        <v>3765383</v>
      </c>
      <c r="CJ376" s="26">
        <f t="shared" si="518"/>
        <v>0</v>
      </c>
      <c r="CK376" s="26">
        <f t="shared" si="519"/>
        <v>0</v>
      </c>
    </row>
    <row r="377" spans="1:89" ht="90" customHeight="1" x14ac:dyDescent="0.3">
      <c r="A377" s="13" t="s">
        <v>248</v>
      </c>
      <c r="B377" s="14" t="s">
        <v>30</v>
      </c>
      <c r="C377" s="15" t="s">
        <v>967</v>
      </c>
      <c r="D377" s="14" t="s">
        <v>60</v>
      </c>
      <c r="E377" s="13" t="s">
        <v>250</v>
      </c>
      <c r="F377" s="13" t="s">
        <v>250</v>
      </c>
      <c r="G377" s="29" t="s">
        <v>335</v>
      </c>
      <c r="H377" s="13" t="s">
        <v>1100</v>
      </c>
      <c r="I377" s="15" t="s">
        <v>1000</v>
      </c>
      <c r="J377" s="14" t="s">
        <v>15</v>
      </c>
      <c r="K377" s="15" t="s">
        <v>71</v>
      </c>
      <c r="L377" s="14">
        <v>78111502</v>
      </c>
      <c r="M377" s="14" t="s">
        <v>31</v>
      </c>
      <c r="N377" s="14" t="s">
        <v>337</v>
      </c>
      <c r="O377" s="15" t="s">
        <v>1101</v>
      </c>
      <c r="P377" s="14" t="s">
        <v>255</v>
      </c>
      <c r="Q377" s="14" t="s">
        <v>255</v>
      </c>
      <c r="R377" s="14" t="s">
        <v>255</v>
      </c>
      <c r="S377" s="17">
        <v>11</v>
      </c>
      <c r="T377" s="14" t="s">
        <v>256</v>
      </c>
      <c r="U377" s="14" t="s">
        <v>286</v>
      </c>
      <c r="V377" s="14" t="s">
        <v>112</v>
      </c>
      <c r="W377" s="18">
        <v>100000000</v>
      </c>
      <c r="X377" s="18">
        <v>100000000</v>
      </c>
      <c r="Y377" s="19" t="s">
        <v>339</v>
      </c>
      <c r="Z377" s="19" t="s">
        <v>258</v>
      </c>
      <c r="AA377" s="14" t="s">
        <v>971</v>
      </c>
      <c r="AB377" s="14" t="s">
        <v>972</v>
      </c>
      <c r="AC377" s="14">
        <v>6012220644</v>
      </c>
      <c r="AD377" s="14" t="s">
        <v>973</v>
      </c>
      <c r="AE377" s="82">
        <v>0</v>
      </c>
      <c r="AF377" s="82">
        <v>0</v>
      </c>
      <c r="AG377" s="82">
        <v>0</v>
      </c>
      <c r="AH377" s="82">
        <v>0</v>
      </c>
      <c r="AI377" s="82">
        <v>0</v>
      </c>
      <c r="AJ377" s="82">
        <v>0</v>
      </c>
      <c r="AK377" s="82">
        <v>0</v>
      </c>
      <c r="AL377" s="82">
        <v>0</v>
      </c>
      <c r="AM377" s="82">
        <v>0</v>
      </c>
      <c r="AN377" s="82">
        <v>0</v>
      </c>
      <c r="AO377" s="82">
        <v>0</v>
      </c>
      <c r="AP377" s="82">
        <v>0</v>
      </c>
      <c r="AQ377" s="82">
        <v>0</v>
      </c>
      <c r="AR377" s="82">
        <v>0</v>
      </c>
      <c r="AS377" s="82">
        <v>0</v>
      </c>
      <c r="AT377" s="82">
        <v>0</v>
      </c>
      <c r="AU377" s="82">
        <v>100000000</v>
      </c>
      <c r="AV377" s="82">
        <v>0</v>
      </c>
      <c r="AW377" s="82">
        <v>0</v>
      </c>
      <c r="AX377" s="82">
        <v>5000000</v>
      </c>
      <c r="AY377" s="82">
        <v>0</v>
      </c>
      <c r="AZ377" s="82">
        <v>5000000</v>
      </c>
      <c r="BA377" s="82">
        <v>0</v>
      </c>
      <c r="BB377" s="82">
        <v>90000000</v>
      </c>
      <c r="BC377" s="82">
        <f t="shared" ref="BC377:BD377" si="741">AE377+AG377+AI377+AK377+AM377+AO377+AQ377+AS377+AU377+AW377+AY377+BA377</f>
        <v>100000000</v>
      </c>
      <c r="BD377" s="82">
        <f t="shared" si="741"/>
        <v>100000000</v>
      </c>
      <c r="BE377" s="83">
        <f t="shared" si="538"/>
        <v>0</v>
      </c>
      <c r="BF377" s="83">
        <f t="shared" si="539"/>
        <v>0</v>
      </c>
      <c r="BG377" s="14" t="str">
        <f ca="1">IFERROR(__xludf.DUMMYFUNCTION("REGEXEXTRACT(O371,""^\S+\s(.+)$"")"),"Adquirir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377" s="23"/>
      <c r="BI377" s="23"/>
      <c r="BJ377" s="23"/>
      <c r="BK377" s="23"/>
      <c r="BL377" s="23"/>
      <c r="BM377" s="23"/>
      <c r="BN377" s="23"/>
      <c r="BO377" s="23"/>
      <c r="BP377" s="23"/>
      <c r="BQ377" s="23"/>
      <c r="BR377" s="23"/>
      <c r="BS377" s="23"/>
      <c r="BT377" s="23"/>
      <c r="BU377" s="23"/>
      <c r="BV377" s="23"/>
      <c r="BW377" s="23"/>
      <c r="BX377" s="23">
        <v>100000000</v>
      </c>
      <c r="BY377" s="23"/>
      <c r="BZ377" s="23"/>
      <c r="CA377" s="23">
        <v>5000000</v>
      </c>
      <c r="CB377" s="23"/>
      <c r="CC377" s="23">
        <v>5000000</v>
      </c>
      <c r="CD377" s="23"/>
      <c r="CE377" s="23">
        <v>90000000</v>
      </c>
      <c r="CF377" s="28"/>
      <c r="CG377" s="28"/>
      <c r="CH377" s="25">
        <f t="shared" ref="CH377:CI377" si="742">BH377+BJ377+BL377+BN377+BP377+BR377+BT377+BV377+BX377+BZ377+CB377+CD377+CF377</f>
        <v>100000000</v>
      </c>
      <c r="CI377" s="25">
        <f t="shared" si="742"/>
        <v>100000000</v>
      </c>
      <c r="CJ377" s="26">
        <f t="shared" si="518"/>
        <v>0</v>
      </c>
      <c r="CK377" s="26">
        <f t="shared" si="519"/>
        <v>0</v>
      </c>
    </row>
    <row r="378" spans="1:89" ht="90" customHeight="1" x14ac:dyDescent="0.3">
      <c r="A378" s="13" t="s">
        <v>248</v>
      </c>
      <c r="B378" s="14" t="s">
        <v>30</v>
      </c>
      <c r="C378" s="15" t="s">
        <v>967</v>
      </c>
      <c r="D378" s="14" t="s">
        <v>60</v>
      </c>
      <c r="E378" s="13" t="s">
        <v>339</v>
      </c>
      <c r="F378" s="13" t="s">
        <v>250</v>
      </c>
      <c r="G378" s="14">
        <v>68</v>
      </c>
      <c r="H378" s="13" t="s">
        <v>1102</v>
      </c>
      <c r="I378" s="15" t="s">
        <v>1000</v>
      </c>
      <c r="J378" s="14" t="s">
        <v>15</v>
      </c>
      <c r="K378" s="15" t="s">
        <v>71</v>
      </c>
      <c r="L378" s="14" t="s">
        <v>258</v>
      </c>
      <c r="M378" s="14" t="s">
        <v>31</v>
      </c>
      <c r="N378" s="14" t="s">
        <v>341</v>
      </c>
      <c r="O378" s="15" t="s">
        <v>1103</v>
      </c>
      <c r="P378" s="14" t="s">
        <v>258</v>
      </c>
      <c r="Q378" s="14" t="s">
        <v>258</v>
      </c>
      <c r="R378" s="14" t="s">
        <v>258</v>
      </c>
      <c r="S378" s="17" t="s">
        <v>258</v>
      </c>
      <c r="T378" s="14" t="s">
        <v>258</v>
      </c>
      <c r="U378" s="14" t="s">
        <v>258</v>
      </c>
      <c r="V378" s="14" t="s">
        <v>112</v>
      </c>
      <c r="W378" s="18">
        <v>16297892</v>
      </c>
      <c r="X378" s="18">
        <v>16297892</v>
      </c>
      <c r="Y378" s="19" t="s">
        <v>339</v>
      </c>
      <c r="Z378" s="19" t="s">
        <v>258</v>
      </c>
      <c r="AA378" s="14" t="s">
        <v>971</v>
      </c>
      <c r="AB378" s="14" t="s">
        <v>972</v>
      </c>
      <c r="AC378" s="14">
        <v>6012220644</v>
      </c>
      <c r="AD378" s="14" t="s">
        <v>973</v>
      </c>
      <c r="AE378" s="82">
        <v>0</v>
      </c>
      <c r="AF378" s="82">
        <v>0</v>
      </c>
      <c r="AG378" s="82">
        <v>0</v>
      </c>
      <c r="AH378" s="82">
        <v>0</v>
      </c>
      <c r="AI378" s="82">
        <v>0</v>
      </c>
      <c r="AJ378" s="82">
        <v>0</v>
      </c>
      <c r="AK378" s="82">
        <v>1629789</v>
      </c>
      <c r="AL378" s="82">
        <v>1629789</v>
      </c>
      <c r="AM378" s="82">
        <v>1629789</v>
      </c>
      <c r="AN378" s="82">
        <v>1629789</v>
      </c>
      <c r="AO378" s="82">
        <v>1629789</v>
      </c>
      <c r="AP378" s="82">
        <v>1629789</v>
      </c>
      <c r="AQ378" s="82">
        <v>1629789</v>
      </c>
      <c r="AR378" s="82">
        <v>1629789</v>
      </c>
      <c r="AS378" s="82">
        <v>1629789</v>
      </c>
      <c r="AT378" s="82">
        <v>1629789</v>
      </c>
      <c r="AU378" s="82">
        <v>1629789</v>
      </c>
      <c r="AV378" s="82">
        <v>1629789</v>
      </c>
      <c r="AW378" s="82">
        <v>1629789</v>
      </c>
      <c r="AX378" s="82">
        <v>1629789</v>
      </c>
      <c r="AY378" s="82">
        <v>1629789</v>
      </c>
      <c r="AZ378" s="82">
        <v>1629789</v>
      </c>
      <c r="BA378" s="82">
        <v>3259580</v>
      </c>
      <c r="BB378" s="82">
        <v>3259580</v>
      </c>
      <c r="BC378" s="82">
        <f t="shared" ref="BC378:BD378" si="743">AE378+AG378+AI378+AK378+AM378+AO378+AQ378+AS378+AU378+AW378+AY378+BA378</f>
        <v>16297892</v>
      </c>
      <c r="BD378" s="82">
        <f t="shared" si="743"/>
        <v>16297892</v>
      </c>
      <c r="BE378" s="83">
        <f t="shared" si="538"/>
        <v>0</v>
      </c>
      <c r="BF378" s="83">
        <f t="shared" si="539"/>
        <v>0</v>
      </c>
      <c r="BG378" s="14" t="str">
        <f ca="1">IFERROR(__xludf.DUMMYFUNCTION("REGEXEXTRACT(O372,""^\S+\s(.+)$"")"),"Viáticos o gastos de desplazamiento")</f>
        <v>Viáticos o gastos de desplazamiento</v>
      </c>
      <c r="BH378" s="23"/>
      <c r="BI378" s="23"/>
      <c r="BJ378" s="23"/>
      <c r="BK378" s="23"/>
      <c r="BL378" s="23"/>
      <c r="BM378" s="23"/>
      <c r="BN378" s="23">
        <v>1629789</v>
      </c>
      <c r="BO378" s="23">
        <v>1629789</v>
      </c>
      <c r="BP378" s="23">
        <v>1629789</v>
      </c>
      <c r="BQ378" s="23">
        <v>1629789</v>
      </c>
      <c r="BR378" s="23">
        <v>1629789</v>
      </c>
      <c r="BS378" s="23">
        <v>1629789</v>
      </c>
      <c r="BT378" s="23">
        <v>1629789</v>
      </c>
      <c r="BU378" s="23">
        <v>1629789</v>
      </c>
      <c r="BV378" s="23">
        <v>1629789</v>
      </c>
      <c r="BW378" s="23">
        <v>1629789</v>
      </c>
      <c r="BX378" s="23">
        <v>1629789</v>
      </c>
      <c r="BY378" s="23">
        <v>1629789</v>
      </c>
      <c r="BZ378" s="23">
        <v>1629789</v>
      </c>
      <c r="CA378" s="23">
        <v>1629789</v>
      </c>
      <c r="CB378" s="23">
        <v>1629789</v>
      </c>
      <c r="CC378" s="23">
        <v>1629789</v>
      </c>
      <c r="CD378" s="23">
        <v>3259580</v>
      </c>
      <c r="CE378" s="23">
        <v>3259580</v>
      </c>
      <c r="CF378" s="28"/>
      <c r="CG378" s="28"/>
      <c r="CH378" s="25">
        <f t="shared" ref="CH378:CI378" si="744">BH378+BJ378+BL378+BN378+BP378+BR378+BT378+BV378+BX378+BZ378+CB378+CD378+CF378</f>
        <v>16297892</v>
      </c>
      <c r="CI378" s="25">
        <f t="shared" si="744"/>
        <v>16297892</v>
      </c>
      <c r="CJ378" s="26">
        <f t="shared" si="518"/>
        <v>0</v>
      </c>
      <c r="CK378" s="26">
        <f t="shared" si="519"/>
        <v>0</v>
      </c>
    </row>
    <row r="379" spans="1:89" ht="90" customHeight="1" x14ac:dyDescent="0.3">
      <c r="A379" s="13" t="s">
        <v>248</v>
      </c>
      <c r="B379" s="14" t="s">
        <v>30</v>
      </c>
      <c r="C379" s="15" t="s">
        <v>967</v>
      </c>
      <c r="D379" s="14" t="s">
        <v>60</v>
      </c>
      <c r="E379" s="13" t="s">
        <v>339</v>
      </c>
      <c r="F379" s="13" t="s">
        <v>250</v>
      </c>
      <c r="G379" s="14">
        <v>68</v>
      </c>
      <c r="H379" s="13" t="s">
        <v>1104</v>
      </c>
      <c r="I379" s="15" t="s">
        <v>1000</v>
      </c>
      <c r="J379" s="14" t="s">
        <v>15</v>
      </c>
      <c r="K379" s="15" t="s">
        <v>70</v>
      </c>
      <c r="L379" s="14" t="s">
        <v>258</v>
      </c>
      <c r="M379" s="14" t="s">
        <v>31</v>
      </c>
      <c r="N379" s="14" t="s">
        <v>341</v>
      </c>
      <c r="O379" s="15" t="s">
        <v>1105</v>
      </c>
      <c r="P379" s="14" t="s">
        <v>258</v>
      </c>
      <c r="Q379" s="14" t="s">
        <v>258</v>
      </c>
      <c r="R379" s="14" t="s">
        <v>258</v>
      </c>
      <c r="S379" s="17" t="s">
        <v>258</v>
      </c>
      <c r="T379" s="14" t="s">
        <v>258</v>
      </c>
      <c r="U379" s="14" t="s">
        <v>258</v>
      </c>
      <c r="V379" s="14" t="s">
        <v>112</v>
      </c>
      <c r="W379" s="18">
        <v>37526804</v>
      </c>
      <c r="X379" s="18">
        <v>37526804</v>
      </c>
      <c r="Y379" s="19" t="s">
        <v>339</v>
      </c>
      <c r="Z379" s="19" t="s">
        <v>258</v>
      </c>
      <c r="AA379" s="14" t="s">
        <v>971</v>
      </c>
      <c r="AB379" s="14" t="s">
        <v>972</v>
      </c>
      <c r="AC379" s="14">
        <v>6012220644</v>
      </c>
      <c r="AD379" s="14" t="s">
        <v>973</v>
      </c>
      <c r="AE379" s="82">
        <v>0</v>
      </c>
      <c r="AF379" s="82">
        <v>0</v>
      </c>
      <c r="AG379" s="82">
        <v>0</v>
      </c>
      <c r="AH379" s="82">
        <v>0</v>
      </c>
      <c r="AI379" s="82">
        <v>0</v>
      </c>
      <c r="AJ379" s="82">
        <v>0</v>
      </c>
      <c r="AK379" s="82">
        <v>3127233</v>
      </c>
      <c r="AL379" s="82">
        <v>3127233</v>
      </c>
      <c r="AM379" s="82">
        <v>3127233</v>
      </c>
      <c r="AN379" s="82">
        <v>3127233</v>
      </c>
      <c r="AO379" s="82">
        <v>3127233</v>
      </c>
      <c r="AP379" s="82">
        <v>3127233</v>
      </c>
      <c r="AQ379" s="82">
        <v>3127233</v>
      </c>
      <c r="AR379" s="82">
        <v>3127233</v>
      </c>
      <c r="AS379" s="82">
        <v>3127233</v>
      </c>
      <c r="AT379" s="82">
        <v>3127233</v>
      </c>
      <c r="AU379" s="82">
        <v>3127233</v>
      </c>
      <c r="AV379" s="82">
        <v>3127233</v>
      </c>
      <c r="AW379" s="82">
        <v>3127233</v>
      </c>
      <c r="AX379" s="82">
        <v>3127233</v>
      </c>
      <c r="AY379" s="82">
        <v>3127233</v>
      </c>
      <c r="AZ379" s="82">
        <v>3127233</v>
      </c>
      <c r="BA379" s="82">
        <v>12508940</v>
      </c>
      <c r="BB379" s="82">
        <v>12508940</v>
      </c>
      <c r="BC379" s="82">
        <f t="shared" ref="BC379:BD379" si="745">AE379+AG379+AI379+AK379+AM379+AO379+AQ379+AS379+AU379+AW379+AY379+BA379</f>
        <v>37526804</v>
      </c>
      <c r="BD379" s="82">
        <f t="shared" si="745"/>
        <v>37526804</v>
      </c>
      <c r="BE379" s="83">
        <f t="shared" si="538"/>
        <v>0</v>
      </c>
      <c r="BF379" s="83">
        <f t="shared" si="539"/>
        <v>0</v>
      </c>
      <c r="BG379" s="14" t="str">
        <f ca="1">IFERROR(__xludf.DUMMYFUNCTION("REGEXEXTRACT(O373,""^\S+\s(.+)$"")"),"Viáticos o gastos de desplazamiento")</f>
        <v>Viáticos o gastos de desplazamiento</v>
      </c>
      <c r="BH379" s="23"/>
      <c r="BI379" s="23"/>
      <c r="BJ379" s="23"/>
      <c r="BK379" s="23"/>
      <c r="BL379" s="23"/>
      <c r="BM379" s="23"/>
      <c r="BN379" s="23">
        <v>3127233</v>
      </c>
      <c r="BO379" s="23">
        <v>3127233</v>
      </c>
      <c r="BP379" s="23">
        <v>3127233</v>
      </c>
      <c r="BQ379" s="23">
        <v>3127233</v>
      </c>
      <c r="BR379" s="23">
        <v>3127233</v>
      </c>
      <c r="BS379" s="23">
        <v>3127233</v>
      </c>
      <c r="BT379" s="23">
        <v>3127233</v>
      </c>
      <c r="BU379" s="23">
        <v>3127233</v>
      </c>
      <c r="BV379" s="23">
        <v>3127233</v>
      </c>
      <c r="BW379" s="23">
        <v>3127233</v>
      </c>
      <c r="BX379" s="23">
        <v>3127233</v>
      </c>
      <c r="BY379" s="23">
        <v>3127233</v>
      </c>
      <c r="BZ379" s="23">
        <v>3127233</v>
      </c>
      <c r="CA379" s="23">
        <v>3127233</v>
      </c>
      <c r="CB379" s="23">
        <v>3127233</v>
      </c>
      <c r="CC379" s="23">
        <v>3127233</v>
      </c>
      <c r="CD379" s="23">
        <v>12508940</v>
      </c>
      <c r="CE379" s="23">
        <v>12508940</v>
      </c>
      <c r="CF379" s="28"/>
      <c r="CG379" s="28"/>
      <c r="CH379" s="25">
        <f t="shared" ref="CH379:CI379" si="746">BH379+BJ379+BL379+BN379+BP379+BR379+BT379+BV379+BX379+BZ379+CB379+CD379+CF379</f>
        <v>37526804</v>
      </c>
      <c r="CI379" s="25">
        <f t="shared" si="746"/>
        <v>37526804</v>
      </c>
      <c r="CJ379" s="26">
        <f t="shared" si="518"/>
        <v>0</v>
      </c>
      <c r="CK379" s="26">
        <f t="shared" si="519"/>
        <v>0</v>
      </c>
    </row>
    <row r="380" spans="1:89" ht="90" customHeight="1" x14ac:dyDescent="0.3">
      <c r="A380" s="13" t="s">
        <v>248</v>
      </c>
      <c r="B380" s="14" t="s">
        <v>30</v>
      </c>
      <c r="C380" s="15" t="s">
        <v>967</v>
      </c>
      <c r="D380" s="14" t="s">
        <v>60</v>
      </c>
      <c r="E380" s="13" t="s">
        <v>1106</v>
      </c>
      <c r="F380" s="13" t="s">
        <v>250</v>
      </c>
      <c r="G380" s="14">
        <v>3</v>
      </c>
      <c r="H380" s="13" t="s">
        <v>1107</v>
      </c>
      <c r="I380" s="15" t="s">
        <v>1000</v>
      </c>
      <c r="J380" s="14" t="s">
        <v>15</v>
      </c>
      <c r="K380" s="15" t="s">
        <v>70</v>
      </c>
      <c r="L380" s="14">
        <v>80111620</v>
      </c>
      <c r="M380" s="14" t="s">
        <v>31</v>
      </c>
      <c r="N380" s="14" t="s">
        <v>253</v>
      </c>
      <c r="O380" s="15" t="s">
        <v>1108</v>
      </c>
      <c r="P380" s="14" t="s">
        <v>255</v>
      </c>
      <c r="Q380" s="14" t="s">
        <v>255</v>
      </c>
      <c r="R380" s="14" t="s">
        <v>255</v>
      </c>
      <c r="S380" s="17">
        <v>11.4</v>
      </c>
      <c r="T380" s="14" t="s">
        <v>256</v>
      </c>
      <c r="U380" s="14" t="s">
        <v>257</v>
      </c>
      <c r="V380" s="14" t="s">
        <v>112</v>
      </c>
      <c r="W380" s="18">
        <v>18000000</v>
      </c>
      <c r="X380" s="18">
        <v>18000000</v>
      </c>
      <c r="Y380" s="19" t="s">
        <v>339</v>
      </c>
      <c r="Z380" s="19" t="s">
        <v>258</v>
      </c>
      <c r="AA380" s="14" t="s">
        <v>971</v>
      </c>
      <c r="AB380" s="14" t="s">
        <v>972</v>
      </c>
      <c r="AC380" s="14">
        <v>6012220644</v>
      </c>
      <c r="AD380" s="14" t="s">
        <v>973</v>
      </c>
      <c r="AE380" s="82">
        <v>0</v>
      </c>
      <c r="AF380" s="82">
        <v>0</v>
      </c>
      <c r="AG380" s="82">
        <v>15600000</v>
      </c>
      <c r="AH380" s="82">
        <v>0</v>
      </c>
      <c r="AI380" s="82">
        <v>0</v>
      </c>
      <c r="AJ380" s="82">
        <v>0</v>
      </c>
      <c r="AK380" s="82">
        <v>0</v>
      </c>
      <c r="AL380" s="82">
        <v>0</v>
      </c>
      <c r="AM380" s="82">
        <v>0</v>
      </c>
      <c r="AN380" s="82">
        <v>0</v>
      </c>
      <c r="AO380" s="82">
        <v>0</v>
      </c>
      <c r="AP380" s="82">
        <v>0</v>
      </c>
      <c r="AQ380" s="82">
        <v>0</v>
      </c>
      <c r="AR380" s="82">
        <v>0</v>
      </c>
      <c r="AS380" s="82">
        <v>0</v>
      </c>
      <c r="AT380" s="82">
        <v>0</v>
      </c>
      <c r="AU380" s="82">
        <v>0</v>
      </c>
      <c r="AV380" s="82">
        <v>0</v>
      </c>
      <c r="AW380" s="82">
        <v>0</v>
      </c>
      <c r="AX380" s="82">
        <v>0</v>
      </c>
      <c r="AY380" s="82">
        <v>0</v>
      </c>
      <c r="AZ380" s="82">
        <v>3600000</v>
      </c>
      <c r="BA380" s="82">
        <v>2400000</v>
      </c>
      <c r="BB380" s="82">
        <v>14400000</v>
      </c>
      <c r="BC380" s="82">
        <f t="shared" ref="BC380:BD380" si="747">AE380+AG380+AI380+AK380+AM380+AO380+AQ380+AS380+AU380+AW380+AY380+BA380</f>
        <v>18000000</v>
      </c>
      <c r="BD380" s="82">
        <f t="shared" si="747"/>
        <v>18000000</v>
      </c>
      <c r="BE380" s="83">
        <f t="shared" si="538"/>
        <v>0</v>
      </c>
      <c r="BF380" s="83">
        <f t="shared" si="539"/>
        <v>0</v>
      </c>
      <c r="BG380" s="14" t="str">
        <f ca="1">IFERROR(__xludf.DUMMYFUNCTION("REGEXEXTRACT(O374,""^\S+\s(.+)$"")"),"Prestar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80" s="23"/>
      <c r="BI380" s="23"/>
      <c r="BJ380" s="23">
        <v>15600000</v>
      </c>
      <c r="BK380" s="23"/>
      <c r="BL380" s="23"/>
      <c r="BM380" s="23"/>
      <c r="BN380" s="23"/>
      <c r="BO380" s="23"/>
      <c r="BP380" s="23"/>
      <c r="BQ380" s="23"/>
      <c r="BR380" s="23"/>
      <c r="BS380" s="23"/>
      <c r="BT380" s="23"/>
      <c r="BU380" s="23"/>
      <c r="BV380" s="23"/>
      <c r="BW380" s="23"/>
      <c r="BX380" s="23"/>
      <c r="BY380" s="23"/>
      <c r="BZ380" s="23"/>
      <c r="CA380" s="23"/>
      <c r="CB380" s="23"/>
      <c r="CC380" s="23">
        <v>3600000</v>
      </c>
      <c r="CD380" s="23">
        <v>2400000</v>
      </c>
      <c r="CE380" s="23">
        <v>14400000</v>
      </c>
      <c r="CF380" s="28"/>
      <c r="CG380" s="28"/>
      <c r="CH380" s="25">
        <f t="shared" ref="CH380:CI380" si="748">BH380+BJ380+BL380+BN380+BP380+BR380+BT380+BV380+BX380+BZ380+CB380+CD380+CF380</f>
        <v>18000000</v>
      </c>
      <c r="CI380" s="25">
        <f t="shared" si="748"/>
        <v>18000000</v>
      </c>
      <c r="CJ380" s="26">
        <f t="shared" si="518"/>
        <v>0</v>
      </c>
      <c r="CK380" s="26">
        <f t="shared" si="519"/>
        <v>0</v>
      </c>
    </row>
    <row r="381" spans="1:89" ht="90" customHeight="1" x14ac:dyDescent="0.3">
      <c r="A381" s="13" t="s">
        <v>248</v>
      </c>
      <c r="B381" s="14" t="s">
        <v>30</v>
      </c>
      <c r="C381" s="15" t="s">
        <v>967</v>
      </c>
      <c r="D381" s="14" t="s">
        <v>60</v>
      </c>
      <c r="E381" s="13" t="s">
        <v>1106</v>
      </c>
      <c r="F381" s="13" t="s">
        <v>250</v>
      </c>
      <c r="G381" s="14">
        <v>4</v>
      </c>
      <c r="H381" s="13" t="s">
        <v>1109</v>
      </c>
      <c r="I381" s="15" t="s">
        <v>987</v>
      </c>
      <c r="J381" s="14" t="s">
        <v>4</v>
      </c>
      <c r="K381" s="15" t="s">
        <v>72</v>
      </c>
      <c r="L381" s="14">
        <v>80111620</v>
      </c>
      <c r="M381" s="14" t="s">
        <v>33</v>
      </c>
      <c r="N381" s="14" t="s">
        <v>253</v>
      </c>
      <c r="O381" s="15" t="s">
        <v>1110</v>
      </c>
      <c r="P381" s="14" t="s">
        <v>255</v>
      </c>
      <c r="Q381" s="14" t="s">
        <v>255</v>
      </c>
      <c r="R381" s="14" t="s">
        <v>255</v>
      </c>
      <c r="S381" s="17">
        <v>11.3</v>
      </c>
      <c r="T381" s="14" t="s">
        <v>256</v>
      </c>
      <c r="U381" s="14" t="s">
        <v>257</v>
      </c>
      <c r="V381" s="14" t="s">
        <v>112</v>
      </c>
      <c r="W381" s="18">
        <v>6100000</v>
      </c>
      <c r="X381" s="18">
        <v>6100000</v>
      </c>
      <c r="Y381" s="19" t="s">
        <v>339</v>
      </c>
      <c r="Z381" s="19" t="s">
        <v>258</v>
      </c>
      <c r="AA381" s="14" t="s">
        <v>971</v>
      </c>
      <c r="AB381" s="14" t="s">
        <v>972</v>
      </c>
      <c r="AC381" s="14">
        <v>6012220644</v>
      </c>
      <c r="AD381" s="14" t="s">
        <v>973</v>
      </c>
      <c r="AE381" s="82">
        <v>0</v>
      </c>
      <c r="AF381" s="82">
        <v>0</v>
      </c>
      <c r="AG381" s="82">
        <v>4600000</v>
      </c>
      <c r="AH381" s="82">
        <v>0</v>
      </c>
      <c r="AI381" s="82">
        <v>0</v>
      </c>
      <c r="AJ381" s="82">
        <v>0</v>
      </c>
      <c r="AK381" s="82">
        <v>0</v>
      </c>
      <c r="AL381" s="82">
        <v>0</v>
      </c>
      <c r="AM381" s="82">
        <v>0</v>
      </c>
      <c r="AN381" s="82">
        <v>0</v>
      </c>
      <c r="AO381" s="82">
        <v>0</v>
      </c>
      <c r="AP381" s="82">
        <v>0</v>
      </c>
      <c r="AQ381" s="82">
        <v>0</v>
      </c>
      <c r="AR381" s="82">
        <v>0</v>
      </c>
      <c r="AS381" s="82">
        <v>0</v>
      </c>
      <c r="AT381" s="82">
        <v>0</v>
      </c>
      <c r="AU381" s="82">
        <v>0</v>
      </c>
      <c r="AV381" s="82">
        <v>0</v>
      </c>
      <c r="AW381" s="82">
        <v>0</v>
      </c>
      <c r="AX381" s="82">
        <v>0</v>
      </c>
      <c r="AY381" s="82">
        <v>0</v>
      </c>
      <c r="AZ381" s="82">
        <v>3600000</v>
      </c>
      <c r="BA381" s="82">
        <v>1500000</v>
      </c>
      <c r="BB381" s="82">
        <v>2500000</v>
      </c>
      <c r="BC381" s="82">
        <f t="shared" ref="BC381:BD381" si="749">AE381+AG381+AI381+AK381+AM381+AO381+AQ381+AS381+AU381+AW381+AY381+BA381</f>
        <v>6100000</v>
      </c>
      <c r="BD381" s="82">
        <f t="shared" si="749"/>
        <v>6100000</v>
      </c>
      <c r="BE381" s="83">
        <f t="shared" si="538"/>
        <v>0</v>
      </c>
      <c r="BF381" s="83">
        <f t="shared" si="539"/>
        <v>0</v>
      </c>
      <c r="BG381" s="14" t="str">
        <f ca="1">IFERROR(__xludf.DUMMYFUNCTION("REGEXEXTRACT(O375,""^\S+\s(.+)$"")"),"Prestar servicios profesionales en la gestión jurídica integral de la UPME, mediante el análisis, elaboración y proyección de conceptos jurídicos, respuestas a requerimientos, recursos administrativos y demás actuaciones jurídicas, de conformidad con el m"&amp;"arco normativo vigente.")</f>
        <v>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v>
      </c>
      <c r="BH381" s="23"/>
      <c r="BI381" s="23"/>
      <c r="BJ381" s="23">
        <v>4600000</v>
      </c>
      <c r="BK381" s="23"/>
      <c r="BL381" s="23"/>
      <c r="BM381" s="23"/>
      <c r="BN381" s="23"/>
      <c r="BO381" s="23"/>
      <c r="BP381" s="23"/>
      <c r="BQ381" s="23"/>
      <c r="BR381" s="23"/>
      <c r="BS381" s="23"/>
      <c r="BT381" s="23"/>
      <c r="BU381" s="23"/>
      <c r="BV381" s="23"/>
      <c r="BW381" s="23"/>
      <c r="BX381" s="23"/>
      <c r="BY381" s="23"/>
      <c r="BZ381" s="23"/>
      <c r="CA381" s="23"/>
      <c r="CB381" s="23"/>
      <c r="CC381" s="23">
        <v>3600000</v>
      </c>
      <c r="CD381" s="23">
        <v>1500000</v>
      </c>
      <c r="CE381" s="23">
        <v>2500000</v>
      </c>
      <c r="CF381" s="28"/>
      <c r="CG381" s="28"/>
      <c r="CH381" s="25">
        <f t="shared" ref="CH381:CI381" si="750">BH381+BJ381+BL381+BN381+BP381+BR381+BT381+BV381+BX381+BZ381+CB381+CD381+CF381</f>
        <v>6100000</v>
      </c>
      <c r="CI381" s="25">
        <f t="shared" si="750"/>
        <v>6100000</v>
      </c>
      <c r="CJ381" s="26">
        <f t="shared" si="518"/>
        <v>0</v>
      </c>
      <c r="CK381" s="26">
        <f t="shared" si="519"/>
        <v>0</v>
      </c>
    </row>
    <row r="382" spans="1:89" ht="90" customHeight="1" x14ac:dyDescent="0.3">
      <c r="A382" s="13" t="s">
        <v>248</v>
      </c>
      <c r="B382" s="14" t="s">
        <v>30</v>
      </c>
      <c r="C382" s="15" t="s">
        <v>967</v>
      </c>
      <c r="D382" s="14" t="s">
        <v>60</v>
      </c>
      <c r="E382" s="13" t="s">
        <v>250</v>
      </c>
      <c r="F382" s="13" t="s">
        <v>250</v>
      </c>
      <c r="G382" s="14">
        <v>4</v>
      </c>
      <c r="H382" s="13" t="s">
        <v>1111</v>
      </c>
      <c r="I382" s="15" t="s">
        <v>969</v>
      </c>
      <c r="J382" s="14" t="s">
        <v>9</v>
      </c>
      <c r="K382" s="15" t="s">
        <v>74</v>
      </c>
      <c r="L382" s="14">
        <v>80111620</v>
      </c>
      <c r="M382" s="14" t="s">
        <v>32</v>
      </c>
      <c r="N382" s="14" t="s">
        <v>253</v>
      </c>
      <c r="O382" s="15" t="s">
        <v>1112</v>
      </c>
      <c r="P382" s="14" t="s">
        <v>255</v>
      </c>
      <c r="Q382" s="14" t="s">
        <v>255</v>
      </c>
      <c r="R382" s="14" t="s">
        <v>255</v>
      </c>
      <c r="S382" s="17">
        <v>11.3</v>
      </c>
      <c r="T382" s="14" t="s">
        <v>256</v>
      </c>
      <c r="U382" s="14" t="s">
        <v>257</v>
      </c>
      <c r="V382" s="14" t="s">
        <v>112</v>
      </c>
      <c r="W382" s="18">
        <v>56500000</v>
      </c>
      <c r="X382" s="18">
        <v>56500000</v>
      </c>
      <c r="Y382" s="19" t="s">
        <v>339</v>
      </c>
      <c r="Z382" s="19" t="s">
        <v>258</v>
      </c>
      <c r="AA382" s="14" t="s">
        <v>971</v>
      </c>
      <c r="AB382" s="14" t="s">
        <v>972</v>
      </c>
      <c r="AC382" s="14">
        <v>6012220644</v>
      </c>
      <c r="AD382" s="14" t="s">
        <v>973</v>
      </c>
      <c r="AE382" s="82">
        <v>0</v>
      </c>
      <c r="AF382" s="82">
        <v>0</v>
      </c>
      <c r="AG382" s="82">
        <v>41690000</v>
      </c>
      <c r="AH382" s="82">
        <v>0</v>
      </c>
      <c r="AI382" s="82">
        <v>0</v>
      </c>
      <c r="AJ382" s="82">
        <v>3790000</v>
      </c>
      <c r="AK382" s="82">
        <v>0</v>
      </c>
      <c r="AL382" s="82">
        <v>3790000</v>
      </c>
      <c r="AM382" s="82">
        <v>0</v>
      </c>
      <c r="AN382" s="82">
        <v>3790000</v>
      </c>
      <c r="AO382" s="82">
        <v>0</v>
      </c>
      <c r="AP382" s="82">
        <v>3790000</v>
      </c>
      <c r="AQ382" s="82">
        <v>0</v>
      </c>
      <c r="AR382" s="82">
        <v>3790000</v>
      </c>
      <c r="AS382" s="82">
        <v>0</v>
      </c>
      <c r="AT382" s="82">
        <v>3790000</v>
      </c>
      <c r="AU382" s="82">
        <v>0</v>
      </c>
      <c r="AV382" s="82">
        <v>3790000</v>
      </c>
      <c r="AW382" s="82">
        <v>0</v>
      </c>
      <c r="AX382" s="82">
        <v>3790000</v>
      </c>
      <c r="AY382" s="82">
        <v>7400000</v>
      </c>
      <c r="AZ382" s="82">
        <v>3790000</v>
      </c>
      <c r="BA382" s="82">
        <v>7410000</v>
      </c>
      <c r="BB382" s="82">
        <v>22390000</v>
      </c>
      <c r="BC382" s="82">
        <f t="shared" ref="BC382:BD382" si="751">AE382+AG382+AI382+AK382+AM382+AO382+AQ382+AS382+AU382+AW382+AY382+BA382</f>
        <v>56500000</v>
      </c>
      <c r="BD382" s="82">
        <f t="shared" si="751"/>
        <v>56500000</v>
      </c>
      <c r="BE382" s="83">
        <f t="shared" si="538"/>
        <v>0</v>
      </c>
      <c r="BF382" s="83">
        <f t="shared" si="539"/>
        <v>0</v>
      </c>
      <c r="BG382" s="14" t="str">
        <f ca="1">IFERROR(__xludf.DUMMYFUNCTION("REGEXEXTRACT(O376,""^\S+\s(.+)$"")"),"Prestar servicios profesionales para brindar soporte integral a las actividades jurídicas de la UPME, mediante la elaboración, revisión y análisis de conceptos jurídicos, la atención de requerimientos y recursos administrativos, y el acompañamiento en act"&amp;"uaciones jurídicas, conforme a las disposiciones legales vigentes.")</f>
        <v>Prestar servicios profesionales para brindar soporte integral a las actividades jurídicas de la UPME, mediante la elaboración, revisión y análisis de conceptos jurídicos, la atención de requerimientos y recursos administrativos, y el acompañamiento en actuaciones jurídicas, conforme a las disposiciones legales vigentes.</v>
      </c>
      <c r="BH382" s="23"/>
      <c r="BI382" s="23"/>
      <c r="BJ382" s="23">
        <v>41690000</v>
      </c>
      <c r="BK382" s="23"/>
      <c r="BL382" s="23"/>
      <c r="BM382" s="23">
        <v>3790000</v>
      </c>
      <c r="BN382" s="23"/>
      <c r="BO382" s="23">
        <v>3790000</v>
      </c>
      <c r="BP382" s="23"/>
      <c r="BQ382" s="23">
        <v>3790000</v>
      </c>
      <c r="BR382" s="23"/>
      <c r="BS382" s="23">
        <v>3790000</v>
      </c>
      <c r="BT382" s="23"/>
      <c r="BU382" s="23">
        <v>3790000</v>
      </c>
      <c r="BV382" s="23"/>
      <c r="BW382" s="23">
        <v>3790000</v>
      </c>
      <c r="BX382" s="23"/>
      <c r="BY382" s="23">
        <v>3790000</v>
      </c>
      <c r="BZ382" s="23"/>
      <c r="CA382" s="23">
        <v>3790000</v>
      </c>
      <c r="CB382" s="23">
        <v>7400000</v>
      </c>
      <c r="CC382" s="23">
        <v>3790000</v>
      </c>
      <c r="CD382" s="23">
        <v>7410000</v>
      </c>
      <c r="CE382" s="23">
        <v>22390000</v>
      </c>
      <c r="CF382" s="28"/>
      <c r="CG382" s="28"/>
      <c r="CH382" s="25">
        <f t="shared" ref="CH382:CI382" si="752">BH382+BJ382+BL382+BN382+BP382+BR382+BT382+BV382+BX382+BZ382+CB382+CD382+CF382</f>
        <v>56500000</v>
      </c>
      <c r="CI382" s="25">
        <f t="shared" si="752"/>
        <v>56500000</v>
      </c>
      <c r="CJ382" s="26">
        <f t="shared" si="518"/>
        <v>0</v>
      </c>
      <c r="CK382" s="26">
        <f t="shared" si="519"/>
        <v>0</v>
      </c>
    </row>
    <row r="383" spans="1:89" ht="90" customHeight="1" x14ac:dyDescent="0.3">
      <c r="A383" s="13" t="s">
        <v>248</v>
      </c>
      <c r="B383" s="14" t="s">
        <v>30</v>
      </c>
      <c r="C383" s="15" t="s">
        <v>967</v>
      </c>
      <c r="D383" s="14" t="s">
        <v>60</v>
      </c>
      <c r="E383" s="13" t="s">
        <v>250</v>
      </c>
      <c r="F383" s="13" t="s">
        <v>250</v>
      </c>
      <c r="G383" s="14">
        <v>4</v>
      </c>
      <c r="H383" s="13" t="s">
        <v>1113</v>
      </c>
      <c r="I383" s="15" t="s">
        <v>969</v>
      </c>
      <c r="J383" s="14" t="s">
        <v>9</v>
      </c>
      <c r="K383" s="15" t="s">
        <v>74</v>
      </c>
      <c r="L383" s="14">
        <v>80111620</v>
      </c>
      <c r="M383" s="14" t="s">
        <v>32</v>
      </c>
      <c r="N383" s="14" t="s">
        <v>253</v>
      </c>
      <c r="O383" s="15" t="s">
        <v>1114</v>
      </c>
      <c r="P383" s="14" t="s">
        <v>255</v>
      </c>
      <c r="Q383" s="14" t="s">
        <v>255</v>
      </c>
      <c r="R383" s="14" t="s">
        <v>255</v>
      </c>
      <c r="S383" s="17">
        <v>11.3</v>
      </c>
      <c r="T383" s="14" t="s">
        <v>256</v>
      </c>
      <c r="U383" s="14" t="s">
        <v>257</v>
      </c>
      <c r="V383" s="14" t="s">
        <v>112</v>
      </c>
      <c r="W383" s="18">
        <v>63200000</v>
      </c>
      <c r="X383" s="18">
        <v>63200000</v>
      </c>
      <c r="Y383" s="19" t="s">
        <v>339</v>
      </c>
      <c r="Z383" s="19" t="s">
        <v>258</v>
      </c>
      <c r="AA383" s="14" t="s">
        <v>971</v>
      </c>
      <c r="AB383" s="14" t="s">
        <v>972</v>
      </c>
      <c r="AC383" s="14">
        <v>6012220644</v>
      </c>
      <c r="AD383" s="14" t="s">
        <v>973</v>
      </c>
      <c r="AE383" s="82">
        <v>0</v>
      </c>
      <c r="AF383" s="82">
        <v>0</v>
      </c>
      <c r="AG383" s="82">
        <v>63200000</v>
      </c>
      <c r="AH383" s="82">
        <v>0</v>
      </c>
      <c r="AI383" s="82">
        <v>0</v>
      </c>
      <c r="AJ383" s="82">
        <v>6000000</v>
      </c>
      <c r="AK383" s="82">
        <v>0</v>
      </c>
      <c r="AL383" s="82">
        <v>6000000</v>
      </c>
      <c r="AM383" s="82">
        <v>0</v>
      </c>
      <c r="AN383" s="82">
        <v>6000000</v>
      </c>
      <c r="AO383" s="82">
        <v>0</v>
      </c>
      <c r="AP383" s="82">
        <v>6000000</v>
      </c>
      <c r="AQ383" s="82">
        <v>0</v>
      </c>
      <c r="AR383" s="82">
        <v>6000000</v>
      </c>
      <c r="AS383" s="82">
        <v>0</v>
      </c>
      <c r="AT383" s="82">
        <v>6000000</v>
      </c>
      <c r="AU383" s="82">
        <v>0</v>
      </c>
      <c r="AV383" s="82">
        <v>6000000</v>
      </c>
      <c r="AW383" s="82">
        <v>0</v>
      </c>
      <c r="AX383" s="82">
        <v>6000000</v>
      </c>
      <c r="AY383" s="82">
        <v>0</v>
      </c>
      <c r="AZ383" s="82">
        <v>6000000</v>
      </c>
      <c r="BA383" s="82">
        <v>0</v>
      </c>
      <c r="BB383" s="82">
        <v>9200000</v>
      </c>
      <c r="BC383" s="82">
        <f t="shared" ref="BC383:BD383" si="753">AE383+AG383+AI383+AK383+AM383+AO383+AQ383+AS383+AU383+AW383+AY383+BA383</f>
        <v>63200000</v>
      </c>
      <c r="BD383" s="82">
        <f t="shared" si="753"/>
        <v>63200000</v>
      </c>
      <c r="BE383" s="83">
        <f t="shared" si="538"/>
        <v>0</v>
      </c>
      <c r="BF383" s="83">
        <f t="shared" si="539"/>
        <v>0</v>
      </c>
      <c r="BG383" s="14" t="str">
        <f ca="1">IFERROR(__xludf.DUMMYFUNCTION("REGEXEXTRACT(O377,""^\S+\s(.+)$"")"),"Prestar servicios profesionales orientados a la evaluación integral de proyectos de Fuentes No Convencionales de Energía y Gestión Eficiente de la Energía, incluyendo la aplicación de criterios técnicos, normativos y metodológicos definidos para el otorga"&amp;"miento de incentivos tributarios.")</f>
        <v>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v>
      </c>
      <c r="BH383" s="23"/>
      <c r="BI383" s="23"/>
      <c r="BJ383" s="23">
        <v>63200000</v>
      </c>
      <c r="BK383" s="23"/>
      <c r="BL383" s="23"/>
      <c r="BM383" s="23">
        <v>6000000</v>
      </c>
      <c r="BN383" s="23"/>
      <c r="BO383" s="23">
        <v>6000000</v>
      </c>
      <c r="BP383" s="23"/>
      <c r="BQ383" s="23">
        <v>6000000</v>
      </c>
      <c r="BR383" s="23"/>
      <c r="BS383" s="23">
        <v>6000000</v>
      </c>
      <c r="BT383" s="23"/>
      <c r="BU383" s="23">
        <v>6000000</v>
      </c>
      <c r="BV383" s="23"/>
      <c r="BW383" s="23">
        <v>6000000</v>
      </c>
      <c r="BX383" s="23"/>
      <c r="BY383" s="23">
        <v>6000000</v>
      </c>
      <c r="BZ383" s="23"/>
      <c r="CA383" s="23">
        <v>6000000</v>
      </c>
      <c r="CB383" s="23"/>
      <c r="CC383" s="23">
        <v>6000000</v>
      </c>
      <c r="CD383" s="23"/>
      <c r="CE383" s="23">
        <v>9200000</v>
      </c>
      <c r="CF383" s="28"/>
      <c r="CG383" s="28"/>
      <c r="CH383" s="25">
        <f t="shared" ref="CH383:CI383" si="754">BH383+BJ383+BL383+BN383+BP383+BR383+BT383+BV383+BX383+BZ383+CB383+CD383+CF383</f>
        <v>63200000</v>
      </c>
      <c r="CI383" s="25">
        <f t="shared" si="754"/>
        <v>63200000</v>
      </c>
      <c r="CJ383" s="26">
        <f t="shared" si="518"/>
        <v>0</v>
      </c>
      <c r="CK383" s="26">
        <f t="shared" si="519"/>
        <v>0</v>
      </c>
    </row>
    <row r="384" spans="1:89" ht="90" customHeight="1" x14ac:dyDescent="0.3">
      <c r="A384" s="13" t="s">
        <v>248</v>
      </c>
      <c r="B384" s="14" t="s">
        <v>30</v>
      </c>
      <c r="C384" s="15" t="s">
        <v>967</v>
      </c>
      <c r="D384" s="14" t="s">
        <v>60</v>
      </c>
      <c r="E384" s="13" t="s">
        <v>1106</v>
      </c>
      <c r="F384" s="13" t="s">
        <v>250</v>
      </c>
      <c r="G384" s="14">
        <v>4</v>
      </c>
      <c r="H384" s="13" t="s">
        <v>1115</v>
      </c>
      <c r="I384" s="15" t="s">
        <v>987</v>
      </c>
      <c r="J384" s="14" t="s">
        <v>4</v>
      </c>
      <c r="K384" s="15" t="s">
        <v>72</v>
      </c>
      <c r="L384" s="14">
        <v>80111620</v>
      </c>
      <c r="M384" s="14" t="s">
        <v>33</v>
      </c>
      <c r="N384" s="14" t="s">
        <v>253</v>
      </c>
      <c r="O384" s="15" t="s">
        <v>1116</v>
      </c>
      <c r="P384" s="14" t="s">
        <v>255</v>
      </c>
      <c r="Q384" s="14" t="s">
        <v>255</v>
      </c>
      <c r="R384" s="14" t="s">
        <v>255</v>
      </c>
      <c r="S384" s="17">
        <v>11.3</v>
      </c>
      <c r="T384" s="14" t="s">
        <v>256</v>
      </c>
      <c r="U384" s="14" t="s">
        <v>257</v>
      </c>
      <c r="V384" s="14" t="s">
        <v>112</v>
      </c>
      <c r="W384" s="18">
        <v>4600000</v>
      </c>
      <c r="X384" s="18">
        <v>4600000</v>
      </c>
      <c r="Y384" s="19" t="s">
        <v>339</v>
      </c>
      <c r="Z384" s="19" t="s">
        <v>258</v>
      </c>
      <c r="AA384" s="14" t="s">
        <v>971</v>
      </c>
      <c r="AB384" s="14" t="s">
        <v>972</v>
      </c>
      <c r="AC384" s="14">
        <v>6012220644</v>
      </c>
      <c r="AD384" s="14" t="s">
        <v>973</v>
      </c>
      <c r="AE384" s="82">
        <v>0</v>
      </c>
      <c r="AF384" s="82">
        <v>0</v>
      </c>
      <c r="AG384" s="82">
        <v>2800000</v>
      </c>
      <c r="AH384" s="82">
        <v>0</v>
      </c>
      <c r="AI384" s="82">
        <v>0</v>
      </c>
      <c r="AJ384" s="82">
        <v>0</v>
      </c>
      <c r="AK384" s="82">
        <v>0</v>
      </c>
      <c r="AL384" s="82">
        <v>0</v>
      </c>
      <c r="AM384" s="82">
        <v>0</v>
      </c>
      <c r="AN384" s="82">
        <v>0</v>
      </c>
      <c r="AO384" s="82">
        <v>0</v>
      </c>
      <c r="AP384" s="82">
        <v>0</v>
      </c>
      <c r="AQ384" s="82">
        <v>0</v>
      </c>
      <c r="AR384" s="82">
        <v>0</v>
      </c>
      <c r="AS384" s="82">
        <v>0</v>
      </c>
      <c r="AT384" s="82">
        <v>0</v>
      </c>
      <c r="AU384" s="82">
        <v>0</v>
      </c>
      <c r="AV384" s="82">
        <v>0</v>
      </c>
      <c r="AW384" s="82">
        <v>0</v>
      </c>
      <c r="AX384" s="82">
        <v>0</v>
      </c>
      <c r="AY384" s="82">
        <v>0</v>
      </c>
      <c r="AZ384" s="82">
        <v>0</v>
      </c>
      <c r="BA384" s="82">
        <v>1800000</v>
      </c>
      <c r="BB384" s="82">
        <v>4600000</v>
      </c>
      <c r="BC384" s="82">
        <f t="shared" ref="BC384:BD384" si="755">AE384+AG384+AI384+AK384+AM384+AO384+AQ384+AS384+AU384+AW384+AY384+BA384</f>
        <v>4600000</v>
      </c>
      <c r="BD384" s="82">
        <f t="shared" si="755"/>
        <v>4600000</v>
      </c>
      <c r="BE384" s="83">
        <f t="shared" si="538"/>
        <v>0</v>
      </c>
      <c r="BF384" s="83">
        <f t="shared" si="539"/>
        <v>0</v>
      </c>
      <c r="BG384" s="14" t="str">
        <f ca="1">IFERROR(__xludf.DUMMYFUNCTION("REGEXEXTRACT(O378,""^\S+\s(.+)$"")"),"Prestar servicios profesionales orientados a la evaluación integral de proyectos de Fuentes No Convencionales de Energía y Gestión Eficiente de la Energía, incluyendo la aplicación de criterios técnicos, normativos y metodológicos definidos para el otorga"&amp;"miento de incentivos tributarios.")</f>
        <v>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v>
      </c>
      <c r="BH384" s="23"/>
      <c r="BI384" s="23"/>
      <c r="BJ384" s="23">
        <v>2800000</v>
      </c>
      <c r="BK384" s="23"/>
      <c r="BL384" s="23"/>
      <c r="BM384" s="23"/>
      <c r="BN384" s="23"/>
      <c r="BO384" s="23"/>
      <c r="BP384" s="23"/>
      <c r="BQ384" s="23"/>
      <c r="BR384" s="23"/>
      <c r="BS384" s="23"/>
      <c r="BT384" s="23"/>
      <c r="BU384" s="23"/>
      <c r="BV384" s="23"/>
      <c r="BW384" s="23"/>
      <c r="BX384" s="23"/>
      <c r="BY384" s="23"/>
      <c r="BZ384" s="23"/>
      <c r="CA384" s="23"/>
      <c r="CB384" s="23"/>
      <c r="CC384" s="23"/>
      <c r="CD384" s="23">
        <v>1800000</v>
      </c>
      <c r="CE384" s="23">
        <v>4600000</v>
      </c>
      <c r="CF384" s="28"/>
      <c r="CG384" s="28"/>
      <c r="CH384" s="25">
        <f t="shared" ref="CH384:CI384" si="756">BH384+BJ384+BL384+BN384+BP384+BR384+BT384+BV384+BX384+BZ384+CB384+CD384+CF384</f>
        <v>4600000</v>
      </c>
      <c r="CI384" s="25">
        <f t="shared" si="756"/>
        <v>4600000</v>
      </c>
      <c r="CJ384" s="26">
        <f t="shared" si="518"/>
        <v>0</v>
      </c>
      <c r="CK384" s="26">
        <f t="shared" si="519"/>
        <v>0</v>
      </c>
    </row>
    <row r="385" spans="1:89" ht="90" customHeight="1" x14ac:dyDescent="0.3">
      <c r="A385" s="13" t="s">
        <v>248</v>
      </c>
      <c r="B385" s="14" t="s">
        <v>30</v>
      </c>
      <c r="C385" s="15" t="s">
        <v>967</v>
      </c>
      <c r="D385" s="14" t="s">
        <v>60</v>
      </c>
      <c r="E385" s="13" t="s">
        <v>1106</v>
      </c>
      <c r="F385" s="13" t="s">
        <v>250</v>
      </c>
      <c r="G385" s="14">
        <v>4</v>
      </c>
      <c r="H385" s="13" t="s">
        <v>1117</v>
      </c>
      <c r="I385" s="15" t="s">
        <v>987</v>
      </c>
      <c r="J385" s="14" t="s">
        <v>4</v>
      </c>
      <c r="K385" s="15" t="s">
        <v>76</v>
      </c>
      <c r="L385" s="14">
        <v>80111620</v>
      </c>
      <c r="M385" s="14" t="s">
        <v>33</v>
      </c>
      <c r="N385" s="14" t="s">
        <v>253</v>
      </c>
      <c r="O385" s="15" t="s">
        <v>1118</v>
      </c>
      <c r="P385" s="14" t="s">
        <v>255</v>
      </c>
      <c r="Q385" s="14" t="s">
        <v>255</v>
      </c>
      <c r="R385" s="14" t="s">
        <v>255</v>
      </c>
      <c r="S385" s="17">
        <v>11.3</v>
      </c>
      <c r="T385" s="14" t="s">
        <v>256</v>
      </c>
      <c r="U385" s="14" t="s">
        <v>257</v>
      </c>
      <c r="V385" s="14" t="s">
        <v>112</v>
      </c>
      <c r="W385" s="18">
        <v>35000000</v>
      </c>
      <c r="X385" s="18">
        <v>35000000</v>
      </c>
      <c r="Y385" s="19" t="s">
        <v>339</v>
      </c>
      <c r="Z385" s="19" t="s">
        <v>258</v>
      </c>
      <c r="AA385" s="14" t="s">
        <v>971</v>
      </c>
      <c r="AB385" s="14" t="s">
        <v>972</v>
      </c>
      <c r="AC385" s="14">
        <v>6012220644</v>
      </c>
      <c r="AD385" s="14" t="s">
        <v>973</v>
      </c>
      <c r="AE385" s="82">
        <v>0</v>
      </c>
      <c r="AF385" s="82">
        <v>0</v>
      </c>
      <c r="AG385" s="82">
        <v>0</v>
      </c>
      <c r="AH385" s="82">
        <v>0</v>
      </c>
      <c r="AI385" s="82">
        <v>0</v>
      </c>
      <c r="AJ385" s="82">
        <v>0</v>
      </c>
      <c r="AK385" s="82">
        <v>0</v>
      </c>
      <c r="AL385" s="82">
        <v>0</v>
      </c>
      <c r="AM385" s="82">
        <v>0</v>
      </c>
      <c r="AN385" s="82">
        <v>0</v>
      </c>
      <c r="AO385" s="82">
        <v>0</v>
      </c>
      <c r="AP385" s="82">
        <v>0</v>
      </c>
      <c r="AQ385" s="82">
        <v>0</v>
      </c>
      <c r="AR385" s="82">
        <v>0</v>
      </c>
      <c r="AS385" s="82">
        <v>35000000</v>
      </c>
      <c r="AT385" s="82">
        <v>0</v>
      </c>
      <c r="AU385" s="82">
        <v>0</v>
      </c>
      <c r="AV385" s="82">
        <v>7000000</v>
      </c>
      <c r="AW385" s="82">
        <v>0</v>
      </c>
      <c r="AX385" s="82">
        <v>7000000</v>
      </c>
      <c r="AY385" s="82">
        <v>0</v>
      </c>
      <c r="AZ385" s="82">
        <v>7000000</v>
      </c>
      <c r="BA385" s="82">
        <v>0</v>
      </c>
      <c r="BB385" s="82">
        <v>14000000</v>
      </c>
      <c r="BC385" s="82">
        <f t="shared" ref="BC385:BD385" si="757">AE385+AG385+AI385+AK385+AM385+AO385+AQ385+AS385+AU385+AW385+AY385+BA385</f>
        <v>35000000</v>
      </c>
      <c r="BD385" s="82">
        <f t="shared" si="757"/>
        <v>35000000</v>
      </c>
      <c r="BE385" s="83">
        <f t="shared" si="538"/>
        <v>0</v>
      </c>
      <c r="BF385" s="83">
        <f t="shared" si="539"/>
        <v>0</v>
      </c>
      <c r="BG385" s="14" t="str">
        <f ca="1">IFERROR(__xludf.DUMMYFUNCTION("REGEXEXTRACT(O379,""^\S+\s(.+)$"")"),"Prestar servicios profesionales para la evaluación integral de proyectos de Fuentes No Convencionales de Energía y Gestión Eficiente de la Energía, incluyendo la revisión de requisitos técnicos, el análisis de la información presentada y  los soportes en "&amp;"cumplimiento con la normatividad vigente para acceder a incentivos tributarios.")</f>
        <v>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v>
      </c>
      <c r="BH385" s="23"/>
      <c r="BI385" s="23"/>
      <c r="BJ385" s="23"/>
      <c r="BK385" s="23"/>
      <c r="BL385" s="23"/>
      <c r="BM385" s="23"/>
      <c r="BN385" s="23"/>
      <c r="BO385" s="23"/>
      <c r="BP385" s="23"/>
      <c r="BQ385" s="23"/>
      <c r="BR385" s="23"/>
      <c r="BS385" s="23"/>
      <c r="BT385" s="23"/>
      <c r="BU385" s="23"/>
      <c r="BV385" s="23">
        <v>35000000</v>
      </c>
      <c r="BW385" s="23"/>
      <c r="BX385" s="23"/>
      <c r="BY385" s="23">
        <v>7000000</v>
      </c>
      <c r="BZ385" s="23"/>
      <c r="CA385" s="23">
        <v>7000000</v>
      </c>
      <c r="CB385" s="23"/>
      <c r="CC385" s="23">
        <v>7000000</v>
      </c>
      <c r="CD385" s="23"/>
      <c r="CE385" s="23">
        <v>14000000</v>
      </c>
      <c r="CF385" s="28"/>
      <c r="CG385" s="28"/>
      <c r="CH385" s="25">
        <f t="shared" ref="CH385:CI385" si="758">BH385+BJ385+BL385+BN385+BP385+BR385+BT385+BV385+BX385+BZ385+CB385+CD385+CF385</f>
        <v>35000000</v>
      </c>
      <c r="CI385" s="25">
        <f t="shared" si="758"/>
        <v>35000000</v>
      </c>
      <c r="CJ385" s="26">
        <f t="shared" si="518"/>
        <v>0</v>
      </c>
      <c r="CK385" s="26">
        <f t="shared" si="519"/>
        <v>0</v>
      </c>
    </row>
    <row r="386" spans="1:89" ht="90" customHeight="1" x14ac:dyDescent="0.3">
      <c r="A386" s="13" t="s">
        <v>248</v>
      </c>
      <c r="B386" s="14" t="s">
        <v>30</v>
      </c>
      <c r="C386" s="15" t="s">
        <v>967</v>
      </c>
      <c r="D386" s="14" t="s">
        <v>60</v>
      </c>
      <c r="E386" s="13" t="s">
        <v>250</v>
      </c>
      <c r="F386" s="13" t="s">
        <v>250</v>
      </c>
      <c r="G386" s="14">
        <v>4</v>
      </c>
      <c r="H386" s="13" t="s">
        <v>1119</v>
      </c>
      <c r="I386" s="15" t="s">
        <v>987</v>
      </c>
      <c r="J386" s="14" t="s">
        <v>4</v>
      </c>
      <c r="K386" s="15" t="s">
        <v>72</v>
      </c>
      <c r="L386" s="14">
        <v>80111620</v>
      </c>
      <c r="M386" s="14" t="s">
        <v>33</v>
      </c>
      <c r="N386" s="14" t="s">
        <v>253</v>
      </c>
      <c r="O386" s="15" t="s">
        <v>1120</v>
      </c>
      <c r="P386" s="14" t="s">
        <v>255</v>
      </c>
      <c r="Q386" s="14" t="s">
        <v>255</v>
      </c>
      <c r="R386" s="14" t="s">
        <v>255</v>
      </c>
      <c r="S386" s="17">
        <v>11.3</v>
      </c>
      <c r="T386" s="14" t="s">
        <v>256</v>
      </c>
      <c r="U386" s="14" t="s">
        <v>257</v>
      </c>
      <c r="V386" s="14" t="s">
        <v>112</v>
      </c>
      <c r="W386" s="18">
        <v>10200000</v>
      </c>
      <c r="X386" s="18">
        <v>10200000</v>
      </c>
      <c r="Y386" s="19" t="s">
        <v>339</v>
      </c>
      <c r="Z386" s="19" t="s">
        <v>258</v>
      </c>
      <c r="AA386" s="14" t="s">
        <v>971</v>
      </c>
      <c r="AB386" s="14" t="s">
        <v>972</v>
      </c>
      <c r="AC386" s="14">
        <v>6012220644</v>
      </c>
      <c r="AD386" s="14" t="s">
        <v>973</v>
      </c>
      <c r="AE386" s="82">
        <v>0</v>
      </c>
      <c r="AF386" s="82">
        <v>0</v>
      </c>
      <c r="AG386" s="82">
        <v>0</v>
      </c>
      <c r="AH386" s="82">
        <v>0</v>
      </c>
      <c r="AI386" s="82">
        <v>0</v>
      </c>
      <c r="AJ386" s="82">
        <v>0</v>
      </c>
      <c r="AK386" s="82">
        <v>0</v>
      </c>
      <c r="AL386" s="82">
        <v>0</v>
      </c>
      <c r="AM386" s="82">
        <v>0</v>
      </c>
      <c r="AN386" s="82">
        <v>0</v>
      </c>
      <c r="AO386" s="82">
        <v>0</v>
      </c>
      <c r="AP386" s="82">
        <v>0</v>
      </c>
      <c r="AQ386" s="82">
        <v>0</v>
      </c>
      <c r="AR386" s="82">
        <v>0</v>
      </c>
      <c r="AS386" s="82">
        <v>10200000</v>
      </c>
      <c r="AT386" s="82">
        <v>0</v>
      </c>
      <c r="AU386" s="82">
        <v>0</v>
      </c>
      <c r="AV386" s="82">
        <v>2040000</v>
      </c>
      <c r="AW386" s="82">
        <v>0</v>
      </c>
      <c r="AX386" s="82">
        <v>2040000</v>
      </c>
      <c r="AY386" s="82">
        <v>0</v>
      </c>
      <c r="AZ386" s="82">
        <v>2040000</v>
      </c>
      <c r="BA386" s="82">
        <v>0</v>
      </c>
      <c r="BB386" s="82">
        <v>4080000</v>
      </c>
      <c r="BC386" s="82">
        <f t="shared" ref="BC386:BD386" si="759">AE386+AG386+AI386+AK386+AM386+AO386+AQ386+AS386+AU386+AW386+AY386+BA386</f>
        <v>10200000</v>
      </c>
      <c r="BD386" s="82">
        <f t="shared" si="759"/>
        <v>10200000</v>
      </c>
      <c r="BE386" s="83">
        <f t="shared" si="538"/>
        <v>0</v>
      </c>
      <c r="BF386" s="83">
        <f t="shared" si="539"/>
        <v>0</v>
      </c>
      <c r="BG386" s="14" t="str">
        <f ca="1">IFERROR(__xludf.DUMMYFUNCTION("REGEXEXTRACT(O380,""^\S+\s(.+)$"")"),"Prestar servicios profesionales para la evaluación integral de proyectos de Fuentes No Convencionales de Energía y Gestión Eficiente de la Energía, incluyendo la revisión de requisitos técnicos, el análisis de la información presentada y  los soportes en "&amp;"cumplimiento con la normatividad vigente para acceder a incentivos tributarios.")</f>
        <v>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v>
      </c>
      <c r="BH386" s="23"/>
      <c r="BI386" s="23"/>
      <c r="BJ386" s="23"/>
      <c r="BK386" s="23"/>
      <c r="BL386" s="23"/>
      <c r="BM386" s="23"/>
      <c r="BN386" s="23"/>
      <c r="BO386" s="23"/>
      <c r="BP386" s="23"/>
      <c r="BQ386" s="23"/>
      <c r="BR386" s="23"/>
      <c r="BS386" s="23"/>
      <c r="BT386" s="23"/>
      <c r="BU386" s="23"/>
      <c r="BV386" s="23">
        <v>10200000</v>
      </c>
      <c r="BW386" s="23"/>
      <c r="BX386" s="23"/>
      <c r="BY386" s="23">
        <v>2040000</v>
      </c>
      <c r="BZ386" s="23"/>
      <c r="CA386" s="23">
        <v>2040000</v>
      </c>
      <c r="CB386" s="23"/>
      <c r="CC386" s="23">
        <v>2040000</v>
      </c>
      <c r="CD386" s="23"/>
      <c r="CE386" s="23">
        <v>4080000</v>
      </c>
      <c r="CF386" s="28"/>
      <c r="CG386" s="28"/>
      <c r="CH386" s="25">
        <f t="shared" ref="CH386:CI386" si="760">BH386+BJ386+BL386+BN386+BP386+BR386+BT386+BV386+BX386+BZ386+CB386+CD386+CF386</f>
        <v>10200000</v>
      </c>
      <c r="CI386" s="25">
        <f t="shared" si="760"/>
        <v>10200000</v>
      </c>
      <c r="CJ386" s="26">
        <f t="shared" si="518"/>
        <v>0</v>
      </c>
      <c r="CK386" s="26">
        <f t="shared" si="519"/>
        <v>0</v>
      </c>
    </row>
    <row r="387" spans="1:89" ht="90" customHeight="1" x14ac:dyDescent="0.3">
      <c r="A387" s="13" t="s">
        <v>248</v>
      </c>
      <c r="B387" s="14" t="s">
        <v>30</v>
      </c>
      <c r="C387" s="15" t="s">
        <v>967</v>
      </c>
      <c r="D387" s="14" t="s">
        <v>60</v>
      </c>
      <c r="E387" s="13" t="s">
        <v>250</v>
      </c>
      <c r="F387" s="13" t="s">
        <v>250</v>
      </c>
      <c r="G387" s="14">
        <v>4</v>
      </c>
      <c r="H387" s="13" t="s">
        <v>1121</v>
      </c>
      <c r="I387" s="15" t="s">
        <v>987</v>
      </c>
      <c r="J387" s="14" t="s">
        <v>4</v>
      </c>
      <c r="K387" s="15" t="s">
        <v>75</v>
      </c>
      <c r="L387" s="14">
        <v>80111620</v>
      </c>
      <c r="M387" s="14" t="s">
        <v>33</v>
      </c>
      <c r="N387" s="14" t="s">
        <v>253</v>
      </c>
      <c r="O387" s="15" t="s">
        <v>1122</v>
      </c>
      <c r="P387" s="14" t="s">
        <v>255</v>
      </c>
      <c r="Q387" s="14" t="s">
        <v>255</v>
      </c>
      <c r="R387" s="14" t="s">
        <v>255</v>
      </c>
      <c r="S387" s="17">
        <v>11.3</v>
      </c>
      <c r="T387" s="14" t="s">
        <v>256</v>
      </c>
      <c r="U387" s="14" t="s">
        <v>257</v>
      </c>
      <c r="V387" s="14" t="s">
        <v>112</v>
      </c>
      <c r="W387" s="18">
        <v>32600000</v>
      </c>
      <c r="X387" s="18">
        <v>32600000</v>
      </c>
      <c r="Y387" s="19" t="s">
        <v>339</v>
      </c>
      <c r="Z387" s="19" t="s">
        <v>258</v>
      </c>
      <c r="AA387" s="14" t="s">
        <v>971</v>
      </c>
      <c r="AB387" s="14" t="s">
        <v>972</v>
      </c>
      <c r="AC387" s="14">
        <v>6012220644</v>
      </c>
      <c r="AD387" s="14" t="s">
        <v>973</v>
      </c>
      <c r="AE387" s="82">
        <v>0</v>
      </c>
      <c r="AF387" s="82">
        <v>0</v>
      </c>
      <c r="AG387" s="82">
        <v>0</v>
      </c>
      <c r="AH387" s="82">
        <v>0</v>
      </c>
      <c r="AI387" s="82">
        <v>0</v>
      </c>
      <c r="AJ387" s="82">
        <v>0</v>
      </c>
      <c r="AK387" s="82">
        <v>0</v>
      </c>
      <c r="AL387" s="82">
        <v>0</v>
      </c>
      <c r="AM387" s="82">
        <v>0</v>
      </c>
      <c r="AN387" s="82">
        <v>0</v>
      </c>
      <c r="AO387" s="82">
        <v>0</v>
      </c>
      <c r="AP387" s="82">
        <v>0</v>
      </c>
      <c r="AQ387" s="82">
        <v>0</v>
      </c>
      <c r="AR387" s="82">
        <v>0</v>
      </c>
      <c r="AS387" s="82">
        <v>32600000</v>
      </c>
      <c r="AT387" s="82">
        <v>0</v>
      </c>
      <c r="AU387" s="82">
        <v>0</v>
      </c>
      <c r="AV387" s="82">
        <v>6520000</v>
      </c>
      <c r="AW387" s="82">
        <v>0</v>
      </c>
      <c r="AX387" s="82">
        <v>6520000</v>
      </c>
      <c r="AY387" s="82">
        <v>0</v>
      </c>
      <c r="AZ387" s="82">
        <v>6520000</v>
      </c>
      <c r="BA387" s="82">
        <v>0</v>
      </c>
      <c r="BB387" s="82">
        <v>13040000</v>
      </c>
      <c r="BC387" s="82">
        <f t="shared" ref="BC387:BD387" si="761">AE387+AG387+AI387+AK387+AM387+AO387+AQ387+AS387+AU387+AW387+AY387+BA387</f>
        <v>32600000</v>
      </c>
      <c r="BD387" s="82">
        <f t="shared" si="761"/>
        <v>32600000</v>
      </c>
      <c r="BE387" s="83">
        <f t="shared" si="538"/>
        <v>0</v>
      </c>
      <c r="BF387" s="83">
        <f t="shared" si="539"/>
        <v>0</v>
      </c>
      <c r="BG387" s="14" t="str">
        <f ca="1">IFERROR(__xludf.DUMMYFUNCTION("REGEXEXTRACT(O381,""^\S+\s(.+)$"")")," Prestar servicios profesionales para la evaluación técnica y documental de proyectos de Fuentes No Convencionales de Energía y Gestión Eficiente de la Energía, en el marco del trámite de incentivos tributarios adelantado por la UPME, conforme a la normat"&amp;"iva vigente.")</f>
        <v xml:space="preserve"> Prestar servicios profesionales para la evaluación técnica y documental de proyectos de Fuentes No Convencionales de Energía y Gestión Eficiente de la Energía, en el marco del trámite de incentivos tributarios adelantado por la UPME, conforme a la normativa vigente.</v>
      </c>
      <c r="BH387" s="23"/>
      <c r="BI387" s="23"/>
      <c r="BJ387" s="23"/>
      <c r="BK387" s="23"/>
      <c r="BL387" s="23"/>
      <c r="BM387" s="23"/>
      <c r="BN387" s="23"/>
      <c r="BO387" s="23"/>
      <c r="BP387" s="23"/>
      <c r="BQ387" s="23"/>
      <c r="BR387" s="23"/>
      <c r="BS387" s="23"/>
      <c r="BT387" s="23"/>
      <c r="BU387" s="23"/>
      <c r="BV387" s="23">
        <v>32600000</v>
      </c>
      <c r="BW387" s="23"/>
      <c r="BX387" s="23"/>
      <c r="BY387" s="23">
        <v>6520000</v>
      </c>
      <c r="BZ387" s="23"/>
      <c r="CA387" s="23">
        <v>6520000</v>
      </c>
      <c r="CB387" s="23"/>
      <c r="CC387" s="23">
        <v>6520000</v>
      </c>
      <c r="CD387" s="23"/>
      <c r="CE387" s="23">
        <v>13040000</v>
      </c>
      <c r="CF387" s="28"/>
      <c r="CG387" s="28"/>
      <c r="CH387" s="25">
        <f t="shared" ref="CH387:CI387" si="762">BH387+BJ387+BL387+BN387+BP387+BR387+BT387+BV387+BX387+BZ387+CB387+CD387+CF387</f>
        <v>32600000</v>
      </c>
      <c r="CI387" s="25">
        <f t="shared" si="762"/>
        <v>32600000</v>
      </c>
      <c r="CJ387" s="26">
        <f t="shared" si="518"/>
        <v>0</v>
      </c>
      <c r="CK387" s="26">
        <f t="shared" si="519"/>
        <v>0</v>
      </c>
    </row>
    <row r="388" spans="1:89" ht="90" customHeight="1" x14ac:dyDescent="0.3">
      <c r="A388" s="13" t="s">
        <v>248</v>
      </c>
      <c r="B388" s="14" t="s">
        <v>30</v>
      </c>
      <c r="C388" s="15" t="s">
        <v>967</v>
      </c>
      <c r="D388" s="14" t="s">
        <v>60</v>
      </c>
      <c r="E388" s="13" t="s">
        <v>250</v>
      </c>
      <c r="F388" s="13" t="s">
        <v>250</v>
      </c>
      <c r="G388" s="14">
        <v>4</v>
      </c>
      <c r="H388" s="92" t="s">
        <v>1123</v>
      </c>
      <c r="I388" s="15" t="s">
        <v>987</v>
      </c>
      <c r="J388" s="14" t="s">
        <v>4</v>
      </c>
      <c r="K388" s="15" t="s">
        <v>72</v>
      </c>
      <c r="L388" s="14">
        <v>80111620</v>
      </c>
      <c r="M388" s="14" t="s">
        <v>33</v>
      </c>
      <c r="N388" s="14" t="s">
        <v>253</v>
      </c>
      <c r="O388" s="15" t="s">
        <v>1124</v>
      </c>
      <c r="P388" s="14" t="s">
        <v>255</v>
      </c>
      <c r="Q388" s="14" t="s">
        <v>255</v>
      </c>
      <c r="R388" s="14" t="s">
        <v>255</v>
      </c>
      <c r="S388" s="17">
        <v>11.3</v>
      </c>
      <c r="T388" s="14" t="s">
        <v>256</v>
      </c>
      <c r="U388" s="14" t="s">
        <v>257</v>
      </c>
      <c r="V388" s="14" t="s">
        <v>112</v>
      </c>
      <c r="W388" s="18">
        <v>35200000</v>
      </c>
      <c r="X388" s="18">
        <v>35200000</v>
      </c>
      <c r="Y388" s="19" t="s">
        <v>339</v>
      </c>
      <c r="Z388" s="19" t="s">
        <v>258</v>
      </c>
      <c r="AA388" s="14" t="s">
        <v>971</v>
      </c>
      <c r="AB388" s="14" t="s">
        <v>972</v>
      </c>
      <c r="AC388" s="14">
        <v>6012220644</v>
      </c>
      <c r="AD388" s="14" t="s">
        <v>973</v>
      </c>
      <c r="AE388" s="82">
        <v>0</v>
      </c>
      <c r="AF388" s="82">
        <v>0</v>
      </c>
      <c r="AG388" s="82">
        <v>0</v>
      </c>
      <c r="AH388" s="82">
        <v>0</v>
      </c>
      <c r="AI388" s="82">
        <v>0</v>
      </c>
      <c r="AJ388" s="82">
        <v>0</v>
      </c>
      <c r="AK388" s="82">
        <v>0</v>
      </c>
      <c r="AL388" s="82">
        <v>0</v>
      </c>
      <c r="AM388" s="82">
        <v>0</v>
      </c>
      <c r="AN388" s="82">
        <v>0</v>
      </c>
      <c r="AO388" s="82">
        <v>0</v>
      </c>
      <c r="AP388" s="82">
        <v>0</v>
      </c>
      <c r="AQ388" s="82">
        <v>0</v>
      </c>
      <c r="AR388" s="82">
        <v>0</v>
      </c>
      <c r="AS388" s="82">
        <v>35200000</v>
      </c>
      <c r="AT388" s="82">
        <v>0</v>
      </c>
      <c r="AU388" s="82">
        <v>0</v>
      </c>
      <c r="AV388" s="82">
        <v>7040000</v>
      </c>
      <c r="AW388" s="82">
        <v>0</v>
      </c>
      <c r="AX388" s="82">
        <v>7040000</v>
      </c>
      <c r="AY388" s="82">
        <v>0</v>
      </c>
      <c r="AZ388" s="82">
        <v>7040000</v>
      </c>
      <c r="BA388" s="82">
        <v>0</v>
      </c>
      <c r="BB388" s="82">
        <v>14080000</v>
      </c>
      <c r="BC388" s="82">
        <f t="shared" ref="BC388:BD388" si="763">AE388+AG388+AI388+AK388+AM388+AO388+AQ388+AS388+AU388+AW388+AY388+BA388</f>
        <v>35200000</v>
      </c>
      <c r="BD388" s="82">
        <f t="shared" si="763"/>
        <v>35200000</v>
      </c>
      <c r="BE388" s="83">
        <f t="shared" si="538"/>
        <v>0</v>
      </c>
      <c r="BF388" s="83">
        <f t="shared" si="539"/>
        <v>0</v>
      </c>
      <c r="BG388" s="14" t="str">
        <f ca="1">IFERROR(__xludf.DUMMYFUNCTION("REGEXEXTRACT(O382,""^\S+\s(.+)$"")"),"Prestar servicios profesionales para la evaluación técnica y documental de proyectos de Fuentes No Convencionales de Energía y Gestión Eficiente de la Energía, en el marco del trámite de incentivos tributarios adelantado por la UPME, conforme a la normati"&amp;"va vigente.")</f>
        <v>Prestar servicios profesionales para la evaluación técnica y documental de proyectos de Fuentes No Convencionales de Energía y Gestión Eficiente de la Energía, en el marco del trámite de incentivos tributarios adelantado por la UPME, conforme a la normativa vigente.</v>
      </c>
      <c r="BH388" s="23"/>
      <c r="BI388" s="23"/>
      <c r="BJ388" s="23"/>
      <c r="BK388" s="23"/>
      <c r="BL388" s="23"/>
      <c r="BM388" s="23"/>
      <c r="BN388" s="23"/>
      <c r="BO388" s="23"/>
      <c r="BP388" s="23"/>
      <c r="BQ388" s="23"/>
      <c r="BR388" s="23"/>
      <c r="BS388" s="23"/>
      <c r="BT388" s="23"/>
      <c r="BU388" s="23"/>
      <c r="BV388" s="23">
        <v>35200000</v>
      </c>
      <c r="BW388" s="23"/>
      <c r="BX388" s="23"/>
      <c r="BY388" s="23">
        <v>7040000</v>
      </c>
      <c r="BZ388" s="23"/>
      <c r="CA388" s="23">
        <v>7040000</v>
      </c>
      <c r="CB388" s="23"/>
      <c r="CC388" s="23">
        <v>7040000</v>
      </c>
      <c r="CD388" s="23"/>
      <c r="CE388" s="23">
        <v>14080000</v>
      </c>
      <c r="CF388" s="28"/>
      <c r="CG388" s="28"/>
      <c r="CH388" s="25">
        <f t="shared" ref="CH388:CI388" si="764">BH388+BJ388+BL388+BN388+BP388+BR388+BT388+BV388+BX388+BZ388+CB388+CD388+CF388</f>
        <v>35200000</v>
      </c>
      <c r="CI388" s="25">
        <f t="shared" si="764"/>
        <v>35200000</v>
      </c>
      <c r="CJ388" s="26">
        <f t="shared" si="518"/>
        <v>0</v>
      </c>
      <c r="CK388" s="26">
        <f t="shared" si="519"/>
        <v>0</v>
      </c>
    </row>
    <row r="389" spans="1:89" ht="90" customHeight="1" x14ac:dyDescent="0.3">
      <c r="A389" s="13" t="s">
        <v>248</v>
      </c>
      <c r="B389" s="14" t="s">
        <v>30</v>
      </c>
      <c r="C389" s="15" t="s">
        <v>967</v>
      </c>
      <c r="D389" s="14" t="s">
        <v>60</v>
      </c>
      <c r="E389" s="13" t="s">
        <v>250</v>
      </c>
      <c r="F389" s="13" t="s">
        <v>250</v>
      </c>
      <c r="G389" s="14">
        <v>22</v>
      </c>
      <c r="H389" s="92" t="s">
        <v>1125</v>
      </c>
      <c r="I389" s="15" t="s">
        <v>969</v>
      </c>
      <c r="J389" s="14" t="s">
        <v>9</v>
      </c>
      <c r="K389" s="15" t="s">
        <v>74</v>
      </c>
      <c r="L389" s="14">
        <v>80141607</v>
      </c>
      <c r="M389" s="14" t="s">
        <v>32</v>
      </c>
      <c r="N389" s="14" t="s">
        <v>284</v>
      </c>
      <c r="O389" s="15" t="s">
        <v>1126</v>
      </c>
      <c r="P389" s="14" t="s">
        <v>255</v>
      </c>
      <c r="Q389" s="14" t="s">
        <v>255</v>
      </c>
      <c r="R389" s="14" t="s">
        <v>255</v>
      </c>
      <c r="S389" s="17">
        <v>11</v>
      </c>
      <c r="T389" s="14" t="s">
        <v>256</v>
      </c>
      <c r="U389" s="14" t="s">
        <v>286</v>
      </c>
      <c r="V389" s="14" t="s">
        <v>112</v>
      </c>
      <c r="W389" s="18">
        <v>80000000</v>
      </c>
      <c r="X389" s="18">
        <v>80000000</v>
      </c>
      <c r="Y389" s="19" t="s">
        <v>339</v>
      </c>
      <c r="Z389" s="19" t="s">
        <v>258</v>
      </c>
      <c r="AA389" s="14" t="s">
        <v>971</v>
      </c>
      <c r="AB389" s="14" t="s">
        <v>972</v>
      </c>
      <c r="AC389" s="14">
        <v>6012220644</v>
      </c>
      <c r="AD389" s="14" t="s">
        <v>973</v>
      </c>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c r="BC389" s="82"/>
      <c r="BD389" s="82"/>
      <c r="BE389" s="83"/>
      <c r="BF389" s="83"/>
      <c r="BG389" s="14" t="str">
        <f ca="1">IFERROR(__xludf.DUMMYFUNCTION("REGEXEXTRACT(O383,""^\S+\s(.+)$"")"),"Prestación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389" s="23">
        <v>80000000</v>
      </c>
      <c r="BI389" s="23">
        <v>0</v>
      </c>
      <c r="BJ389" s="23">
        <v>0</v>
      </c>
      <c r="BK389" s="23">
        <v>0</v>
      </c>
      <c r="BL389" s="23">
        <v>0</v>
      </c>
      <c r="BM389" s="23">
        <v>0</v>
      </c>
      <c r="BN389" s="23">
        <v>0</v>
      </c>
      <c r="BO389" s="23">
        <v>0</v>
      </c>
      <c r="BP389" s="23">
        <v>0</v>
      </c>
      <c r="BQ389" s="23">
        <v>0</v>
      </c>
      <c r="BR389" s="23">
        <v>0</v>
      </c>
      <c r="BS389" s="23">
        <v>0</v>
      </c>
      <c r="BT389" s="23">
        <v>0</v>
      </c>
      <c r="BU389" s="23">
        <v>0</v>
      </c>
      <c r="BV389" s="23">
        <v>0</v>
      </c>
      <c r="BW389" s="23">
        <v>0</v>
      </c>
      <c r="BX389" s="23">
        <v>0</v>
      </c>
      <c r="BY389" s="23">
        <v>0</v>
      </c>
      <c r="BZ389" s="23">
        <v>0</v>
      </c>
      <c r="CA389" s="23">
        <v>0</v>
      </c>
      <c r="CB389" s="23">
        <v>0</v>
      </c>
      <c r="CC389" s="23">
        <v>30000000</v>
      </c>
      <c r="CD389" s="23">
        <v>0</v>
      </c>
      <c r="CE389" s="23">
        <v>50000000</v>
      </c>
      <c r="CF389" s="28"/>
      <c r="CG389" s="28"/>
      <c r="CH389" s="25">
        <f t="shared" ref="CH389:CI389" si="765">BH389+BJ389+BL389+BN389+BP389+BR389+BT389+BV389+BX389+BZ389+CB389+CD389+CF389</f>
        <v>80000000</v>
      </c>
      <c r="CI389" s="25">
        <f t="shared" si="765"/>
        <v>80000000</v>
      </c>
      <c r="CJ389" s="26">
        <f t="shared" si="518"/>
        <v>0</v>
      </c>
      <c r="CK389" s="26">
        <f t="shared" si="519"/>
        <v>0</v>
      </c>
    </row>
    <row r="390" spans="1:89" ht="90" customHeight="1" x14ac:dyDescent="0.3">
      <c r="A390" s="13" t="s">
        <v>248</v>
      </c>
      <c r="B390" s="14" t="s">
        <v>34</v>
      </c>
      <c r="C390" s="15" t="s">
        <v>1127</v>
      </c>
      <c r="D390" s="14" t="s">
        <v>61</v>
      </c>
      <c r="E390" s="13" t="s">
        <v>250</v>
      </c>
      <c r="F390" s="13" t="s">
        <v>250</v>
      </c>
      <c r="G390" s="14">
        <v>68</v>
      </c>
      <c r="H390" s="13" t="s">
        <v>1128</v>
      </c>
      <c r="I390" s="15" t="s">
        <v>1129</v>
      </c>
      <c r="J390" s="14" t="s">
        <v>9</v>
      </c>
      <c r="K390" s="15" t="s">
        <v>77</v>
      </c>
      <c r="L390" s="14">
        <v>80111620</v>
      </c>
      <c r="M390" s="14" t="s">
        <v>35</v>
      </c>
      <c r="N390" s="14" t="s">
        <v>253</v>
      </c>
      <c r="O390" s="15" t="s">
        <v>1130</v>
      </c>
      <c r="P390" s="14" t="s">
        <v>255</v>
      </c>
      <c r="Q390" s="14" t="s">
        <v>255</v>
      </c>
      <c r="R390" s="14" t="s">
        <v>255</v>
      </c>
      <c r="S390" s="17">
        <v>12</v>
      </c>
      <c r="T390" s="14" t="s">
        <v>256</v>
      </c>
      <c r="U390" s="14" t="s">
        <v>257</v>
      </c>
      <c r="V390" s="14" t="s">
        <v>112</v>
      </c>
      <c r="W390" s="18">
        <v>63335100</v>
      </c>
      <c r="X390" s="18">
        <v>63335100</v>
      </c>
      <c r="Y390" s="19" t="s">
        <v>1106</v>
      </c>
      <c r="Z390" s="19" t="s">
        <v>1131</v>
      </c>
      <c r="AA390" s="14" t="s">
        <v>1132</v>
      </c>
      <c r="AB390" s="14" t="s">
        <v>1133</v>
      </c>
      <c r="AC390" s="14">
        <v>6012220601</v>
      </c>
      <c r="AD390" s="14" t="s">
        <v>1134</v>
      </c>
      <c r="AE390" s="82">
        <v>38551800</v>
      </c>
      <c r="AF390" s="82">
        <v>0</v>
      </c>
      <c r="AG390" s="82">
        <v>0</v>
      </c>
      <c r="AH390" s="82">
        <v>5507400</v>
      </c>
      <c r="AI390" s="82">
        <v>0</v>
      </c>
      <c r="AJ390" s="82">
        <v>5507400</v>
      </c>
      <c r="AK390" s="82">
        <v>0</v>
      </c>
      <c r="AL390" s="82">
        <v>5507400</v>
      </c>
      <c r="AM390" s="82">
        <v>0</v>
      </c>
      <c r="AN390" s="82">
        <v>5507400</v>
      </c>
      <c r="AO390" s="82">
        <v>0</v>
      </c>
      <c r="AP390" s="82">
        <v>5507400</v>
      </c>
      <c r="AQ390" s="82">
        <v>0</v>
      </c>
      <c r="AR390" s="82">
        <v>5507400</v>
      </c>
      <c r="AS390" s="82">
        <v>24783300</v>
      </c>
      <c r="AT390" s="82">
        <v>5507400</v>
      </c>
      <c r="AU390" s="82">
        <v>0</v>
      </c>
      <c r="AV390" s="82">
        <v>2753700</v>
      </c>
      <c r="AW390" s="82">
        <v>0</v>
      </c>
      <c r="AX390" s="82">
        <v>5507400</v>
      </c>
      <c r="AY390" s="82">
        <v>0</v>
      </c>
      <c r="AZ390" s="82">
        <v>5507400</v>
      </c>
      <c r="BA390" s="82">
        <v>0</v>
      </c>
      <c r="BB390" s="82">
        <v>11014800</v>
      </c>
      <c r="BC390" s="82">
        <f t="shared" ref="BC390:BD390" si="766">AE390+AG390+AI390+AK390+AM390+AO390+AQ390+AS390+AU390+AW390+AY390+BA390</f>
        <v>63335100</v>
      </c>
      <c r="BD390" s="82">
        <f t="shared" si="766"/>
        <v>63335100</v>
      </c>
      <c r="BE390" s="83">
        <f t="shared" ref="BE390:BE411" si="767">X390-BC390</f>
        <v>0</v>
      </c>
      <c r="BF390" s="83">
        <f t="shared" ref="BF390:BF411" si="768">X390-BD390</f>
        <v>0</v>
      </c>
      <c r="BG390" s="14" t="str">
        <f ca="1">IFERROR(__xludf.DUMMYFUNCTION("REGEXEXTRACT(O384,""^\S+\s(.+)$"")"),"Prestar servicios profesionales para adelantar la gestión contractual de la Subdirección de Energía Eléctrica y de la entidad, en asocio con el GIT de Gestión Contractual.")</f>
        <v>Prestar servicios profesionales para adelantar la gestión contractual de la Subdirección de Energía Eléctrica y de la entidad, en asocio con el GIT de Gestión Contractual.</v>
      </c>
      <c r="BH390" s="23">
        <v>38551800</v>
      </c>
      <c r="BI390" s="23"/>
      <c r="BJ390" s="23"/>
      <c r="BK390" s="23">
        <v>5507400</v>
      </c>
      <c r="BL390" s="23"/>
      <c r="BM390" s="23">
        <v>5507400</v>
      </c>
      <c r="BN390" s="23"/>
      <c r="BO390" s="23">
        <v>5507400</v>
      </c>
      <c r="BP390" s="23"/>
      <c r="BQ390" s="23">
        <v>5507400</v>
      </c>
      <c r="BR390" s="23"/>
      <c r="BS390" s="23">
        <v>5507400</v>
      </c>
      <c r="BT390" s="23"/>
      <c r="BU390" s="23">
        <v>5507400</v>
      </c>
      <c r="BV390" s="23">
        <v>24783300</v>
      </c>
      <c r="BW390" s="23">
        <v>5507400</v>
      </c>
      <c r="BX390" s="23"/>
      <c r="BY390" s="23">
        <v>2753700</v>
      </c>
      <c r="BZ390" s="23"/>
      <c r="CA390" s="23">
        <v>5507400</v>
      </c>
      <c r="CB390" s="23"/>
      <c r="CC390" s="23">
        <v>5507400</v>
      </c>
      <c r="CD390" s="23"/>
      <c r="CE390" s="23">
        <v>11014800</v>
      </c>
      <c r="CF390" s="28"/>
      <c r="CG390" s="28"/>
      <c r="CH390" s="25">
        <f t="shared" ref="CH390:CI390" si="769">BH390+BJ390+BL390+BN390+BP390+BR390+BT390+BV390+BX390+BZ390+CB390+CD390+CF390</f>
        <v>63335100</v>
      </c>
      <c r="CI390" s="25">
        <f t="shared" si="769"/>
        <v>63335100</v>
      </c>
      <c r="CJ390" s="26">
        <f t="shared" si="518"/>
        <v>0</v>
      </c>
      <c r="CK390" s="26">
        <f t="shared" si="519"/>
        <v>0</v>
      </c>
    </row>
    <row r="391" spans="1:89" ht="90" customHeight="1" x14ac:dyDescent="0.3">
      <c r="A391" s="13" t="s">
        <v>248</v>
      </c>
      <c r="B391" s="14" t="s">
        <v>34</v>
      </c>
      <c r="C391" s="15" t="s">
        <v>1127</v>
      </c>
      <c r="D391" s="14" t="s">
        <v>61</v>
      </c>
      <c r="E391" s="13" t="s">
        <v>250</v>
      </c>
      <c r="F391" s="13" t="s">
        <v>250</v>
      </c>
      <c r="G391" s="14">
        <v>68</v>
      </c>
      <c r="H391" s="13" t="s">
        <v>1135</v>
      </c>
      <c r="I391" s="15" t="s">
        <v>1129</v>
      </c>
      <c r="J391" s="14" t="s">
        <v>9</v>
      </c>
      <c r="K391" s="15" t="s">
        <v>77</v>
      </c>
      <c r="L391" s="14">
        <v>80111620</v>
      </c>
      <c r="M391" s="14" t="s">
        <v>35</v>
      </c>
      <c r="N391" s="14" t="s">
        <v>253</v>
      </c>
      <c r="O391" s="15" t="s">
        <v>1136</v>
      </c>
      <c r="P391" s="14" t="s">
        <v>255</v>
      </c>
      <c r="Q391" s="14" t="s">
        <v>255</v>
      </c>
      <c r="R391" s="14" t="s">
        <v>255</v>
      </c>
      <c r="S391" s="17">
        <v>10</v>
      </c>
      <c r="T391" s="14" t="s">
        <v>256</v>
      </c>
      <c r="U391" s="14" t="s">
        <v>257</v>
      </c>
      <c r="V391" s="14" t="s">
        <v>112</v>
      </c>
      <c r="W391" s="18">
        <v>70000000</v>
      </c>
      <c r="X391" s="18">
        <v>70000000</v>
      </c>
      <c r="Y391" s="19" t="s">
        <v>339</v>
      </c>
      <c r="Z391" s="19" t="s">
        <v>258</v>
      </c>
      <c r="AA391" s="14" t="s">
        <v>1132</v>
      </c>
      <c r="AB391" s="14" t="s">
        <v>1133</v>
      </c>
      <c r="AC391" s="14">
        <v>6012220601</v>
      </c>
      <c r="AD391" s="14" t="s">
        <v>1134</v>
      </c>
      <c r="AE391" s="82">
        <v>70000000</v>
      </c>
      <c r="AF391" s="82">
        <v>0</v>
      </c>
      <c r="AG391" s="82">
        <v>0</v>
      </c>
      <c r="AH391" s="82">
        <v>0</v>
      </c>
      <c r="AI391" s="82">
        <v>0</v>
      </c>
      <c r="AJ391" s="82">
        <v>7000000</v>
      </c>
      <c r="AK391" s="82">
        <v>0</v>
      </c>
      <c r="AL391" s="82">
        <v>7000000</v>
      </c>
      <c r="AM391" s="82">
        <v>0</v>
      </c>
      <c r="AN391" s="82">
        <v>7000000</v>
      </c>
      <c r="AO391" s="82">
        <v>0</v>
      </c>
      <c r="AP391" s="82">
        <v>7000000</v>
      </c>
      <c r="AQ391" s="82">
        <v>0</v>
      </c>
      <c r="AR391" s="82">
        <v>7000000</v>
      </c>
      <c r="AS391" s="82">
        <v>0</v>
      </c>
      <c r="AT391" s="82">
        <v>7000000</v>
      </c>
      <c r="AU391" s="82">
        <v>0</v>
      </c>
      <c r="AV391" s="82">
        <v>7000000</v>
      </c>
      <c r="AW391" s="82">
        <v>0</v>
      </c>
      <c r="AX391" s="82">
        <v>7000000</v>
      </c>
      <c r="AY391" s="82">
        <v>0</v>
      </c>
      <c r="AZ391" s="82">
        <v>7000000</v>
      </c>
      <c r="BA391" s="82">
        <v>0</v>
      </c>
      <c r="BB391" s="82">
        <v>7000000</v>
      </c>
      <c r="BC391" s="82">
        <f t="shared" ref="BC391:BD391" si="770">AE391+AG391+AI391+AK391+AM391+AO391+AQ391+AS391+AU391+AW391+AY391+BA391</f>
        <v>70000000</v>
      </c>
      <c r="BD391" s="82">
        <f t="shared" si="770"/>
        <v>70000000</v>
      </c>
      <c r="BE391" s="83">
        <f t="shared" si="767"/>
        <v>0</v>
      </c>
      <c r="BF391" s="83">
        <f t="shared" si="768"/>
        <v>0</v>
      </c>
      <c r="BG391" s="14" t="str">
        <f ca="1">IFERROR(__xludf.DUMMYFUNCTION("REGEXEXTRACT(O385,""^\S+\s(.+)$"")"),"Prestar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391" s="23">
        <v>70000000</v>
      </c>
      <c r="BI391" s="23"/>
      <c r="BJ391" s="23"/>
      <c r="BK391" s="23"/>
      <c r="BL391" s="23"/>
      <c r="BM391" s="23">
        <v>7000000</v>
      </c>
      <c r="BN391" s="23"/>
      <c r="BO391" s="23">
        <v>7000000</v>
      </c>
      <c r="BP391" s="23"/>
      <c r="BQ391" s="23">
        <v>7000000</v>
      </c>
      <c r="BR391" s="23"/>
      <c r="BS391" s="23">
        <v>7000000</v>
      </c>
      <c r="BT391" s="23"/>
      <c r="BU391" s="23">
        <v>7000000</v>
      </c>
      <c r="BV391" s="23"/>
      <c r="BW391" s="23">
        <v>7000000</v>
      </c>
      <c r="BX391" s="23"/>
      <c r="BY391" s="23">
        <v>7000000</v>
      </c>
      <c r="BZ391" s="23"/>
      <c r="CA391" s="23">
        <v>7000000</v>
      </c>
      <c r="CB391" s="23"/>
      <c r="CC391" s="23">
        <v>7000000</v>
      </c>
      <c r="CD391" s="23"/>
      <c r="CE391" s="23">
        <v>7000000</v>
      </c>
      <c r="CF391" s="28"/>
      <c r="CG391" s="28"/>
      <c r="CH391" s="25">
        <f t="shared" ref="CH391:CI391" si="771">BH391+BJ391+BL391+BN391+BP391+BR391+BT391+BV391+BX391+BZ391+CB391+CD391+CF391</f>
        <v>70000000</v>
      </c>
      <c r="CI391" s="25">
        <f t="shared" si="771"/>
        <v>70000000</v>
      </c>
      <c r="CJ391" s="26">
        <f t="shared" si="518"/>
        <v>0</v>
      </c>
      <c r="CK391" s="26">
        <f t="shared" si="519"/>
        <v>0</v>
      </c>
    </row>
    <row r="392" spans="1:89" ht="90" customHeight="1" x14ac:dyDescent="0.3">
      <c r="A392" s="13" t="s">
        <v>248</v>
      </c>
      <c r="B392" s="14" t="s">
        <v>34</v>
      </c>
      <c r="C392" s="15" t="s">
        <v>1127</v>
      </c>
      <c r="D392" s="14" t="s">
        <v>61</v>
      </c>
      <c r="E392" s="13" t="s">
        <v>250</v>
      </c>
      <c r="F392" s="13" t="s">
        <v>250</v>
      </c>
      <c r="G392" s="14">
        <v>68</v>
      </c>
      <c r="H392" s="13" t="s">
        <v>1137</v>
      </c>
      <c r="I392" s="15" t="s">
        <v>1138</v>
      </c>
      <c r="J392" s="14" t="s">
        <v>18</v>
      </c>
      <c r="K392" s="15" t="s">
        <v>79</v>
      </c>
      <c r="L392" s="14">
        <v>80111620</v>
      </c>
      <c r="M392" s="14" t="s">
        <v>36</v>
      </c>
      <c r="N392" s="14" t="s">
        <v>253</v>
      </c>
      <c r="O392" s="15" t="s">
        <v>1139</v>
      </c>
      <c r="P392" s="14" t="s">
        <v>255</v>
      </c>
      <c r="Q392" s="14" t="s">
        <v>255</v>
      </c>
      <c r="R392" s="14" t="s">
        <v>255</v>
      </c>
      <c r="S392" s="17">
        <v>10</v>
      </c>
      <c r="T392" s="14" t="s">
        <v>256</v>
      </c>
      <c r="U392" s="14" t="s">
        <v>257</v>
      </c>
      <c r="V392" s="14" t="s">
        <v>112</v>
      </c>
      <c r="W392" s="18">
        <v>1355610</v>
      </c>
      <c r="X392" s="18">
        <v>1355610</v>
      </c>
      <c r="Y392" s="19" t="s">
        <v>339</v>
      </c>
      <c r="Z392" s="19" t="s">
        <v>258</v>
      </c>
      <c r="AA392" s="14" t="s">
        <v>1132</v>
      </c>
      <c r="AB392" s="14" t="s">
        <v>1133</v>
      </c>
      <c r="AC392" s="14">
        <v>6012220601</v>
      </c>
      <c r="AD392" s="14" t="s">
        <v>1134</v>
      </c>
      <c r="AE392" s="82">
        <v>1355610</v>
      </c>
      <c r="AF392" s="82">
        <v>0</v>
      </c>
      <c r="AG392" s="82">
        <v>0</v>
      </c>
      <c r="AH392" s="82">
        <v>0</v>
      </c>
      <c r="AI392" s="82">
        <v>0</v>
      </c>
      <c r="AJ392" s="82">
        <v>135561</v>
      </c>
      <c r="AK392" s="82">
        <v>0</v>
      </c>
      <c r="AL392" s="82">
        <v>135561</v>
      </c>
      <c r="AM392" s="82">
        <v>0</v>
      </c>
      <c r="AN392" s="82">
        <v>135561</v>
      </c>
      <c r="AO392" s="82">
        <v>0</v>
      </c>
      <c r="AP392" s="82">
        <v>135561</v>
      </c>
      <c r="AQ392" s="82">
        <v>0</v>
      </c>
      <c r="AR392" s="82">
        <v>135561</v>
      </c>
      <c r="AS392" s="82">
        <v>0</v>
      </c>
      <c r="AT392" s="82">
        <v>135561</v>
      </c>
      <c r="AU392" s="82">
        <v>0</v>
      </c>
      <c r="AV392" s="82">
        <v>135561</v>
      </c>
      <c r="AW392" s="82">
        <v>0</v>
      </c>
      <c r="AX392" s="82">
        <v>135561</v>
      </c>
      <c r="AY392" s="82">
        <v>0</v>
      </c>
      <c r="AZ392" s="82">
        <v>135561</v>
      </c>
      <c r="BA392" s="82">
        <v>0</v>
      </c>
      <c r="BB392" s="82">
        <v>135561</v>
      </c>
      <c r="BC392" s="82">
        <f t="shared" ref="BC392:BD392" si="772">AE392+AG392+AI392+AK392+AM392+AO392+AQ392+AS392+AU392+AW392+AY392+BA392</f>
        <v>1355610</v>
      </c>
      <c r="BD392" s="82">
        <f t="shared" si="772"/>
        <v>1355610</v>
      </c>
      <c r="BE392" s="83">
        <f t="shared" si="767"/>
        <v>0</v>
      </c>
      <c r="BF392" s="83">
        <f t="shared" si="768"/>
        <v>0</v>
      </c>
      <c r="BG392" s="14" t="str">
        <f ca="1">IFERROR(__xludf.DUMMYFUNCTION("REGEXEXTRACT(O386,""^\S+\s(.+)$"")"),"Brindar servicios profesionales de asesoría en asuntos jurídicos y regulatorios a la Subdirección de Energía Eléctrica, en el marco de los procedimientos y actuaciones que adelante")</f>
        <v>Brindar servicios profesionales de asesoría en asuntos jurídicos y regulatorios a la Subdirección de Energía Eléctrica, en el marco de los procedimientos y actuaciones que adelante</v>
      </c>
      <c r="BH392" s="23">
        <v>1355610</v>
      </c>
      <c r="BI392" s="23"/>
      <c r="BJ392" s="23"/>
      <c r="BK392" s="23"/>
      <c r="BL392" s="23"/>
      <c r="BM392" s="23">
        <v>135561</v>
      </c>
      <c r="BN392" s="23"/>
      <c r="BO392" s="23">
        <v>135561</v>
      </c>
      <c r="BP392" s="23"/>
      <c r="BQ392" s="23">
        <v>135561</v>
      </c>
      <c r="BR392" s="23"/>
      <c r="BS392" s="23">
        <v>135561</v>
      </c>
      <c r="BT392" s="23"/>
      <c r="BU392" s="23">
        <v>135561</v>
      </c>
      <c r="BV392" s="23"/>
      <c r="BW392" s="23">
        <v>135561</v>
      </c>
      <c r="BX392" s="23"/>
      <c r="BY392" s="23">
        <v>135561</v>
      </c>
      <c r="BZ392" s="23"/>
      <c r="CA392" s="23">
        <v>135561</v>
      </c>
      <c r="CB392" s="23"/>
      <c r="CC392" s="23">
        <v>135561</v>
      </c>
      <c r="CD392" s="23"/>
      <c r="CE392" s="23">
        <v>135561</v>
      </c>
      <c r="CF392" s="28"/>
      <c r="CG392" s="28"/>
      <c r="CH392" s="25">
        <f t="shared" ref="CH392:CI392" si="773">BH392+BJ392+BL392+BN392+BP392+BR392+BT392+BV392+BX392+BZ392+CB392+CD392+CF392</f>
        <v>1355610</v>
      </c>
      <c r="CI392" s="25">
        <f t="shared" si="773"/>
        <v>1355610</v>
      </c>
      <c r="CJ392" s="26">
        <f t="shared" si="518"/>
        <v>0</v>
      </c>
      <c r="CK392" s="26">
        <f t="shared" si="519"/>
        <v>0</v>
      </c>
    </row>
    <row r="393" spans="1:89" ht="90" customHeight="1" x14ac:dyDescent="0.3">
      <c r="A393" s="13" t="s">
        <v>248</v>
      </c>
      <c r="B393" s="14" t="s">
        <v>34</v>
      </c>
      <c r="C393" s="15" t="s">
        <v>1127</v>
      </c>
      <c r="D393" s="14" t="s">
        <v>61</v>
      </c>
      <c r="E393" s="13" t="s">
        <v>250</v>
      </c>
      <c r="F393" s="13" t="s">
        <v>250</v>
      </c>
      <c r="G393" s="14">
        <v>3</v>
      </c>
      <c r="H393" s="13" t="s">
        <v>1140</v>
      </c>
      <c r="I393" s="15" t="s">
        <v>1129</v>
      </c>
      <c r="J393" s="14" t="s">
        <v>9</v>
      </c>
      <c r="K393" s="15" t="s">
        <v>77</v>
      </c>
      <c r="L393" s="14">
        <v>80111620</v>
      </c>
      <c r="M393" s="14" t="s">
        <v>35</v>
      </c>
      <c r="N393" s="14" t="s">
        <v>253</v>
      </c>
      <c r="O393" s="15" t="s">
        <v>1141</v>
      </c>
      <c r="P393" s="14" t="s">
        <v>255</v>
      </c>
      <c r="Q393" s="14" t="s">
        <v>255</v>
      </c>
      <c r="R393" s="14" t="s">
        <v>255</v>
      </c>
      <c r="S393" s="17">
        <v>10</v>
      </c>
      <c r="T393" s="14" t="s">
        <v>256</v>
      </c>
      <c r="U393" s="14" t="s">
        <v>257</v>
      </c>
      <c r="V393" s="14" t="s">
        <v>112</v>
      </c>
      <c r="W393" s="18">
        <v>8000000</v>
      </c>
      <c r="X393" s="18">
        <v>8000000</v>
      </c>
      <c r="Y393" s="19" t="s">
        <v>339</v>
      </c>
      <c r="Z393" s="19" t="s">
        <v>258</v>
      </c>
      <c r="AA393" s="14" t="s">
        <v>1132</v>
      </c>
      <c r="AB393" s="14" t="s">
        <v>1133</v>
      </c>
      <c r="AC393" s="14">
        <v>6012220601</v>
      </c>
      <c r="AD393" s="14" t="s">
        <v>1134</v>
      </c>
      <c r="AE393" s="82">
        <v>3000000</v>
      </c>
      <c r="AF393" s="82">
        <v>0</v>
      </c>
      <c r="AG393" s="82">
        <v>0</v>
      </c>
      <c r="AH393" s="82">
        <v>0</v>
      </c>
      <c r="AI393" s="82">
        <v>0</v>
      </c>
      <c r="AJ393" s="82">
        <v>800000</v>
      </c>
      <c r="AK393" s="82">
        <v>0</v>
      </c>
      <c r="AL393" s="82">
        <v>800000</v>
      </c>
      <c r="AM393" s="82">
        <v>0</v>
      </c>
      <c r="AN393" s="82">
        <v>800000</v>
      </c>
      <c r="AO393" s="82">
        <v>0</v>
      </c>
      <c r="AP393" s="82">
        <v>800000</v>
      </c>
      <c r="AQ393" s="82">
        <v>0</v>
      </c>
      <c r="AR393" s="82">
        <v>800000</v>
      </c>
      <c r="AS393" s="82">
        <v>0</v>
      </c>
      <c r="AT393" s="82">
        <v>800000</v>
      </c>
      <c r="AU393" s="82">
        <v>0</v>
      </c>
      <c r="AV393" s="82">
        <v>800000</v>
      </c>
      <c r="AW393" s="82">
        <v>0</v>
      </c>
      <c r="AX393" s="82">
        <v>800000</v>
      </c>
      <c r="AY393" s="82">
        <v>5000000</v>
      </c>
      <c r="AZ393" s="82">
        <v>800000</v>
      </c>
      <c r="BA393" s="82">
        <v>0</v>
      </c>
      <c r="BB393" s="82">
        <v>800000</v>
      </c>
      <c r="BC393" s="82">
        <f t="shared" ref="BC393:BD393" si="774">AE393+AG393+AI393+AK393+AM393+AO393+AQ393+AS393+AU393+AW393+AY393+BA393</f>
        <v>8000000</v>
      </c>
      <c r="BD393" s="82">
        <f t="shared" si="774"/>
        <v>8000000</v>
      </c>
      <c r="BE393" s="83">
        <f t="shared" si="767"/>
        <v>0</v>
      </c>
      <c r="BF393" s="83">
        <f t="shared" si="768"/>
        <v>0</v>
      </c>
      <c r="BG393" s="14" t="str">
        <f ca="1">IFERROR(__xludf.DUMMYFUNCTION("REGEXEXTRACT(O387,""^\S+\s(.+)$"")"),"Prestar servicios profesionales de diagramación de documentos, diseño y diagramación de datos, creación de piezas para canales digitales de la UPME y necesidades generales de diseño en el área de comunicaciones")</f>
        <v>Prestar servicios profesionales de diagramación de documentos, diseño y diagramación de datos, creación de piezas para canales digitales de la UPME y necesidades generales de diseño en el área de comunicaciones</v>
      </c>
      <c r="BH393" s="23">
        <v>3000000</v>
      </c>
      <c r="BI393" s="23"/>
      <c r="BJ393" s="23"/>
      <c r="BK393" s="23"/>
      <c r="BL393" s="23"/>
      <c r="BM393" s="23">
        <v>800000</v>
      </c>
      <c r="BN393" s="23"/>
      <c r="BO393" s="23">
        <v>800000</v>
      </c>
      <c r="BP393" s="23"/>
      <c r="BQ393" s="23">
        <v>800000</v>
      </c>
      <c r="BR393" s="23"/>
      <c r="BS393" s="23">
        <v>800000</v>
      </c>
      <c r="BT393" s="23"/>
      <c r="BU393" s="23">
        <v>800000</v>
      </c>
      <c r="BV393" s="23"/>
      <c r="BW393" s="23">
        <v>800000</v>
      </c>
      <c r="BX393" s="23"/>
      <c r="BY393" s="23">
        <v>800000</v>
      </c>
      <c r="BZ393" s="23"/>
      <c r="CA393" s="23">
        <v>800000</v>
      </c>
      <c r="CB393" s="23">
        <v>5000000</v>
      </c>
      <c r="CC393" s="23">
        <v>800000</v>
      </c>
      <c r="CD393" s="23"/>
      <c r="CE393" s="23">
        <v>800000</v>
      </c>
      <c r="CF393" s="28"/>
      <c r="CG393" s="28"/>
      <c r="CH393" s="25">
        <f t="shared" ref="CH393:CI393" si="775">BH393+BJ393+BL393+BN393+BP393+BR393+BT393+BV393+BX393+BZ393+CB393+CD393+CF393</f>
        <v>8000000</v>
      </c>
      <c r="CI393" s="25">
        <f t="shared" si="775"/>
        <v>8000000</v>
      </c>
      <c r="CJ393" s="26">
        <f t="shared" si="518"/>
        <v>0</v>
      </c>
      <c r="CK393" s="26">
        <f t="shared" si="519"/>
        <v>0</v>
      </c>
    </row>
    <row r="394" spans="1:89" ht="90" customHeight="1" x14ac:dyDescent="0.3">
      <c r="A394" s="13" t="s">
        <v>248</v>
      </c>
      <c r="B394" s="14" t="s">
        <v>34</v>
      </c>
      <c r="C394" s="15" t="s">
        <v>1127</v>
      </c>
      <c r="D394" s="14" t="s">
        <v>61</v>
      </c>
      <c r="E394" s="13" t="s">
        <v>250</v>
      </c>
      <c r="F394" s="13" t="s">
        <v>250</v>
      </c>
      <c r="G394" s="14">
        <v>20</v>
      </c>
      <c r="H394" s="13" t="s">
        <v>1142</v>
      </c>
      <c r="I394" s="15" t="s">
        <v>1129</v>
      </c>
      <c r="J394" s="14" t="s">
        <v>9</v>
      </c>
      <c r="K394" s="15" t="s">
        <v>77</v>
      </c>
      <c r="L394" s="14">
        <v>80111620</v>
      </c>
      <c r="M394" s="14" t="s">
        <v>35</v>
      </c>
      <c r="N394" s="14" t="s">
        <v>253</v>
      </c>
      <c r="O394" s="15" t="s">
        <v>1143</v>
      </c>
      <c r="P394" s="14" t="s">
        <v>255</v>
      </c>
      <c r="Q394" s="14" t="s">
        <v>255</v>
      </c>
      <c r="R394" s="14" t="s">
        <v>255</v>
      </c>
      <c r="S394" s="17">
        <v>10</v>
      </c>
      <c r="T394" s="14" t="s">
        <v>256</v>
      </c>
      <c r="U394" s="14" t="s">
        <v>257</v>
      </c>
      <c r="V394" s="14" t="s">
        <v>112</v>
      </c>
      <c r="W394" s="18">
        <v>0</v>
      </c>
      <c r="X394" s="18">
        <v>0</v>
      </c>
      <c r="Y394" s="19" t="s">
        <v>339</v>
      </c>
      <c r="Z394" s="19" t="s">
        <v>258</v>
      </c>
      <c r="AA394" s="14" t="s">
        <v>1132</v>
      </c>
      <c r="AB394" s="14" t="s">
        <v>1133</v>
      </c>
      <c r="AC394" s="14">
        <v>6012220601</v>
      </c>
      <c r="AD394" s="14" t="s">
        <v>1134</v>
      </c>
      <c r="AE394" s="82">
        <v>0</v>
      </c>
      <c r="AF394" s="82">
        <v>0</v>
      </c>
      <c r="AG394" s="82">
        <v>32000000</v>
      </c>
      <c r="AH394" s="82">
        <v>0</v>
      </c>
      <c r="AI394" s="82">
        <v>0</v>
      </c>
      <c r="AJ394" s="82">
        <v>3200000</v>
      </c>
      <c r="AK394" s="82">
        <v>0</v>
      </c>
      <c r="AL394" s="82">
        <v>3200000</v>
      </c>
      <c r="AM394" s="82">
        <v>0</v>
      </c>
      <c r="AN394" s="82">
        <v>3200000</v>
      </c>
      <c r="AO394" s="82">
        <v>0</v>
      </c>
      <c r="AP394" s="82">
        <v>3200000</v>
      </c>
      <c r="AQ394" s="82">
        <v>0</v>
      </c>
      <c r="AR394" s="82">
        <v>3200000</v>
      </c>
      <c r="AS394" s="82">
        <v>0</v>
      </c>
      <c r="AT394" s="82">
        <v>3200000</v>
      </c>
      <c r="AU394" s="82">
        <v>0</v>
      </c>
      <c r="AV394" s="82">
        <v>3200000</v>
      </c>
      <c r="AW394" s="82">
        <v>0</v>
      </c>
      <c r="AX394" s="82">
        <v>3200000</v>
      </c>
      <c r="AY394" s="82">
        <v>0</v>
      </c>
      <c r="AZ394" s="82">
        <v>3200000</v>
      </c>
      <c r="BA394" s="82">
        <v>0</v>
      </c>
      <c r="BB394" s="82">
        <v>3200000</v>
      </c>
      <c r="BC394" s="82">
        <f t="shared" ref="BC394:BD394" si="776">AE394+AG394+AI394+AK394+AM394+AO394+AQ394+AS394+AU394+AW394+AY394+BA394</f>
        <v>32000000</v>
      </c>
      <c r="BD394" s="82">
        <f t="shared" si="776"/>
        <v>32000000</v>
      </c>
      <c r="BE394" s="83">
        <f t="shared" si="767"/>
        <v>-32000000</v>
      </c>
      <c r="BF394" s="83">
        <f t="shared" si="768"/>
        <v>-32000000</v>
      </c>
      <c r="BG394" s="14" t="str">
        <f ca="1">IFERROR(__xludf.DUMMYFUNCTION("REGEXEXTRACT(O388,""^\S+\s(.+)$"")"),"Prestar servicios profesionales para la creación, producción y gestión de contenidos digitales, audiovisuales y editoriales, en alineación con el Plan Estratégico de Comunicaciones de la UPME")</f>
        <v>Prestar servicios profesionales para la creación, producción y gestión de contenidos digitales, audiovisuales y editoriales, en alineación con el Plan Estratégico de Comunicaciones de la UPME</v>
      </c>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8"/>
      <c r="CG394" s="28"/>
      <c r="CH394" s="25">
        <f t="shared" ref="CH394:CI394" si="777">BH394+BJ394+BL394+BN394+BP394+BR394+BT394+BV394+BX394+BZ394+CB394+CD394+CF394</f>
        <v>0</v>
      </c>
      <c r="CI394" s="25">
        <f t="shared" si="777"/>
        <v>0</v>
      </c>
      <c r="CJ394" s="26">
        <f t="shared" si="518"/>
        <v>0</v>
      </c>
      <c r="CK394" s="26">
        <f t="shared" si="519"/>
        <v>0</v>
      </c>
    </row>
    <row r="395" spans="1:89" ht="90" customHeight="1" x14ac:dyDescent="0.3">
      <c r="A395" s="13" t="s">
        <v>248</v>
      </c>
      <c r="B395" s="14" t="s">
        <v>34</v>
      </c>
      <c r="C395" s="15" t="s">
        <v>1127</v>
      </c>
      <c r="D395" s="14" t="s">
        <v>61</v>
      </c>
      <c r="E395" s="13" t="s">
        <v>250</v>
      </c>
      <c r="F395" s="13" t="s">
        <v>250</v>
      </c>
      <c r="G395" s="14">
        <v>2</v>
      </c>
      <c r="H395" s="13" t="s">
        <v>1144</v>
      </c>
      <c r="I395" s="15" t="s">
        <v>1129</v>
      </c>
      <c r="J395" s="14" t="s">
        <v>9</v>
      </c>
      <c r="K395" s="15" t="s">
        <v>77</v>
      </c>
      <c r="L395" s="14">
        <v>80111620</v>
      </c>
      <c r="M395" s="14" t="s">
        <v>35</v>
      </c>
      <c r="N395" s="14" t="s">
        <v>253</v>
      </c>
      <c r="O395" s="15" t="s">
        <v>1145</v>
      </c>
      <c r="P395" s="14" t="s">
        <v>255</v>
      </c>
      <c r="Q395" s="14" t="s">
        <v>255</v>
      </c>
      <c r="R395" s="14" t="s">
        <v>255</v>
      </c>
      <c r="S395" s="17">
        <v>10</v>
      </c>
      <c r="T395" s="14" t="s">
        <v>256</v>
      </c>
      <c r="U395" s="14" t="s">
        <v>257</v>
      </c>
      <c r="V395" s="14" t="s">
        <v>112</v>
      </c>
      <c r="W395" s="18">
        <v>60000000</v>
      </c>
      <c r="X395" s="18">
        <v>60000000</v>
      </c>
      <c r="Y395" s="19" t="s">
        <v>339</v>
      </c>
      <c r="Z395" s="19" t="s">
        <v>258</v>
      </c>
      <c r="AA395" s="14" t="s">
        <v>1132</v>
      </c>
      <c r="AB395" s="14" t="s">
        <v>1133</v>
      </c>
      <c r="AC395" s="14">
        <v>6012220601</v>
      </c>
      <c r="AD395" s="14" t="s">
        <v>1134</v>
      </c>
      <c r="AE395" s="82">
        <v>0</v>
      </c>
      <c r="AF395" s="82">
        <v>0</v>
      </c>
      <c r="AG395" s="82">
        <v>60000000</v>
      </c>
      <c r="AH395" s="82">
        <v>0</v>
      </c>
      <c r="AI395" s="82">
        <v>0</v>
      </c>
      <c r="AJ395" s="82">
        <v>6000000</v>
      </c>
      <c r="AK395" s="82">
        <v>0</v>
      </c>
      <c r="AL395" s="82">
        <v>6000000</v>
      </c>
      <c r="AM395" s="82">
        <v>0</v>
      </c>
      <c r="AN395" s="82">
        <v>6000000</v>
      </c>
      <c r="AO395" s="82">
        <v>0</v>
      </c>
      <c r="AP395" s="82">
        <v>6000000</v>
      </c>
      <c r="AQ395" s="82">
        <v>0</v>
      </c>
      <c r="AR395" s="82">
        <v>6000000</v>
      </c>
      <c r="AS395" s="82">
        <v>0</v>
      </c>
      <c r="AT395" s="82">
        <v>6000000</v>
      </c>
      <c r="AU395" s="82">
        <v>0</v>
      </c>
      <c r="AV395" s="82">
        <v>6000000</v>
      </c>
      <c r="AW395" s="82">
        <v>0</v>
      </c>
      <c r="AX395" s="82">
        <v>6000000</v>
      </c>
      <c r="AY395" s="82">
        <v>0</v>
      </c>
      <c r="AZ395" s="82">
        <v>6000000</v>
      </c>
      <c r="BA395" s="82">
        <v>0</v>
      </c>
      <c r="BB395" s="82">
        <v>6000000</v>
      </c>
      <c r="BC395" s="82">
        <f t="shared" ref="BC395:BD395" si="778">AE395+AG395+AI395+AK395+AM395+AO395+AQ395+AS395+AU395+AW395+AY395+BA395</f>
        <v>60000000</v>
      </c>
      <c r="BD395" s="82">
        <f t="shared" si="778"/>
        <v>60000000</v>
      </c>
      <c r="BE395" s="83">
        <f t="shared" si="767"/>
        <v>0</v>
      </c>
      <c r="BF395" s="83">
        <f t="shared" si="768"/>
        <v>0</v>
      </c>
      <c r="BG395" s="14" t="str">
        <f ca="1">IFERROR(__xludf.DUMMYFUNCTION("REGEXEXTRACT(O389,""^\S+\s(.+)$"")"),"Prestar servicios profesionales para apoyar el seguimiento de proyectos de inversión, mediante la consolidación de la información y la elaboración de los reportes correspondientes en la herramienta de seguimiento, el reporte de avance de los planes instit"&amp;"ucionales.")</f>
        <v>Prestar servicios profesionales para apoyar el seguimiento de proyectos de inversión, mediante la consolidación de la información y la elaboración de los reportes correspondientes en la herramienta de seguimiento, el reporte de avance de los planes institucionales.</v>
      </c>
      <c r="BH395" s="23"/>
      <c r="BI395" s="23"/>
      <c r="BJ395" s="23">
        <v>60000000</v>
      </c>
      <c r="BK395" s="23"/>
      <c r="BL395" s="23"/>
      <c r="BM395" s="23">
        <v>6000000</v>
      </c>
      <c r="BN395" s="23"/>
      <c r="BO395" s="23">
        <v>6000000</v>
      </c>
      <c r="BP395" s="23"/>
      <c r="BQ395" s="23">
        <v>6000000</v>
      </c>
      <c r="BR395" s="23"/>
      <c r="BS395" s="23">
        <v>6000000</v>
      </c>
      <c r="BT395" s="23"/>
      <c r="BU395" s="23">
        <v>6000000</v>
      </c>
      <c r="BV395" s="23"/>
      <c r="BW395" s="23">
        <v>6000000</v>
      </c>
      <c r="BX395" s="23"/>
      <c r="BY395" s="23">
        <v>6000000</v>
      </c>
      <c r="BZ395" s="23"/>
      <c r="CA395" s="23">
        <v>6000000</v>
      </c>
      <c r="CB395" s="23"/>
      <c r="CC395" s="23">
        <v>6000000</v>
      </c>
      <c r="CD395" s="23"/>
      <c r="CE395" s="23">
        <v>6000000</v>
      </c>
      <c r="CF395" s="28"/>
      <c r="CG395" s="28"/>
      <c r="CH395" s="25">
        <f t="shared" ref="CH395:CI395" si="779">BH395+BJ395+BL395+BN395+BP395+BR395+BT395+BV395+BX395+BZ395+CB395+CD395+CF395</f>
        <v>60000000</v>
      </c>
      <c r="CI395" s="25">
        <f t="shared" si="779"/>
        <v>60000000</v>
      </c>
      <c r="CJ395" s="26">
        <f t="shared" si="518"/>
        <v>0</v>
      </c>
      <c r="CK395" s="26">
        <f t="shared" si="519"/>
        <v>0</v>
      </c>
    </row>
    <row r="396" spans="1:89" ht="90" customHeight="1" x14ac:dyDescent="0.3">
      <c r="A396" s="13" t="s">
        <v>248</v>
      </c>
      <c r="B396" s="14" t="s">
        <v>34</v>
      </c>
      <c r="C396" s="15" t="s">
        <v>1127</v>
      </c>
      <c r="D396" s="14" t="s">
        <v>61</v>
      </c>
      <c r="E396" s="13" t="s">
        <v>250</v>
      </c>
      <c r="F396" s="13" t="s">
        <v>250</v>
      </c>
      <c r="G396" s="93" t="s">
        <v>1146</v>
      </c>
      <c r="H396" s="13" t="s">
        <v>1147</v>
      </c>
      <c r="I396" s="15" t="s">
        <v>1129</v>
      </c>
      <c r="J396" s="14" t="s">
        <v>18</v>
      </c>
      <c r="K396" s="15" t="s">
        <v>79</v>
      </c>
      <c r="L396" s="14">
        <v>80111620</v>
      </c>
      <c r="M396" s="14" t="s">
        <v>36</v>
      </c>
      <c r="N396" s="14" t="s">
        <v>253</v>
      </c>
      <c r="O396" s="15" t="s">
        <v>1148</v>
      </c>
      <c r="P396" s="14" t="s">
        <v>255</v>
      </c>
      <c r="Q396" s="14" t="s">
        <v>255</v>
      </c>
      <c r="R396" s="14" t="s">
        <v>255</v>
      </c>
      <c r="S396" s="17">
        <v>10</v>
      </c>
      <c r="T396" s="14" t="s">
        <v>256</v>
      </c>
      <c r="U396" s="14" t="s">
        <v>257</v>
      </c>
      <c r="V396" s="94" t="s">
        <v>113</v>
      </c>
      <c r="W396" s="18">
        <v>35000000</v>
      </c>
      <c r="X396" s="18">
        <v>35000000</v>
      </c>
      <c r="Y396" s="19" t="s">
        <v>339</v>
      </c>
      <c r="Z396" s="19" t="s">
        <v>258</v>
      </c>
      <c r="AA396" s="14" t="s">
        <v>1132</v>
      </c>
      <c r="AB396" s="14" t="s">
        <v>1133</v>
      </c>
      <c r="AC396" s="14">
        <v>6012220601</v>
      </c>
      <c r="AD396" s="14" t="s">
        <v>1134</v>
      </c>
      <c r="AE396" s="82">
        <v>0</v>
      </c>
      <c r="AF396" s="82">
        <v>0</v>
      </c>
      <c r="AG396" s="82">
        <v>35000000</v>
      </c>
      <c r="AH396" s="82">
        <v>0</v>
      </c>
      <c r="AI396" s="82">
        <v>0</v>
      </c>
      <c r="AJ396" s="82">
        <v>3500000</v>
      </c>
      <c r="AK396" s="82">
        <v>0</v>
      </c>
      <c r="AL396" s="82">
        <v>3500000</v>
      </c>
      <c r="AM396" s="82">
        <v>0</v>
      </c>
      <c r="AN396" s="82">
        <v>3500000</v>
      </c>
      <c r="AO396" s="82">
        <v>0</v>
      </c>
      <c r="AP396" s="82">
        <v>3500000</v>
      </c>
      <c r="AQ396" s="82">
        <v>0</v>
      </c>
      <c r="AR396" s="82">
        <v>3500000</v>
      </c>
      <c r="AS396" s="82">
        <v>0</v>
      </c>
      <c r="AT396" s="82">
        <v>3500000</v>
      </c>
      <c r="AU396" s="82">
        <v>0</v>
      </c>
      <c r="AV396" s="82">
        <v>3500000</v>
      </c>
      <c r="AW396" s="82">
        <v>0</v>
      </c>
      <c r="AX396" s="82">
        <v>3500000</v>
      </c>
      <c r="AY396" s="82">
        <v>0</v>
      </c>
      <c r="AZ396" s="82">
        <v>3500000</v>
      </c>
      <c r="BA396" s="82">
        <v>0</v>
      </c>
      <c r="BB396" s="82">
        <v>3500000</v>
      </c>
      <c r="BC396" s="82">
        <f t="shared" ref="BC396:BD396" si="780">AE396+AG396+AI396+AK396+AM396+AO396+AQ396+AS396+AU396+AW396+AY396+BA396</f>
        <v>35000000</v>
      </c>
      <c r="BD396" s="82">
        <f t="shared" si="780"/>
        <v>35000000</v>
      </c>
      <c r="BE396" s="83">
        <f t="shared" si="767"/>
        <v>0</v>
      </c>
      <c r="BF396" s="83">
        <f t="shared" si="768"/>
        <v>0</v>
      </c>
      <c r="BG396" s="14" t="str">
        <f ca="1">IFERROR(__xludf.DUMMYFUNCTION("REGEXEXTRACT(O390,""^\S+\s(.+)$"")"),"Prestar servicios profesionales para la proyección de documentos de contenido legal y apoyo de los asuntos de tipo jurídico que resulten de las actuaciones administrativas de competencia de la Subdirección de energía Eléctrica.")</f>
        <v>Prestar servicios profesionales para la proyección de documentos de contenido legal y apoyo de los asuntos de tipo jurídico que resulten de las actuaciones administrativas de competencia de la Subdirección de energía Eléctrica.</v>
      </c>
      <c r="BH396" s="23"/>
      <c r="BI396" s="23"/>
      <c r="BJ396" s="23">
        <v>35000000</v>
      </c>
      <c r="BK396" s="23"/>
      <c r="BL396" s="23"/>
      <c r="BM396" s="23">
        <v>3500000</v>
      </c>
      <c r="BN396" s="23"/>
      <c r="BO396" s="23">
        <v>3500000</v>
      </c>
      <c r="BP396" s="23"/>
      <c r="BQ396" s="23">
        <v>3500000</v>
      </c>
      <c r="BR396" s="23"/>
      <c r="BS396" s="23">
        <v>3500000</v>
      </c>
      <c r="BT396" s="23"/>
      <c r="BU396" s="23">
        <v>3500000</v>
      </c>
      <c r="BV396" s="23"/>
      <c r="BW396" s="23">
        <v>3500000</v>
      </c>
      <c r="BX396" s="23"/>
      <c r="BY396" s="23">
        <v>3500000</v>
      </c>
      <c r="BZ396" s="23"/>
      <c r="CA396" s="23">
        <v>3500000</v>
      </c>
      <c r="CB396" s="23"/>
      <c r="CC396" s="23">
        <v>3500000</v>
      </c>
      <c r="CD396" s="23"/>
      <c r="CE396" s="23">
        <v>3500000</v>
      </c>
      <c r="CF396" s="28"/>
      <c r="CG396" s="28"/>
      <c r="CH396" s="25">
        <f t="shared" ref="CH396:CI396" si="781">BH396+BJ396+BL396+BN396+BP396+BR396+BT396+BV396+BX396+BZ396+CB396+CD396+CF396</f>
        <v>35000000</v>
      </c>
      <c r="CI396" s="25">
        <f t="shared" si="781"/>
        <v>35000000</v>
      </c>
      <c r="CJ396" s="26">
        <f t="shared" si="518"/>
        <v>0</v>
      </c>
      <c r="CK396" s="26">
        <f t="shared" si="519"/>
        <v>0</v>
      </c>
    </row>
    <row r="397" spans="1:89" ht="90" customHeight="1" x14ac:dyDescent="0.3">
      <c r="A397" s="13" t="s">
        <v>248</v>
      </c>
      <c r="B397" s="14" t="s">
        <v>34</v>
      </c>
      <c r="C397" s="15" t="s">
        <v>1127</v>
      </c>
      <c r="D397" s="14" t="s">
        <v>61</v>
      </c>
      <c r="E397" s="13" t="s">
        <v>250</v>
      </c>
      <c r="F397" s="13" t="s">
        <v>250</v>
      </c>
      <c r="G397" s="14">
        <v>20</v>
      </c>
      <c r="H397" s="13" t="s">
        <v>1149</v>
      </c>
      <c r="I397" s="15" t="s">
        <v>1129</v>
      </c>
      <c r="J397" s="14" t="s">
        <v>9</v>
      </c>
      <c r="K397" s="15" t="s">
        <v>77</v>
      </c>
      <c r="L397" s="14">
        <v>80111620</v>
      </c>
      <c r="M397" s="14" t="s">
        <v>35</v>
      </c>
      <c r="N397" s="14" t="s">
        <v>253</v>
      </c>
      <c r="O397" s="15" t="s">
        <v>1150</v>
      </c>
      <c r="P397" s="14" t="s">
        <v>255</v>
      </c>
      <c r="Q397" s="14" t="s">
        <v>255</v>
      </c>
      <c r="R397" s="88" t="s">
        <v>255</v>
      </c>
      <c r="S397" s="17">
        <v>9</v>
      </c>
      <c r="T397" s="14" t="s">
        <v>256</v>
      </c>
      <c r="U397" s="14" t="s">
        <v>257</v>
      </c>
      <c r="V397" s="14" t="s">
        <v>112</v>
      </c>
      <c r="W397" s="18">
        <v>0</v>
      </c>
      <c r="X397" s="18">
        <v>0</v>
      </c>
      <c r="Y397" s="19" t="s">
        <v>339</v>
      </c>
      <c r="Z397" s="19" t="s">
        <v>258</v>
      </c>
      <c r="AA397" s="14" t="s">
        <v>1132</v>
      </c>
      <c r="AB397" s="14" t="s">
        <v>1133</v>
      </c>
      <c r="AC397" s="14">
        <v>6012220601</v>
      </c>
      <c r="AD397" s="14" t="s">
        <v>1134</v>
      </c>
      <c r="AE397" s="82">
        <v>0</v>
      </c>
      <c r="AF397" s="82">
        <v>0</v>
      </c>
      <c r="AG397" s="82">
        <v>0</v>
      </c>
      <c r="AH397" s="82">
        <v>0</v>
      </c>
      <c r="AI397" s="82">
        <v>0</v>
      </c>
      <c r="AJ397" s="82">
        <v>0</v>
      </c>
      <c r="AK397" s="82">
        <v>0</v>
      </c>
      <c r="AL397" s="82">
        <v>0</v>
      </c>
      <c r="AM397" s="82">
        <v>0</v>
      </c>
      <c r="AN397" s="82">
        <v>0</v>
      </c>
      <c r="AO397" s="82">
        <v>0</v>
      </c>
      <c r="AP397" s="82">
        <v>0</v>
      </c>
      <c r="AQ397" s="82">
        <v>0</v>
      </c>
      <c r="AR397" s="82">
        <v>0</v>
      </c>
      <c r="AS397" s="82">
        <v>0</v>
      </c>
      <c r="AT397" s="82">
        <v>0</v>
      </c>
      <c r="AU397" s="82">
        <v>0</v>
      </c>
      <c r="AV397" s="82">
        <v>0</v>
      </c>
      <c r="AW397" s="82">
        <v>0</v>
      </c>
      <c r="AX397" s="82">
        <v>0</v>
      </c>
      <c r="AY397" s="82">
        <v>45000000</v>
      </c>
      <c r="AZ397" s="82">
        <v>0</v>
      </c>
      <c r="BA397" s="82">
        <v>0</v>
      </c>
      <c r="BB397" s="82">
        <v>45000000</v>
      </c>
      <c r="BC397" s="82">
        <f t="shared" ref="BC397:BD397" si="782">AE397+AG397+AI397+AK397+AM397+AO397+AQ397+AS397+AU397+AW397+AY397+BA397</f>
        <v>45000000</v>
      </c>
      <c r="BD397" s="82">
        <f t="shared" si="782"/>
        <v>45000000</v>
      </c>
      <c r="BE397" s="83">
        <f t="shared" si="767"/>
        <v>-45000000</v>
      </c>
      <c r="BF397" s="83">
        <f t="shared" si="768"/>
        <v>-45000000</v>
      </c>
      <c r="BG397" s="14" t="str">
        <f ca="1">IFERROR(__xludf.DUMMYFUNCTION("REGEXEXTRACT(O391,""^\S+\s(.+)$"")"),"Prestar servicios profesionales para hacer seguimiento técnico a la ejecución de los proyectos del Sistema de Transmisión Nacional y Regional, desarrollados mediante el mecanismo de convocatoria pública y sus ampliaciones.")</f>
        <v>Prestar servicios profesionales para hacer seguimiento técnico a la ejecución de los proyectos del Sistema de Transmisión Nacional y Regional, desarrollados mediante el mecanismo de convocatoria pública y sus ampliaciones.</v>
      </c>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8"/>
      <c r="CG397" s="28"/>
      <c r="CH397" s="25">
        <f t="shared" ref="CH397:CI397" si="783">BH397+BJ397+BL397+BN397+BP397+BR397+BT397+BV397+BX397+BZ397+CB397+CD397+CF397</f>
        <v>0</v>
      </c>
      <c r="CI397" s="25">
        <f t="shared" si="783"/>
        <v>0</v>
      </c>
      <c r="CJ397" s="26">
        <f t="shared" si="518"/>
        <v>0</v>
      </c>
      <c r="CK397" s="26">
        <f t="shared" si="519"/>
        <v>0</v>
      </c>
    </row>
    <row r="398" spans="1:89" ht="90" customHeight="1" x14ac:dyDescent="0.3">
      <c r="A398" s="13" t="s">
        <v>248</v>
      </c>
      <c r="B398" s="14" t="s">
        <v>34</v>
      </c>
      <c r="C398" s="15" t="s">
        <v>1127</v>
      </c>
      <c r="D398" s="14" t="s">
        <v>61</v>
      </c>
      <c r="E398" s="13" t="s">
        <v>250</v>
      </c>
      <c r="F398" s="13" t="s">
        <v>250</v>
      </c>
      <c r="G398" s="14">
        <v>21</v>
      </c>
      <c r="H398" s="13" t="s">
        <v>1151</v>
      </c>
      <c r="I398" s="15" t="s">
        <v>1129</v>
      </c>
      <c r="J398" s="14" t="s">
        <v>9</v>
      </c>
      <c r="K398" s="15" t="s">
        <v>77</v>
      </c>
      <c r="L398" s="14">
        <v>80111620</v>
      </c>
      <c r="M398" s="14" t="s">
        <v>35</v>
      </c>
      <c r="N398" s="14" t="s">
        <v>253</v>
      </c>
      <c r="O398" s="86" t="s">
        <v>1152</v>
      </c>
      <c r="P398" s="14" t="s">
        <v>255</v>
      </c>
      <c r="Q398" s="14" t="s">
        <v>255</v>
      </c>
      <c r="R398" s="88" t="s">
        <v>255</v>
      </c>
      <c r="S398" s="17">
        <v>6</v>
      </c>
      <c r="T398" s="14" t="s">
        <v>256</v>
      </c>
      <c r="U398" s="14" t="s">
        <v>257</v>
      </c>
      <c r="V398" s="14" t="s">
        <v>112</v>
      </c>
      <c r="W398" s="18">
        <v>0</v>
      </c>
      <c r="X398" s="18">
        <v>0</v>
      </c>
      <c r="Y398" s="19" t="s">
        <v>339</v>
      </c>
      <c r="Z398" s="19" t="s">
        <v>258</v>
      </c>
      <c r="AA398" s="14" t="s">
        <v>1132</v>
      </c>
      <c r="AB398" s="14" t="s">
        <v>1133</v>
      </c>
      <c r="AC398" s="14">
        <v>6012220601</v>
      </c>
      <c r="AD398" s="14" t="s">
        <v>1134</v>
      </c>
      <c r="AE398" s="82">
        <v>0</v>
      </c>
      <c r="AF398" s="82">
        <v>0</v>
      </c>
      <c r="AG398" s="82">
        <v>0</v>
      </c>
      <c r="AH398" s="82">
        <v>0</v>
      </c>
      <c r="AI398" s="82">
        <v>0</v>
      </c>
      <c r="AJ398" s="82">
        <v>0</v>
      </c>
      <c r="AK398" s="82">
        <v>0</v>
      </c>
      <c r="AL398" s="82">
        <v>0</v>
      </c>
      <c r="AM398" s="82">
        <v>0</v>
      </c>
      <c r="AN398" s="82">
        <v>0</v>
      </c>
      <c r="AO398" s="82">
        <v>0</v>
      </c>
      <c r="AP398" s="82">
        <v>0</v>
      </c>
      <c r="AQ398" s="82">
        <v>0</v>
      </c>
      <c r="AR398" s="82">
        <v>0</v>
      </c>
      <c r="AS398" s="82">
        <v>0</v>
      </c>
      <c r="AT398" s="82">
        <v>0</v>
      </c>
      <c r="AU398" s="82">
        <v>0</v>
      </c>
      <c r="AV398" s="82">
        <v>0</v>
      </c>
      <c r="AW398" s="82">
        <v>0</v>
      </c>
      <c r="AX398" s="82">
        <v>0</v>
      </c>
      <c r="AY398" s="82">
        <v>36000000</v>
      </c>
      <c r="AZ398" s="82">
        <v>0</v>
      </c>
      <c r="BA398" s="82">
        <v>0</v>
      </c>
      <c r="BB398" s="82">
        <v>36000000</v>
      </c>
      <c r="BC398" s="82">
        <f t="shared" ref="BC398:BD398" si="784">AE398+AG398+AI398+AK398+AM398+AO398+AQ398+AS398+AU398+AW398+AY398+BA398</f>
        <v>36000000</v>
      </c>
      <c r="BD398" s="82">
        <f t="shared" si="784"/>
        <v>36000000</v>
      </c>
      <c r="BE398" s="83">
        <f t="shared" si="767"/>
        <v>-36000000</v>
      </c>
      <c r="BF398" s="83">
        <f t="shared" si="768"/>
        <v>-36000000</v>
      </c>
      <c r="BG398" s="14" t="str">
        <f ca="1">IFERROR(__xludf.DUMMYFUNCTION("REGEXEXTRACT(O392,""^\S+\s(.+)$"")"),"Prestar servicios profesionales para la elaboración de documentos legales y el apoyo a los asuntos jurídicos derivados de las actuaciones administrativas de la UPME.")</f>
        <v>Prestar servicios profesionales para la elaboración de documentos legales y el apoyo a los asuntos jurídicos derivados de las actuaciones administrativas de la UPME.</v>
      </c>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8"/>
      <c r="CG398" s="28"/>
      <c r="CH398" s="25">
        <f t="shared" ref="CH398:CI398" si="785">BH398+BJ398+BL398+BN398+BP398+BR398+BT398+BV398+BX398+BZ398+CB398+CD398+CF398</f>
        <v>0</v>
      </c>
      <c r="CI398" s="25">
        <f t="shared" si="785"/>
        <v>0</v>
      </c>
      <c r="CJ398" s="26">
        <f t="shared" si="518"/>
        <v>0</v>
      </c>
      <c r="CK398" s="26">
        <f t="shared" si="519"/>
        <v>0</v>
      </c>
    </row>
    <row r="399" spans="1:89" ht="90" customHeight="1" x14ac:dyDescent="0.3">
      <c r="A399" s="13" t="s">
        <v>248</v>
      </c>
      <c r="B399" s="14" t="s">
        <v>34</v>
      </c>
      <c r="C399" s="15" t="s">
        <v>1127</v>
      </c>
      <c r="D399" s="14" t="s">
        <v>61</v>
      </c>
      <c r="E399" s="13" t="s">
        <v>250</v>
      </c>
      <c r="F399" s="13" t="s">
        <v>250</v>
      </c>
      <c r="G399" s="14">
        <v>21</v>
      </c>
      <c r="H399" s="13" t="s">
        <v>1153</v>
      </c>
      <c r="I399" s="15" t="s">
        <v>1129</v>
      </c>
      <c r="J399" s="14" t="s">
        <v>9</v>
      </c>
      <c r="K399" s="15" t="s">
        <v>77</v>
      </c>
      <c r="L399" s="14">
        <v>80111620</v>
      </c>
      <c r="M399" s="14" t="s">
        <v>35</v>
      </c>
      <c r="N399" s="14" t="s">
        <v>253</v>
      </c>
      <c r="O399" s="15" t="s">
        <v>1154</v>
      </c>
      <c r="P399" s="14" t="s">
        <v>255</v>
      </c>
      <c r="Q399" s="14" t="s">
        <v>255</v>
      </c>
      <c r="R399" s="14" t="s">
        <v>255</v>
      </c>
      <c r="S399" s="17">
        <v>6</v>
      </c>
      <c r="T399" s="14" t="s">
        <v>256</v>
      </c>
      <c r="U399" s="14" t="s">
        <v>257</v>
      </c>
      <c r="V399" s="14" t="s">
        <v>112</v>
      </c>
      <c r="W399" s="18">
        <v>0</v>
      </c>
      <c r="X399" s="18">
        <v>0</v>
      </c>
      <c r="Y399" s="19" t="s">
        <v>339</v>
      </c>
      <c r="Z399" s="19" t="s">
        <v>258</v>
      </c>
      <c r="AA399" s="14" t="s">
        <v>1132</v>
      </c>
      <c r="AB399" s="14" t="s">
        <v>1133</v>
      </c>
      <c r="AC399" s="14">
        <v>6012220601</v>
      </c>
      <c r="AD399" s="14" t="s">
        <v>1134</v>
      </c>
      <c r="AE399" s="82">
        <v>0</v>
      </c>
      <c r="AF399" s="82">
        <v>0</v>
      </c>
      <c r="AG399" s="82">
        <v>24000000</v>
      </c>
      <c r="AH399" s="82">
        <v>0</v>
      </c>
      <c r="AI399" s="82">
        <v>0</v>
      </c>
      <c r="AJ399" s="82">
        <v>4000000</v>
      </c>
      <c r="AK399" s="82">
        <v>0</v>
      </c>
      <c r="AL399" s="82">
        <v>4000000</v>
      </c>
      <c r="AM399" s="82">
        <v>0</v>
      </c>
      <c r="AN399" s="82">
        <v>4000000</v>
      </c>
      <c r="AO399" s="82">
        <v>0</v>
      </c>
      <c r="AP399" s="82">
        <v>4000000</v>
      </c>
      <c r="AQ399" s="82">
        <v>0</v>
      </c>
      <c r="AR399" s="82">
        <v>4000000</v>
      </c>
      <c r="AS399" s="82">
        <v>0</v>
      </c>
      <c r="AT399" s="82">
        <v>4000000</v>
      </c>
      <c r="AU399" s="82">
        <v>0</v>
      </c>
      <c r="AV399" s="82">
        <v>0</v>
      </c>
      <c r="AW399" s="82">
        <v>0</v>
      </c>
      <c r="AX399" s="82">
        <v>0</v>
      </c>
      <c r="AY399" s="82">
        <v>0</v>
      </c>
      <c r="AZ399" s="82">
        <v>0</v>
      </c>
      <c r="BA399" s="82">
        <v>0</v>
      </c>
      <c r="BB399" s="82">
        <v>0</v>
      </c>
      <c r="BC399" s="82">
        <f t="shared" ref="BC399:BD399" si="786">AE399+AG399+AI399+AK399+AM399+AO399+AQ399+AS399+AU399+AW399+AY399+BA399</f>
        <v>24000000</v>
      </c>
      <c r="BD399" s="82">
        <f t="shared" si="786"/>
        <v>24000000</v>
      </c>
      <c r="BE399" s="83">
        <f t="shared" si="767"/>
        <v>-24000000</v>
      </c>
      <c r="BF399" s="83">
        <f t="shared" si="768"/>
        <v>-24000000</v>
      </c>
      <c r="BG399" s="14" t="str">
        <f ca="1">IFERROR(__xludf.DUMMYFUNCTION("REGEXEXTRACT(O393,""^\S+\s(.+)$"")"),"Prestar servicios profesionales para la elaboración de documentos jurídicos de la UPME.")</f>
        <v>Prestar servicios profesionales para la elaboración de documentos jurídicos de la UPME.</v>
      </c>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8"/>
      <c r="CG399" s="28"/>
      <c r="CH399" s="25">
        <f t="shared" ref="CH399:CI399" si="787">BH399+BJ399+BL399+BN399+BP399+BR399+BT399+BV399+BX399+BZ399+CB399+CD399+CF399</f>
        <v>0</v>
      </c>
      <c r="CI399" s="25">
        <f t="shared" si="787"/>
        <v>0</v>
      </c>
      <c r="CJ399" s="26">
        <f t="shared" si="518"/>
        <v>0</v>
      </c>
      <c r="CK399" s="26">
        <f t="shared" si="519"/>
        <v>0</v>
      </c>
    </row>
    <row r="400" spans="1:89" ht="90" customHeight="1" x14ac:dyDescent="0.3">
      <c r="A400" s="13" t="s">
        <v>248</v>
      </c>
      <c r="B400" s="14" t="s">
        <v>34</v>
      </c>
      <c r="C400" s="15" t="s">
        <v>1127</v>
      </c>
      <c r="D400" s="14" t="s">
        <v>61</v>
      </c>
      <c r="E400" s="13" t="s">
        <v>250</v>
      </c>
      <c r="F400" s="13" t="s">
        <v>250</v>
      </c>
      <c r="G400" s="14" t="s">
        <v>1155</v>
      </c>
      <c r="H400" s="13" t="s">
        <v>1156</v>
      </c>
      <c r="I400" s="15" t="s">
        <v>1129</v>
      </c>
      <c r="J400" s="14" t="s">
        <v>9</v>
      </c>
      <c r="K400" s="15" t="s">
        <v>77</v>
      </c>
      <c r="L400" s="14">
        <v>43211507</v>
      </c>
      <c r="M400" s="14" t="s">
        <v>35</v>
      </c>
      <c r="N400" s="14" t="s">
        <v>278</v>
      </c>
      <c r="O400" s="15" t="s">
        <v>1157</v>
      </c>
      <c r="P400" s="14" t="s">
        <v>1158</v>
      </c>
      <c r="Q400" s="14" t="s">
        <v>614</v>
      </c>
      <c r="R400" s="14" t="s">
        <v>774</v>
      </c>
      <c r="S400" s="17">
        <v>4</v>
      </c>
      <c r="T400" s="14" t="s">
        <v>256</v>
      </c>
      <c r="U400" s="14" t="s">
        <v>286</v>
      </c>
      <c r="V400" s="14" t="s">
        <v>112</v>
      </c>
      <c r="W400" s="18">
        <v>108313733</v>
      </c>
      <c r="X400" s="18">
        <v>108313733</v>
      </c>
      <c r="Y400" s="19" t="s">
        <v>339</v>
      </c>
      <c r="Z400" s="19" t="s">
        <v>258</v>
      </c>
      <c r="AA400" s="14" t="s">
        <v>1132</v>
      </c>
      <c r="AB400" s="14" t="s">
        <v>1133</v>
      </c>
      <c r="AC400" s="14">
        <v>6012220601</v>
      </c>
      <c r="AD400" s="14" t="s">
        <v>1134</v>
      </c>
      <c r="AE400" s="82">
        <v>0</v>
      </c>
      <c r="AF400" s="82">
        <v>0</v>
      </c>
      <c r="AG400" s="82">
        <v>0</v>
      </c>
      <c r="AH400" s="82">
        <v>0</v>
      </c>
      <c r="AI400" s="82">
        <v>0</v>
      </c>
      <c r="AJ400" s="82">
        <v>0</v>
      </c>
      <c r="AK400" s="82">
        <v>108313733</v>
      </c>
      <c r="AL400" s="82">
        <v>0</v>
      </c>
      <c r="AM400" s="82">
        <v>0</v>
      </c>
      <c r="AN400" s="82">
        <v>27078433</v>
      </c>
      <c r="AO400" s="82">
        <v>0</v>
      </c>
      <c r="AP400" s="82">
        <v>27078433</v>
      </c>
      <c r="AQ400" s="82">
        <v>0</v>
      </c>
      <c r="AR400" s="82">
        <v>54156867</v>
      </c>
      <c r="AS400" s="82">
        <v>0</v>
      </c>
      <c r="AT400" s="82">
        <v>0</v>
      </c>
      <c r="AU400" s="82">
        <v>0</v>
      </c>
      <c r="AV400" s="82">
        <v>0</v>
      </c>
      <c r="AW400" s="82">
        <v>0</v>
      </c>
      <c r="AX400" s="82">
        <v>0</v>
      </c>
      <c r="AY400" s="82">
        <v>0</v>
      </c>
      <c r="AZ400" s="82">
        <v>0</v>
      </c>
      <c r="BA400" s="82">
        <v>0</v>
      </c>
      <c r="BB400" s="82">
        <v>0</v>
      </c>
      <c r="BC400" s="82">
        <f t="shared" ref="BC400:BD400" si="788">AE400+AG400+AI400+AK400+AM400+AO400+AQ400+AS400+AU400+AW400+AY400+BA400</f>
        <v>108313733</v>
      </c>
      <c r="BD400" s="82">
        <f t="shared" si="788"/>
        <v>108313733</v>
      </c>
      <c r="BE400" s="83">
        <f t="shared" si="767"/>
        <v>0</v>
      </c>
      <c r="BF400" s="83">
        <f t="shared" si="768"/>
        <v>0</v>
      </c>
      <c r="BG400" s="14" t="str">
        <f ca="1">IFERROR(__xludf.DUMMYFUNCTION("REGEXEXTRACT(O394,""^\S+\s(.+)$"")")," Adquirir equipos de cómputo para la Subdirección de Energía Eléctrica")</f>
        <v xml:space="preserve"> Adquirir equipos de cómputo para la Subdirección de Energía Eléctrica</v>
      </c>
      <c r="BH400" s="23"/>
      <c r="BI400" s="23"/>
      <c r="BJ400" s="23"/>
      <c r="BK400" s="23"/>
      <c r="BL400" s="23"/>
      <c r="BM400" s="23"/>
      <c r="BN400" s="23">
        <v>108313733</v>
      </c>
      <c r="BO400" s="23"/>
      <c r="BP400" s="23"/>
      <c r="BQ400" s="23">
        <v>27078433</v>
      </c>
      <c r="BR400" s="23"/>
      <c r="BS400" s="23">
        <v>27078433</v>
      </c>
      <c r="BT400" s="23"/>
      <c r="BU400" s="23">
        <v>54156867</v>
      </c>
      <c r="BV400" s="23"/>
      <c r="BW400" s="23"/>
      <c r="BX400" s="23"/>
      <c r="BY400" s="23"/>
      <c r="BZ400" s="23"/>
      <c r="CA400" s="23"/>
      <c r="CB400" s="23"/>
      <c r="CC400" s="23"/>
      <c r="CD400" s="23"/>
      <c r="CE400" s="23"/>
      <c r="CF400" s="28"/>
      <c r="CG400" s="28"/>
      <c r="CH400" s="25">
        <f t="shared" ref="CH400:CI400" si="789">BH400+BJ400+BL400+BN400+BP400+BR400+BT400+BV400+BX400+BZ400+CB400+CD400+CF400</f>
        <v>108313733</v>
      </c>
      <c r="CI400" s="25">
        <f t="shared" si="789"/>
        <v>108313733</v>
      </c>
      <c r="CJ400" s="26">
        <f t="shared" si="518"/>
        <v>0</v>
      </c>
      <c r="CK400" s="26">
        <f t="shared" si="519"/>
        <v>0</v>
      </c>
    </row>
    <row r="401" spans="1:89" ht="90" customHeight="1" x14ac:dyDescent="0.3">
      <c r="A401" s="13" t="s">
        <v>248</v>
      </c>
      <c r="B401" s="14" t="s">
        <v>34</v>
      </c>
      <c r="C401" s="15" t="s">
        <v>1127</v>
      </c>
      <c r="D401" s="14" t="s">
        <v>61</v>
      </c>
      <c r="E401" s="13" t="s">
        <v>250</v>
      </c>
      <c r="F401" s="13" t="s">
        <v>250</v>
      </c>
      <c r="G401" s="14">
        <v>8</v>
      </c>
      <c r="H401" s="13" t="s">
        <v>1159</v>
      </c>
      <c r="I401" s="15" t="s">
        <v>1138</v>
      </c>
      <c r="J401" s="14" t="s">
        <v>1160</v>
      </c>
      <c r="K401" s="15" t="s">
        <v>79</v>
      </c>
      <c r="L401" s="14">
        <v>80111620</v>
      </c>
      <c r="M401" s="14" t="s">
        <v>36</v>
      </c>
      <c r="N401" s="14" t="s">
        <v>253</v>
      </c>
      <c r="O401" s="15" t="s">
        <v>1161</v>
      </c>
      <c r="P401" s="14" t="s">
        <v>774</v>
      </c>
      <c r="Q401" s="14" t="s">
        <v>774</v>
      </c>
      <c r="R401" s="14" t="s">
        <v>774</v>
      </c>
      <c r="S401" s="17">
        <v>5</v>
      </c>
      <c r="T401" s="14" t="s">
        <v>256</v>
      </c>
      <c r="U401" s="14" t="s">
        <v>257</v>
      </c>
      <c r="V401" s="14" t="s">
        <v>113</v>
      </c>
      <c r="W401" s="18">
        <v>36483000</v>
      </c>
      <c r="X401" s="18">
        <v>36483000</v>
      </c>
      <c r="Y401" s="19" t="s">
        <v>339</v>
      </c>
      <c r="Z401" s="19" t="s">
        <v>258</v>
      </c>
      <c r="AA401" s="14" t="s">
        <v>1132</v>
      </c>
      <c r="AB401" s="14" t="s">
        <v>1133</v>
      </c>
      <c r="AC401" s="14">
        <v>6012220601</v>
      </c>
      <c r="AD401" s="14" t="s">
        <v>1134</v>
      </c>
      <c r="AE401" s="82">
        <v>0</v>
      </c>
      <c r="AF401" s="82">
        <v>0</v>
      </c>
      <c r="AG401" s="82">
        <v>0</v>
      </c>
      <c r="AH401" s="82">
        <v>0</v>
      </c>
      <c r="AI401" s="82">
        <v>0</v>
      </c>
      <c r="AJ401" s="82">
        <v>0</v>
      </c>
      <c r="AK401" s="82">
        <v>0</v>
      </c>
      <c r="AL401" s="82">
        <v>0</v>
      </c>
      <c r="AM401" s="82">
        <v>0</v>
      </c>
      <c r="AN401" s="82">
        <v>0</v>
      </c>
      <c r="AO401" s="82">
        <v>0</v>
      </c>
      <c r="AP401" s="82">
        <v>0</v>
      </c>
      <c r="AQ401" s="82">
        <v>0</v>
      </c>
      <c r="AR401" s="82">
        <v>0</v>
      </c>
      <c r="AS401" s="82">
        <v>36483000</v>
      </c>
      <c r="AT401" s="82">
        <v>0</v>
      </c>
      <c r="AU401" s="82">
        <v>0</v>
      </c>
      <c r="AV401" s="82">
        <v>7296600</v>
      </c>
      <c r="AW401" s="82">
        <v>0</v>
      </c>
      <c r="AX401" s="82">
        <v>7296600</v>
      </c>
      <c r="AY401" s="82">
        <v>0</v>
      </c>
      <c r="AZ401" s="82">
        <v>7296600</v>
      </c>
      <c r="BA401" s="82">
        <v>0</v>
      </c>
      <c r="BB401" s="82">
        <v>14593200</v>
      </c>
      <c r="BC401" s="82">
        <f t="shared" ref="BC401:BD401" si="790">AE401+AG401+AI401+AK401+AM401+AO401+AQ401+AS401+AU401+AW401+AY401+BA401</f>
        <v>36483000</v>
      </c>
      <c r="BD401" s="82">
        <f t="shared" si="790"/>
        <v>36483000</v>
      </c>
      <c r="BE401" s="83">
        <f t="shared" si="767"/>
        <v>0</v>
      </c>
      <c r="BF401" s="83">
        <f t="shared" si="768"/>
        <v>0</v>
      </c>
      <c r="BG401" s="14" t="str">
        <f ca="1">IFERROR(__xludf.DUMMYFUNCTION("REGEXEXTRACT(O395,""^\S+\s(.+)$"")"),"Prestar servicios profesionales para adelantar el análisis y procesamiento de la información técnica relacionada con el desarrollo y la ejecución de los proyectos de transmisión objeto de convocatoria pública en la etapa de ejecución.")</f>
        <v>Prestar servicios profesionales para adelantar el análisis y procesamiento de la información técnica relacionada con el desarrollo y la ejecución de los proyectos de transmisión objeto de convocatoria pública en la etapa de ejecución.</v>
      </c>
      <c r="BH401" s="23"/>
      <c r="BI401" s="23"/>
      <c r="BJ401" s="23">
        <v>0</v>
      </c>
      <c r="BK401" s="23">
        <v>0</v>
      </c>
      <c r="BL401" s="23">
        <v>0</v>
      </c>
      <c r="BM401" s="23">
        <v>0</v>
      </c>
      <c r="BN401" s="23">
        <v>0</v>
      </c>
      <c r="BO401" s="23">
        <v>0</v>
      </c>
      <c r="BP401" s="23">
        <v>0</v>
      </c>
      <c r="BQ401" s="23">
        <v>0</v>
      </c>
      <c r="BR401" s="23">
        <v>0</v>
      </c>
      <c r="BS401" s="23">
        <v>0</v>
      </c>
      <c r="BT401" s="23">
        <v>0</v>
      </c>
      <c r="BU401" s="23">
        <v>0</v>
      </c>
      <c r="BV401" s="23">
        <v>36483000</v>
      </c>
      <c r="BW401" s="23">
        <v>0</v>
      </c>
      <c r="BX401" s="23">
        <v>0</v>
      </c>
      <c r="BY401" s="23">
        <v>7296600</v>
      </c>
      <c r="BZ401" s="23">
        <v>0</v>
      </c>
      <c r="CA401" s="23">
        <v>7296600</v>
      </c>
      <c r="CB401" s="23">
        <v>0</v>
      </c>
      <c r="CC401" s="23">
        <v>7296600</v>
      </c>
      <c r="CD401" s="23">
        <v>0</v>
      </c>
      <c r="CE401" s="23">
        <v>14593200</v>
      </c>
      <c r="CF401" s="28"/>
      <c r="CG401" s="28"/>
      <c r="CH401" s="25">
        <f t="shared" ref="CH401:CI401" si="791">BH401+BJ401+BL401+BN401+BP401+BR401+BT401+BV401+BX401+BZ401+CB401+CD401+CF401</f>
        <v>36483000</v>
      </c>
      <c r="CI401" s="25">
        <f t="shared" si="791"/>
        <v>36483000</v>
      </c>
      <c r="CJ401" s="26">
        <f t="shared" si="518"/>
        <v>0</v>
      </c>
      <c r="CK401" s="26">
        <f t="shared" si="519"/>
        <v>0</v>
      </c>
    </row>
    <row r="402" spans="1:89" ht="90" customHeight="1" x14ac:dyDescent="0.3">
      <c r="A402" s="13" t="s">
        <v>248</v>
      </c>
      <c r="B402" s="14" t="s">
        <v>34</v>
      </c>
      <c r="C402" s="15" t="s">
        <v>1127</v>
      </c>
      <c r="D402" s="14" t="s">
        <v>61</v>
      </c>
      <c r="E402" s="13" t="s">
        <v>250</v>
      </c>
      <c r="F402" s="13" t="s">
        <v>250</v>
      </c>
      <c r="G402" s="14">
        <v>68</v>
      </c>
      <c r="H402" s="13" t="s">
        <v>1162</v>
      </c>
      <c r="I402" s="15" t="s">
        <v>1129</v>
      </c>
      <c r="J402" s="14" t="s">
        <v>9</v>
      </c>
      <c r="K402" s="15" t="s">
        <v>77</v>
      </c>
      <c r="L402" s="14">
        <v>80111620</v>
      </c>
      <c r="M402" s="14" t="s">
        <v>35</v>
      </c>
      <c r="N402" s="14" t="s">
        <v>253</v>
      </c>
      <c r="O402" s="15" t="s">
        <v>1163</v>
      </c>
      <c r="P402" s="14" t="s">
        <v>255</v>
      </c>
      <c r="Q402" s="14" t="s">
        <v>255</v>
      </c>
      <c r="R402" s="14" t="s">
        <v>255</v>
      </c>
      <c r="S402" s="17">
        <v>10</v>
      </c>
      <c r="T402" s="14" t="s">
        <v>256</v>
      </c>
      <c r="U402" s="14" t="s">
        <v>257</v>
      </c>
      <c r="V402" s="14" t="s">
        <v>112</v>
      </c>
      <c r="W402" s="18">
        <v>70000000</v>
      </c>
      <c r="X402" s="18">
        <v>70000000</v>
      </c>
      <c r="Y402" s="19" t="s">
        <v>339</v>
      </c>
      <c r="Z402" s="19" t="s">
        <v>258</v>
      </c>
      <c r="AA402" s="14" t="s">
        <v>1132</v>
      </c>
      <c r="AB402" s="14" t="s">
        <v>1133</v>
      </c>
      <c r="AC402" s="14">
        <v>6012220601</v>
      </c>
      <c r="AD402" s="14" t="s">
        <v>1134</v>
      </c>
      <c r="AE402" s="82">
        <v>70000000</v>
      </c>
      <c r="AF402" s="82">
        <v>0</v>
      </c>
      <c r="AG402" s="82">
        <v>0</v>
      </c>
      <c r="AH402" s="82">
        <v>0</v>
      </c>
      <c r="AI402" s="82">
        <v>0</v>
      </c>
      <c r="AJ402" s="82">
        <v>7000000</v>
      </c>
      <c r="AK402" s="82">
        <v>0</v>
      </c>
      <c r="AL402" s="82">
        <v>7000000</v>
      </c>
      <c r="AM402" s="82">
        <v>0</v>
      </c>
      <c r="AN402" s="82">
        <v>7000000</v>
      </c>
      <c r="AO402" s="82">
        <v>0</v>
      </c>
      <c r="AP402" s="82">
        <v>7000000</v>
      </c>
      <c r="AQ402" s="82">
        <v>0</v>
      </c>
      <c r="AR402" s="82">
        <v>7000000</v>
      </c>
      <c r="AS402" s="82">
        <v>0</v>
      </c>
      <c r="AT402" s="82">
        <v>7000000</v>
      </c>
      <c r="AU402" s="82">
        <v>0</v>
      </c>
      <c r="AV402" s="82">
        <v>7000000</v>
      </c>
      <c r="AW402" s="82">
        <v>0</v>
      </c>
      <c r="AX402" s="82">
        <v>7000000</v>
      </c>
      <c r="AY402" s="82">
        <v>0</v>
      </c>
      <c r="AZ402" s="82">
        <v>7000000</v>
      </c>
      <c r="BA402" s="82">
        <v>0</v>
      </c>
      <c r="BB402" s="82">
        <v>7000000</v>
      </c>
      <c r="BC402" s="82">
        <f t="shared" ref="BC402:BD402" si="792">AE402+AG402+AI402+AK402+AM402+AO402+AQ402+AS402+AU402+AW402+AY402+BA402</f>
        <v>70000000</v>
      </c>
      <c r="BD402" s="82">
        <f t="shared" si="792"/>
        <v>70000000</v>
      </c>
      <c r="BE402" s="83">
        <f t="shared" si="767"/>
        <v>0</v>
      </c>
      <c r="BF402" s="83">
        <f t="shared" si="768"/>
        <v>0</v>
      </c>
      <c r="BG402" s="14" t="str">
        <f ca="1">IFERROR(__xludf.DUMMYFUNCTION("REGEXEXTRACT(O396,""^\S+\s(.+)$"")"),"Prestar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02" s="23">
        <v>70000000</v>
      </c>
      <c r="BI402" s="23"/>
      <c r="BJ402" s="23"/>
      <c r="BK402" s="23"/>
      <c r="BL402" s="23"/>
      <c r="BM402" s="23">
        <v>7000000</v>
      </c>
      <c r="BN402" s="23"/>
      <c r="BO402" s="23">
        <v>7000000</v>
      </c>
      <c r="BP402" s="23"/>
      <c r="BQ402" s="23">
        <v>7000000</v>
      </c>
      <c r="BR402" s="23"/>
      <c r="BS402" s="23">
        <v>7000000</v>
      </c>
      <c r="BT402" s="23"/>
      <c r="BU402" s="23">
        <v>7000000</v>
      </c>
      <c r="BV402" s="23"/>
      <c r="BW402" s="23">
        <v>7000000</v>
      </c>
      <c r="BX402" s="23"/>
      <c r="BY402" s="23">
        <v>7000000</v>
      </c>
      <c r="BZ402" s="23"/>
      <c r="CA402" s="23">
        <v>7000000</v>
      </c>
      <c r="CB402" s="23"/>
      <c r="CC402" s="23">
        <v>7000000</v>
      </c>
      <c r="CD402" s="23"/>
      <c r="CE402" s="23">
        <v>7000000</v>
      </c>
      <c r="CF402" s="28"/>
      <c r="CG402" s="28"/>
      <c r="CH402" s="25">
        <f t="shared" ref="CH402:CI402" si="793">BH402+BJ402+BL402+BN402+BP402+BR402+BT402+BV402+BX402+BZ402+CB402+CD402+CF402</f>
        <v>70000000</v>
      </c>
      <c r="CI402" s="25">
        <f t="shared" si="793"/>
        <v>70000000</v>
      </c>
      <c r="CJ402" s="26">
        <f t="shared" si="518"/>
        <v>0</v>
      </c>
      <c r="CK402" s="26">
        <f t="shared" si="519"/>
        <v>0</v>
      </c>
    </row>
    <row r="403" spans="1:89" ht="90" customHeight="1" x14ac:dyDescent="0.3">
      <c r="A403" s="13" t="s">
        <v>248</v>
      </c>
      <c r="B403" s="14" t="s">
        <v>34</v>
      </c>
      <c r="C403" s="15" t="s">
        <v>1127</v>
      </c>
      <c r="D403" s="14" t="s">
        <v>61</v>
      </c>
      <c r="E403" s="13" t="s">
        <v>250</v>
      </c>
      <c r="F403" s="13" t="s">
        <v>250</v>
      </c>
      <c r="G403" s="14">
        <v>8</v>
      </c>
      <c r="H403" s="13" t="s">
        <v>1164</v>
      </c>
      <c r="I403" s="15" t="s">
        <v>1138</v>
      </c>
      <c r="J403" s="14" t="s">
        <v>1160</v>
      </c>
      <c r="K403" s="15" t="s">
        <v>79</v>
      </c>
      <c r="L403" s="14">
        <v>80111620</v>
      </c>
      <c r="M403" s="14" t="s">
        <v>36</v>
      </c>
      <c r="N403" s="14" t="s">
        <v>253</v>
      </c>
      <c r="O403" s="15" t="s">
        <v>1165</v>
      </c>
      <c r="P403" s="14" t="s">
        <v>774</v>
      </c>
      <c r="Q403" s="14" t="s">
        <v>774</v>
      </c>
      <c r="R403" s="14" t="s">
        <v>774</v>
      </c>
      <c r="S403" s="17">
        <v>5</v>
      </c>
      <c r="T403" s="14" t="s">
        <v>256</v>
      </c>
      <c r="U403" s="14" t="s">
        <v>257</v>
      </c>
      <c r="V403" s="14" t="s">
        <v>113</v>
      </c>
      <c r="W403" s="18">
        <v>36483000</v>
      </c>
      <c r="X403" s="18">
        <v>36483000</v>
      </c>
      <c r="Y403" s="19" t="s">
        <v>339</v>
      </c>
      <c r="Z403" s="19" t="s">
        <v>258</v>
      </c>
      <c r="AA403" s="14" t="s">
        <v>1132</v>
      </c>
      <c r="AB403" s="14" t="s">
        <v>1133</v>
      </c>
      <c r="AC403" s="14">
        <v>6012220601</v>
      </c>
      <c r="AD403" s="14" t="s">
        <v>1134</v>
      </c>
      <c r="AE403" s="82">
        <v>0</v>
      </c>
      <c r="AF403" s="82">
        <v>0</v>
      </c>
      <c r="AG403" s="82">
        <v>0</v>
      </c>
      <c r="AH403" s="82">
        <v>0</v>
      </c>
      <c r="AI403" s="82">
        <v>0</v>
      </c>
      <c r="AJ403" s="82">
        <v>0</v>
      </c>
      <c r="AK403" s="82">
        <v>0</v>
      </c>
      <c r="AL403" s="82">
        <v>0</v>
      </c>
      <c r="AM403" s="82">
        <v>0</v>
      </c>
      <c r="AN403" s="82">
        <v>0</v>
      </c>
      <c r="AO403" s="82">
        <v>0</v>
      </c>
      <c r="AP403" s="82">
        <v>0</v>
      </c>
      <c r="AQ403" s="82">
        <v>0</v>
      </c>
      <c r="AR403" s="82">
        <v>0</v>
      </c>
      <c r="AS403" s="82">
        <v>36483000</v>
      </c>
      <c r="AT403" s="82">
        <v>0</v>
      </c>
      <c r="AU403" s="82">
        <v>0</v>
      </c>
      <c r="AV403" s="82">
        <v>7296600</v>
      </c>
      <c r="AW403" s="82">
        <v>0</v>
      </c>
      <c r="AX403" s="82">
        <v>7296600</v>
      </c>
      <c r="AY403" s="82">
        <v>0</v>
      </c>
      <c r="AZ403" s="82">
        <v>7296600</v>
      </c>
      <c r="BA403" s="82">
        <v>0</v>
      </c>
      <c r="BB403" s="82">
        <v>14593200</v>
      </c>
      <c r="BC403" s="82">
        <f t="shared" ref="BC403:BD403" si="794">AE403+AG403+AI403+AK403+AM403+AO403+AQ403+AS403+AU403+AW403+AY403+BA403</f>
        <v>36483000</v>
      </c>
      <c r="BD403" s="82">
        <f t="shared" si="794"/>
        <v>36483000</v>
      </c>
      <c r="BE403" s="83">
        <f t="shared" si="767"/>
        <v>0</v>
      </c>
      <c r="BF403" s="83">
        <f t="shared" si="768"/>
        <v>0</v>
      </c>
      <c r="BG403" s="14" t="str">
        <f ca="1">IFERROR(__xludf.DUMMYFUNCTION("REGEXEXTRACT(O397,""^\S+\s(.+)$"")"),"Prestar servicios profesionales para procesar información relacionada con la estructuración de las convocatorias públicas de las obras de transmisión nacional y regional y proyectos de nuevas tecnologías en cuanto a condiciones técnicas, físicas, regulato"&amp;"rias y normativas y realizar el seguimiento a los proyectos que le sean asignados.")</f>
        <v>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v>
      </c>
      <c r="BH403" s="23"/>
      <c r="BI403" s="23"/>
      <c r="BJ403" s="23">
        <v>0</v>
      </c>
      <c r="BK403" s="23">
        <v>0</v>
      </c>
      <c r="BL403" s="23">
        <v>0</v>
      </c>
      <c r="BM403" s="23">
        <v>0</v>
      </c>
      <c r="BN403" s="23">
        <v>0</v>
      </c>
      <c r="BO403" s="23">
        <v>0</v>
      </c>
      <c r="BP403" s="23">
        <v>0</v>
      </c>
      <c r="BQ403" s="23">
        <v>0</v>
      </c>
      <c r="BR403" s="23">
        <v>0</v>
      </c>
      <c r="BS403" s="23">
        <v>0</v>
      </c>
      <c r="BT403" s="23">
        <v>0</v>
      </c>
      <c r="BU403" s="23">
        <v>0</v>
      </c>
      <c r="BV403" s="23">
        <v>36483000</v>
      </c>
      <c r="BW403" s="23">
        <v>0</v>
      </c>
      <c r="BX403" s="23">
        <v>0</v>
      </c>
      <c r="BY403" s="23">
        <v>7296600</v>
      </c>
      <c r="BZ403" s="23">
        <v>0</v>
      </c>
      <c r="CA403" s="23">
        <v>7296600</v>
      </c>
      <c r="CB403" s="23">
        <v>0</v>
      </c>
      <c r="CC403" s="23">
        <v>7296600</v>
      </c>
      <c r="CD403" s="23">
        <v>0</v>
      </c>
      <c r="CE403" s="23">
        <v>14593200</v>
      </c>
      <c r="CF403" s="28"/>
      <c r="CG403" s="28"/>
      <c r="CH403" s="25">
        <f t="shared" ref="CH403:CI403" si="795">BH403+BJ403+BL403+BN403+BP403+BR403+BT403+BV403+BX403+BZ403+CB403+CD403+CF403</f>
        <v>36483000</v>
      </c>
      <c r="CI403" s="25">
        <f t="shared" si="795"/>
        <v>36483000</v>
      </c>
      <c r="CJ403" s="26">
        <f t="shared" si="518"/>
        <v>0</v>
      </c>
      <c r="CK403" s="26">
        <f t="shared" si="519"/>
        <v>0</v>
      </c>
    </row>
    <row r="404" spans="1:89" ht="90" customHeight="1" x14ac:dyDescent="0.3">
      <c r="A404" s="13" t="s">
        <v>248</v>
      </c>
      <c r="B404" s="14" t="s">
        <v>34</v>
      </c>
      <c r="C404" s="15" t="s">
        <v>1127</v>
      </c>
      <c r="D404" s="14" t="s">
        <v>61</v>
      </c>
      <c r="E404" s="13" t="s">
        <v>250</v>
      </c>
      <c r="F404" s="13" t="s">
        <v>250</v>
      </c>
      <c r="G404" s="14">
        <v>8</v>
      </c>
      <c r="H404" s="13" t="s">
        <v>1166</v>
      </c>
      <c r="I404" s="15" t="s">
        <v>1138</v>
      </c>
      <c r="J404" s="14" t="s">
        <v>1160</v>
      </c>
      <c r="K404" s="15" t="s">
        <v>79</v>
      </c>
      <c r="L404" s="14">
        <v>80111620</v>
      </c>
      <c r="M404" s="14" t="s">
        <v>36</v>
      </c>
      <c r="N404" s="14" t="s">
        <v>253</v>
      </c>
      <c r="O404" s="15" t="s">
        <v>1167</v>
      </c>
      <c r="P404" s="14" t="s">
        <v>774</v>
      </c>
      <c r="Q404" s="14" t="s">
        <v>774</v>
      </c>
      <c r="R404" s="14" t="s">
        <v>774</v>
      </c>
      <c r="S404" s="17">
        <v>5</v>
      </c>
      <c r="T404" s="14" t="s">
        <v>256</v>
      </c>
      <c r="U404" s="14" t="s">
        <v>257</v>
      </c>
      <c r="V404" s="14" t="s">
        <v>113</v>
      </c>
      <c r="W404" s="18">
        <v>36483000</v>
      </c>
      <c r="X404" s="18">
        <v>36483000</v>
      </c>
      <c r="Y404" s="19" t="s">
        <v>339</v>
      </c>
      <c r="Z404" s="19" t="s">
        <v>258</v>
      </c>
      <c r="AA404" s="14" t="s">
        <v>1132</v>
      </c>
      <c r="AB404" s="14" t="s">
        <v>1133</v>
      </c>
      <c r="AC404" s="14">
        <v>6012220601</v>
      </c>
      <c r="AD404" s="14" t="s">
        <v>1134</v>
      </c>
      <c r="AE404" s="82">
        <v>0</v>
      </c>
      <c r="AF404" s="82">
        <v>0</v>
      </c>
      <c r="AG404" s="82">
        <v>0</v>
      </c>
      <c r="AH404" s="82">
        <v>0</v>
      </c>
      <c r="AI404" s="82">
        <v>0</v>
      </c>
      <c r="AJ404" s="82">
        <v>0</v>
      </c>
      <c r="AK404" s="82">
        <v>0</v>
      </c>
      <c r="AL404" s="82">
        <v>0</v>
      </c>
      <c r="AM404" s="82">
        <v>0</v>
      </c>
      <c r="AN404" s="82">
        <v>0</v>
      </c>
      <c r="AO404" s="82">
        <v>0</v>
      </c>
      <c r="AP404" s="82">
        <v>0</v>
      </c>
      <c r="AQ404" s="82">
        <v>0</v>
      </c>
      <c r="AR404" s="82">
        <v>0</v>
      </c>
      <c r="AS404" s="82">
        <v>36483000</v>
      </c>
      <c r="AT404" s="82">
        <v>0</v>
      </c>
      <c r="AU404" s="82">
        <v>0</v>
      </c>
      <c r="AV404" s="82">
        <v>7296600</v>
      </c>
      <c r="AW404" s="82">
        <v>0</v>
      </c>
      <c r="AX404" s="82">
        <v>7296600</v>
      </c>
      <c r="AY404" s="82">
        <v>0</v>
      </c>
      <c r="AZ404" s="82">
        <v>7296600</v>
      </c>
      <c r="BA404" s="82">
        <v>0</v>
      </c>
      <c r="BB404" s="82">
        <v>14593200</v>
      </c>
      <c r="BC404" s="82">
        <f t="shared" ref="BC404:BD404" si="796">AE404+AG404+AI404+AK404+AM404+AO404+AQ404+AS404+AU404+AW404+AY404+BA404</f>
        <v>36483000</v>
      </c>
      <c r="BD404" s="82">
        <f t="shared" si="796"/>
        <v>36483000</v>
      </c>
      <c r="BE404" s="83">
        <f t="shared" si="767"/>
        <v>0</v>
      </c>
      <c r="BF404" s="83">
        <f t="shared" si="768"/>
        <v>0</v>
      </c>
      <c r="BG404" s="14" t="str">
        <f ca="1">IFERROR(__xludf.DUMMYFUNCTION("REGEXEXTRACT(O398,""^\S+\s(.+)$"")"),"Apoyar en el seguimiento a la ejecución de los proyectos de transmisión nacional y regional ejecutados mediante convocatoria pública y ampliaciones, apoyar el seguimiento a las condiciones de los documentos de selección y procesar la información de seguim"&amp;"iento de los proyectos que le sean asignados.")</f>
        <v>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v>
      </c>
      <c r="BH404" s="23"/>
      <c r="BI404" s="23"/>
      <c r="BJ404" s="23">
        <v>0</v>
      </c>
      <c r="BK404" s="23">
        <v>0</v>
      </c>
      <c r="BL404" s="23">
        <v>0</v>
      </c>
      <c r="BM404" s="23">
        <v>0</v>
      </c>
      <c r="BN404" s="23">
        <v>0</v>
      </c>
      <c r="BO404" s="23">
        <v>0</v>
      </c>
      <c r="BP404" s="23">
        <v>0</v>
      </c>
      <c r="BQ404" s="23">
        <v>0</v>
      </c>
      <c r="BR404" s="23">
        <v>0</v>
      </c>
      <c r="BS404" s="23">
        <v>0</v>
      </c>
      <c r="BT404" s="23">
        <v>0</v>
      </c>
      <c r="BU404" s="23">
        <v>0</v>
      </c>
      <c r="BV404" s="23">
        <v>36483000</v>
      </c>
      <c r="BW404" s="23">
        <v>0</v>
      </c>
      <c r="BX404" s="23">
        <v>0</v>
      </c>
      <c r="BY404" s="23">
        <v>7296600</v>
      </c>
      <c r="BZ404" s="23">
        <v>0</v>
      </c>
      <c r="CA404" s="23">
        <v>7296600</v>
      </c>
      <c r="CB404" s="23">
        <v>0</v>
      </c>
      <c r="CC404" s="23">
        <v>7296600</v>
      </c>
      <c r="CD404" s="23">
        <v>0</v>
      </c>
      <c r="CE404" s="23">
        <v>14593200</v>
      </c>
      <c r="CF404" s="28"/>
      <c r="CG404" s="28"/>
      <c r="CH404" s="25">
        <f t="shared" ref="CH404:CI404" si="797">BH404+BJ404+BL404+BN404+BP404+BR404+BT404+BV404+BX404+BZ404+CB404+CD404+CF404</f>
        <v>36483000</v>
      </c>
      <c r="CI404" s="25">
        <f t="shared" si="797"/>
        <v>36483000</v>
      </c>
      <c r="CJ404" s="26">
        <f t="shared" si="518"/>
        <v>0</v>
      </c>
      <c r="CK404" s="26">
        <f t="shared" si="519"/>
        <v>0</v>
      </c>
    </row>
    <row r="405" spans="1:89" ht="90" customHeight="1" x14ac:dyDescent="0.3">
      <c r="A405" s="13" t="s">
        <v>248</v>
      </c>
      <c r="B405" s="14" t="s">
        <v>34</v>
      </c>
      <c r="C405" s="15" t="s">
        <v>1127</v>
      </c>
      <c r="D405" s="14" t="s">
        <v>61</v>
      </c>
      <c r="E405" s="13" t="s">
        <v>250</v>
      </c>
      <c r="F405" s="13" t="s">
        <v>250</v>
      </c>
      <c r="G405" s="14">
        <v>8</v>
      </c>
      <c r="H405" s="13" t="s">
        <v>1168</v>
      </c>
      <c r="I405" s="15" t="s">
        <v>1138</v>
      </c>
      <c r="J405" s="14" t="s">
        <v>1160</v>
      </c>
      <c r="K405" s="15" t="s">
        <v>79</v>
      </c>
      <c r="L405" s="14">
        <v>80111620</v>
      </c>
      <c r="M405" s="14" t="s">
        <v>36</v>
      </c>
      <c r="N405" s="14" t="s">
        <v>253</v>
      </c>
      <c r="O405" s="15" t="s">
        <v>1169</v>
      </c>
      <c r="P405" s="14" t="s">
        <v>774</v>
      </c>
      <c r="Q405" s="14" t="s">
        <v>774</v>
      </c>
      <c r="R405" s="14" t="s">
        <v>774</v>
      </c>
      <c r="S405" s="17">
        <v>5</v>
      </c>
      <c r="T405" s="14" t="s">
        <v>256</v>
      </c>
      <c r="U405" s="14" t="s">
        <v>257</v>
      </c>
      <c r="V405" s="14" t="s">
        <v>113</v>
      </c>
      <c r="W405" s="18">
        <v>31730000</v>
      </c>
      <c r="X405" s="18">
        <v>31730000</v>
      </c>
      <c r="Y405" s="19" t="s">
        <v>339</v>
      </c>
      <c r="Z405" s="19" t="s">
        <v>258</v>
      </c>
      <c r="AA405" s="14" t="s">
        <v>1132</v>
      </c>
      <c r="AB405" s="14" t="s">
        <v>1133</v>
      </c>
      <c r="AC405" s="14">
        <v>6012220601</v>
      </c>
      <c r="AD405" s="14" t="s">
        <v>1134</v>
      </c>
      <c r="AE405" s="82">
        <v>0</v>
      </c>
      <c r="AF405" s="82">
        <v>0</v>
      </c>
      <c r="AG405" s="82">
        <v>0</v>
      </c>
      <c r="AH405" s="82">
        <v>0</v>
      </c>
      <c r="AI405" s="82">
        <v>0</v>
      </c>
      <c r="AJ405" s="82">
        <v>0</v>
      </c>
      <c r="AK405" s="82">
        <v>0</v>
      </c>
      <c r="AL405" s="82">
        <v>0</v>
      </c>
      <c r="AM405" s="82">
        <v>0</v>
      </c>
      <c r="AN405" s="82">
        <v>0</v>
      </c>
      <c r="AO405" s="82">
        <v>0</v>
      </c>
      <c r="AP405" s="82">
        <v>0</v>
      </c>
      <c r="AQ405" s="82">
        <v>0</v>
      </c>
      <c r="AR405" s="82">
        <v>0</v>
      </c>
      <c r="AS405" s="82">
        <v>31730000</v>
      </c>
      <c r="AT405" s="82">
        <v>0</v>
      </c>
      <c r="AU405" s="82">
        <v>0</v>
      </c>
      <c r="AV405" s="82">
        <v>6346000</v>
      </c>
      <c r="AW405" s="82">
        <v>0</v>
      </c>
      <c r="AX405" s="82">
        <v>6346000</v>
      </c>
      <c r="AY405" s="82">
        <v>0</v>
      </c>
      <c r="AZ405" s="82">
        <v>6346000</v>
      </c>
      <c r="BA405" s="82">
        <v>0</v>
      </c>
      <c r="BB405" s="82">
        <v>12692000</v>
      </c>
      <c r="BC405" s="82">
        <f t="shared" ref="BC405:BD405" si="798">AE405+AG405+AI405+AK405+AM405+AO405+AQ405+AS405+AU405+AW405+AY405+BA405</f>
        <v>31730000</v>
      </c>
      <c r="BD405" s="82">
        <f t="shared" si="798"/>
        <v>31730000</v>
      </c>
      <c r="BE405" s="83">
        <f t="shared" si="767"/>
        <v>0</v>
      </c>
      <c r="BF405" s="83">
        <f t="shared" si="768"/>
        <v>0</v>
      </c>
      <c r="BG405" s="14" t="str">
        <f ca="1">IFERROR(__xludf.DUMMYFUNCTION("REGEXEXTRACT(O399,""^\S+\s(.+)$"")"),"Prestar servicios profesionales para apoyar el seguimiento a la ejecución de los proyectos llevados a cabo mediante convocatoria pública y ampliaciones que le sean asignados, apoyar la estructuración y elaboración de los documentos de selección del invers"&amp;"ionista de los proyectos definidos en el marco del plan de expansión, apoyar en el relacionamiento interinstitucional y apoyo en la gestión documental.")</f>
        <v>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v>
      </c>
      <c r="BH405" s="23"/>
      <c r="BI405" s="23"/>
      <c r="BJ405" s="23">
        <v>0</v>
      </c>
      <c r="BK405" s="23">
        <v>0</v>
      </c>
      <c r="BL405" s="23">
        <v>0</v>
      </c>
      <c r="BM405" s="23">
        <v>0</v>
      </c>
      <c r="BN405" s="23">
        <v>0</v>
      </c>
      <c r="BO405" s="23">
        <v>0</v>
      </c>
      <c r="BP405" s="23">
        <v>0</v>
      </c>
      <c r="BQ405" s="23">
        <v>0</v>
      </c>
      <c r="BR405" s="23">
        <v>0</v>
      </c>
      <c r="BS405" s="23">
        <v>0</v>
      </c>
      <c r="BT405" s="23">
        <v>0</v>
      </c>
      <c r="BU405" s="23">
        <v>0</v>
      </c>
      <c r="BV405" s="23">
        <v>31730000</v>
      </c>
      <c r="BW405" s="23">
        <v>0</v>
      </c>
      <c r="BX405" s="23">
        <v>0</v>
      </c>
      <c r="BY405" s="23">
        <v>6346000</v>
      </c>
      <c r="BZ405" s="23">
        <v>0</v>
      </c>
      <c r="CA405" s="23">
        <v>6346000</v>
      </c>
      <c r="CB405" s="23">
        <v>0</v>
      </c>
      <c r="CC405" s="23">
        <v>6346000</v>
      </c>
      <c r="CD405" s="23">
        <v>0</v>
      </c>
      <c r="CE405" s="23">
        <v>12692000</v>
      </c>
      <c r="CF405" s="28"/>
      <c r="CG405" s="28"/>
      <c r="CH405" s="25">
        <f t="shared" ref="CH405:CI405" si="799">BH405+BJ405+BL405+BN405+BP405+BR405+BT405+BV405+BX405+BZ405+CB405+CD405+CF405</f>
        <v>31730000</v>
      </c>
      <c r="CI405" s="25">
        <f t="shared" si="799"/>
        <v>31730000</v>
      </c>
      <c r="CJ405" s="26">
        <f t="shared" si="518"/>
        <v>0</v>
      </c>
      <c r="CK405" s="26">
        <f t="shared" si="519"/>
        <v>0</v>
      </c>
    </row>
    <row r="406" spans="1:89" ht="90" customHeight="1" x14ac:dyDescent="0.3">
      <c r="A406" s="13" t="s">
        <v>248</v>
      </c>
      <c r="B406" s="14" t="s">
        <v>34</v>
      </c>
      <c r="C406" s="15" t="s">
        <v>1127</v>
      </c>
      <c r="D406" s="14" t="s">
        <v>61</v>
      </c>
      <c r="E406" s="13" t="s">
        <v>250</v>
      </c>
      <c r="F406" s="13" t="s">
        <v>250</v>
      </c>
      <c r="G406" s="14">
        <v>8</v>
      </c>
      <c r="H406" s="13" t="s">
        <v>1170</v>
      </c>
      <c r="I406" s="15" t="s">
        <v>1138</v>
      </c>
      <c r="J406" s="14" t="s">
        <v>1160</v>
      </c>
      <c r="K406" s="15" t="s">
        <v>79</v>
      </c>
      <c r="L406" s="14">
        <v>80111620</v>
      </c>
      <c r="M406" s="14" t="s">
        <v>36</v>
      </c>
      <c r="N406" s="14" t="s">
        <v>253</v>
      </c>
      <c r="O406" s="15" t="s">
        <v>1171</v>
      </c>
      <c r="P406" s="14" t="s">
        <v>774</v>
      </c>
      <c r="Q406" s="14" t="s">
        <v>774</v>
      </c>
      <c r="R406" s="14" t="s">
        <v>774</v>
      </c>
      <c r="S406" s="17">
        <v>5</v>
      </c>
      <c r="T406" s="14" t="s">
        <v>256</v>
      </c>
      <c r="U406" s="14" t="s">
        <v>257</v>
      </c>
      <c r="V406" s="14" t="s">
        <v>113</v>
      </c>
      <c r="W406" s="18">
        <v>31730000</v>
      </c>
      <c r="X406" s="18">
        <v>31730000</v>
      </c>
      <c r="Y406" s="19" t="s">
        <v>339</v>
      </c>
      <c r="Z406" s="19" t="s">
        <v>258</v>
      </c>
      <c r="AA406" s="14" t="s">
        <v>1132</v>
      </c>
      <c r="AB406" s="14" t="s">
        <v>1133</v>
      </c>
      <c r="AC406" s="14">
        <v>6012220601</v>
      </c>
      <c r="AD406" s="14" t="s">
        <v>1134</v>
      </c>
      <c r="AE406" s="82">
        <v>0</v>
      </c>
      <c r="AF406" s="82">
        <v>0</v>
      </c>
      <c r="AG406" s="82">
        <v>0</v>
      </c>
      <c r="AH406" s="82">
        <v>0</v>
      </c>
      <c r="AI406" s="82">
        <v>0</v>
      </c>
      <c r="AJ406" s="82">
        <v>0</v>
      </c>
      <c r="AK406" s="82">
        <v>0</v>
      </c>
      <c r="AL406" s="82">
        <v>0</v>
      </c>
      <c r="AM406" s="82">
        <v>0</v>
      </c>
      <c r="AN406" s="82">
        <v>0</v>
      </c>
      <c r="AO406" s="82">
        <v>0</v>
      </c>
      <c r="AP406" s="82">
        <v>0</v>
      </c>
      <c r="AQ406" s="82">
        <v>0</v>
      </c>
      <c r="AR406" s="82">
        <v>0</v>
      </c>
      <c r="AS406" s="82">
        <v>31730000</v>
      </c>
      <c r="AT406" s="82">
        <v>0</v>
      </c>
      <c r="AU406" s="82">
        <v>0</v>
      </c>
      <c r="AV406" s="82">
        <v>6346000</v>
      </c>
      <c r="AW406" s="82">
        <v>0</v>
      </c>
      <c r="AX406" s="82">
        <v>6346000</v>
      </c>
      <c r="AY406" s="82">
        <v>0</v>
      </c>
      <c r="AZ406" s="82">
        <v>6346000</v>
      </c>
      <c r="BA406" s="82">
        <v>0</v>
      </c>
      <c r="BB406" s="82">
        <v>12692000</v>
      </c>
      <c r="BC406" s="82">
        <f t="shared" ref="BC406:BD406" si="800">AE406+AG406+AI406+AK406+AM406+AO406+AQ406+AS406+AU406+AW406+AY406+BA406</f>
        <v>31730000</v>
      </c>
      <c r="BD406" s="82">
        <f t="shared" si="800"/>
        <v>31730000</v>
      </c>
      <c r="BE406" s="83">
        <f t="shared" si="767"/>
        <v>0</v>
      </c>
      <c r="BF406" s="83">
        <f t="shared" si="768"/>
        <v>0</v>
      </c>
      <c r="BG406" s="14" t="str">
        <f ca="1">IFERROR(__xludf.DUMMYFUNCTION("REGEXEXTRACT(O400,""^\S+\s(.+)$"")"),"Prestar servicios profesionales para el apoyo en la elaboración de documentos y en el procesamiento de la información, de las convocatorias públicas y de ampliación de los proyectos de transmisión nacional y regional, y demás proyectos en ejecución asigna"&amp;"dos.")</f>
        <v>Prestar servicios profesionales para el apoyo en la elaboración de documentos y en el procesamiento de la información, de las convocatorias públicas y de ampliación de los proyectos de transmisión nacional y regional, y demás proyectos en ejecución asignados.</v>
      </c>
      <c r="BH406" s="23"/>
      <c r="BI406" s="23"/>
      <c r="BJ406" s="23">
        <v>0</v>
      </c>
      <c r="BK406" s="23">
        <v>0</v>
      </c>
      <c r="BL406" s="23">
        <v>0</v>
      </c>
      <c r="BM406" s="23">
        <v>0</v>
      </c>
      <c r="BN406" s="23">
        <v>0</v>
      </c>
      <c r="BO406" s="23">
        <v>0</v>
      </c>
      <c r="BP406" s="23">
        <v>0</v>
      </c>
      <c r="BQ406" s="23">
        <v>0</v>
      </c>
      <c r="BR406" s="23"/>
      <c r="BS406" s="23"/>
      <c r="BT406" s="23"/>
      <c r="BU406" s="23"/>
      <c r="BV406" s="23">
        <v>31730000</v>
      </c>
      <c r="BW406" s="23"/>
      <c r="BX406" s="23"/>
      <c r="BY406" s="23">
        <v>6346000</v>
      </c>
      <c r="BZ406" s="23">
        <v>0</v>
      </c>
      <c r="CA406" s="23">
        <v>6346000</v>
      </c>
      <c r="CB406" s="23">
        <v>0</v>
      </c>
      <c r="CC406" s="23">
        <v>6346000</v>
      </c>
      <c r="CD406" s="23">
        <v>0</v>
      </c>
      <c r="CE406" s="23">
        <v>12692000</v>
      </c>
      <c r="CF406" s="28"/>
      <c r="CG406" s="28"/>
      <c r="CH406" s="25">
        <f t="shared" ref="CH406:CI406" si="801">BH406+BJ406+BL406+BN406+BP406+BR406+BT406+BV406+BX406+BZ406+CB406+CD406+CF406</f>
        <v>31730000</v>
      </c>
      <c r="CI406" s="25">
        <f t="shared" si="801"/>
        <v>31730000</v>
      </c>
      <c r="CJ406" s="26">
        <f t="shared" si="518"/>
        <v>0</v>
      </c>
      <c r="CK406" s="26">
        <f t="shared" si="519"/>
        <v>0</v>
      </c>
    </row>
    <row r="407" spans="1:89" ht="90" customHeight="1" x14ac:dyDescent="0.3">
      <c r="A407" s="13" t="s">
        <v>248</v>
      </c>
      <c r="B407" s="14" t="s">
        <v>34</v>
      </c>
      <c r="C407" s="15" t="s">
        <v>1127</v>
      </c>
      <c r="D407" s="14" t="s">
        <v>61</v>
      </c>
      <c r="E407" s="13" t="s">
        <v>250</v>
      </c>
      <c r="F407" s="13" t="s">
        <v>250</v>
      </c>
      <c r="G407" s="14">
        <v>8</v>
      </c>
      <c r="H407" s="13" t="s">
        <v>1172</v>
      </c>
      <c r="I407" s="15" t="s">
        <v>1138</v>
      </c>
      <c r="J407" s="14" t="s">
        <v>1160</v>
      </c>
      <c r="K407" s="15" t="s">
        <v>79</v>
      </c>
      <c r="L407" s="14">
        <v>80111620</v>
      </c>
      <c r="M407" s="14" t="s">
        <v>36</v>
      </c>
      <c r="N407" s="14" t="s">
        <v>253</v>
      </c>
      <c r="O407" s="15" t="s">
        <v>1173</v>
      </c>
      <c r="P407" s="14" t="s">
        <v>774</v>
      </c>
      <c r="Q407" s="14" t="s">
        <v>774</v>
      </c>
      <c r="R407" s="14" t="s">
        <v>774</v>
      </c>
      <c r="S407" s="17">
        <v>5</v>
      </c>
      <c r="T407" s="14" t="s">
        <v>256</v>
      </c>
      <c r="U407" s="14" t="s">
        <v>257</v>
      </c>
      <c r="V407" s="14" t="s">
        <v>113</v>
      </c>
      <c r="W407" s="18">
        <v>39333000</v>
      </c>
      <c r="X407" s="18">
        <v>39333000</v>
      </c>
      <c r="Y407" s="19" t="s">
        <v>339</v>
      </c>
      <c r="Z407" s="19" t="s">
        <v>258</v>
      </c>
      <c r="AA407" s="14" t="s">
        <v>1132</v>
      </c>
      <c r="AB407" s="14" t="s">
        <v>1133</v>
      </c>
      <c r="AC407" s="14">
        <v>6012220601</v>
      </c>
      <c r="AD407" s="14" t="s">
        <v>1134</v>
      </c>
      <c r="AE407" s="82">
        <v>0</v>
      </c>
      <c r="AF407" s="82">
        <v>0</v>
      </c>
      <c r="AG407" s="82">
        <v>0</v>
      </c>
      <c r="AH407" s="82">
        <v>0</v>
      </c>
      <c r="AI407" s="82">
        <v>0</v>
      </c>
      <c r="AJ407" s="82">
        <v>0</v>
      </c>
      <c r="AK407" s="82">
        <v>0</v>
      </c>
      <c r="AL407" s="82">
        <v>0</v>
      </c>
      <c r="AM407" s="82">
        <v>0</v>
      </c>
      <c r="AN407" s="82">
        <v>0</v>
      </c>
      <c r="AO407" s="82">
        <v>0</v>
      </c>
      <c r="AP407" s="82">
        <v>0</v>
      </c>
      <c r="AQ407" s="82">
        <v>0</v>
      </c>
      <c r="AR407" s="82">
        <v>0</v>
      </c>
      <c r="AS407" s="82">
        <v>39333000</v>
      </c>
      <c r="AT407" s="82">
        <v>0</v>
      </c>
      <c r="AU407" s="82">
        <v>0</v>
      </c>
      <c r="AV407" s="82">
        <v>7866500</v>
      </c>
      <c r="AW407" s="82">
        <v>0</v>
      </c>
      <c r="AX407" s="82">
        <v>7866500</v>
      </c>
      <c r="AY407" s="82">
        <v>0</v>
      </c>
      <c r="AZ407" s="82">
        <v>7866500</v>
      </c>
      <c r="BA407" s="82">
        <v>0</v>
      </c>
      <c r="BB407" s="82">
        <v>15733500</v>
      </c>
      <c r="BC407" s="82">
        <f t="shared" ref="BC407:BD407" si="802">AE407+AG407+AI407+AK407+AM407+AO407+AQ407+AS407+AU407+AW407+AY407+BA407</f>
        <v>39333000</v>
      </c>
      <c r="BD407" s="82">
        <f t="shared" si="802"/>
        <v>39333000</v>
      </c>
      <c r="BE407" s="83">
        <f t="shared" si="767"/>
        <v>0</v>
      </c>
      <c r="BF407" s="83">
        <f t="shared" si="768"/>
        <v>0</v>
      </c>
      <c r="BG407" s="14" t="str">
        <f ca="1">IFERROR(__xludf.DUMMYFUNCTION("REGEXEXTRACT(O401,""^\S+\s(.+)$"")"),"Prestar servicios profesionales para efectuar el seguimiento socioambiental de los proyectos definidos en el plan de expansión que son objeto de convocatoria pública, e identificar problemáticas y opciones de solución que alimenten las etapas previas de p"&amp;"laneación y estructuración.")</f>
        <v>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07" s="23"/>
      <c r="BI407" s="23"/>
      <c r="BJ407" s="23">
        <v>0</v>
      </c>
      <c r="BK407" s="23">
        <v>0</v>
      </c>
      <c r="BL407" s="23">
        <v>0</v>
      </c>
      <c r="BM407" s="23">
        <v>0</v>
      </c>
      <c r="BN407" s="23">
        <v>0</v>
      </c>
      <c r="BO407" s="23">
        <v>0</v>
      </c>
      <c r="BP407" s="23">
        <v>0</v>
      </c>
      <c r="BQ407" s="23">
        <v>0</v>
      </c>
      <c r="BR407" s="23"/>
      <c r="BS407" s="23"/>
      <c r="BT407" s="23"/>
      <c r="BU407" s="23"/>
      <c r="BV407" s="23">
        <v>39333000</v>
      </c>
      <c r="BW407" s="23"/>
      <c r="BX407" s="23"/>
      <c r="BY407" s="23">
        <v>7866500</v>
      </c>
      <c r="BZ407" s="23"/>
      <c r="CA407" s="23">
        <v>7866500</v>
      </c>
      <c r="CB407" s="23"/>
      <c r="CC407" s="23">
        <v>7866500</v>
      </c>
      <c r="CD407" s="23"/>
      <c r="CE407" s="23">
        <v>15733500</v>
      </c>
      <c r="CF407" s="28"/>
      <c r="CG407" s="28"/>
      <c r="CH407" s="25">
        <f t="shared" ref="CH407:CI407" si="803">BH407+BJ407+BL407+BN407+BP407+BR407+BT407+BV407+BX407+BZ407+CB407+CD407+CF407</f>
        <v>39333000</v>
      </c>
      <c r="CI407" s="25">
        <f t="shared" si="803"/>
        <v>39333000</v>
      </c>
      <c r="CJ407" s="26">
        <f t="shared" si="518"/>
        <v>0</v>
      </c>
      <c r="CK407" s="26">
        <f t="shared" si="519"/>
        <v>0</v>
      </c>
    </row>
    <row r="408" spans="1:89" ht="90" customHeight="1" x14ac:dyDescent="0.3">
      <c r="A408" s="13" t="s">
        <v>248</v>
      </c>
      <c r="B408" s="14" t="s">
        <v>34</v>
      </c>
      <c r="C408" s="15" t="s">
        <v>1127</v>
      </c>
      <c r="D408" s="14" t="s">
        <v>61</v>
      </c>
      <c r="E408" s="13" t="s">
        <v>250</v>
      </c>
      <c r="F408" s="13" t="s">
        <v>250</v>
      </c>
      <c r="G408" s="14">
        <v>8</v>
      </c>
      <c r="H408" s="13" t="s">
        <v>1174</v>
      </c>
      <c r="I408" s="15" t="s">
        <v>1138</v>
      </c>
      <c r="J408" s="14" t="s">
        <v>1160</v>
      </c>
      <c r="K408" s="15" t="s">
        <v>79</v>
      </c>
      <c r="L408" s="14">
        <v>80111620</v>
      </c>
      <c r="M408" s="14" t="s">
        <v>36</v>
      </c>
      <c r="N408" s="14" t="s">
        <v>253</v>
      </c>
      <c r="O408" s="15" t="s">
        <v>1175</v>
      </c>
      <c r="P408" s="14" t="s">
        <v>774</v>
      </c>
      <c r="Q408" s="14" t="s">
        <v>774</v>
      </c>
      <c r="R408" s="14" t="s">
        <v>774</v>
      </c>
      <c r="S408" s="17">
        <v>5</v>
      </c>
      <c r="T408" s="14" t="s">
        <v>256</v>
      </c>
      <c r="U408" s="14" t="s">
        <v>257</v>
      </c>
      <c r="V408" s="14" t="s">
        <v>113</v>
      </c>
      <c r="W408" s="18">
        <v>39332500</v>
      </c>
      <c r="X408" s="18">
        <v>39332500</v>
      </c>
      <c r="Y408" s="19" t="s">
        <v>339</v>
      </c>
      <c r="Z408" s="19" t="s">
        <v>258</v>
      </c>
      <c r="AA408" s="14" t="s">
        <v>1132</v>
      </c>
      <c r="AB408" s="14" t="s">
        <v>1133</v>
      </c>
      <c r="AC408" s="14">
        <v>6012220601</v>
      </c>
      <c r="AD408" s="14" t="s">
        <v>1134</v>
      </c>
      <c r="AE408" s="82">
        <v>0</v>
      </c>
      <c r="AF408" s="82">
        <v>0</v>
      </c>
      <c r="AG408" s="82">
        <v>0</v>
      </c>
      <c r="AH408" s="82">
        <v>0</v>
      </c>
      <c r="AI408" s="82">
        <v>0</v>
      </c>
      <c r="AJ408" s="82">
        <v>0</v>
      </c>
      <c r="AK408" s="82">
        <v>0</v>
      </c>
      <c r="AL408" s="82">
        <v>0</v>
      </c>
      <c r="AM408" s="82">
        <v>0</v>
      </c>
      <c r="AN408" s="82">
        <v>0</v>
      </c>
      <c r="AO408" s="82">
        <v>0</v>
      </c>
      <c r="AP408" s="82">
        <v>0</v>
      </c>
      <c r="AQ408" s="82">
        <v>0</v>
      </c>
      <c r="AR408" s="82">
        <v>0</v>
      </c>
      <c r="AS408" s="82">
        <v>39332500</v>
      </c>
      <c r="AT408" s="82">
        <v>0</v>
      </c>
      <c r="AU408" s="82">
        <v>0</v>
      </c>
      <c r="AV408" s="82">
        <v>7866500</v>
      </c>
      <c r="AW408" s="82">
        <v>0</v>
      </c>
      <c r="AX408" s="82">
        <v>7866500</v>
      </c>
      <c r="AY408" s="82">
        <v>0</v>
      </c>
      <c r="AZ408" s="82">
        <v>7866500</v>
      </c>
      <c r="BA408" s="82">
        <v>0</v>
      </c>
      <c r="BB408" s="82">
        <v>15733000</v>
      </c>
      <c r="BC408" s="82">
        <f t="shared" ref="BC408:BD408" si="804">AE408+AG408+AI408+AK408+AM408+AO408+AQ408+AS408+AU408+AW408+AY408+BA408</f>
        <v>39332500</v>
      </c>
      <c r="BD408" s="82">
        <f t="shared" si="804"/>
        <v>39332500</v>
      </c>
      <c r="BE408" s="83">
        <f t="shared" si="767"/>
        <v>0</v>
      </c>
      <c r="BF408" s="83">
        <f t="shared" si="768"/>
        <v>0</v>
      </c>
      <c r="BG408" s="14" t="str">
        <f ca="1">IFERROR(__xludf.DUMMYFUNCTION("REGEXEXTRACT(O402,""^\S+\s(.+)$"")"),"Prestar servicios profesionales para adelantar el relacionamiento y articulación interinstitucional en fase de planeación y ejecución de los proyectos que se desarrollan mediante procesos de libre concurrencia, así como identificar las restricciones que s"&amp;"e presenten en el seguimiento de los proyectos de transmisión nacional y regional.	")</f>
        <v xml:space="preserve">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	</v>
      </c>
      <c r="BH408" s="23"/>
      <c r="BI408" s="23"/>
      <c r="BJ408" s="23">
        <v>0</v>
      </c>
      <c r="BK408" s="23">
        <v>0</v>
      </c>
      <c r="BL408" s="23">
        <v>0</v>
      </c>
      <c r="BM408" s="23">
        <v>0</v>
      </c>
      <c r="BN408" s="23">
        <v>0</v>
      </c>
      <c r="BO408" s="23">
        <v>0</v>
      </c>
      <c r="BP408" s="23">
        <v>0</v>
      </c>
      <c r="BQ408" s="23">
        <v>0</v>
      </c>
      <c r="BR408" s="23"/>
      <c r="BS408" s="23"/>
      <c r="BT408" s="23"/>
      <c r="BU408" s="23"/>
      <c r="BV408" s="23">
        <v>39332500</v>
      </c>
      <c r="BW408" s="23"/>
      <c r="BX408" s="23"/>
      <c r="BY408" s="23">
        <v>7866500</v>
      </c>
      <c r="BZ408" s="23"/>
      <c r="CA408" s="23">
        <v>7866500</v>
      </c>
      <c r="CB408" s="23"/>
      <c r="CC408" s="23">
        <v>7866500</v>
      </c>
      <c r="CD408" s="23"/>
      <c r="CE408" s="23">
        <v>15733000</v>
      </c>
      <c r="CF408" s="28"/>
      <c r="CG408" s="28"/>
      <c r="CH408" s="25">
        <f t="shared" ref="CH408:CI408" si="805">BH408+BJ408+BL408+BN408+BP408+BR408+BT408+BV408+BX408+BZ408+CB408+CD408+CF408</f>
        <v>39332500</v>
      </c>
      <c r="CI408" s="25">
        <f t="shared" si="805"/>
        <v>39332500</v>
      </c>
      <c r="CJ408" s="26">
        <f t="shared" si="518"/>
        <v>0</v>
      </c>
      <c r="CK408" s="26">
        <f t="shared" si="519"/>
        <v>0</v>
      </c>
    </row>
    <row r="409" spans="1:89" ht="90" customHeight="1" x14ac:dyDescent="0.3">
      <c r="A409" s="13" t="s">
        <v>248</v>
      </c>
      <c r="B409" s="14" t="s">
        <v>34</v>
      </c>
      <c r="C409" s="15" t="s">
        <v>1127</v>
      </c>
      <c r="D409" s="14" t="s">
        <v>61</v>
      </c>
      <c r="E409" s="13" t="s">
        <v>250</v>
      </c>
      <c r="F409" s="13" t="s">
        <v>250</v>
      </c>
      <c r="G409" s="14">
        <v>8</v>
      </c>
      <c r="H409" s="13" t="s">
        <v>1176</v>
      </c>
      <c r="I409" s="15" t="s">
        <v>1138</v>
      </c>
      <c r="J409" s="14" t="s">
        <v>1160</v>
      </c>
      <c r="K409" s="15" t="s">
        <v>79</v>
      </c>
      <c r="L409" s="14">
        <v>80111620</v>
      </c>
      <c r="M409" s="14" t="s">
        <v>36</v>
      </c>
      <c r="N409" s="14" t="s">
        <v>253</v>
      </c>
      <c r="O409" s="15" t="s">
        <v>1177</v>
      </c>
      <c r="P409" s="14" t="s">
        <v>774</v>
      </c>
      <c r="Q409" s="14" t="s">
        <v>774</v>
      </c>
      <c r="R409" s="14" t="s">
        <v>774</v>
      </c>
      <c r="S409" s="17">
        <v>5</v>
      </c>
      <c r="T409" s="14" t="s">
        <v>256</v>
      </c>
      <c r="U409" s="14" t="s">
        <v>257</v>
      </c>
      <c r="V409" s="14" t="s">
        <v>113</v>
      </c>
      <c r="W409" s="18">
        <v>39332500</v>
      </c>
      <c r="X409" s="18">
        <v>39332500</v>
      </c>
      <c r="Y409" s="19" t="s">
        <v>339</v>
      </c>
      <c r="Z409" s="19" t="s">
        <v>258</v>
      </c>
      <c r="AA409" s="14" t="s">
        <v>1132</v>
      </c>
      <c r="AB409" s="14" t="s">
        <v>1133</v>
      </c>
      <c r="AC409" s="14">
        <v>6012220601</v>
      </c>
      <c r="AD409" s="14" t="s">
        <v>1134</v>
      </c>
      <c r="AE409" s="82">
        <v>0</v>
      </c>
      <c r="AF409" s="82">
        <v>0</v>
      </c>
      <c r="AG409" s="82">
        <v>0</v>
      </c>
      <c r="AH409" s="82">
        <v>0</v>
      </c>
      <c r="AI409" s="82">
        <v>0</v>
      </c>
      <c r="AJ409" s="82">
        <v>0</v>
      </c>
      <c r="AK409" s="82">
        <v>0</v>
      </c>
      <c r="AL409" s="82">
        <v>0</v>
      </c>
      <c r="AM409" s="82">
        <v>0</v>
      </c>
      <c r="AN409" s="82">
        <v>0</v>
      </c>
      <c r="AO409" s="82">
        <v>0</v>
      </c>
      <c r="AP409" s="82">
        <v>0</v>
      </c>
      <c r="AQ409" s="82">
        <v>0</v>
      </c>
      <c r="AR409" s="82">
        <v>0</v>
      </c>
      <c r="AS409" s="82">
        <v>39332500</v>
      </c>
      <c r="AT409" s="82">
        <v>0</v>
      </c>
      <c r="AU409" s="82">
        <v>0</v>
      </c>
      <c r="AV409" s="82">
        <v>7866500</v>
      </c>
      <c r="AW409" s="82">
        <v>0</v>
      </c>
      <c r="AX409" s="82">
        <v>7866500</v>
      </c>
      <c r="AY409" s="82">
        <v>0</v>
      </c>
      <c r="AZ409" s="82">
        <v>7866500</v>
      </c>
      <c r="BA409" s="82">
        <v>0</v>
      </c>
      <c r="BB409" s="82">
        <v>15733000</v>
      </c>
      <c r="BC409" s="82">
        <f t="shared" ref="BC409:BD409" si="806">AE409+AG409+AI409+AK409+AM409+AO409+AQ409+AS409+AU409+AW409+AY409+BA409</f>
        <v>39332500</v>
      </c>
      <c r="BD409" s="82">
        <f t="shared" si="806"/>
        <v>39332500</v>
      </c>
      <c r="BE409" s="83">
        <f t="shared" si="767"/>
        <v>0</v>
      </c>
      <c r="BF409" s="83">
        <f t="shared" si="768"/>
        <v>0</v>
      </c>
      <c r="BG409" s="14" t="str">
        <f ca="1">IFERROR(__xludf.DUMMYFUNCTION("REGEXEXTRACT(O403,""^\S+\s(.+)$"")"),"Prestar servicios profesionales para apoyar el análisis y revisión de información socioambiental de los proyectos de transmisión nacional y regional en ejecución, así como los análisis de posibilidades y condicionantes en etapas de planeación, estructurac"&amp;"ión y ejecución.")</f>
        <v>Prestar servicios profesionales para apoyar el análisis y revisión de información socioambiental de los proyectos de transmisión nacional y regional en ejecución, así como los análisis de posibilidades y condicionantes en etapas de planeación, estructuración y ejecución.</v>
      </c>
      <c r="BH409" s="23"/>
      <c r="BI409" s="23"/>
      <c r="BJ409" s="23">
        <v>0</v>
      </c>
      <c r="BK409" s="23">
        <v>0</v>
      </c>
      <c r="BL409" s="23">
        <v>0</v>
      </c>
      <c r="BM409" s="23">
        <v>0</v>
      </c>
      <c r="BN409" s="23">
        <v>0</v>
      </c>
      <c r="BO409" s="23">
        <v>0</v>
      </c>
      <c r="BP409" s="23">
        <v>0</v>
      </c>
      <c r="BQ409" s="23">
        <v>0</v>
      </c>
      <c r="BR409" s="23"/>
      <c r="BS409" s="23"/>
      <c r="BT409" s="23"/>
      <c r="BU409" s="23"/>
      <c r="BV409" s="23">
        <v>39332500</v>
      </c>
      <c r="BW409" s="23"/>
      <c r="BX409" s="23"/>
      <c r="BY409" s="23">
        <v>7866500</v>
      </c>
      <c r="BZ409" s="23"/>
      <c r="CA409" s="23">
        <v>7866500</v>
      </c>
      <c r="CB409" s="23"/>
      <c r="CC409" s="23">
        <v>7866500</v>
      </c>
      <c r="CD409" s="23"/>
      <c r="CE409" s="23">
        <v>15733000</v>
      </c>
      <c r="CF409" s="28"/>
      <c r="CG409" s="28"/>
      <c r="CH409" s="25">
        <f t="shared" ref="CH409:CI409" si="807">BH409+BJ409+BL409+BN409+BP409+BR409+BT409+BV409+BX409+BZ409+CB409+CD409+CF409</f>
        <v>39332500</v>
      </c>
      <c r="CI409" s="25">
        <f t="shared" si="807"/>
        <v>39332500</v>
      </c>
      <c r="CJ409" s="26">
        <f t="shared" si="518"/>
        <v>0</v>
      </c>
      <c r="CK409" s="26">
        <f t="shared" si="519"/>
        <v>0</v>
      </c>
    </row>
    <row r="410" spans="1:89" ht="90" customHeight="1" x14ac:dyDescent="0.3">
      <c r="A410" s="13" t="s">
        <v>248</v>
      </c>
      <c r="B410" s="14" t="s">
        <v>34</v>
      </c>
      <c r="C410" s="15" t="s">
        <v>1127</v>
      </c>
      <c r="D410" s="14" t="s">
        <v>61</v>
      </c>
      <c r="E410" s="13" t="s">
        <v>250</v>
      </c>
      <c r="F410" s="13" t="s">
        <v>250</v>
      </c>
      <c r="G410" s="14">
        <v>8</v>
      </c>
      <c r="H410" s="13" t="s">
        <v>1178</v>
      </c>
      <c r="I410" s="15" t="s">
        <v>1138</v>
      </c>
      <c r="J410" s="14" t="s">
        <v>1160</v>
      </c>
      <c r="K410" s="15" t="s">
        <v>79</v>
      </c>
      <c r="L410" s="14">
        <v>80111620</v>
      </c>
      <c r="M410" s="14" t="s">
        <v>36</v>
      </c>
      <c r="N410" s="14" t="s">
        <v>253</v>
      </c>
      <c r="O410" s="15" t="s">
        <v>1179</v>
      </c>
      <c r="P410" s="14" t="s">
        <v>774</v>
      </c>
      <c r="Q410" s="14" t="s">
        <v>774</v>
      </c>
      <c r="R410" s="14" t="s">
        <v>774</v>
      </c>
      <c r="S410" s="17">
        <v>5</v>
      </c>
      <c r="T410" s="14" t="s">
        <v>256</v>
      </c>
      <c r="U410" s="14" t="s">
        <v>257</v>
      </c>
      <c r="V410" s="14" t="s">
        <v>113</v>
      </c>
      <c r="W410" s="18">
        <v>37652333</v>
      </c>
      <c r="X410" s="18">
        <v>37652333</v>
      </c>
      <c r="Y410" s="19" t="s">
        <v>339</v>
      </c>
      <c r="Z410" s="19" t="s">
        <v>258</v>
      </c>
      <c r="AA410" s="14" t="s">
        <v>1132</v>
      </c>
      <c r="AB410" s="14" t="s">
        <v>1133</v>
      </c>
      <c r="AC410" s="14">
        <v>6012220601</v>
      </c>
      <c r="AD410" s="14" t="s">
        <v>1134</v>
      </c>
      <c r="AE410" s="82">
        <v>0</v>
      </c>
      <c r="AF410" s="82">
        <v>0</v>
      </c>
      <c r="AG410" s="82">
        <v>0</v>
      </c>
      <c r="AH410" s="82">
        <v>0</v>
      </c>
      <c r="AI410" s="82">
        <v>0</v>
      </c>
      <c r="AJ410" s="82">
        <v>0</v>
      </c>
      <c r="AK410" s="82">
        <v>0</v>
      </c>
      <c r="AL410" s="82">
        <v>0</v>
      </c>
      <c r="AM410" s="82">
        <v>0</v>
      </c>
      <c r="AN410" s="82">
        <v>0</v>
      </c>
      <c r="AO410" s="82">
        <v>0</v>
      </c>
      <c r="AP410" s="82">
        <v>0</v>
      </c>
      <c r="AQ410" s="82">
        <v>0</v>
      </c>
      <c r="AR410" s="82">
        <v>0</v>
      </c>
      <c r="AS410" s="82">
        <v>37652333</v>
      </c>
      <c r="AT410" s="82">
        <v>0</v>
      </c>
      <c r="AU410" s="82">
        <v>0</v>
      </c>
      <c r="AV410" s="82">
        <v>7296600</v>
      </c>
      <c r="AW410" s="82">
        <v>0</v>
      </c>
      <c r="AX410" s="82">
        <v>7296600</v>
      </c>
      <c r="AY410" s="82">
        <v>0</v>
      </c>
      <c r="AZ410" s="82">
        <v>7296600</v>
      </c>
      <c r="BA410" s="82">
        <v>0</v>
      </c>
      <c r="BB410" s="82">
        <v>15762533</v>
      </c>
      <c r="BC410" s="82">
        <f t="shared" ref="BC410:BD410" si="808">AE410+AG410+AI410+AK410+AM410+AO410+AQ410+AS410+AU410+AW410+AY410+BA410</f>
        <v>37652333</v>
      </c>
      <c r="BD410" s="82">
        <f t="shared" si="808"/>
        <v>37652333</v>
      </c>
      <c r="BE410" s="83">
        <f t="shared" si="767"/>
        <v>0</v>
      </c>
      <c r="BF410" s="83">
        <f t="shared" si="768"/>
        <v>0</v>
      </c>
      <c r="BG410" s="14" t="str">
        <f ca="1">IFERROR(__xludf.DUMMYFUNCTION("REGEXEXTRACT(O404,""^\S+\s(.+)$"")"),"Prestar servicios profesionales para procesar y gestionar el sistema de información geográfico de la infraestructura de transmisión nacional y regional y los proyectos en ejecución y apoyar la gestión cartográfica de los análisis de posibilidades y condic"&amp;"ionantes y actualización de la base de datos de sistema socioambiental de la UPME.")</f>
        <v>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v>
      </c>
      <c r="BH410" s="23"/>
      <c r="BI410" s="23"/>
      <c r="BJ410" s="23">
        <v>0</v>
      </c>
      <c r="BK410" s="23">
        <v>0</v>
      </c>
      <c r="BL410" s="23">
        <v>0</v>
      </c>
      <c r="BM410" s="23">
        <v>0</v>
      </c>
      <c r="BN410" s="23">
        <v>0</v>
      </c>
      <c r="BO410" s="23">
        <v>0</v>
      </c>
      <c r="BP410" s="23">
        <v>0</v>
      </c>
      <c r="BQ410" s="23">
        <v>0</v>
      </c>
      <c r="BR410" s="23"/>
      <c r="BS410" s="23"/>
      <c r="BT410" s="23"/>
      <c r="BU410" s="23"/>
      <c r="BV410" s="23">
        <v>37652333</v>
      </c>
      <c r="BW410" s="23"/>
      <c r="BX410" s="23"/>
      <c r="BY410" s="23">
        <v>7296600</v>
      </c>
      <c r="BZ410" s="23"/>
      <c r="CA410" s="23">
        <v>7296600</v>
      </c>
      <c r="CB410" s="23"/>
      <c r="CC410" s="23">
        <v>7296600</v>
      </c>
      <c r="CD410" s="23"/>
      <c r="CE410" s="23">
        <v>15762533</v>
      </c>
      <c r="CF410" s="28"/>
      <c r="CG410" s="28"/>
      <c r="CH410" s="25">
        <f t="shared" ref="CH410:CI410" si="809">BH410+BJ410+BL410+BN410+BP410+BR410+BT410+BV410+BX410+BZ410+CB410+CD410+CF410</f>
        <v>37652333</v>
      </c>
      <c r="CI410" s="25">
        <f t="shared" si="809"/>
        <v>37652333</v>
      </c>
      <c r="CJ410" s="26">
        <f t="shared" si="518"/>
        <v>0</v>
      </c>
      <c r="CK410" s="26">
        <f t="shared" si="519"/>
        <v>0</v>
      </c>
    </row>
    <row r="411" spans="1:89" ht="90" customHeight="1" x14ac:dyDescent="0.3">
      <c r="A411" s="13" t="s">
        <v>248</v>
      </c>
      <c r="B411" s="14" t="s">
        <v>34</v>
      </c>
      <c r="C411" s="15" t="s">
        <v>1127</v>
      </c>
      <c r="D411" s="14" t="s">
        <v>61</v>
      </c>
      <c r="E411" s="13" t="s">
        <v>250</v>
      </c>
      <c r="F411" s="13" t="s">
        <v>250</v>
      </c>
      <c r="G411" s="14">
        <v>8</v>
      </c>
      <c r="H411" s="13" t="s">
        <v>1180</v>
      </c>
      <c r="I411" s="15" t="s">
        <v>1138</v>
      </c>
      <c r="J411" s="14" t="s">
        <v>1160</v>
      </c>
      <c r="K411" s="15" t="s">
        <v>79</v>
      </c>
      <c r="L411" s="14">
        <v>80111620</v>
      </c>
      <c r="M411" s="14" t="s">
        <v>36</v>
      </c>
      <c r="N411" s="14" t="s">
        <v>253</v>
      </c>
      <c r="O411" s="15" t="s">
        <v>1181</v>
      </c>
      <c r="P411" s="14" t="s">
        <v>255</v>
      </c>
      <c r="Q411" s="14" t="s">
        <v>255</v>
      </c>
      <c r="R411" s="14" t="s">
        <v>255</v>
      </c>
      <c r="S411" s="17">
        <v>11</v>
      </c>
      <c r="T411" s="14" t="s">
        <v>256</v>
      </c>
      <c r="U411" s="14" t="s">
        <v>257</v>
      </c>
      <c r="V411" s="14" t="s">
        <v>113</v>
      </c>
      <c r="W411" s="18">
        <v>46101709</v>
      </c>
      <c r="X411" s="18">
        <v>46101709</v>
      </c>
      <c r="Y411" s="19" t="s">
        <v>339</v>
      </c>
      <c r="Z411" s="19" t="s">
        <v>258</v>
      </c>
      <c r="AA411" s="14" t="s">
        <v>1132</v>
      </c>
      <c r="AB411" s="14" t="s">
        <v>1133</v>
      </c>
      <c r="AC411" s="14">
        <v>6012220601</v>
      </c>
      <c r="AD411" s="14" t="s">
        <v>1134</v>
      </c>
      <c r="AE411" s="82">
        <v>0</v>
      </c>
      <c r="AF411" s="82">
        <v>0</v>
      </c>
      <c r="AG411" s="82">
        <v>46101709</v>
      </c>
      <c r="AH411" s="82">
        <v>0</v>
      </c>
      <c r="AI411" s="82">
        <v>0</v>
      </c>
      <c r="AJ411" s="82">
        <v>4610171</v>
      </c>
      <c r="AK411" s="82">
        <v>0</v>
      </c>
      <c r="AL411" s="82">
        <v>4610171</v>
      </c>
      <c r="AM411" s="82">
        <v>0</v>
      </c>
      <c r="AN411" s="82">
        <v>4610171</v>
      </c>
      <c r="AO411" s="82">
        <v>0</v>
      </c>
      <c r="AP411" s="82">
        <v>4610171</v>
      </c>
      <c r="AQ411" s="82">
        <v>0</v>
      </c>
      <c r="AR411" s="82">
        <v>4610171</v>
      </c>
      <c r="AS411" s="82">
        <v>0</v>
      </c>
      <c r="AT411" s="82">
        <v>4610171</v>
      </c>
      <c r="AU411" s="82">
        <v>0</v>
      </c>
      <c r="AV411" s="82">
        <v>4610171</v>
      </c>
      <c r="AW411" s="82">
        <v>0</v>
      </c>
      <c r="AX411" s="82">
        <v>4610171</v>
      </c>
      <c r="AY411" s="82">
        <v>0</v>
      </c>
      <c r="AZ411" s="82">
        <v>4610171</v>
      </c>
      <c r="BA411" s="82">
        <v>0</v>
      </c>
      <c r="BB411" s="82">
        <v>4610170</v>
      </c>
      <c r="BC411" s="82">
        <f t="shared" ref="BC411:BD411" si="810">AE411+AG411+AI411+AK411+AM411+AO411+AQ411+AS411+AU411+AW411+AY411+BA411</f>
        <v>46101709</v>
      </c>
      <c r="BD411" s="82">
        <f t="shared" si="810"/>
        <v>46101709</v>
      </c>
      <c r="BE411" s="83">
        <f t="shared" si="767"/>
        <v>0</v>
      </c>
      <c r="BF411" s="83">
        <f t="shared" si="768"/>
        <v>0</v>
      </c>
      <c r="BG411" s="14" t="str">
        <f ca="1">IFERROR(__xludf.DUMMYFUNCTION("REGEXEXTRACT(O405,""^\S+\s(.+)$"")"),"Prestación de servicios profesionales para apoyar la elaboración de documentos y el procesamiento de información asociados a las convocatorias públicas.")</f>
        <v>Prestación de servicios profesionales para apoyar la elaboración de documentos y el procesamiento de información asociados a las convocatorias públicas.</v>
      </c>
      <c r="BH411" s="23"/>
      <c r="BI411" s="23"/>
      <c r="BJ411" s="23">
        <v>46101709</v>
      </c>
      <c r="BK411" s="23">
        <v>0</v>
      </c>
      <c r="BL411" s="23">
        <v>0</v>
      </c>
      <c r="BM411" s="23">
        <v>4610171</v>
      </c>
      <c r="BN411" s="23">
        <v>0</v>
      </c>
      <c r="BO411" s="23">
        <v>4610171</v>
      </c>
      <c r="BP411" s="23">
        <v>0</v>
      </c>
      <c r="BQ411" s="23">
        <v>4610171</v>
      </c>
      <c r="BR411" s="23"/>
      <c r="BS411" s="23">
        <v>4610171</v>
      </c>
      <c r="BT411" s="23"/>
      <c r="BU411" s="23">
        <v>4610171</v>
      </c>
      <c r="BV411" s="23"/>
      <c r="BW411" s="23">
        <v>4610171</v>
      </c>
      <c r="BX411" s="23"/>
      <c r="BY411" s="23">
        <v>4610171</v>
      </c>
      <c r="BZ411" s="23"/>
      <c r="CA411" s="23">
        <v>4610171</v>
      </c>
      <c r="CB411" s="23"/>
      <c r="CC411" s="23">
        <v>4610171</v>
      </c>
      <c r="CD411" s="23"/>
      <c r="CE411" s="23">
        <v>4610170</v>
      </c>
      <c r="CF411" s="28"/>
      <c r="CG411" s="28"/>
      <c r="CH411" s="25">
        <f t="shared" ref="CH411:CI411" si="811">BH411+BJ411+BL411+BN411+BP411+BR411+BT411+BV411+BX411+BZ411+CB411+CD411+CF411</f>
        <v>46101709</v>
      </c>
      <c r="CI411" s="25">
        <f t="shared" si="811"/>
        <v>46101709</v>
      </c>
      <c r="CJ411" s="26">
        <f t="shared" si="518"/>
        <v>0</v>
      </c>
      <c r="CK411" s="26">
        <f t="shared" si="519"/>
        <v>0</v>
      </c>
    </row>
    <row r="412" spans="1:89" ht="90" customHeight="1" x14ac:dyDescent="0.3">
      <c r="A412" s="13" t="s">
        <v>248</v>
      </c>
      <c r="B412" s="14" t="s">
        <v>34</v>
      </c>
      <c r="C412" s="15" t="s">
        <v>1127</v>
      </c>
      <c r="D412" s="14" t="s">
        <v>61</v>
      </c>
      <c r="E412" s="13" t="s">
        <v>250</v>
      </c>
      <c r="F412" s="13" t="s">
        <v>250</v>
      </c>
      <c r="G412" s="14">
        <v>22</v>
      </c>
      <c r="H412" s="13" t="s">
        <v>1182</v>
      </c>
      <c r="I412" s="15" t="s">
        <v>1129</v>
      </c>
      <c r="J412" s="14" t="s">
        <v>9</v>
      </c>
      <c r="K412" s="15" t="s">
        <v>77</v>
      </c>
      <c r="L412" s="14">
        <v>81112003</v>
      </c>
      <c r="M412" s="14" t="s">
        <v>35</v>
      </c>
      <c r="N412" s="14" t="s">
        <v>770</v>
      </c>
      <c r="O412" s="15" t="s">
        <v>1183</v>
      </c>
      <c r="P412" s="14" t="s">
        <v>280</v>
      </c>
      <c r="Q412" s="14" t="s">
        <v>280</v>
      </c>
      <c r="R412" s="14" t="s">
        <v>281</v>
      </c>
      <c r="S412" s="17">
        <v>12</v>
      </c>
      <c r="T412" s="14" t="s">
        <v>256</v>
      </c>
      <c r="U412" s="14" t="s">
        <v>1184</v>
      </c>
      <c r="V412" s="14" t="s">
        <v>112</v>
      </c>
      <c r="W412" s="18">
        <v>70000000</v>
      </c>
      <c r="X412" s="18">
        <v>70000000</v>
      </c>
      <c r="Y412" s="19" t="s">
        <v>339</v>
      </c>
      <c r="Z412" s="19" t="s">
        <v>258</v>
      </c>
      <c r="AA412" s="14" t="s">
        <v>1132</v>
      </c>
      <c r="AB412" s="14" t="s">
        <v>1133</v>
      </c>
      <c r="AC412" s="14">
        <v>6012220601</v>
      </c>
      <c r="AD412" s="14" t="s">
        <v>1134</v>
      </c>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3"/>
      <c r="BF412" s="83"/>
      <c r="BG412" s="14" t="str">
        <f ca="1">IFERROR(__xludf.DUMMYFUNCTION("REGEXEXTRACT(O406,""^\S+\s(.+)$"")"),"Adquirir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412" s="23"/>
      <c r="BI412" s="23"/>
      <c r="BJ412" s="23"/>
      <c r="BK412" s="23"/>
      <c r="BL412" s="23"/>
      <c r="BM412" s="23"/>
      <c r="BN412" s="23"/>
      <c r="BO412" s="23"/>
      <c r="BP412" s="23">
        <v>70000000</v>
      </c>
      <c r="BQ412" s="23"/>
      <c r="BR412" s="23"/>
      <c r="BS412" s="23">
        <v>70000000</v>
      </c>
      <c r="BT412" s="23"/>
      <c r="BU412" s="23"/>
      <c r="BV412" s="23"/>
      <c r="BW412" s="23"/>
      <c r="BX412" s="23"/>
      <c r="BY412" s="23"/>
      <c r="BZ412" s="23"/>
      <c r="CA412" s="23"/>
      <c r="CB412" s="23"/>
      <c r="CC412" s="23"/>
      <c r="CD412" s="23"/>
      <c r="CE412" s="23"/>
      <c r="CF412" s="28"/>
      <c r="CG412" s="28"/>
      <c r="CH412" s="25"/>
      <c r="CI412" s="25"/>
      <c r="CJ412" s="26"/>
      <c r="CK412" s="26"/>
    </row>
    <row r="413" spans="1:89" ht="90" customHeight="1" x14ac:dyDescent="0.3">
      <c r="A413" s="13" t="s">
        <v>248</v>
      </c>
      <c r="B413" s="14" t="s">
        <v>34</v>
      </c>
      <c r="C413" s="15" t="s">
        <v>1127</v>
      </c>
      <c r="D413" s="14" t="s">
        <v>61</v>
      </c>
      <c r="E413" s="13" t="s">
        <v>250</v>
      </c>
      <c r="F413" s="13" t="s">
        <v>250</v>
      </c>
      <c r="G413" s="14">
        <v>68</v>
      </c>
      <c r="H413" s="13" t="s">
        <v>1185</v>
      </c>
      <c r="I413" s="15" t="s">
        <v>1129</v>
      </c>
      <c r="J413" s="14" t="s">
        <v>9</v>
      </c>
      <c r="K413" s="15" t="s">
        <v>77</v>
      </c>
      <c r="L413" s="14">
        <v>80111620</v>
      </c>
      <c r="M413" s="14" t="s">
        <v>35</v>
      </c>
      <c r="N413" s="14" t="s">
        <v>253</v>
      </c>
      <c r="O413" s="15" t="s">
        <v>1186</v>
      </c>
      <c r="P413" s="14" t="s">
        <v>255</v>
      </c>
      <c r="Q413" s="14" t="s">
        <v>255</v>
      </c>
      <c r="R413" s="14" t="s">
        <v>255</v>
      </c>
      <c r="S413" s="17">
        <v>10</v>
      </c>
      <c r="T413" s="14" t="s">
        <v>256</v>
      </c>
      <c r="U413" s="14" t="s">
        <v>257</v>
      </c>
      <c r="V413" s="14" t="s">
        <v>112</v>
      </c>
      <c r="W413" s="18">
        <v>70000000</v>
      </c>
      <c r="X413" s="18">
        <v>70000000</v>
      </c>
      <c r="Y413" s="19" t="s">
        <v>339</v>
      </c>
      <c r="Z413" s="19" t="s">
        <v>258</v>
      </c>
      <c r="AA413" s="14" t="s">
        <v>1132</v>
      </c>
      <c r="AB413" s="14" t="s">
        <v>1133</v>
      </c>
      <c r="AC413" s="14">
        <v>6012220601</v>
      </c>
      <c r="AD413" s="14" t="s">
        <v>1134</v>
      </c>
      <c r="AE413" s="82">
        <v>70000000</v>
      </c>
      <c r="AF413" s="82">
        <v>0</v>
      </c>
      <c r="AG413" s="82">
        <v>0</v>
      </c>
      <c r="AH413" s="82">
        <v>0</v>
      </c>
      <c r="AI413" s="82">
        <v>0</v>
      </c>
      <c r="AJ413" s="82">
        <v>7000000</v>
      </c>
      <c r="AK413" s="82">
        <v>0</v>
      </c>
      <c r="AL413" s="82">
        <v>7000000</v>
      </c>
      <c r="AM413" s="82">
        <v>0</v>
      </c>
      <c r="AN413" s="82">
        <v>7000000</v>
      </c>
      <c r="AO413" s="82">
        <v>0</v>
      </c>
      <c r="AP413" s="82">
        <v>7000000</v>
      </c>
      <c r="AQ413" s="82">
        <v>0</v>
      </c>
      <c r="AR413" s="82">
        <v>7000000</v>
      </c>
      <c r="AS413" s="82">
        <v>0</v>
      </c>
      <c r="AT413" s="82">
        <v>7000000</v>
      </c>
      <c r="AU413" s="82">
        <v>0</v>
      </c>
      <c r="AV413" s="82">
        <v>7000000</v>
      </c>
      <c r="AW413" s="82">
        <v>0</v>
      </c>
      <c r="AX413" s="82">
        <v>7000000</v>
      </c>
      <c r="AY413" s="82">
        <v>0</v>
      </c>
      <c r="AZ413" s="82">
        <v>7000000</v>
      </c>
      <c r="BA413" s="82">
        <v>0</v>
      </c>
      <c r="BB413" s="82">
        <v>7000000</v>
      </c>
      <c r="BC413" s="82">
        <f t="shared" ref="BC413:BD413" si="812">AE413+AG413+AI413+AK413+AM413+AO413+AQ413+AS413+AU413+AW413+AY413+BA413</f>
        <v>70000000</v>
      </c>
      <c r="BD413" s="82">
        <f t="shared" si="812"/>
        <v>70000000</v>
      </c>
      <c r="BE413" s="83">
        <f t="shared" ref="BE413:BE667" si="813">X413-BC413</f>
        <v>0</v>
      </c>
      <c r="BF413" s="83">
        <f t="shared" ref="BF413:BF667" si="814">X413-BD413</f>
        <v>0</v>
      </c>
      <c r="BG413" s="14" t="str">
        <f ca="1">IFERROR(__xludf.DUMMYFUNCTION("REGEXEXTRACT(O407,""^\S+\s(.+)$"")"),"Prestar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13" s="23">
        <v>70000000</v>
      </c>
      <c r="BI413" s="23"/>
      <c r="BJ413" s="23"/>
      <c r="BK413" s="23"/>
      <c r="BL413" s="23"/>
      <c r="BM413" s="23">
        <v>7000000</v>
      </c>
      <c r="BN413" s="23"/>
      <c r="BO413" s="23">
        <v>7000000</v>
      </c>
      <c r="BP413" s="23"/>
      <c r="BQ413" s="23">
        <v>7000000</v>
      </c>
      <c r="BR413" s="23"/>
      <c r="BS413" s="23">
        <v>7000000</v>
      </c>
      <c r="BT413" s="23"/>
      <c r="BU413" s="23">
        <v>7000000</v>
      </c>
      <c r="BV413" s="23"/>
      <c r="BW413" s="23">
        <v>7000000</v>
      </c>
      <c r="BX413" s="23"/>
      <c r="BY413" s="23">
        <v>7000000</v>
      </c>
      <c r="BZ413" s="23"/>
      <c r="CA413" s="23">
        <v>7000000</v>
      </c>
      <c r="CB413" s="23"/>
      <c r="CC413" s="23">
        <v>7000000</v>
      </c>
      <c r="CD413" s="23"/>
      <c r="CE413" s="23">
        <v>7000000</v>
      </c>
      <c r="CF413" s="28"/>
      <c r="CG413" s="28"/>
      <c r="CH413" s="25">
        <f t="shared" ref="CH413:CI413" si="815">BH413+BJ413+BL413+BN413+BP413+BR413+BT413+BV413+BX413+BZ413+CB413+CD413+CF413</f>
        <v>70000000</v>
      </c>
      <c r="CI413" s="25">
        <f t="shared" si="815"/>
        <v>70000000</v>
      </c>
      <c r="CJ413" s="26">
        <f t="shared" ref="CJ413:CJ667" si="816">X413-CH413</f>
        <v>0</v>
      </c>
      <c r="CK413" s="26">
        <f t="shared" ref="CK413:CK667" si="817">X413-CI413</f>
        <v>0</v>
      </c>
    </row>
    <row r="414" spans="1:89" ht="90" customHeight="1" x14ac:dyDescent="0.3">
      <c r="A414" s="13" t="s">
        <v>248</v>
      </c>
      <c r="B414" s="14" t="s">
        <v>34</v>
      </c>
      <c r="C414" s="15" t="s">
        <v>1127</v>
      </c>
      <c r="D414" s="14" t="s">
        <v>61</v>
      </c>
      <c r="E414" s="13" t="s">
        <v>250</v>
      </c>
      <c r="F414" s="13" t="s">
        <v>250</v>
      </c>
      <c r="G414" s="93" t="s">
        <v>1146</v>
      </c>
      <c r="H414" s="13" t="s">
        <v>1187</v>
      </c>
      <c r="I414" s="15" t="s">
        <v>1129</v>
      </c>
      <c r="J414" s="14" t="s">
        <v>9</v>
      </c>
      <c r="K414" s="15" t="s">
        <v>77</v>
      </c>
      <c r="L414" s="14">
        <v>80111620</v>
      </c>
      <c r="M414" s="14" t="s">
        <v>35</v>
      </c>
      <c r="N414" s="14" t="s">
        <v>253</v>
      </c>
      <c r="O414" s="15" t="s">
        <v>1188</v>
      </c>
      <c r="P414" s="14" t="s">
        <v>255</v>
      </c>
      <c r="Q414" s="14" t="s">
        <v>255</v>
      </c>
      <c r="R414" s="14" t="s">
        <v>255</v>
      </c>
      <c r="S414" s="17">
        <v>12</v>
      </c>
      <c r="T414" s="14" t="s">
        <v>256</v>
      </c>
      <c r="U414" s="14" t="s">
        <v>257</v>
      </c>
      <c r="V414" s="14" t="s">
        <v>112</v>
      </c>
      <c r="W414" s="18">
        <v>45536400</v>
      </c>
      <c r="X414" s="18">
        <v>45536400</v>
      </c>
      <c r="Y414" s="19" t="s">
        <v>1106</v>
      </c>
      <c r="Z414" s="19" t="s">
        <v>1131</v>
      </c>
      <c r="AA414" s="14" t="s">
        <v>1132</v>
      </c>
      <c r="AB414" s="14" t="s">
        <v>1133</v>
      </c>
      <c r="AC414" s="14">
        <v>6012220601</v>
      </c>
      <c r="AD414" s="14" t="s">
        <v>1134</v>
      </c>
      <c r="AE414" s="82">
        <v>26562900</v>
      </c>
      <c r="AF414" s="82">
        <v>0</v>
      </c>
      <c r="AG414" s="82">
        <v>0</v>
      </c>
      <c r="AH414" s="82">
        <v>3794700</v>
      </c>
      <c r="AI414" s="82">
        <v>0</v>
      </c>
      <c r="AJ414" s="82">
        <v>3794700</v>
      </c>
      <c r="AK414" s="82">
        <v>0</v>
      </c>
      <c r="AL414" s="82">
        <v>3794700</v>
      </c>
      <c r="AM414" s="82">
        <v>0</v>
      </c>
      <c r="AN414" s="82">
        <v>3794700</v>
      </c>
      <c r="AO414" s="82">
        <v>0</v>
      </c>
      <c r="AP414" s="82">
        <v>3794700</v>
      </c>
      <c r="AQ414" s="82">
        <v>0</v>
      </c>
      <c r="AR414" s="82">
        <v>3794700</v>
      </c>
      <c r="AS414" s="82">
        <v>18973500</v>
      </c>
      <c r="AT414" s="82">
        <v>3794700</v>
      </c>
      <c r="AU414" s="82">
        <v>0</v>
      </c>
      <c r="AV414" s="82">
        <v>3794700</v>
      </c>
      <c r="AW414" s="82">
        <v>0</v>
      </c>
      <c r="AX414" s="82">
        <v>3794700</v>
      </c>
      <c r="AY414" s="82">
        <v>0</v>
      </c>
      <c r="AZ414" s="82">
        <v>3794700</v>
      </c>
      <c r="BA414" s="82">
        <v>0</v>
      </c>
      <c r="BB414" s="82">
        <v>7589400</v>
      </c>
      <c r="BC414" s="82">
        <f t="shared" ref="BC414:BD414" si="818">AE414+AG414+AI414+AK414+AM414+AO414+AQ414+AS414+AU414+AW414+AY414+BA414</f>
        <v>45536400</v>
      </c>
      <c r="BD414" s="82">
        <f t="shared" si="818"/>
        <v>45536400</v>
      </c>
      <c r="BE414" s="83">
        <f t="shared" si="813"/>
        <v>0</v>
      </c>
      <c r="BF414" s="83">
        <f t="shared" si="814"/>
        <v>0</v>
      </c>
      <c r="BG414" s="14" t="str">
        <f ca="1">IFERROR(__xludf.DUMMYFUNCTION("REGEXEXTRACT(O408,""^\S+\s(.+)$"")"),"Prestar servicios profesionales a la Subdirección de Energía Eléctrica en el proceso, verificación y cumplimiento de requisitos legales y asuntos jurídicos misionales.")</f>
        <v>Prestar servicios profesionales a la Subdirección de Energía Eléctrica en el proceso, verificación y cumplimiento de requisitos legales y asuntos jurídicos misionales.</v>
      </c>
      <c r="BH414" s="23">
        <v>26562900</v>
      </c>
      <c r="BI414" s="23"/>
      <c r="BJ414" s="23"/>
      <c r="BK414" s="23">
        <v>3794700</v>
      </c>
      <c r="BL414" s="23"/>
      <c r="BM414" s="23">
        <v>3794700</v>
      </c>
      <c r="BN414" s="23"/>
      <c r="BO414" s="23">
        <v>3794700</v>
      </c>
      <c r="BP414" s="23"/>
      <c r="BQ414" s="23">
        <v>3794700</v>
      </c>
      <c r="BR414" s="23"/>
      <c r="BS414" s="23">
        <v>3794700</v>
      </c>
      <c r="BT414" s="23"/>
      <c r="BU414" s="23">
        <v>3794700</v>
      </c>
      <c r="BV414" s="23">
        <v>18973500</v>
      </c>
      <c r="BW414" s="23">
        <v>3794700</v>
      </c>
      <c r="BX414" s="23"/>
      <c r="BY414" s="23">
        <v>3794700</v>
      </c>
      <c r="BZ414" s="23"/>
      <c r="CA414" s="23">
        <v>3794700</v>
      </c>
      <c r="CB414" s="23"/>
      <c r="CC414" s="23">
        <v>3794700</v>
      </c>
      <c r="CD414" s="23"/>
      <c r="CE414" s="23">
        <v>7589400</v>
      </c>
      <c r="CF414" s="28"/>
      <c r="CG414" s="28"/>
      <c r="CH414" s="25">
        <f t="shared" ref="CH414:CI414" si="819">BH414+BJ414+BL414+BN414+BP414+BR414+BT414+BV414+BX414+BZ414+CB414+CD414+CF414</f>
        <v>45536400</v>
      </c>
      <c r="CI414" s="25">
        <f t="shared" si="819"/>
        <v>45536400</v>
      </c>
      <c r="CJ414" s="26">
        <f t="shared" si="816"/>
        <v>0</v>
      </c>
      <c r="CK414" s="26">
        <f t="shared" si="817"/>
        <v>0</v>
      </c>
    </row>
    <row r="415" spans="1:89" ht="90" customHeight="1" x14ac:dyDescent="0.3">
      <c r="A415" s="13" t="s">
        <v>248</v>
      </c>
      <c r="B415" s="14" t="s">
        <v>34</v>
      </c>
      <c r="C415" s="15" t="s">
        <v>1127</v>
      </c>
      <c r="D415" s="14" t="s">
        <v>61</v>
      </c>
      <c r="E415" s="13" t="s">
        <v>250</v>
      </c>
      <c r="F415" s="13" t="s">
        <v>250</v>
      </c>
      <c r="G415" s="14">
        <v>68</v>
      </c>
      <c r="H415" s="13" t="s">
        <v>1189</v>
      </c>
      <c r="I415" s="15" t="s">
        <v>1129</v>
      </c>
      <c r="J415" s="14" t="s">
        <v>9</v>
      </c>
      <c r="K415" s="15" t="s">
        <v>77</v>
      </c>
      <c r="L415" s="14">
        <v>80111620</v>
      </c>
      <c r="M415" s="14" t="s">
        <v>35</v>
      </c>
      <c r="N415" s="14" t="s">
        <v>253</v>
      </c>
      <c r="O415" s="15" t="s">
        <v>1190</v>
      </c>
      <c r="P415" s="14" t="s">
        <v>255</v>
      </c>
      <c r="Q415" s="14" t="s">
        <v>255</v>
      </c>
      <c r="R415" s="14" t="s">
        <v>255</v>
      </c>
      <c r="S415" s="17">
        <v>10</v>
      </c>
      <c r="T415" s="14" t="s">
        <v>256</v>
      </c>
      <c r="U415" s="14" t="s">
        <v>257</v>
      </c>
      <c r="V415" s="14" t="s">
        <v>112</v>
      </c>
      <c r="W415" s="18">
        <v>70000000</v>
      </c>
      <c r="X415" s="18">
        <v>70000000</v>
      </c>
      <c r="Y415" s="19" t="s">
        <v>339</v>
      </c>
      <c r="Z415" s="19" t="s">
        <v>258</v>
      </c>
      <c r="AA415" s="14" t="s">
        <v>1132</v>
      </c>
      <c r="AB415" s="14" t="s">
        <v>1133</v>
      </c>
      <c r="AC415" s="14">
        <v>6012220601</v>
      </c>
      <c r="AD415" s="14" t="s">
        <v>1134</v>
      </c>
      <c r="AE415" s="82">
        <v>70000000</v>
      </c>
      <c r="AF415" s="82">
        <v>0</v>
      </c>
      <c r="AG415" s="82">
        <v>0</v>
      </c>
      <c r="AH415" s="82">
        <v>0</v>
      </c>
      <c r="AI415" s="82">
        <v>0</v>
      </c>
      <c r="AJ415" s="82">
        <v>7000000</v>
      </c>
      <c r="AK415" s="82">
        <v>0</v>
      </c>
      <c r="AL415" s="82">
        <v>7000000</v>
      </c>
      <c r="AM415" s="82">
        <v>0</v>
      </c>
      <c r="AN415" s="82">
        <v>7000000</v>
      </c>
      <c r="AO415" s="82">
        <v>0</v>
      </c>
      <c r="AP415" s="82">
        <v>7000000</v>
      </c>
      <c r="AQ415" s="82">
        <v>0</v>
      </c>
      <c r="AR415" s="82">
        <v>7000000</v>
      </c>
      <c r="AS415" s="82">
        <v>0</v>
      </c>
      <c r="AT415" s="82">
        <v>7000000</v>
      </c>
      <c r="AU415" s="82">
        <v>0</v>
      </c>
      <c r="AV415" s="82">
        <v>7000000</v>
      </c>
      <c r="AW415" s="82">
        <v>0</v>
      </c>
      <c r="AX415" s="82">
        <v>7000000</v>
      </c>
      <c r="AY415" s="82">
        <v>0</v>
      </c>
      <c r="AZ415" s="82">
        <v>7000000</v>
      </c>
      <c r="BA415" s="82">
        <v>0</v>
      </c>
      <c r="BB415" s="82">
        <v>7000000</v>
      </c>
      <c r="BC415" s="82">
        <f t="shared" ref="BC415:BD415" si="820">AE415+AG415+AI415+AK415+AM415+AO415+AQ415+AS415+AU415+AW415+AY415+BA415</f>
        <v>70000000</v>
      </c>
      <c r="BD415" s="82">
        <f t="shared" si="820"/>
        <v>70000000</v>
      </c>
      <c r="BE415" s="83">
        <f t="shared" si="813"/>
        <v>0</v>
      </c>
      <c r="BF415" s="83">
        <f t="shared" si="814"/>
        <v>0</v>
      </c>
      <c r="BG415" s="14" t="str">
        <f ca="1">IFERROR(__xludf.DUMMYFUNCTION("REGEXEXTRACT(O409,""^\S+\s(.+)$"")"),"Prestar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15" s="23">
        <v>70000000</v>
      </c>
      <c r="BI415" s="23"/>
      <c r="BJ415" s="23"/>
      <c r="BK415" s="23"/>
      <c r="BL415" s="23"/>
      <c r="BM415" s="23">
        <v>7000000</v>
      </c>
      <c r="BN415" s="23"/>
      <c r="BO415" s="23">
        <v>7000000</v>
      </c>
      <c r="BP415" s="23"/>
      <c r="BQ415" s="23">
        <v>7000000</v>
      </c>
      <c r="BR415" s="23"/>
      <c r="BS415" s="23">
        <v>7000000</v>
      </c>
      <c r="BT415" s="23"/>
      <c r="BU415" s="23">
        <v>7000000</v>
      </c>
      <c r="BV415" s="23"/>
      <c r="BW415" s="23">
        <v>7000000</v>
      </c>
      <c r="BX415" s="23"/>
      <c r="BY415" s="23">
        <v>7000000</v>
      </c>
      <c r="BZ415" s="23"/>
      <c r="CA415" s="23">
        <v>7000000</v>
      </c>
      <c r="CB415" s="23"/>
      <c r="CC415" s="23">
        <v>7000000</v>
      </c>
      <c r="CD415" s="23"/>
      <c r="CE415" s="23">
        <v>7000000</v>
      </c>
      <c r="CF415" s="28"/>
      <c r="CG415" s="28"/>
      <c r="CH415" s="25">
        <f t="shared" ref="CH415:CI415" si="821">BH415+BJ415+BL415+BN415+BP415+BR415+BT415+BV415+BX415+BZ415+CB415+CD415+CF415</f>
        <v>70000000</v>
      </c>
      <c r="CI415" s="25">
        <f t="shared" si="821"/>
        <v>70000000</v>
      </c>
      <c r="CJ415" s="26">
        <f t="shared" si="816"/>
        <v>0</v>
      </c>
      <c r="CK415" s="26">
        <f t="shared" si="817"/>
        <v>0</v>
      </c>
    </row>
    <row r="416" spans="1:89" ht="90" customHeight="1" x14ac:dyDescent="0.3">
      <c r="A416" s="13" t="s">
        <v>248</v>
      </c>
      <c r="B416" s="14" t="s">
        <v>34</v>
      </c>
      <c r="C416" s="15" t="s">
        <v>1127</v>
      </c>
      <c r="D416" s="14" t="s">
        <v>61</v>
      </c>
      <c r="E416" s="13" t="s">
        <v>250</v>
      </c>
      <c r="F416" s="13" t="s">
        <v>250</v>
      </c>
      <c r="G416" s="14">
        <v>68</v>
      </c>
      <c r="H416" s="13" t="s">
        <v>1191</v>
      </c>
      <c r="I416" s="15" t="s">
        <v>1129</v>
      </c>
      <c r="J416" s="14" t="s">
        <v>9</v>
      </c>
      <c r="K416" s="15" t="s">
        <v>77</v>
      </c>
      <c r="L416" s="14">
        <v>80111620</v>
      </c>
      <c r="M416" s="14" t="s">
        <v>35</v>
      </c>
      <c r="N416" s="14" t="s">
        <v>253</v>
      </c>
      <c r="O416" s="15" t="s">
        <v>1192</v>
      </c>
      <c r="P416" s="14" t="s">
        <v>255</v>
      </c>
      <c r="Q416" s="14" t="s">
        <v>255</v>
      </c>
      <c r="R416" s="14" t="s">
        <v>255</v>
      </c>
      <c r="S416" s="17">
        <v>10</v>
      </c>
      <c r="T416" s="14" t="s">
        <v>256</v>
      </c>
      <c r="U416" s="14" t="s">
        <v>257</v>
      </c>
      <c r="V416" s="14" t="s">
        <v>112</v>
      </c>
      <c r="W416" s="18">
        <v>70000000</v>
      </c>
      <c r="X416" s="18">
        <v>70000000</v>
      </c>
      <c r="Y416" s="19" t="s">
        <v>339</v>
      </c>
      <c r="Z416" s="19" t="s">
        <v>258</v>
      </c>
      <c r="AA416" s="14" t="s">
        <v>1132</v>
      </c>
      <c r="AB416" s="14" t="s">
        <v>1133</v>
      </c>
      <c r="AC416" s="14">
        <v>6012220601</v>
      </c>
      <c r="AD416" s="14" t="s">
        <v>1134</v>
      </c>
      <c r="AE416" s="82">
        <v>70000000</v>
      </c>
      <c r="AF416" s="82">
        <v>0</v>
      </c>
      <c r="AG416" s="82">
        <v>0</v>
      </c>
      <c r="AH416" s="82">
        <v>0</v>
      </c>
      <c r="AI416" s="82">
        <v>0</v>
      </c>
      <c r="AJ416" s="82">
        <v>7000000</v>
      </c>
      <c r="AK416" s="82">
        <v>0</v>
      </c>
      <c r="AL416" s="82">
        <v>7000000</v>
      </c>
      <c r="AM416" s="82">
        <v>0</v>
      </c>
      <c r="AN416" s="82">
        <v>7000000</v>
      </c>
      <c r="AO416" s="82">
        <v>0</v>
      </c>
      <c r="AP416" s="82">
        <v>7000000</v>
      </c>
      <c r="AQ416" s="82">
        <v>0</v>
      </c>
      <c r="AR416" s="82">
        <v>7000000</v>
      </c>
      <c r="AS416" s="82">
        <v>0</v>
      </c>
      <c r="AT416" s="82">
        <v>7000000</v>
      </c>
      <c r="AU416" s="82">
        <v>0</v>
      </c>
      <c r="AV416" s="82">
        <v>7000000</v>
      </c>
      <c r="AW416" s="82">
        <v>0</v>
      </c>
      <c r="AX416" s="82">
        <v>7000000</v>
      </c>
      <c r="AY416" s="82">
        <v>0</v>
      </c>
      <c r="AZ416" s="82">
        <v>7000000</v>
      </c>
      <c r="BA416" s="82">
        <v>0</v>
      </c>
      <c r="BB416" s="82">
        <v>7000000</v>
      </c>
      <c r="BC416" s="82">
        <f t="shared" ref="BC416:BD416" si="822">AE416+AG416+AI416+AK416+AM416+AO416+AQ416+AS416+AU416+AW416+AY416+BA416</f>
        <v>70000000</v>
      </c>
      <c r="BD416" s="82">
        <f t="shared" si="822"/>
        <v>70000000</v>
      </c>
      <c r="BE416" s="83">
        <f t="shared" si="813"/>
        <v>0</v>
      </c>
      <c r="BF416" s="83">
        <f t="shared" si="814"/>
        <v>0</v>
      </c>
      <c r="BG416" s="14" t="str">
        <f ca="1">IFERROR(__xludf.DUMMYFUNCTION("REGEXEXTRACT(O410,""^\S+\s(.+)$"")"),"Prestar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16" s="23">
        <v>70000000</v>
      </c>
      <c r="BI416" s="23"/>
      <c r="BJ416" s="23"/>
      <c r="BK416" s="23"/>
      <c r="BL416" s="23"/>
      <c r="BM416" s="23">
        <v>7000000</v>
      </c>
      <c r="BN416" s="23"/>
      <c r="BO416" s="23">
        <v>7000000</v>
      </c>
      <c r="BP416" s="23"/>
      <c r="BQ416" s="23">
        <v>7000000</v>
      </c>
      <c r="BR416" s="23"/>
      <c r="BS416" s="23">
        <v>7000000</v>
      </c>
      <c r="BT416" s="23"/>
      <c r="BU416" s="23">
        <v>7000000</v>
      </c>
      <c r="BV416" s="23"/>
      <c r="BW416" s="23">
        <v>7000000</v>
      </c>
      <c r="BX416" s="23"/>
      <c r="BY416" s="23">
        <v>7000000</v>
      </c>
      <c r="BZ416" s="23"/>
      <c r="CA416" s="23">
        <v>7000000</v>
      </c>
      <c r="CB416" s="23"/>
      <c r="CC416" s="23">
        <v>7000000</v>
      </c>
      <c r="CD416" s="23"/>
      <c r="CE416" s="23">
        <v>7000000</v>
      </c>
      <c r="CF416" s="28"/>
      <c r="CG416" s="28"/>
      <c r="CH416" s="25">
        <f t="shared" ref="CH416:CI416" si="823">BH416+BJ416+BL416+BN416+BP416+BR416+BT416+BV416+BX416+BZ416+CB416+CD416+CF416</f>
        <v>70000000</v>
      </c>
      <c r="CI416" s="25">
        <f t="shared" si="823"/>
        <v>70000000</v>
      </c>
      <c r="CJ416" s="26">
        <f t="shared" si="816"/>
        <v>0</v>
      </c>
      <c r="CK416" s="26">
        <f t="shared" si="817"/>
        <v>0</v>
      </c>
    </row>
    <row r="417" spans="1:89" ht="90" customHeight="1" x14ac:dyDescent="0.3">
      <c r="A417" s="13" t="s">
        <v>248</v>
      </c>
      <c r="B417" s="14" t="s">
        <v>34</v>
      </c>
      <c r="C417" s="15" t="s">
        <v>1127</v>
      </c>
      <c r="D417" s="14" t="s">
        <v>61</v>
      </c>
      <c r="E417" s="13" t="s">
        <v>250</v>
      </c>
      <c r="F417" s="13" t="s">
        <v>250</v>
      </c>
      <c r="G417" s="14">
        <v>68</v>
      </c>
      <c r="H417" s="13" t="s">
        <v>1193</v>
      </c>
      <c r="I417" s="15" t="s">
        <v>1129</v>
      </c>
      <c r="J417" s="14" t="s">
        <v>9</v>
      </c>
      <c r="K417" s="15" t="s">
        <v>77</v>
      </c>
      <c r="L417" s="14">
        <v>80111620</v>
      </c>
      <c r="M417" s="14" t="s">
        <v>35</v>
      </c>
      <c r="N417" s="14" t="s">
        <v>253</v>
      </c>
      <c r="O417" s="15" t="s">
        <v>1194</v>
      </c>
      <c r="P417" s="14" t="s">
        <v>255</v>
      </c>
      <c r="Q417" s="14" t="s">
        <v>255</v>
      </c>
      <c r="R417" s="14" t="s">
        <v>255</v>
      </c>
      <c r="S417" s="17">
        <v>10</v>
      </c>
      <c r="T417" s="14" t="s">
        <v>256</v>
      </c>
      <c r="U417" s="14" t="s">
        <v>257</v>
      </c>
      <c r="V417" s="14" t="s">
        <v>112</v>
      </c>
      <c r="W417" s="18">
        <v>70000000</v>
      </c>
      <c r="X417" s="18">
        <v>70000000</v>
      </c>
      <c r="Y417" s="19" t="s">
        <v>339</v>
      </c>
      <c r="Z417" s="19" t="s">
        <v>258</v>
      </c>
      <c r="AA417" s="14" t="s">
        <v>1132</v>
      </c>
      <c r="AB417" s="14" t="s">
        <v>1133</v>
      </c>
      <c r="AC417" s="14">
        <v>6012220601</v>
      </c>
      <c r="AD417" s="14" t="s">
        <v>1134</v>
      </c>
      <c r="AE417" s="82">
        <v>70000000</v>
      </c>
      <c r="AF417" s="82">
        <v>0</v>
      </c>
      <c r="AG417" s="82">
        <v>0</v>
      </c>
      <c r="AH417" s="82">
        <v>0</v>
      </c>
      <c r="AI417" s="82">
        <v>0</v>
      </c>
      <c r="AJ417" s="82">
        <v>7000000</v>
      </c>
      <c r="AK417" s="82">
        <v>0</v>
      </c>
      <c r="AL417" s="82">
        <v>7000000</v>
      </c>
      <c r="AM417" s="82">
        <v>0</v>
      </c>
      <c r="AN417" s="82">
        <v>7000000</v>
      </c>
      <c r="AO417" s="82">
        <v>0</v>
      </c>
      <c r="AP417" s="82">
        <v>7000000</v>
      </c>
      <c r="AQ417" s="82">
        <v>0</v>
      </c>
      <c r="AR417" s="82">
        <v>7000000</v>
      </c>
      <c r="AS417" s="82">
        <v>0</v>
      </c>
      <c r="AT417" s="82">
        <v>7000000</v>
      </c>
      <c r="AU417" s="82">
        <v>0</v>
      </c>
      <c r="AV417" s="82">
        <v>7000000</v>
      </c>
      <c r="AW417" s="82">
        <v>0</v>
      </c>
      <c r="AX417" s="82">
        <v>7000000</v>
      </c>
      <c r="AY417" s="82">
        <v>0</v>
      </c>
      <c r="AZ417" s="82">
        <v>7000000</v>
      </c>
      <c r="BA417" s="82">
        <v>0</v>
      </c>
      <c r="BB417" s="82">
        <v>7000000</v>
      </c>
      <c r="BC417" s="82">
        <f t="shared" ref="BC417:BD417" si="824">AE417+AG417+AI417+AK417+AM417+AO417+AQ417+AS417+AU417+AW417+AY417+BA417</f>
        <v>70000000</v>
      </c>
      <c r="BD417" s="82">
        <f t="shared" si="824"/>
        <v>70000000</v>
      </c>
      <c r="BE417" s="83">
        <f t="shared" si="813"/>
        <v>0</v>
      </c>
      <c r="BF417" s="83">
        <f t="shared" si="814"/>
        <v>0</v>
      </c>
      <c r="BG417" s="14" t="str">
        <f ca="1">IFERROR(__xludf.DUMMYFUNCTION("REGEXEXTRACT(O411,""^\S+\s(.+)$"")"),"Prestar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17" s="23">
        <v>70000000</v>
      </c>
      <c r="BI417" s="23"/>
      <c r="BJ417" s="23"/>
      <c r="BK417" s="23"/>
      <c r="BL417" s="23"/>
      <c r="BM417" s="23">
        <v>7000000</v>
      </c>
      <c r="BN417" s="23"/>
      <c r="BO417" s="23">
        <v>7000000</v>
      </c>
      <c r="BP417" s="23"/>
      <c r="BQ417" s="23">
        <v>7000000</v>
      </c>
      <c r="BR417" s="23"/>
      <c r="BS417" s="23">
        <v>7000000</v>
      </c>
      <c r="BT417" s="23"/>
      <c r="BU417" s="23">
        <v>7000000</v>
      </c>
      <c r="BV417" s="23"/>
      <c r="BW417" s="23">
        <v>7000000</v>
      </c>
      <c r="BX417" s="23"/>
      <c r="BY417" s="23">
        <v>7000000</v>
      </c>
      <c r="BZ417" s="23"/>
      <c r="CA417" s="23">
        <v>7000000</v>
      </c>
      <c r="CB417" s="23"/>
      <c r="CC417" s="23">
        <v>7000000</v>
      </c>
      <c r="CD417" s="23"/>
      <c r="CE417" s="23">
        <v>7000000</v>
      </c>
      <c r="CF417" s="28"/>
      <c r="CG417" s="28"/>
      <c r="CH417" s="25">
        <f t="shared" ref="CH417:CI417" si="825">BH417+BJ417+BL417+BN417+BP417+BR417+BT417+BV417+BX417+BZ417+CB417+CD417+CF417</f>
        <v>70000000</v>
      </c>
      <c r="CI417" s="25">
        <f t="shared" si="825"/>
        <v>70000000</v>
      </c>
      <c r="CJ417" s="26">
        <f t="shared" si="816"/>
        <v>0</v>
      </c>
      <c r="CK417" s="26">
        <f t="shared" si="817"/>
        <v>0</v>
      </c>
    </row>
    <row r="418" spans="1:89" ht="90" customHeight="1" x14ac:dyDescent="0.3">
      <c r="A418" s="13" t="s">
        <v>248</v>
      </c>
      <c r="B418" s="14" t="s">
        <v>34</v>
      </c>
      <c r="C418" s="15" t="s">
        <v>1127</v>
      </c>
      <c r="D418" s="14" t="s">
        <v>61</v>
      </c>
      <c r="E418" s="13" t="s">
        <v>250</v>
      </c>
      <c r="F418" s="13" t="s">
        <v>250</v>
      </c>
      <c r="G418" s="14">
        <v>68</v>
      </c>
      <c r="H418" s="13" t="s">
        <v>1195</v>
      </c>
      <c r="I418" s="15" t="s">
        <v>1129</v>
      </c>
      <c r="J418" s="14" t="s">
        <v>9</v>
      </c>
      <c r="K418" s="15" t="s">
        <v>77</v>
      </c>
      <c r="L418" s="14">
        <v>80111620</v>
      </c>
      <c r="M418" s="14" t="s">
        <v>35</v>
      </c>
      <c r="N418" s="14" t="s">
        <v>253</v>
      </c>
      <c r="O418" s="15" t="s">
        <v>1196</v>
      </c>
      <c r="P418" s="14" t="s">
        <v>255</v>
      </c>
      <c r="Q418" s="14" t="s">
        <v>255</v>
      </c>
      <c r="R418" s="14" t="s">
        <v>255</v>
      </c>
      <c r="S418" s="17">
        <v>10</v>
      </c>
      <c r="T418" s="14" t="s">
        <v>256</v>
      </c>
      <c r="U418" s="14" t="s">
        <v>257</v>
      </c>
      <c r="V418" s="14" t="s">
        <v>112</v>
      </c>
      <c r="W418" s="18">
        <v>35000000</v>
      </c>
      <c r="X418" s="18">
        <v>35000000</v>
      </c>
      <c r="Y418" s="19" t="s">
        <v>339</v>
      </c>
      <c r="Z418" s="19" t="s">
        <v>258</v>
      </c>
      <c r="AA418" s="14" t="s">
        <v>1132</v>
      </c>
      <c r="AB418" s="14" t="s">
        <v>1133</v>
      </c>
      <c r="AC418" s="14">
        <v>6012220601</v>
      </c>
      <c r="AD418" s="14" t="s">
        <v>1134</v>
      </c>
      <c r="AE418" s="82">
        <v>35000000</v>
      </c>
      <c r="AF418" s="82">
        <v>0</v>
      </c>
      <c r="AG418" s="82">
        <v>0</v>
      </c>
      <c r="AH418" s="82">
        <v>0</v>
      </c>
      <c r="AI418" s="82">
        <v>0</v>
      </c>
      <c r="AJ418" s="82">
        <v>3500000</v>
      </c>
      <c r="AK418" s="82">
        <v>0</v>
      </c>
      <c r="AL418" s="82">
        <v>3500000</v>
      </c>
      <c r="AM418" s="82">
        <v>0</v>
      </c>
      <c r="AN418" s="82">
        <v>3500000</v>
      </c>
      <c r="AO418" s="82">
        <v>0</v>
      </c>
      <c r="AP418" s="82">
        <v>3500000</v>
      </c>
      <c r="AQ418" s="82">
        <v>0</v>
      </c>
      <c r="AR418" s="82">
        <v>3500000</v>
      </c>
      <c r="AS418" s="82">
        <v>0</v>
      </c>
      <c r="AT418" s="82">
        <v>3500000</v>
      </c>
      <c r="AU418" s="82">
        <v>0</v>
      </c>
      <c r="AV418" s="82">
        <v>3500000</v>
      </c>
      <c r="AW418" s="82">
        <v>0</v>
      </c>
      <c r="AX418" s="82">
        <v>3500000</v>
      </c>
      <c r="AY418" s="82">
        <v>0</v>
      </c>
      <c r="AZ418" s="82">
        <v>3500000</v>
      </c>
      <c r="BA418" s="82">
        <v>0</v>
      </c>
      <c r="BB418" s="82">
        <v>3500000</v>
      </c>
      <c r="BC418" s="82">
        <f t="shared" ref="BC418:BD418" si="826">AE418+AG418+AI418+AK418+AM418+AO418+AQ418+AS418+AU418+AW418+AY418+BA418</f>
        <v>35000000</v>
      </c>
      <c r="BD418" s="82">
        <f t="shared" si="826"/>
        <v>35000000</v>
      </c>
      <c r="BE418" s="83">
        <f t="shared" si="813"/>
        <v>0</v>
      </c>
      <c r="BF418" s="83">
        <f t="shared" si="814"/>
        <v>0</v>
      </c>
      <c r="BG418" s="14" t="str">
        <f ca="1">IFERROR(__xludf.DUMMYFUNCTION("REGEXEXTRACT(O412,""^\S+\s(.+)$"")"),"Prestar servicios ​de apoyo a la gestión en las labores administrativas relacionadas con los procesos ​y procedimientos a cargo de la Oficina Asesora Jurídica, para el logro de los objetivos institucionales de la UPME​.")</f>
        <v>Prestar servicios ​de apoyo a la gestión en las labores administrativas relacionadas con los procesos ​y procedimientos a cargo de la Oficina Asesora Jurídica, para el logro de los objetivos institucionales de la UPME​.</v>
      </c>
      <c r="BH418" s="23">
        <v>35000000</v>
      </c>
      <c r="BI418" s="23"/>
      <c r="BJ418" s="23"/>
      <c r="BK418" s="23"/>
      <c r="BL418" s="23"/>
      <c r="BM418" s="23">
        <v>3500000</v>
      </c>
      <c r="BN418" s="23"/>
      <c r="BO418" s="23">
        <v>3500000</v>
      </c>
      <c r="BP418" s="23"/>
      <c r="BQ418" s="23">
        <v>3500000</v>
      </c>
      <c r="BR418" s="23"/>
      <c r="BS418" s="23">
        <v>3500000</v>
      </c>
      <c r="BT418" s="23"/>
      <c r="BU418" s="23">
        <v>3500000</v>
      </c>
      <c r="BV418" s="23"/>
      <c r="BW418" s="23">
        <v>3500000</v>
      </c>
      <c r="BX418" s="23"/>
      <c r="BY418" s="23">
        <v>3500000</v>
      </c>
      <c r="BZ418" s="23"/>
      <c r="CA418" s="23">
        <v>3500000</v>
      </c>
      <c r="CB418" s="23"/>
      <c r="CC418" s="23">
        <v>3500000</v>
      </c>
      <c r="CD418" s="23"/>
      <c r="CE418" s="23">
        <v>3500000</v>
      </c>
      <c r="CF418" s="28"/>
      <c r="CG418" s="28"/>
      <c r="CH418" s="25">
        <f t="shared" ref="CH418:CI418" si="827">BH418+BJ418+BL418+BN418+BP418+BR418+BT418+BV418+BX418+BZ418+CB418+CD418+CF418</f>
        <v>35000000</v>
      </c>
      <c r="CI418" s="25">
        <f t="shared" si="827"/>
        <v>35000000</v>
      </c>
      <c r="CJ418" s="26">
        <f t="shared" si="816"/>
        <v>0</v>
      </c>
      <c r="CK418" s="26">
        <f t="shared" si="817"/>
        <v>0</v>
      </c>
    </row>
    <row r="419" spans="1:89" ht="90" customHeight="1" x14ac:dyDescent="0.3">
      <c r="A419" s="13" t="s">
        <v>248</v>
      </c>
      <c r="B419" s="14" t="s">
        <v>34</v>
      </c>
      <c r="C419" s="15" t="s">
        <v>1127</v>
      </c>
      <c r="D419" s="14" t="s">
        <v>61</v>
      </c>
      <c r="E419" s="13" t="s">
        <v>250</v>
      </c>
      <c r="F419" s="13" t="s">
        <v>250</v>
      </c>
      <c r="G419" s="14">
        <v>68</v>
      </c>
      <c r="H419" s="13" t="s">
        <v>1197</v>
      </c>
      <c r="I419" s="15" t="s">
        <v>1129</v>
      </c>
      <c r="J419" s="14" t="s">
        <v>9</v>
      </c>
      <c r="K419" s="15" t="s">
        <v>77</v>
      </c>
      <c r="L419" s="14">
        <v>80111620</v>
      </c>
      <c r="M419" s="14" t="s">
        <v>35</v>
      </c>
      <c r="N419" s="14" t="s">
        <v>253</v>
      </c>
      <c r="O419" s="15" t="s">
        <v>1198</v>
      </c>
      <c r="P419" s="14" t="s">
        <v>255</v>
      </c>
      <c r="Q419" s="14" t="s">
        <v>255</v>
      </c>
      <c r="R419" s="14" t="s">
        <v>255</v>
      </c>
      <c r="S419" s="17">
        <v>10</v>
      </c>
      <c r="T419" s="14" t="s">
        <v>256</v>
      </c>
      <c r="U419" s="14" t="s">
        <v>257</v>
      </c>
      <c r="V419" s="14" t="s">
        <v>112</v>
      </c>
      <c r="W419" s="18">
        <v>35000000</v>
      </c>
      <c r="X419" s="18">
        <v>35000000</v>
      </c>
      <c r="Y419" s="19" t="s">
        <v>339</v>
      </c>
      <c r="Z419" s="19" t="s">
        <v>258</v>
      </c>
      <c r="AA419" s="14" t="s">
        <v>1132</v>
      </c>
      <c r="AB419" s="14" t="s">
        <v>1133</v>
      </c>
      <c r="AC419" s="14">
        <v>6012220601</v>
      </c>
      <c r="AD419" s="14" t="s">
        <v>1134</v>
      </c>
      <c r="AE419" s="82">
        <v>35000000</v>
      </c>
      <c r="AF419" s="82">
        <v>0</v>
      </c>
      <c r="AG419" s="82">
        <v>0</v>
      </c>
      <c r="AH419" s="82">
        <v>0</v>
      </c>
      <c r="AI419" s="82">
        <v>0</v>
      </c>
      <c r="AJ419" s="82">
        <v>3500000</v>
      </c>
      <c r="AK419" s="82">
        <v>0</v>
      </c>
      <c r="AL419" s="82">
        <v>3500000</v>
      </c>
      <c r="AM419" s="82">
        <v>0</v>
      </c>
      <c r="AN419" s="82">
        <v>3500000</v>
      </c>
      <c r="AO419" s="82">
        <v>0</v>
      </c>
      <c r="AP419" s="82">
        <v>3500000</v>
      </c>
      <c r="AQ419" s="82">
        <v>0</v>
      </c>
      <c r="AR419" s="82">
        <v>3500000</v>
      </c>
      <c r="AS419" s="82">
        <v>0</v>
      </c>
      <c r="AT419" s="82">
        <v>3500000</v>
      </c>
      <c r="AU419" s="82">
        <v>0</v>
      </c>
      <c r="AV419" s="82">
        <v>3500000</v>
      </c>
      <c r="AW419" s="82">
        <v>0</v>
      </c>
      <c r="AX419" s="82">
        <v>3500000</v>
      </c>
      <c r="AY419" s="82">
        <v>0</v>
      </c>
      <c r="AZ419" s="82">
        <v>3500000</v>
      </c>
      <c r="BA419" s="82">
        <v>0</v>
      </c>
      <c r="BB419" s="82">
        <v>3500000</v>
      </c>
      <c r="BC419" s="82">
        <f t="shared" ref="BC419:BD419" si="828">AE419+AG419+AI419+AK419+AM419+AO419+AQ419+AS419+AU419+AW419+AY419+BA419</f>
        <v>35000000</v>
      </c>
      <c r="BD419" s="82">
        <f t="shared" si="828"/>
        <v>35000000</v>
      </c>
      <c r="BE419" s="83">
        <f t="shared" si="813"/>
        <v>0</v>
      </c>
      <c r="BF419" s="83">
        <f t="shared" si="814"/>
        <v>0</v>
      </c>
      <c r="BG419" s="14" t="str">
        <f ca="1">IFERROR(__xludf.DUMMYFUNCTION("REGEXEXTRACT(O413,""^\S+\s(.+)$"")"),"Prestar servicios de apoyo a la gestión para garantizar el cumplimiento de requisitos legales y la oportuna resolución de las peticiones, quejas y reclamos interpuestos ante la Subdirección de Energía Eléctrica en el marco de sus competencias")</f>
        <v>Prestar servicios de apoyo a la gestión para garantizar el cumplimiento de requisitos legales y la oportuna resolución de las peticiones, quejas y reclamos interpuestos ante la Subdirección de Energía Eléctrica en el marco de sus competencias</v>
      </c>
      <c r="BH419" s="23">
        <v>35000000</v>
      </c>
      <c r="BI419" s="23"/>
      <c r="BJ419" s="23"/>
      <c r="BK419" s="23"/>
      <c r="BL419" s="23"/>
      <c r="BM419" s="23">
        <v>3500000</v>
      </c>
      <c r="BN419" s="23"/>
      <c r="BO419" s="23">
        <v>3500000</v>
      </c>
      <c r="BP419" s="23"/>
      <c r="BQ419" s="23">
        <v>3500000</v>
      </c>
      <c r="BR419" s="23"/>
      <c r="BS419" s="23">
        <v>3500000</v>
      </c>
      <c r="BT419" s="23"/>
      <c r="BU419" s="23">
        <v>3500000</v>
      </c>
      <c r="BV419" s="23"/>
      <c r="BW419" s="23">
        <v>3500000</v>
      </c>
      <c r="BX419" s="23"/>
      <c r="BY419" s="23">
        <v>3500000</v>
      </c>
      <c r="BZ419" s="23"/>
      <c r="CA419" s="23">
        <v>3500000</v>
      </c>
      <c r="CB419" s="23"/>
      <c r="CC419" s="23">
        <v>3500000</v>
      </c>
      <c r="CD419" s="23"/>
      <c r="CE419" s="23">
        <v>3500000</v>
      </c>
      <c r="CF419" s="28"/>
      <c r="CG419" s="28"/>
      <c r="CH419" s="25">
        <f t="shared" ref="CH419:CI419" si="829">BH419+BJ419+BL419+BN419+BP419+BR419+BT419+BV419+BX419+BZ419+CB419+CD419+CF419</f>
        <v>35000000</v>
      </c>
      <c r="CI419" s="25">
        <f t="shared" si="829"/>
        <v>35000000</v>
      </c>
      <c r="CJ419" s="26">
        <f t="shared" si="816"/>
        <v>0</v>
      </c>
      <c r="CK419" s="26">
        <f t="shared" si="817"/>
        <v>0</v>
      </c>
    </row>
    <row r="420" spans="1:89" ht="90" customHeight="1" x14ac:dyDescent="0.3">
      <c r="A420" s="13" t="s">
        <v>248</v>
      </c>
      <c r="B420" s="14" t="s">
        <v>34</v>
      </c>
      <c r="C420" s="15" t="s">
        <v>1127</v>
      </c>
      <c r="D420" s="14" t="s">
        <v>61</v>
      </c>
      <c r="E420" s="13" t="s">
        <v>250</v>
      </c>
      <c r="F420" s="13" t="s">
        <v>250</v>
      </c>
      <c r="G420" s="93" t="s">
        <v>1146</v>
      </c>
      <c r="H420" s="13" t="s">
        <v>1199</v>
      </c>
      <c r="I420" s="15" t="s">
        <v>1129</v>
      </c>
      <c r="J420" s="14" t="s">
        <v>9</v>
      </c>
      <c r="K420" s="15" t="s">
        <v>77</v>
      </c>
      <c r="L420" s="14">
        <v>80111620</v>
      </c>
      <c r="M420" s="14" t="s">
        <v>35</v>
      </c>
      <c r="N420" s="14" t="s">
        <v>253</v>
      </c>
      <c r="O420" s="15" t="s">
        <v>1200</v>
      </c>
      <c r="P420" s="14" t="s">
        <v>255</v>
      </c>
      <c r="Q420" s="14" t="s">
        <v>255</v>
      </c>
      <c r="R420" s="14" t="s">
        <v>255</v>
      </c>
      <c r="S420" s="17">
        <v>12</v>
      </c>
      <c r="T420" s="14" t="s">
        <v>256</v>
      </c>
      <c r="U420" s="14" t="s">
        <v>257</v>
      </c>
      <c r="V420" s="14" t="s">
        <v>112</v>
      </c>
      <c r="W420" s="18">
        <v>116134200</v>
      </c>
      <c r="X420" s="18">
        <v>116134200</v>
      </c>
      <c r="Y420" s="19" t="s">
        <v>1106</v>
      </c>
      <c r="Z420" s="19" t="s">
        <v>1131</v>
      </c>
      <c r="AA420" s="14" t="s">
        <v>1132</v>
      </c>
      <c r="AB420" s="14" t="s">
        <v>1133</v>
      </c>
      <c r="AC420" s="14">
        <v>6012220601</v>
      </c>
      <c r="AD420" s="14" t="s">
        <v>1134</v>
      </c>
      <c r="AE420" s="82">
        <v>67744950</v>
      </c>
      <c r="AF420" s="82">
        <v>0</v>
      </c>
      <c r="AG420" s="82">
        <v>0</v>
      </c>
      <c r="AH420" s="82">
        <v>9677850</v>
      </c>
      <c r="AI420" s="82">
        <v>0</v>
      </c>
      <c r="AJ420" s="82">
        <v>9677850</v>
      </c>
      <c r="AK420" s="82">
        <v>0</v>
      </c>
      <c r="AL420" s="82">
        <v>9677850</v>
      </c>
      <c r="AM420" s="82">
        <v>0</v>
      </c>
      <c r="AN420" s="82">
        <v>9677850</v>
      </c>
      <c r="AO420" s="82">
        <v>0</v>
      </c>
      <c r="AP420" s="82">
        <v>9677850</v>
      </c>
      <c r="AQ420" s="82">
        <v>0</v>
      </c>
      <c r="AR420" s="82">
        <v>9677850</v>
      </c>
      <c r="AS420" s="82">
        <v>48389250</v>
      </c>
      <c r="AT420" s="82">
        <v>9677850</v>
      </c>
      <c r="AU420" s="82">
        <v>0</v>
      </c>
      <c r="AV420" s="82">
        <v>9677850</v>
      </c>
      <c r="AW420" s="82">
        <v>0</v>
      </c>
      <c r="AX420" s="82">
        <v>9677850</v>
      </c>
      <c r="AY420" s="82">
        <v>0</v>
      </c>
      <c r="AZ420" s="82">
        <v>9677850</v>
      </c>
      <c r="BA420" s="82">
        <v>0</v>
      </c>
      <c r="BB420" s="82">
        <v>19355700</v>
      </c>
      <c r="BC420" s="82">
        <f t="shared" ref="BC420:BD420" si="830">AE420+AG420+AI420+AK420+AM420+AO420+AQ420+AS420+AU420+AW420+AY420+BA420</f>
        <v>116134200</v>
      </c>
      <c r="BD420" s="82">
        <f t="shared" si="830"/>
        <v>116134200</v>
      </c>
      <c r="BE420" s="83">
        <f t="shared" si="813"/>
        <v>0</v>
      </c>
      <c r="BF420" s="83">
        <f t="shared" si="814"/>
        <v>0</v>
      </c>
      <c r="BG420" s="14" t="str">
        <f ca="1">IFERROR(__xludf.DUMMYFUNCTION("REGEXEXTRACT(O414,""^\S+\s(.+)$"")"),"Asesorar jurídicamente a la Subdirección de Energía Eléctrica en el proceso, verificación y cumplimiento de requisitos legales de las solicitudes de asignación de capacidad de transporte, respuestas asociadas y atención de acciones de carácter jurídico, e"&amp;"n lo relacionado con la aplicación de la Resolución CREG 075 de 2021 y procedimientos relacionados con la expansión del sistema eléctrico.")</f>
        <v>Asesorar jurídicamente a la Subdirección de Energía Eléctrica en el proceso, verificación y cumplimiento de requisitos legales de las solicitudes de asignación de capacidad de transporte, respuestas asociadas y atención de acciones de carácter jurídico, en lo relacionado con la aplicación de la Resolución CREG 075 de 2021 y procedimientos relacionados con la expansión del sistema eléctrico.</v>
      </c>
      <c r="BH420" s="23">
        <v>67744950</v>
      </c>
      <c r="BI420" s="23"/>
      <c r="BJ420" s="23"/>
      <c r="BK420" s="23">
        <v>9677850</v>
      </c>
      <c r="BL420" s="23"/>
      <c r="BM420" s="23">
        <v>9677850</v>
      </c>
      <c r="BN420" s="23"/>
      <c r="BO420" s="23">
        <v>9677850</v>
      </c>
      <c r="BP420" s="23"/>
      <c r="BQ420" s="23">
        <v>9677850</v>
      </c>
      <c r="BR420" s="23"/>
      <c r="BS420" s="23">
        <v>9677850</v>
      </c>
      <c r="BT420" s="23"/>
      <c r="BU420" s="23">
        <v>9677850</v>
      </c>
      <c r="BV420" s="23">
        <v>48389250</v>
      </c>
      <c r="BW420" s="23">
        <v>9677850</v>
      </c>
      <c r="BX420" s="23"/>
      <c r="BY420" s="23">
        <v>9677850</v>
      </c>
      <c r="BZ420" s="23"/>
      <c r="CA420" s="23">
        <v>9677850</v>
      </c>
      <c r="CB420" s="23"/>
      <c r="CC420" s="23">
        <v>9677850</v>
      </c>
      <c r="CD420" s="23"/>
      <c r="CE420" s="23">
        <v>19355700</v>
      </c>
      <c r="CF420" s="28"/>
      <c r="CG420" s="28"/>
      <c r="CH420" s="25">
        <f t="shared" ref="CH420:CI420" si="831">BH420+BJ420+BL420+BN420+BP420+BR420+BT420+BV420+BX420+BZ420+CB420+CD420+CF420</f>
        <v>116134200</v>
      </c>
      <c r="CI420" s="25">
        <f t="shared" si="831"/>
        <v>116134200</v>
      </c>
      <c r="CJ420" s="26">
        <f t="shared" si="816"/>
        <v>0</v>
      </c>
      <c r="CK420" s="26">
        <f t="shared" si="817"/>
        <v>0</v>
      </c>
    </row>
    <row r="421" spans="1:89" ht="90" customHeight="1" x14ac:dyDescent="0.3">
      <c r="A421" s="13" t="s">
        <v>248</v>
      </c>
      <c r="B421" s="14" t="s">
        <v>34</v>
      </c>
      <c r="C421" s="15" t="s">
        <v>1127</v>
      </c>
      <c r="D421" s="14" t="s">
        <v>61</v>
      </c>
      <c r="E421" s="13" t="s">
        <v>250</v>
      </c>
      <c r="F421" s="13" t="s">
        <v>250</v>
      </c>
      <c r="G421" s="14">
        <v>68</v>
      </c>
      <c r="H421" s="13" t="s">
        <v>1201</v>
      </c>
      <c r="I421" s="15" t="s">
        <v>1129</v>
      </c>
      <c r="J421" s="14" t="s">
        <v>9</v>
      </c>
      <c r="K421" s="15" t="s">
        <v>77</v>
      </c>
      <c r="L421" s="14">
        <v>80111620</v>
      </c>
      <c r="M421" s="14" t="s">
        <v>35</v>
      </c>
      <c r="N421" s="14" t="s">
        <v>253</v>
      </c>
      <c r="O421" s="15" t="s">
        <v>1202</v>
      </c>
      <c r="P421" s="14" t="s">
        <v>255</v>
      </c>
      <c r="Q421" s="14" t="s">
        <v>255</v>
      </c>
      <c r="R421" s="14" t="s">
        <v>255</v>
      </c>
      <c r="S421" s="17">
        <v>10</v>
      </c>
      <c r="T421" s="14" t="s">
        <v>256</v>
      </c>
      <c r="U421" s="14" t="s">
        <v>257</v>
      </c>
      <c r="V421" s="14" t="s">
        <v>112</v>
      </c>
      <c r="W421" s="18">
        <v>87000000</v>
      </c>
      <c r="X421" s="18">
        <v>87000000</v>
      </c>
      <c r="Y421" s="19" t="s">
        <v>339</v>
      </c>
      <c r="Z421" s="19" t="s">
        <v>258</v>
      </c>
      <c r="AA421" s="14" t="s">
        <v>1132</v>
      </c>
      <c r="AB421" s="14" t="s">
        <v>1133</v>
      </c>
      <c r="AC421" s="14">
        <v>6012220601</v>
      </c>
      <c r="AD421" s="14" t="s">
        <v>1134</v>
      </c>
      <c r="AE421" s="82">
        <v>87000000</v>
      </c>
      <c r="AF421" s="82">
        <v>0</v>
      </c>
      <c r="AG421" s="82">
        <v>0</v>
      </c>
      <c r="AH421" s="82">
        <v>0</v>
      </c>
      <c r="AI421" s="82">
        <v>0</v>
      </c>
      <c r="AJ421" s="82">
        <v>8700000</v>
      </c>
      <c r="AK421" s="82">
        <v>0</v>
      </c>
      <c r="AL421" s="82">
        <v>8700000</v>
      </c>
      <c r="AM421" s="82">
        <v>0</v>
      </c>
      <c r="AN421" s="82">
        <v>8700000</v>
      </c>
      <c r="AO421" s="82">
        <v>0</v>
      </c>
      <c r="AP421" s="82">
        <v>8700000</v>
      </c>
      <c r="AQ421" s="82">
        <v>0</v>
      </c>
      <c r="AR421" s="82">
        <v>8700000</v>
      </c>
      <c r="AS421" s="82">
        <v>0</v>
      </c>
      <c r="AT421" s="82">
        <v>8700000</v>
      </c>
      <c r="AU421" s="82">
        <v>0</v>
      </c>
      <c r="AV421" s="82">
        <v>8700000</v>
      </c>
      <c r="AW421" s="82">
        <v>0</v>
      </c>
      <c r="AX421" s="82">
        <v>8700000</v>
      </c>
      <c r="AY421" s="82">
        <v>0</v>
      </c>
      <c r="AZ421" s="82">
        <v>8700000</v>
      </c>
      <c r="BA421" s="82">
        <v>0</v>
      </c>
      <c r="BB421" s="82">
        <v>8700000</v>
      </c>
      <c r="BC421" s="82">
        <f t="shared" ref="BC421:BD421" si="832">AE421+AG421+AI421+AK421+AM421+AO421+AQ421+AS421+AU421+AW421+AY421+BA421</f>
        <v>87000000</v>
      </c>
      <c r="BD421" s="82">
        <f t="shared" si="832"/>
        <v>87000000</v>
      </c>
      <c r="BE421" s="83">
        <f t="shared" si="813"/>
        <v>0</v>
      </c>
      <c r="BF421" s="83">
        <f t="shared" si="814"/>
        <v>0</v>
      </c>
      <c r="BG421" s="14" t="str">
        <f ca="1">IFERROR(__xludf.DUMMYFUNCTION("REGEXEXTRACT(O415,""^\S+\s(.+)$"")"),"Brindar asesoría jurídica a la Subdirección de Energía Eléctrica en el proceso de verificación y cumplimiento de los requisitos legales relacionados con la subdirección, así como en la elaboración de respuestas y la atención de actuaciones de carácter jur"&amp;"ídico, en el marco de la aplicación de las diferentes Resoluciones expedidas por la CREG, la UPME y el Ministerio de Minas y Energía, así como de los demás procedimientos asociados a la subdirección de energía eléctrica")</f>
        <v>Brindar asesoría jurídica a la Subdirección de Energía Eléctrica en el proceso de verificación y cumplimiento de los requisitos legales relacionados con la subdirección, así como en la elaboración de respuestas y la atención de actuaciones de carácter jurídico, en el marco de la aplicación de las diferentes Resoluciones expedidas por la CREG, la UPME y el Ministerio de Minas y Energía, así como de los demás procedimientos asociados a la subdirección de energía eléctrica</v>
      </c>
      <c r="BH421" s="23">
        <v>87000000</v>
      </c>
      <c r="BI421" s="23"/>
      <c r="BJ421" s="23"/>
      <c r="BK421" s="23"/>
      <c r="BL421" s="23"/>
      <c r="BM421" s="23">
        <v>8700000</v>
      </c>
      <c r="BN421" s="23"/>
      <c r="BO421" s="23">
        <v>8700000</v>
      </c>
      <c r="BP421" s="23"/>
      <c r="BQ421" s="23">
        <v>8700000</v>
      </c>
      <c r="BR421" s="23"/>
      <c r="BS421" s="23">
        <v>8700000</v>
      </c>
      <c r="BT421" s="23"/>
      <c r="BU421" s="23">
        <v>8700000</v>
      </c>
      <c r="BV421" s="23"/>
      <c r="BW421" s="23">
        <v>8700000</v>
      </c>
      <c r="BX421" s="23"/>
      <c r="BY421" s="23">
        <v>8700000</v>
      </c>
      <c r="BZ421" s="23"/>
      <c r="CA421" s="23">
        <v>8700000</v>
      </c>
      <c r="CB421" s="23"/>
      <c r="CC421" s="23">
        <v>8700000</v>
      </c>
      <c r="CD421" s="23"/>
      <c r="CE421" s="23">
        <v>8700000</v>
      </c>
      <c r="CF421" s="28"/>
      <c r="CG421" s="28"/>
      <c r="CH421" s="25">
        <f t="shared" ref="CH421:CI421" si="833">BH421+BJ421+BL421+BN421+BP421+BR421+BT421+BV421+BX421+BZ421+CB421+CD421+CF421</f>
        <v>87000000</v>
      </c>
      <c r="CI421" s="25">
        <f t="shared" si="833"/>
        <v>87000000</v>
      </c>
      <c r="CJ421" s="26">
        <f t="shared" si="816"/>
        <v>0</v>
      </c>
      <c r="CK421" s="26">
        <f t="shared" si="817"/>
        <v>0</v>
      </c>
    </row>
    <row r="422" spans="1:89" ht="90" customHeight="1" x14ac:dyDescent="0.3">
      <c r="A422" s="13" t="s">
        <v>248</v>
      </c>
      <c r="B422" s="14" t="s">
        <v>34</v>
      </c>
      <c r="C422" s="15" t="s">
        <v>1127</v>
      </c>
      <c r="D422" s="14" t="s">
        <v>61</v>
      </c>
      <c r="E422" s="13" t="s">
        <v>250</v>
      </c>
      <c r="F422" s="13" t="s">
        <v>250</v>
      </c>
      <c r="G422" s="93" t="s">
        <v>1146</v>
      </c>
      <c r="H422" s="13" t="s">
        <v>1203</v>
      </c>
      <c r="I422" s="15" t="s">
        <v>1129</v>
      </c>
      <c r="J422" s="14" t="s">
        <v>9</v>
      </c>
      <c r="K422" s="15" t="s">
        <v>77</v>
      </c>
      <c r="L422" s="14">
        <v>80111620</v>
      </c>
      <c r="M422" s="14" t="s">
        <v>35</v>
      </c>
      <c r="N422" s="14" t="s">
        <v>253</v>
      </c>
      <c r="O422" s="15" t="s">
        <v>1204</v>
      </c>
      <c r="P422" s="14" t="s">
        <v>255</v>
      </c>
      <c r="Q422" s="14" t="s">
        <v>255</v>
      </c>
      <c r="R422" s="14" t="s">
        <v>255</v>
      </c>
      <c r="S422" s="17">
        <v>12</v>
      </c>
      <c r="T422" s="14" t="s">
        <v>256</v>
      </c>
      <c r="U422" s="14" t="s">
        <v>257</v>
      </c>
      <c r="V422" s="14" t="s">
        <v>112</v>
      </c>
      <c r="W422" s="18">
        <v>106938000</v>
      </c>
      <c r="X422" s="18">
        <v>106938000</v>
      </c>
      <c r="Y422" s="19" t="s">
        <v>1106</v>
      </c>
      <c r="Z422" s="19" t="s">
        <v>1131</v>
      </c>
      <c r="AA422" s="14" t="s">
        <v>1132</v>
      </c>
      <c r="AB422" s="14" t="s">
        <v>1133</v>
      </c>
      <c r="AC422" s="14">
        <v>6012220601</v>
      </c>
      <c r="AD422" s="14" t="s">
        <v>1134</v>
      </c>
      <c r="AE422" s="82">
        <v>62380500</v>
      </c>
      <c r="AF422" s="82">
        <v>0</v>
      </c>
      <c r="AG422" s="82">
        <v>0</v>
      </c>
      <c r="AH422" s="82">
        <v>8911500</v>
      </c>
      <c r="AI422" s="82">
        <v>0</v>
      </c>
      <c r="AJ422" s="82">
        <v>8911500</v>
      </c>
      <c r="AK422" s="82">
        <v>0</v>
      </c>
      <c r="AL422" s="82">
        <v>8911500</v>
      </c>
      <c r="AM422" s="82">
        <v>0</v>
      </c>
      <c r="AN422" s="82">
        <v>8911500</v>
      </c>
      <c r="AO422" s="82">
        <v>0</v>
      </c>
      <c r="AP422" s="82">
        <v>8911500</v>
      </c>
      <c r="AQ422" s="82">
        <v>0</v>
      </c>
      <c r="AR422" s="82">
        <v>8911500</v>
      </c>
      <c r="AS422" s="82">
        <v>44557500</v>
      </c>
      <c r="AT422" s="82">
        <v>8911500</v>
      </c>
      <c r="AU422" s="82">
        <v>0</v>
      </c>
      <c r="AV422" s="82">
        <v>8911500</v>
      </c>
      <c r="AW422" s="82">
        <v>0</v>
      </c>
      <c r="AX422" s="82">
        <v>8911500</v>
      </c>
      <c r="AY422" s="82">
        <v>0</v>
      </c>
      <c r="AZ422" s="82">
        <v>8911500</v>
      </c>
      <c r="BA422" s="82">
        <v>0</v>
      </c>
      <c r="BB422" s="82">
        <v>17823000</v>
      </c>
      <c r="BC422" s="82">
        <f t="shared" ref="BC422:BD422" si="834">AE422+AG422+AI422+AK422+AM422+AO422+AQ422+AS422+AU422+AW422+AY422+BA422</f>
        <v>106938000</v>
      </c>
      <c r="BD422" s="82">
        <f t="shared" si="834"/>
        <v>106938000</v>
      </c>
      <c r="BE422" s="83">
        <f t="shared" si="813"/>
        <v>0</v>
      </c>
      <c r="BF422" s="83">
        <f t="shared" si="814"/>
        <v>0</v>
      </c>
      <c r="BG422" s="14" t="str">
        <f ca="1">IFERROR(__xludf.DUMMYFUNCTION("REGEXEXTRACT(O416,""^\S+\s(.+)$"")"),"Prestar los servicios profesionales para realizar el seguimiento y control de la planeación estratégica de la Subdirección de Energía Eléctrica, gestión de resultados, procesos contractuales, ejecución presupuestal, sistema de gestión de la calidad y segu"&amp;"imiento a la gestión documental de los procesos de transmisión, generación, convocatorias y cobertura.")</f>
        <v>Prestar los servicios profesionales para realizar el seguimiento y control de la planeación estratégica de la Subdirección de Energía Eléctrica, gestión de resultados, procesos contractuales, ejecución presupuestal, sistema de gestión de la calidad y seguimiento a la gestión documental de los procesos de transmisión, generación, convocatorias y cobertura.</v>
      </c>
      <c r="BH422" s="23">
        <v>62380500</v>
      </c>
      <c r="BI422" s="23"/>
      <c r="BJ422" s="23"/>
      <c r="BK422" s="23">
        <v>8911500</v>
      </c>
      <c r="BL422" s="23"/>
      <c r="BM422" s="23">
        <v>8911500</v>
      </c>
      <c r="BN422" s="23"/>
      <c r="BO422" s="23">
        <v>8911500</v>
      </c>
      <c r="BP422" s="23"/>
      <c r="BQ422" s="23">
        <v>8911500</v>
      </c>
      <c r="BR422" s="23"/>
      <c r="BS422" s="23">
        <v>8911500</v>
      </c>
      <c r="BT422" s="23"/>
      <c r="BU422" s="23">
        <v>8911500</v>
      </c>
      <c r="BV422" s="23">
        <v>44557500</v>
      </c>
      <c r="BW422" s="23">
        <v>8911500</v>
      </c>
      <c r="BX422" s="23"/>
      <c r="BY422" s="23">
        <v>8911500</v>
      </c>
      <c r="BZ422" s="23"/>
      <c r="CA422" s="23">
        <v>8911500</v>
      </c>
      <c r="CB422" s="23"/>
      <c r="CC422" s="23">
        <v>8911500</v>
      </c>
      <c r="CD422" s="23"/>
      <c r="CE422" s="23">
        <v>17823000</v>
      </c>
      <c r="CF422" s="28"/>
      <c r="CG422" s="28"/>
      <c r="CH422" s="25">
        <f t="shared" ref="CH422:CI422" si="835">BH422+BJ422+BL422+BN422+BP422+BR422+BT422+BV422+BX422+BZ422+CB422+CD422+CF422</f>
        <v>106938000</v>
      </c>
      <c r="CI422" s="25">
        <f t="shared" si="835"/>
        <v>106938000</v>
      </c>
      <c r="CJ422" s="26">
        <f t="shared" si="816"/>
        <v>0</v>
      </c>
      <c r="CK422" s="26">
        <f t="shared" si="817"/>
        <v>0</v>
      </c>
    </row>
    <row r="423" spans="1:89" ht="90" customHeight="1" x14ac:dyDescent="0.3">
      <c r="A423" s="13" t="s">
        <v>248</v>
      </c>
      <c r="B423" s="14" t="s">
        <v>34</v>
      </c>
      <c r="C423" s="15" t="s">
        <v>1127</v>
      </c>
      <c r="D423" s="14" t="s">
        <v>61</v>
      </c>
      <c r="E423" s="13" t="s">
        <v>250</v>
      </c>
      <c r="F423" s="13" t="s">
        <v>250</v>
      </c>
      <c r="G423" s="93" t="s">
        <v>1146</v>
      </c>
      <c r="H423" s="13" t="s">
        <v>1205</v>
      </c>
      <c r="I423" s="15" t="s">
        <v>1129</v>
      </c>
      <c r="J423" s="14" t="s">
        <v>9</v>
      </c>
      <c r="K423" s="15" t="s">
        <v>77</v>
      </c>
      <c r="L423" s="14">
        <v>80111620</v>
      </c>
      <c r="M423" s="14" t="s">
        <v>35</v>
      </c>
      <c r="N423" s="14" t="s">
        <v>253</v>
      </c>
      <c r="O423" s="15" t="s">
        <v>1206</v>
      </c>
      <c r="P423" s="14" t="s">
        <v>255</v>
      </c>
      <c r="Q423" s="14" t="s">
        <v>255</v>
      </c>
      <c r="R423" s="14" t="s">
        <v>255</v>
      </c>
      <c r="S423" s="17">
        <v>12</v>
      </c>
      <c r="T423" s="14" t="s">
        <v>256</v>
      </c>
      <c r="U423" s="14" t="s">
        <v>257</v>
      </c>
      <c r="V423" s="14" t="s">
        <v>112</v>
      </c>
      <c r="W423" s="18">
        <v>106938000</v>
      </c>
      <c r="X423" s="18">
        <v>106938000</v>
      </c>
      <c r="Y423" s="19" t="s">
        <v>1106</v>
      </c>
      <c r="Z423" s="19" t="s">
        <v>1131</v>
      </c>
      <c r="AA423" s="14" t="s">
        <v>1132</v>
      </c>
      <c r="AB423" s="14" t="s">
        <v>1133</v>
      </c>
      <c r="AC423" s="14">
        <v>6012220601</v>
      </c>
      <c r="AD423" s="14" t="s">
        <v>1134</v>
      </c>
      <c r="AE423" s="82">
        <v>62380500</v>
      </c>
      <c r="AF423" s="82">
        <v>0</v>
      </c>
      <c r="AG423" s="82">
        <v>0</v>
      </c>
      <c r="AH423" s="82">
        <v>8911500</v>
      </c>
      <c r="AI423" s="82">
        <v>0</v>
      </c>
      <c r="AJ423" s="82">
        <v>8911500</v>
      </c>
      <c r="AK423" s="82">
        <v>0</v>
      </c>
      <c r="AL423" s="82">
        <v>8911500</v>
      </c>
      <c r="AM423" s="82">
        <v>0</v>
      </c>
      <c r="AN423" s="82">
        <v>8911500</v>
      </c>
      <c r="AO423" s="82">
        <v>0</v>
      </c>
      <c r="AP423" s="82">
        <v>8911500</v>
      </c>
      <c r="AQ423" s="82">
        <v>0</v>
      </c>
      <c r="AR423" s="82">
        <v>8911500</v>
      </c>
      <c r="AS423" s="82">
        <v>44557500</v>
      </c>
      <c r="AT423" s="82">
        <v>8911500</v>
      </c>
      <c r="AU423" s="82">
        <v>0</v>
      </c>
      <c r="AV423" s="82">
        <v>8911500</v>
      </c>
      <c r="AW423" s="82">
        <v>0</v>
      </c>
      <c r="AX423" s="82">
        <v>8911500</v>
      </c>
      <c r="AY423" s="82">
        <v>0</v>
      </c>
      <c r="AZ423" s="82">
        <v>8911500</v>
      </c>
      <c r="BA423" s="82">
        <v>0</v>
      </c>
      <c r="BB423" s="82">
        <v>17823000</v>
      </c>
      <c r="BC423" s="82">
        <f t="shared" ref="BC423:BD423" si="836">AE423+AG423+AI423+AK423+AM423+AO423+AQ423+AS423+AU423+AW423+AY423+BA423</f>
        <v>106938000</v>
      </c>
      <c r="BD423" s="82">
        <f t="shared" si="836"/>
        <v>106938000</v>
      </c>
      <c r="BE423" s="83">
        <f t="shared" si="813"/>
        <v>0</v>
      </c>
      <c r="BF423" s="83">
        <f t="shared" si="814"/>
        <v>0</v>
      </c>
      <c r="BG423" s="14" t="str">
        <f ca="1">IFERROR(__xludf.DUMMYFUNCTION("REGEXEXTRACT(O417,""^\S+\s(.+)$"")"),"Prestar los servicios profesionales para realizar el seguimiento y control de los procesos contractuales, la ejecución presupuestal y demás actividades que se requieran para el cumplimiento de las metas y objetivos de la Subdirección de Energía Eléctrica,"&amp;" asociados a las iniciativas y proyectos de transmisión, generación, convocatorias y cobertura.")</f>
        <v>Prestar los servicios profesionales para realizar el seguimiento y control de los procesos contractuales, la ejecución presupuestal y demás actividades que se requieran para el cumplimiento de las metas y objetivos de la Subdirección de Energía Eléctrica, asociados a las iniciativas y proyectos de transmisión, generación, convocatorias y cobertura.</v>
      </c>
      <c r="BH423" s="23">
        <v>62380500</v>
      </c>
      <c r="BI423" s="23"/>
      <c r="BJ423" s="23"/>
      <c r="BK423" s="23">
        <v>8911500</v>
      </c>
      <c r="BL423" s="23"/>
      <c r="BM423" s="23">
        <v>8911500</v>
      </c>
      <c r="BN423" s="23"/>
      <c r="BO423" s="23">
        <v>8911500</v>
      </c>
      <c r="BP423" s="23"/>
      <c r="BQ423" s="23">
        <v>8911500</v>
      </c>
      <c r="BR423" s="23"/>
      <c r="BS423" s="23">
        <v>8911500</v>
      </c>
      <c r="BT423" s="23"/>
      <c r="BU423" s="23">
        <v>8911500</v>
      </c>
      <c r="BV423" s="23">
        <v>44557500</v>
      </c>
      <c r="BW423" s="23">
        <v>8911500</v>
      </c>
      <c r="BX423" s="23"/>
      <c r="BY423" s="23">
        <v>8911500</v>
      </c>
      <c r="BZ423" s="23"/>
      <c r="CA423" s="23">
        <v>8911500</v>
      </c>
      <c r="CB423" s="23"/>
      <c r="CC423" s="23">
        <v>8911500</v>
      </c>
      <c r="CD423" s="23"/>
      <c r="CE423" s="23">
        <v>17823000</v>
      </c>
      <c r="CF423" s="28"/>
      <c r="CG423" s="28"/>
      <c r="CH423" s="25">
        <f t="shared" ref="CH423:CI423" si="837">BH423+BJ423+BL423+BN423+BP423+BR423+BT423+BV423+BX423+BZ423+CB423+CD423+CF423</f>
        <v>106938000</v>
      </c>
      <c r="CI423" s="25">
        <f t="shared" si="837"/>
        <v>106938000</v>
      </c>
      <c r="CJ423" s="26">
        <f t="shared" si="816"/>
        <v>0</v>
      </c>
      <c r="CK423" s="26">
        <f t="shared" si="817"/>
        <v>0</v>
      </c>
    </row>
    <row r="424" spans="1:89" ht="90" customHeight="1" x14ac:dyDescent="0.3">
      <c r="A424" s="13" t="s">
        <v>248</v>
      </c>
      <c r="B424" s="14" t="s">
        <v>34</v>
      </c>
      <c r="C424" s="15" t="s">
        <v>1127</v>
      </c>
      <c r="D424" s="14" t="s">
        <v>61</v>
      </c>
      <c r="E424" s="13" t="s">
        <v>250</v>
      </c>
      <c r="F424" s="13" t="s">
        <v>250</v>
      </c>
      <c r="G424" s="14">
        <v>68</v>
      </c>
      <c r="H424" s="13" t="s">
        <v>1207</v>
      </c>
      <c r="I424" s="15" t="s">
        <v>1129</v>
      </c>
      <c r="J424" s="14" t="s">
        <v>9</v>
      </c>
      <c r="K424" s="15" t="s">
        <v>77</v>
      </c>
      <c r="L424" s="14">
        <v>80111620</v>
      </c>
      <c r="M424" s="14" t="s">
        <v>35</v>
      </c>
      <c r="N424" s="14" t="s">
        <v>253</v>
      </c>
      <c r="O424" s="15" t="s">
        <v>1208</v>
      </c>
      <c r="P424" s="14" t="s">
        <v>255</v>
      </c>
      <c r="Q424" s="14" t="s">
        <v>255</v>
      </c>
      <c r="R424" s="14" t="s">
        <v>255</v>
      </c>
      <c r="S424" s="17">
        <v>12</v>
      </c>
      <c r="T424" s="14" t="s">
        <v>256</v>
      </c>
      <c r="U424" s="14" t="s">
        <v>257</v>
      </c>
      <c r="V424" s="14" t="s">
        <v>112</v>
      </c>
      <c r="W424" s="18">
        <v>44778700</v>
      </c>
      <c r="X424" s="18">
        <v>44778700</v>
      </c>
      <c r="Y424" s="19" t="s">
        <v>339</v>
      </c>
      <c r="Z424" s="19" t="s">
        <v>258</v>
      </c>
      <c r="AA424" s="14" t="s">
        <v>1132</v>
      </c>
      <c r="AB424" s="14" t="s">
        <v>1133</v>
      </c>
      <c r="AC424" s="14">
        <v>6012220601</v>
      </c>
      <c r="AD424" s="14" t="s">
        <v>1134</v>
      </c>
      <c r="AE424" s="82">
        <v>44778700</v>
      </c>
      <c r="AF424" s="82">
        <v>0</v>
      </c>
      <c r="AG424" s="82">
        <v>0</v>
      </c>
      <c r="AH424" s="82">
        <v>1946900</v>
      </c>
      <c r="AI424" s="82">
        <v>0</v>
      </c>
      <c r="AJ424" s="82">
        <v>3893800</v>
      </c>
      <c r="AK424" s="82">
        <v>0</v>
      </c>
      <c r="AL424" s="82">
        <v>3893800</v>
      </c>
      <c r="AM424" s="82">
        <v>0</v>
      </c>
      <c r="AN424" s="82">
        <v>3893800</v>
      </c>
      <c r="AO424" s="82">
        <v>0</v>
      </c>
      <c r="AP424" s="82">
        <v>3893800</v>
      </c>
      <c r="AQ424" s="82">
        <v>0</v>
      </c>
      <c r="AR424" s="82">
        <v>3893800</v>
      </c>
      <c r="AS424" s="82">
        <v>0</v>
      </c>
      <c r="AT424" s="82">
        <v>3893800</v>
      </c>
      <c r="AU424" s="82">
        <v>0</v>
      </c>
      <c r="AV424" s="82">
        <v>3893800</v>
      </c>
      <c r="AW424" s="82">
        <v>0</v>
      </c>
      <c r="AX424" s="82">
        <v>3893800</v>
      </c>
      <c r="AY424" s="82">
        <v>0</v>
      </c>
      <c r="AZ424" s="82">
        <v>3893800</v>
      </c>
      <c r="BA424" s="82">
        <v>0</v>
      </c>
      <c r="BB424" s="82">
        <v>7787600</v>
      </c>
      <c r="BC424" s="82">
        <f t="shared" ref="BC424:BD424" si="838">AE424+AG424+AI424+AK424+AM424+AO424+AQ424+AS424+AU424+AW424+AY424+BA424</f>
        <v>44778700</v>
      </c>
      <c r="BD424" s="82">
        <f t="shared" si="838"/>
        <v>44778700</v>
      </c>
      <c r="BE424" s="83">
        <f t="shared" si="813"/>
        <v>0</v>
      </c>
      <c r="BF424" s="83">
        <f t="shared" si="814"/>
        <v>0</v>
      </c>
      <c r="BG424" s="14" t="str">
        <f ca="1">IFERROR(__xludf.DUMMYFUNCTION("REGEXEXTRACT(O418,""^\S+\s(.+)$"")"),"Prestación de servicios de apoyo a la mesa de ayuda de los procesos que se llevan a cabo en la plataforma Bizagi, así como el procesamiento y resolución de peticiones, quejas y reclamos que se alleguen en el marco de las actividades desarrolladas por la S"&amp;"ubdirección de Energía Eléctrica.")</f>
        <v>Prestación de servicios de apoyo a la mesa de ayuda de los procesos que se llevan a cabo en la plataforma Bizagi, así como el procesamiento y resolución de peticiones, quejas y reclamos que se alleguen en el marco de las actividades desarrolladas por la Subdirección de Energía Eléctrica.</v>
      </c>
      <c r="BH424" s="23">
        <v>44778700</v>
      </c>
      <c r="BI424" s="23"/>
      <c r="BJ424" s="23"/>
      <c r="BK424" s="23">
        <v>1946900</v>
      </c>
      <c r="BL424" s="23"/>
      <c r="BM424" s="23">
        <v>3893800</v>
      </c>
      <c r="BN424" s="23"/>
      <c r="BO424" s="23">
        <v>3893800</v>
      </c>
      <c r="BP424" s="23"/>
      <c r="BQ424" s="23">
        <v>3893800</v>
      </c>
      <c r="BR424" s="23"/>
      <c r="BS424" s="23">
        <v>3893800</v>
      </c>
      <c r="BT424" s="23"/>
      <c r="BU424" s="23">
        <v>3893800</v>
      </c>
      <c r="BV424" s="23"/>
      <c r="BW424" s="23">
        <v>3893800</v>
      </c>
      <c r="BX424" s="23"/>
      <c r="BY424" s="23">
        <v>3893800</v>
      </c>
      <c r="BZ424" s="23"/>
      <c r="CA424" s="23">
        <v>3893800</v>
      </c>
      <c r="CB424" s="23"/>
      <c r="CC424" s="23">
        <v>3893800</v>
      </c>
      <c r="CD424" s="23"/>
      <c r="CE424" s="23">
        <v>7787600</v>
      </c>
      <c r="CF424" s="28"/>
      <c r="CG424" s="28"/>
      <c r="CH424" s="25">
        <f t="shared" ref="CH424:CI424" si="839">BH424+BJ424+BL424+BN424+BP424+BR424+BT424+BV424+BX424+BZ424+CB424+CD424+CF424</f>
        <v>44778700</v>
      </c>
      <c r="CI424" s="25">
        <f t="shared" si="839"/>
        <v>44778700</v>
      </c>
      <c r="CJ424" s="26">
        <f t="shared" si="816"/>
        <v>0</v>
      </c>
      <c r="CK424" s="26">
        <f t="shared" si="817"/>
        <v>0</v>
      </c>
    </row>
    <row r="425" spans="1:89" ht="90" customHeight="1" x14ac:dyDescent="0.3">
      <c r="A425" s="13" t="s">
        <v>248</v>
      </c>
      <c r="B425" s="14" t="s">
        <v>34</v>
      </c>
      <c r="C425" s="15" t="s">
        <v>1127</v>
      </c>
      <c r="D425" s="14" t="s">
        <v>61</v>
      </c>
      <c r="E425" s="13" t="s">
        <v>250</v>
      </c>
      <c r="F425" s="13" t="s">
        <v>250</v>
      </c>
      <c r="G425" s="14">
        <v>68</v>
      </c>
      <c r="H425" s="13" t="s">
        <v>1209</v>
      </c>
      <c r="I425" s="15" t="s">
        <v>1129</v>
      </c>
      <c r="J425" s="14" t="s">
        <v>9</v>
      </c>
      <c r="K425" s="15" t="s">
        <v>77</v>
      </c>
      <c r="L425" s="14">
        <v>80111620</v>
      </c>
      <c r="M425" s="14" t="s">
        <v>35</v>
      </c>
      <c r="N425" s="14" t="s">
        <v>253</v>
      </c>
      <c r="O425" s="15" t="s">
        <v>1210</v>
      </c>
      <c r="P425" s="14" t="s">
        <v>255</v>
      </c>
      <c r="Q425" s="14" t="s">
        <v>255</v>
      </c>
      <c r="R425" s="14" t="s">
        <v>255</v>
      </c>
      <c r="S425" s="17">
        <v>12</v>
      </c>
      <c r="T425" s="14" t="s">
        <v>256</v>
      </c>
      <c r="U425" s="14" t="s">
        <v>257</v>
      </c>
      <c r="V425" s="14" t="s">
        <v>112</v>
      </c>
      <c r="W425" s="18">
        <v>37782675</v>
      </c>
      <c r="X425" s="18">
        <v>37782675</v>
      </c>
      <c r="Y425" s="19" t="s">
        <v>339</v>
      </c>
      <c r="Z425" s="19" t="s">
        <v>258</v>
      </c>
      <c r="AA425" s="14" t="s">
        <v>1132</v>
      </c>
      <c r="AB425" s="14" t="s">
        <v>1133</v>
      </c>
      <c r="AC425" s="14">
        <v>6012220601</v>
      </c>
      <c r="AD425" s="14" t="s">
        <v>1134</v>
      </c>
      <c r="AE425" s="82">
        <v>37782675</v>
      </c>
      <c r="AF425" s="82">
        <v>0</v>
      </c>
      <c r="AG425" s="82">
        <v>0</v>
      </c>
      <c r="AH425" s="82">
        <v>1642725</v>
      </c>
      <c r="AI425" s="82">
        <v>0</v>
      </c>
      <c r="AJ425" s="82">
        <v>3285450</v>
      </c>
      <c r="AK425" s="82">
        <v>0</v>
      </c>
      <c r="AL425" s="82">
        <v>3285450</v>
      </c>
      <c r="AM425" s="82">
        <v>0</v>
      </c>
      <c r="AN425" s="82">
        <v>3285450</v>
      </c>
      <c r="AO425" s="82">
        <v>0</v>
      </c>
      <c r="AP425" s="82">
        <v>3285450</v>
      </c>
      <c r="AQ425" s="82">
        <v>0</v>
      </c>
      <c r="AR425" s="82">
        <v>3285450</v>
      </c>
      <c r="AS425" s="82">
        <v>0</v>
      </c>
      <c r="AT425" s="82">
        <v>3285450</v>
      </c>
      <c r="AU425" s="82">
        <v>0</v>
      </c>
      <c r="AV425" s="82">
        <v>3285450</v>
      </c>
      <c r="AW425" s="82">
        <v>0</v>
      </c>
      <c r="AX425" s="82">
        <v>3285450</v>
      </c>
      <c r="AY425" s="82">
        <v>0</v>
      </c>
      <c r="AZ425" s="82">
        <v>3285450</v>
      </c>
      <c r="BA425" s="82">
        <v>0</v>
      </c>
      <c r="BB425" s="82">
        <v>6570900</v>
      </c>
      <c r="BC425" s="82">
        <f t="shared" ref="BC425:BD425" si="840">AE425+AG425+AI425+AK425+AM425+AO425+AQ425+AS425+AU425+AW425+AY425+BA425</f>
        <v>37782675</v>
      </c>
      <c r="BD425" s="82">
        <f t="shared" si="840"/>
        <v>37782675</v>
      </c>
      <c r="BE425" s="83">
        <f t="shared" si="813"/>
        <v>0</v>
      </c>
      <c r="BF425" s="83">
        <f t="shared" si="814"/>
        <v>0</v>
      </c>
      <c r="BG425" s="14" t="str">
        <f ca="1">IFERROR(__xludf.DUMMYFUNCTION("REGEXEXTRACT(O419,""^\S+\s(.+)$"")"),"Prestación de servicios profesionales en la atención de requerimientos externos e internos asociados a la gestión de información sobre la ejecución de los procesos de expansión del Sistema Interconectado Nacional, la aprobación de conexión de proyectos en"&amp;" el STN y STR y, la asignación de capacidad de transporte, en el marco de las actividades desarrolladas por la Subdirección de Energía Eléctrica.")</f>
        <v>Prestación de servicios profesionales en la atención de requerimientos externos e internos asociados a la gestión de información sobre la ejecución de los procesos de expansión del Sistema Interconectado Nacional, la aprobación de conexión de proyectos en el STN y STR y, la asignación de capacidad de transporte, en el marco de las actividades desarrolladas por la Subdirección de Energía Eléctrica.</v>
      </c>
      <c r="BH425" s="23">
        <v>37782675</v>
      </c>
      <c r="BI425" s="23"/>
      <c r="BJ425" s="23"/>
      <c r="BK425" s="23">
        <v>1642725</v>
      </c>
      <c r="BL425" s="23"/>
      <c r="BM425" s="23">
        <v>3285450</v>
      </c>
      <c r="BN425" s="23"/>
      <c r="BO425" s="23">
        <v>3285450</v>
      </c>
      <c r="BP425" s="23"/>
      <c r="BQ425" s="23">
        <v>3285450</v>
      </c>
      <c r="BR425" s="23"/>
      <c r="BS425" s="23">
        <v>3285450</v>
      </c>
      <c r="BT425" s="23"/>
      <c r="BU425" s="23">
        <v>3285450</v>
      </c>
      <c r="BV425" s="23"/>
      <c r="BW425" s="23">
        <v>3285450</v>
      </c>
      <c r="BX425" s="23"/>
      <c r="BY425" s="23">
        <v>3285450</v>
      </c>
      <c r="BZ425" s="23"/>
      <c r="CA425" s="23">
        <v>3285450</v>
      </c>
      <c r="CB425" s="23"/>
      <c r="CC425" s="23">
        <v>3285450</v>
      </c>
      <c r="CD425" s="23"/>
      <c r="CE425" s="23">
        <v>6570900</v>
      </c>
      <c r="CF425" s="28"/>
      <c r="CG425" s="28"/>
      <c r="CH425" s="25">
        <f t="shared" ref="CH425:CI425" si="841">BH425+BJ425+BL425+BN425+BP425+BR425+BT425+BV425+BX425+BZ425+CB425+CD425+CF425</f>
        <v>37782675</v>
      </c>
      <c r="CI425" s="25">
        <f t="shared" si="841"/>
        <v>37782675</v>
      </c>
      <c r="CJ425" s="26">
        <f t="shared" si="816"/>
        <v>0</v>
      </c>
      <c r="CK425" s="26">
        <f t="shared" si="817"/>
        <v>0</v>
      </c>
    </row>
    <row r="426" spans="1:89" ht="90" customHeight="1" x14ac:dyDescent="0.3">
      <c r="A426" s="13" t="s">
        <v>248</v>
      </c>
      <c r="B426" s="14" t="s">
        <v>34</v>
      </c>
      <c r="C426" s="15" t="s">
        <v>1127</v>
      </c>
      <c r="D426" s="14" t="s">
        <v>61</v>
      </c>
      <c r="E426" s="13" t="s">
        <v>250</v>
      </c>
      <c r="F426" s="13" t="s">
        <v>250</v>
      </c>
      <c r="G426" s="14">
        <v>68</v>
      </c>
      <c r="H426" s="13" t="s">
        <v>1211</v>
      </c>
      <c r="I426" s="15" t="s">
        <v>1129</v>
      </c>
      <c r="J426" s="14" t="s">
        <v>9</v>
      </c>
      <c r="K426" s="15" t="s">
        <v>77</v>
      </c>
      <c r="L426" s="14">
        <v>80111620</v>
      </c>
      <c r="M426" s="14" t="s">
        <v>35</v>
      </c>
      <c r="N426" s="14" t="s">
        <v>253</v>
      </c>
      <c r="O426" s="15" t="s">
        <v>1212</v>
      </c>
      <c r="P426" s="14" t="s">
        <v>255</v>
      </c>
      <c r="Q426" s="14" t="s">
        <v>255</v>
      </c>
      <c r="R426" s="14" t="s">
        <v>255</v>
      </c>
      <c r="S426" s="17">
        <v>10</v>
      </c>
      <c r="T426" s="14" t="s">
        <v>256</v>
      </c>
      <c r="U426" s="14" t="s">
        <v>257</v>
      </c>
      <c r="V426" s="14" t="s">
        <v>112</v>
      </c>
      <c r="W426" s="18">
        <v>42000000</v>
      </c>
      <c r="X426" s="18">
        <v>42000000</v>
      </c>
      <c r="Y426" s="19" t="s">
        <v>339</v>
      </c>
      <c r="Z426" s="19" t="s">
        <v>258</v>
      </c>
      <c r="AA426" s="14" t="s">
        <v>1132</v>
      </c>
      <c r="AB426" s="14" t="s">
        <v>1133</v>
      </c>
      <c r="AC426" s="14">
        <v>6012220601</v>
      </c>
      <c r="AD426" s="14" t="s">
        <v>1134</v>
      </c>
      <c r="AE426" s="82">
        <v>42000000</v>
      </c>
      <c r="AF426" s="82">
        <v>0</v>
      </c>
      <c r="AG426" s="82">
        <v>0</v>
      </c>
      <c r="AH426" s="82">
        <v>0</v>
      </c>
      <c r="AI426" s="82">
        <v>0</v>
      </c>
      <c r="AJ426" s="82">
        <v>7000000</v>
      </c>
      <c r="AK426" s="82">
        <v>0</v>
      </c>
      <c r="AL426" s="82">
        <v>7000000</v>
      </c>
      <c r="AM426" s="82">
        <v>0</v>
      </c>
      <c r="AN426" s="82">
        <v>7000000</v>
      </c>
      <c r="AO426" s="82">
        <v>0</v>
      </c>
      <c r="AP426" s="82">
        <v>7000000</v>
      </c>
      <c r="AQ426" s="82">
        <v>0</v>
      </c>
      <c r="AR426" s="82">
        <v>7000000</v>
      </c>
      <c r="AS426" s="82">
        <v>0</v>
      </c>
      <c r="AT426" s="82">
        <v>7000000</v>
      </c>
      <c r="AU426" s="82">
        <v>0</v>
      </c>
      <c r="AV426" s="82">
        <v>0</v>
      </c>
      <c r="AW426" s="82">
        <v>0</v>
      </c>
      <c r="AX426" s="82">
        <v>0</v>
      </c>
      <c r="AY426" s="82">
        <v>0</v>
      </c>
      <c r="AZ426" s="82">
        <v>0</v>
      </c>
      <c r="BA426" s="82">
        <v>0</v>
      </c>
      <c r="BB426" s="82">
        <v>0</v>
      </c>
      <c r="BC426" s="82">
        <f t="shared" ref="BC426:BD426" si="842">AE426+AG426+AI426+AK426+AM426+AO426+AQ426+AS426+AU426+AW426+AY426+BA426</f>
        <v>42000000</v>
      </c>
      <c r="BD426" s="82">
        <f t="shared" si="842"/>
        <v>42000000</v>
      </c>
      <c r="BE426" s="83">
        <f t="shared" si="813"/>
        <v>0</v>
      </c>
      <c r="BF426" s="83">
        <f t="shared" si="814"/>
        <v>0</v>
      </c>
      <c r="BG426" s="14" t="str">
        <f ca="1">IFERROR(__xludf.DUMMYFUNCTION("REGEXEXTRACT(O420,""^\S+\s(.+)$"")"),"Brindar asesoría jurídica a la Subdirección de Energía Eléctrica en el proceso de verificación y cumplimiento de los requisitos legales relacionados con las solicitudes de generación, cobertura, convocatorias y transmisión, así como en la elaboración de r"&amp;"espuestas y la atención de actuaciones de carácter jurídico y regulatorio, en el marco de la aplicación de las diferentes Resoluciones expedidas por la CREG, la UPME y el Ministerio de Minas y Energía")</f>
        <v>Brindar asesoría jurídica a la Subdirección de Energía Eléctrica en el proceso de verificación y cumplimiento de los requisitos legales relacionados con las solicitudes de generación, cobertura, convocatorias y transmisión, así como en la elaboración de respuestas y la atención de actuaciones de carácter jurídico y regulatorio, en el marco de la aplicación de las diferentes Resoluciones expedidas por la CREG, la UPME y el Ministerio de Minas y Energía</v>
      </c>
      <c r="BH426" s="23">
        <v>42000000</v>
      </c>
      <c r="BI426" s="23"/>
      <c r="BJ426" s="23"/>
      <c r="BK426" s="23"/>
      <c r="BL426" s="23"/>
      <c r="BM426" s="23">
        <v>7000000</v>
      </c>
      <c r="BN426" s="23"/>
      <c r="BO426" s="23">
        <v>7000000</v>
      </c>
      <c r="BP426" s="23"/>
      <c r="BQ426" s="23">
        <v>7000000</v>
      </c>
      <c r="BR426" s="23"/>
      <c r="BS426" s="23">
        <v>7000000</v>
      </c>
      <c r="BT426" s="23"/>
      <c r="BU426" s="23">
        <v>7000000</v>
      </c>
      <c r="BV426" s="23"/>
      <c r="BW426" s="23">
        <v>7000000</v>
      </c>
      <c r="BX426" s="23"/>
      <c r="BY426" s="23"/>
      <c r="BZ426" s="23"/>
      <c r="CA426" s="23"/>
      <c r="CB426" s="23"/>
      <c r="CC426" s="23"/>
      <c r="CD426" s="23"/>
      <c r="CE426" s="23"/>
      <c r="CF426" s="28"/>
      <c r="CG426" s="28"/>
      <c r="CH426" s="25">
        <f t="shared" ref="CH426:CI426" si="843">BH426+BJ426+BL426+BN426+BP426+BR426+BT426+BV426+BX426+BZ426+CB426+CD426+CF426</f>
        <v>42000000</v>
      </c>
      <c r="CI426" s="25">
        <f t="shared" si="843"/>
        <v>42000000</v>
      </c>
      <c r="CJ426" s="26">
        <f t="shared" si="816"/>
        <v>0</v>
      </c>
      <c r="CK426" s="26">
        <f t="shared" si="817"/>
        <v>0</v>
      </c>
    </row>
    <row r="427" spans="1:89" ht="90" customHeight="1" x14ac:dyDescent="0.3">
      <c r="A427" s="13" t="s">
        <v>248</v>
      </c>
      <c r="B427" s="14" t="s">
        <v>34</v>
      </c>
      <c r="C427" s="15" t="s">
        <v>1127</v>
      </c>
      <c r="D427" s="14" t="s">
        <v>61</v>
      </c>
      <c r="E427" s="13" t="s">
        <v>250</v>
      </c>
      <c r="F427" s="13" t="s">
        <v>250</v>
      </c>
      <c r="G427" s="93" t="s">
        <v>1146</v>
      </c>
      <c r="H427" s="13" t="s">
        <v>1213</v>
      </c>
      <c r="I427" s="15" t="s">
        <v>1129</v>
      </c>
      <c r="J427" s="14" t="s">
        <v>9</v>
      </c>
      <c r="K427" s="15" t="s">
        <v>77</v>
      </c>
      <c r="L427" s="14">
        <v>80111620</v>
      </c>
      <c r="M427" s="14" t="s">
        <v>35</v>
      </c>
      <c r="N427" s="14" t="s">
        <v>253</v>
      </c>
      <c r="O427" s="15" t="s">
        <v>1214</v>
      </c>
      <c r="P427" s="14" t="s">
        <v>255</v>
      </c>
      <c r="Q427" s="14" t="s">
        <v>255</v>
      </c>
      <c r="R427" s="14" t="s">
        <v>255</v>
      </c>
      <c r="S427" s="17">
        <v>12</v>
      </c>
      <c r="T427" s="14" t="s">
        <v>256</v>
      </c>
      <c r="U427" s="14" t="s">
        <v>257</v>
      </c>
      <c r="V427" s="14" t="s">
        <v>112</v>
      </c>
      <c r="W427" s="18">
        <v>87559200</v>
      </c>
      <c r="X427" s="18">
        <v>87559200</v>
      </c>
      <c r="Y427" s="19" t="s">
        <v>1106</v>
      </c>
      <c r="Z427" s="19" t="s">
        <v>1131</v>
      </c>
      <c r="AA427" s="14" t="s">
        <v>1132</v>
      </c>
      <c r="AB427" s="14" t="s">
        <v>1133</v>
      </c>
      <c r="AC427" s="14">
        <v>6012220601</v>
      </c>
      <c r="AD427" s="14" t="s">
        <v>1134</v>
      </c>
      <c r="AE427" s="82">
        <v>51076200</v>
      </c>
      <c r="AF427" s="82">
        <v>0</v>
      </c>
      <c r="AG427" s="82">
        <v>0</v>
      </c>
      <c r="AH427" s="82">
        <v>7296600</v>
      </c>
      <c r="AI427" s="82">
        <v>0</v>
      </c>
      <c r="AJ427" s="82">
        <v>7296600</v>
      </c>
      <c r="AK427" s="82">
        <v>0</v>
      </c>
      <c r="AL427" s="82">
        <v>7296600</v>
      </c>
      <c r="AM427" s="82">
        <v>0</v>
      </c>
      <c r="AN427" s="82">
        <v>7296600</v>
      </c>
      <c r="AO427" s="82">
        <v>0</v>
      </c>
      <c r="AP427" s="82">
        <v>7296600</v>
      </c>
      <c r="AQ427" s="82">
        <v>0</v>
      </c>
      <c r="AR427" s="82">
        <v>7296600</v>
      </c>
      <c r="AS427" s="82">
        <v>36483000</v>
      </c>
      <c r="AT427" s="82">
        <v>7296600</v>
      </c>
      <c r="AU427" s="82">
        <v>0</v>
      </c>
      <c r="AV427" s="82">
        <v>7296600</v>
      </c>
      <c r="AW427" s="82">
        <v>0</v>
      </c>
      <c r="AX427" s="82">
        <v>7296600</v>
      </c>
      <c r="AY427" s="82">
        <v>0</v>
      </c>
      <c r="AZ427" s="82">
        <v>7296600</v>
      </c>
      <c r="BA427" s="82">
        <v>0</v>
      </c>
      <c r="BB427" s="82">
        <v>14593200</v>
      </c>
      <c r="BC427" s="82">
        <f t="shared" ref="BC427:BD427" si="844">AE427+AG427+AI427+AK427+AM427+AO427+AQ427+AS427+AU427+AW427+AY427+BA427</f>
        <v>87559200</v>
      </c>
      <c r="BD427" s="82">
        <f t="shared" si="844"/>
        <v>87559200</v>
      </c>
      <c r="BE427" s="83">
        <f t="shared" si="813"/>
        <v>0</v>
      </c>
      <c r="BF427" s="83">
        <f t="shared" si="814"/>
        <v>0</v>
      </c>
      <c r="BG427" s="14" t="str">
        <f ca="1">IFERROR(__xludf.DUMMYFUNCTION("REGEXEXTRACT(O421,""^\S+\s(.+)$"")"),"Prestar servicios profesionales para realizar soporte y adecuación del BIZZAGI, apoyando los procesos de transmisión en la mesa de ayuda.")</f>
        <v>Prestar servicios profesionales para realizar soporte y adecuación del BIZZAGI, apoyando los procesos de transmisión en la mesa de ayuda.</v>
      </c>
      <c r="BH427" s="23">
        <v>51076200</v>
      </c>
      <c r="BI427" s="23"/>
      <c r="BJ427" s="23"/>
      <c r="BK427" s="23">
        <v>7296600</v>
      </c>
      <c r="BL427" s="23"/>
      <c r="BM427" s="23">
        <v>7296600</v>
      </c>
      <c r="BN427" s="23"/>
      <c r="BO427" s="23">
        <v>7296600</v>
      </c>
      <c r="BP427" s="23"/>
      <c r="BQ427" s="23">
        <v>7296600</v>
      </c>
      <c r="BR427" s="23"/>
      <c r="BS427" s="23">
        <v>7296600</v>
      </c>
      <c r="BT427" s="23"/>
      <c r="BU427" s="23">
        <v>7296600</v>
      </c>
      <c r="BV427" s="23">
        <v>36483000</v>
      </c>
      <c r="BW427" s="23">
        <v>7296600</v>
      </c>
      <c r="BX427" s="23"/>
      <c r="BY427" s="23">
        <v>7296600</v>
      </c>
      <c r="BZ427" s="23"/>
      <c r="CA427" s="23">
        <v>7296600</v>
      </c>
      <c r="CB427" s="23"/>
      <c r="CC427" s="23">
        <v>7296600</v>
      </c>
      <c r="CD427" s="23"/>
      <c r="CE427" s="23">
        <v>14593200</v>
      </c>
      <c r="CF427" s="28"/>
      <c r="CG427" s="28"/>
      <c r="CH427" s="25">
        <f t="shared" ref="CH427:CI427" si="845">BH427+BJ427+BL427+BN427+BP427+BR427+BT427+BV427+BX427+BZ427+CB427+CD427+CF427</f>
        <v>87559200</v>
      </c>
      <c r="CI427" s="25">
        <f t="shared" si="845"/>
        <v>87559200</v>
      </c>
      <c r="CJ427" s="26">
        <f t="shared" si="816"/>
        <v>0</v>
      </c>
      <c r="CK427" s="26">
        <f t="shared" si="817"/>
        <v>0</v>
      </c>
    </row>
    <row r="428" spans="1:89" ht="90" customHeight="1" x14ac:dyDescent="0.3">
      <c r="A428" s="13" t="s">
        <v>248</v>
      </c>
      <c r="B428" s="14" t="s">
        <v>34</v>
      </c>
      <c r="C428" s="15" t="s">
        <v>1127</v>
      </c>
      <c r="D428" s="14" t="s">
        <v>61</v>
      </c>
      <c r="E428" s="13" t="s">
        <v>250</v>
      </c>
      <c r="F428" s="13" t="s">
        <v>250</v>
      </c>
      <c r="G428" s="93" t="s">
        <v>1146</v>
      </c>
      <c r="H428" s="13" t="s">
        <v>1215</v>
      </c>
      <c r="I428" s="15" t="s">
        <v>1129</v>
      </c>
      <c r="J428" s="14" t="s">
        <v>9</v>
      </c>
      <c r="K428" s="15" t="s">
        <v>77</v>
      </c>
      <c r="L428" s="14">
        <v>80111620</v>
      </c>
      <c r="M428" s="14" t="s">
        <v>35</v>
      </c>
      <c r="N428" s="14" t="s">
        <v>253</v>
      </c>
      <c r="O428" s="15" t="s">
        <v>1216</v>
      </c>
      <c r="P428" s="14" t="s">
        <v>255</v>
      </c>
      <c r="Q428" s="14" t="s">
        <v>255</v>
      </c>
      <c r="R428" s="14" t="s">
        <v>255</v>
      </c>
      <c r="S428" s="17">
        <v>12</v>
      </c>
      <c r="T428" s="14" t="s">
        <v>256</v>
      </c>
      <c r="U428" s="14" t="s">
        <v>257</v>
      </c>
      <c r="V428" s="14" t="s">
        <v>112</v>
      </c>
      <c r="W428" s="18">
        <v>54561600</v>
      </c>
      <c r="X428" s="18">
        <v>54561600</v>
      </c>
      <c r="Y428" s="19" t="s">
        <v>1106</v>
      </c>
      <c r="Z428" s="19" t="s">
        <v>1131</v>
      </c>
      <c r="AA428" s="14" t="s">
        <v>1132</v>
      </c>
      <c r="AB428" s="14" t="s">
        <v>1133</v>
      </c>
      <c r="AC428" s="14">
        <v>6012220601</v>
      </c>
      <c r="AD428" s="14" t="s">
        <v>1134</v>
      </c>
      <c r="AE428" s="82">
        <v>31827600</v>
      </c>
      <c r="AF428" s="82">
        <v>0</v>
      </c>
      <c r="AG428" s="82">
        <v>0</v>
      </c>
      <c r="AH428" s="82">
        <v>4546800</v>
      </c>
      <c r="AI428" s="82">
        <v>0</v>
      </c>
      <c r="AJ428" s="82">
        <v>4546800</v>
      </c>
      <c r="AK428" s="82">
        <v>0</v>
      </c>
      <c r="AL428" s="82">
        <v>4546800</v>
      </c>
      <c r="AM428" s="82">
        <v>0</v>
      </c>
      <c r="AN428" s="82">
        <v>4546800</v>
      </c>
      <c r="AO428" s="82">
        <v>0</v>
      </c>
      <c r="AP428" s="82">
        <v>4546800</v>
      </c>
      <c r="AQ428" s="82">
        <v>0</v>
      </c>
      <c r="AR428" s="82">
        <v>4546800</v>
      </c>
      <c r="AS428" s="82">
        <v>22734000</v>
      </c>
      <c r="AT428" s="82">
        <v>4546800</v>
      </c>
      <c r="AU428" s="82">
        <v>0</v>
      </c>
      <c r="AV428" s="82">
        <v>4546800</v>
      </c>
      <c r="AW428" s="82">
        <v>0</v>
      </c>
      <c r="AX428" s="82">
        <v>4546800</v>
      </c>
      <c r="AY428" s="82">
        <v>0</v>
      </c>
      <c r="AZ428" s="82">
        <v>4546800</v>
      </c>
      <c r="BA428" s="82">
        <v>0</v>
      </c>
      <c r="BB428" s="82">
        <v>9093600</v>
      </c>
      <c r="BC428" s="82">
        <f t="shared" ref="BC428:BD428" si="846">AE428+AG428+AI428+AK428+AM428+AO428+AQ428+AS428+AU428+AW428+AY428+BA428</f>
        <v>54561600</v>
      </c>
      <c r="BD428" s="82">
        <f t="shared" si="846"/>
        <v>54561600</v>
      </c>
      <c r="BE428" s="83">
        <f t="shared" si="813"/>
        <v>0</v>
      </c>
      <c r="BF428" s="83">
        <f t="shared" si="814"/>
        <v>0</v>
      </c>
      <c r="BG428" s="14" t="str">
        <f ca="1">IFERROR(__xludf.DUMMYFUNCTION("REGEXEXTRACT(O422,""^\S+\s(.+)$"")"),"Realizar el soporte, adecuación, mantenimiento y desarrollo de las automatizaciones de procesos en BIZAGI y de los sistemas que soportan la operación de la Subdirección de Energía Eléctrica.")</f>
        <v>Realizar el soporte, adecuación, mantenimiento y desarrollo de las automatizaciones de procesos en BIZAGI y de los sistemas que soportan la operación de la Subdirección de Energía Eléctrica.</v>
      </c>
      <c r="BH428" s="23">
        <v>31827600</v>
      </c>
      <c r="BI428" s="23"/>
      <c r="BJ428" s="23"/>
      <c r="BK428" s="23">
        <v>4546800</v>
      </c>
      <c r="BL428" s="23"/>
      <c r="BM428" s="23">
        <v>4546800</v>
      </c>
      <c r="BN428" s="23"/>
      <c r="BO428" s="23">
        <v>4546800</v>
      </c>
      <c r="BP428" s="23"/>
      <c r="BQ428" s="23">
        <v>4546800</v>
      </c>
      <c r="BR428" s="23"/>
      <c r="BS428" s="23">
        <v>4546800</v>
      </c>
      <c r="BT428" s="23"/>
      <c r="BU428" s="23">
        <v>4546800</v>
      </c>
      <c r="BV428" s="23">
        <v>22734000</v>
      </c>
      <c r="BW428" s="23">
        <v>4546800</v>
      </c>
      <c r="BX428" s="23"/>
      <c r="BY428" s="23">
        <v>4546800</v>
      </c>
      <c r="BZ428" s="23"/>
      <c r="CA428" s="23">
        <v>4546800</v>
      </c>
      <c r="CB428" s="23"/>
      <c r="CC428" s="23">
        <v>4546800</v>
      </c>
      <c r="CD428" s="23"/>
      <c r="CE428" s="23">
        <v>9093600</v>
      </c>
      <c r="CF428" s="28"/>
      <c r="CG428" s="28"/>
      <c r="CH428" s="25">
        <f t="shared" ref="CH428:CI428" si="847">BH428+BJ428+BL428+BN428+BP428+BR428+BT428+BV428+BX428+BZ428+CB428+CD428+CF428</f>
        <v>54561600</v>
      </c>
      <c r="CI428" s="25">
        <f t="shared" si="847"/>
        <v>54561600</v>
      </c>
      <c r="CJ428" s="26">
        <f t="shared" si="816"/>
        <v>0</v>
      </c>
      <c r="CK428" s="26">
        <f t="shared" si="817"/>
        <v>0</v>
      </c>
    </row>
    <row r="429" spans="1:89" ht="90" customHeight="1" x14ac:dyDescent="0.3">
      <c r="A429" s="13" t="s">
        <v>248</v>
      </c>
      <c r="B429" s="14" t="s">
        <v>34</v>
      </c>
      <c r="C429" s="15" t="s">
        <v>1127</v>
      </c>
      <c r="D429" s="14" t="s">
        <v>61</v>
      </c>
      <c r="E429" s="13" t="s">
        <v>250</v>
      </c>
      <c r="F429" s="13" t="s">
        <v>250</v>
      </c>
      <c r="G429" s="93" t="s">
        <v>1146</v>
      </c>
      <c r="H429" s="13" t="s">
        <v>1217</v>
      </c>
      <c r="I429" s="15" t="s">
        <v>1129</v>
      </c>
      <c r="J429" s="14" t="s">
        <v>9</v>
      </c>
      <c r="K429" s="15" t="s">
        <v>77</v>
      </c>
      <c r="L429" s="14">
        <v>80111620</v>
      </c>
      <c r="M429" s="14" t="s">
        <v>35</v>
      </c>
      <c r="N429" s="14" t="s">
        <v>253</v>
      </c>
      <c r="O429" s="15" t="s">
        <v>1218</v>
      </c>
      <c r="P429" s="14" t="s">
        <v>255</v>
      </c>
      <c r="Q429" s="14" t="s">
        <v>255</v>
      </c>
      <c r="R429" s="14" t="s">
        <v>255</v>
      </c>
      <c r="S429" s="17">
        <v>12</v>
      </c>
      <c r="T429" s="14" t="s">
        <v>256</v>
      </c>
      <c r="U429" s="14" t="s">
        <v>257</v>
      </c>
      <c r="V429" s="14" t="s">
        <v>112</v>
      </c>
      <c r="W429" s="18">
        <v>94759200</v>
      </c>
      <c r="X429" s="18">
        <v>94759200</v>
      </c>
      <c r="Y429" s="19" t="s">
        <v>1106</v>
      </c>
      <c r="Z429" s="19" t="s">
        <v>1131</v>
      </c>
      <c r="AA429" s="14" t="s">
        <v>1132</v>
      </c>
      <c r="AB429" s="14" t="s">
        <v>1133</v>
      </c>
      <c r="AC429" s="14">
        <v>6012220601</v>
      </c>
      <c r="AD429" s="14" t="s">
        <v>1134</v>
      </c>
      <c r="AE429" s="82">
        <v>55276200</v>
      </c>
      <c r="AF429" s="82">
        <v>0</v>
      </c>
      <c r="AG429" s="82">
        <v>0</v>
      </c>
      <c r="AH429" s="82">
        <v>7896600</v>
      </c>
      <c r="AI429" s="82">
        <v>0</v>
      </c>
      <c r="AJ429" s="82">
        <v>7896600</v>
      </c>
      <c r="AK429" s="82">
        <v>0</v>
      </c>
      <c r="AL429" s="82">
        <v>7896600</v>
      </c>
      <c r="AM429" s="82">
        <v>0</v>
      </c>
      <c r="AN429" s="82">
        <v>7896600</v>
      </c>
      <c r="AO429" s="82">
        <v>0</v>
      </c>
      <c r="AP429" s="82">
        <v>7896600</v>
      </c>
      <c r="AQ429" s="82">
        <v>0</v>
      </c>
      <c r="AR429" s="82">
        <v>7896600</v>
      </c>
      <c r="AS429" s="82">
        <v>39483000</v>
      </c>
      <c r="AT429" s="82">
        <v>7896600</v>
      </c>
      <c r="AU429" s="82">
        <v>0</v>
      </c>
      <c r="AV429" s="82">
        <v>7896600</v>
      </c>
      <c r="AW429" s="82">
        <v>0</v>
      </c>
      <c r="AX429" s="82">
        <v>7896600</v>
      </c>
      <c r="AY429" s="82">
        <v>0</v>
      </c>
      <c r="AZ429" s="82">
        <v>7896600</v>
      </c>
      <c r="BA429" s="82">
        <v>0</v>
      </c>
      <c r="BB429" s="82">
        <v>15793200</v>
      </c>
      <c r="BC429" s="82">
        <f t="shared" ref="BC429:BD429" si="848">AE429+AG429+AI429+AK429+AM429+AO429+AQ429+AS429+AU429+AW429+AY429+BA429</f>
        <v>94759200</v>
      </c>
      <c r="BD429" s="82">
        <f t="shared" si="848"/>
        <v>94759200</v>
      </c>
      <c r="BE429" s="83">
        <f t="shared" si="813"/>
        <v>0</v>
      </c>
      <c r="BF429" s="83">
        <f t="shared" si="814"/>
        <v>0</v>
      </c>
      <c r="BG429" s="14" t="str">
        <f ca="1">IFERROR(__xludf.DUMMYFUNCTION("REGEXEXTRACT(O423,""^\S+\s(.+)$"")"),"Prestar servicios profesionales para la realización de acopio, organización y análisis de la información presentada a la Unidad por las distintas entidades y agentes para la obtención de estadísticas e indicadores que contribuyan a la universalización del"&amp;" servicio de energía eléctrica en el territorio nacional.")</f>
        <v>Prestar servicios profesionales para la realización de acopio, organización y análisis de la información presentada a la Unidad por las distintas entidades y agentes para la obtención de estadísticas e indicadores que contribuyan a la universalización del servicio de energía eléctrica en el territorio nacional.</v>
      </c>
      <c r="BH429" s="23">
        <v>55276200</v>
      </c>
      <c r="BI429" s="23"/>
      <c r="BJ429" s="23"/>
      <c r="BK429" s="23">
        <v>7896600</v>
      </c>
      <c r="BL429" s="23"/>
      <c r="BM429" s="23">
        <v>7896600</v>
      </c>
      <c r="BN429" s="23"/>
      <c r="BO429" s="23">
        <v>7896600</v>
      </c>
      <c r="BP429" s="23"/>
      <c r="BQ429" s="23">
        <v>7896600</v>
      </c>
      <c r="BR429" s="23"/>
      <c r="BS429" s="23">
        <v>7896600</v>
      </c>
      <c r="BT429" s="23"/>
      <c r="BU429" s="23">
        <v>7896600</v>
      </c>
      <c r="BV429" s="23">
        <v>39483000</v>
      </c>
      <c r="BW429" s="23">
        <v>7896600</v>
      </c>
      <c r="BX429" s="23"/>
      <c r="BY429" s="23">
        <v>7896600</v>
      </c>
      <c r="BZ429" s="23"/>
      <c r="CA429" s="23">
        <v>7896600</v>
      </c>
      <c r="CB429" s="23"/>
      <c r="CC429" s="23">
        <v>7896600</v>
      </c>
      <c r="CD429" s="23"/>
      <c r="CE429" s="23">
        <v>15793200</v>
      </c>
      <c r="CF429" s="28"/>
      <c r="CG429" s="28"/>
      <c r="CH429" s="25">
        <f t="shared" ref="CH429:CI429" si="849">BH429+BJ429+BL429+BN429+BP429+BR429+BT429+BV429+BX429+BZ429+CB429+CD429+CF429</f>
        <v>94759200</v>
      </c>
      <c r="CI429" s="25">
        <f t="shared" si="849"/>
        <v>94759200</v>
      </c>
      <c r="CJ429" s="26">
        <f t="shared" si="816"/>
        <v>0</v>
      </c>
      <c r="CK429" s="26">
        <f t="shared" si="817"/>
        <v>0</v>
      </c>
    </row>
    <row r="430" spans="1:89" ht="90" customHeight="1" x14ac:dyDescent="0.3">
      <c r="A430" s="13" t="s">
        <v>248</v>
      </c>
      <c r="B430" s="14" t="s">
        <v>34</v>
      </c>
      <c r="C430" s="15" t="s">
        <v>1127</v>
      </c>
      <c r="D430" s="14" t="s">
        <v>61</v>
      </c>
      <c r="E430" s="13" t="s">
        <v>250</v>
      </c>
      <c r="F430" s="13" t="s">
        <v>250</v>
      </c>
      <c r="G430" s="93" t="s">
        <v>1146</v>
      </c>
      <c r="H430" s="13" t="s">
        <v>1219</v>
      </c>
      <c r="I430" s="15" t="s">
        <v>1129</v>
      </c>
      <c r="J430" s="14" t="s">
        <v>9</v>
      </c>
      <c r="K430" s="15" t="s">
        <v>77</v>
      </c>
      <c r="L430" s="14">
        <v>80111620</v>
      </c>
      <c r="M430" s="14" t="s">
        <v>35</v>
      </c>
      <c r="N430" s="14" t="s">
        <v>253</v>
      </c>
      <c r="O430" s="15" t="s">
        <v>1220</v>
      </c>
      <c r="P430" s="14" t="s">
        <v>255</v>
      </c>
      <c r="Q430" s="14" t="s">
        <v>255</v>
      </c>
      <c r="R430" s="14" t="s">
        <v>255</v>
      </c>
      <c r="S430" s="17">
        <v>12</v>
      </c>
      <c r="T430" s="14" t="s">
        <v>256</v>
      </c>
      <c r="U430" s="14" t="s">
        <v>257</v>
      </c>
      <c r="V430" s="14" t="s">
        <v>112</v>
      </c>
      <c r="W430" s="18">
        <v>94759200</v>
      </c>
      <c r="X430" s="18">
        <v>94759200</v>
      </c>
      <c r="Y430" s="19" t="s">
        <v>1106</v>
      </c>
      <c r="Z430" s="19" t="s">
        <v>1131</v>
      </c>
      <c r="AA430" s="14" t="s">
        <v>1132</v>
      </c>
      <c r="AB430" s="14" t="s">
        <v>1133</v>
      </c>
      <c r="AC430" s="14">
        <v>6012220601</v>
      </c>
      <c r="AD430" s="14" t="s">
        <v>1134</v>
      </c>
      <c r="AE430" s="82">
        <v>55276200</v>
      </c>
      <c r="AF430" s="82">
        <v>0</v>
      </c>
      <c r="AG430" s="82">
        <v>0</v>
      </c>
      <c r="AH430" s="82">
        <v>7896600</v>
      </c>
      <c r="AI430" s="82">
        <v>0</v>
      </c>
      <c r="AJ430" s="82">
        <v>7896600</v>
      </c>
      <c r="AK430" s="82">
        <v>0</v>
      </c>
      <c r="AL430" s="82">
        <v>7896600</v>
      </c>
      <c r="AM430" s="82">
        <v>0</v>
      </c>
      <c r="AN430" s="82">
        <v>7896600</v>
      </c>
      <c r="AO430" s="82">
        <v>0</v>
      </c>
      <c r="AP430" s="82">
        <v>7896600</v>
      </c>
      <c r="AQ430" s="82">
        <v>0</v>
      </c>
      <c r="AR430" s="82">
        <v>7896600</v>
      </c>
      <c r="AS430" s="82">
        <v>39483000</v>
      </c>
      <c r="AT430" s="82">
        <v>7896600</v>
      </c>
      <c r="AU430" s="82">
        <v>0</v>
      </c>
      <c r="AV430" s="82">
        <v>7896600</v>
      </c>
      <c r="AW430" s="82">
        <v>0</v>
      </c>
      <c r="AX430" s="82">
        <v>7896600</v>
      </c>
      <c r="AY430" s="82">
        <v>0</v>
      </c>
      <c r="AZ430" s="82">
        <v>7896600</v>
      </c>
      <c r="BA430" s="82">
        <v>0</v>
      </c>
      <c r="BB430" s="82">
        <v>15793200</v>
      </c>
      <c r="BC430" s="82">
        <f t="shared" ref="BC430:BD430" si="850">AE430+AG430+AI430+AK430+AM430+AO430+AQ430+AS430+AU430+AW430+AY430+BA430</f>
        <v>94759200</v>
      </c>
      <c r="BD430" s="82">
        <f t="shared" si="850"/>
        <v>94759200</v>
      </c>
      <c r="BE430" s="83">
        <f t="shared" si="813"/>
        <v>0</v>
      </c>
      <c r="BF430" s="83">
        <f t="shared" si="814"/>
        <v>0</v>
      </c>
      <c r="BG430" s="14" t="str">
        <f ca="1">IFERROR(__xludf.DUMMYFUNCTION("REGEXEXTRACT(O424,""^\S+\s(.+)$"")"),"Prestar servicios profesionales para realizar la compilación, verificación, análisis y gestión de la información relacionada con los procesos de cobertura del servicio de energía eléctrica, y apoyar la estimación del índice de cobertura ICEE y los análisi"&amp;"s de soluciones.")</f>
        <v>Prestar servicios profesionales para realizar la compilación, verificación, análisis y gestión de la información relacionada con los procesos de cobertura del servicio de energía eléctrica, y apoyar la estimación del índice de cobertura ICEE y los análisis de soluciones.</v>
      </c>
      <c r="BH430" s="23">
        <v>55276200</v>
      </c>
      <c r="BI430" s="23"/>
      <c r="BJ430" s="23"/>
      <c r="BK430" s="23">
        <v>7896600</v>
      </c>
      <c r="BL430" s="23"/>
      <c r="BM430" s="23">
        <v>7896600</v>
      </c>
      <c r="BN430" s="23"/>
      <c r="BO430" s="23">
        <v>7896600</v>
      </c>
      <c r="BP430" s="23"/>
      <c r="BQ430" s="23">
        <v>7896600</v>
      </c>
      <c r="BR430" s="23"/>
      <c r="BS430" s="23">
        <v>7896600</v>
      </c>
      <c r="BT430" s="23"/>
      <c r="BU430" s="23">
        <v>7896600</v>
      </c>
      <c r="BV430" s="23">
        <v>39483000</v>
      </c>
      <c r="BW430" s="23">
        <v>7896600</v>
      </c>
      <c r="BX430" s="23"/>
      <c r="BY430" s="23">
        <v>7896600</v>
      </c>
      <c r="BZ430" s="23"/>
      <c r="CA430" s="23">
        <v>7896600</v>
      </c>
      <c r="CB430" s="23"/>
      <c r="CC430" s="23">
        <v>7896600</v>
      </c>
      <c r="CD430" s="23"/>
      <c r="CE430" s="23">
        <v>15793200</v>
      </c>
      <c r="CF430" s="28"/>
      <c r="CG430" s="28"/>
      <c r="CH430" s="25">
        <f t="shared" ref="CH430:CI430" si="851">BH430+BJ430+BL430+BN430+BP430+BR430+BT430+BV430+BX430+BZ430+CB430+CD430+CF430</f>
        <v>94759200</v>
      </c>
      <c r="CI430" s="25">
        <f t="shared" si="851"/>
        <v>94759200</v>
      </c>
      <c r="CJ430" s="26">
        <f t="shared" si="816"/>
        <v>0</v>
      </c>
      <c r="CK430" s="26">
        <f t="shared" si="817"/>
        <v>0</v>
      </c>
    </row>
    <row r="431" spans="1:89" ht="90" customHeight="1" x14ac:dyDescent="0.3">
      <c r="A431" s="13" t="s">
        <v>248</v>
      </c>
      <c r="B431" s="14" t="s">
        <v>34</v>
      </c>
      <c r="C431" s="15" t="s">
        <v>1127</v>
      </c>
      <c r="D431" s="14" t="s">
        <v>61</v>
      </c>
      <c r="E431" s="13" t="s">
        <v>250</v>
      </c>
      <c r="F431" s="13" t="s">
        <v>250</v>
      </c>
      <c r="G431" s="93" t="s">
        <v>1146</v>
      </c>
      <c r="H431" s="13" t="s">
        <v>1221</v>
      </c>
      <c r="I431" s="15" t="s">
        <v>1129</v>
      </c>
      <c r="J431" s="14" t="s">
        <v>9</v>
      </c>
      <c r="K431" s="15" t="s">
        <v>77</v>
      </c>
      <c r="L431" s="14">
        <v>80111620</v>
      </c>
      <c r="M431" s="14" t="s">
        <v>35</v>
      </c>
      <c r="N431" s="14" t="s">
        <v>253</v>
      </c>
      <c r="O431" s="15" t="s">
        <v>1222</v>
      </c>
      <c r="P431" s="14" t="s">
        <v>255</v>
      </c>
      <c r="Q431" s="14" t="s">
        <v>255</v>
      </c>
      <c r="R431" s="14" t="s">
        <v>255</v>
      </c>
      <c r="S431" s="17">
        <v>12</v>
      </c>
      <c r="T431" s="14" t="s">
        <v>256</v>
      </c>
      <c r="U431" s="14" t="s">
        <v>257</v>
      </c>
      <c r="V431" s="14" t="s">
        <v>112</v>
      </c>
      <c r="W431" s="18">
        <v>94759200</v>
      </c>
      <c r="X431" s="18">
        <v>94759200</v>
      </c>
      <c r="Y431" s="19" t="s">
        <v>1106</v>
      </c>
      <c r="Z431" s="19" t="s">
        <v>1131</v>
      </c>
      <c r="AA431" s="14" t="s">
        <v>1132</v>
      </c>
      <c r="AB431" s="14" t="s">
        <v>1133</v>
      </c>
      <c r="AC431" s="14">
        <v>6012220601</v>
      </c>
      <c r="AD431" s="14" t="s">
        <v>1134</v>
      </c>
      <c r="AE431" s="82">
        <v>55276200</v>
      </c>
      <c r="AF431" s="82">
        <v>0</v>
      </c>
      <c r="AG431" s="82">
        <v>0</v>
      </c>
      <c r="AH431" s="82">
        <v>7896600</v>
      </c>
      <c r="AI431" s="82">
        <v>0</v>
      </c>
      <c r="AJ431" s="82">
        <v>7896600</v>
      </c>
      <c r="AK431" s="82">
        <v>0</v>
      </c>
      <c r="AL431" s="82">
        <v>7896600</v>
      </c>
      <c r="AM431" s="82">
        <v>0</v>
      </c>
      <c r="AN431" s="82">
        <v>7896600</v>
      </c>
      <c r="AO431" s="82">
        <v>0</v>
      </c>
      <c r="AP431" s="82">
        <v>7896600</v>
      </c>
      <c r="AQ431" s="82">
        <v>0</v>
      </c>
      <c r="AR431" s="82">
        <v>7896600</v>
      </c>
      <c r="AS431" s="82">
        <v>39483000</v>
      </c>
      <c r="AT431" s="82">
        <v>7896600</v>
      </c>
      <c r="AU431" s="82">
        <v>0</v>
      </c>
      <c r="AV431" s="82">
        <v>7896600</v>
      </c>
      <c r="AW431" s="82">
        <v>0</v>
      </c>
      <c r="AX431" s="82">
        <v>7896600</v>
      </c>
      <c r="AY431" s="82">
        <v>0</v>
      </c>
      <c r="AZ431" s="82">
        <v>7896600</v>
      </c>
      <c r="BA431" s="82">
        <v>0</v>
      </c>
      <c r="BB431" s="82">
        <v>15793200</v>
      </c>
      <c r="BC431" s="82">
        <f t="shared" ref="BC431:BD431" si="852">AE431+AG431+AI431+AK431+AM431+AO431+AQ431+AS431+AU431+AW431+AY431+BA431</f>
        <v>94759200</v>
      </c>
      <c r="BD431" s="82">
        <f t="shared" si="852"/>
        <v>94759200</v>
      </c>
      <c r="BE431" s="83">
        <f t="shared" si="813"/>
        <v>0</v>
      </c>
      <c r="BF431" s="83">
        <f t="shared" si="814"/>
        <v>0</v>
      </c>
      <c r="BG431" s="14" t="str">
        <f ca="1">IFERROR(__xludf.DUMMYFUNCTION("REGEXEXTRACT(O425,""^\S+\s(.+)$"")"),"Prestar servicios profesionales para la realización de acopio, organización, validación y análisis de la información geográfica presentada a la Unidad para la elaboración del Plan Indicativo de Expansión de Cobertura de Energía Eléctrica – PIEC y para la "&amp;"obtención del certificado que debe emitir UPME en relación con los Planes de Expansión de Cobertura de los Operadores de Red.")</f>
        <v>Prestar servicios profesionales para la realización de acopio, organización, validación y análisis de la información geográfica presentada a la Unidad para la elaboración del Plan Indicativo de Expansión de Cobertura de Energía Eléctrica – PIEC y para la obtención del certificado que debe emitir UPME en relación con los Planes de Expansión de Cobertura de los Operadores de Red.</v>
      </c>
      <c r="BH431" s="23">
        <v>55276200</v>
      </c>
      <c r="BI431" s="23"/>
      <c r="BJ431" s="23"/>
      <c r="BK431" s="23">
        <v>7896600</v>
      </c>
      <c r="BL431" s="23"/>
      <c r="BM431" s="23">
        <v>7896600</v>
      </c>
      <c r="BN431" s="23"/>
      <c r="BO431" s="23">
        <v>7896600</v>
      </c>
      <c r="BP431" s="23"/>
      <c r="BQ431" s="23">
        <v>7896600</v>
      </c>
      <c r="BR431" s="23"/>
      <c r="BS431" s="23">
        <v>7896600</v>
      </c>
      <c r="BT431" s="23"/>
      <c r="BU431" s="23">
        <v>7896600</v>
      </c>
      <c r="BV431" s="23">
        <v>39483000</v>
      </c>
      <c r="BW431" s="23">
        <v>7896600</v>
      </c>
      <c r="BX431" s="23"/>
      <c r="BY431" s="23">
        <v>7896600</v>
      </c>
      <c r="BZ431" s="23"/>
      <c r="CA431" s="23">
        <v>7896600</v>
      </c>
      <c r="CB431" s="23"/>
      <c r="CC431" s="23">
        <v>7896600</v>
      </c>
      <c r="CD431" s="23"/>
      <c r="CE431" s="23">
        <v>15793200</v>
      </c>
      <c r="CF431" s="28"/>
      <c r="CG431" s="28"/>
      <c r="CH431" s="25">
        <f t="shared" ref="CH431:CI431" si="853">BH431+BJ431+BL431+BN431+BP431+BR431+BT431+BV431+BX431+BZ431+CB431+CD431+CF431</f>
        <v>94759200</v>
      </c>
      <c r="CI431" s="25">
        <f t="shared" si="853"/>
        <v>94759200</v>
      </c>
      <c r="CJ431" s="26">
        <f t="shared" si="816"/>
        <v>0</v>
      </c>
      <c r="CK431" s="26">
        <f t="shared" si="817"/>
        <v>0</v>
      </c>
    </row>
    <row r="432" spans="1:89" ht="90" customHeight="1" x14ac:dyDescent="0.3">
      <c r="A432" s="13" t="s">
        <v>248</v>
      </c>
      <c r="B432" s="14" t="s">
        <v>34</v>
      </c>
      <c r="C432" s="15" t="s">
        <v>1127</v>
      </c>
      <c r="D432" s="14" t="s">
        <v>61</v>
      </c>
      <c r="E432" s="13" t="s">
        <v>250</v>
      </c>
      <c r="F432" s="13" t="s">
        <v>250</v>
      </c>
      <c r="G432" s="14">
        <v>1</v>
      </c>
      <c r="H432" s="13" t="s">
        <v>1223</v>
      </c>
      <c r="I432" s="15" t="s">
        <v>1138</v>
      </c>
      <c r="J432" s="14" t="s">
        <v>18</v>
      </c>
      <c r="K432" s="15" t="s">
        <v>78</v>
      </c>
      <c r="L432" s="14">
        <v>80111620</v>
      </c>
      <c r="M432" s="14" t="s">
        <v>36</v>
      </c>
      <c r="N432" s="14" t="s">
        <v>253</v>
      </c>
      <c r="O432" s="15" t="s">
        <v>1224</v>
      </c>
      <c r="P432" s="14" t="s">
        <v>255</v>
      </c>
      <c r="Q432" s="14" t="s">
        <v>255</v>
      </c>
      <c r="R432" s="14" t="s">
        <v>255</v>
      </c>
      <c r="S432" s="17">
        <v>10</v>
      </c>
      <c r="T432" s="14" t="s">
        <v>256</v>
      </c>
      <c r="U432" s="14" t="s">
        <v>257</v>
      </c>
      <c r="V432" s="14" t="s">
        <v>112</v>
      </c>
      <c r="W432" s="18">
        <v>77000000</v>
      </c>
      <c r="X432" s="18">
        <v>77000000</v>
      </c>
      <c r="Y432" s="19" t="s">
        <v>339</v>
      </c>
      <c r="Z432" s="19" t="s">
        <v>258</v>
      </c>
      <c r="AA432" s="14" t="s">
        <v>1132</v>
      </c>
      <c r="AB432" s="14" t="s">
        <v>1133</v>
      </c>
      <c r="AC432" s="14">
        <v>6012220601</v>
      </c>
      <c r="AD432" s="14" t="s">
        <v>1134</v>
      </c>
      <c r="AE432" s="82">
        <v>77000000</v>
      </c>
      <c r="AF432" s="82">
        <v>0</v>
      </c>
      <c r="AG432" s="82">
        <v>0</v>
      </c>
      <c r="AH432" s="82">
        <v>0</v>
      </c>
      <c r="AI432" s="82">
        <v>0</v>
      </c>
      <c r="AJ432" s="82">
        <v>7700000</v>
      </c>
      <c r="AK432" s="82">
        <v>0</v>
      </c>
      <c r="AL432" s="82">
        <v>7700000</v>
      </c>
      <c r="AM432" s="82">
        <v>0</v>
      </c>
      <c r="AN432" s="82">
        <v>7700000</v>
      </c>
      <c r="AO432" s="82">
        <v>0</v>
      </c>
      <c r="AP432" s="82">
        <v>7700000</v>
      </c>
      <c r="AQ432" s="82">
        <v>0</v>
      </c>
      <c r="AR432" s="82">
        <v>7700000</v>
      </c>
      <c r="AS432" s="82">
        <v>0</v>
      </c>
      <c r="AT432" s="82">
        <v>7700000</v>
      </c>
      <c r="AU432" s="82">
        <v>0</v>
      </c>
      <c r="AV432" s="82">
        <v>7700000</v>
      </c>
      <c r="AW432" s="82">
        <v>0</v>
      </c>
      <c r="AX432" s="82">
        <v>7700000</v>
      </c>
      <c r="AY432" s="82">
        <v>0</v>
      </c>
      <c r="AZ432" s="82">
        <v>7700000</v>
      </c>
      <c r="BA432" s="82">
        <v>0</v>
      </c>
      <c r="BB432" s="82">
        <v>7700000</v>
      </c>
      <c r="BC432" s="82">
        <f t="shared" ref="BC432:BD432" si="854">AE432+AG432+AI432+AK432+AM432+AO432+AQ432+AS432+AU432+AW432+AY432+BA432</f>
        <v>77000000</v>
      </c>
      <c r="BD432" s="82">
        <f t="shared" si="854"/>
        <v>77000000</v>
      </c>
      <c r="BE432" s="83">
        <f t="shared" si="813"/>
        <v>0</v>
      </c>
      <c r="BF432" s="83">
        <f t="shared" si="814"/>
        <v>0</v>
      </c>
      <c r="BG432" s="14" t="str">
        <f ca="1">IFERROR(__xludf.DUMMYFUNCTION("REGEXEXTRACT(O426,""^\S+\s(.+)$"")"),"Prestar servicios profesionales de diagramación de documentos, diseño y diagramación de datos, creación de piezas para canales digitales de la UPME y necesidades generales de diseño en el área de comunicaciones.")</f>
        <v>Prestar servicios profesionales de diagramación de documentos, diseño y diagramación de datos, creación de piezas para canales digitales de la UPME y necesidades generales de diseño en el área de comunicaciones.</v>
      </c>
      <c r="BH432" s="23">
        <v>77000000</v>
      </c>
      <c r="BI432" s="23"/>
      <c r="BJ432" s="23"/>
      <c r="BK432" s="23"/>
      <c r="BL432" s="23"/>
      <c r="BM432" s="23">
        <v>7700000</v>
      </c>
      <c r="BN432" s="23"/>
      <c r="BO432" s="23">
        <v>7700000</v>
      </c>
      <c r="BP432" s="23"/>
      <c r="BQ432" s="23">
        <v>7700000</v>
      </c>
      <c r="BR432" s="23"/>
      <c r="BS432" s="23">
        <v>7700000</v>
      </c>
      <c r="BT432" s="23"/>
      <c r="BU432" s="23">
        <v>7700000</v>
      </c>
      <c r="BV432" s="23"/>
      <c r="BW432" s="23">
        <v>7700000</v>
      </c>
      <c r="BX432" s="23"/>
      <c r="BY432" s="23">
        <v>7700000</v>
      </c>
      <c r="BZ432" s="23"/>
      <c r="CA432" s="23">
        <v>7700000</v>
      </c>
      <c r="CB432" s="23"/>
      <c r="CC432" s="23">
        <v>7700000</v>
      </c>
      <c r="CD432" s="23"/>
      <c r="CE432" s="23">
        <v>7700000</v>
      </c>
      <c r="CF432" s="28"/>
      <c r="CG432" s="28"/>
      <c r="CH432" s="25">
        <f t="shared" ref="CH432:CI432" si="855">BH432+BJ432+BL432+BN432+BP432+BR432+BT432+BV432+BX432+BZ432+CB432+CD432+CF432</f>
        <v>77000000</v>
      </c>
      <c r="CI432" s="25">
        <f t="shared" si="855"/>
        <v>77000000</v>
      </c>
      <c r="CJ432" s="26">
        <f t="shared" si="816"/>
        <v>0</v>
      </c>
      <c r="CK432" s="26">
        <f t="shared" si="817"/>
        <v>0</v>
      </c>
    </row>
    <row r="433" spans="1:89" ht="90" customHeight="1" x14ac:dyDescent="0.3">
      <c r="A433" s="13" t="s">
        <v>248</v>
      </c>
      <c r="B433" s="14" t="s">
        <v>34</v>
      </c>
      <c r="C433" s="15" t="s">
        <v>1127</v>
      </c>
      <c r="D433" s="14" t="s">
        <v>61</v>
      </c>
      <c r="E433" s="13" t="s">
        <v>250</v>
      </c>
      <c r="F433" s="13" t="s">
        <v>250</v>
      </c>
      <c r="G433" s="93" t="s">
        <v>1146</v>
      </c>
      <c r="H433" s="13" t="s">
        <v>1225</v>
      </c>
      <c r="I433" s="15" t="s">
        <v>1129</v>
      </c>
      <c r="J433" s="14" t="s">
        <v>9</v>
      </c>
      <c r="K433" s="15" t="s">
        <v>77</v>
      </c>
      <c r="L433" s="14">
        <v>80111620</v>
      </c>
      <c r="M433" s="14" t="s">
        <v>35</v>
      </c>
      <c r="N433" s="14" t="s">
        <v>253</v>
      </c>
      <c r="O433" s="15" t="s">
        <v>1226</v>
      </c>
      <c r="P433" s="14" t="s">
        <v>255</v>
      </c>
      <c r="Q433" s="14" t="s">
        <v>255</v>
      </c>
      <c r="R433" s="14" t="s">
        <v>255</v>
      </c>
      <c r="S433" s="17">
        <v>12</v>
      </c>
      <c r="T433" s="14" t="s">
        <v>256</v>
      </c>
      <c r="U433" s="14" t="s">
        <v>257</v>
      </c>
      <c r="V433" s="14" t="s">
        <v>112</v>
      </c>
      <c r="W433" s="18">
        <v>94759200</v>
      </c>
      <c r="X433" s="18">
        <v>94759200</v>
      </c>
      <c r="Y433" s="19" t="s">
        <v>1106</v>
      </c>
      <c r="Z433" s="19" t="s">
        <v>1131</v>
      </c>
      <c r="AA433" s="14" t="s">
        <v>1132</v>
      </c>
      <c r="AB433" s="14" t="s">
        <v>1133</v>
      </c>
      <c r="AC433" s="14">
        <v>6012220601</v>
      </c>
      <c r="AD433" s="14" t="s">
        <v>1134</v>
      </c>
      <c r="AE433" s="82">
        <v>55276200</v>
      </c>
      <c r="AF433" s="82">
        <v>0</v>
      </c>
      <c r="AG433" s="82">
        <v>0</v>
      </c>
      <c r="AH433" s="82">
        <v>7896600</v>
      </c>
      <c r="AI433" s="82">
        <v>0</v>
      </c>
      <c r="AJ433" s="82">
        <v>7896600</v>
      </c>
      <c r="AK433" s="82">
        <v>0</v>
      </c>
      <c r="AL433" s="82">
        <v>7896600</v>
      </c>
      <c r="AM433" s="82">
        <v>0</v>
      </c>
      <c r="AN433" s="82">
        <v>7896600</v>
      </c>
      <c r="AO433" s="82">
        <v>0</v>
      </c>
      <c r="AP433" s="82">
        <v>7896600</v>
      </c>
      <c r="AQ433" s="82">
        <v>0</v>
      </c>
      <c r="AR433" s="82">
        <v>7896600</v>
      </c>
      <c r="AS433" s="82">
        <v>39483000</v>
      </c>
      <c r="AT433" s="82">
        <v>7896600</v>
      </c>
      <c r="AU433" s="82">
        <v>0</v>
      </c>
      <c r="AV433" s="82">
        <v>7896600</v>
      </c>
      <c r="AW433" s="82">
        <v>0</v>
      </c>
      <c r="AX433" s="82">
        <v>7896600</v>
      </c>
      <c r="AY433" s="82">
        <v>0</v>
      </c>
      <c r="AZ433" s="82">
        <v>7896600</v>
      </c>
      <c r="BA433" s="82">
        <v>0</v>
      </c>
      <c r="BB433" s="82">
        <v>15793200</v>
      </c>
      <c r="BC433" s="82">
        <f t="shared" ref="BC433:BD433" si="856">AE433+AG433+AI433+AK433+AM433+AO433+AQ433+AS433+AU433+AW433+AY433+BA433</f>
        <v>94759200</v>
      </c>
      <c r="BD433" s="82">
        <f t="shared" si="856"/>
        <v>94759200</v>
      </c>
      <c r="BE433" s="83">
        <f t="shared" si="813"/>
        <v>0</v>
      </c>
      <c r="BF433" s="83">
        <f t="shared" si="814"/>
        <v>0</v>
      </c>
      <c r="BG433" s="14" t="str">
        <f ca="1">IFERROR(__xludf.DUMMYFUNCTION("REGEXEXTRACT(O427,""^\S+\s(.+)$"")"),"Prestar servicios profesionales para apoyar la estructuración de bases de datos de los procesos de cobertura, el control de calidad de la información, los análisis de ampliación de la cobertura, el mejoramiento de los geoprocesos y las solicitudes de los "&amp;"operadores de red.")</f>
        <v>Prestar servicios profesionales para apoyar la estructuración de bases de datos de los procesos de cobertura, el control de calidad de la información, los análisis de ampliación de la cobertura, el mejoramiento de los geoprocesos y las solicitudes de los operadores de red.</v>
      </c>
      <c r="BH433" s="23">
        <v>55276200</v>
      </c>
      <c r="BI433" s="23"/>
      <c r="BJ433" s="23"/>
      <c r="BK433" s="23">
        <v>7896600</v>
      </c>
      <c r="BL433" s="23"/>
      <c r="BM433" s="23">
        <v>7896600</v>
      </c>
      <c r="BN433" s="23"/>
      <c r="BO433" s="23">
        <v>7896600</v>
      </c>
      <c r="BP433" s="23"/>
      <c r="BQ433" s="23">
        <v>7896600</v>
      </c>
      <c r="BR433" s="23"/>
      <c r="BS433" s="23">
        <v>7896600</v>
      </c>
      <c r="BT433" s="23"/>
      <c r="BU433" s="23">
        <v>7896600</v>
      </c>
      <c r="BV433" s="23">
        <v>39483000</v>
      </c>
      <c r="BW433" s="23">
        <v>7896600</v>
      </c>
      <c r="BX433" s="23"/>
      <c r="BY433" s="23">
        <v>7896600</v>
      </c>
      <c r="BZ433" s="23"/>
      <c r="CA433" s="23">
        <v>7896600</v>
      </c>
      <c r="CB433" s="23"/>
      <c r="CC433" s="23">
        <v>7896600</v>
      </c>
      <c r="CD433" s="23"/>
      <c r="CE433" s="23">
        <v>15793200</v>
      </c>
      <c r="CF433" s="28"/>
      <c r="CG433" s="28"/>
      <c r="CH433" s="25">
        <f t="shared" ref="CH433:CI433" si="857">BH433+BJ433+BL433+BN433+BP433+BR433+BT433+BV433+BX433+BZ433+CB433+CD433+CF433</f>
        <v>94759200</v>
      </c>
      <c r="CI433" s="25">
        <f t="shared" si="857"/>
        <v>94759200</v>
      </c>
      <c r="CJ433" s="26">
        <f t="shared" si="816"/>
        <v>0</v>
      </c>
      <c r="CK433" s="26">
        <f t="shared" si="817"/>
        <v>0</v>
      </c>
    </row>
    <row r="434" spans="1:89" ht="90" customHeight="1" x14ac:dyDescent="0.3">
      <c r="A434" s="13" t="s">
        <v>248</v>
      </c>
      <c r="B434" s="14" t="s">
        <v>34</v>
      </c>
      <c r="C434" s="15" t="s">
        <v>1127</v>
      </c>
      <c r="D434" s="14" t="s">
        <v>61</v>
      </c>
      <c r="E434" s="13" t="s">
        <v>250</v>
      </c>
      <c r="F434" s="13" t="s">
        <v>250</v>
      </c>
      <c r="G434" s="14">
        <v>21</v>
      </c>
      <c r="H434" s="13" t="s">
        <v>1227</v>
      </c>
      <c r="I434" s="15" t="s">
        <v>1129</v>
      </c>
      <c r="J434" s="14" t="s">
        <v>9</v>
      </c>
      <c r="K434" s="15" t="s">
        <v>77</v>
      </c>
      <c r="L434" s="14">
        <v>80111620</v>
      </c>
      <c r="M434" s="14" t="s">
        <v>35</v>
      </c>
      <c r="N434" s="14" t="s">
        <v>253</v>
      </c>
      <c r="O434" s="15" t="s">
        <v>1228</v>
      </c>
      <c r="P434" s="14" t="s">
        <v>255</v>
      </c>
      <c r="Q434" s="14" t="s">
        <v>255</v>
      </c>
      <c r="R434" s="94" t="s">
        <v>549</v>
      </c>
      <c r="S434" s="17">
        <v>11.5</v>
      </c>
      <c r="T434" s="14" t="s">
        <v>256</v>
      </c>
      <c r="U434" s="14" t="s">
        <v>257</v>
      </c>
      <c r="V434" s="14" t="s">
        <v>112</v>
      </c>
      <c r="W434" s="18">
        <v>7578318</v>
      </c>
      <c r="X434" s="18">
        <v>7578318</v>
      </c>
      <c r="Y434" s="19" t="s">
        <v>339</v>
      </c>
      <c r="Z434" s="19" t="s">
        <v>258</v>
      </c>
      <c r="AA434" s="14" t="s">
        <v>1132</v>
      </c>
      <c r="AB434" s="14" t="s">
        <v>1133</v>
      </c>
      <c r="AC434" s="14">
        <v>6012220601</v>
      </c>
      <c r="AD434" s="14" t="s">
        <v>1134</v>
      </c>
      <c r="AE434" s="82">
        <v>0</v>
      </c>
      <c r="AF434" s="82">
        <v>0</v>
      </c>
      <c r="AG434" s="82">
        <v>11828318</v>
      </c>
      <c r="AH434" s="82">
        <v>0</v>
      </c>
      <c r="AI434" s="82">
        <v>0</v>
      </c>
      <c r="AJ434" s="82">
        <v>0</v>
      </c>
      <c r="AK434" s="82">
        <v>0</v>
      </c>
      <c r="AL434" s="82">
        <v>0</v>
      </c>
      <c r="AM434" s="82">
        <v>0</v>
      </c>
      <c r="AN434" s="82">
        <v>0</v>
      </c>
      <c r="AO434" s="82">
        <v>0</v>
      </c>
      <c r="AP434" s="82">
        <v>0</v>
      </c>
      <c r="AQ434" s="82">
        <v>0</v>
      </c>
      <c r="AR434" s="82">
        <v>0</v>
      </c>
      <c r="AS434" s="82">
        <v>0</v>
      </c>
      <c r="AT434" s="82">
        <v>8048502</v>
      </c>
      <c r="AU434" s="82">
        <v>0</v>
      </c>
      <c r="AV434" s="82">
        <v>3779816</v>
      </c>
      <c r="AW434" s="82">
        <v>0</v>
      </c>
      <c r="AX434" s="82">
        <v>0</v>
      </c>
      <c r="AY434" s="82">
        <v>0</v>
      </c>
      <c r="AZ434" s="82">
        <v>0</v>
      </c>
      <c r="BA434" s="82">
        <v>0</v>
      </c>
      <c r="BB434" s="82">
        <v>0</v>
      </c>
      <c r="BC434" s="82">
        <f t="shared" ref="BC434:BD434" si="858">AE434+AG434+AI434+AK434+AM434+AO434+AQ434+AS434+AU434+AW434+AY434+BA434</f>
        <v>11828318</v>
      </c>
      <c r="BD434" s="82">
        <f t="shared" si="858"/>
        <v>11828318</v>
      </c>
      <c r="BE434" s="83">
        <f t="shared" si="813"/>
        <v>-4250000</v>
      </c>
      <c r="BF434" s="83">
        <f t="shared" si="814"/>
        <v>-4250000</v>
      </c>
      <c r="BG434" s="14" t="str">
        <f ca="1">IFERROR(__xludf.DUMMYFUNCTION("REGEXEXTRACT(O428,""^\S+\s(.+)$"")"),"Prestar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34" s="23"/>
      <c r="BI434" s="23"/>
      <c r="BJ434" s="23">
        <v>7578318</v>
      </c>
      <c r="BK434" s="23"/>
      <c r="BL434" s="23"/>
      <c r="BM434" s="23">
        <v>0</v>
      </c>
      <c r="BN434" s="23"/>
      <c r="BO434" s="23">
        <v>0</v>
      </c>
      <c r="BP434" s="23"/>
      <c r="BQ434" s="23">
        <v>0</v>
      </c>
      <c r="BR434" s="23"/>
      <c r="BS434" s="23">
        <v>1082616</v>
      </c>
      <c r="BT434" s="23"/>
      <c r="BU434" s="23">
        <v>1082616</v>
      </c>
      <c r="BV434" s="23"/>
      <c r="BW434" s="23">
        <v>1082616</v>
      </c>
      <c r="BX434" s="23"/>
      <c r="BY434" s="23">
        <v>1082616</v>
      </c>
      <c r="BZ434" s="23"/>
      <c r="CA434" s="23">
        <v>1082616</v>
      </c>
      <c r="CB434" s="23"/>
      <c r="CC434" s="23">
        <v>1082616</v>
      </c>
      <c r="CD434" s="23"/>
      <c r="CE434" s="23">
        <v>1082622</v>
      </c>
      <c r="CF434" s="28"/>
      <c r="CG434" s="28"/>
      <c r="CH434" s="25">
        <f t="shared" ref="CH434:CI434" si="859">BH434+BJ434+BL434+BN434+BP434+BR434+BT434+BV434+BX434+BZ434+CB434+CD434+CF434</f>
        <v>7578318</v>
      </c>
      <c r="CI434" s="25">
        <f t="shared" si="859"/>
        <v>7578318</v>
      </c>
      <c r="CJ434" s="26">
        <f t="shared" si="816"/>
        <v>0</v>
      </c>
      <c r="CK434" s="26">
        <f t="shared" si="817"/>
        <v>0</v>
      </c>
    </row>
    <row r="435" spans="1:89" ht="90" customHeight="1" x14ac:dyDescent="0.3">
      <c r="A435" s="13" t="s">
        <v>248</v>
      </c>
      <c r="B435" s="14" t="s">
        <v>34</v>
      </c>
      <c r="C435" s="15" t="s">
        <v>1127</v>
      </c>
      <c r="D435" s="14" t="s">
        <v>61</v>
      </c>
      <c r="E435" s="13" t="s">
        <v>250</v>
      </c>
      <c r="F435" s="13" t="s">
        <v>250</v>
      </c>
      <c r="G435" s="14">
        <v>68</v>
      </c>
      <c r="H435" s="13" t="s">
        <v>1229</v>
      </c>
      <c r="I435" s="15" t="s">
        <v>1129</v>
      </c>
      <c r="J435" s="14" t="s">
        <v>9</v>
      </c>
      <c r="K435" s="15" t="s">
        <v>77</v>
      </c>
      <c r="L435" s="14">
        <v>80111620</v>
      </c>
      <c r="M435" s="14" t="s">
        <v>35</v>
      </c>
      <c r="N435" s="14" t="s">
        <v>253</v>
      </c>
      <c r="O435" s="15" t="s">
        <v>1230</v>
      </c>
      <c r="P435" s="14" t="s">
        <v>255</v>
      </c>
      <c r="Q435" s="14" t="s">
        <v>255</v>
      </c>
      <c r="R435" s="94" t="s">
        <v>549</v>
      </c>
      <c r="S435" s="17">
        <v>11.5</v>
      </c>
      <c r="T435" s="14" t="s">
        <v>256</v>
      </c>
      <c r="U435" s="14" t="s">
        <v>257</v>
      </c>
      <c r="V435" s="14" t="s">
        <v>112</v>
      </c>
      <c r="W435" s="18">
        <v>11828317</v>
      </c>
      <c r="X435" s="18">
        <v>11828317</v>
      </c>
      <c r="Y435" s="19" t="s">
        <v>339</v>
      </c>
      <c r="Z435" s="19" t="s">
        <v>258</v>
      </c>
      <c r="AA435" s="14" t="s">
        <v>1132</v>
      </c>
      <c r="AB435" s="14" t="s">
        <v>1133</v>
      </c>
      <c r="AC435" s="14">
        <v>6012220601</v>
      </c>
      <c r="AD435" s="14" t="s">
        <v>1134</v>
      </c>
      <c r="AE435" s="82">
        <v>0</v>
      </c>
      <c r="AF435" s="82">
        <v>0</v>
      </c>
      <c r="AG435" s="82">
        <v>11828317</v>
      </c>
      <c r="AH435" s="82">
        <v>0</v>
      </c>
      <c r="AI435" s="82">
        <v>0</v>
      </c>
      <c r="AJ435" s="82">
        <v>0</v>
      </c>
      <c r="AK435" s="82">
        <v>0</v>
      </c>
      <c r="AL435" s="82">
        <v>0</v>
      </c>
      <c r="AM435" s="82">
        <v>0</v>
      </c>
      <c r="AN435" s="82">
        <v>0</v>
      </c>
      <c r="AO435" s="82">
        <v>0</v>
      </c>
      <c r="AP435" s="82">
        <v>0</v>
      </c>
      <c r="AQ435" s="82">
        <v>0</v>
      </c>
      <c r="AR435" s="82">
        <v>0</v>
      </c>
      <c r="AS435" s="82">
        <v>0</v>
      </c>
      <c r="AT435" s="82">
        <v>0</v>
      </c>
      <c r="AU435" s="82">
        <v>0</v>
      </c>
      <c r="AV435" s="82">
        <v>4720184</v>
      </c>
      <c r="AW435" s="82">
        <v>0</v>
      </c>
      <c r="AX435" s="82">
        <v>7108133</v>
      </c>
      <c r="AY435" s="82">
        <v>0</v>
      </c>
      <c r="AZ435" s="82">
        <v>0</v>
      </c>
      <c r="BA435" s="82">
        <v>0</v>
      </c>
      <c r="BB435" s="82">
        <v>0</v>
      </c>
      <c r="BC435" s="82">
        <f t="shared" ref="BC435:BD435" si="860">AE435+AG435+AI435+AK435+AM435+AO435+AQ435+AS435+AU435+AW435+AY435+BA435</f>
        <v>11828317</v>
      </c>
      <c r="BD435" s="82">
        <f t="shared" si="860"/>
        <v>11828317</v>
      </c>
      <c r="BE435" s="83">
        <f t="shared" si="813"/>
        <v>0</v>
      </c>
      <c r="BF435" s="83">
        <f t="shared" si="814"/>
        <v>0</v>
      </c>
      <c r="BG435" s="14" t="str">
        <f ca="1">IFERROR(__xludf.DUMMYFUNCTION("REGEXEXTRACT(O429,""^\S+\s(.+)$"")"),"Prestar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35" s="23"/>
      <c r="BI435" s="23"/>
      <c r="BJ435" s="23">
        <v>11828317</v>
      </c>
      <c r="BK435" s="23"/>
      <c r="BL435" s="23"/>
      <c r="BM435" s="23"/>
      <c r="BN435" s="23"/>
      <c r="BO435" s="23"/>
      <c r="BP435" s="23"/>
      <c r="BQ435" s="23"/>
      <c r="BR435" s="23"/>
      <c r="BS435" s="23"/>
      <c r="BT435" s="23"/>
      <c r="BU435" s="23"/>
      <c r="BV435" s="23"/>
      <c r="BW435" s="23"/>
      <c r="BX435" s="23"/>
      <c r="BY435" s="23">
        <v>4720184</v>
      </c>
      <c r="BZ435" s="23"/>
      <c r="CA435" s="23">
        <v>7108133</v>
      </c>
      <c r="CB435" s="23"/>
      <c r="CC435" s="23"/>
      <c r="CD435" s="23"/>
      <c r="CE435" s="23"/>
      <c r="CF435" s="28"/>
      <c r="CG435" s="28"/>
      <c r="CH435" s="25">
        <f t="shared" ref="CH435:CI435" si="861">BH435+BJ435+BL435+BN435+BP435+BR435+BT435+BV435+BX435+BZ435+CB435+CD435+CF435</f>
        <v>11828317</v>
      </c>
      <c r="CI435" s="25">
        <f t="shared" si="861"/>
        <v>11828317</v>
      </c>
      <c r="CJ435" s="26">
        <f t="shared" si="816"/>
        <v>0</v>
      </c>
      <c r="CK435" s="26">
        <f t="shared" si="817"/>
        <v>0</v>
      </c>
    </row>
    <row r="436" spans="1:89" ht="90" customHeight="1" x14ac:dyDescent="0.3">
      <c r="A436" s="13" t="s">
        <v>248</v>
      </c>
      <c r="B436" s="14" t="s">
        <v>34</v>
      </c>
      <c r="C436" s="15" t="s">
        <v>1127</v>
      </c>
      <c r="D436" s="14" t="s">
        <v>61</v>
      </c>
      <c r="E436" s="13" t="s">
        <v>250</v>
      </c>
      <c r="F436" s="13" t="s">
        <v>250</v>
      </c>
      <c r="G436" s="14">
        <v>68</v>
      </c>
      <c r="H436" s="13" t="s">
        <v>1231</v>
      </c>
      <c r="I436" s="15" t="s">
        <v>1129</v>
      </c>
      <c r="J436" s="14" t="s">
        <v>9</v>
      </c>
      <c r="K436" s="15" t="s">
        <v>77</v>
      </c>
      <c r="L436" s="14">
        <v>80111620</v>
      </c>
      <c r="M436" s="14" t="s">
        <v>35</v>
      </c>
      <c r="N436" s="14" t="s">
        <v>253</v>
      </c>
      <c r="O436" s="15" t="s">
        <v>1232</v>
      </c>
      <c r="P436" s="14" t="s">
        <v>255</v>
      </c>
      <c r="Q436" s="14" t="s">
        <v>255</v>
      </c>
      <c r="R436" s="94" t="s">
        <v>549</v>
      </c>
      <c r="S436" s="17">
        <v>11.5</v>
      </c>
      <c r="T436" s="14" t="s">
        <v>256</v>
      </c>
      <c r="U436" s="14" t="s">
        <v>257</v>
      </c>
      <c r="V436" s="14" t="s">
        <v>112</v>
      </c>
      <c r="W436" s="18">
        <v>11828317</v>
      </c>
      <c r="X436" s="18">
        <v>11828317</v>
      </c>
      <c r="Y436" s="19" t="s">
        <v>339</v>
      </c>
      <c r="Z436" s="19" t="s">
        <v>258</v>
      </c>
      <c r="AA436" s="14" t="s">
        <v>1132</v>
      </c>
      <c r="AB436" s="14" t="s">
        <v>1133</v>
      </c>
      <c r="AC436" s="14">
        <v>6012220601</v>
      </c>
      <c r="AD436" s="14" t="s">
        <v>1134</v>
      </c>
      <c r="AE436" s="82">
        <v>0</v>
      </c>
      <c r="AF436" s="82">
        <v>0</v>
      </c>
      <c r="AG436" s="82">
        <v>11828317</v>
      </c>
      <c r="AH436" s="82">
        <v>0</v>
      </c>
      <c r="AI436" s="82">
        <v>0</v>
      </c>
      <c r="AJ436" s="82">
        <v>0</v>
      </c>
      <c r="AK436" s="82">
        <v>0</v>
      </c>
      <c r="AL436" s="82">
        <v>0</v>
      </c>
      <c r="AM436" s="82">
        <v>0</v>
      </c>
      <c r="AN436" s="82">
        <v>0</v>
      </c>
      <c r="AO436" s="82">
        <v>0</v>
      </c>
      <c r="AP436" s="82">
        <v>0</v>
      </c>
      <c r="AQ436" s="82">
        <v>0</v>
      </c>
      <c r="AR436" s="82">
        <v>0</v>
      </c>
      <c r="AS436" s="82">
        <v>0</v>
      </c>
      <c r="AT436" s="82">
        <v>0</v>
      </c>
      <c r="AU436" s="82">
        <v>0</v>
      </c>
      <c r="AV436" s="82">
        <v>0</v>
      </c>
      <c r="AW436" s="82">
        <v>0</v>
      </c>
      <c r="AX436" s="82">
        <v>1391867</v>
      </c>
      <c r="AY436" s="82">
        <v>0</v>
      </c>
      <c r="AZ436" s="82">
        <v>8500000</v>
      </c>
      <c r="BA436" s="82">
        <v>0</v>
      </c>
      <c r="BB436" s="82">
        <v>1936450</v>
      </c>
      <c r="BC436" s="82">
        <f t="shared" ref="BC436:BD436" si="862">AE436+AG436+AI436+AK436+AM436+AO436+AQ436+AS436+AU436+AW436+AY436+BA436</f>
        <v>11828317</v>
      </c>
      <c r="BD436" s="82">
        <f t="shared" si="862"/>
        <v>11828317</v>
      </c>
      <c r="BE436" s="83">
        <f t="shared" si="813"/>
        <v>0</v>
      </c>
      <c r="BF436" s="83">
        <f t="shared" si="814"/>
        <v>0</v>
      </c>
      <c r="BG436" s="14" t="str">
        <f ca="1">IFERROR(__xludf.DUMMYFUNCTION("REGEXEXTRACT(O430,""^\S+\s(.+)$"")"),"Prestar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36" s="23"/>
      <c r="BI436" s="23"/>
      <c r="BJ436" s="23">
        <v>11828317</v>
      </c>
      <c r="BK436" s="23"/>
      <c r="BL436" s="23"/>
      <c r="BM436" s="23"/>
      <c r="BN436" s="23"/>
      <c r="BO436" s="23"/>
      <c r="BP436" s="23"/>
      <c r="BQ436" s="23"/>
      <c r="BR436" s="23"/>
      <c r="BS436" s="23"/>
      <c r="BT436" s="23"/>
      <c r="BU436" s="23"/>
      <c r="BV436" s="23"/>
      <c r="BW436" s="23"/>
      <c r="BX436" s="23"/>
      <c r="BY436" s="23"/>
      <c r="BZ436" s="23"/>
      <c r="CA436" s="23">
        <v>1391867</v>
      </c>
      <c r="CB436" s="23"/>
      <c r="CC436" s="23">
        <v>8500000</v>
      </c>
      <c r="CD436" s="23"/>
      <c r="CE436" s="23">
        <v>1936450</v>
      </c>
      <c r="CF436" s="28"/>
      <c r="CG436" s="28"/>
      <c r="CH436" s="25">
        <f t="shared" ref="CH436:CI436" si="863">BH436+BJ436+BL436+BN436+BP436+BR436+BT436+BV436+BX436+BZ436+CB436+CD436+CF436</f>
        <v>11828317</v>
      </c>
      <c r="CI436" s="25">
        <f t="shared" si="863"/>
        <v>11828317</v>
      </c>
      <c r="CJ436" s="26">
        <f t="shared" si="816"/>
        <v>0</v>
      </c>
      <c r="CK436" s="26">
        <f t="shared" si="817"/>
        <v>0</v>
      </c>
    </row>
    <row r="437" spans="1:89" ht="90" customHeight="1" x14ac:dyDescent="0.3">
      <c r="A437" s="13" t="s">
        <v>248</v>
      </c>
      <c r="B437" s="14" t="s">
        <v>34</v>
      </c>
      <c r="C437" s="15" t="s">
        <v>1127</v>
      </c>
      <c r="D437" s="14" t="s">
        <v>61</v>
      </c>
      <c r="E437" s="13" t="s">
        <v>250</v>
      </c>
      <c r="F437" s="13" t="s">
        <v>250</v>
      </c>
      <c r="G437" s="93">
        <v>8</v>
      </c>
      <c r="H437" s="13" t="s">
        <v>1233</v>
      </c>
      <c r="I437" s="15" t="s">
        <v>1138</v>
      </c>
      <c r="J437" s="14" t="s">
        <v>18</v>
      </c>
      <c r="K437" s="15" t="s">
        <v>79</v>
      </c>
      <c r="L437" s="14">
        <v>80111620</v>
      </c>
      <c r="M437" s="14" t="s">
        <v>36</v>
      </c>
      <c r="N437" s="14" t="s">
        <v>253</v>
      </c>
      <c r="O437" s="15" t="s">
        <v>1234</v>
      </c>
      <c r="P437" s="14" t="s">
        <v>255</v>
      </c>
      <c r="Q437" s="14" t="s">
        <v>255</v>
      </c>
      <c r="R437" s="14" t="s">
        <v>255</v>
      </c>
      <c r="S437" s="17">
        <v>12</v>
      </c>
      <c r="T437" s="14" t="s">
        <v>256</v>
      </c>
      <c r="U437" s="14" t="s">
        <v>257</v>
      </c>
      <c r="V437" s="94" t="s">
        <v>113</v>
      </c>
      <c r="W437" s="18">
        <v>79514667</v>
      </c>
      <c r="X437" s="18">
        <v>79514667</v>
      </c>
      <c r="Y437" s="19" t="s">
        <v>339</v>
      </c>
      <c r="Z437" s="19" t="s">
        <v>258</v>
      </c>
      <c r="AA437" s="14" t="s">
        <v>1132</v>
      </c>
      <c r="AB437" s="14" t="s">
        <v>1133</v>
      </c>
      <c r="AC437" s="14">
        <v>6012220601</v>
      </c>
      <c r="AD437" s="14" t="s">
        <v>1134</v>
      </c>
      <c r="AE437" s="82">
        <v>78813067</v>
      </c>
      <c r="AF437" s="82">
        <v>0</v>
      </c>
      <c r="AG437" s="82">
        <v>0</v>
      </c>
      <c r="AH437" s="82">
        <v>2338667</v>
      </c>
      <c r="AI437" s="82">
        <v>0</v>
      </c>
      <c r="AJ437" s="82">
        <v>7016000</v>
      </c>
      <c r="AK437" s="82">
        <v>701600</v>
      </c>
      <c r="AL437" s="82">
        <v>7016000</v>
      </c>
      <c r="AM437" s="82">
        <v>0</v>
      </c>
      <c r="AN437" s="82">
        <v>7016000</v>
      </c>
      <c r="AO437" s="82">
        <v>0</v>
      </c>
      <c r="AP437" s="82">
        <v>7016000</v>
      </c>
      <c r="AQ437" s="82">
        <v>0</v>
      </c>
      <c r="AR437" s="82">
        <v>7016000</v>
      </c>
      <c r="AS437" s="82">
        <v>0</v>
      </c>
      <c r="AT437" s="82">
        <v>7016000</v>
      </c>
      <c r="AU437" s="82">
        <v>0</v>
      </c>
      <c r="AV437" s="82">
        <v>7016000</v>
      </c>
      <c r="AW437" s="82">
        <v>0</v>
      </c>
      <c r="AX437" s="82">
        <v>7016000</v>
      </c>
      <c r="AY437" s="82">
        <v>0</v>
      </c>
      <c r="AZ437" s="82">
        <v>7016000</v>
      </c>
      <c r="BA437" s="82">
        <v>0</v>
      </c>
      <c r="BB437" s="82">
        <v>14032000</v>
      </c>
      <c r="BC437" s="82">
        <f t="shared" ref="BC437:BD437" si="864">AE437+AG437+AI437+AK437+AM437+AO437+AQ437+AS437+AU437+AW437+AY437+BA437</f>
        <v>79514667</v>
      </c>
      <c r="BD437" s="82">
        <f t="shared" si="864"/>
        <v>79514667</v>
      </c>
      <c r="BE437" s="83">
        <f t="shared" si="813"/>
        <v>0</v>
      </c>
      <c r="BF437" s="83">
        <f t="shared" si="814"/>
        <v>0</v>
      </c>
      <c r="BG437" s="14" t="str">
        <f ca="1">IFERROR(__xludf.DUMMYFUNCTION("REGEXEXTRACT(O431,""^\S+\s(.+)$"")"),"Prestar los servicios profesionales  para efectuar el seguimiento socioambiental de los proyectos definidos en el plan de expansión que son objeto de convocatoria pública, e identificar problemáticas y opciones de solución que alimenten las etapas previas"&amp;" de planeación y estructuración")</f>
        <v>Prestar los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37" s="23">
        <v>78813067</v>
      </c>
      <c r="BI437" s="23"/>
      <c r="BJ437" s="23"/>
      <c r="BK437" s="23">
        <v>2338667</v>
      </c>
      <c r="BL437" s="23"/>
      <c r="BM437" s="23">
        <v>7016000</v>
      </c>
      <c r="BN437" s="23">
        <v>701600</v>
      </c>
      <c r="BO437" s="23">
        <v>7016000</v>
      </c>
      <c r="BP437" s="23"/>
      <c r="BQ437" s="23">
        <v>7016000</v>
      </c>
      <c r="BR437" s="23"/>
      <c r="BS437" s="23">
        <v>7016000</v>
      </c>
      <c r="BT437" s="23"/>
      <c r="BU437" s="23">
        <v>7016000</v>
      </c>
      <c r="BV437" s="23"/>
      <c r="BW437" s="23">
        <v>7016000</v>
      </c>
      <c r="BX437" s="23"/>
      <c r="BY437" s="23">
        <v>7016000</v>
      </c>
      <c r="BZ437" s="23"/>
      <c r="CA437" s="23">
        <v>7016000</v>
      </c>
      <c r="CB437" s="23"/>
      <c r="CC437" s="23">
        <v>7016000</v>
      </c>
      <c r="CD437" s="23"/>
      <c r="CE437" s="23">
        <v>14032000</v>
      </c>
      <c r="CF437" s="28"/>
      <c r="CG437" s="28"/>
      <c r="CH437" s="25">
        <f t="shared" ref="CH437:CI437" si="865">BH437+BJ437+BL437+BN437+BP437+BR437+BT437+BV437+BX437+BZ437+CB437+CD437+CF437</f>
        <v>79514667</v>
      </c>
      <c r="CI437" s="25">
        <f t="shared" si="865"/>
        <v>79514667</v>
      </c>
      <c r="CJ437" s="26">
        <f t="shared" si="816"/>
        <v>0</v>
      </c>
      <c r="CK437" s="26">
        <f t="shared" si="817"/>
        <v>0</v>
      </c>
    </row>
    <row r="438" spans="1:89" ht="90" customHeight="1" x14ac:dyDescent="0.3">
      <c r="A438" s="13" t="s">
        <v>248</v>
      </c>
      <c r="B438" s="14" t="s">
        <v>34</v>
      </c>
      <c r="C438" s="15" t="s">
        <v>1127</v>
      </c>
      <c r="D438" s="14" t="s">
        <v>61</v>
      </c>
      <c r="E438" s="13" t="s">
        <v>250</v>
      </c>
      <c r="F438" s="13" t="s">
        <v>250</v>
      </c>
      <c r="G438" s="93">
        <v>8</v>
      </c>
      <c r="H438" s="13" t="s">
        <v>1235</v>
      </c>
      <c r="I438" s="15" t="s">
        <v>1138</v>
      </c>
      <c r="J438" s="14" t="s">
        <v>18</v>
      </c>
      <c r="K438" s="15" t="s">
        <v>79</v>
      </c>
      <c r="L438" s="14">
        <v>80111620</v>
      </c>
      <c r="M438" s="14" t="s">
        <v>36</v>
      </c>
      <c r="N438" s="14" t="s">
        <v>253</v>
      </c>
      <c r="O438" s="15" t="s">
        <v>1236</v>
      </c>
      <c r="P438" s="14" t="s">
        <v>255</v>
      </c>
      <c r="Q438" s="14" t="s">
        <v>255</v>
      </c>
      <c r="R438" s="14" t="s">
        <v>255</v>
      </c>
      <c r="S438" s="17">
        <v>12</v>
      </c>
      <c r="T438" s="14" t="s">
        <v>256</v>
      </c>
      <c r="U438" s="14" t="s">
        <v>257</v>
      </c>
      <c r="V438" s="14" t="s">
        <v>112</v>
      </c>
      <c r="W438" s="18">
        <v>51076200</v>
      </c>
      <c r="X438" s="18">
        <v>51076200</v>
      </c>
      <c r="Y438" s="19" t="s">
        <v>1106</v>
      </c>
      <c r="Z438" s="19" t="s">
        <v>1131</v>
      </c>
      <c r="AA438" s="14" t="s">
        <v>1132</v>
      </c>
      <c r="AB438" s="14" t="s">
        <v>1133</v>
      </c>
      <c r="AC438" s="14">
        <v>6012220601</v>
      </c>
      <c r="AD438" s="14" t="s">
        <v>1134</v>
      </c>
      <c r="AE438" s="82">
        <v>51076200</v>
      </c>
      <c r="AF438" s="82">
        <v>0</v>
      </c>
      <c r="AG438" s="82">
        <v>0</v>
      </c>
      <c r="AH438" s="82">
        <v>7296600</v>
      </c>
      <c r="AI438" s="82">
        <v>0</v>
      </c>
      <c r="AJ438" s="82">
        <v>7296600</v>
      </c>
      <c r="AK438" s="82">
        <v>0</v>
      </c>
      <c r="AL438" s="82">
        <v>7296600</v>
      </c>
      <c r="AM438" s="82">
        <v>0</v>
      </c>
      <c r="AN438" s="82">
        <v>7296600</v>
      </c>
      <c r="AO438" s="82">
        <v>0</v>
      </c>
      <c r="AP438" s="82">
        <v>7296600</v>
      </c>
      <c r="AQ438" s="82">
        <v>0</v>
      </c>
      <c r="AR438" s="82">
        <v>7296600</v>
      </c>
      <c r="AS438" s="82">
        <v>0</v>
      </c>
      <c r="AT438" s="82">
        <v>7296600</v>
      </c>
      <c r="AU438" s="82">
        <v>0</v>
      </c>
      <c r="AV438" s="82">
        <v>0</v>
      </c>
      <c r="AW438" s="82">
        <v>0</v>
      </c>
      <c r="AX438" s="82">
        <v>0</v>
      </c>
      <c r="AY438" s="82">
        <v>0</v>
      </c>
      <c r="AZ438" s="82">
        <v>0</v>
      </c>
      <c r="BA438" s="82">
        <v>0</v>
      </c>
      <c r="BB438" s="82">
        <v>0</v>
      </c>
      <c r="BC438" s="82">
        <f t="shared" ref="BC438:BD438" si="866">AE438+AG438+AI438+AK438+AM438+AO438+AQ438+AS438+AU438+AW438+AY438+BA438</f>
        <v>51076200</v>
      </c>
      <c r="BD438" s="82">
        <f t="shared" si="866"/>
        <v>51076200</v>
      </c>
      <c r="BE438" s="83">
        <f t="shared" si="813"/>
        <v>0</v>
      </c>
      <c r="BF438" s="83">
        <f t="shared" si="814"/>
        <v>0</v>
      </c>
      <c r="BG438" s="14" t="str">
        <f ca="1">IFERROR(__xludf.DUMMYFUNCTION("REGEXEXTRACT(O432,""^\S+\s(.+)$"")"),"Prestar servicios profesionales para adelantar el análisis y procesamiento de la información técnica relacionada con el desarrollo y la ejecución de los proyectos de transmisión objeto de convocatoria pública en la etapa de ejecución.")</f>
        <v>Prestar servicios profesionales para adelantar el análisis y procesamiento de la información técnica relacionada con el desarrollo y la ejecución de los proyectos de transmisión objeto de convocatoria pública en la etapa de ejecución.</v>
      </c>
      <c r="BH438" s="23">
        <v>51076200</v>
      </c>
      <c r="BI438" s="23"/>
      <c r="BJ438" s="23"/>
      <c r="BK438" s="23">
        <v>7296600</v>
      </c>
      <c r="BL438" s="23"/>
      <c r="BM438" s="23">
        <v>7296600</v>
      </c>
      <c r="BN438" s="23"/>
      <c r="BO438" s="23">
        <v>7296600</v>
      </c>
      <c r="BP438" s="23"/>
      <c r="BQ438" s="23">
        <v>7296600</v>
      </c>
      <c r="BR438" s="23"/>
      <c r="BS438" s="23">
        <v>7296600</v>
      </c>
      <c r="BT438" s="23"/>
      <c r="BU438" s="23">
        <v>7296600</v>
      </c>
      <c r="BV438" s="23"/>
      <c r="BW438" s="23">
        <v>7296600</v>
      </c>
      <c r="BX438" s="23"/>
      <c r="BY438" s="23"/>
      <c r="BZ438" s="23"/>
      <c r="CA438" s="23"/>
      <c r="CB438" s="23"/>
      <c r="CC438" s="23"/>
      <c r="CD438" s="23"/>
      <c r="CE438" s="23"/>
      <c r="CF438" s="28"/>
      <c r="CG438" s="28"/>
      <c r="CH438" s="25">
        <f t="shared" ref="CH438:CI438" si="867">BH438+BJ438+BL438+BN438+BP438+BR438+BT438+BV438+BX438+BZ438+CB438+CD438+CF438</f>
        <v>51076200</v>
      </c>
      <c r="CI438" s="25">
        <f t="shared" si="867"/>
        <v>51076200</v>
      </c>
      <c r="CJ438" s="26">
        <f t="shared" si="816"/>
        <v>0</v>
      </c>
      <c r="CK438" s="26">
        <f t="shared" si="817"/>
        <v>0</v>
      </c>
    </row>
    <row r="439" spans="1:89" ht="90" customHeight="1" x14ac:dyDescent="0.3">
      <c r="A439" s="13" t="s">
        <v>248</v>
      </c>
      <c r="B439" s="14" t="s">
        <v>34</v>
      </c>
      <c r="C439" s="15" t="s">
        <v>1127</v>
      </c>
      <c r="D439" s="14" t="s">
        <v>61</v>
      </c>
      <c r="E439" s="13" t="s">
        <v>250</v>
      </c>
      <c r="F439" s="13" t="s">
        <v>250</v>
      </c>
      <c r="G439" s="93">
        <v>8</v>
      </c>
      <c r="H439" s="13" t="s">
        <v>1237</v>
      </c>
      <c r="I439" s="15" t="s">
        <v>1138</v>
      </c>
      <c r="J439" s="14" t="s">
        <v>18</v>
      </c>
      <c r="K439" s="15" t="s">
        <v>79</v>
      </c>
      <c r="L439" s="14">
        <v>80111620</v>
      </c>
      <c r="M439" s="14" t="s">
        <v>36</v>
      </c>
      <c r="N439" s="14" t="s">
        <v>253</v>
      </c>
      <c r="O439" s="15" t="s">
        <v>1238</v>
      </c>
      <c r="P439" s="14" t="s">
        <v>255</v>
      </c>
      <c r="Q439" s="14" t="s">
        <v>255</v>
      </c>
      <c r="R439" s="14" t="s">
        <v>255</v>
      </c>
      <c r="S439" s="17">
        <v>12</v>
      </c>
      <c r="T439" s="14" t="s">
        <v>256</v>
      </c>
      <c r="U439" s="14" t="s">
        <v>257</v>
      </c>
      <c r="V439" s="14" t="s">
        <v>112</v>
      </c>
      <c r="W439" s="18">
        <v>51076200</v>
      </c>
      <c r="X439" s="18">
        <v>51076200</v>
      </c>
      <c r="Y439" s="19" t="s">
        <v>1106</v>
      </c>
      <c r="Z439" s="19" t="s">
        <v>1131</v>
      </c>
      <c r="AA439" s="14" t="s">
        <v>1132</v>
      </c>
      <c r="AB439" s="14" t="s">
        <v>1133</v>
      </c>
      <c r="AC439" s="14">
        <v>6012220601</v>
      </c>
      <c r="AD439" s="14" t="s">
        <v>1134</v>
      </c>
      <c r="AE439" s="82">
        <v>51076200</v>
      </c>
      <c r="AF439" s="82">
        <v>0</v>
      </c>
      <c r="AG439" s="82">
        <v>0</v>
      </c>
      <c r="AH439" s="82">
        <v>7296600</v>
      </c>
      <c r="AI439" s="82">
        <v>0</v>
      </c>
      <c r="AJ439" s="82">
        <v>7296600</v>
      </c>
      <c r="AK439" s="82">
        <v>0</v>
      </c>
      <c r="AL439" s="82">
        <v>7296600</v>
      </c>
      <c r="AM439" s="82">
        <v>0</v>
      </c>
      <c r="AN439" s="82">
        <v>7296600</v>
      </c>
      <c r="AO439" s="82">
        <v>0</v>
      </c>
      <c r="AP439" s="82">
        <v>7296600</v>
      </c>
      <c r="AQ439" s="82">
        <v>0</v>
      </c>
      <c r="AR439" s="82">
        <v>7296600</v>
      </c>
      <c r="AS439" s="82">
        <v>0</v>
      </c>
      <c r="AT439" s="82">
        <v>7296600</v>
      </c>
      <c r="AU439" s="82">
        <v>0</v>
      </c>
      <c r="AV439" s="82">
        <v>0</v>
      </c>
      <c r="AW439" s="82">
        <v>0</v>
      </c>
      <c r="AX439" s="82">
        <v>0</v>
      </c>
      <c r="AY439" s="82">
        <v>0</v>
      </c>
      <c r="AZ439" s="82">
        <v>0</v>
      </c>
      <c r="BA439" s="82">
        <v>0</v>
      </c>
      <c r="BB439" s="82">
        <v>0</v>
      </c>
      <c r="BC439" s="82">
        <f t="shared" ref="BC439:BD439" si="868">AE439+AG439+AI439+AK439+AM439+AO439+AQ439+AS439+AU439+AW439+AY439+BA439</f>
        <v>51076200</v>
      </c>
      <c r="BD439" s="82">
        <f t="shared" si="868"/>
        <v>51076200</v>
      </c>
      <c r="BE439" s="83">
        <f t="shared" si="813"/>
        <v>0</v>
      </c>
      <c r="BF439" s="83">
        <f t="shared" si="814"/>
        <v>0</v>
      </c>
      <c r="BG439" s="14" t="str">
        <f ca="1">IFERROR(__xludf.DUMMYFUNCTION("REGEXEXTRACT(O433,""^\S+\s(.+)$"")"),"Prestar servicios profesionales para procesar información relacionada con la estructuración de las convocatorias públicas de las obras de transmisión nacional y regional y proyectos de nuevas tecnologías en cuanto a condiciones técnicas, físicas, regulato"&amp;"rias y normativas y realizar el seguimiento a los proyectos que le sean asignados.")</f>
        <v>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v>
      </c>
      <c r="BH439" s="23">
        <v>51076200</v>
      </c>
      <c r="BI439" s="23"/>
      <c r="BJ439" s="23"/>
      <c r="BK439" s="23">
        <v>7296600</v>
      </c>
      <c r="BL439" s="23"/>
      <c r="BM439" s="23">
        <v>7296600</v>
      </c>
      <c r="BN439" s="23"/>
      <c r="BO439" s="23">
        <v>7296600</v>
      </c>
      <c r="BP439" s="23"/>
      <c r="BQ439" s="23">
        <v>7296600</v>
      </c>
      <c r="BR439" s="23"/>
      <c r="BS439" s="23">
        <v>7296600</v>
      </c>
      <c r="BT439" s="23"/>
      <c r="BU439" s="23">
        <v>7296600</v>
      </c>
      <c r="BV439" s="23"/>
      <c r="BW439" s="23">
        <v>7296600</v>
      </c>
      <c r="BX439" s="23"/>
      <c r="BY439" s="23"/>
      <c r="BZ439" s="23"/>
      <c r="CA439" s="23"/>
      <c r="CB439" s="23"/>
      <c r="CC439" s="23"/>
      <c r="CD439" s="23"/>
      <c r="CE439" s="23"/>
      <c r="CF439" s="28"/>
      <c r="CG439" s="28"/>
      <c r="CH439" s="25">
        <f t="shared" ref="CH439:CI439" si="869">BH439+BJ439+BL439+BN439+BP439+BR439+BT439+BV439+BX439+BZ439+CB439+CD439+CF439</f>
        <v>51076200</v>
      </c>
      <c r="CI439" s="25">
        <f t="shared" si="869"/>
        <v>51076200</v>
      </c>
      <c r="CJ439" s="26">
        <f t="shared" si="816"/>
        <v>0</v>
      </c>
      <c r="CK439" s="26">
        <f t="shared" si="817"/>
        <v>0</v>
      </c>
    </row>
    <row r="440" spans="1:89" ht="90" customHeight="1" x14ac:dyDescent="0.3">
      <c r="A440" s="13" t="s">
        <v>248</v>
      </c>
      <c r="B440" s="14" t="s">
        <v>34</v>
      </c>
      <c r="C440" s="15" t="s">
        <v>1127</v>
      </c>
      <c r="D440" s="14" t="s">
        <v>61</v>
      </c>
      <c r="E440" s="13" t="s">
        <v>250</v>
      </c>
      <c r="F440" s="13" t="s">
        <v>250</v>
      </c>
      <c r="G440" s="93">
        <v>8</v>
      </c>
      <c r="H440" s="13" t="s">
        <v>1239</v>
      </c>
      <c r="I440" s="15" t="s">
        <v>1138</v>
      </c>
      <c r="J440" s="14" t="s">
        <v>18</v>
      </c>
      <c r="K440" s="15" t="s">
        <v>79</v>
      </c>
      <c r="L440" s="14">
        <v>80111620</v>
      </c>
      <c r="M440" s="14" t="s">
        <v>36</v>
      </c>
      <c r="N440" s="14" t="s">
        <v>253</v>
      </c>
      <c r="O440" s="15" t="s">
        <v>1240</v>
      </c>
      <c r="P440" s="14" t="s">
        <v>255</v>
      </c>
      <c r="Q440" s="14" t="s">
        <v>255</v>
      </c>
      <c r="R440" s="14" t="s">
        <v>255</v>
      </c>
      <c r="S440" s="17">
        <v>12</v>
      </c>
      <c r="T440" s="14" t="s">
        <v>256</v>
      </c>
      <c r="U440" s="14" t="s">
        <v>257</v>
      </c>
      <c r="V440" s="14" t="s">
        <v>112</v>
      </c>
      <c r="W440" s="18">
        <v>51076200</v>
      </c>
      <c r="X440" s="18">
        <v>51076200</v>
      </c>
      <c r="Y440" s="19" t="s">
        <v>1106</v>
      </c>
      <c r="Z440" s="19" t="s">
        <v>1131</v>
      </c>
      <c r="AA440" s="14" t="s">
        <v>1132</v>
      </c>
      <c r="AB440" s="14" t="s">
        <v>1133</v>
      </c>
      <c r="AC440" s="14">
        <v>6012220601</v>
      </c>
      <c r="AD440" s="14" t="s">
        <v>1134</v>
      </c>
      <c r="AE440" s="82">
        <v>51076200</v>
      </c>
      <c r="AF440" s="82">
        <v>0</v>
      </c>
      <c r="AG440" s="82">
        <v>0</v>
      </c>
      <c r="AH440" s="82">
        <v>7296600</v>
      </c>
      <c r="AI440" s="82">
        <v>0</v>
      </c>
      <c r="AJ440" s="82">
        <v>7296600</v>
      </c>
      <c r="AK440" s="82">
        <v>0</v>
      </c>
      <c r="AL440" s="82">
        <v>7296600</v>
      </c>
      <c r="AM440" s="82">
        <v>0</v>
      </c>
      <c r="AN440" s="82">
        <v>7296600</v>
      </c>
      <c r="AO440" s="82">
        <v>0</v>
      </c>
      <c r="AP440" s="82">
        <v>7296600</v>
      </c>
      <c r="AQ440" s="82">
        <v>0</v>
      </c>
      <c r="AR440" s="82">
        <v>7296600</v>
      </c>
      <c r="AS440" s="82">
        <v>0</v>
      </c>
      <c r="AT440" s="82">
        <v>7296600</v>
      </c>
      <c r="AU440" s="82">
        <v>0</v>
      </c>
      <c r="AV440" s="82">
        <v>0</v>
      </c>
      <c r="AW440" s="82">
        <v>0</v>
      </c>
      <c r="AX440" s="82">
        <v>0</v>
      </c>
      <c r="AY440" s="82">
        <v>0</v>
      </c>
      <c r="AZ440" s="82">
        <v>0</v>
      </c>
      <c r="BA440" s="82">
        <v>0</v>
      </c>
      <c r="BB440" s="82">
        <v>0</v>
      </c>
      <c r="BC440" s="82">
        <f t="shared" ref="BC440:BD440" si="870">AE440+AG440+AI440+AK440+AM440+AO440+AQ440+AS440+AU440+AW440+AY440+BA440</f>
        <v>51076200</v>
      </c>
      <c r="BD440" s="82">
        <f t="shared" si="870"/>
        <v>51076200</v>
      </c>
      <c r="BE440" s="83">
        <f t="shared" si="813"/>
        <v>0</v>
      </c>
      <c r="BF440" s="83">
        <f t="shared" si="814"/>
        <v>0</v>
      </c>
      <c r="BG440" s="14" t="str">
        <f ca="1">IFERROR(__xludf.DUMMYFUNCTION("REGEXEXTRACT(O434,""^\S+\s(.+)$"")"),"Apoyar en el seguimiento a la ejecución de los proyectos de transmisión nacional y regional ejecutados mediante convocatoria pública y ampliaciones, apoyar el seguimiento a las condiciones de los documentos de selección y procesar la información de seguim"&amp;"iento de los proyectos que le sean asignados.")</f>
        <v>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v>
      </c>
      <c r="BH440" s="23">
        <v>51076200</v>
      </c>
      <c r="BI440" s="23"/>
      <c r="BJ440" s="23"/>
      <c r="BK440" s="23">
        <v>7296600</v>
      </c>
      <c r="BL440" s="23"/>
      <c r="BM440" s="23">
        <v>7296600</v>
      </c>
      <c r="BN440" s="23"/>
      <c r="BO440" s="23">
        <v>7296600</v>
      </c>
      <c r="BP440" s="23"/>
      <c r="BQ440" s="23">
        <v>7296600</v>
      </c>
      <c r="BR440" s="23"/>
      <c r="BS440" s="23">
        <v>7296600</v>
      </c>
      <c r="BT440" s="23"/>
      <c r="BU440" s="23">
        <v>7296600</v>
      </c>
      <c r="BV440" s="23"/>
      <c r="BW440" s="23">
        <v>7296600</v>
      </c>
      <c r="BX440" s="23"/>
      <c r="BY440" s="23"/>
      <c r="BZ440" s="23"/>
      <c r="CA440" s="23"/>
      <c r="CB440" s="23"/>
      <c r="CC440" s="23"/>
      <c r="CD440" s="23"/>
      <c r="CE440" s="23"/>
      <c r="CF440" s="28"/>
      <c r="CG440" s="28"/>
      <c r="CH440" s="25">
        <f t="shared" ref="CH440:CI440" si="871">BH440+BJ440+BL440+BN440+BP440+BR440+BT440+BV440+BX440+BZ440+CB440+CD440+CF440</f>
        <v>51076200</v>
      </c>
      <c r="CI440" s="25">
        <f t="shared" si="871"/>
        <v>51076200</v>
      </c>
      <c r="CJ440" s="26">
        <f t="shared" si="816"/>
        <v>0</v>
      </c>
      <c r="CK440" s="26">
        <f t="shared" si="817"/>
        <v>0</v>
      </c>
    </row>
    <row r="441" spans="1:89" ht="90" customHeight="1" x14ac:dyDescent="0.3">
      <c r="A441" s="13" t="s">
        <v>248</v>
      </c>
      <c r="B441" s="14" t="s">
        <v>34</v>
      </c>
      <c r="C441" s="15" t="s">
        <v>1127</v>
      </c>
      <c r="D441" s="14" t="s">
        <v>61</v>
      </c>
      <c r="E441" s="13" t="s">
        <v>250</v>
      </c>
      <c r="F441" s="13" t="s">
        <v>250</v>
      </c>
      <c r="G441" s="93">
        <v>8</v>
      </c>
      <c r="H441" s="13" t="s">
        <v>1241</v>
      </c>
      <c r="I441" s="15" t="s">
        <v>1138</v>
      </c>
      <c r="J441" s="14" t="s">
        <v>18</v>
      </c>
      <c r="K441" s="15" t="s">
        <v>79</v>
      </c>
      <c r="L441" s="14">
        <v>80111620</v>
      </c>
      <c r="M441" s="14" t="s">
        <v>36</v>
      </c>
      <c r="N441" s="14" t="s">
        <v>253</v>
      </c>
      <c r="O441" s="15" t="s">
        <v>1242</v>
      </c>
      <c r="P441" s="14" t="s">
        <v>255</v>
      </c>
      <c r="Q441" s="14" t="s">
        <v>255</v>
      </c>
      <c r="R441" s="14" t="s">
        <v>255</v>
      </c>
      <c r="S441" s="17">
        <v>12</v>
      </c>
      <c r="T441" s="14" t="s">
        <v>256</v>
      </c>
      <c r="U441" s="14" t="s">
        <v>257</v>
      </c>
      <c r="V441" s="14" t="s">
        <v>112</v>
      </c>
      <c r="W441" s="18">
        <v>44422000</v>
      </c>
      <c r="X441" s="18">
        <v>44422000</v>
      </c>
      <c r="Y441" s="19" t="s">
        <v>1106</v>
      </c>
      <c r="Z441" s="19" t="s">
        <v>1131</v>
      </c>
      <c r="AA441" s="14" t="s">
        <v>1132</v>
      </c>
      <c r="AB441" s="14" t="s">
        <v>1133</v>
      </c>
      <c r="AC441" s="14">
        <v>6012220601</v>
      </c>
      <c r="AD441" s="14" t="s">
        <v>1134</v>
      </c>
      <c r="AE441" s="82">
        <v>44422000</v>
      </c>
      <c r="AF441" s="82">
        <v>0</v>
      </c>
      <c r="AG441" s="82">
        <v>0</v>
      </c>
      <c r="AH441" s="82">
        <v>6346000</v>
      </c>
      <c r="AI441" s="82">
        <v>0</v>
      </c>
      <c r="AJ441" s="82">
        <v>6346000</v>
      </c>
      <c r="AK441" s="82">
        <v>0</v>
      </c>
      <c r="AL441" s="82">
        <v>6346000</v>
      </c>
      <c r="AM441" s="82">
        <v>0</v>
      </c>
      <c r="AN441" s="82">
        <v>6346000</v>
      </c>
      <c r="AO441" s="82">
        <v>0</v>
      </c>
      <c r="AP441" s="82">
        <v>6346000</v>
      </c>
      <c r="AQ441" s="82">
        <v>0</v>
      </c>
      <c r="AR441" s="82">
        <v>6346000</v>
      </c>
      <c r="AS441" s="82">
        <v>0</v>
      </c>
      <c r="AT441" s="82">
        <v>6346000</v>
      </c>
      <c r="AU441" s="82">
        <v>0</v>
      </c>
      <c r="AV441" s="82">
        <v>0</v>
      </c>
      <c r="AW441" s="82">
        <v>0</v>
      </c>
      <c r="AX441" s="82">
        <v>0</v>
      </c>
      <c r="AY441" s="82">
        <v>0</v>
      </c>
      <c r="AZ441" s="82">
        <v>0</v>
      </c>
      <c r="BA441" s="82">
        <v>0</v>
      </c>
      <c r="BB441" s="82">
        <v>0</v>
      </c>
      <c r="BC441" s="82">
        <f t="shared" ref="BC441:BD441" si="872">AE441+AG441+AI441+AK441+AM441+AO441+AQ441+AS441+AU441+AW441+AY441+BA441</f>
        <v>44422000</v>
      </c>
      <c r="BD441" s="82">
        <f t="shared" si="872"/>
        <v>44422000</v>
      </c>
      <c r="BE441" s="83">
        <f t="shared" si="813"/>
        <v>0</v>
      </c>
      <c r="BF441" s="83">
        <f t="shared" si="814"/>
        <v>0</v>
      </c>
      <c r="BG441" s="14" t="str">
        <f ca="1">IFERROR(__xludf.DUMMYFUNCTION("REGEXEXTRACT(O435,""^\S+\s(.+)$"")"),"Prestar servicios profesionales para apoyar el seguimiento a la ejecución de los proyectos llevados a cabo mediante convocatoria pública y ampliaciones que le sean asignados, apoyar la estructuración y elaboración de los documentos de selección del invers"&amp;"ionista de los proyectos definidos en el marco del plan de expansión, apoyar en el relacionamiento interinstitucional y apoyo en la gestión documental.")</f>
        <v>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v>
      </c>
      <c r="BH441" s="23">
        <v>44422000</v>
      </c>
      <c r="BI441" s="23"/>
      <c r="BJ441" s="23"/>
      <c r="BK441" s="23">
        <v>6346000</v>
      </c>
      <c r="BL441" s="23"/>
      <c r="BM441" s="23">
        <v>6346000</v>
      </c>
      <c r="BN441" s="23"/>
      <c r="BO441" s="23">
        <v>6346000</v>
      </c>
      <c r="BP441" s="23"/>
      <c r="BQ441" s="23">
        <v>6346000</v>
      </c>
      <c r="BR441" s="23"/>
      <c r="BS441" s="23">
        <v>6346000</v>
      </c>
      <c r="BT441" s="23"/>
      <c r="BU441" s="23">
        <v>6346000</v>
      </c>
      <c r="BV441" s="23"/>
      <c r="BW441" s="23">
        <v>6346000</v>
      </c>
      <c r="BX441" s="23"/>
      <c r="BY441" s="23"/>
      <c r="BZ441" s="23"/>
      <c r="CA441" s="23"/>
      <c r="CB441" s="23"/>
      <c r="CC441" s="23"/>
      <c r="CD441" s="23"/>
      <c r="CE441" s="23"/>
      <c r="CF441" s="28"/>
      <c r="CG441" s="28"/>
      <c r="CH441" s="25">
        <f t="shared" ref="CH441:CI441" si="873">BH441+BJ441+BL441+BN441+BP441+BR441+BT441+BV441+BX441+BZ441+CB441+CD441+CF441</f>
        <v>44422000</v>
      </c>
      <c r="CI441" s="25">
        <f t="shared" si="873"/>
        <v>44422000</v>
      </c>
      <c r="CJ441" s="26">
        <f t="shared" si="816"/>
        <v>0</v>
      </c>
      <c r="CK441" s="26">
        <f t="shared" si="817"/>
        <v>0</v>
      </c>
    </row>
    <row r="442" spans="1:89" ht="90" customHeight="1" x14ac:dyDescent="0.3">
      <c r="A442" s="13" t="s">
        <v>248</v>
      </c>
      <c r="B442" s="14" t="s">
        <v>34</v>
      </c>
      <c r="C442" s="15" t="s">
        <v>1127</v>
      </c>
      <c r="D442" s="14" t="s">
        <v>61</v>
      </c>
      <c r="E442" s="13" t="s">
        <v>250</v>
      </c>
      <c r="F442" s="13" t="s">
        <v>250</v>
      </c>
      <c r="G442" s="93">
        <v>8</v>
      </c>
      <c r="H442" s="13" t="s">
        <v>1243</v>
      </c>
      <c r="I442" s="15" t="s">
        <v>1138</v>
      </c>
      <c r="J442" s="14" t="s">
        <v>18</v>
      </c>
      <c r="K442" s="15" t="s">
        <v>79</v>
      </c>
      <c r="L442" s="14">
        <v>80111620</v>
      </c>
      <c r="M442" s="14" t="s">
        <v>36</v>
      </c>
      <c r="N442" s="14" t="s">
        <v>253</v>
      </c>
      <c r="O442" s="15" t="s">
        <v>1244</v>
      </c>
      <c r="P442" s="14" t="s">
        <v>255</v>
      </c>
      <c r="Q442" s="14" t="s">
        <v>255</v>
      </c>
      <c r="R442" s="14" t="s">
        <v>255</v>
      </c>
      <c r="S442" s="17">
        <v>12</v>
      </c>
      <c r="T442" s="14" t="s">
        <v>256</v>
      </c>
      <c r="U442" s="14" t="s">
        <v>257</v>
      </c>
      <c r="V442" s="14" t="s">
        <v>112</v>
      </c>
      <c r="W442" s="18">
        <v>44422000</v>
      </c>
      <c r="X442" s="18">
        <v>44422000</v>
      </c>
      <c r="Y442" s="19" t="s">
        <v>1106</v>
      </c>
      <c r="Z442" s="19" t="s">
        <v>1131</v>
      </c>
      <c r="AA442" s="14" t="s">
        <v>1132</v>
      </c>
      <c r="AB442" s="14" t="s">
        <v>1133</v>
      </c>
      <c r="AC442" s="14">
        <v>6012220601</v>
      </c>
      <c r="AD442" s="14" t="s">
        <v>1134</v>
      </c>
      <c r="AE442" s="82">
        <v>44422000</v>
      </c>
      <c r="AF442" s="82">
        <v>0</v>
      </c>
      <c r="AG442" s="82">
        <v>0</v>
      </c>
      <c r="AH442" s="82">
        <v>6346000</v>
      </c>
      <c r="AI442" s="82">
        <v>0</v>
      </c>
      <c r="AJ442" s="82">
        <v>6346000</v>
      </c>
      <c r="AK442" s="82">
        <v>0</v>
      </c>
      <c r="AL442" s="82">
        <v>6346000</v>
      </c>
      <c r="AM442" s="82">
        <v>0</v>
      </c>
      <c r="AN442" s="82">
        <v>6346000</v>
      </c>
      <c r="AO442" s="82">
        <v>0</v>
      </c>
      <c r="AP442" s="82">
        <v>6346000</v>
      </c>
      <c r="AQ442" s="82">
        <v>0</v>
      </c>
      <c r="AR442" s="82">
        <v>6346000</v>
      </c>
      <c r="AS442" s="82">
        <v>0</v>
      </c>
      <c r="AT442" s="82">
        <v>6346000</v>
      </c>
      <c r="AU442" s="82">
        <v>0</v>
      </c>
      <c r="AV442" s="82">
        <v>0</v>
      </c>
      <c r="AW442" s="82">
        <v>0</v>
      </c>
      <c r="AX442" s="82">
        <v>0</v>
      </c>
      <c r="AY442" s="82">
        <v>0</v>
      </c>
      <c r="AZ442" s="82">
        <v>0</v>
      </c>
      <c r="BA442" s="82">
        <v>0</v>
      </c>
      <c r="BB442" s="82">
        <v>0</v>
      </c>
      <c r="BC442" s="82">
        <f t="shared" ref="BC442:BD442" si="874">AE442+AG442+AI442+AK442+AM442+AO442+AQ442+AS442+AU442+AW442+AY442+BA442</f>
        <v>44422000</v>
      </c>
      <c r="BD442" s="82">
        <f t="shared" si="874"/>
        <v>44422000</v>
      </c>
      <c r="BE442" s="83">
        <f t="shared" si="813"/>
        <v>0</v>
      </c>
      <c r="BF442" s="83">
        <f t="shared" si="814"/>
        <v>0</v>
      </c>
      <c r="BG442" s="14" t="str">
        <f ca="1">IFERROR(__xludf.DUMMYFUNCTION("REGEXEXTRACT(O436,""^\S+\s(.+)$"")"),"Prestar servicios profesionales para el apoyo en la elaboración de documentos y en el procesamiento de la información, de las convocatorias públicas y de ampliación de los proyectos de transmisión nacional y regional, y demás proyectos en ejecución asigna"&amp;"dos.")</f>
        <v>Prestar servicios profesionales para el apoyo en la elaboración de documentos y en el procesamiento de la información, de las convocatorias públicas y de ampliación de los proyectos de transmisión nacional y regional, y demás proyectos en ejecución asignados.</v>
      </c>
      <c r="BH442" s="23">
        <v>44422000</v>
      </c>
      <c r="BI442" s="23"/>
      <c r="BJ442" s="23"/>
      <c r="BK442" s="23">
        <v>6346000</v>
      </c>
      <c r="BL442" s="23"/>
      <c r="BM442" s="23">
        <v>6346000</v>
      </c>
      <c r="BN442" s="23"/>
      <c r="BO442" s="23">
        <v>6346000</v>
      </c>
      <c r="BP442" s="23"/>
      <c r="BQ442" s="23">
        <v>6346000</v>
      </c>
      <c r="BR442" s="23"/>
      <c r="BS442" s="23">
        <v>6346000</v>
      </c>
      <c r="BT442" s="23"/>
      <c r="BU442" s="23">
        <v>6346000</v>
      </c>
      <c r="BV442" s="23"/>
      <c r="BW442" s="23">
        <v>6346000</v>
      </c>
      <c r="BX442" s="23"/>
      <c r="BY442" s="23"/>
      <c r="BZ442" s="23"/>
      <c r="CA442" s="23"/>
      <c r="CB442" s="23"/>
      <c r="CC442" s="23"/>
      <c r="CD442" s="23"/>
      <c r="CE442" s="23"/>
      <c r="CF442" s="28"/>
      <c r="CG442" s="28"/>
      <c r="CH442" s="25">
        <f t="shared" ref="CH442:CI442" si="875">BH442+BJ442+BL442+BN442+BP442+BR442+BT442+BV442+BX442+BZ442+CB442+CD442+CF442</f>
        <v>44422000</v>
      </c>
      <c r="CI442" s="25">
        <f t="shared" si="875"/>
        <v>44422000</v>
      </c>
      <c r="CJ442" s="26">
        <f t="shared" si="816"/>
        <v>0</v>
      </c>
      <c r="CK442" s="26">
        <f t="shared" si="817"/>
        <v>0</v>
      </c>
    </row>
    <row r="443" spans="1:89" ht="90" customHeight="1" x14ac:dyDescent="0.3">
      <c r="A443" s="13" t="s">
        <v>248</v>
      </c>
      <c r="B443" s="14" t="s">
        <v>34</v>
      </c>
      <c r="C443" s="15" t="s">
        <v>1127</v>
      </c>
      <c r="D443" s="14" t="s">
        <v>61</v>
      </c>
      <c r="E443" s="13" t="s">
        <v>250</v>
      </c>
      <c r="F443" s="13" t="s">
        <v>250</v>
      </c>
      <c r="G443" s="14">
        <v>68</v>
      </c>
      <c r="H443" s="13" t="s">
        <v>1245</v>
      </c>
      <c r="I443" s="15" t="s">
        <v>1129</v>
      </c>
      <c r="J443" s="14" t="s">
        <v>9</v>
      </c>
      <c r="K443" s="15" t="s">
        <v>77</v>
      </c>
      <c r="L443" s="14">
        <v>80111620</v>
      </c>
      <c r="M443" s="14" t="s">
        <v>35</v>
      </c>
      <c r="N443" s="14" t="s">
        <v>253</v>
      </c>
      <c r="O443" s="15" t="s">
        <v>1246</v>
      </c>
      <c r="P443" s="14" t="s">
        <v>255</v>
      </c>
      <c r="Q443" s="14" t="s">
        <v>255</v>
      </c>
      <c r="R443" s="14" t="s">
        <v>255</v>
      </c>
      <c r="S443" s="17">
        <v>10</v>
      </c>
      <c r="T443" s="14" t="s">
        <v>256</v>
      </c>
      <c r="U443" s="14" t="s">
        <v>257</v>
      </c>
      <c r="V443" s="14" t="s">
        <v>112</v>
      </c>
      <c r="W443" s="18">
        <v>87000000</v>
      </c>
      <c r="X443" s="18">
        <v>87000000</v>
      </c>
      <c r="Y443" s="19" t="s">
        <v>339</v>
      </c>
      <c r="Z443" s="19" t="s">
        <v>258</v>
      </c>
      <c r="AA443" s="14" t="s">
        <v>1132</v>
      </c>
      <c r="AB443" s="14" t="s">
        <v>1133</v>
      </c>
      <c r="AC443" s="14">
        <v>6012220601</v>
      </c>
      <c r="AD443" s="14" t="s">
        <v>1134</v>
      </c>
      <c r="AE443" s="82">
        <v>87000000</v>
      </c>
      <c r="AF443" s="82">
        <v>0</v>
      </c>
      <c r="AG443" s="82">
        <v>0</v>
      </c>
      <c r="AH443" s="82">
        <v>0</v>
      </c>
      <c r="AI443" s="82">
        <v>0</v>
      </c>
      <c r="AJ443" s="82">
        <v>8700000</v>
      </c>
      <c r="AK443" s="82">
        <v>0</v>
      </c>
      <c r="AL443" s="82">
        <v>8700000</v>
      </c>
      <c r="AM443" s="82">
        <v>0</v>
      </c>
      <c r="AN443" s="82">
        <v>8700000</v>
      </c>
      <c r="AO443" s="82">
        <v>0</v>
      </c>
      <c r="AP443" s="82">
        <v>8700000</v>
      </c>
      <c r="AQ443" s="82">
        <v>0</v>
      </c>
      <c r="AR443" s="82">
        <v>8700000</v>
      </c>
      <c r="AS443" s="82">
        <v>0</v>
      </c>
      <c r="AT443" s="82">
        <v>8700000</v>
      </c>
      <c r="AU443" s="82">
        <v>0</v>
      </c>
      <c r="AV443" s="82">
        <v>8700000</v>
      </c>
      <c r="AW443" s="82">
        <v>0</v>
      </c>
      <c r="AX443" s="82">
        <v>8700000</v>
      </c>
      <c r="AY443" s="82">
        <v>0</v>
      </c>
      <c r="AZ443" s="82">
        <v>8700000</v>
      </c>
      <c r="BA443" s="82">
        <v>0</v>
      </c>
      <c r="BB443" s="82">
        <v>8700000</v>
      </c>
      <c r="BC443" s="82">
        <f t="shared" ref="BC443:BD443" si="876">AE443+AG443+AI443+AK443+AM443+AO443+AQ443+AS443+AU443+AW443+AY443+BA443</f>
        <v>87000000</v>
      </c>
      <c r="BD443" s="82">
        <f t="shared" si="876"/>
        <v>87000000</v>
      </c>
      <c r="BE443" s="83">
        <f t="shared" si="813"/>
        <v>0</v>
      </c>
      <c r="BF443" s="83">
        <f t="shared" si="814"/>
        <v>0</v>
      </c>
      <c r="BG443" s="14" t="str">
        <f ca="1">IFERROR(__xludf.DUMMYFUNCTION("REGEXEXTRACT(O437,""^\S+\s(.+)$"")"),"Prestar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43" s="23">
        <v>87000000</v>
      </c>
      <c r="BI443" s="23"/>
      <c r="BJ443" s="23"/>
      <c r="BK443" s="23"/>
      <c r="BL443" s="23"/>
      <c r="BM443" s="23">
        <v>8700000</v>
      </c>
      <c r="BN443" s="23"/>
      <c r="BO443" s="23">
        <v>8700000</v>
      </c>
      <c r="BP443" s="23"/>
      <c r="BQ443" s="23">
        <v>8700000</v>
      </c>
      <c r="BR443" s="23"/>
      <c r="BS443" s="23">
        <v>8700000</v>
      </c>
      <c r="BT443" s="23"/>
      <c r="BU443" s="23">
        <v>8700000</v>
      </c>
      <c r="BV443" s="23"/>
      <c r="BW443" s="23">
        <v>8700000</v>
      </c>
      <c r="BX443" s="23"/>
      <c r="BY443" s="23">
        <v>8700000</v>
      </c>
      <c r="BZ443" s="23"/>
      <c r="CA443" s="23">
        <v>8700000</v>
      </c>
      <c r="CB443" s="23"/>
      <c r="CC443" s="23">
        <v>8700000</v>
      </c>
      <c r="CD443" s="23"/>
      <c r="CE443" s="23">
        <v>8700000</v>
      </c>
      <c r="CF443" s="28"/>
      <c r="CG443" s="28"/>
      <c r="CH443" s="25">
        <f t="shared" ref="CH443:CI443" si="877">BH443+BJ443+BL443+BN443+BP443+BR443+BT443+BV443+BX443+BZ443+CB443+CD443+CF443</f>
        <v>87000000</v>
      </c>
      <c r="CI443" s="25">
        <f t="shared" si="877"/>
        <v>87000000</v>
      </c>
      <c r="CJ443" s="26">
        <f t="shared" si="816"/>
        <v>0</v>
      </c>
      <c r="CK443" s="26">
        <f t="shared" si="817"/>
        <v>0</v>
      </c>
    </row>
    <row r="444" spans="1:89" ht="90" customHeight="1" x14ac:dyDescent="0.3">
      <c r="A444" s="13" t="s">
        <v>248</v>
      </c>
      <c r="B444" s="14" t="s">
        <v>34</v>
      </c>
      <c r="C444" s="15" t="s">
        <v>1127</v>
      </c>
      <c r="D444" s="14" t="s">
        <v>61</v>
      </c>
      <c r="E444" s="13" t="s">
        <v>250</v>
      </c>
      <c r="F444" s="13" t="s">
        <v>250</v>
      </c>
      <c r="G444" s="93" t="s">
        <v>1146</v>
      </c>
      <c r="H444" s="13" t="s">
        <v>1247</v>
      </c>
      <c r="I444" s="15" t="s">
        <v>1138</v>
      </c>
      <c r="J444" s="14" t="s">
        <v>18</v>
      </c>
      <c r="K444" s="15" t="s">
        <v>79</v>
      </c>
      <c r="L444" s="14">
        <v>80111620</v>
      </c>
      <c r="M444" s="14" t="s">
        <v>36</v>
      </c>
      <c r="N444" s="14" t="s">
        <v>253</v>
      </c>
      <c r="O444" s="15" t="s">
        <v>1248</v>
      </c>
      <c r="P444" s="14" t="s">
        <v>255</v>
      </c>
      <c r="Q444" s="14" t="s">
        <v>255</v>
      </c>
      <c r="R444" s="94" t="s">
        <v>549</v>
      </c>
      <c r="S444" s="17">
        <v>12</v>
      </c>
      <c r="T444" s="14" t="s">
        <v>256</v>
      </c>
      <c r="U444" s="14" t="s">
        <v>257</v>
      </c>
      <c r="V444" s="94" t="s">
        <v>113</v>
      </c>
      <c r="W444" s="18">
        <v>72979000</v>
      </c>
      <c r="X444" s="18">
        <v>72979000</v>
      </c>
      <c r="Y444" s="19" t="s">
        <v>339</v>
      </c>
      <c r="Z444" s="19" t="s">
        <v>258</v>
      </c>
      <c r="AA444" s="14" t="s">
        <v>1132</v>
      </c>
      <c r="AB444" s="14" t="s">
        <v>1133</v>
      </c>
      <c r="AC444" s="14">
        <v>6012220601</v>
      </c>
      <c r="AD444" s="14" t="s">
        <v>1134</v>
      </c>
      <c r="AE444" s="82">
        <v>0</v>
      </c>
      <c r="AF444" s="82">
        <v>0</v>
      </c>
      <c r="AG444" s="82">
        <v>71286733</v>
      </c>
      <c r="AH444" s="82">
        <v>0</v>
      </c>
      <c r="AI444" s="82">
        <v>0</v>
      </c>
      <c r="AJ444" s="82">
        <v>3173000</v>
      </c>
      <c r="AK444" s="82">
        <v>1692267</v>
      </c>
      <c r="AL444" s="82">
        <v>6346000</v>
      </c>
      <c r="AM444" s="82">
        <v>0</v>
      </c>
      <c r="AN444" s="82">
        <v>6346000</v>
      </c>
      <c r="AO444" s="82">
        <v>0</v>
      </c>
      <c r="AP444" s="82">
        <v>6346000</v>
      </c>
      <c r="AQ444" s="82">
        <v>0</v>
      </c>
      <c r="AR444" s="82">
        <v>6346000</v>
      </c>
      <c r="AS444" s="82">
        <v>0</v>
      </c>
      <c r="AT444" s="82">
        <v>6346000</v>
      </c>
      <c r="AU444" s="82">
        <v>0</v>
      </c>
      <c r="AV444" s="82">
        <v>6346000</v>
      </c>
      <c r="AW444" s="82">
        <v>0</v>
      </c>
      <c r="AX444" s="82">
        <v>6346000</v>
      </c>
      <c r="AY444" s="82">
        <v>0</v>
      </c>
      <c r="AZ444" s="82">
        <v>6346000</v>
      </c>
      <c r="BA444" s="82">
        <v>0</v>
      </c>
      <c r="BB444" s="82">
        <v>19038000</v>
      </c>
      <c r="BC444" s="82">
        <f t="shared" ref="BC444:BD444" si="878">AE444+AG444+AI444+AK444+AM444+AO444+AQ444+AS444+AU444+AW444+AY444+BA444</f>
        <v>72979000</v>
      </c>
      <c r="BD444" s="82">
        <f t="shared" si="878"/>
        <v>72979000</v>
      </c>
      <c r="BE444" s="83">
        <f t="shared" si="813"/>
        <v>0</v>
      </c>
      <c r="BF444" s="83">
        <f t="shared" si="814"/>
        <v>0</v>
      </c>
      <c r="BG444" s="14" t="str">
        <f ca="1">IFERROR(__xludf.DUMMYFUNCTION("REGEXEXTRACT(O438,""^\S+\s(.+)$"")"),"Prestar sus servicios profesionales para adelantar el análisis y procesamiento de la información técnica relacionada con el desarrollo y la ejecución de los proyectos de transmisión objeto de convocatoria pública en la etapa de ejecución.")</f>
        <v>Prestar sus servicios profesionales para adelantar el análisis y procesamiento de la información técnica relacionada con el desarrollo y la ejecución de los proyectos de transmisión objeto de convocatoria pública en la etapa de ejecución.</v>
      </c>
      <c r="BH444" s="23"/>
      <c r="BI444" s="23"/>
      <c r="BJ444" s="23">
        <v>71286733</v>
      </c>
      <c r="BK444" s="23"/>
      <c r="BL444" s="23"/>
      <c r="BM444" s="23">
        <v>3173000</v>
      </c>
      <c r="BN444" s="23">
        <v>1692267</v>
      </c>
      <c r="BO444" s="23">
        <v>6346000</v>
      </c>
      <c r="BP444" s="23"/>
      <c r="BQ444" s="23">
        <v>6346000</v>
      </c>
      <c r="BR444" s="23"/>
      <c r="BS444" s="23">
        <v>6346000</v>
      </c>
      <c r="BT444" s="23"/>
      <c r="BU444" s="23">
        <v>6346000</v>
      </c>
      <c r="BV444" s="23"/>
      <c r="BW444" s="23">
        <v>6346000</v>
      </c>
      <c r="BX444" s="23"/>
      <c r="BY444" s="23">
        <v>6346000</v>
      </c>
      <c r="BZ444" s="23"/>
      <c r="CA444" s="23">
        <v>6346000</v>
      </c>
      <c r="CB444" s="23"/>
      <c r="CC444" s="23">
        <v>6346000</v>
      </c>
      <c r="CD444" s="23"/>
      <c r="CE444" s="23">
        <v>19038000</v>
      </c>
      <c r="CF444" s="28"/>
      <c r="CG444" s="28"/>
      <c r="CH444" s="25">
        <f t="shared" ref="CH444:CI444" si="879">BH444+BJ444+BL444+BN444+BP444+BR444+BT444+BV444+BX444+BZ444+CB444+CD444+CF444</f>
        <v>72979000</v>
      </c>
      <c r="CI444" s="25">
        <f t="shared" si="879"/>
        <v>72979000</v>
      </c>
      <c r="CJ444" s="26">
        <f t="shared" si="816"/>
        <v>0</v>
      </c>
      <c r="CK444" s="26">
        <f t="shared" si="817"/>
        <v>0</v>
      </c>
    </row>
    <row r="445" spans="1:89" ht="90" customHeight="1" x14ac:dyDescent="0.3">
      <c r="A445" s="13" t="s">
        <v>248</v>
      </c>
      <c r="B445" s="14" t="s">
        <v>34</v>
      </c>
      <c r="C445" s="15" t="s">
        <v>1127</v>
      </c>
      <c r="D445" s="14" t="s">
        <v>61</v>
      </c>
      <c r="E445" s="13" t="s">
        <v>250</v>
      </c>
      <c r="F445" s="13" t="s">
        <v>250</v>
      </c>
      <c r="G445" s="14">
        <v>20</v>
      </c>
      <c r="H445" s="13" t="s">
        <v>1249</v>
      </c>
      <c r="I445" s="15" t="s">
        <v>1129</v>
      </c>
      <c r="J445" s="14" t="s">
        <v>9</v>
      </c>
      <c r="K445" s="15" t="s">
        <v>77</v>
      </c>
      <c r="L445" s="14">
        <v>80111620</v>
      </c>
      <c r="M445" s="14" t="s">
        <v>35</v>
      </c>
      <c r="N445" s="14" t="s">
        <v>253</v>
      </c>
      <c r="O445" s="15" t="s">
        <v>1250</v>
      </c>
      <c r="P445" s="14" t="s">
        <v>255</v>
      </c>
      <c r="Q445" s="14" t="s">
        <v>255</v>
      </c>
      <c r="R445" s="14" t="s">
        <v>255</v>
      </c>
      <c r="S445" s="17">
        <v>6</v>
      </c>
      <c r="T445" s="14" t="s">
        <v>256</v>
      </c>
      <c r="U445" s="14" t="s">
        <v>257</v>
      </c>
      <c r="V445" s="94" t="s">
        <v>112</v>
      </c>
      <c r="W445" s="18">
        <v>4400000</v>
      </c>
      <c r="X445" s="18">
        <v>4400000</v>
      </c>
      <c r="Y445" s="19" t="s">
        <v>339</v>
      </c>
      <c r="Z445" s="19" t="s">
        <v>258</v>
      </c>
      <c r="AA445" s="14" t="s">
        <v>1132</v>
      </c>
      <c r="AB445" s="14" t="s">
        <v>1133</v>
      </c>
      <c r="AC445" s="14">
        <v>6012220601</v>
      </c>
      <c r="AD445" s="14" t="s">
        <v>1134</v>
      </c>
      <c r="AE445" s="82">
        <v>36000000</v>
      </c>
      <c r="AF445" s="82">
        <v>0</v>
      </c>
      <c r="AG445" s="82">
        <v>0</v>
      </c>
      <c r="AH445" s="82">
        <v>6000000</v>
      </c>
      <c r="AI445" s="82">
        <v>0</v>
      </c>
      <c r="AJ445" s="82">
        <v>6000000</v>
      </c>
      <c r="AK445" s="82">
        <v>0</v>
      </c>
      <c r="AL445" s="82">
        <v>6000000</v>
      </c>
      <c r="AM445" s="82">
        <v>0</v>
      </c>
      <c r="AN445" s="82">
        <v>6000000</v>
      </c>
      <c r="AO445" s="82">
        <v>0</v>
      </c>
      <c r="AP445" s="82">
        <v>6000000</v>
      </c>
      <c r="AQ445" s="82">
        <v>0</v>
      </c>
      <c r="AR445" s="82">
        <v>6000000</v>
      </c>
      <c r="AS445" s="82">
        <v>0</v>
      </c>
      <c r="AT445" s="82">
        <v>0</v>
      </c>
      <c r="AU445" s="82">
        <v>0</v>
      </c>
      <c r="AV445" s="82">
        <v>0</v>
      </c>
      <c r="AW445" s="82">
        <v>0</v>
      </c>
      <c r="AX445" s="82">
        <v>0</v>
      </c>
      <c r="AY445" s="82">
        <v>0</v>
      </c>
      <c r="AZ445" s="82">
        <v>0</v>
      </c>
      <c r="BA445" s="82">
        <v>0</v>
      </c>
      <c r="BB445" s="82">
        <v>0</v>
      </c>
      <c r="BC445" s="82">
        <f t="shared" ref="BC445:BD445" si="880">AE445+AG445+AI445+AK445+AM445+AO445+AQ445+AS445+AU445+AW445+AY445+BA445</f>
        <v>36000000</v>
      </c>
      <c r="BD445" s="82">
        <f t="shared" si="880"/>
        <v>36000000</v>
      </c>
      <c r="BE445" s="83">
        <f t="shared" si="813"/>
        <v>-31600000</v>
      </c>
      <c r="BF445" s="83">
        <f t="shared" si="814"/>
        <v>-31600000</v>
      </c>
      <c r="BG445" s="14" t="str">
        <f ca="1">IFERROR(__xludf.DUMMYFUNCTION("REGEXEXTRACT(O439,""^\S+\s(.+)$"")"),"Prestar servicios profesionales para apoyar a la subdirección de energía eléctrica, dentro del marco regulatorio de la planeación del SIN, el seguimiento y control de la ejecución de la planeación estratégica, así como de las iniciativas de cooperación in"&amp;"ternacional mediante la atención y procesamiento de solicitudes de grupos y actores internos y externos")</f>
        <v>Prestar servicios profesionales para apoyar a la subdirección de energía eléctrica, dentro del marco regulatorio de la planeación del SIN, el seguimiento y control de la ejecución de la planeación estratégica, así como de las iniciativas de cooperación internacional mediante la atención y procesamiento de solicitudes de grupos y actores internos y externos</v>
      </c>
      <c r="BH445" s="23">
        <v>36000000</v>
      </c>
      <c r="BI445" s="23"/>
      <c r="BJ445" s="23"/>
      <c r="BK445" s="23"/>
      <c r="BL445" s="23"/>
      <c r="BM445" s="23"/>
      <c r="BN445" s="23">
        <v>-31600000</v>
      </c>
      <c r="BO445" s="23">
        <v>4400000</v>
      </c>
      <c r="BP445" s="23"/>
      <c r="BQ445" s="23"/>
      <c r="BR445" s="23"/>
      <c r="BS445" s="23"/>
      <c r="BT445" s="23"/>
      <c r="BU445" s="23"/>
      <c r="BV445" s="23"/>
      <c r="BW445" s="23"/>
      <c r="BX445" s="23"/>
      <c r="BY445" s="23"/>
      <c r="BZ445" s="23"/>
      <c r="CA445" s="23"/>
      <c r="CB445" s="23"/>
      <c r="CC445" s="23"/>
      <c r="CD445" s="23"/>
      <c r="CE445" s="23"/>
      <c r="CF445" s="28"/>
      <c r="CG445" s="28"/>
      <c r="CH445" s="25">
        <f t="shared" ref="CH445:CI445" si="881">BH445+BJ445+BL445+BN445+BP445+BR445+BT445+BV445+BX445+BZ445+CB445+CD445+CF445</f>
        <v>4400000</v>
      </c>
      <c r="CI445" s="25">
        <f t="shared" si="881"/>
        <v>4400000</v>
      </c>
      <c r="CJ445" s="26">
        <f t="shared" si="816"/>
        <v>0</v>
      </c>
      <c r="CK445" s="26">
        <f t="shared" si="817"/>
        <v>0</v>
      </c>
    </row>
    <row r="446" spans="1:89" ht="90" customHeight="1" x14ac:dyDescent="0.3">
      <c r="A446" s="13" t="s">
        <v>248</v>
      </c>
      <c r="B446" s="14" t="s">
        <v>34</v>
      </c>
      <c r="C446" s="15" t="s">
        <v>1127</v>
      </c>
      <c r="D446" s="14" t="s">
        <v>61</v>
      </c>
      <c r="E446" s="13" t="s">
        <v>250</v>
      </c>
      <c r="F446" s="13" t="s">
        <v>250</v>
      </c>
      <c r="G446" s="93" t="s">
        <v>1146</v>
      </c>
      <c r="H446" s="13" t="s">
        <v>1251</v>
      </c>
      <c r="I446" s="15" t="s">
        <v>1138</v>
      </c>
      <c r="J446" s="14" t="s">
        <v>18</v>
      </c>
      <c r="K446" s="15" t="s">
        <v>79</v>
      </c>
      <c r="L446" s="14">
        <v>80111620</v>
      </c>
      <c r="M446" s="14" t="s">
        <v>36</v>
      </c>
      <c r="N446" s="14" t="s">
        <v>253</v>
      </c>
      <c r="O446" s="15" t="s">
        <v>1252</v>
      </c>
      <c r="P446" s="14" t="s">
        <v>255</v>
      </c>
      <c r="Q446" s="14" t="s">
        <v>255</v>
      </c>
      <c r="R446" s="94" t="s">
        <v>549</v>
      </c>
      <c r="S446" s="17">
        <v>12</v>
      </c>
      <c r="T446" s="14" t="s">
        <v>256</v>
      </c>
      <c r="U446" s="14" t="s">
        <v>257</v>
      </c>
      <c r="V446" s="94" t="s">
        <v>113</v>
      </c>
      <c r="W446" s="18">
        <v>80500000</v>
      </c>
      <c r="X446" s="18">
        <v>80500000</v>
      </c>
      <c r="Y446" s="19" t="s">
        <v>339</v>
      </c>
      <c r="Z446" s="19" t="s">
        <v>258</v>
      </c>
      <c r="AA446" s="14" t="s">
        <v>1132</v>
      </c>
      <c r="AB446" s="14" t="s">
        <v>1133</v>
      </c>
      <c r="AC446" s="14">
        <v>6012220601</v>
      </c>
      <c r="AD446" s="14" t="s">
        <v>1134</v>
      </c>
      <c r="AE446" s="82">
        <v>0</v>
      </c>
      <c r="AF446" s="82">
        <v>0</v>
      </c>
      <c r="AG446" s="82">
        <v>29569050</v>
      </c>
      <c r="AH446" s="82">
        <v>0</v>
      </c>
      <c r="AI446" s="82">
        <v>0</v>
      </c>
      <c r="AJ446" s="82">
        <v>3500000</v>
      </c>
      <c r="AK446" s="82">
        <v>0</v>
      </c>
      <c r="AL446" s="82">
        <v>7000000</v>
      </c>
      <c r="AM446" s="82">
        <v>0</v>
      </c>
      <c r="AN446" s="82">
        <v>7000000</v>
      </c>
      <c r="AO446" s="82">
        <v>0</v>
      </c>
      <c r="AP446" s="82">
        <v>7000000</v>
      </c>
      <c r="AQ446" s="82">
        <v>0</v>
      </c>
      <c r="AR446" s="82">
        <v>7000000</v>
      </c>
      <c r="AS446" s="82">
        <v>0</v>
      </c>
      <c r="AT446" s="82">
        <v>7000000</v>
      </c>
      <c r="AU446" s="82">
        <v>0</v>
      </c>
      <c r="AV446" s="82">
        <v>7000000</v>
      </c>
      <c r="AW446" s="82">
        <v>0</v>
      </c>
      <c r="AX446" s="82">
        <v>7000000</v>
      </c>
      <c r="AY446" s="82">
        <v>50930950</v>
      </c>
      <c r="AZ446" s="82">
        <v>7000000</v>
      </c>
      <c r="BA446" s="82">
        <v>0</v>
      </c>
      <c r="BB446" s="82">
        <v>21000000</v>
      </c>
      <c r="BC446" s="82">
        <f t="shared" ref="BC446:BD446" si="882">AE446+AG446+AI446+AK446+AM446+AO446+AQ446+AS446+AU446+AW446+AY446+BA446</f>
        <v>80500000</v>
      </c>
      <c r="BD446" s="82">
        <f t="shared" si="882"/>
        <v>80500000</v>
      </c>
      <c r="BE446" s="83">
        <f t="shared" si="813"/>
        <v>0</v>
      </c>
      <c r="BF446" s="83">
        <f t="shared" si="814"/>
        <v>0</v>
      </c>
      <c r="BG446" s="14" t="str">
        <f ca="1">IFERROR(__xludf.DUMMYFUNCTION("REGEXEXTRACT(O440,""^\S+\s(.+)$"")"),"Prestar servicios profesionales para apoyar en el seguimiento a la ejecución de los proyectos del sistema de transmisión nacional y regional, ejecutados mediante convocatoria pública y ampliaciones. Apoyar en la estructuración de los DSI de los proyectos "&amp;"ejecutados mediante el mecanismo de convocatoria pública.")</f>
        <v>Prestar servicios profesionales para apoyar en el seguimiento a la ejecución de los proyectos del sistema de transmisión nacional y regional, ejecutados mediante convocatoria pública y ampliaciones. Apoyar en la estructuración de los DSI de los proyectos ejecutados mediante el mecanismo de convocatoria pública.</v>
      </c>
      <c r="BH446" s="23"/>
      <c r="BI446" s="23"/>
      <c r="BJ446" s="23">
        <v>29569050</v>
      </c>
      <c r="BK446" s="23"/>
      <c r="BL446" s="23"/>
      <c r="BM446" s="23">
        <v>3500000</v>
      </c>
      <c r="BN446" s="23"/>
      <c r="BO446" s="23">
        <v>7000000</v>
      </c>
      <c r="BP446" s="23"/>
      <c r="BQ446" s="23">
        <v>7000000</v>
      </c>
      <c r="BR446" s="23"/>
      <c r="BS446" s="23">
        <v>7000000</v>
      </c>
      <c r="BT446" s="23"/>
      <c r="BU446" s="23">
        <v>7000000</v>
      </c>
      <c r="BV446" s="23"/>
      <c r="BW446" s="23">
        <v>7000000</v>
      </c>
      <c r="BX446" s="23"/>
      <c r="BY446" s="23">
        <v>7000000</v>
      </c>
      <c r="BZ446" s="23"/>
      <c r="CA446" s="23">
        <v>7000000</v>
      </c>
      <c r="CB446" s="23">
        <v>50930950</v>
      </c>
      <c r="CC446" s="23">
        <v>7000000</v>
      </c>
      <c r="CD446" s="23"/>
      <c r="CE446" s="23">
        <v>21000000</v>
      </c>
      <c r="CF446" s="28"/>
      <c r="CG446" s="28"/>
      <c r="CH446" s="25">
        <f t="shared" ref="CH446:CI446" si="883">BH446+BJ446+BL446+BN446+BP446+BR446+BT446+BV446+BX446+BZ446+CB446+CD446+CF446</f>
        <v>80500000</v>
      </c>
      <c r="CI446" s="25">
        <f t="shared" si="883"/>
        <v>80500000</v>
      </c>
      <c r="CJ446" s="26">
        <f t="shared" si="816"/>
        <v>0</v>
      </c>
      <c r="CK446" s="26">
        <f t="shared" si="817"/>
        <v>0</v>
      </c>
    </row>
    <row r="447" spans="1:89" ht="90" customHeight="1" x14ac:dyDescent="0.3">
      <c r="A447" s="13" t="s">
        <v>248</v>
      </c>
      <c r="B447" s="14" t="s">
        <v>34</v>
      </c>
      <c r="C447" s="15" t="s">
        <v>1127</v>
      </c>
      <c r="D447" s="14" t="s">
        <v>61</v>
      </c>
      <c r="E447" s="13" t="s">
        <v>250</v>
      </c>
      <c r="F447" s="13" t="s">
        <v>250</v>
      </c>
      <c r="G447" s="14">
        <v>68</v>
      </c>
      <c r="H447" s="13" t="s">
        <v>1253</v>
      </c>
      <c r="I447" s="15" t="s">
        <v>1129</v>
      </c>
      <c r="J447" s="14" t="s">
        <v>9</v>
      </c>
      <c r="K447" s="15" t="s">
        <v>77</v>
      </c>
      <c r="L447" s="14">
        <v>80111620</v>
      </c>
      <c r="M447" s="14" t="s">
        <v>35</v>
      </c>
      <c r="N447" s="14" t="s">
        <v>253</v>
      </c>
      <c r="O447" s="15" t="s">
        <v>1254</v>
      </c>
      <c r="P447" s="14" t="s">
        <v>255</v>
      </c>
      <c r="Q447" s="14" t="s">
        <v>255</v>
      </c>
      <c r="R447" s="14" t="s">
        <v>255</v>
      </c>
      <c r="S447" s="17">
        <v>10</v>
      </c>
      <c r="T447" s="14" t="s">
        <v>256</v>
      </c>
      <c r="U447" s="14" t="s">
        <v>257</v>
      </c>
      <c r="V447" s="14" t="s">
        <v>112</v>
      </c>
      <c r="W447" s="18">
        <v>50000000</v>
      </c>
      <c r="X447" s="18">
        <v>50000000</v>
      </c>
      <c r="Y447" s="19" t="s">
        <v>339</v>
      </c>
      <c r="Z447" s="19" t="s">
        <v>258</v>
      </c>
      <c r="AA447" s="14" t="s">
        <v>1132</v>
      </c>
      <c r="AB447" s="14" t="s">
        <v>1133</v>
      </c>
      <c r="AC447" s="14">
        <v>6012220601</v>
      </c>
      <c r="AD447" s="14" t="s">
        <v>1134</v>
      </c>
      <c r="AE447" s="82">
        <v>50000000</v>
      </c>
      <c r="AF447" s="82">
        <v>0</v>
      </c>
      <c r="AG447" s="82">
        <v>0</v>
      </c>
      <c r="AH447" s="82">
        <v>0</v>
      </c>
      <c r="AI447" s="82">
        <v>0</v>
      </c>
      <c r="AJ447" s="82">
        <v>5000000</v>
      </c>
      <c r="AK447" s="82">
        <v>0</v>
      </c>
      <c r="AL447" s="82">
        <v>5000000</v>
      </c>
      <c r="AM447" s="82">
        <v>0</v>
      </c>
      <c r="AN447" s="82">
        <v>5000000</v>
      </c>
      <c r="AO447" s="82">
        <v>0</v>
      </c>
      <c r="AP447" s="82">
        <v>5000000</v>
      </c>
      <c r="AQ447" s="82">
        <v>0</v>
      </c>
      <c r="AR447" s="82">
        <v>5000000</v>
      </c>
      <c r="AS447" s="82">
        <v>0</v>
      </c>
      <c r="AT447" s="82">
        <v>5000000</v>
      </c>
      <c r="AU447" s="82">
        <v>0</v>
      </c>
      <c r="AV447" s="82">
        <v>5000000</v>
      </c>
      <c r="AW447" s="82">
        <v>0</v>
      </c>
      <c r="AX447" s="82">
        <v>5000000</v>
      </c>
      <c r="AY447" s="82">
        <v>0</v>
      </c>
      <c r="AZ447" s="82">
        <v>5000000</v>
      </c>
      <c r="BA447" s="82">
        <v>0</v>
      </c>
      <c r="BB447" s="82">
        <v>5000000</v>
      </c>
      <c r="BC447" s="82">
        <f t="shared" ref="BC447:BD447" si="884">AE447+AG447+AI447+AK447+AM447+AO447+AQ447+AS447+AU447+AW447+AY447+BA447</f>
        <v>50000000</v>
      </c>
      <c r="BD447" s="82">
        <f t="shared" si="884"/>
        <v>50000000</v>
      </c>
      <c r="BE447" s="83">
        <f t="shared" si="813"/>
        <v>0</v>
      </c>
      <c r="BF447" s="83">
        <f t="shared" si="814"/>
        <v>0</v>
      </c>
      <c r="BG447" s="14" t="str">
        <f ca="1">IFERROR(__xludf.DUMMYFUNCTION("REGEXEXTRACT(O441,""^\S+\s(.+)$"")"),"Prestar servicios profesionales para el apoyo en la estructuración de los DSI de los proyectos ejecutados mediante el mecanismo de convocatoria pública, así como el seguimiento al componente ambiental y social de los proyectos del sistema de transmisión n"&amp;"acional y regional que le sean asignados")</f>
        <v>Prestar servicios profesionales para el apoyo en la estructuración de los DSI de los proyectos ejecutados mediante el mecanismo de convocatoria pública, así como el seguimiento al componente ambiental y social de los proyectos del sistema de transmisión nacional y regional que le sean asignados</v>
      </c>
      <c r="BH447" s="23">
        <v>50000000</v>
      </c>
      <c r="BI447" s="23"/>
      <c r="BJ447" s="23"/>
      <c r="BK447" s="23"/>
      <c r="BL447" s="23"/>
      <c r="BM447" s="23">
        <v>5000000</v>
      </c>
      <c r="BN447" s="23"/>
      <c r="BO447" s="23">
        <v>5000000</v>
      </c>
      <c r="BP447" s="23"/>
      <c r="BQ447" s="23">
        <v>5000000</v>
      </c>
      <c r="BR447" s="23"/>
      <c r="BS447" s="23">
        <v>5000000</v>
      </c>
      <c r="BT447" s="23"/>
      <c r="BU447" s="23">
        <v>5000000</v>
      </c>
      <c r="BV447" s="23"/>
      <c r="BW447" s="23">
        <v>5000000</v>
      </c>
      <c r="BX447" s="23"/>
      <c r="BY447" s="23">
        <v>5000000</v>
      </c>
      <c r="BZ447" s="23"/>
      <c r="CA447" s="23">
        <v>5000000</v>
      </c>
      <c r="CB447" s="23"/>
      <c r="CC447" s="23">
        <v>5000000</v>
      </c>
      <c r="CD447" s="23"/>
      <c r="CE447" s="23">
        <v>5000000</v>
      </c>
      <c r="CF447" s="28"/>
      <c r="CG447" s="28"/>
      <c r="CH447" s="25">
        <f t="shared" ref="CH447:CI447" si="885">BH447+BJ447+BL447+BN447+BP447+BR447+BT447+BV447+BX447+BZ447+CB447+CD447+CF447</f>
        <v>50000000</v>
      </c>
      <c r="CI447" s="25">
        <f t="shared" si="885"/>
        <v>50000000</v>
      </c>
      <c r="CJ447" s="26">
        <f t="shared" si="816"/>
        <v>0</v>
      </c>
      <c r="CK447" s="26">
        <f t="shared" si="817"/>
        <v>0</v>
      </c>
    </row>
    <row r="448" spans="1:89" ht="90" customHeight="1" x14ac:dyDescent="0.3">
      <c r="A448" s="13" t="s">
        <v>248</v>
      </c>
      <c r="B448" s="14" t="s">
        <v>34</v>
      </c>
      <c r="C448" s="15" t="s">
        <v>1127</v>
      </c>
      <c r="D448" s="14" t="s">
        <v>61</v>
      </c>
      <c r="E448" s="13" t="s">
        <v>250</v>
      </c>
      <c r="F448" s="13" t="s">
        <v>250</v>
      </c>
      <c r="G448" s="93">
        <v>8</v>
      </c>
      <c r="H448" s="13" t="s">
        <v>1255</v>
      </c>
      <c r="I448" s="15" t="s">
        <v>1138</v>
      </c>
      <c r="J448" s="14" t="s">
        <v>18</v>
      </c>
      <c r="K448" s="15" t="s">
        <v>79</v>
      </c>
      <c r="L448" s="14">
        <v>80111620</v>
      </c>
      <c r="M448" s="14" t="s">
        <v>36</v>
      </c>
      <c r="N448" s="14" t="s">
        <v>253</v>
      </c>
      <c r="O448" s="15" t="s">
        <v>1256</v>
      </c>
      <c r="P448" s="14" t="s">
        <v>255</v>
      </c>
      <c r="Q448" s="14" t="s">
        <v>255</v>
      </c>
      <c r="R448" s="14" t="s">
        <v>255</v>
      </c>
      <c r="S448" s="17">
        <v>12</v>
      </c>
      <c r="T448" s="14" t="s">
        <v>256</v>
      </c>
      <c r="U448" s="14" t="s">
        <v>257</v>
      </c>
      <c r="V448" s="14" t="s">
        <v>112</v>
      </c>
      <c r="W448" s="18">
        <v>55065000</v>
      </c>
      <c r="X448" s="18">
        <v>55065000</v>
      </c>
      <c r="Y448" s="19" t="s">
        <v>1106</v>
      </c>
      <c r="Z448" s="19" t="s">
        <v>1131</v>
      </c>
      <c r="AA448" s="14" t="s">
        <v>1132</v>
      </c>
      <c r="AB448" s="14" t="s">
        <v>1133</v>
      </c>
      <c r="AC448" s="14">
        <v>6012220601</v>
      </c>
      <c r="AD448" s="14" t="s">
        <v>1134</v>
      </c>
      <c r="AE448" s="82">
        <v>55065000</v>
      </c>
      <c r="AF448" s="82">
        <v>0</v>
      </c>
      <c r="AG448" s="82">
        <v>0</v>
      </c>
      <c r="AH448" s="82">
        <v>7866500</v>
      </c>
      <c r="AI448" s="82">
        <v>0</v>
      </c>
      <c r="AJ448" s="82">
        <v>7866500</v>
      </c>
      <c r="AK448" s="82">
        <v>0</v>
      </c>
      <c r="AL448" s="82">
        <v>7866500</v>
      </c>
      <c r="AM448" s="82">
        <v>0</v>
      </c>
      <c r="AN448" s="82">
        <v>7866500</v>
      </c>
      <c r="AO448" s="82">
        <v>0</v>
      </c>
      <c r="AP448" s="82">
        <v>7866500</v>
      </c>
      <c r="AQ448" s="82">
        <v>0</v>
      </c>
      <c r="AR448" s="82">
        <v>7866500</v>
      </c>
      <c r="AS448" s="82">
        <v>0</v>
      </c>
      <c r="AT448" s="82">
        <v>7866000</v>
      </c>
      <c r="AU448" s="82">
        <v>0</v>
      </c>
      <c r="AV448" s="82">
        <v>0</v>
      </c>
      <c r="AW448" s="82">
        <v>0</v>
      </c>
      <c r="AX448" s="82">
        <v>0</v>
      </c>
      <c r="AY448" s="82">
        <v>0</v>
      </c>
      <c r="AZ448" s="82">
        <v>0</v>
      </c>
      <c r="BA448" s="82">
        <v>0</v>
      </c>
      <c r="BB448" s="82">
        <v>0</v>
      </c>
      <c r="BC448" s="82">
        <f t="shared" ref="BC448:BD448" si="886">AE448+AG448+AI448+AK448+AM448+AO448+AQ448+AS448+AU448+AW448+AY448+BA448</f>
        <v>55065000</v>
      </c>
      <c r="BD448" s="82">
        <f t="shared" si="886"/>
        <v>55065000</v>
      </c>
      <c r="BE448" s="83">
        <f t="shared" si="813"/>
        <v>0</v>
      </c>
      <c r="BF448" s="83">
        <f t="shared" si="814"/>
        <v>0</v>
      </c>
      <c r="BG448" s="14" t="str">
        <f ca="1">IFERROR(__xludf.DUMMYFUNCTION("REGEXEXTRACT(O442,""^\S+\s(.+)$"")"),"Prestar servicios profesionales para efectuar el seguimiento socioambiental de los proyectos definidos en el plan de expansión que son objeto de convocatoria pública, e identificar problemáticas y opciones de solución que alimenten las etapas previas de p"&amp;"laneación y estructuración.")</f>
        <v>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48" s="23">
        <v>55065000</v>
      </c>
      <c r="BI448" s="23"/>
      <c r="BJ448" s="23"/>
      <c r="BK448" s="23">
        <v>7866500</v>
      </c>
      <c r="BL448" s="23"/>
      <c r="BM448" s="23">
        <v>7866500</v>
      </c>
      <c r="BN448" s="23"/>
      <c r="BO448" s="23">
        <v>7866500</v>
      </c>
      <c r="BP448" s="23"/>
      <c r="BQ448" s="23">
        <v>7866500</v>
      </c>
      <c r="BR448" s="23">
        <v>0</v>
      </c>
      <c r="BS448" s="23">
        <v>7866500</v>
      </c>
      <c r="BT448" s="23">
        <v>0</v>
      </c>
      <c r="BU448" s="23">
        <v>7866500</v>
      </c>
      <c r="BV448" s="23">
        <v>0</v>
      </c>
      <c r="BW448" s="23">
        <v>7866000</v>
      </c>
      <c r="BX448" s="23">
        <v>0</v>
      </c>
      <c r="BY448" s="23">
        <v>0</v>
      </c>
      <c r="BZ448" s="23">
        <v>0</v>
      </c>
      <c r="CA448" s="23">
        <v>0</v>
      </c>
      <c r="CB448" s="23">
        <v>0</v>
      </c>
      <c r="CC448" s="23">
        <v>0</v>
      </c>
      <c r="CD448" s="23">
        <v>0</v>
      </c>
      <c r="CE448" s="23">
        <v>0</v>
      </c>
      <c r="CF448" s="28"/>
      <c r="CG448" s="28"/>
      <c r="CH448" s="25">
        <f t="shared" ref="CH448:CI448" si="887">BH448+BJ448+BL448+BN448+BP448+BR448+BT448+BV448+BX448+BZ448+CB448+CD448+CF448</f>
        <v>55065000</v>
      </c>
      <c r="CI448" s="25">
        <f t="shared" si="887"/>
        <v>55065000</v>
      </c>
      <c r="CJ448" s="26">
        <f t="shared" si="816"/>
        <v>0</v>
      </c>
      <c r="CK448" s="26">
        <f t="shared" si="817"/>
        <v>0</v>
      </c>
    </row>
    <row r="449" spans="1:89" ht="90" customHeight="1" x14ac:dyDescent="0.3">
      <c r="A449" s="13" t="s">
        <v>248</v>
      </c>
      <c r="B449" s="14" t="s">
        <v>34</v>
      </c>
      <c r="C449" s="15" t="s">
        <v>1127</v>
      </c>
      <c r="D449" s="14" t="s">
        <v>61</v>
      </c>
      <c r="E449" s="13" t="s">
        <v>250</v>
      </c>
      <c r="F449" s="13" t="s">
        <v>250</v>
      </c>
      <c r="G449" s="93">
        <v>8</v>
      </c>
      <c r="H449" s="13" t="s">
        <v>1257</v>
      </c>
      <c r="I449" s="15" t="s">
        <v>1138</v>
      </c>
      <c r="J449" s="14" t="s">
        <v>18</v>
      </c>
      <c r="K449" s="15" t="s">
        <v>79</v>
      </c>
      <c r="L449" s="14">
        <v>80111620</v>
      </c>
      <c r="M449" s="14" t="s">
        <v>36</v>
      </c>
      <c r="N449" s="14" t="s">
        <v>253</v>
      </c>
      <c r="O449" s="15" t="s">
        <v>1258</v>
      </c>
      <c r="P449" s="14" t="s">
        <v>255</v>
      </c>
      <c r="Q449" s="14" t="s">
        <v>255</v>
      </c>
      <c r="R449" s="14" t="s">
        <v>255</v>
      </c>
      <c r="S449" s="17">
        <v>12</v>
      </c>
      <c r="T449" s="14" t="s">
        <v>256</v>
      </c>
      <c r="U449" s="14" t="s">
        <v>257</v>
      </c>
      <c r="V449" s="14" t="s">
        <v>112</v>
      </c>
      <c r="W449" s="18">
        <v>55065500</v>
      </c>
      <c r="X449" s="18">
        <v>55065500</v>
      </c>
      <c r="Y449" s="19" t="s">
        <v>1106</v>
      </c>
      <c r="Z449" s="19" t="s">
        <v>1131</v>
      </c>
      <c r="AA449" s="14" t="s">
        <v>1132</v>
      </c>
      <c r="AB449" s="14" t="s">
        <v>1133</v>
      </c>
      <c r="AC449" s="14">
        <v>6012220601</v>
      </c>
      <c r="AD449" s="14" t="s">
        <v>1134</v>
      </c>
      <c r="AE449" s="82">
        <v>55065500</v>
      </c>
      <c r="AF449" s="82">
        <v>0</v>
      </c>
      <c r="AG449" s="82">
        <v>0</v>
      </c>
      <c r="AH449" s="82">
        <v>7866500</v>
      </c>
      <c r="AI449" s="82">
        <v>0</v>
      </c>
      <c r="AJ449" s="82">
        <v>7866500</v>
      </c>
      <c r="AK449" s="82">
        <v>0</v>
      </c>
      <c r="AL449" s="82">
        <v>7866500</v>
      </c>
      <c r="AM449" s="82">
        <v>0</v>
      </c>
      <c r="AN449" s="82">
        <v>7866500</v>
      </c>
      <c r="AO449" s="82">
        <v>0</v>
      </c>
      <c r="AP449" s="82">
        <v>7866500</v>
      </c>
      <c r="AQ449" s="82">
        <v>0</v>
      </c>
      <c r="AR449" s="82">
        <v>7866500</v>
      </c>
      <c r="AS449" s="82">
        <v>0</v>
      </c>
      <c r="AT449" s="82">
        <v>7866500</v>
      </c>
      <c r="AU449" s="82">
        <v>0</v>
      </c>
      <c r="AV449" s="82">
        <v>0</v>
      </c>
      <c r="AW449" s="82">
        <v>0</v>
      </c>
      <c r="AX449" s="82">
        <v>0</v>
      </c>
      <c r="AY449" s="82">
        <v>0</v>
      </c>
      <c r="AZ449" s="82">
        <v>0</v>
      </c>
      <c r="BA449" s="82">
        <v>0</v>
      </c>
      <c r="BB449" s="82">
        <v>0</v>
      </c>
      <c r="BC449" s="82">
        <f t="shared" ref="BC449:BD449" si="888">AE449+AG449+AI449+AK449+AM449+AO449+AQ449+AS449+AU449+AW449+AY449+BA449</f>
        <v>55065500</v>
      </c>
      <c r="BD449" s="82">
        <f t="shared" si="888"/>
        <v>55065500</v>
      </c>
      <c r="BE449" s="83">
        <f t="shared" si="813"/>
        <v>0</v>
      </c>
      <c r="BF449" s="83">
        <f t="shared" si="814"/>
        <v>0</v>
      </c>
      <c r="BG449" s="14" t="str">
        <f ca="1">IFERROR(__xludf.DUMMYFUNCTION("REGEXEXTRACT(O443,""^\S+\s(.+)$"")"),"Prestar servicios profesionales para adelantar el relacionamiento y articulación interinstitucional en fase de planeación y ejecución de los proyectos que se desarrollan mediante procesos de libre concurrencia, así como identificar las restricciones que s"&amp;"e presenten en el seguimiento de los proyectos de transmisión nacional y regional.")</f>
        <v>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v>
      </c>
      <c r="BH449" s="23">
        <v>55065500</v>
      </c>
      <c r="BI449" s="23"/>
      <c r="BJ449" s="23"/>
      <c r="BK449" s="23">
        <v>7866500</v>
      </c>
      <c r="BL449" s="23"/>
      <c r="BM449" s="23">
        <v>7866500</v>
      </c>
      <c r="BN449" s="23"/>
      <c r="BO449" s="23">
        <v>7866500</v>
      </c>
      <c r="BP449" s="23"/>
      <c r="BQ449" s="23">
        <v>7866500</v>
      </c>
      <c r="BR449" s="23">
        <v>0</v>
      </c>
      <c r="BS449" s="23">
        <v>7866500</v>
      </c>
      <c r="BT449" s="23">
        <v>0</v>
      </c>
      <c r="BU449" s="23">
        <v>7866500</v>
      </c>
      <c r="BV449" s="23">
        <v>0</v>
      </c>
      <c r="BW449" s="23">
        <v>7866500</v>
      </c>
      <c r="BX449" s="23">
        <v>0</v>
      </c>
      <c r="BY449" s="23">
        <v>0</v>
      </c>
      <c r="BZ449" s="23">
        <v>0</v>
      </c>
      <c r="CA449" s="23">
        <v>0</v>
      </c>
      <c r="CB449" s="23">
        <v>0</v>
      </c>
      <c r="CC449" s="23">
        <v>0</v>
      </c>
      <c r="CD449" s="23">
        <v>0</v>
      </c>
      <c r="CE449" s="23">
        <v>0</v>
      </c>
      <c r="CF449" s="28"/>
      <c r="CG449" s="28"/>
      <c r="CH449" s="25">
        <f t="shared" ref="CH449:CI449" si="889">BH449+BJ449+BL449+BN449+BP449+BR449+BT449+BV449+BX449+BZ449+CB449+CD449+CF449</f>
        <v>55065500</v>
      </c>
      <c r="CI449" s="25">
        <f t="shared" si="889"/>
        <v>55065500</v>
      </c>
      <c r="CJ449" s="26">
        <f t="shared" si="816"/>
        <v>0</v>
      </c>
      <c r="CK449" s="26">
        <f t="shared" si="817"/>
        <v>0</v>
      </c>
    </row>
    <row r="450" spans="1:89" ht="90" customHeight="1" x14ac:dyDescent="0.3">
      <c r="A450" s="13" t="s">
        <v>248</v>
      </c>
      <c r="B450" s="14" t="s">
        <v>34</v>
      </c>
      <c r="C450" s="15" t="s">
        <v>1127</v>
      </c>
      <c r="D450" s="14" t="s">
        <v>61</v>
      </c>
      <c r="E450" s="13" t="s">
        <v>250</v>
      </c>
      <c r="F450" s="13" t="s">
        <v>250</v>
      </c>
      <c r="G450" s="93">
        <v>8</v>
      </c>
      <c r="H450" s="13" t="s">
        <v>1259</v>
      </c>
      <c r="I450" s="15" t="s">
        <v>1138</v>
      </c>
      <c r="J450" s="14" t="s">
        <v>18</v>
      </c>
      <c r="K450" s="15" t="s">
        <v>79</v>
      </c>
      <c r="L450" s="14">
        <v>80111620</v>
      </c>
      <c r="M450" s="14" t="s">
        <v>36</v>
      </c>
      <c r="N450" s="14" t="s">
        <v>253</v>
      </c>
      <c r="O450" s="15" t="s">
        <v>1260</v>
      </c>
      <c r="P450" s="14" t="s">
        <v>255</v>
      </c>
      <c r="Q450" s="14" t="s">
        <v>255</v>
      </c>
      <c r="R450" s="14" t="s">
        <v>255</v>
      </c>
      <c r="S450" s="17">
        <v>12</v>
      </c>
      <c r="T450" s="14" t="s">
        <v>256</v>
      </c>
      <c r="U450" s="14" t="s">
        <v>257</v>
      </c>
      <c r="V450" s="14" t="s">
        <v>112</v>
      </c>
      <c r="W450" s="18">
        <v>55065500</v>
      </c>
      <c r="X450" s="18">
        <v>55065500</v>
      </c>
      <c r="Y450" s="19" t="s">
        <v>1106</v>
      </c>
      <c r="Z450" s="19" t="s">
        <v>1131</v>
      </c>
      <c r="AA450" s="14" t="s">
        <v>1132</v>
      </c>
      <c r="AB450" s="14" t="s">
        <v>1133</v>
      </c>
      <c r="AC450" s="14">
        <v>6012220601</v>
      </c>
      <c r="AD450" s="14" t="s">
        <v>1134</v>
      </c>
      <c r="AE450" s="82">
        <v>55065500</v>
      </c>
      <c r="AF450" s="82">
        <v>0</v>
      </c>
      <c r="AG450" s="82">
        <v>0</v>
      </c>
      <c r="AH450" s="82">
        <v>7866500</v>
      </c>
      <c r="AI450" s="82">
        <v>0</v>
      </c>
      <c r="AJ450" s="82">
        <v>7866500</v>
      </c>
      <c r="AK450" s="82">
        <v>0</v>
      </c>
      <c r="AL450" s="82">
        <v>7866500</v>
      </c>
      <c r="AM450" s="82">
        <v>0</v>
      </c>
      <c r="AN450" s="82">
        <v>7866500</v>
      </c>
      <c r="AO450" s="82">
        <v>0</v>
      </c>
      <c r="AP450" s="82">
        <v>7866500</v>
      </c>
      <c r="AQ450" s="82">
        <v>0</v>
      </c>
      <c r="AR450" s="82">
        <v>7866500</v>
      </c>
      <c r="AS450" s="82">
        <v>0</v>
      </c>
      <c r="AT450" s="82">
        <v>7866500</v>
      </c>
      <c r="AU450" s="82">
        <v>0</v>
      </c>
      <c r="AV450" s="82">
        <v>0</v>
      </c>
      <c r="AW450" s="82">
        <v>0</v>
      </c>
      <c r="AX450" s="82">
        <v>0</v>
      </c>
      <c r="AY450" s="82">
        <v>0</v>
      </c>
      <c r="AZ450" s="82">
        <v>0</v>
      </c>
      <c r="BA450" s="82">
        <v>0</v>
      </c>
      <c r="BB450" s="82">
        <v>0</v>
      </c>
      <c r="BC450" s="82">
        <f t="shared" ref="BC450:BD450" si="890">AE450+AG450+AI450+AK450+AM450+AO450+AQ450+AS450+AU450+AW450+AY450+BA450</f>
        <v>55065500</v>
      </c>
      <c r="BD450" s="82">
        <f t="shared" si="890"/>
        <v>55065500</v>
      </c>
      <c r="BE450" s="83">
        <f t="shared" si="813"/>
        <v>0</v>
      </c>
      <c r="BF450" s="83">
        <f t="shared" si="814"/>
        <v>0</v>
      </c>
      <c r="BG450" s="14" t="str">
        <f ca="1">IFERROR(__xludf.DUMMYFUNCTION("REGEXEXTRACT(O444,""^\S+\s(.+)$"")"),"Prestar servicios profesionales para apoyar el análisis y revisión de información socioambiental de los proyectos de transmisión nacional y regional en ejecución, así como los análisis de posibilidades y condicionantes en etapas de planeación, estructurac"&amp;"ión y ejecución.")</f>
        <v>Prestar servicios profesionales para apoyar el análisis y revisión de información socioambiental de los proyectos de transmisión nacional y regional en ejecución, así como los análisis de posibilidades y condicionantes en etapas de planeación, estructuración y ejecución.</v>
      </c>
      <c r="BH450" s="23">
        <v>55065500</v>
      </c>
      <c r="BI450" s="23"/>
      <c r="BJ450" s="23"/>
      <c r="BK450" s="23">
        <v>7866500</v>
      </c>
      <c r="BL450" s="23"/>
      <c r="BM450" s="23">
        <v>7866500</v>
      </c>
      <c r="BN450" s="23"/>
      <c r="BO450" s="23">
        <v>7866500</v>
      </c>
      <c r="BP450" s="23"/>
      <c r="BQ450" s="23">
        <v>7866500</v>
      </c>
      <c r="BR450" s="23">
        <v>0</v>
      </c>
      <c r="BS450" s="23">
        <v>7866500</v>
      </c>
      <c r="BT450" s="23">
        <v>0</v>
      </c>
      <c r="BU450" s="23">
        <v>7866500</v>
      </c>
      <c r="BV450" s="23">
        <v>0</v>
      </c>
      <c r="BW450" s="23">
        <v>7866500</v>
      </c>
      <c r="BX450" s="23">
        <v>0</v>
      </c>
      <c r="BY450" s="23">
        <v>0</v>
      </c>
      <c r="BZ450" s="23">
        <v>0</v>
      </c>
      <c r="CA450" s="23">
        <v>0</v>
      </c>
      <c r="CB450" s="23">
        <v>0</v>
      </c>
      <c r="CC450" s="23">
        <v>0</v>
      </c>
      <c r="CD450" s="23">
        <v>0</v>
      </c>
      <c r="CE450" s="23">
        <v>0</v>
      </c>
      <c r="CF450" s="28"/>
      <c r="CG450" s="28"/>
      <c r="CH450" s="25">
        <f t="shared" ref="CH450:CI450" si="891">BH450+BJ450+BL450+BN450+BP450+BR450+BT450+BV450+BX450+BZ450+CB450+CD450+CF450</f>
        <v>55065500</v>
      </c>
      <c r="CI450" s="25">
        <f t="shared" si="891"/>
        <v>55065500</v>
      </c>
      <c r="CJ450" s="26">
        <f t="shared" si="816"/>
        <v>0</v>
      </c>
      <c r="CK450" s="26">
        <f t="shared" si="817"/>
        <v>0</v>
      </c>
    </row>
    <row r="451" spans="1:89" ht="90" customHeight="1" x14ac:dyDescent="0.3">
      <c r="A451" s="13" t="s">
        <v>248</v>
      </c>
      <c r="B451" s="14" t="s">
        <v>34</v>
      </c>
      <c r="C451" s="15" t="s">
        <v>1127</v>
      </c>
      <c r="D451" s="14" t="s">
        <v>61</v>
      </c>
      <c r="E451" s="13" t="s">
        <v>250</v>
      </c>
      <c r="F451" s="13" t="s">
        <v>250</v>
      </c>
      <c r="G451" s="14">
        <v>68</v>
      </c>
      <c r="H451" s="13" t="s">
        <v>1261</v>
      </c>
      <c r="I451" s="15" t="s">
        <v>1138</v>
      </c>
      <c r="J451" s="14" t="s">
        <v>18</v>
      </c>
      <c r="K451" s="15" t="s">
        <v>79</v>
      </c>
      <c r="L451" s="14">
        <v>80111620</v>
      </c>
      <c r="M451" s="14" t="s">
        <v>36</v>
      </c>
      <c r="N451" s="14" t="s">
        <v>253</v>
      </c>
      <c r="O451" s="15" t="s">
        <v>1262</v>
      </c>
      <c r="P451" s="14" t="s">
        <v>255</v>
      </c>
      <c r="Q451" s="14" t="s">
        <v>255</v>
      </c>
      <c r="R451" s="14" t="s">
        <v>255</v>
      </c>
      <c r="S451" s="17">
        <v>12</v>
      </c>
      <c r="T451" s="14" t="s">
        <v>256</v>
      </c>
      <c r="U451" s="14" t="s">
        <v>257</v>
      </c>
      <c r="V451" s="94" t="s">
        <v>112</v>
      </c>
      <c r="W451" s="18">
        <v>66470000</v>
      </c>
      <c r="X451" s="18">
        <v>66470000</v>
      </c>
      <c r="Y451" s="19" t="s">
        <v>339</v>
      </c>
      <c r="Z451" s="19" t="s">
        <v>258</v>
      </c>
      <c r="AA451" s="14" t="s">
        <v>1132</v>
      </c>
      <c r="AB451" s="14" t="s">
        <v>1133</v>
      </c>
      <c r="AC451" s="14">
        <v>6012220601</v>
      </c>
      <c r="AD451" s="14" t="s">
        <v>1134</v>
      </c>
      <c r="AE451" s="82">
        <v>64928667</v>
      </c>
      <c r="AF451" s="82">
        <v>0</v>
      </c>
      <c r="AG451" s="82">
        <v>0</v>
      </c>
      <c r="AH451" s="82">
        <v>2890000</v>
      </c>
      <c r="AI451" s="82">
        <v>0</v>
      </c>
      <c r="AJ451" s="82">
        <v>5780000</v>
      </c>
      <c r="AK451" s="82">
        <v>1541333</v>
      </c>
      <c r="AL451" s="82">
        <v>5780000</v>
      </c>
      <c r="AM451" s="82">
        <v>0</v>
      </c>
      <c r="AN451" s="82">
        <v>5780000</v>
      </c>
      <c r="AO451" s="82">
        <v>0</v>
      </c>
      <c r="AP451" s="82">
        <v>5780000</v>
      </c>
      <c r="AQ451" s="82">
        <v>0</v>
      </c>
      <c r="AR451" s="82">
        <v>5780000</v>
      </c>
      <c r="AS451" s="82">
        <v>0</v>
      </c>
      <c r="AT451" s="82">
        <v>5780000</v>
      </c>
      <c r="AU451" s="82">
        <v>0</v>
      </c>
      <c r="AV451" s="82">
        <v>5780000</v>
      </c>
      <c r="AW451" s="82">
        <v>0</v>
      </c>
      <c r="AX451" s="82">
        <v>5780000</v>
      </c>
      <c r="AY451" s="82">
        <v>0</v>
      </c>
      <c r="AZ451" s="82">
        <v>5780000</v>
      </c>
      <c r="BA451" s="82">
        <v>0</v>
      </c>
      <c r="BB451" s="82">
        <v>11560000</v>
      </c>
      <c r="BC451" s="82">
        <f t="shared" ref="BC451:BD451" si="892">AE451+AG451+AI451+AK451+AM451+AO451+AQ451+AS451+AU451+AW451+AY451+BA451</f>
        <v>66470000</v>
      </c>
      <c r="BD451" s="82">
        <f t="shared" si="892"/>
        <v>66470000</v>
      </c>
      <c r="BE451" s="83">
        <f t="shared" si="813"/>
        <v>0</v>
      </c>
      <c r="BF451" s="83">
        <f t="shared" si="814"/>
        <v>0</v>
      </c>
      <c r="BG451" s="14" t="str">
        <f ca="1">IFERROR(__xludf.DUMMYFUNCTION("REGEXEXTRACT(O445,""^\S+\s(.+)$"")"),"Prestación de servicios profesionales para apoyar la elaboración de documentos y el procesamiento de información relacionados con las convocatorias públicas y de ampliación de proyectos de transmisión a nivel nacional y regional")</f>
        <v>Prestación de servicios profesionales para apoyar la elaboración de documentos y el procesamiento de información relacionados con las convocatorias públicas y de ampliación de proyectos de transmisión a nivel nacional y regional</v>
      </c>
      <c r="BH451" s="23">
        <v>64928667</v>
      </c>
      <c r="BI451" s="23"/>
      <c r="BJ451" s="23"/>
      <c r="BK451" s="23">
        <v>2890000</v>
      </c>
      <c r="BL451" s="23"/>
      <c r="BM451" s="23">
        <v>5780000</v>
      </c>
      <c r="BN451" s="23">
        <v>1541333</v>
      </c>
      <c r="BO451" s="23">
        <v>5780000</v>
      </c>
      <c r="BP451" s="23"/>
      <c r="BQ451" s="23">
        <v>5780000</v>
      </c>
      <c r="BR451" s="23"/>
      <c r="BS451" s="23">
        <v>5780000</v>
      </c>
      <c r="BT451" s="23"/>
      <c r="BU451" s="23">
        <v>5780000</v>
      </c>
      <c r="BV451" s="23"/>
      <c r="BW451" s="23">
        <v>5780000</v>
      </c>
      <c r="BX451" s="23"/>
      <c r="BY451" s="23">
        <v>5780000</v>
      </c>
      <c r="BZ451" s="23"/>
      <c r="CA451" s="23">
        <v>5780000</v>
      </c>
      <c r="CB451" s="23"/>
      <c r="CC451" s="23">
        <v>5780000</v>
      </c>
      <c r="CD451" s="23"/>
      <c r="CE451" s="23">
        <v>11560000</v>
      </c>
      <c r="CF451" s="28"/>
      <c r="CG451" s="28"/>
      <c r="CH451" s="25">
        <f t="shared" ref="CH451:CI451" si="893">BH451+BJ451+BL451+BN451+BP451+BR451+BT451+BV451+BX451+BZ451+CB451+CD451+CF451</f>
        <v>66470000</v>
      </c>
      <c r="CI451" s="25">
        <f t="shared" si="893"/>
        <v>66470000</v>
      </c>
      <c r="CJ451" s="26">
        <f t="shared" si="816"/>
        <v>0</v>
      </c>
      <c r="CK451" s="26">
        <f t="shared" si="817"/>
        <v>0</v>
      </c>
    </row>
    <row r="452" spans="1:89" ht="90" customHeight="1" x14ac:dyDescent="0.3">
      <c r="A452" s="13" t="s">
        <v>248</v>
      </c>
      <c r="B452" s="14" t="s">
        <v>34</v>
      </c>
      <c r="C452" s="15" t="s">
        <v>1127</v>
      </c>
      <c r="D452" s="14" t="s">
        <v>61</v>
      </c>
      <c r="E452" s="13" t="s">
        <v>250</v>
      </c>
      <c r="F452" s="13" t="s">
        <v>250</v>
      </c>
      <c r="G452" s="93">
        <v>8</v>
      </c>
      <c r="H452" s="13" t="s">
        <v>1263</v>
      </c>
      <c r="I452" s="15" t="s">
        <v>1138</v>
      </c>
      <c r="J452" s="14" t="s">
        <v>18</v>
      </c>
      <c r="K452" s="15" t="s">
        <v>79</v>
      </c>
      <c r="L452" s="14">
        <v>80111620</v>
      </c>
      <c r="M452" s="14" t="s">
        <v>36</v>
      </c>
      <c r="N452" s="14" t="s">
        <v>253</v>
      </c>
      <c r="O452" s="15" t="s">
        <v>1264</v>
      </c>
      <c r="P452" s="14" t="s">
        <v>255</v>
      </c>
      <c r="Q452" s="14" t="s">
        <v>255</v>
      </c>
      <c r="R452" s="14" t="s">
        <v>255</v>
      </c>
      <c r="S452" s="17">
        <v>12</v>
      </c>
      <c r="T452" s="14" t="s">
        <v>256</v>
      </c>
      <c r="U452" s="14" t="s">
        <v>257</v>
      </c>
      <c r="V452" s="14" t="s">
        <v>112</v>
      </c>
      <c r="W452" s="18">
        <v>51076200</v>
      </c>
      <c r="X452" s="18">
        <v>51076200</v>
      </c>
      <c r="Y452" s="19" t="s">
        <v>1106</v>
      </c>
      <c r="Z452" s="19" t="s">
        <v>1131</v>
      </c>
      <c r="AA452" s="14" t="s">
        <v>1132</v>
      </c>
      <c r="AB452" s="14" t="s">
        <v>1133</v>
      </c>
      <c r="AC452" s="14">
        <v>6012220601</v>
      </c>
      <c r="AD452" s="14" t="s">
        <v>1134</v>
      </c>
      <c r="AE452" s="82">
        <v>51076200</v>
      </c>
      <c r="AF452" s="82">
        <v>0</v>
      </c>
      <c r="AG452" s="82">
        <v>0</v>
      </c>
      <c r="AH452" s="82">
        <v>7296600</v>
      </c>
      <c r="AI452" s="82">
        <v>0</v>
      </c>
      <c r="AJ452" s="82">
        <v>7296600</v>
      </c>
      <c r="AK452" s="82">
        <v>0</v>
      </c>
      <c r="AL452" s="82">
        <v>7296600</v>
      </c>
      <c r="AM452" s="82">
        <v>0</v>
      </c>
      <c r="AN452" s="82">
        <v>7296600</v>
      </c>
      <c r="AO452" s="82">
        <v>0</v>
      </c>
      <c r="AP452" s="82">
        <v>7296600</v>
      </c>
      <c r="AQ452" s="82">
        <v>0</v>
      </c>
      <c r="AR452" s="82">
        <v>7296600</v>
      </c>
      <c r="AS452" s="82">
        <v>0</v>
      </c>
      <c r="AT452" s="82">
        <v>7296600</v>
      </c>
      <c r="AU452" s="82">
        <v>0</v>
      </c>
      <c r="AV452" s="82">
        <v>0</v>
      </c>
      <c r="AW452" s="82">
        <v>0</v>
      </c>
      <c r="AX452" s="82">
        <v>0</v>
      </c>
      <c r="AY452" s="82">
        <v>0</v>
      </c>
      <c r="AZ452" s="82">
        <v>0</v>
      </c>
      <c r="BA452" s="82">
        <v>0</v>
      </c>
      <c r="BB452" s="82">
        <v>0</v>
      </c>
      <c r="BC452" s="82">
        <f t="shared" ref="BC452:BD452" si="894">AE452+AG452+AI452+AK452+AM452+AO452+AQ452+AS452+AU452+AW452+AY452+BA452</f>
        <v>51076200</v>
      </c>
      <c r="BD452" s="82">
        <f t="shared" si="894"/>
        <v>51076200</v>
      </c>
      <c r="BE452" s="83">
        <f t="shared" si="813"/>
        <v>0</v>
      </c>
      <c r="BF452" s="83">
        <f t="shared" si="814"/>
        <v>0</v>
      </c>
      <c r="BG452" s="14" t="str">
        <f ca="1">IFERROR(__xludf.DUMMYFUNCTION("REGEXEXTRACT(O446,""^\S+\s(.+)$"")"),"Prestar servicios profesionales para procesar y gestionar el sistema de información geográfico de la infraestructura de transmisión nacional y regional y los proyectos en ejecución y apoyar la gestión cartográfica de los análisis de posibilidades y condic"&amp;"ionantes y actualización de la base de datos de sistema socioambiental de la UPME.")</f>
        <v>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v>
      </c>
      <c r="BH452" s="23">
        <v>51076200</v>
      </c>
      <c r="BI452" s="23"/>
      <c r="BJ452" s="23">
        <v>0</v>
      </c>
      <c r="BK452" s="23">
        <v>7296600</v>
      </c>
      <c r="BL452" s="23">
        <v>0</v>
      </c>
      <c r="BM452" s="23">
        <v>7296600</v>
      </c>
      <c r="BN452" s="23">
        <v>0</v>
      </c>
      <c r="BO452" s="23">
        <v>7296600</v>
      </c>
      <c r="BP452" s="23">
        <v>0</v>
      </c>
      <c r="BQ452" s="23">
        <v>7296600</v>
      </c>
      <c r="BR452" s="23">
        <v>0</v>
      </c>
      <c r="BS452" s="23">
        <v>7296600</v>
      </c>
      <c r="BT452" s="23">
        <v>0</v>
      </c>
      <c r="BU452" s="23">
        <v>7296600</v>
      </c>
      <c r="BV452" s="23">
        <v>0</v>
      </c>
      <c r="BW452" s="23">
        <v>7296600</v>
      </c>
      <c r="BX452" s="23">
        <v>0</v>
      </c>
      <c r="BY452" s="23">
        <v>0</v>
      </c>
      <c r="BZ452" s="23">
        <v>0</v>
      </c>
      <c r="CA452" s="23">
        <v>0</v>
      </c>
      <c r="CB452" s="23">
        <v>0</v>
      </c>
      <c r="CC452" s="23">
        <v>0</v>
      </c>
      <c r="CD452" s="23">
        <v>0</v>
      </c>
      <c r="CE452" s="23">
        <v>0</v>
      </c>
      <c r="CF452" s="28"/>
      <c r="CG452" s="28"/>
      <c r="CH452" s="25">
        <f t="shared" ref="CH452:CI452" si="895">BH452+BJ452+BL452+BN452+BP452+BR452+BT452+BV452+BX452+BZ452+CB452+CD452+CF452</f>
        <v>51076200</v>
      </c>
      <c r="CI452" s="25">
        <f t="shared" si="895"/>
        <v>51076200</v>
      </c>
      <c r="CJ452" s="26">
        <f t="shared" si="816"/>
        <v>0</v>
      </c>
      <c r="CK452" s="26">
        <f t="shared" si="817"/>
        <v>0</v>
      </c>
    </row>
    <row r="453" spans="1:89" ht="90" customHeight="1" x14ac:dyDescent="0.3">
      <c r="A453" s="13" t="s">
        <v>248</v>
      </c>
      <c r="B453" s="14" t="s">
        <v>34</v>
      </c>
      <c r="C453" s="15" t="s">
        <v>1127</v>
      </c>
      <c r="D453" s="14" t="s">
        <v>61</v>
      </c>
      <c r="E453" s="13" t="s">
        <v>250</v>
      </c>
      <c r="F453" s="13" t="s">
        <v>250</v>
      </c>
      <c r="G453" s="14">
        <v>21</v>
      </c>
      <c r="H453" s="13" t="s">
        <v>1265</v>
      </c>
      <c r="I453" s="15" t="s">
        <v>1129</v>
      </c>
      <c r="J453" s="14" t="s">
        <v>9</v>
      </c>
      <c r="K453" s="15" t="s">
        <v>77</v>
      </c>
      <c r="L453" s="14">
        <v>80111620</v>
      </c>
      <c r="M453" s="14" t="s">
        <v>35</v>
      </c>
      <c r="N453" s="14" t="s">
        <v>253</v>
      </c>
      <c r="O453" s="15" t="s">
        <v>1266</v>
      </c>
      <c r="P453" s="14" t="s">
        <v>255</v>
      </c>
      <c r="Q453" s="14" t="s">
        <v>255</v>
      </c>
      <c r="R453" s="94" t="s">
        <v>549</v>
      </c>
      <c r="S453" s="17">
        <v>12</v>
      </c>
      <c r="T453" s="14" t="s">
        <v>256</v>
      </c>
      <c r="U453" s="14" t="s">
        <v>257</v>
      </c>
      <c r="V453" s="14" t="s">
        <v>112</v>
      </c>
      <c r="W453" s="18">
        <v>67839200</v>
      </c>
      <c r="X453" s="18">
        <v>67839200</v>
      </c>
      <c r="Y453" s="19" t="s">
        <v>339</v>
      </c>
      <c r="Z453" s="19" t="s">
        <v>258</v>
      </c>
      <c r="AA453" s="14" t="s">
        <v>1132</v>
      </c>
      <c r="AB453" s="14" t="s">
        <v>1133</v>
      </c>
      <c r="AC453" s="14">
        <v>6012220601</v>
      </c>
      <c r="AD453" s="14" t="s">
        <v>1134</v>
      </c>
      <c r="AE453" s="82">
        <v>0</v>
      </c>
      <c r="AF453" s="82">
        <v>0</v>
      </c>
      <c r="AG453" s="82">
        <v>69278213</v>
      </c>
      <c r="AH453" s="82">
        <v>0</v>
      </c>
      <c r="AI453" s="82">
        <v>0</v>
      </c>
      <c r="AJ453" s="82">
        <v>3083600</v>
      </c>
      <c r="AK453" s="82">
        <v>1644587</v>
      </c>
      <c r="AL453" s="82">
        <v>6167200</v>
      </c>
      <c r="AM453" s="82">
        <v>0</v>
      </c>
      <c r="AN453" s="82">
        <v>6167200</v>
      </c>
      <c r="AO453" s="82">
        <v>0</v>
      </c>
      <c r="AP453" s="82">
        <v>6167200</v>
      </c>
      <c r="AQ453" s="82">
        <v>0</v>
      </c>
      <c r="AR453" s="82">
        <v>6167200</v>
      </c>
      <c r="AS453" s="82">
        <v>0</v>
      </c>
      <c r="AT453" s="82">
        <v>6167200</v>
      </c>
      <c r="AU453" s="82">
        <v>0</v>
      </c>
      <c r="AV453" s="82">
        <v>6167200</v>
      </c>
      <c r="AW453" s="82">
        <v>0</v>
      </c>
      <c r="AX453" s="82">
        <v>6167200</v>
      </c>
      <c r="AY453" s="82">
        <v>0</v>
      </c>
      <c r="AZ453" s="82">
        <v>6167200</v>
      </c>
      <c r="BA453" s="82">
        <v>0</v>
      </c>
      <c r="BB453" s="82">
        <v>18501600</v>
      </c>
      <c r="BC453" s="82">
        <f t="shared" ref="BC453:BD453" si="896">AE453+AG453+AI453+AK453+AM453+AO453+AQ453+AS453+AU453+AW453+AY453+BA453</f>
        <v>70922800</v>
      </c>
      <c r="BD453" s="82">
        <f t="shared" si="896"/>
        <v>70922800</v>
      </c>
      <c r="BE453" s="83">
        <f t="shared" si="813"/>
        <v>-3083600</v>
      </c>
      <c r="BF453" s="83">
        <f t="shared" si="814"/>
        <v>-3083600</v>
      </c>
      <c r="BG453" s="14" t="str">
        <f ca="1">IFERROR(__xludf.DUMMYFUNCTION("REGEXEXTRACT(O447,""^\S+\s(.+)$"")"),"Prestación de servicios profesionales para el procesamiento de los datos derivados de los procesos internos en la subdirección de energía eléctrica, así como el mantenimiento y gestión de las herramientas para las estadísticas e indicadores de seguimiento"&amp;".")</f>
        <v>Prestación de servicios profesionales para el procesamiento de los datos derivados de los procesos internos en la subdirección de energía eléctrica, así como el mantenimiento y gestión de las herramientas para las estadísticas e indicadores de seguimiento.</v>
      </c>
      <c r="BH453" s="23"/>
      <c r="BI453" s="23"/>
      <c r="BJ453" s="23">
        <v>67839200</v>
      </c>
      <c r="BK453" s="23"/>
      <c r="BL453" s="23"/>
      <c r="BM453" s="23">
        <v>4111467</v>
      </c>
      <c r="BN453" s="23"/>
      <c r="BO453" s="23">
        <v>6167200</v>
      </c>
      <c r="BP453" s="23"/>
      <c r="BQ453" s="23">
        <v>6167200</v>
      </c>
      <c r="BR453" s="23"/>
      <c r="BS453" s="23">
        <v>6167200</v>
      </c>
      <c r="BT453" s="23"/>
      <c r="BU453" s="23">
        <v>6167200</v>
      </c>
      <c r="BV453" s="23"/>
      <c r="BW453" s="23">
        <v>6167200</v>
      </c>
      <c r="BX453" s="23"/>
      <c r="BY453" s="23">
        <v>6167200</v>
      </c>
      <c r="BZ453" s="23"/>
      <c r="CA453" s="23">
        <v>6167200</v>
      </c>
      <c r="CB453" s="23"/>
      <c r="CC453" s="23">
        <v>6167200</v>
      </c>
      <c r="CD453" s="23"/>
      <c r="CE453" s="23">
        <v>14390133</v>
      </c>
      <c r="CF453" s="28"/>
      <c r="CG453" s="28"/>
      <c r="CH453" s="25">
        <f t="shared" ref="CH453:CI453" si="897">BH453+BJ453+BL453+BN453+BP453+BR453+BT453+BV453+BX453+BZ453+CB453+CD453+CF453</f>
        <v>67839200</v>
      </c>
      <c r="CI453" s="25">
        <f t="shared" si="897"/>
        <v>67839200</v>
      </c>
      <c r="CJ453" s="26">
        <f t="shared" si="816"/>
        <v>0</v>
      </c>
      <c r="CK453" s="26">
        <f t="shared" si="817"/>
        <v>0</v>
      </c>
    </row>
    <row r="454" spans="1:89" ht="90" customHeight="1" x14ac:dyDescent="0.3">
      <c r="A454" s="13" t="s">
        <v>248</v>
      </c>
      <c r="B454" s="14" t="s">
        <v>34</v>
      </c>
      <c r="C454" s="15" t="s">
        <v>1127</v>
      </c>
      <c r="D454" s="14" t="s">
        <v>61</v>
      </c>
      <c r="E454" s="13" t="s">
        <v>250</v>
      </c>
      <c r="F454" s="13" t="s">
        <v>250</v>
      </c>
      <c r="G454" s="14">
        <v>68</v>
      </c>
      <c r="H454" s="13" t="s">
        <v>1267</v>
      </c>
      <c r="I454" s="15" t="s">
        <v>1129</v>
      </c>
      <c r="J454" s="14" t="s">
        <v>9</v>
      </c>
      <c r="K454" s="15" t="s">
        <v>77</v>
      </c>
      <c r="L454" s="14">
        <v>80111620</v>
      </c>
      <c r="M454" s="14" t="s">
        <v>35</v>
      </c>
      <c r="N454" s="14" t="s">
        <v>253</v>
      </c>
      <c r="O454" s="15" t="s">
        <v>1268</v>
      </c>
      <c r="P454" s="14" t="s">
        <v>255</v>
      </c>
      <c r="Q454" s="14" t="s">
        <v>255</v>
      </c>
      <c r="R454" s="14" t="s">
        <v>255</v>
      </c>
      <c r="S454" s="17">
        <v>10</v>
      </c>
      <c r="T454" s="14" t="s">
        <v>256</v>
      </c>
      <c r="U454" s="14" t="s">
        <v>257</v>
      </c>
      <c r="V454" s="14" t="s">
        <v>112</v>
      </c>
      <c r="W454" s="18">
        <v>87000000</v>
      </c>
      <c r="X454" s="18">
        <v>87000000</v>
      </c>
      <c r="Y454" s="19" t="s">
        <v>339</v>
      </c>
      <c r="Z454" s="19" t="s">
        <v>258</v>
      </c>
      <c r="AA454" s="14" t="s">
        <v>1132</v>
      </c>
      <c r="AB454" s="14" t="s">
        <v>1133</v>
      </c>
      <c r="AC454" s="14">
        <v>6012220601</v>
      </c>
      <c r="AD454" s="14" t="s">
        <v>1134</v>
      </c>
      <c r="AE454" s="82">
        <v>87000000</v>
      </c>
      <c r="AF454" s="82">
        <v>0</v>
      </c>
      <c r="AG454" s="82">
        <v>0</v>
      </c>
      <c r="AH454" s="82">
        <v>0</v>
      </c>
      <c r="AI454" s="82">
        <v>0</v>
      </c>
      <c r="AJ454" s="82">
        <v>8700000</v>
      </c>
      <c r="AK454" s="82">
        <v>0</v>
      </c>
      <c r="AL454" s="82">
        <v>8700000</v>
      </c>
      <c r="AM454" s="82">
        <v>0</v>
      </c>
      <c r="AN454" s="82">
        <v>8700000</v>
      </c>
      <c r="AO454" s="82">
        <v>0</v>
      </c>
      <c r="AP454" s="82">
        <v>8700000</v>
      </c>
      <c r="AQ454" s="82">
        <v>0</v>
      </c>
      <c r="AR454" s="82">
        <v>8700000</v>
      </c>
      <c r="AS454" s="82">
        <v>0</v>
      </c>
      <c r="AT454" s="82">
        <v>8700000</v>
      </c>
      <c r="AU454" s="82">
        <v>0</v>
      </c>
      <c r="AV454" s="82">
        <v>8700000</v>
      </c>
      <c r="AW454" s="82">
        <v>0</v>
      </c>
      <c r="AX454" s="82">
        <v>8700000</v>
      </c>
      <c r="AY454" s="82">
        <v>0</v>
      </c>
      <c r="AZ454" s="82">
        <v>8700000</v>
      </c>
      <c r="BA454" s="82">
        <v>0</v>
      </c>
      <c r="BB454" s="82">
        <v>8700000</v>
      </c>
      <c r="BC454" s="82">
        <f t="shared" ref="BC454:BD454" si="898">AE454+AG454+AI454+AK454+AM454+AO454+AQ454+AS454+AU454+AW454+AY454+BA454</f>
        <v>87000000</v>
      </c>
      <c r="BD454" s="82">
        <f t="shared" si="898"/>
        <v>87000000</v>
      </c>
      <c r="BE454" s="83">
        <f t="shared" si="813"/>
        <v>0</v>
      </c>
      <c r="BF454" s="83">
        <f t="shared" si="814"/>
        <v>0</v>
      </c>
      <c r="BG454" s="14" t="str">
        <f ca="1">IFERROR(__xludf.DUMMYFUNCTION("REGEXEXTRACT(O448,""^\S+\s(.+)$"")"),"Prestar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54" s="23">
        <v>87000000</v>
      </c>
      <c r="BI454" s="23"/>
      <c r="BJ454" s="23"/>
      <c r="BK454" s="23"/>
      <c r="BL454" s="23"/>
      <c r="BM454" s="23">
        <v>8700000</v>
      </c>
      <c r="BN454" s="23"/>
      <c r="BO454" s="23">
        <v>8700000</v>
      </c>
      <c r="BP454" s="23"/>
      <c r="BQ454" s="23">
        <v>8700000</v>
      </c>
      <c r="BR454" s="23"/>
      <c r="BS454" s="23">
        <v>8700000</v>
      </c>
      <c r="BT454" s="23"/>
      <c r="BU454" s="23">
        <v>8700000</v>
      </c>
      <c r="BV454" s="23"/>
      <c r="BW454" s="23">
        <v>8700000</v>
      </c>
      <c r="BX454" s="23"/>
      <c r="BY454" s="23">
        <v>8700000</v>
      </c>
      <c r="BZ454" s="23"/>
      <c r="CA454" s="23">
        <v>8700000</v>
      </c>
      <c r="CB454" s="23"/>
      <c r="CC454" s="23">
        <v>8700000</v>
      </c>
      <c r="CD454" s="23"/>
      <c r="CE454" s="23">
        <v>8700000</v>
      </c>
      <c r="CF454" s="28"/>
      <c r="CG454" s="28"/>
      <c r="CH454" s="25">
        <f t="shared" ref="CH454:CI454" si="899">BH454+BJ454+BL454+BN454+BP454+BR454+BT454+BV454+BX454+BZ454+CB454+CD454+CF454</f>
        <v>87000000</v>
      </c>
      <c r="CI454" s="25">
        <f t="shared" si="899"/>
        <v>87000000</v>
      </c>
      <c r="CJ454" s="26">
        <f t="shared" si="816"/>
        <v>0</v>
      </c>
      <c r="CK454" s="26">
        <f t="shared" si="817"/>
        <v>0</v>
      </c>
    </row>
    <row r="455" spans="1:89" ht="90" customHeight="1" x14ac:dyDescent="0.3">
      <c r="A455" s="13" t="s">
        <v>248</v>
      </c>
      <c r="B455" s="14" t="s">
        <v>34</v>
      </c>
      <c r="C455" s="15" t="s">
        <v>1127</v>
      </c>
      <c r="D455" s="14" t="s">
        <v>61</v>
      </c>
      <c r="E455" s="13" t="s">
        <v>250</v>
      </c>
      <c r="F455" s="13" t="s">
        <v>250</v>
      </c>
      <c r="G455" s="93" t="s">
        <v>1146</v>
      </c>
      <c r="H455" s="13" t="s">
        <v>1269</v>
      </c>
      <c r="I455" s="15" t="s">
        <v>1129</v>
      </c>
      <c r="J455" s="14" t="s">
        <v>9</v>
      </c>
      <c r="K455" s="15" t="s">
        <v>77</v>
      </c>
      <c r="L455" s="14">
        <v>80111620</v>
      </c>
      <c r="M455" s="14" t="s">
        <v>35</v>
      </c>
      <c r="N455" s="14" t="s">
        <v>253</v>
      </c>
      <c r="O455" s="15" t="s">
        <v>1270</v>
      </c>
      <c r="P455" s="14" t="s">
        <v>255</v>
      </c>
      <c r="Q455" s="14" t="s">
        <v>255</v>
      </c>
      <c r="R455" s="14" t="s">
        <v>255</v>
      </c>
      <c r="S455" s="17">
        <v>12</v>
      </c>
      <c r="T455" s="14" t="s">
        <v>256</v>
      </c>
      <c r="U455" s="14" t="s">
        <v>257</v>
      </c>
      <c r="V455" s="14" t="s">
        <v>112</v>
      </c>
      <c r="W455" s="18">
        <v>102000000</v>
      </c>
      <c r="X455" s="18">
        <v>102000000</v>
      </c>
      <c r="Y455" s="19" t="s">
        <v>1106</v>
      </c>
      <c r="Z455" s="19" t="s">
        <v>1131</v>
      </c>
      <c r="AA455" s="14" t="s">
        <v>1132</v>
      </c>
      <c r="AB455" s="14" t="s">
        <v>1133</v>
      </c>
      <c r="AC455" s="14">
        <v>6012220601</v>
      </c>
      <c r="AD455" s="14" t="s">
        <v>1134</v>
      </c>
      <c r="AE455" s="82">
        <v>59500000</v>
      </c>
      <c r="AF455" s="82">
        <v>0</v>
      </c>
      <c r="AG455" s="82">
        <v>0</v>
      </c>
      <c r="AH455" s="82">
        <v>8500000</v>
      </c>
      <c r="AI455" s="82">
        <v>0</v>
      </c>
      <c r="AJ455" s="82">
        <v>8500000</v>
      </c>
      <c r="AK455" s="82">
        <v>0</v>
      </c>
      <c r="AL455" s="82">
        <v>8500000</v>
      </c>
      <c r="AM455" s="82">
        <v>0</v>
      </c>
      <c r="AN455" s="82">
        <v>8500000</v>
      </c>
      <c r="AO455" s="82">
        <v>0</v>
      </c>
      <c r="AP455" s="82">
        <v>8500000</v>
      </c>
      <c r="AQ455" s="82">
        <v>0</v>
      </c>
      <c r="AR455" s="82">
        <v>8500000</v>
      </c>
      <c r="AS455" s="82">
        <v>42500000</v>
      </c>
      <c r="AT455" s="82">
        <v>8500000</v>
      </c>
      <c r="AU455" s="82">
        <v>0</v>
      </c>
      <c r="AV455" s="82">
        <v>8500000</v>
      </c>
      <c r="AW455" s="82">
        <v>0</v>
      </c>
      <c r="AX455" s="82">
        <v>8500000</v>
      </c>
      <c r="AY455" s="82">
        <v>0</v>
      </c>
      <c r="AZ455" s="82">
        <v>8500000</v>
      </c>
      <c r="BA455" s="82">
        <v>0</v>
      </c>
      <c r="BB455" s="82">
        <v>17000000</v>
      </c>
      <c r="BC455" s="82">
        <f t="shared" ref="BC455:BD455" si="900">AE455+AG455+AI455+AK455+AM455+AO455+AQ455+AS455+AU455+AW455+AY455+BA455</f>
        <v>102000000</v>
      </c>
      <c r="BD455" s="82">
        <f t="shared" si="900"/>
        <v>102000000</v>
      </c>
      <c r="BE455" s="83">
        <f t="shared" si="813"/>
        <v>0</v>
      </c>
      <c r="BF455" s="83">
        <f t="shared" si="814"/>
        <v>0</v>
      </c>
      <c r="BG455" s="14" t="str">
        <f ca="1">IFERROR(__xludf.DUMMYFUNCTION("REGEXEXTRACT(O449,""^\S+\s(.+)$"")"),"Prestar servicios profesionales para apoyar el modelamiento y la simulación de escenarios requeridos, para la elaboración del Plan Indicativo de Expansión de la Generación, así como apoyar el seguimiento de proyectos y la elaboración de documentos en el m"&amp;"arco de las actividades del grupo de generación de la Subdirección de Energía Eléctrica.")</f>
        <v>Prestar servicios profesionales para apoyar el modelamiento y la simulación de escenarios requeridos, para la elaboración del Plan Indicativo de Expansión de la Generación, así como apoyar el seguimiento de proyectos y la elaboración de documentos en el marco de las actividades del grupo de generación de la Subdirección de Energía Eléctrica.</v>
      </c>
      <c r="BH455" s="23">
        <v>59500000</v>
      </c>
      <c r="BI455" s="23"/>
      <c r="BJ455" s="23"/>
      <c r="BK455" s="23">
        <v>8500000</v>
      </c>
      <c r="BL455" s="23"/>
      <c r="BM455" s="23">
        <v>8500000</v>
      </c>
      <c r="BN455" s="23"/>
      <c r="BO455" s="23">
        <v>8500000</v>
      </c>
      <c r="BP455" s="23"/>
      <c r="BQ455" s="23">
        <v>8500000</v>
      </c>
      <c r="BR455" s="23"/>
      <c r="BS455" s="23">
        <v>8500000</v>
      </c>
      <c r="BT455" s="23"/>
      <c r="BU455" s="23">
        <v>8500000</v>
      </c>
      <c r="BV455" s="23">
        <v>42500000</v>
      </c>
      <c r="BW455" s="23">
        <v>8500000</v>
      </c>
      <c r="BX455" s="23"/>
      <c r="BY455" s="23">
        <v>8500000</v>
      </c>
      <c r="BZ455" s="23"/>
      <c r="CA455" s="23">
        <v>8500000</v>
      </c>
      <c r="CB455" s="23"/>
      <c r="CC455" s="23">
        <v>8500000</v>
      </c>
      <c r="CD455" s="23"/>
      <c r="CE455" s="23">
        <v>17000000</v>
      </c>
      <c r="CF455" s="28"/>
      <c r="CG455" s="28"/>
      <c r="CH455" s="25">
        <f t="shared" ref="CH455:CI455" si="901">BH455+BJ455+BL455+BN455+BP455+BR455+BT455+BV455+BX455+BZ455+CB455+CD455+CF455</f>
        <v>102000000</v>
      </c>
      <c r="CI455" s="25">
        <f t="shared" si="901"/>
        <v>102000000</v>
      </c>
      <c r="CJ455" s="26">
        <f t="shared" si="816"/>
        <v>0</v>
      </c>
      <c r="CK455" s="26">
        <f t="shared" si="817"/>
        <v>0</v>
      </c>
    </row>
    <row r="456" spans="1:89" ht="90" customHeight="1" x14ac:dyDescent="0.3">
      <c r="A456" s="13" t="s">
        <v>248</v>
      </c>
      <c r="B456" s="14" t="s">
        <v>34</v>
      </c>
      <c r="C456" s="15" t="s">
        <v>1127</v>
      </c>
      <c r="D456" s="14" t="s">
        <v>61</v>
      </c>
      <c r="E456" s="13" t="s">
        <v>250</v>
      </c>
      <c r="F456" s="13" t="s">
        <v>250</v>
      </c>
      <c r="G456" s="14">
        <v>20</v>
      </c>
      <c r="H456" s="13" t="s">
        <v>1271</v>
      </c>
      <c r="I456" s="15" t="s">
        <v>1129</v>
      </c>
      <c r="J456" s="14" t="s">
        <v>9</v>
      </c>
      <c r="K456" s="15" t="s">
        <v>77</v>
      </c>
      <c r="L456" s="14">
        <v>80111620</v>
      </c>
      <c r="M456" s="14" t="s">
        <v>35</v>
      </c>
      <c r="N456" s="14" t="s">
        <v>253</v>
      </c>
      <c r="O456" s="15" t="s">
        <v>1272</v>
      </c>
      <c r="P456" s="14" t="s">
        <v>255</v>
      </c>
      <c r="Q456" s="14" t="s">
        <v>255</v>
      </c>
      <c r="R456" s="94" t="s">
        <v>549</v>
      </c>
      <c r="S456" s="17">
        <v>12</v>
      </c>
      <c r="T456" s="14" t="s">
        <v>256</v>
      </c>
      <c r="U456" s="14" t="s">
        <v>257</v>
      </c>
      <c r="V456" s="14" t="s">
        <v>112</v>
      </c>
      <c r="W456" s="18">
        <v>95972800</v>
      </c>
      <c r="X456" s="18">
        <v>95972800</v>
      </c>
      <c r="Y456" s="19" t="s">
        <v>339</v>
      </c>
      <c r="Z456" s="19" t="s">
        <v>258</v>
      </c>
      <c r="AA456" s="14" t="s">
        <v>1132</v>
      </c>
      <c r="AB456" s="14" t="s">
        <v>1133</v>
      </c>
      <c r="AC456" s="14">
        <v>6012220601</v>
      </c>
      <c r="AD456" s="14" t="s">
        <v>1134</v>
      </c>
      <c r="AE456" s="82">
        <v>0</v>
      </c>
      <c r="AF456" s="82">
        <v>0</v>
      </c>
      <c r="AG456" s="82">
        <v>114103000</v>
      </c>
      <c r="AH456" s="82">
        <v>0</v>
      </c>
      <c r="AI456" s="82">
        <v>0</v>
      </c>
      <c r="AJ456" s="82">
        <v>4961000</v>
      </c>
      <c r="AK456" s="82">
        <v>0</v>
      </c>
      <c r="AL456" s="82">
        <v>9922000</v>
      </c>
      <c r="AM456" s="82">
        <v>0</v>
      </c>
      <c r="AN456" s="82">
        <v>9922000</v>
      </c>
      <c r="AO456" s="82">
        <v>0</v>
      </c>
      <c r="AP456" s="82">
        <v>9922000</v>
      </c>
      <c r="AQ456" s="82">
        <v>0</v>
      </c>
      <c r="AR456" s="82">
        <v>9922000</v>
      </c>
      <c r="AS456" s="82">
        <v>0</v>
      </c>
      <c r="AT456" s="82">
        <v>9922000</v>
      </c>
      <c r="AU456" s="82">
        <v>0</v>
      </c>
      <c r="AV456" s="82">
        <v>9922000</v>
      </c>
      <c r="AW456" s="82">
        <v>0</v>
      </c>
      <c r="AX456" s="82">
        <v>9922000</v>
      </c>
      <c r="AY456" s="82">
        <v>0</v>
      </c>
      <c r="AZ456" s="82">
        <v>9922000</v>
      </c>
      <c r="BA456" s="82">
        <v>0</v>
      </c>
      <c r="BB456" s="82">
        <v>29766000</v>
      </c>
      <c r="BC456" s="82">
        <f t="shared" ref="BC456:BD456" si="902">AE456+AG456+AI456+AK456+AM456+AO456+AQ456+AS456+AU456+AW456+AY456+BA456</f>
        <v>114103000</v>
      </c>
      <c r="BD456" s="82">
        <f t="shared" si="902"/>
        <v>114103000</v>
      </c>
      <c r="BE456" s="83">
        <f t="shared" si="813"/>
        <v>-18130200</v>
      </c>
      <c r="BF456" s="83">
        <f t="shared" si="814"/>
        <v>-18130200</v>
      </c>
      <c r="BG456" s="14" t="str">
        <f ca="1">IFERROR(__xludf.DUMMYFUNCTION("REGEXEXTRACT(O450,""^\S+\s(.+)$"")"),"Prestar los servicios profesionales para apoyar el Plan Indicativo de Expansión de Generación, así como apoyar el seguimiento y proyectos que se lleven en el marco de las actividades del grupo de generación de la Subdirección de Energía Eléctrica.")</f>
        <v>Prestar los servicios profesionales para apoyar el Plan Indicativo de Expansión de Generación, así como apoyar el seguimiento y proyectos que se lleven en el marco de las actividades del grupo de generación de la Subdirección de Energía Eléctrica.</v>
      </c>
      <c r="BH456" s="23">
        <v>95972800</v>
      </c>
      <c r="BI456" s="23"/>
      <c r="BJ456" s="23"/>
      <c r="BK456" s="23"/>
      <c r="BL456" s="23"/>
      <c r="BM456" s="23">
        <v>5998300</v>
      </c>
      <c r="BN456" s="23"/>
      <c r="BO456" s="23">
        <v>8997450</v>
      </c>
      <c r="BP456" s="23"/>
      <c r="BQ456" s="23">
        <v>8997450</v>
      </c>
      <c r="BR456" s="23"/>
      <c r="BS456" s="23">
        <v>8997450</v>
      </c>
      <c r="BT456" s="23"/>
      <c r="BU456" s="23">
        <v>8997450</v>
      </c>
      <c r="BV456" s="23"/>
      <c r="BW456" s="23">
        <v>8997450</v>
      </c>
      <c r="BX456" s="23"/>
      <c r="BY456" s="23">
        <v>8997450</v>
      </c>
      <c r="BZ456" s="23"/>
      <c r="CA456" s="23">
        <v>8997450</v>
      </c>
      <c r="CB456" s="23"/>
      <c r="CC456" s="23">
        <v>8997450</v>
      </c>
      <c r="CD456" s="23"/>
      <c r="CE456" s="23">
        <v>17994900</v>
      </c>
      <c r="CF456" s="28"/>
      <c r="CG456" s="28"/>
      <c r="CH456" s="25">
        <f t="shared" ref="CH456:CI456" si="903">BH456+BJ456+BL456+BN456+BP456+BR456+BT456+BV456+BX456+BZ456+CB456+CD456+CF456</f>
        <v>95972800</v>
      </c>
      <c r="CI456" s="25">
        <f t="shared" si="903"/>
        <v>95972800</v>
      </c>
      <c r="CJ456" s="26">
        <f t="shared" si="816"/>
        <v>0</v>
      </c>
      <c r="CK456" s="26">
        <f t="shared" si="817"/>
        <v>0</v>
      </c>
    </row>
    <row r="457" spans="1:89" ht="90" customHeight="1" x14ac:dyDescent="0.3">
      <c r="A457" s="13" t="s">
        <v>248</v>
      </c>
      <c r="B457" s="14" t="s">
        <v>34</v>
      </c>
      <c r="C457" s="15" t="s">
        <v>1127</v>
      </c>
      <c r="D457" s="14" t="s">
        <v>61</v>
      </c>
      <c r="E457" s="13" t="s">
        <v>250</v>
      </c>
      <c r="F457" s="13" t="s">
        <v>250</v>
      </c>
      <c r="G457" s="14">
        <v>68</v>
      </c>
      <c r="H457" s="13" t="s">
        <v>1273</v>
      </c>
      <c r="I457" s="15" t="s">
        <v>1129</v>
      </c>
      <c r="J457" s="14" t="s">
        <v>9</v>
      </c>
      <c r="K457" s="15" t="s">
        <v>77</v>
      </c>
      <c r="L457" s="14">
        <v>80111620</v>
      </c>
      <c r="M457" s="14" t="s">
        <v>35</v>
      </c>
      <c r="N457" s="14" t="s">
        <v>253</v>
      </c>
      <c r="O457" s="15" t="s">
        <v>1274</v>
      </c>
      <c r="P457" s="14" t="s">
        <v>255</v>
      </c>
      <c r="Q457" s="14" t="s">
        <v>255</v>
      </c>
      <c r="R457" s="94" t="s">
        <v>549</v>
      </c>
      <c r="S457" s="17">
        <v>12</v>
      </c>
      <c r="T457" s="14" t="s">
        <v>256</v>
      </c>
      <c r="U457" s="14" t="s">
        <v>257</v>
      </c>
      <c r="V457" s="14" t="s">
        <v>112</v>
      </c>
      <c r="W457" s="18">
        <v>42550000</v>
      </c>
      <c r="X457" s="18">
        <v>42550000</v>
      </c>
      <c r="Y457" s="19" t="s">
        <v>339</v>
      </c>
      <c r="Z457" s="19" t="s">
        <v>258</v>
      </c>
      <c r="AA457" s="14" t="s">
        <v>1132</v>
      </c>
      <c r="AB457" s="14" t="s">
        <v>1133</v>
      </c>
      <c r="AC457" s="14">
        <v>6012220601</v>
      </c>
      <c r="AD457" s="14" t="s">
        <v>1134</v>
      </c>
      <c r="AE457" s="82">
        <v>0</v>
      </c>
      <c r="AF457" s="82">
        <v>0</v>
      </c>
      <c r="AG457" s="82">
        <v>41563333</v>
      </c>
      <c r="AH457" s="82">
        <v>0</v>
      </c>
      <c r="AI457" s="82">
        <v>0</v>
      </c>
      <c r="AJ457" s="82">
        <v>1850000</v>
      </c>
      <c r="AK457" s="82">
        <v>0</v>
      </c>
      <c r="AL457" s="82">
        <v>3700000</v>
      </c>
      <c r="AM457" s="82">
        <v>0</v>
      </c>
      <c r="AN457" s="82">
        <v>3700000</v>
      </c>
      <c r="AO457" s="82">
        <v>0</v>
      </c>
      <c r="AP457" s="82">
        <v>3700000</v>
      </c>
      <c r="AQ457" s="82">
        <v>0</v>
      </c>
      <c r="AR457" s="82">
        <v>3700000</v>
      </c>
      <c r="AS457" s="82">
        <v>0</v>
      </c>
      <c r="AT457" s="82">
        <v>3700000</v>
      </c>
      <c r="AU457" s="82">
        <v>0</v>
      </c>
      <c r="AV457" s="82">
        <v>3700000</v>
      </c>
      <c r="AW457" s="82">
        <v>0</v>
      </c>
      <c r="AX457" s="82">
        <v>3700000</v>
      </c>
      <c r="AY457" s="82">
        <v>986667</v>
      </c>
      <c r="AZ457" s="82">
        <v>3700000</v>
      </c>
      <c r="BA457" s="82">
        <v>0</v>
      </c>
      <c r="BB457" s="82">
        <v>11100000</v>
      </c>
      <c r="BC457" s="82">
        <f t="shared" ref="BC457:BD457" si="904">AE457+AG457+AI457+AK457+AM457+AO457+AQ457+AS457+AU457+AW457+AY457+BA457</f>
        <v>42550000</v>
      </c>
      <c r="BD457" s="82">
        <f t="shared" si="904"/>
        <v>42550000</v>
      </c>
      <c r="BE457" s="83">
        <f t="shared" si="813"/>
        <v>0</v>
      </c>
      <c r="BF457" s="83">
        <f t="shared" si="814"/>
        <v>0</v>
      </c>
      <c r="BG457" s="14" t="str">
        <f ca="1">IFERROR(__xludf.DUMMYFUNCTION("REGEXEXTRACT(O451,""^\S+\s(.+)$"")"),"Prestar los servicios profesionales  para analizar, procesar y presentar resultados estableciendo estándares, políticas y procesos que determinen el uso, desarrollo y gestión de los datos que se generen en el marco de los análisis que realice la Subdirecc"&amp;"ión de Energía Eléctrica.")</f>
        <v>Prestar los servicios profesionales  para analizar, procesar y presentar resultados estableciendo estándares, políticas y procesos que determinen el uso, desarrollo y gestión de los datos que se generen en el marco de los análisis que realice la Subdirección de Energía Eléctrica.</v>
      </c>
      <c r="BH457" s="23"/>
      <c r="BI457" s="23"/>
      <c r="BJ457" s="23">
        <v>41563333</v>
      </c>
      <c r="BK457" s="23"/>
      <c r="BL457" s="23"/>
      <c r="BM457" s="23">
        <v>1850000</v>
      </c>
      <c r="BN457" s="23"/>
      <c r="BO457" s="23">
        <v>3700000</v>
      </c>
      <c r="BP457" s="23"/>
      <c r="BQ457" s="23">
        <v>3700000</v>
      </c>
      <c r="BR457" s="23"/>
      <c r="BS457" s="23">
        <v>3700000</v>
      </c>
      <c r="BT457" s="23"/>
      <c r="BU457" s="23">
        <v>3700000</v>
      </c>
      <c r="BV457" s="23"/>
      <c r="BW457" s="23">
        <v>3700000</v>
      </c>
      <c r="BX457" s="23"/>
      <c r="BY457" s="23">
        <v>3700000</v>
      </c>
      <c r="BZ457" s="23"/>
      <c r="CA457" s="23">
        <v>3700000</v>
      </c>
      <c r="CB457" s="23">
        <v>986667</v>
      </c>
      <c r="CC457" s="23">
        <v>3700000</v>
      </c>
      <c r="CD457" s="23"/>
      <c r="CE457" s="23">
        <v>11100000</v>
      </c>
      <c r="CF457" s="28"/>
      <c r="CG457" s="28"/>
      <c r="CH457" s="25">
        <f t="shared" ref="CH457:CI457" si="905">BH457+BJ457+BL457+BN457+BP457+BR457+BT457+BV457+BX457+BZ457+CB457+CD457+CF457</f>
        <v>42550000</v>
      </c>
      <c r="CI457" s="25">
        <f t="shared" si="905"/>
        <v>42550000</v>
      </c>
      <c r="CJ457" s="26">
        <f t="shared" si="816"/>
        <v>0</v>
      </c>
      <c r="CK457" s="26">
        <f t="shared" si="817"/>
        <v>0</v>
      </c>
    </row>
    <row r="458" spans="1:89" ht="90" customHeight="1" x14ac:dyDescent="0.3">
      <c r="A458" s="13" t="s">
        <v>248</v>
      </c>
      <c r="B458" s="14" t="s">
        <v>34</v>
      </c>
      <c r="C458" s="15" t="s">
        <v>1127</v>
      </c>
      <c r="D458" s="14" t="s">
        <v>61</v>
      </c>
      <c r="E458" s="13" t="s">
        <v>250</v>
      </c>
      <c r="F458" s="13" t="s">
        <v>250</v>
      </c>
      <c r="G458" s="14">
        <v>68</v>
      </c>
      <c r="H458" s="13" t="s">
        <v>1275</v>
      </c>
      <c r="I458" s="15" t="s">
        <v>1129</v>
      </c>
      <c r="J458" s="14" t="s">
        <v>9</v>
      </c>
      <c r="K458" s="15" t="s">
        <v>77</v>
      </c>
      <c r="L458" s="14">
        <v>80111620</v>
      </c>
      <c r="M458" s="14" t="s">
        <v>35</v>
      </c>
      <c r="N458" s="14" t="s">
        <v>253</v>
      </c>
      <c r="O458" s="15" t="s">
        <v>1276</v>
      </c>
      <c r="P458" s="14" t="s">
        <v>255</v>
      </c>
      <c r="Q458" s="14" t="s">
        <v>255</v>
      </c>
      <c r="R458" s="14" t="s">
        <v>255</v>
      </c>
      <c r="S458" s="17">
        <v>12</v>
      </c>
      <c r="T458" s="14" t="s">
        <v>256</v>
      </c>
      <c r="U458" s="14" t="s">
        <v>257</v>
      </c>
      <c r="V458" s="14" t="s">
        <v>112</v>
      </c>
      <c r="W458" s="18">
        <v>71300000</v>
      </c>
      <c r="X458" s="18">
        <v>71300000</v>
      </c>
      <c r="Y458" s="19" t="s">
        <v>339</v>
      </c>
      <c r="Z458" s="19" t="s">
        <v>258</v>
      </c>
      <c r="AA458" s="14" t="s">
        <v>1132</v>
      </c>
      <c r="AB458" s="14" t="s">
        <v>1133</v>
      </c>
      <c r="AC458" s="14">
        <v>6012220601</v>
      </c>
      <c r="AD458" s="14" t="s">
        <v>1134</v>
      </c>
      <c r="AE458" s="82">
        <v>69646667</v>
      </c>
      <c r="AF458" s="82">
        <v>0</v>
      </c>
      <c r="AG458" s="82">
        <v>0</v>
      </c>
      <c r="AH458" s="82">
        <v>3100000</v>
      </c>
      <c r="AI458" s="82">
        <v>0</v>
      </c>
      <c r="AJ458" s="82">
        <v>6200000</v>
      </c>
      <c r="AK458" s="82">
        <v>1653333</v>
      </c>
      <c r="AL458" s="82">
        <v>6200000</v>
      </c>
      <c r="AM458" s="82">
        <v>0</v>
      </c>
      <c r="AN458" s="82">
        <v>6200000</v>
      </c>
      <c r="AO458" s="82">
        <v>0</v>
      </c>
      <c r="AP458" s="82">
        <v>6200000</v>
      </c>
      <c r="AQ458" s="82">
        <v>0</v>
      </c>
      <c r="AR458" s="82">
        <v>6200000</v>
      </c>
      <c r="AS458" s="82">
        <v>0</v>
      </c>
      <c r="AT458" s="82">
        <v>6200000</v>
      </c>
      <c r="AU458" s="82">
        <v>0</v>
      </c>
      <c r="AV458" s="82">
        <v>6200000</v>
      </c>
      <c r="AW458" s="82">
        <v>0</v>
      </c>
      <c r="AX458" s="82">
        <v>6200000</v>
      </c>
      <c r="AY458" s="82">
        <v>0</v>
      </c>
      <c r="AZ458" s="82">
        <v>6200000</v>
      </c>
      <c r="BA458" s="82">
        <v>0</v>
      </c>
      <c r="BB458" s="82">
        <v>12400000</v>
      </c>
      <c r="BC458" s="82">
        <f t="shared" ref="BC458:BD458" si="906">AE458+AG458+AI458+AK458+AM458+AO458+AQ458+AS458+AU458+AW458+AY458+BA458</f>
        <v>71300000</v>
      </c>
      <c r="BD458" s="82">
        <f t="shared" si="906"/>
        <v>71300000</v>
      </c>
      <c r="BE458" s="83">
        <f t="shared" si="813"/>
        <v>0</v>
      </c>
      <c r="BF458" s="83">
        <f t="shared" si="814"/>
        <v>0</v>
      </c>
      <c r="BG458" s="14" t="str">
        <f ca="1">IFERROR(__xludf.DUMMYFUNCTION("REGEXEXTRACT(O452,""^\S+\s(.+)$"")"),"Prestar los servicios profesionales para apoyar la actualización de las herramientas ofimáticas del grupo de generación y cobertura, así como participar de los análisis para el plan de generación y las evaluaciones de los registros de proyectos de generac"&amp;"ión.")</f>
        <v>Prestar los servicios profesionales para apoyar la actualización de las herramientas ofimáticas del grupo de generación y cobertura, así como participar de los análisis para el plan de generación y las evaluaciones de los registros de proyectos de generación.</v>
      </c>
      <c r="BH458" s="23">
        <v>69646667</v>
      </c>
      <c r="BI458" s="23"/>
      <c r="BJ458" s="23"/>
      <c r="BK458" s="23">
        <v>3100000</v>
      </c>
      <c r="BL458" s="23"/>
      <c r="BM458" s="23">
        <v>6200000</v>
      </c>
      <c r="BN458" s="23">
        <v>1653333</v>
      </c>
      <c r="BO458" s="23">
        <v>6200000</v>
      </c>
      <c r="BP458" s="23"/>
      <c r="BQ458" s="23">
        <v>6200000</v>
      </c>
      <c r="BR458" s="23"/>
      <c r="BS458" s="23">
        <v>6200000</v>
      </c>
      <c r="BT458" s="23"/>
      <c r="BU458" s="23">
        <v>6200000</v>
      </c>
      <c r="BV458" s="23"/>
      <c r="BW458" s="23">
        <v>6200000</v>
      </c>
      <c r="BX458" s="23"/>
      <c r="BY458" s="23">
        <v>6200000</v>
      </c>
      <c r="BZ458" s="23"/>
      <c r="CA458" s="23">
        <v>6200000</v>
      </c>
      <c r="CB458" s="23"/>
      <c r="CC458" s="23">
        <v>6200000</v>
      </c>
      <c r="CD458" s="23"/>
      <c r="CE458" s="23">
        <v>12400000</v>
      </c>
      <c r="CF458" s="28"/>
      <c r="CG458" s="28"/>
      <c r="CH458" s="25">
        <f t="shared" ref="CH458:CI458" si="907">BH458+BJ458+BL458+BN458+BP458+BR458+BT458+BV458+BX458+BZ458+CB458+CD458+CF458</f>
        <v>71300000</v>
      </c>
      <c r="CI458" s="25">
        <f t="shared" si="907"/>
        <v>71300000</v>
      </c>
      <c r="CJ458" s="26">
        <f t="shared" si="816"/>
        <v>0</v>
      </c>
      <c r="CK458" s="26">
        <f t="shared" si="817"/>
        <v>0</v>
      </c>
    </row>
    <row r="459" spans="1:89" ht="90" customHeight="1" x14ac:dyDescent="0.3">
      <c r="A459" s="13" t="s">
        <v>248</v>
      </c>
      <c r="B459" s="14" t="s">
        <v>34</v>
      </c>
      <c r="C459" s="15" t="s">
        <v>1127</v>
      </c>
      <c r="D459" s="14" t="s">
        <v>61</v>
      </c>
      <c r="E459" s="13" t="s">
        <v>250</v>
      </c>
      <c r="F459" s="13" t="s">
        <v>250</v>
      </c>
      <c r="G459" s="14">
        <v>68</v>
      </c>
      <c r="H459" s="13" t="s">
        <v>1277</v>
      </c>
      <c r="I459" s="15" t="s">
        <v>1129</v>
      </c>
      <c r="J459" s="14" t="s">
        <v>9</v>
      </c>
      <c r="K459" s="15" t="s">
        <v>77</v>
      </c>
      <c r="L459" s="14">
        <v>80111620</v>
      </c>
      <c r="M459" s="14" t="s">
        <v>35</v>
      </c>
      <c r="N459" s="14" t="s">
        <v>253</v>
      </c>
      <c r="O459" s="15" t="s">
        <v>1278</v>
      </c>
      <c r="P459" s="14" t="s">
        <v>255</v>
      </c>
      <c r="Q459" s="14" t="s">
        <v>255</v>
      </c>
      <c r="R459" s="14" t="s">
        <v>255</v>
      </c>
      <c r="S459" s="17">
        <v>10</v>
      </c>
      <c r="T459" s="14" t="s">
        <v>256</v>
      </c>
      <c r="U459" s="14" t="s">
        <v>257</v>
      </c>
      <c r="V459" s="14" t="s">
        <v>112</v>
      </c>
      <c r="W459" s="18">
        <v>60000000</v>
      </c>
      <c r="X459" s="18">
        <v>60000000</v>
      </c>
      <c r="Y459" s="19" t="s">
        <v>339</v>
      </c>
      <c r="Z459" s="19" t="s">
        <v>258</v>
      </c>
      <c r="AA459" s="14" t="s">
        <v>1132</v>
      </c>
      <c r="AB459" s="14" t="s">
        <v>1133</v>
      </c>
      <c r="AC459" s="14">
        <v>6012220601</v>
      </c>
      <c r="AD459" s="14" t="s">
        <v>1134</v>
      </c>
      <c r="AE459" s="82">
        <v>60000000</v>
      </c>
      <c r="AF459" s="82">
        <v>0</v>
      </c>
      <c r="AG459" s="82">
        <v>0</v>
      </c>
      <c r="AH459" s="82">
        <v>0</v>
      </c>
      <c r="AI459" s="82">
        <v>0</v>
      </c>
      <c r="AJ459" s="82">
        <v>6000000</v>
      </c>
      <c r="AK459" s="82">
        <v>0</v>
      </c>
      <c r="AL459" s="82">
        <v>6000000</v>
      </c>
      <c r="AM459" s="82">
        <v>0</v>
      </c>
      <c r="AN459" s="82">
        <v>6000000</v>
      </c>
      <c r="AO459" s="82">
        <v>0</v>
      </c>
      <c r="AP459" s="82">
        <v>6000000</v>
      </c>
      <c r="AQ459" s="82">
        <v>0</v>
      </c>
      <c r="AR459" s="82">
        <v>6000000</v>
      </c>
      <c r="AS459" s="82">
        <v>0</v>
      </c>
      <c r="AT459" s="82">
        <v>6000000</v>
      </c>
      <c r="AU459" s="82">
        <v>0</v>
      </c>
      <c r="AV459" s="82">
        <v>6000000</v>
      </c>
      <c r="AW459" s="82">
        <v>0</v>
      </c>
      <c r="AX459" s="82">
        <v>6000000</v>
      </c>
      <c r="AY459" s="82">
        <v>0</v>
      </c>
      <c r="AZ459" s="82">
        <v>6000000</v>
      </c>
      <c r="BA459" s="82">
        <v>0</v>
      </c>
      <c r="BB459" s="82">
        <v>6000000</v>
      </c>
      <c r="BC459" s="82">
        <f t="shared" ref="BC459:BD459" si="908">AE459+AG459+AI459+AK459+AM459+AO459+AQ459+AS459+AU459+AW459+AY459+BA459</f>
        <v>60000000</v>
      </c>
      <c r="BD459" s="82">
        <f t="shared" si="908"/>
        <v>60000000</v>
      </c>
      <c r="BE459" s="83">
        <f t="shared" si="813"/>
        <v>0</v>
      </c>
      <c r="BF459" s="83">
        <f t="shared" si="814"/>
        <v>0</v>
      </c>
      <c r="BG459" s="14" t="str">
        <f ca="1">IFERROR(__xludf.DUMMYFUNCTION("REGEXEXTRACT(O453,""^\S+\s(.+)$"")"),"Prestar servicios profesionales para el apoyo técnico en la evaluación, análisis y procesamiento de las solicitudes de conexión a las redes de transmisión nacional, regional y de distribución, mediante la aplicación de metodologías y criterios técnicos de"&amp;" análisis eléctrico, así como la elaboración y emisión de conceptos técnicos asociados a la asignación de capacidad de conexión.")</f>
        <v>Prestar servicios profesionales para el apoyo técnico en la evaluación, análisis y procesamiento de las solicitudes de conexión a las redes de transmisión nacional, regional y de distribución, mediante la aplicación de metodologías y criterios técnicos de análisis eléctrico, así como la elaboración y emisión de conceptos técnicos asociados a la asignación de capacidad de conexión.</v>
      </c>
      <c r="BH459" s="23">
        <v>60000000</v>
      </c>
      <c r="BI459" s="23"/>
      <c r="BJ459" s="23"/>
      <c r="BK459" s="23"/>
      <c r="BL459" s="23"/>
      <c r="BM459" s="23">
        <v>6000000</v>
      </c>
      <c r="BN459" s="23"/>
      <c r="BO459" s="23">
        <v>6000000</v>
      </c>
      <c r="BP459" s="23"/>
      <c r="BQ459" s="23">
        <v>6000000</v>
      </c>
      <c r="BR459" s="23"/>
      <c r="BS459" s="23">
        <v>6000000</v>
      </c>
      <c r="BT459" s="23"/>
      <c r="BU459" s="23">
        <v>6000000</v>
      </c>
      <c r="BV459" s="23"/>
      <c r="BW459" s="23">
        <v>6000000</v>
      </c>
      <c r="BX459" s="23"/>
      <c r="BY459" s="23">
        <v>6000000</v>
      </c>
      <c r="BZ459" s="23"/>
      <c r="CA459" s="23">
        <v>6000000</v>
      </c>
      <c r="CB459" s="23"/>
      <c r="CC459" s="23">
        <v>6000000</v>
      </c>
      <c r="CD459" s="23"/>
      <c r="CE459" s="23">
        <v>6000000</v>
      </c>
      <c r="CF459" s="28"/>
      <c r="CG459" s="28"/>
      <c r="CH459" s="25">
        <f t="shared" ref="CH459:CI459" si="909">BH459+BJ459+BL459+BN459+BP459+BR459+BT459+BV459+BX459+BZ459+CB459+CD459+CF459</f>
        <v>60000000</v>
      </c>
      <c r="CI459" s="25">
        <f t="shared" si="909"/>
        <v>60000000</v>
      </c>
      <c r="CJ459" s="26">
        <f t="shared" si="816"/>
        <v>0</v>
      </c>
      <c r="CK459" s="26">
        <f t="shared" si="817"/>
        <v>0</v>
      </c>
    </row>
    <row r="460" spans="1:89" ht="90" customHeight="1" x14ac:dyDescent="0.3">
      <c r="A460" s="13" t="s">
        <v>248</v>
      </c>
      <c r="B460" s="14" t="s">
        <v>34</v>
      </c>
      <c r="C460" s="15" t="s">
        <v>1127</v>
      </c>
      <c r="D460" s="14" t="s">
        <v>61</v>
      </c>
      <c r="E460" s="13" t="s">
        <v>250</v>
      </c>
      <c r="F460" s="13" t="s">
        <v>250</v>
      </c>
      <c r="G460" s="93">
        <v>8</v>
      </c>
      <c r="H460" s="13" t="s">
        <v>1279</v>
      </c>
      <c r="I460" s="15" t="s">
        <v>1138</v>
      </c>
      <c r="J460" s="14" t="s">
        <v>18</v>
      </c>
      <c r="K460" s="15" t="s">
        <v>79</v>
      </c>
      <c r="L460" s="14">
        <v>80111620</v>
      </c>
      <c r="M460" s="14" t="s">
        <v>36</v>
      </c>
      <c r="N460" s="14" t="s">
        <v>253</v>
      </c>
      <c r="O460" s="15" t="s">
        <v>1280</v>
      </c>
      <c r="P460" s="14" t="s">
        <v>255</v>
      </c>
      <c r="Q460" s="14" t="s">
        <v>255</v>
      </c>
      <c r="R460" s="94" t="s">
        <v>549</v>
      </c>
      <c r="S460" s="17">
        <v>10</v>
      </c>
      <c r="T460" s="14" t="s">
        <v>256</v>
      </c>
      <c r="U460" s="14" t="s">
        <v>257</v>
      </c>
      <c r="V460" s="14" t="s">
        <v>112</v>
      </c>
      <c r="W460" s="18">
        <v>3898291</v>
      </c>
      <c r="X460" s="18">
        <v>3898291</v>
      </c>
      <c r="Y460" s="19" t="s">
        <v>339</v>
      </c>
      <c r="Z460" s="19" t="s">
        <v>258</v>
      </c>
      <c r="AA460" s="14" t="s">
        <v>1132</v>
      </c>
      <c r="AB460" s="14" t="s">
        <v>1133</v>
      </c>
      <c r="AC460" s="14">
        <v>6012220601</v>
      </c>
      <c r="AD460" s="14" t="s">
        <v>1134</v>
      </c>
      <c r="AE460" s="82">
        <v>0</v>
      </c>
      <c r="AF460" s="82">
        <v>0</v>
      </c>
      <c r="AG460" s="82">
        <v>3898291</v>
      </c>
      <c r="AH460" s="82">
        <v>0</v>
      </c>
      <c r="AI460" s="82">
        <v>0</v>
      </c>
      <c r="AJ460" s="82">
        <v>0</v>
      </c>
      <c r="AK460" s="82">
        <v>0</v>
      </c>
      <c r="AL460" s="82">
        <v>389829</v>
      </c>
      <c r="AM460" s="82">
        <v>0</v>
      </c>
      <c r="AN460" s="82">
        <v>389829</v>
      </c>
      <c r="AO460" s="82">
        <v>0</v>
      </c>
      <c r="AP460" s="82">
        <v>389829</v>
      </c>
      <c r="AQ460" s="82">
        <v>0</v>
      </c>
      <c r="AR460" s="82">
        <v>389829</v>
      </c>
      <c r="AS460" s="82">
        <v>0</v>
      </c>
      <c r="AT460" s="82">
        <v>389829</v>
      </c>
      <c r="AU460" s="82">
        <v>0</v>
      </c>
      <c r="AV460" s="82">
        <v>389829</v>
      </c>
      <c r="AW460" s="82">
        <v>0</v>
      </c>
      <c r="AX460" s="82">
        <v>389829</v>
      </c>
      <c r="AY460" s="82">
        <v>0</v>
      </c>
      <c r="AZ460" s="82">
        <v>389829</v>
      </c>
      <c r="BA460" s="82">
        <v>0</v>
      </c>
      <c r="BB460" s="82">
        <v>779659</v>
      </c>
      <c r="BC460" s="82">
        <f t="shared" ref="BC460:BD460" si="910">AE460+AG460+AI460+AK460+AM460+AO460+AQ460+AS460+AU460+AW460+AY460+BA460</f>
        <v>3898291</v>
      </c>
      <c r="BD460" s="82">
        <f t="shared" si="910"/>
        <v>3898291</v>
      </c>
      <c r="BE460" s="83">
        <f t="shared" si="813"/>
        <v>0</v>
      </c>
      <c r="BF460" s="83">
        <f t="shared" si="814"/>
        <v>0</v>
      </c>
      <c r="BG460" s="14" t="str">
        <f ca="1">IFERROR(__xludf.DUMMYFUNCTION("REGEXEXTRACT(O454,""^\S+\s(.+)$"")"),"Prestación de servicios profesionales para apoyar la elaboración de documentos y el procesamiento de información asociados a las convocatorias públicas.")</f>
        <v>Prestación de servicios profesionales para apoyar la elaboración de documentos y el procesamiento de información asociados a las convocatorias públicas.</v>
      </c>
      <c r="BH460" s="23"/>
      <c r="BI460" s="23"/>
      <c r="BJ460" s="23">
        <v>3898291</v>
      </c>
      <c r="BK460" s="23"/>
      <c r="BL460" s="23"/>
      <c r="BM460" s="23"/>
      <c r="BN460" s="23"/>
      <c r="BO460" s="23">
        <v>389829</v>
      </c>
      <c r="BP460" s="23"/>
      <c r="BQ460" s="23">
        <v>389829</v>
      </c>
      <c r="BR460" s="23"/>
      <c r="BS460" s="23">
        <v>389829</v>
      </c>
      <c r="BT460" s="23"/>
      <c r="BU460" s="23">
        <v>389829</v>
      </c>
      <c r="BV460" s="23"/>
      <c r="BW460" s="23">
        <v>389829</v>
      </c>
      <c r="BX460" s="23"/>
      <c r="BY460" s="23">
        <v>389829</v>
      </c>
      <c r="BZ460" s="23"/>
      <c r="CA460" s="23">
        <v>389829</v>
      </c>
      <c r="CB460" s="23"/>
      <c r="CC460" s="23">
        <v>389829</v>
      </c>
      <c r="CD460" s="23"/>
      <c r="CE460" s="23">
        <v>779659</v>
      </c>
      <c r="CF460" s="28"/>
      <c r="CG460" s="28"/>
      <c r="CH460" s="25">
        <f t="shared" ref="CH460:CI460" si="911">BH460+BJ460+BL460+BN460+BP460+BR460+BT460+BV460+BX460+BZ460+CB460+CD460+CF460</f>
        <v>3898291</v>
      </c>
      <c r="CI460" s="25">
        <f t="shared" si="911"/>
        <v>3898291</v>
      </c>
      <c r="CJ460" s="26">
        <f t="shared" si="816"/>
        <v>0</v>
      </c>
      <c r="CK460" s="26">
        <f t="shared" si="817"/>
        <v>0</v>
      </c>
    </row>
    <row r="461" spans="1:89" ht="90" customHeight="1" x14ac:dyDescent="0.3">
      <c r="A461" s="13" t="s">
        <v>248</v>
      </c>
      <c r="B461" s="14" t="s">
        <v>34</v>
      </c>
      <c r="C461" s="15" t="s">
        <v>1127</v>
      </c>
      <c r="D461" s="14" t="s">
        <v>61</v>
      </c>
      <c r="E461" s="13" t="s">
        <v>250</v>
      </c>
      <c r="F461" s="13" t="s">
        <v>250</v>
      </c>
      <c r="G461" s="14">
        <v>21</v>
      </c>
      <c r="H461" s="13" t="s">
        <v>1281</v>
      </c>
      <c r="I461" s="15" t="s">
        <v>1129</v>
      </c>
      <c r="J461" s="14" t="s">
        <v>9</v>
      </c>
      <c r="K461" s="15" t="s">
        <v>77</v>
      </c>
      <c r="L461" s="14">
        <v>80111620</v>
      </c>
      <c r="M461" s="14" t="s">
        <v>35</v>
      </c>
      <c r="N461" s="14" t="s">
        <v>253</v>
      </c>
      <c r="O461" s="15" t="s">
        <v>1282</v>
      </c>
      <c r="P461" s="14" t="s">
        <v>255</v>
      </c>
      <c r="Q461" s="14" t="s">
        <v>255</v>
      </c>
      <c r="R461" s="94" t="s">
        <v>549</v>
      </c>
      <c r="S461" s="17">
        <v>11.5</v>
      </c>
      <c r="T461" s="14" t="s">
        <v>256</v>
      </c>
      <c r="U461" s="14" t="s">
        <v>257</v>
      </c>
      <c r="V461" s="14" t="s">
        <v>112</v>
      </c>
      <c r="W461" s="18">
        <v>35811405</v>
      </c>
      <c r="X461" s="18">
        <v>35811405</v>
      </c>
      <c r="Y461" s="19" t="s">
        <v>339</v>
      </c>
      <c r="Z461" s="19" t="s">
        <v>258</v>
      </c>
      <c r="AA461" s="14" t="s">
        <v>1132</v>
      </c>
      <c r="AB461" s="14" t="s">
        <v>1133</v>
      </c>
      <c r="AC461" s="14">
        <v>6012220601</v>
      </c>
      <c r="AD461" s="14" t="s">
        <v>1134</v>
      </c>
      <c r="AE461" s="82">
        <v>0</v>
      </c>
      <c r="AF461" s="82">
        <v>0</v>
      </c>
      <c r="AG461" s="82">
        <v>36687525</v>
      </c>
      <c r="AH461" s="82">
        <v>0</v>
      </c>
      <c r="AI461" s="82">
        <v>0</v>
      </c>
      <c r="AJ461" s="82">
        <v>1166667</v>
      </c>
      <c r="AK461" s="82">
        <v>2979142</v>
      </c>
      <c r="AL461" s="82">
        <v>3500000</v>
      </c>
      <c r="AM461" s="82">
        <v>0</v>
      </c>
      <c r="AN461" s="82">
        <v>3500000</v>
      </c>
      <c r="AO461" s="82">
        <v>0</v>
      </c>
      <c r="AP461" s="82">
        <v>3500000</v>
      </c>
      <c r="AQ461" s="82">
        <v>0</v>
      </c>
      <c r="AR461" s="82">
        <v>3500000</v>
      </c>
      <c r="AS461" s="82">
        <v>0</v>
      </c>
      <c r="AT461" s="82">
        <v>3500000</v>
      </c>
      <c r="AU461" s="82">
        <v>0</v>
      </c>
      <c r="AV461" s="82">
        <v>3500000</v>
      </c>
      <c r="AW461" s="82">
        <v>0</v>
      </c>
      <c r="AX461" s="82">
        <v>3500000</v>
      </c>
      <c r="AY461" s="82">
        <v>0</v>
      </c>
      <c r="AZ461" s="82">
        <v>3500000</v>
      </c>
      <c r="BA461" s="82">
        <v>0</v>
      </c>
      <c r="BB461" s="82">
        <v>10500000</v>
      </c>
      <c r="BC461" s="82">
        <f t="shared" ref="BC461:BD461" si="912">AE461+AG461+AI461+AK461+AM461+AO461+AQ461+AS461+AU461+AW461+AY461+BA461</f>
        <v>39666667</v>
      </c>
      <c r="BD461" s="82">
        <f t="shared" si="912"/>
        <v>39666667</v>
      </c>
      <c r="BE461" s="83">
        <f t="shared" si="813"/>
        <v>-3855262</v>
      </c>
      <c r="BF461" s="83">
        <f t="shared" si="814"/>
        <v>-3855262</v>
      </c>
      <c r="BG461" s="14" t="str">
        <f ca="1">IFERROR(__xludf.DUMMYFUNCTION("REGEXEXTRACT(O455,""^\S+\s(.+)$"")"),"Prestación de servicios profesionales para apoyar el análisis energético de largo plazo en el marco de la formulación del Plan de Expansión de Generación.")</f>
        <v>Prestación de servicios profesionales para apoyar el análisis energético de largo plazo en el marco de la formulación del Plan de Expansión de Generación.</v>
      </c>
      <c r="BH461" s="23"/>
      <c r="BI461" s="23"/>
      <c r="BJ461" s="23">
        <v>35811405</v>
      </c>
      <c r="BK461" s="23"/>
      <c r="BL461" s="23"/>
      <c r="BM461" s="23">
        <v>2956905</v>
      </c>
      <c r="BN461" s="23"/>
      <c r="BO461" s="23">
        <v>3285450</v>
      </c>
      <c r="BP461" s="23"/>
      <c r="BQ461" s="23">
        <v>3285450</v>
      </c>
      <c r="BR461" s="23"/>
      <c r="BS461" s="23">
        <v>3285450</v>
      </c>
      <c r="BT461" s="23"/>
      <c r="BU461" s="23">
        <v>3285450</v>
      </c>
      <c r="BV461" s="23"/>
      <c r="BW461" s="23">
        <v>3285450</v>
      </c>
      <c r="BX461" s="23"/>
      <c r="BY461" s="23">
        <v>3285450</v>
      </c>
      <c r="BZ461" s="23"/>
      <c r="CA461" s="23">
        <v>3285450</v>
      </c>
      <c r="CB461" s="23"/>
      <c r="CC461" s="23">
        <v>3285450</v>
      </c>
      <c r="CD461" s="23"/>
      <c r="CE461" s="23">
        <v>6570900</v>
      </c>
      <c r="CF461" s="28"/>
      <c r="CG461" s="28"/>
      <c r="CH461" s="25">
        <f t="shared" ref="CH461:CI461" si="913">BH461+BJ461+BL461+BN461+BP461+BR461+BT461+BV461+BX461+BZ461+CB461+CD461+CF461</f>
        <v>35811405</v>
      </c>
      <c r="CI461" s="25">
        <f t="shared" si="913"/>
        <v>35811405</v>
      </c>
      <c r="CJ461" s="26">
        <f t="shared" si="816"/>
        <v>0</v>
      </c>
      <c r="CK461" s="26">
        <f t="shared" si="817"/>
        <v>0</v>
      </c>
    </row>
    <row r="462" spans="1:89" ht="90" customHeight="1" x14ac:dyDescent="0.3">
      <c r="A462" s="13" t="s">
        <v>248</v>
      </c>
      <c r="B462" s="14" t="s">
        <v>34</v>
      </c>
      <c r="C462" s="15" t="s">
        <v>1127</v>
      </c>
      <c r="D462" s="14" t="s">
        <v>61</v>
      </c>
      <c r="E462" s="13" t="s">
        <v>250</v>
      </c>
      <c r="F462" s="13" t="s">
        <v>250</v>
      </c>
      <c r="G462" s="14">
        <v>21</v>
      </c>
      <c r="H462" s="13" t="s">
        <v>1283</v>
      </c>
      <c r="I462" s="15" t="s">
        <v>1129</v>
      </c>
      <c r="J462" s="14" t="s">
        <v>9</v>
      </c>
      <c r="K462" s="15" t="s">
        <v>77</v>
      </c>
      <c r="L462" s="14">
        <v>80111620</v>
      </c>
      <c r="M462" s="14" t="s">
        <v>35</v>
      </c>
      <c r="N462" s="14" t="s">
        <v>253</v>
      </c>
      <c r="O462" s="15" t="s">
        <v>1284</v>
      </c>
      <c r="P462" s="14" t="s">
        <v>255</v>
      </c>
      <c r="Q462" s="14" t="s">
        <v>255</v>
      </c>
      <c r="R462" s="94" t="s">
        <v>549</v>
      </c>
      <c r="S462" s="17">
        <v>11.5</v>
      </c>
      <c r="T462" s="14" t="s">
        <v>256</v>
      </c>
      <c r="U462" s="14" t="s">
        <v>257</v>
      </c>
      <c r="V462" s="14" t="s">
        <v>112</v>
      </c>
      <c r="W462" s="18">
        <v>79289720</v>
      </c>
      <c r="X462" s="18">
        <v>79289720</v>
      </c>
      <c r="Y462" s="19" t="s">
        <v>339</v>
      </c>
      <c r="Z462" s="19" t="s">
        <v>258</v>
      </c>
      <c r="AA462" s="14" t="s">
        <v>1132</v>
      </c>
      <c r="AB462" s="14" t="s">
        <v>1133</v>
      </c>
      <c r="AC462" s="14">
        <v>6012220601</v>
      </c>
      <c r="AD462" s="14" t="s">
        <v>1134</v>
      </c>
      <c r="AE462" s="82">
        <v>0</v>
      </c>
      <c r="AF462" s="82">
        <v>0</v>
      </c>
      <c r="AG462" s="82">
        <v>83910900</v>
      </c>
      <c r="AH462" s="82">
        <v>0</v>
      </c>
      <c r="AI462" s="82">
        <v>0</v>
      </c>
      <c r="AJ462" s="82">
        <v>3648300</v>
      </c>
      <c r="AK462" s="82">
        <v>0</v>
      </c>
      <c r="AL462" s="82">
        <v>7296600</v>
      </c>
      <c r="AM462" s="82">
        <v>0</v>
      </c>
      <c r="AN462" s="82">
        <v>7296600</v>
      </c>
      <c r="AO462" s="82">
        <v>0</v>
      </c>
      <c r="AP462" s="82">
        <v>7296600</v>
      </c>
      <c r="AQ462" s="82">
        <v>0</v>
      </c>
      <c r="AR462" s="82">
        <v>7296600</v>
      </c>
      <c r="AS462" s="82">
        <v>0</v>
      </c>
      <c r="AT462" s="82">
        <v>7296600</v>
      </c>
      <c r="AU462" s="82">
        <v>0</v>
      </c>
      <c r="AV462" s="82">
        <v>7296600</v>
      </c>
      <c r="AW462" s="82">
        <v>0</v>
      </c>
      <c r="AX462" s="82">
        <v>7296600</v>
      </c>
      <c r="AY462" s="82">
        <v>0</v>
      </c>
      <c r="AZ462" s="82">
        <v>7296600</v>
      </c>
      <c r="BA462" s="82">
        <v>0</v>
      </c>
      <c r="BB462" s="82">
        <v>21889800</v>
      </c>
      <c r="BC462" s="82">
        <f t="shared" ref="BC462:BD462" si="914">AE462+AG462+AI462+AK462+AM462+AO462+AQ462+AS462+AU462+AW462+AY462+BA462</f>
        <v>83910900</v>
      </c>
      <c r="BD462" s="82">
        <f t="shared" si="914"/>
        <v>83910900</v>
      </c>
      <c r="BE462" s="83">
        <f t="shared" si="813"/>
        <v>-4621180</v>
      </c>
      <c r="BF462" s="83">
        <f t="shared" si="814"/>
        <v>-4621180</v>
      </c>
      <c r="BG462" s="14" t="str">
        <f ca="1">IFERROR(__xludf.DUMMYFUNCTION("REGEXEXTRACT(O456,""^\S+\s(.+)$"")"),"Prestar servicios profesionales para realizar el seguimiento a la ejecución de los proyectos de nivel de tensión IV que corresponde a la UPME y a los procedimientos asociados, y apoyar los análisis, evaluaciones y conceptos sobre las solicitudes de asigna"&amp;"ción de capacidad.")</f>
        <v>Prestar servicios profesionales para realizar el seguimiento a la ejecución de los proyectos de nivel de tensión IV que corresponde a la UPME y a los procedimientos asociados, y apoyar los análisis, evaluaciones y conceptos sobre las solicitudes de asignación de capacidad.</v>
      </c>
      <c r="BH462" s="23"/>
      <c r="BI462" s="23"/>
      <c r="BJ462" s="23">
        <v>79289720</v>
      </c>
      <c r="BK462" s="23"/>
      <c r="BL462" s="23"/>
      <c r="BM462" s="23">
        <v>6323720</v>
      </c>
      <c r="BN462" s="23"/>
      <c r="BO462" s="23">
        <v>7296600</v>
      </c>
      <c r="BP462" s="23"/>
      <c r="BQ462" s="23">
        <v>7296600</v>
      </c>
      <c r="BR462" s="23"/>
      <c r="BS462" s="23">
        <v>7296600</v>
      </c>
      <c r="BT462" s="23"/>
      <c r="BU462" s="23">
        <v>7296600</v>
      </c>
      <c r="BV462" s="23"/>
      <c r="BW462" s="23">
        <v>7296600</v>
      </c>
      <c r="BX462" s="23"/>
      <c r="BY462" s="23">
        <v>7296600</v>
      </c>
      <c r="BZ462" s="23"/>
      <c r="CA462" s="23">
        <v>7296600</v>
      </c>
      <c r="CB462" s="23"/>
      <c r="CC462" s="23">
        <v>7296600</v>
      </c>
      <c r="CD462" s="23"/>
      <c r="CE462" s="23">
        <v>14593200</v>
      </c>
      <c r="CF462" s="28"/>
      <c r="CG462" s="28"/>
      <c r="CH462" s="25">
        <f t="shared" ref="CH462:CI462" si="915">BH462+BJ462+BL462+BN462+BP462+BR462+BT462+BV462+BX462+BZ462+CB462+CD462+CF462</f>
        <v>79289720</v>
      </c>
      <c r="CI462" s="25">
        <f t="shared" si="915"/>
        <v>79289720</v>
      </c>
      <c r="CJ462" s="26">
        <f t="shared" si="816"/>
        <v>0</v>
      </c>
      <c r="CK462" s="26">
        <f t="shared" si="817"/>
        <v>0</v>
      </c>
    </row>
    <row r="463" spans="1:89" ht="90" customHeight="1" x14ac:dyDescent="0.3">
      <c r="A463" s="13" t="s">
        <v>248</v>
      </c>
      <c r="B463" s="14" t="s">
        <v>34</v>
      </c>
      <c r="C463" s="15" t="s">
        <v>1127</v>
      </c>
      <c r="D463" s="14" t="s">
        <v>61</v>
      </c>
      <c r="E463" s="13" t="s">
        <v>250</v>
      </c>
      <c r="F463" s="13" t="s">
        <v>250</v>
      </c>
      <c r="G463" s="14">
        <v>21</v>
      </c>
      <c r="H463" s="13" t="s">
        <v>1285</v>
      </c>
      <c r="I463" s="15" t="s">
        <v>1129</v>
      </c>
      <c r="J463" s="14" t="s">
        <v>9</v>
      </c>
      <c r="K463" s="15" t="s">
        <v>77</v>
      </c>
      <c r="L463" s="14">
        <v>80111620</v>
      </c>
      <c r="M463" s="14" t="s">
        <v>35</v>
      </c>
      <c r="N463" s="14" t="s">
        <v>253</v>
      </c>
      <c r="O463" s="15" t="s">
        <v>1286</v>
      </c>
      <c r="P463" s="14" t="s">
        <v>255</v>
      </c>
      <c r="Q463" s="14" t="s">
        <v>255</v>
      </c>
      <c r="R463" s="94" t="s">
        <v>549</v>
      </c>
      <c r="S463" s="17">
        <v>11.5</v>
      </c>
      <c r="T463" s="14" t="s">
        <v>256</v>
      </c>
      <c r="U463" s="14" t="s">
        <v>257</v>
      </c>
      <c r="V463" s="14" t="s">
        <v>112</v>
      </c>
      <c r="W463" s="18">
        <v>79046500</v>
      </c>
      <c r="X463" s="18">
        <v>79046500</v>
      </c>
      <c r="Y463" s="19" t="s">
        <v>339</v>
      </c>
      <c r="Z463" s="19" t="s">
        <v>258</v>
      </c>
      <c r="AA463" s="14" t="s">
        <v>1132</v>
      </c>
      <c r="AB463" s="14" t="s">
        <v>1133</v>
      </c>
      <c r="AC463" s="14">
        <v>6012220601</v>
      </c>
      <c r="AD463" s="14" t="s">
        <v>1134</v>
      </c>
      <c r="AE463" s="82">
        <v>0</v>
      </c>
      <c r="AF463" s="82">
        <v>0</v>
      </c>
      <c r="AG463" s="82">
        <v>83910900</v>
      </c>
      <c r="AH463" s="82">
        <v>0</v>
      </c>
      <c r="AI463" s="82">
        <v>0</v>
      </c>
      <c r="AJ463" s="82">
        <v>3648300</v>
      </c>
      <c r="AK463" s="82">
        <v>0</v>
      </c>
      <c r="AL463" s="82">
        <v>7296600</v>
      </c>
      <c r="AM463" s="82">
        <v>0</v>
      </c>
      <c r="AN463" s="82">
        <v>7296600</v>
      </c>
      <c r="AO463" s="82">
        <v>0</v>
      </c>
      <c r="AP463" s="82">
        <v>7296600</v>
      </c>
      <c r="AQ463" s="82">
        <v>0</v>
      </c>
      <c r="AR463" s="82">
        <v>7296600</v>
      </c>
      <c r="AS463" s="82">
        <v>0</v>
      </c>
      <c r="AT463" s="82">
        <v>7296600</v>
      </c>
      <c r="AU463" s="82">
        <v>0</v>
      </c>
      <c r="AV463" s="82">
        <v>7296600</v>
      </c>
      <c r="AW463" s="82">
        <v>0</v>
      </c>
      <c r="AX463" s="82">
        <v>7296600</v>
      </c>
      <c r="AY463" s="82">
        <v>0</v>
      </c>
      <c r="AZ463" s="82">
        <v>7296600</v>
      </c>
      <c r="BA463" s="82">
        <v>0</v>
      </c>
      <c r="BB463" s="82">
        <v>21889800</v>
      </c>
      <c r="BC463" s="82">
        <f t="shared" ref="BC463:BD463" si="916">AE463+AG463+AI463+AK463+AM463+AO463+AQ463+AS463+AU463+AW463+AY463+BA463</f>
        <v>83910900</v>
      </c>
      <c r="BD463" s="82">
        <f t="shared" si="916"/>
        <v>83910900</v>
      </c>
      <c r="BE463" s="83">
        <f t="shared" si="813"/>
        <v>-4864400</v>
      </c>
      <c r="BF463" s="83">
        <f t="shared" si="814"/>
        <v>-4864400</v>
      </c>
      <c r="BG463" s="14" t="str">
        <f ca="1">IFERROR(__xludf.DUMMYFUNCTION("REGEXEXTRACT(O457,""^\S+\s(.+)$"")"),"Prestar servicios profesionales para apoyar el análisis de las solicitudes de asignación de capacidad de proyectos de generación y usuarios finales, procesar la información requerida por los modelos y participar del proceso de verificación de requisitos y"&amp;" seguimiento a los proyectos.")</f>
        <v>Prestar servicios profesionales para apoyar el análisis de las solicitudes de asignación de capacidad de proyectos de generación y usuarios finales, procesar la información requerida por los modelos y participar del proceso de verificación de requisitos y seguimiento a los proyectos.</v>
      </c>
      <c r="BH463" s="23"/>
      <c r="BI463" s="23"/>
      <c r="BJ463" s="23">
        <v>79046500</v>
      </c>
      <c r="BK463" s="23"/>
      <c r="BL463" s="23"/>
      <c r="BM463" s="23">
        <v>6080500</v>
      </c>
      <c r="BN463" s="23"/>
      <c r="BO463" s="23">
        <v>7296600</v>
      </c>
      <c r="BP463" s="23"/>
      <c r="BQ463" s="23">
        <v>7296600</v>
      </c>
      <c r="BR463" s="23"/>
      <c r="BS463" s="23">
        <v>7296600</v>
      </c>
      <c r="BT463" s="23"/>
      <c r="BU463" s="23">
        <v>7296600</v>
      </c>
      <c r="BV463" s="23"/>
      <c r="BW463" s="23">
        <v>7296600</v>
      </c>
      <c r="BX463" s="23"/>
      <c r="BY463" s="23">
        <v>7296600</v>
      </c>
      <c r="BZ463" s="23"/>
      <c r="CA463" s="23">
        <v>7296600</v>
      </c>
      <c r="CB463" s="23"/>
      <c r="CC463" s="23">
        <v>7296600</v>
      </c>
      <c r="CD463" s="23"/>
      <c r="CE463" s="23">
        <v>14593200</v>
      </c>
      <c r="CF463" s="28"/>
      <c r="CG463" s="28"/>
      <c r="CH463" s="25">
        <f t="shared" ref="CH463:CI463" si="917">BH463+BJ463+BL463+BN463+BP463+BR463+BT463+BV463+BX463+BZ463+CB463+CD463+CF463</f>
        <v>79046500</v>
      </c>
      <c r="CI463" s="25">
        <f t="shared" si="917"/>
        <v>79046500</v>
      </c>
      <c r="CJ463" s="26">
        <f t="shared" si="816"/>
        <v>0</v>
      </c>
      <c r="CK463" s="26">
        <f t="shared" si="817"/>
        <v>0</v>
      </c>
    </row>
    <row r="464" spans="1:89" ht="90" customHeight="1" x14ac:dyDescent="0.3">
      <c r="A464" s="13" t="s">
        <v>248</v>
      </c>
      <c r="B464" s="14" t="s">
        <v>34</v>
      </c>
      <c r="C464" s="15" t="s">
        <v>1127</v>
      </c>
      <c r="D464" s="14" t="s">
        <v>61</v>
      </c>
      <c r="E464" s="13" t="s">
        <v>250</v>
      </c>
      <c r="F464" s="13" t="s">
        <v>250</v>
      </c>
      <c r="G464" s="14">
        <v>21</v>
      </c>
      <c r="H464" s="13" t="s">
        <v>1287</v>
      </c>
      <c r="I464" s="15" t="s">
        <v>1129</v>
      </c>
      <c r="J464" s="14" t="s">
        <v>9</v>
      </c>
      <c r="K464" s="15" t="s">
        <v>77</v>
      </c>
      <c r="L464" s="14">
        <v>80111620</v>
      </c>
      <c r="M464" s="14" t="s">
        <v>35</v>
      </c>
      <c r="N464" s="14" t="s">
        <v>253</v>
      </c>
      <c r="O464" s="15" t="s">
        <v>1288</v>
      </c>
      <c r="P464" s="14" t="s">
        <v>255</v>
      </c>
      <c r="Q464" s="14" t="s">
        <v>255</v>
      </c>
      <c r="R464" s="14" t="s">
        <v>255</v>
      </c>
      <c r="S464" s="17">
        <v>11.5</v>
      </c>
      <c r="T464" s="14" t="s">
        <v>256</v>
      </c>
      <c r="U464" s="14" t="s">
        <v>257</v>
      </c>
      <c r="V464" s="14" t="s">
        <v>112</v>
      </c>
      <c r="W464" s="18">
        <v>81315542</v>
      </c>
      <c r="X464" s="18">
        <v>81315542</v>
      </c>
      <c r="Y464" s="19" t="s">
        <v>339</v>
      </c>
      <c r="Z464" s="19" t="s">
        <v>258</v>
      </c>
      <c r="AA464" s="14" t="s">
        <v>1132</v>
      </c>
      <c r="AB464" s="14" t="s">
        <v>1133</v>
      </c>
      <c r="AC464" s="14">
        <v>6012220601</v>
      </c>
      <c r="AD464" s="14" t="s">
        <v>1134</v>
      </c>
      <c r="AE464" s="82">
        <v>81965140</v>
      </c>
      <c r="AF464" s="82">
        <v>0</v>
      </c>
      <c r="AG464" s="82">
        <v>0</v>
      </c>
      <c r="AH464" s="82">
        <v>3648300</v>
      </c>
      <c r="AI464" s="82">
        <v>0</v>
      </c>
      <c r="AJ464" s="82">
        <v>7296600</v>
      </c>
      <c r="AK464" s="82">
        <v>1945760</v>
      </c>
      <c r="AL464" s="82">
        <v>7296600</v>
      </c>
      <c r="AM464" s="82">
        <v>0</v>
      </c>
      <c r="AN464" s="82">
        <v>7296600</v>
      </c>
      <c r="AO464" s="82">
        <v>0</v>
      </c>
      <c r="AP464" s="82">
        <v>7296600</v>
      </c>
      <c r="AQ464" s="82">
        <v>0</v>
      </c>
      <c r="AR464" s="82">
        <v>7296600</v>
      </c>
      <c r="AS464" s="82">
        <v>0</v>
      </c>
      <c r="AT464" s="82">
        <v>7296600</v>
      </c>
      <c r="AU464" s="82">
        <v>0</v>
      </c>
      <c r="AV464" s="82">
        <v>7296600</v>
      </c>
      <c r="AW464" s="82">
        <v>0</v>
      </c>
      <c r="AX464" s="82">
        <v>7296600</v>
      </c>
      <c r="AY464" s="82">
        <v>0</v>
      </c>
      <c r="AZ464" s="82">
        <v>7296600</v>
      </c>
      <c r="BA464" s="82">
        <v>0</v>
      </c>
      <c r="BB464" s="82">
        <v>14593200</v>
      </c>
      <c r="BC464" s="82">
        <f t="shared" ref="BC464:BD464" si="918">AE464+AG464+AI464+AK464+AM464+AO464+AQ464+AS464+AU464+AW464+AY464+BA464</f>
        <v>83910900</v>
      </c>
      <c r="BD464" s="82">
        <f t="shared" si="918"/>
        <v>83910900</v>
      </c>
      <c r="BE464" s="83">
        <f t="shared" si="813"/>
        <v>-2595358</v>
      </c>
      <c r="BF464" s="83">
        <f t="shared" si="814"/>
        <v>-2595358</v>
      </c>
      <c r="BG464" s="14" t="str">
        <f ca="1">IFERROR(__xludf.DUMMYFUNCTION("REGEXEXTRACT(O458,""^\S+\s(.+)$"")"),"Prestar servicios profesionales para proporcionar servicios profesionales para realizar el análisis y procesamiento de solicitudes de los agentes interesados en conectarse a la red nacional, regional y de distribución, incluyendo la evaluación de solicitu"&amp;"des de aprobación de Unidades Constructivas de nivel de tensión IV remitidas por los distintos transportadores; así como también brindar apoyo a los procedimientos asociado al grupo interno de trabajo de transmisión.")</f>
        <v>Prestar servicios profesionales para proporcionar servicios profesionales para realizar el análisis y procesamiento de solicitudes de los agentes interesados en conectarse a la red nacional, regional y de distribución, incluyendo la evaluación de solicitudes de aprobación de Unidades Constructivas de nivel de tensión IV remitidas por los distintos transportadores; así como también brindar apoyo a los procedimientos asociado al grupo interno de trabajo de transmisión.</v>
      </c>
      <c r="BH464" s="23">
        <v>81315542</v>
      </c>
      <c r="BI464" s="23"/>
      <c r="BJ464" s="23"/>
      <c r="BK464" s="23">
        <v>243220</v>
      </c>
      <c r="BL464" s="23"/>
      <c r="BM464" s="23">
        <v>7296600</v>
      </c>
      <c r="BN464" s="23"/>
      <c r="BO464" s="23">
        <v>7296600</v>
      </c>
      <c r="BP464" s="23"/>
      <c r="BQ464" s="23">
        <v>7296600</v>
      </c>
      <c r="BR464" s="23"/>
      <c r="BS464" s="23">
        <v>7296600</v>
      </c>
      <c r="BT464" s="23"/>
      <c r="BU464" s="23">
        <v>7296600</v>
      </c>
      <c r="BV464" s="23"/>
      <c r="BW464" s="23">
        <v>7296600</v>
      </c>
      <c r="BX464" s="23"/>
      <c r="BY464" s="23">
        <v>7296600</v>
      </c>
      <c r="BZ464" s="23"/>
      <c r="CA464" s="23">
        <v>7296600</v>
      </c>
      <c r="CB464" s="23"/>
      <c r="CC464" s="23">
        <v>7296600</v>
      </c>
      <c r="CD464" s="23"/>
      <c r="CE464" s="23">
        <v>15402922</v>
      </c>
      <c r="CF464" s="28"/>
      <c r="CG464" s="28"/>
      <c r="CH464" s="25">
        <f t="shared" ref="CH464:CI464" si="919">BH464+BJ464+BL464+BN464+BP464+BR464+BT464+BV464+BX464+BZ464+CB464+CD464+CF464</f>
        <v>81315542</v>
      </c>
      <c r="CI464" s="25">
        <f t="shared" si="919"/>
        <v>81315542</v>
      </c>
      <c r="CJ464" s="26">
        <f t="shared" si="816"/>
        <v>0</v>
      </c>
      <c r="CK464" s="26">
        <f t="shared" si="817"/>
        <v>0</v>
      </c>
    </row>
    <row r="465" spans="1:89" ht="90" customHeight="1" x14ac:dyDescent="0.3">
      <c r="A465" s="13" t="s">
        <v>248</v>
      </c>
      <c r="B465" s="14" t="s">
        <v>34</v>
      </c>
      <c r="C465" s="15" t="s">
        <v>1127</v>
      </c>
      <c r="D465" s="14" t="s">
        <v>61</v>
      </c>
      <c r="E465" s="13" t="s">
        <v>250</v>
      </c>
      <c r="F465" s="13" t="s">
        <v>250</v>
      </c>
      <c r="G465" s="14">
        <v>68</v>
      </c>
      <c r="H465" s="13" t="s">
        <v>1289</v>
      </c>
      <c r="I465" s="15" t="s">
        <v>1129</v>
      </c>
      <c r="J465" s="14" t="s">
        <v>9</v>
      </c>
      <c r="K465" s="15" t="s">
        <v>77</v>
      </c>
      <c r="L465" s="14">
        <v>80111620</v>
      </c>
      <c r="M465" s="14" t="s">
        <v>35</v>
      </c>
      <c r="N465" s="14" t="s">
        <v>253</v>
      </c>
      <c r="O465" s="15" t="s">
        <v>1290</v>
      </c>
      <c r="P465" s="14" t="s">
        <v>255</v>
      </c>
      <c r="Q465" s="14" t="s">
        <v>255</v>
      </c>
      <c r="R465" s="14" t="s">
        <v>255</v>
      </c>
      <c r="S465" s="17">
        <v>10</v>
      </c>
      <c r="T465" s="14" t="s">
        <v>256</v>
      </c>
      <c r="U465" s="14" t="s">
        <v>257</v>
      </c>
      <c r="V465" s="14" t="s">
        <v>112</v>
      </c>
      <c r="W465" s="18">
        <v>87000000</v>
      </c>
      <c r="X465" s="18">
        <v>87000000</v>
      </c>
      <c r="Y465" s="19" t="s">
        <v>339</v>
      </c>
      <c r="Z465" s="19" t="s">
        <v>258</v>
      </c>
      <c r="AA465" s="14" t="s">
        <v>1132</v>
      </c>
      <c r="AB465" s="14" t="s">
        <v>1133</v>
      </c>
      <c r="AC465" s="14">
        <v>6012220601</v>
      </c>
      <c r="AD465" s="14" t="s">
        <v>1134</v>
      </c>
      <c r="AE465" s="82">
        <v>87000000</v>
      </c>
      <c r="AF465" s="82">
        <v>0</v>
      </c>
      <c r="AG465" s="82">
        <v>0</v>
      </c>
      <c r="AH465" s="82">
        <v>0</v>
      </c>
      <c r="AI465" s="82">
        <v>0</v>
      </c>
      <c r="AJ465" s="82">
        <v>8700000</v>
      </c>
      <c r="AK465" s="82">
        <v>0</v>
      </c>
      <c r="AL465" s="82">
        <v>8700000</v>
      </c>
      <c r="AM465" s="82">
        <v>0</v>
      </c>
      <c r="AN465" s="82">
        <v>8700000</v>
      </c>
      <c r="AO465" s="82">
        <v>0</v>
      </c>
      <c r="AP465" s="82">
        <v>8700000</v>
      </c>
      <c r="AQ465" s="82">
        <v>0</v>
      </c>
      <c r="AR465" s="82">
        <v>8700000</v>
      </c>
      <c r="AS465" s="82">
        <v>0</v>
      </c>
      <c r="AT465" s="82">
        <v>8700000</v>
      </c>
      <c r="AU465" s="82">
        <v>0</v>
      </c>
      <c r="AV465" s="82">
        <v>8700000</v>
      </c>
      <c r="AW465" s="82">
        <v>0</v>
      </c>
      <c r="AX465" s="82">
        <v>8700000</v>
      </c>
      <c r="AY465" s="82">
        <v>0</v>
      </c>
      <c r="AZ465" s="82">
        <v>8700000</v>
      </c>
      <c r="BA465" s="82">
        <v>0</v>
      </c>
      <c r="BB465" s="82">
        <v>8700000</v>
      </c>
      <c r="BC465" s="82">
        <f t="shared" ref="BC465:BD465" si="920">AE465+AG465+AI465+AK465+AM465+AO465+AQ465+AS465+AU465+AW465+AY465+BA465</f>
        <v>87000000</v>
      </c>
      <c r="BD465" s="82">
        <f t="shared" si="920"/>
        <v>87000000</v>
      </c>
      <c r="BE465" s="83">
        <f t="shared" si="813"/>
        <v>0</v>
      </c>
      <c r="BF465" s="83">
        <f t="shared" si="814"/>
        <v>0</v>
      </c>
      <c r="BG465" s="14" t="str">
        <f ca="1">IFERROR(__xludf.DUMMYFUNCTION("REGEXEXTRACT(O459,""^\S+\s(.+)$"")"),"Prestar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65" s="23">
        <v>87000000</v>
      </c>
      <c r="BI465" s="23"/>
      <c r="BJ465" s="23"/>
      <c r="BK465" s="23"/>
      <c r="BL465" s="23"/>
      <c r="BM465" s="23">
        <v>8700000</v>
      </c>
      <c r="BN465" s="23"/>
      <c r="BO465" s="23">
        <v>8700000</v>
      </c>
      <c r="BP465" s="23"/>
      <c r="BQ465" s="23">
        <v>8700000</v>
      </c>
      <c r="BR465" s="23"/>
      <c r="BS465" s="23">
        <v>8700000</v>
      </c>
      <c r="BT465" s="23"/>
      <c r="BU465" s="23">
        <v>8700000</v>
      </c>
      <c r="BV465" s="23"/>
      <c r="BW465" s="23">
        <v>8700000</v>
      </c>
      <c r="BX465" s="23"/>
      <c r="BY465" s="23">
        <v>8700000</v>
      </c>
      <c r="BZ465" s="23"/>
      <c r="CA465" s="23">
        <v>8700000</v>
      </c>
      <c r="CB465" s="23"/>
      <c r="CC465" s="23">
        <v>8700000</v>
      </c>
      <c r="CD465" s="23"/>
      <c r="CE465" s="23">
        <v>8700000</v>
      </c>
      <c r="CF465" s="28"/>
      <c r="CG465" s="28"/>
      <c r="CH465" s="25">
        <f t="shared" ref="CH465:CI465" si="921">BH465+BJ465+BL465+BN465+BP465+BR465+BT465+BV465+BX465+BZ465+CB465+CD465+CF465</f>
        <v>87000000</v>
      </c>
      <c r="CI465" s="25">
        <f t="shared" si="921"/>
        <v>87000000</v>
      </c>
      <c r="CJ465" s="26">
        <f t="shared" si="816"/>
        <v>0</v>
      </c>
      <c r="CK465" s="26">
        <f t="shared" si="817"/>
        <v>0</v>
      </c>
    </row>
    <row r="466" spans="1:89" ht="90" customHeight="1" x14ac:dyDescent="0.3">
      <c r="A466" s="13" t="s">
        <v>248</v>
      </c>
      <c r="B466" s="14" t="s">
        <v>34</v>
      </c>
      <c r="C466" s="15" t="s">
        <v>1127</v>
      </c>
      <c r="D466" s="14" t="s">
        <v>61</v>
      </c>
      <c r="E466" s="13" t="s">
        <v>250</v>
      </c>
      <c r="F466" s="13" t="s">
        <v>250</v>
      </c>
      <c r="G466" s="14">
        <v>68</v>
      </c>
      <c r="H466" s="13" t="s">
        <v>1291</v>
      </c>
      <c r="I466" s="15" t="s">
        <v>1129</v>
      </c>
      <c r="J466" s="14" t="s">
        <v>9</v>
      </c>
      <c r="K466" s="15" t="s">
        <v>77</v>
      </c>
      <c r="L466" s="14">
        <v>80111620</v>
      </c>
      <c r="M466" s="14" t="s">
        <v>35</v>
      </c>
      <c r="N466" s="14" t="s">
        <v>253</v>
      </c>
      <c r="O466" s="15" t="s">
        <v>1292</v>
      </c>
      <c r="P466" s="14" t="s">
        <v>255</v>
      </c>
      <c r="Q466" s="14" t="s">
        <v>255</v>
      </c>
      <c r="R466" s="14" t="s">
        <v>255</v>
      </c>
      <c r="S466" s="17">
        <v>11.5</v>
      </c>
      <c r="T466" s="14" t="s">
        <v>256</v>
      </c>
      <c r="U466" s="14" t="s">
        <v>257</v>
      </c>
      <c r="V466" s="14" t="s">
        <v>112</v>
      </c>
      <c r="W466" s="18">
        <v>83910900</v>
      </c>
      <c r="X466" s="18">
        <v>83910900</v>
      </c>
      <c r="Y466" s="19" t="s">
        <v>339</v>
      </c>
      <c r="Z466" s="19" t="s">
        <v>258</v>
      </c>
      <c r="AA466" s="14" t="s">
        <v>1132</v>
      </c>
      <c r="AB466" s="14" t="s">
        <v>1133</v>
      </c>
      <c r="AC466" s="14">
        <v>6012220601</v>
      </c>
      <c r="AD466" s="14" t="s">
        <v>1134</v>
      </c>
      <c r="AE466" s="82">
        <v>83910900</v>
      </c>
      <c r="AF466" s="82">
        <v>0</v>
      </c>
      <c r="AG466" s="82">
        <v>0</v>
      </c>
      <c r="AH466" s="82">
        <v>3648300</v>
      </c>
      <c r="AI466" s="82">
        <v>0</v>
      </c>
      <c r="AJ466" s="82">
        <v>7296600</v>
      </c>
      <c r="AK466" s="82">
        <v>0</v>
      </c>
      <c r="AL466" s="82">
        <v>7296600</v>
      </c>
      <c r="AM466" s="82">
        <v>0</v>
      </c>
      <c r="AN466" s="82">
        <v>7296600</v>
      </c>
      <c r="AO466" s="82">
        <v>0</v>
      </c>
      <c r="AP466" s="82">
        <v>7296600</v>
      </c>
      <c r="AQ466" s="82">
        <v>0</v>
      </c>
      <c r="AR466" s="82">
        <v>7296600</v>
      </c>
      <c r="AS466" s="82">
        <v>0</v>
      </c>
      <c r="AT466" s="82">
        <v>7296600</v>
      </c>
      <c r="AU466" s="82">
        <v>0</v>
      </c>
      <c r="AV466" s="82">
        <v>7296600</v>
      </c>
      <c r="AW466" s="82">
        <v>0</v>
      </c>
      <c r="AX466" s="82">
        <v>7296600</v>
      </c>
      <c r="AY466" s="82">
        <v>0</v>
      </c>
      <c r="AZ466" s="82">
        <v>7296600</v>
      </c>
      <c r="BA466" s="82">
        <v>0</v>
      </c>
      <c r="BB466" s="82">
        <v>14593200</v>
      </c>
      <c r="BC466" s="82">
        <f t="shared" ref="BC466:BD466" si="922">AE466+AG466+AI466+AK466+AM466+AO466+AQ466+AS466+AU466+AW466+AY466+BA466</f>
        <v>83910900</v>
      </c>
      <c r="BD466" s="82">
        <f t="shared" si="922"/>
        <v>83910900</v>
      </c>
      <c r="BE466" s="83">
        <f t="shared" si="813"/>
        <v>0</v>
      </c>
      <c r="BF466" s="83">
        <f t="shared" si="814"/>
        <v>0</v>
      </c>
      <c r="BG466" s="14" t="str">
        <f ca="1">IFERROR(__xludf.DUMMYFUNCTION("REGEXEXTRACT(O460,""^\S+\s(.+)$"")"),"Prestar los servicios profesionales para participar en el análisis y procesamiento de solicitudes de los agentes interesados en conectarse a la red nacional, regional y de distribución a través de la metodología de evaluación y análisis eléctricos de fluj"&amp;"os de carga, corto y estabilidad y apoyar la evaluación de solicitudes de asignación de capacidad de transporte de proyectos de generación y usuarios finales según la resolución CREG 075 de 2021.")</f>
        <v>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apoyar la evaluación de solicitudes de asignación de capacidad de transporte de proyectos de generación y usuarios finales según la resolución CREG 075 de 2021.</v>
      </c>
      <c r="BH466" s="23">
        <v>83910900</v>
      </c>
      <c r="BI466" s="23"/>
      <c r="BJ466" s="23"/>
      <c r="BK466" s="23">
        <v>3648300</v>
      </c>
      <c r="BL466" s="23"/>
      <c r="BM466" s="23">
        <v>7296600</v>
      </c>
      <c r="BN466" s="23"/>
      <c r="BO466" s="23">
        <v>7296600</v>
      </c>
      <c r="BP466" s="23"/>
      <c r="BQ466" s="23">
        <v>7296600</v>
      </c>
      <c r="BR466" s="23"/>
      <c r="BS466" s="23">
        <v>7296600</v>
      </c>
      <c r="BT466" s="23"/>
      <c r="BU466" s="23">
        <v>7296600</v>
      </c>
      <c r="BV466" s="23"/>
      <c r="BW466" s="23">
        <v>7296600</v>
      </c>
      <c r="BX466" s="23"/>
      <c r="BY466" s="23">
        <v>7296600</v>
      </c>
      <c r="BZ466" s="23"/>
      <c r="CA466" s="23">
        <v>7296600</v>
      </c>
      <c r="CB466" s="23"/>
      <c r="CC466" s="23">
        <v>7296600</v>
      </c>
      <c r="CD466" s="23"/>
      <c r="CE466" s="23">
        <v>14593200</v>
      </c>
      <c r="CF466" s="28"/>
      <c r="CG466" s="28"/>
      <c r="CH466" s="25">
        <f t="shared" ref="CH466:CI466" si="923">BH466+BJ466+BL466+BN466+BP466+BR466+BT466+BV466+BX466+BZ466+CB466+CD466+CF466</f>
        <v>83910900</v>
      </c>
      <c r="CI466" s="25">
        <f t="shared" si="923"/>
        <v>83910900</v>
      </c>
      <c r="CJ466" s="26">
        <f t="shared" si="816"/>
        <v>0</v>
      </c>
      <c r="CK466" s="26">
        <f t="shared" si="817"/>
        <v>0</v>
      </c>
    </row>
    <row r="467" spans="1:89" ht="90" customHeight="1" x14ac:dyDescent="0.3">
      <c r="A467" s="13" t="s">
        <v>248</v>
      </c>
      <c r="B467" s="14" t="s">
        <v>34</v>
      </c>
      <c r="C467" s="15" t="s">
        <v>1127</v>
      </c>
      <c r="D467" s="14" t="s">
        <v>61</v>
      </c>
      <c r="E467" s="13" t="s">
        <v>250</v>
      </c>
      <c r="F467" s="13" t="s">
        <v>250</v>
      </c>
      <c r="G467" s="14">
        <v>22</v>
      </c>
      <c r="H467" s="13" t="s">
        <v>1293</v>
      </c>
      <c r="I467" s="15" t="s">
        <v>1129</v>
      </c>
      <c r="J467" s="14" t="s">
        <v>9</v>
      </c>
      <c r="K467" s="15" t="s">
        <v>77</v>
      </c>
      <c r="L467" s="14">
        <v>80111620</v>
      </c>
      <c r="M467" s="14" t="s">
        <v>35</v>
      </c>
      <c r="N467" s="14" t="s">
        <v>253</v>
      </c>
      <c r="O467" s="15" t="s">
        <v>1294</v>
      </c>
      <c r="P467" s="14" t="s">
        <v>255</v>
      </c>
      <c r="Q467" s="14" t="s">
        <v>255</v>
      </c>
      <c r="R467" s="14" t="s">
        <v>255</v>
      </c>
      <c r="S467" s="17">
        <v>11.5</v>
      </c>
      <c r="T467" s="14" t="s">
        <v>256</v>
      </c>
      <c r="U467" s="14" t="s">
        <v>257</v>
      </c>
      <c r="V467" s="14" t="s">
        <v>112</v>
      </c>
      <c r="W467" s="18">
        <v>49771250</v>
      </c>
      <c r="X467" s="18">
        <v>49771250</v>
      </c>
      <c r="Y467" s="19" t="s">
        <v>339</v>
      </c>
      <c r="Z467" s="19" t="s">
        <v>258</v>
      </c>
      <c r="AA467" s="14" t="s">
        <v>1132</v>
      </c>
      <c r="AB467" s="14" t="s">
        <v>1133</v>
      </c>
      <c r="AC467" s="14">
        <v>6012220601</v>
      </c>
      <c r="AD467" s="14" t="s">
        <v>1134</v>
      </c>
      <c r="AE467" s="82">
        <v>59771250</v>
      </c>
      <c r="AF467" s="82">
        <v>0</v>
      </c>
      <c r="AG467" s="82">
        <v>0</v>
      </c>
      <c r="AH467" s="82">
        <v>2598750</v>
      </c>
      <c r="AI467" s="82">
        <v>0</v>
      </c>
      <c r="AJ467" s="82">
        <v>5197500</v>
      </c>
      <c r="AK467" s="82">
        <v>0</v>
      </c>
      <c r="AL467" s="82">
        <v>5197500</v>
      </c>
      <c r="AM467" s="82">
        <v>0</v>
      </c>
      <c r="AN467" s="82">
        <v>5197500</v>
      </c>
      <c r="AO467" s="82">
        <v>0</v>
      </c>
      <c r="AP467" s="82">
        <v>5197500</v>
      </c>
      <c r="AQ467" s="82">
        <v>0</v>
      </c>
      <c r="AR467" s="82">
        <v>5197500</v>
      </c>
      <c r="AS467" s="82">
        <v>0</v>
      </c>
      <c r="AT467" s="82">
        <v>5197500</v>
      </c>
      <c r="AU467" s="82">
        <v>0</v>
      </c>
      <c r="AV467" s="82">
        <v>5197500</v>
      </c>
      <c r="AW467" s="82">
        <v>0</v>
      </c>
      <c r="AX467" s="82">
        <v>5197500</v>
      </c>
      <c r="AY467" s="82">
        <v>0</v>
      </c>
      <c r="AZ467" s="82">
        <v>5197500</v>
      </c>
      <c r="BA467" s="82">
        <v>0</v>
      </c>
      <c r="BB467" s="82">
        <v>10395000</v>
      </c>
      <c r="BC467" s="82">
        <f t="shared" ref="BC467:BD467" si="924">AE467+AG467+AI467+AK467+AM467+AO467+AQ467+AS467+AU467+AW467+AY467+BA467</f>
        <v>59771250</v>
      </c>
      <c r="BD467" s="82">
        <f t="shared" si="924"/>
        <v>59771250</v>
      </c>
      <c r="BE467" s="83">
        <f t="shared" si="813"/>
        <v>-10000000</v>
      </c>
      <c r="BF467" s="83">
        <f t="shared" si="814"/>
        <v>-10000000</v>
      </c>
      <c r="BG467" s="14" t="str">
        <f ca="1">IFERROR(__xludf.DUMMYFUNCTION("REGEXEXTRACT(O461,""^\S+\s(.+)$"")"),"Prestar los servicios profesionales para participar en el análisis y procesamiento de solicitudes de los agentes interesados en conectarse a la red nacional, regional y de distribución a través de la metodología de evaluación y análisis eléctricos de fluj"&amp;"os de carga, corto y estabilidad y conceptos sobre las solicitudes de asignación de capacidad.")</f>
        <v>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conceptos sobre las solicitudes de asignación de capacidad.</v>
      </c>
      <c r="BH467" s="23">
        <v>59771250</v>
      </c>
      <c r="BI467" s="23"/>
      <c r="BJ467" s="23"/>
      <c r="BK467" s="23">
        <v>2598750</v>
      </c>
      <c r="BL467" s="23"/>
      <c r="BM467" s="23">
        <v>5197500</v>
      </c>
      <c r="BN467" s="23">
        <v>-10000000</v>
      </c>
      <c r="BO467" s="23">
        <v>5197500</v>
      </c>
      <c r="BP467" s="23"/>
      <c r="BQ467" s="23">
        <v>5197500</v>
      </c>
      <c r="BR467" s="23"/>
      <c r="BS467" s="23">
        <v>5197500</v>
      </c>
      <c r="BT467" s="23"/>
      <c r="BU467" s="23">
        <v>5197500</v>
      </c>
      <c r="BV467" s="23"/>
      <c r="BW467" s="23">
        <v>5197500</v>
      </c>
      <c r="BX467" s="23"/>
      <c r="BY467" s="23">
        <v>5197500</v>
      </c>
      <c r="BZ467" s="23"/>
      <c r="CA467" s="23">
        <v>5197500</v>
      </c>
      <c r="CB467" s="23"/>
      <c r="CC467" s="23">
        <v>5197500</v>
      </c>
      <c r="CD467" s="23"/>
      <c r="CE467" s="23">
        <v>395000</v>
      </c>
      <c r="CF467" s="28"/>
      <c r="CG467" s="28"/>
      <c r="CH467" s="25">
        <f t="shared" ref="CH467:CI467" si="925">BH467+BJ467+BL467+BN467+BP467+BR467+BT467+BV467+BX467+BZ467+CB467+CD467+CF467</f>
        <v>49771250</v>
      </c>
      <c r="CI467" s="25">
        <f t="shared" si="925"/>
        <v>49771250</v>
      </c>
      <c r="CJ467" s="26">
        <f t="shared" si="816"/>
        <v>0</v>
      </c>
      <c r="CK467" s="26">
        <f t="shared" si="817"/>
        <v>0</v>
      </c>
    </row>
    <row r="468" spans="1:89" ht="90" customHeight="1" x14ac:dyDescent="0.3">
      <c r="A468" s="13" t="s">
        <v>248</v>
      </c>
      <c r="B468" s="14" t="s">
        <v>34</v>
      </c>
      <c r="C468" s="15" t="s">
        <v>1127</v>
      </c>
      <c r="D468" s="14" t="s">
        <v>61</v>
      </c>
      <c r="E468" s="13" t="s">
        <v>250</v>
      </c>
      <c r="F468" s="13" t="s">
        <v>250</v>
      </c>
      <c r="G468" s="93" t="s">
        <v>1146</v>
      </c>
      <c r="H468" s="13" t="s">
        <v>1295</v>
      </c>
      <c r="I468" s="15" t="s">
        <v>1129</v>
      </c>
      <c r="J468" s="14" t="s">
        <v>9</v>
      </c>
      <c r="K468" s="15" t="s">
        <v>77</v>
      </c>
      <c r="L468" s="14">
        <v>80111620</v>
      </c>
      <c r="M468" s="14" t="s">
        <v>35</v>
      </c>
      <c r="N468" s="14" t="s">
        <v>253</v>
      </c>
      <c r="O468" s="15" t="s">
        <v>1296</v>
      </c>
      <c r="P468" s="14" t="s">
        <v>255</v>
      </c>
      <c r="Q468" s="14" t="s">
        <v>255</v>
      </c>
      <c r="R468" s="14" t="s">
        <v>255</v>
      </c>
      <c r="S468" s="17">
        <v>12</v>
      </c>
      <c r="T468" s="14" t="s">
        <v>256</v>
      </c>
      <c r="U468" s="14" t="s">
        <v>257</v>
      </c>
      <c r="V468" s="14" t="s">
        <v>112</v>
      </c>
      <c r="W468" s="18">
        <v>48613950</v>
      </c>
      <c r="X468" s="18">
        <v>48613950</v>
      </c>
      <c r="Y468" s="19" t="s">
        <v>1106</v>
      </c>
      <c r="Z468" s="19" t="s">
        <v>1131</v>
      </c>
      <c r="AA468" s="14" t="s">
        <v>1132</v>
      </c>
      <c r="AB468" s="14" t="s">
        <v>1133</v>
      </c>
      <c r="AC468" s="14">
        <v>6012220601</v>
      </c>
      <c r="AD468" s="14" t="s">
        <v>1134</v>
      </c>
      <c r="AE468" s="82">
        <v>29591100</v>
      </c>
      <c r="AF468" s="82">
        <v>0</v>
      </c>
      <c r="AG468" s="82">
        <v>0</v>
      </c>
      <c r="AH468" s="82">
        <v>2113650</v>
      </c>
      <c r="AI468" s="82">
        <v>0</v>
      </c>
      <c r="AJ468" s="82">
        <v>4227300</v>
      </c>
      <c r="AK468" s="82">
        <v>0</v>
      </c>
      <c r="AL468" s="82">
        <v>4227300</v>
      </c>
      <c r="AM468" s="82">
        <v>0</v>
      </c>
      <c r="AN468" s="82">
        <v>4227300</v>
      </c>
      <c r="AO468" s="82">
        <v>0</v>
      </c>
      <c r="AP468" s="82">
        <v>4227300</v>
      </c>
      <c r="AQ468" s="82">
        <v>0</v>
      </c>
      <c r="AR468" s="82">
        <v>4227300</v>
      </c>
      <c r="AS468" s="82">
        <v>19022850</v>
      </c>
      <c r="AT468" s="82">
        <v>4227300</v>
      </c>
      <c r="AU468" s="82">
        <v>0</v>
      </c>
      <c r="AV468" s="82">
        <v>4227300</v>
      </c>
      <c r="AW468" s="82">
        <v>0</v>
      </c>
      <c r="AX468" s="82">
        <v>4227300</v>
      </c>
      <c r="AY468" s="82">
        <v>0</v>
      </c>
      <c r="AZ468" s="82">
        <v>4227300</v>
      </c>
      <c r="BA468" s="82">
        <v>0</v>
      </c>
      <c r="BB468" s="82">
        <v>8454600</v>
      </c>
      <c r="BC468" s="82">
        <f t="shared" ref="BC468:BD468" si="926">AE468+AG468+AI468+AK468+AM468+AO468+AQ468+AS468+AU468+AW468+AY468+BA468</f>
        <v>48613950</v>
      </c>
      <c r="BD468" s="82">
        <f t="shared" si="926"/>
        <v>48613950</v>
      </c>
      <c r="BE468" s="83">
        <f t="shared" si="813"/>
        <v>0</v>
      </c>
      <c r="BF468" s="83">
        <f t="shared" si="814"/>
        <v>0</v>
      </c>
      <c r="BG468" s="14" t="str">
        <f ca="1">IFERROR(__xludf.DUMMYFUNCTION("REGEXEXTRACT(O462,""^\S+\s(.+)$"")"),"Prestar los servicios profesionales para apoyar el seguimiento el seguimiento a la ejecución de los proyectos de nivel de tensión iv que corresponde a la UPME y las solicitudes de conexión según la resolución CREG 075 de 2021 , así como los procedimientos"&amp;" asociados al grupo interno de trabajo de transmisión.")</f>
        <v>Prestar los servicios profesionales para apoyar el seguimiento el seguimiento a la ejecución de los proyectos de nivel de tensión iv que corresponde a la UPME y las solicitudes de conexión según la resolución CREG 075 de 2021 , así como los procedimientos asociados al grupo interno de trabajo de transmisión.</v>
      </c>
      <c r="BH468" s="23">
        <v>29591100</v>
      </c>
      <c r="BI468" s="23"/>
      <c r="BJ468" s="23"/>
      <c r="BK468" s="23">
        <v>2113650</v>
      </c>
      <c r="BL468" s="23"/>
      <c r="BM468" s="23">
        <v>4227300</v>
      </c>
      <c r="BN468" s="23"/>
      <c r="BO468" s="23">
        <v>4227300</v>
      </c>
      <c r="BP468" s="23"/>
      <c r="BQ468" s="23">
        <v>4227300</v>
      </c>
      <c r="BR468" s="23"/>
      <c r="BS468" s="23">
        <v>4227300</v>
      </c>
      <c r="BT468" s="23"/>
      <c r="BU468" s="23">
        <v>4227300</v>
      </c>
      <c r="BV468" s="23">
        <v>19022850</v>
      </c>
      <c r="BW468" s="23">
        <v>4227300</v>
      </c>
      <c r="BX468" s="23"/>
      <c r="BY468" s="23">
        <v>4227300</v>
      </c>
      <c r="BZ468" s="23"/>
      <c r="CA468" s="23">
        <v>4227300</v>
      </c>
      <c r="CB468" s="23"/>
      <c r="CC468" s="23">
        <v>4227300</v>
      </c>
      <c r="CD468" s="23"/>
      <c r="CE468" s="23">
        <v>8454600</v>
      </c>
      <c r="CF468" s="28"/>
      <c r="CG468" s="28"/>
      <c r="CH468" s="25">
        <f t="shared" ref="CH468:CI468" si="927">BH468+BJ468+BL468+BN468+BP468+BR468+BT468+BV468+BX468+BZ468+CB468+CD468+CF468</f>
        <v>48613950</v>
      </c>
      <c r="CI468" s="25">
        <f t="shared" si="927"/>
        <v>48613950</v>
      </c>
      <c r="CJ468" s="26">
        <f t="shared" si="816"/>
        <v>0</v>
      </c>
      <c r="CK468" s="26">
        <f t="shared" si="817"/>
        <v>0</v>
      </c>
    </row>
    <row r="469" spans="1:89" ht="90" customHeight="1" x14ac:dyDescent="0.3">
      <c r="A469" s="13" t="s">
        <v>248</v>
      </c>
      <c r="B469" s="14" t="s">
        <v>34</v>
      </c>
      <c r="C469" s="15" t="s">
        <v>1127</v>
      </c>
      <c r="D469" s="14" t="s">
        <v>61</v>
      </c>
      <c r="E469" s="13" t="s">
        <v>250</v>
      </c>
      <c r="F469" s="13" t="s">
        <v>250</v>
      </c>
      <c r="G469" s="14">
        <v>68</v>
      </c>
      <c r="H469" s="13" t="s">
        <v>1297</v>
      </c>
      <c r="I469" s="15" t="s">
        <v>1129</v>
      </c>
      <c r="J469" s="14" t="s">
        <v>9</v>
      </c>
      <c r="K469" s="15" t="s">
        <v>77</v>
      </c>
      <c r="L469" s="14">
        <v>80111620</v>
      </c>
      <c r="M469" s="14" t="s">
        <v>35</v>
      </c>
      <c r="N469" s="14" t="s">
        <v>253</v>
      </c>
      <c r="O469" s="15" t="s">
        <v>1298</v>
      </c>
      <c r="P469" s="14" t="s">
        <v>255</v>
      </c>
      <c r="Q469" s="14" t="s">
        <v>255</v>
      </c>
      <c r="R469" s="14" t="s">
        <v>255</v>
      </c>
      <c r="S469" s="17">
        <v>12</v>
      </c>
      <c r="T469" s="14" t="s">
        <v>256</v>
      </c>
      <c r="U469" s="14" t="s">
        <v>257</v>
      </c>
      <c r="V469" s="14" t="s">
        <v>112</v>
      </c>
      <c r="W469" s="18">
        <v>41755350</v>
      </c>
      <c r="X469" s="18">
        <v>41755350</v>
      </c>
      <c r="Y469" s="19" t="s">
        <v>1106</v>
      </c>
      <c r="Z469" s="19" t="s">
        <v>1131</v>
      </c>
      <c r="AA469" s="14" t="s">
        <v>1132</v>
      </c>
      <c r="AB469" s="14" t="s">
        <v>1133</v>
      </c>
      <c r="AC469" s="14">
        <v>6012220601</v>
      </c>
      <c r="AD469" s="14" t="s">
        <v>1134</v>
      </c>
      <c r="AE469" s="82">
        <v>25416300</v>
      </c>
      <c r="AF469" s="82">
        <v>0</v>
      </c>
      <c r="AG469" s="82">
        <v>0</v>
      </c>
      <c r="AH469" s="82">
        <v>1815450</v>
      </c>
      <c r="AI469" s="82">
        <v>0</v>
      </c>
      <c r="AJ469" s="82">
        <v>3630900</v>
      </c>
      <c r="AK469" s="82">
        <v>0</v>
      </c>
      <c r="AL469" s="82">
        <v>3630900</v>
      </c>
      <c r="AM469" s="82">
        <v>0</v>
      </c>
      <c r="AN469" s="82">
        <v>3630900</v>
      </c>
      <c r="AO469" s="82">
        <v>0</v>
      </c>
      <c r="AP469" s="82">
        <v>3630900</v>
      </c>
      <c r="AQ469" s="82">
        <v>0</v>
      </c>
      <c r="AR469" s="82">
        <v>3630900</v>
      </c>
      <c r="AS469" s="82">
        <v>16339050</v>
      </c>
      <c r="AT469" s="82">
        <v>3630900</v>
      </c>
      <c r="AU469" s="82">
        <v>0</v>
      </c>
      <c r="AV469" s="82">
        <v>3630900</v>
      </c>
      <c r="AW469" s="82">
        <v>0</v>
      </c>
      <c r="AX469" s="82">
        <v>3630900</v>
      </c>
      <c r="AY469" s="82">
        <v>0</v>
      </c>
      <c r="AZ469" s="82">
        <v>3630900</v>
      </c>
      <c r="BA469" s="82">
        <v>0</v>
      </c>
      <c r="BB469" s="82">
        <v>7261800</v>
      </c>
      <c r="BC469" s="82">
        <f t="shared" ref="BC469:BD469" si="928">AE469+AG469+AI469+AK469+AM469+AO469+AQ469+AS469+AU469+AW469+AY469+BA469</f>
        <v>41755350</v>
      </c>
      <c r="BD469" s="82">
        <f t="shared" si="928"/>
        <v>41755350</v>
      </c>
      <c r="BE469" s="83">
        <f t="shared" si="813"/>
        <v>0</v>
      </c>
      <c r="BF469" s="83">
        <f t="shared" si="814"/>
        <v>0</v>
      </c>
      <c r="BG469" s="14" t="str">
        <f ca="1">IFERROR(__xludf.DUMMYFUNCTION("REGEXEXTRACT(O463,""^\S+\s(.+)$"")"),"Prestar los servicios profesionales para apoyar el análisis y procesamiento de solicitudes de los agentes interesados en conectarse a la red nacional, regional y de distribución, conforme a las disposiciones de la Resolución CREG 075 y a los procedimiento"&amp;"s asociados al grupo interno de trabajo de transmisión.")</f>
        <v>Prestar los servicios profesionales para apoyar el análisis y procesamiento de solicitudes de los agentes interesados en conectarse a la red nacional, regional y de distribución, conforme a las disposiciones de la Resolución CREG 075 y a los procedimientos asociados al grupo interno de trabajo de transmisión.</v>
      </c>
      <c r="BH469" s="23">
        <v>25416300</v>
      </c>
      <c r="BI469" s="23"/>
      <c r="BJ469" s="23"/>
      <c r="BK469" s="23">
        <v>1815450</v>
      </c>
      <c r="BL469" s="23"/>
      <c r="BM469" s="23">
        <v>3630900</v>
      </c>
      <c r="BN469" s="23"/>
      <c r="BO469" s="23">
        <v>3630900</v>
      </c>
      <c r="BP469" s="23"/>
      <c r="BQ469" s="23">
        <v>3630900</v>
      </c>
      <c r="BR469" s="23"/>
      <c r="BS469" s="23">
        <v>3630900</v>
      </c>
      <c r="BT469" s="23"/>
      <c r="BU469" s="23">
        <v>3630900</v>
      </c>
      <c r="BV469" s="23">
        <v>16339050</v>
      </c>
      <c r="BW469" s="23">
        <v>3630900</v>
      </c>
      <c r="BX469" s="23"/>
      <c r="BY469" s="23">
        <v>3630900</v>
      </c>
      <c r="BZ469" s="23"/>
      <c r="CA469" s="23">
        <v>3630900</v>
      </c>
      <c r="CB469" s="23"/>
      <c r="CC469" s="23">
        <v>3630900</v>
      </c>
      <c r="CD469" s="23"/>
      <c r="CE469" s="23">
        <v>7261800</v>
      </c>
      <c r="CF469" s="28"/>
      <c r="CG469" s="28"/>
      <c r="CH469" s="25">
        <f t="shared" ref="CH469:CI469" si="929">BH469+BJ469+BL469+BN469+BP469+BR469+BT469+BV469+BX469+BZ469+CB469+CD469+CF469</f>
        <v>41755350</v>
      </c>
      <c r="CI469" s="25">
        <f t="shared" si="929"/>
        <v>41755350</v>
      </c>
      <c r="CJ469" s="26">
        <f t="shared" si="816"/>
        <v>0</v>
      </c>
      <c r="CK469" s="26">
        <f t="shared" si="817"/>
        <v>0</v>
      </c>
    </row>
    <row r="470" spans="1:89" ht="90" customHeight="1" x14ac:dyDescent="0.3">
      <c r="A470" s="13" t="s">
        <v>248</v>
      </c>
      <c r="B470" s="14" t="s">
        <v>34</v>
      </c>
      <c r="C470" s="15" t="s">
        <v>1127</v>
      </c>
      <c r="D470" s="14" t="s">
        <v>61</v>
      </c>
      <c r="E470" s="13" t="s">
        <v>250</v>
      </c>
      <c r="F470" s="13" t="s">
        <v>250</v>
      </c>
      <c r="G470" s="14">
        <v>68</v>
      </c>
      <c r="H470" s="13" t="s">
        <v>1299</v>
      </c>
      <c r="I470" s="15" t="s">
        <v>1129</v>
      </c>
      <c r="J470" s="14" t="s">
        <v>9</v>
      </c>
      <c r="K470" s="15" t="s">
        <v>77</v>
      </c>
      <c r="L470" s="14">
        <v>80111620</v>
      </c>
      <c r="M470" s="14" t="s">
        <v>35</v>
      </c>
      <c r="N470" s="14" t="s">
        <v>253</v>
      </c>
      <c r="O470" s="15" t="s">
        <v>1300</v>
      </c>
      <c r="P470" s="14" t="s">
        <v>255</v>
      </c>
      <c r="Q470" s="14" t="s">
        <v>255</v>
      </c>
      <c r="R470" s="14" t="s">
        <v>255</v>
      </c>
      <c r="S470" s="17">
        <v>12</v>
      </c>
      <c r="T470" s="14" t="s">
        <v>256</v>
      </c>
      <c r="U470" s="14" t="s">
        <v>257</v>
      </c>
      <c r="V470" s="14" t="s">
        <v>112</v>
      </c>
      <c r="W470" s="18">
        <v>80684000</v>
      </c>
      <c r="X470" s="18">
        <v>80684000</v>
      </c>
      <c r="Y470" s="19" t="s">
        <v>339</v>
      </c>
      <c r="Z470" s="19" t="s">
        <v>258</v>
      </c>
      <c r="AA470" s="14" t="s">
        <v>1132</v>
      </c>
      <c r="AB470" s="14" t="s">
        <v>1133</v>
      </c>
      <c r="AC470" s="14">
        <v>6012220601</v>
      </c>
      <c r="AD470" s="14" t="s">
        <v>1134</v>
      </c>
      <c r="AE470" s="82">
        <v>79514667</v>
      </c>
      <c r="AF470" s="82">
        <v>0</v>
      </c>
      <c r="AG470" s="82">
        <v>0</v>
      </c>
      <c r="AH470" s="82">
        <v>3508000</v>
      </c>
      <c r="AI470" s="82">
        <v>0</v>
      </c>
      <c r="AJ470" s="82">
        <v>7016000</v>
      </c>
      <c r="AK470" s="82">
        <v>1169333</v>
      </c>
      <c r="AL470" s="82">
        <v>7016000</v>
      </c>
      <c r="AM470" s="82">
        <v>0</v>
      </c>
      <c r="AN470" s="82">
        <v>7016000</v>
      </c>
      <c r="AO470" s="82">
        <v>0</v>
      </c>
      <c r="AP470" s="82">
        <v>7016000</v>
      </c>
      <c r="AQ470" s="82">
        <v>0</v>
      </c>
      <c r="AR470" s="82">
        <v>7016000</v>
      </c>
      <c r="AS470" s="82">
        <v>0</v>
      </c>
      <c r="AT470" s="82">
        <v>7016000</v>
      </c>
      <c r="AU470" s="82">
        <v>0</v>
      </c>
      <c r="AV470" s="82">
        <v>7016000</v>
      </c>
      <c r="AW470" s="82">
        <v>0</v>
      </c>
      <c r="AX470" s="82">
        <v>7016000</v>
      </c>
      <c r="AY470" s="82">
        <v>0</v>
      </c>
      <c r="AZ470" s="82">
        <v>7016000</v>
      </c>
      <c r="BA470" s="82">
        <v>0</v>
      </c>
      <c r="BB470" s="82">
        <v>14032000</v>
      </c>
      <c r="BC470" s="82">
        <f t="shared" ref="BC470:BD470" si="930">AE470+AG470+AI470+AK470+AM470+AO470+AQ470+AS470+AU470+AW470+AY470+BA470</f>
        <v>80684000</v>
      </c>
      <c r="BD470" s="82">
        <f t="shared" si="930"/>
        <v>80684000</v>
      </c>
      <c r="BE470" s="83">
        <f t="shared" si="813"/>
        <v>0</v>
      </c>
      <c r="BF470" s="83">
        <f t="shared" si="814"/>
        <v>0</v>
      </c>
      <c r="BG470" s="14" t="str">
        <f ca="1">IFERROR(__xludf.DUMMYFUNCTION("REGEXEXTRACT(O464,""^\S+\s(.+)$"")"),"Prestar los servicios profesionales para participar en el análisis, procesamiento , evaluación técnico - económica  y respuesta a solicitudes asociadas a proyectos de agentes interesados en conectarse a la red  del Sistema Interconectado Nacional - SIN, a"&amp;"sí como de las relacionadas con el seguimiento, la conceptualización, aprobación  y/o modificación de planes y obras de expansión del SIN.")</f>
        <v>Prestar los servicios profesionales para participar en el análisis, procesamiento , evaluación técnico - económica  y respuesta a solicitudes asociadas a proyectos de agentes interesados en conectarse a la red  del Sistema Interconectado Nacional - SIN, así como de las relacionadas con el seguimiento, la conceptualización, aprobación  y/o modificación de planes y obras de expansión del SIN.</v>
      </c>
      <c r="BH470" s="23">
        <v>79514667</v>
      </c>
      <c r="BI470" s="23"/>
      <c r="BJ470" s="23"/>
      <c r="BK470" s="23">
        <v>3508000</v>
      </c>
      <c r="BL470" s="23"/>
      <c r="BM470" s="23">
        <v>7016000</v>
      </c>
      <c r="BN470" s="23">
        <v>1169333</v>
      </c>
      <c r="BO470" s="23">
        <v>7016000</v>
      </c>
      <c r="BP470" s="23"/>
      <c r="BQ470" s="23">
        <v>7016000</v>
      </c>
      <c r="BR470" s="23"/>
      <c r="BS470" s="23">
        <v>7016000</v>
      </c>
      <c r="BT470" s="23"/>
      <c r="BU470" s="23">
        <v>7016000</v>
      </c>
      <c r="BV470" s="23"/>
      <c r="BW470" s="23">
        <v>7016000</v>
      </c>
      <c r="BX470" s="23"/>
      <c r="BY470" s="23">
        <v>7016000</v>
      </c>
      <c r="BZ470" s="23"/>
      <c r="CA470" s="23">
        <v>7016000</v>
      </c>
      <c r="CB470" s="23"/>
      <c r="CC470" s="23">
        <v>7016000</v>
      </c>
      <c r="CD470" s="23"/>
      <c r="CE470" s="23">
        <v>14032000</v>
      </c>
      <c r="CF470" s="28"/>
      <c r="CG470" s="28"/>
      <c r="CH470" s="25">
        <f t="shared" ref="CH470:CI470" si="931">BH470+BJ470+BL470+BN470+BP470+BR470+BT470+BV470+BX470+BZ470+CB470+CD470+CF470</f>
        <v>80684000</v>
      </c>
      <c r="CI470" s="25">
        <f t="shared" si="931"/>
        <v>80684000</v>
      </c>
      <c r="CJ470" s="26">
        <f t="shared" si="816"/>
        <v>0</v>
      </c>
      <c r="CK470" s="26">
        <f t="shared" si="817"/>
        <v>0</v>
      </c>
    </row>
    <row r="471" spans="1:89" ht="90" customHeight="1" x14ac:dyDescent="0.3">
      <c r="A471" s="13" t="s">
        <v>248</v>
      </c>
      <c r="B471" s="14" t="s">
        <v>34</v>
      </c>
      <c r="C471" s="15" t="s">
        <v>1127</v>
      </c>
      <c r="D471" s="14" t="s">
        <v>61</v>
      </c>
      <c r="E471" s="13" t="s">
        <v>250</v>
      </c>
      <c r="F471" s="13" t="s">
        <v>250</v>
      </c>
      <c r="G471" s="14">
        <v>68</v>
      </c>
      <c r="H471" s="13" t="s">
        <v>1301</v>
      </c>
      <c r="I471" s="15" t="s">
        <v>1129</v>
      </c>
      <c r="J471" s="14" t="s">
        <v>9</v>
      </c>
      <c r="K471" s="15" t="s">
        <v>77</v>
      </c>
      <c r="L471" s="14">
        <v>80111620</v>
      </c>
      <c r="M471" s="14" t="s">
        <v>35</v>
      </c>
      <c r="N471" s="14" t="s">
        <v>253</v>
      </c>
      <c r="O471" s="15" t="s">
        <v>1302</v>
      </c>
      <c r="P471" s="14" t="s">
        <v>255</v>
      </c>
      <c r="Q471" s="14" t="s">
        <v>255</v>
      </c>
      <c r="R471" s="94" t="s">
        <v>549</v>
      </c>
      <c r="S471" s="17">
        <v>12</v>
      </c>
      <c r="T471" s="14" t="s">
        <v>256</v>
      </c>
      <c r="U471" s="14" t="s">
        <v>257</v>
      </c>
      <c r="V471" s="14" t="s">
        <v>112</v>
      </c>
      <c r="W471" s="18">
        <v>80684000</v>
      </c>
      <c r="X471" s="18">
        <v>80684000</v>
      </c>
      <c r="Y471" s="19" t="s">
        <v>339</v>
      </c>
      <c r="Z471" s="19" t="s">
        <v>258</v>
      </c>
      <c r="AA471" s="14" t="s">
        <v>1132</v>
      </c>
      <c r="AB471" s="14" t="s">
        <v>1133</v>
      </c>
      <c r="AC471" s="14">
        <v>6012220601</v>
      </c>
      <c r="AD471" s="14" t="s">
        <v>1134</v>
      </c>
      <c r="AE471" s="82">
        <v>0</v>
      </c>
      <c r="AF471" s="82">
        <v>0</v>
      </c>
      <c r="AG471" s="82">
        <v>78345333</v>
      </c>
      <c r="AH471" s="82">
        <v>0</v>
      </c>
      <c r="AI471" s="82">
        <v>0</v>
      </c>
      <c r="AJ471" s="82">
        <v>3508000</v>
      </c>
      <c r="AK471" s="82">
        <v>2338667</v>
      </c>
      <c r="AL471" s="82">
        <v>7016000</v>
      </c>
      <c r="AM471" s="82">
        <v>0</v>
      </c>
      <c r="AN471" s="82">
        <v>7016000</v>
      </c>
      <c r="AO471" s="82">
        <v>0</v>
      </c>
      <c r="AP471" s="82">
        <v>7016000</v>
      </c>
      <c r="AQ471" s="82">
        <v>0</v>
      </c>
      <c r="AR471" s="82">
        <v>7016000</v>
      </c>
      <c r="AS471" s="82">
        <v>0</v>
      </c>
      <c r="AT471" s="82">
        <v>7016000</v>
      </c>
      <c r="AU471" s="82">
        <v>0</v>
      </c>
      <c r="AV471" s="82">
        <v>7016000</v>
      </c>
      <c r="AW471" s="82">
        <v>0</v>
      </c>
      <c r="AX471" s="82">
        <v>7016000</v>
      </c>
      <c r="AY471" s="82">
        <v>0</v>
      </c>
      <c r="AZ471" s="82">
        <v>7016000</v>
      </c>
      <c r="BA471" s="82">
        <v>0</v>
      </c>
      <c r="BB471" s="82">
        <v>21048000</v>
      </c>
      <c r="BC471" s="82">
        <f t="shared" ref="BC471:BD471" si="932">AE471+AG471+AI471+AK471+AM471+AO471+AQ471+AS471+AU471+AW471+AY471+BA471</f>
        <v>80684000</v>
      </c>
      <c r="BD471" s="82">
        <f t="shared" si="932"/>
        <v>80684000</v>
      </c>
      <c r="BE471" s="83">
        <f t="shared" si="813"/>
        <v>0</v>
      </c>
      <c r="BF471" s="83">
        <f t="shared" si="814"/>
        <v>0</v>
      </c>
      <c r="BG471" s="14" t="str">
        <f ca="1">IFERROR(__xludf.DUMMYFUNCTION("REGEXEXTRACT(O465,""^\S+\s(.+)$"")"),"Prestar sus servicios profesionales para participar en el análisis de la expansión y las solicitudes de asignación de capacidad de proyectos de generación y usuarios finales, procesar la información requerida por los modelos y participar en la gestión de "&amp;"la plataforma de la ventanilla única.")</f>
        <v>Prestar sus servicios profesionales para participar en el análisis de la expansión y las solicitudes de asignación de capacidad de proyectos de generación y usuarios finales, procesar la información requerida por los modelos y participar en la gestión de la plataforma de la ventanilla única.</v>
      </c>
      <c r="BH471" s="23"/>
      <c r="BI471" s="23"/>
      <c r="BJ471" s="23">
        <v>78345333</v>
      </c>
      <c r="BK471" s="23"/>
      <c r="BL471" s="23"/>
      <c r="BM471" s="23">
        <v>3508000</v>
      </c>
      <c r="BN471" s="23">
        <v>2338667</v>
      </c>
      <c r="BO471" s="23">
        <v>7016000</v>
      </c>
      <c r="BP471" s="23"/>
      <c r="BQ471" s="23">
        <v>7016000</v>
      </c>
      <c r="BR471" s="23"/>
      <c r="BS471" s="23">
        <v>7016000</v>
      </c>
      <c r="BT471" s="23"/>
      <c r="BU471" s="23">
        <v>7016000</v>
      </c>
      <c r="BV471" s="23"/>
      <c r="BW471" s="23">
        <v>7016000</v>
      </c>
      <c r="BX471" s="23"/>
      <c r="BY471" s="23">
        <v>7016000</v>
      </c>
      <c r="BZ471" s="23"/>
      <c r="CA471" s="23">
        <v>7016000</v>
      </c>
      <c r="CB471" s="23"/>
      <c r="CC471" s="23">
        <v>7016000</v>
      </c>
      <c r="CD471" s="23"/>
      <c r="CE471" s="23">
        <v>21048000</v>
      </c>
      <c r="CF471" s="28"/>
      <c r="CG471" s="28"/>
      <c r="CH471" s="25">
        <f t="shared" ref="CH471:CI471" si="933">BH471+BJ471+BL471+BN471+BP471+BR471+BT471+BV471+BX471+BZ471+CB471+CD471+CF471</f>
        <v>80684000</v>
      </c>
      <c r="CI471" s="25">
        <f t="shared" si="933"/>
        <v>80684000</v>
      </c>
      <c r="CJ471" s="26">
        <f t="shared" si="816"/>
        <v>0</v>
      </c>
      <c r="CK471" s="26">
        <f t="shared" si="817"/>
        <v>0</v>
      </c>
    </row>
    <row r="472" spans="1:89" ht="90" customHeight="1" x14ac:dyDescent="0.3">
      <c r="A472" s="13" t="s">
        <v>248</v>
      </c>
      <c r="B472" s="14" t="s">
        <v>34</v>
      </c>
      <c r="C472" s="15" t="s">
        <v>1127</v>
      </c>
      <c r="D472" s="14" t="s">
        <v>61</v>
      </c>
      <c r="E472" s="13" t="s">
        <v>250</v>
      </c>
      <c r="F472" s="13" t="s">
        <v>250</v>
      </c>
      <c r="G472" s="14">
        <v>68</v>
      </c>
      <c r="H472" s="13" t="s">
        <v>1303</v>
      </c>
      <c r="I472" s="15" t="s">
        <v>1129</v>
      </c>
      <c r="J472" s="14" t="s">
        <v>9</v>
      </c>
      <c r="K472" s="15" t="s">
        <v>77</v>
      </c>
      <c r="L472" s="14">
        <v>80111620</v>
      </c>
      <c r="M472" s="14" t="s">
        <v>35</v>
      </c>
      <c r="N472" s="14" t="s">
        <v>253</v>
      </c>
      <c r="O472" s="15" t="s">
        <v>1304</v>
      </c>
      <c r="P472" s="14" t="s">
        <v>255</v>
      </c>
      <c r="Q472" s="14" t="s">
        <v>255</v>
      </c>
      <c r="R472" s="14" t="s">
        <v>255</v>
      </c>
      <c r="S472" s="17">
        <v>12</v>
      </c>
      <c r="T472" s="14" t="s">
        <v>256</v>
      </c>
      <c r="U472" s="14" t="s">
        <v>257</v>
      </c>
      <c r="V472" s="14" t="s">
        <v>112</v>
      </c>
      <c r="W472" s="18">
        <v>80684000</v>
      </c>
      <c r="X472" s="18">
        <v>80684000</v>
      </c>
      <c r="Y472" s="19" t="s">
        <v>339</v>
      </c>
      <c r="Z472" s="19" t="s">
        <v>258</v>
      </c>
      <c r="AA472" s="14" t="s">
        <v>1132</v>
      </c>
      <c r="AB472" s="14" t="s">
        <v>1133</v>
      </c>
      <c r="AC472" s="14">
        <v>6012220601</v>
      </c>
      <c r="AD472" s="14" t="s">
        <v>1134</v>
      </c>
      <c r="AE472" s="82">
        <v>74406850</v>
      </c>
      <c r="AF472" s="82">
        <v>0</v>
      </c>
      <c r="AG472" s="82">
        <v>0</v>
      </c>
      <c r="AH472" s="82">
        <v>3508000</v>
      </c>
      <c r="AI472" s="82">
        <v>0</v>
      </c>
      <c r="AJ472" s="82">
        <v>7016000</v>
      </c>
      <c r="AK472" s="82">
        <v>0</v>
      </c>
      <c r="AL472" s="82">
        <v>7016000</v>
      </c>
      <c r="AM472" s="82">
        <v>0</v>
      </c>
      <c r="AN472" s="82">
        <v>7016000</v>
      </c>
      <c r="AO472" s="82">
        <v>0</v>
      </c>
      <c r="AP472" s="82">
        <v>7016000</v>
      </c>
      <c r="AQ472" s="82">
        <v>0</v>
      </c>
      <c r="AR472" s="82">
        <v>7016000</v>
      </c>
      <c r="AS472" s="82">
        <v>0</v>
      </c>
      <c r="AT472" s="82">
        <v>7016000</v>
      </c>
      <c r="AU472" s="82">
        <v>0</v>
      </c>
      <c r="AV472" s="82">
        <v>7016000</v>
      </c>
      <c r="AW472" s="82">
        <v>0</v>
      </c>
      <c r="AX472" s="82">
        <v>7016000</v>
      </c>
      <c r="AY472" s="82">
        <v>6277150</v>
      </c>
      <c r="AZ472" s="82">
        <v>7016000</v>
      </c>
      <c r="BA472" s="82">
        <v>0</v>
      </c>
      <c r="BB472" s="82">
        <v>14032000</v>
      </c>
      <c r="BC472" s="82">
        <f t="shared" ref="BC472:BD472" si="934">AE472+AG472+AI472+AK472+AM472+AO472+AQ472+AS472+AU472+AW472+AY472+BA472</f>
        <v>80684000</v>
      </c>
      <c r="BD472" s="82">
        <f t="shared" si="934"/>
        <v>80684000</v>
      </c>
      <c r="BE472" s="83">
        <f t="shared" si="813"/>
        <v>0</v>
      </c>
      <c r="BF472" s="83">
        <f t="shared" si="814"/>
        <v>0</v>
      </c>
      <c r="BG472" s="14" t="str">
        <f ca="1">IFERROR(__xludf.DUMMYFUNCTION("REGEXEXTRACT(O466,""^\S+\s(.+)$"")"),"Prestar los servicios profesionales para apoyar el análisis y la evaluación técnico–económica de las solicitudes presentadas por los agentes interesados en la conexión de proyectos al Sistema Interconectado Nacional – SIN, así como en el seguimiento, conc"&amp;"eptualización, revisión y formulación de conceptos técnicos relacionados con la aprobación o modificación de los planes y obras de expansión del SIN, en el marco de la normativa vigente y las directrices establecidas por la Entidad.")</f>
        <v>Prestar los servicios profesionales para apoyar el análisis y la evaluación técnico–económica de las solicitudes presentadas por los agentes interesados en la conexión de proyectos al Sistema Interconectado Nacional – SIN, así como en el seguimiento, conceptualización, revisión y formulación de conceptos técnicos relacionados con la aprobación o modificación de los planes y obras de expansión del SIN, en el marco de la normativa vigente y las directrices establecidas por la Entidad.</v>
      </c>
      <c r="BH472" s="23">
        <v>74406850</v>
      </c>
      <c r="BI472" s="23"/>
      <c r="BJ472" s="23"/>
      <c r="BK472" s="23">
        <v>3508000</v>
      </c>
      <c r="BL472" s="23"/>
      <c r="BM472" s="23">
        <v>7016000</v>
      </c>
      <c r="BN472" s="23"/>
      <c r="BO472" s="23">
        <v>7016000</v>
      </c>
      <c r="BP472" s="23"/>
      <c r="BQ472" s="23">
        <v>7016000</v>
      </c>
      <c r="BR472" s="23"/>
      <c r="BS472" s="23">
        <v>7016000</v>
      </c>
      <c r="BT472" s="23"/>
      <c r="BU472" s="23">
        <v>7016000</v>
      </c>
      <c r="BV472" s="23"/>
      <c r="BW472" s="23">
        <v>7016000</v>
      </c>
      <c r="BX472" s="23"/>
      <c r="BY472" s="23">
        <v>7016000</v>
      </c>
      <c r="BZ472" s="23"/>
      <c r="CA472" s="23">
        <v>7016000</v>
      </c>
      <c r="CB472" s="23">
        <v>6277150</v>
      </c>
      <c r="CC472" s="23">
        <v>7016000</v>
      </c>
      <c r="CD472" s="23"/>
      <c r="CE472" s="23">
        <v>14032000</v>
      </c>
      <c r="CF472" s="28"/>
      <c r="CG472" s="28"/>
      <c r="CH472" s="25">
        <f t="shared" ref="CH472:CI472" si="935">BH472+BJ472+BL472+BN472+BP472+BR472+BT472+BV472+BX472+BZ472+CB472+CD472+CF472</f>
        <v>80684000</v>
      </c>
      <c r="CI472" s="25">
        <f t="shared" si="935"/>
        <v>80684000</v>
      </c>
      <c r="CJ472" s="26">
        <f t="shared" si="816"/>
        <v>0</v>
      </c>
      <c r="CK472" s="26">
        <f t="shared" si="817"/>
        <v>0</v>
      </c>
    </row>
    <row r="473" spans="1:89" ht="90" customHeight="1" x14ac:dyDescent="0.3">
      <c r="A473" s="13" t="s">
        <v>248</v>
      </c>
      <c r="B473" s="14" t="s">
        <v>34</v>
      </c>
      <c r="C473" s="15" t="s">
        <v>1127</v>
      </c>
      <c r="D473" s="14" t="s">
        <v>61</v>
      </c>
      <c r="E473" s="13" t="s">
        <v>339</v>
      </c>
      <c r="F473" s="13" t="s">
        <v>250</v>
      </c>
      <c r="G473" s="14">
        <v>14</v>
      </c>
      <c r="H473" s="13" t="s">
        <v>1305</v>
      </c>
      <c r="I473" s="15" t="s">
        <v>1129</v>
      </c>
      <c r="J473" s="14" t="s">
        <v>9</v>
      </c>
      <c r="K473" s="15" t="s">
        <v>77</v>
      </c>
      <c r="L473" s="14" t="s">
        <v>258</v>
      </c>
      <c r="M473" s="14" t="s">
        <v>35</v>
      </c>
      <c r="N473" s="14" t="s">
        <v>341</v>
      </c>
      <c r="O473" s="15" t="s">
        <v>1306</v>
      </c>
      <c r="P473" s="14" t="s">
        <v>258</v>
      </c>
      <c r="Q473" s="14" t="s">
        <v>258</v>
      </c>
      <c r="R473" s="14" t="s">
        <v>258</v>
      </c>
      <c r="S473" s="17" t="s">
        <v>258</v>
      </c>
      <c r="T473" s="14" t="s">
        <v>258</v>
      </c>
      <c r="U473" s="14" t="s">
        <v>258</v>
      </c>
      <c r="V473" s="14" t="s">
        <v>112</v>
      </c>
      <c r="W473" s="18">
        <v>45000000</v>
      </c>
      <c r="X473" s="18">
        <v>45000000</v>
      </c>
      <c r="Y473" s="19" t="s">
        <v>339</v>
      </c>
      <c r="Z473" s="19" t="s">
        <v>258</v>
      </c>
      <c r="AA473" s="14" t="s">
        <v>1132</v>
      </c>
      <c r="AB473" s="14" t="s">
        <v>1133</v>
      </c>
      <c r="AC473" s="14">
        <v>6012220601</v>
      </c>
      <c r="AD473" s="14" t="s">
        <v>1134</v>
      </c>
      <c r="AE473" s="82">
        <v>0</v>
      </c>
      <c r="AF473" s="82">
        <v>0</v>
      </c>
      <c r="AG473" s="82">
        <v>0</v>
      </c>
      <c r="AH473" s="82">
        <v>0</v>
      </c>
      <c r="AI473" s="82">
        <v>2916667</v>
      </c>
      <c r="AJ473" s="82">
        <v>0</v>
      </c>
      <c r="AK473" s="82">
        <v>2916667</v>
      </c>
      <c r="AL473" s="82">
        <v>2916667</v>
      </c>
      <c r="AM473" s="82">
        <v>2916667</v>
      </c>
      <c r="AN473" s="82">
        <v>2916667</v>
      </c>
      <c r="AO473" s="82">
        <v>2916667</v>
      </c>
      <c r="AP473" s="82">
        <v>2916667</v>
      </c>
      <c r="AQ473" s="82">
        <v>2916667</v>
      </c>
      <c r="AR473" s="82">
        <v>2916667</v>
      </c>
      <c r="AS473" s="82">
        <v>2916667</v>
      </c>
      <c r="AT473" s="82">
        <v>2916667</v>
      </c>
      <c r="AU473" s="82">
        <v>2916666</v>
      </c>
      <c r="AV473" s="82">
        <v>2916666</v>
      </c>
      <c r="AW473" s="82">
        <v>2916666</v>
      </c>
      <c r="AX473" s="82">
        <v>2916666</v>
      </c>
      <c r="AY473" s="82">
        <v>2916666</v>
      </c>
      <c r="AZ473" s="82">
        <v>5833333</v>
      </c>
      <c r="BA473" s="82">
        <v>8750000</v>
      </c>
      <c r="BB473" s="82">
        <v>8750000</v>
      </c>
      <c r="BC473" s="82">
        <f t="shared" ref="BC473:BD473" si="936">AE473+AG473+AI473+AK473+AM473+AO473+AQ473+AS473+AU473+AW473+AY473+BA473</f>
        <v>35000000</v>
      </c>
      <c r="BD473" s="82">
        <f t="shared" si="936"/>
        <v>35000000</v>
      </c>
      <c r="BE473" s="83">
        <f t="shared" si="813"/>
        <v>10000000</v>
      </c>
      <c r="BF473" s="83">
        <f t="shared" si="814"/>
        <v>10000000</v>
      </c>
      <c r="BG473" s="14" t="str">
        <f ca="1">IFERROR(__xludf.DUMMYFUNCTION("REGEXEXTRACT(O467,""^\S+\s(.+)$"")"),"Viáticos o gastos de desplazamiento")</f>
        <v>Viáticos o gastos de desplazamiento</v>
      </c>
      <c r="BH473" s="23"/>
      <c r="BI473" s="23"/>
      <c r="BJ473" s="23"/>
      <c r="BK473" s="23"/>
      <c r="BL473" s="23">
        <v>4500000</v>
      </c>
      <c r="BM473" s="23"/>
      <c r="BN473" s="23">
        <v>4500000</v>
      </c>
      <c r="BO473" s="23">
        <v>4500000</v>
      </c>
      <c r="BP473" s="23">
        <v>4500000</v>
      </c>
      <c r="BQ473" s="23">
        <v>4500000</v>
      </c>
      <c r="BR473" s="23">
        <v>4500000</v>
      </c>
      <c r="BS473" s="23">
        <v>4500000</v>
      </c>
      <c r="BT473" s="23">
        <v>4500000</v>
      </c>
      <c r="BU473" s="23">
        <v>4500000</v>
      </c>
      <c r="BV473" s="23">
        <v>4500000</v>
      </c>
      <c r="BW473" s="23">
        <v>4500000</v>
      </c>
      <c r="BX473" s="23">
        <v>4500000</v>
      </c>
      <c r="BY473" s="23">
        <v>4500000</v>
      </c>
      <c r="BZ473" s="23">
        <v>4500000</v>
      </c>
      <c r="CA473" s="23">
        <v>4500000</v>
      </c>
      <c r="CB473" s="23">
        <v>4500000</v>
      </c>
      <c r="CC473" s="23">
        <v>4500000</v>
      </c>
      <c r="CD473" s="23">
        <v>4500000</v>
      </c>
      <c r="CE473" s="23">
        <v>9000000</v>
      </c>
      <c r="CF473" s="28"/>
      <c r="CG473" s="28"/>
      <c r="CH473" s="25">
        <f t="shared" ref="CH473:CI473" si="937">BH473+BJ473+BL473+BN473+BP473+BR473+BT473+BV473+BX473+BZ473+CB473+CD473+CF473</f>
        <v>45000000</v>
      </c>
      <c r="CI473" s="25">
        <f t="shared" si="937"/>
        <v>45000000</v>
      </c>
      <c r="CJ473" s="26">
        <f t="shared" si="816"/>
        <v>0</v>
      </c>
      <c r="CK473" s="26">
        <f t="shared" si="817"/>
        <v>0</v>
      </c>
    </row>
    <row r="474" spans="1:89" ht="90" customHeight="1" x14ac:dyDescent="0.3">
      <c r="A474" s="13" t="s">
        <v>248</v>
      </c>
      <c r="B474" s="14" t="s">
        <v>34</v>
      </c>
      <c r="C474" s="15" t="s">
        <v>1127</v>
      </c>
      <c r="D474" s="14" t="s">
        <v>61</v>
      </c>
      <c r="E474" s="13" t="s">
        <v>250</v>
      </c>
      <c r="F474" s="13" t="s">
        <v>250</v>
      </c>
      <c r="G474" s="29" t="s">
        <v>1307</v>
      </c>
      <c r="H474" s="13" t="s">
        <v>1308</v>
      </c>
      <c r="I474" s="15" t="s">
        <v>1129</v>
      </c>
      <c r="J474" s="14" t="s">
        <v>9</v>
      </c>
      <c r="K474" s="15" t="s">
        <v>77</v>
      </c>
      <c r="L474" s="14">
        <v>78111502</v>
      </c>
      <c r="M474" s="14" t="s">
        <v>35</v>
      </c>
      <c r="N474" s="14" t="s">
        <v>337</v>
      </c>
      <c r="O474" s="15" t="s">
        <v>1309</v>
      </c>
      <c r="P474" s="14" t="s">
        <v>255</v>
      </c>
      <c r="Q474" s="14" t="s">
        <v>255</v>
      </c>
      <c r="R474" s="88" t="s">
        <v>255</v>
      </c>
      <c r="S474" s="17">
        <v>11</v>
      </c>
      <c r="T474" s="14" t="s">
        <v>256</v>
      </c>
      <c r="U474" s="14" t="s">
        <v>286</v>
      </c>
      <c r="V474" s="14" t="s">
        <v>112</v>
      </c>
      <c r="W474" s="18">
        <v>50000000</v>
      </c>
      <c r="X474" s="18">
        <v>50000000</v>
      </c>
      <c r="Y474" s="19" t="s">
        <v>339</v>
      </c>
      <c r="Z474" s="19" t="s">
        <v>258</v>
      </c>
      <c r="AA474" s="14" t="s">
        <v>1132</v>
      </c>
      <c r="AB474" s="14" t="s">
        <v>1133</v>
      </c>
      <c r="AC474" s="14">
        <v>6012220601</v>
      </c>
      <c r="AD474" s="14" t="s">
        <v>1134</v>
      </c>
      <c r="AE474" s="82">
        <v>0</v>
      </c>
      <c r="AF474" s="82">
        <v>0</v>
      </c>
      <c r="AG474" s="82">
        <v>0</v>
      </c>
      <c r="AH474" s="82">
        <v>0</v>
      </c>
      <c r="AI474" s="82">
        <v>0</v>
      </c>
      <c r="AJ474" s="82">
        <v>0</v>
      </c>
      <c r="AK474" s="82">
        <v>0</v>
      </c>
      <c r="AL474" s="82">
        <v>0</v>
      </c>
      <c r="AM474" s="82">
        <v>0</v>
      </c>
      <c r="AN474" s="82">
        <v>0</v>
      </c>
      <c r="AO474" s="82">
        <v>0</v>
      </c>
      <c r="AP474" s="82">
        <v>0</v>
      </c>
      <c r="AQ474" s="82">
        <v>0</v>
      </c>
      <c r="AR474" s="82">
        <v>0</v>
      </c>
      <c r="AS474" s="82">
        <v>0</v>
      </c>
      <c r="AT474" s="82">
        <v>0</v>
      </c>
      <c r="AU474" s="82">
        <v>50000000</v>
      </c>
      <c r="AV474" s="82">
        <v>0</v>
      </c>
      <c r="AW474" s="82">
        <v>0</v>
      </c>
      <c r="AX474" s="82">
        <v>12500000</v>
      </c>
      <c r="AY474" s="82">
        <v>0</v>
      </c>
      <c r="AZ474" s="82">
        <v>12500000</v>
      </c>
      <c r="BA474" s="82">
        <v>0</v>
      </c>
      <c r="BB474" s="82">
        <v>25000000</v>
      </c>
      <c r="BC474" s="82">
        <f t="shared" ref="BC474:BD474" si="938">AE474+AG474+AI474+AK474+AM474+AO474+AQ474+AS474+AU474+AW474+AY474+BA474</f>
        <v>50000000</v>
      </c>
      <c r="BD474" s="82">
        <f t="shared" si="938"/>
        <v>50000000</v>
      </c>
      <c r="BE474" s="83">
        <f t="shared" si="813"/>
        <v>0</v>
      </c>
      <c r="BF474" s="83">
        <f t="shared" si="814"/>
        <v>0</v>
      </c>
      <c r="BG474" s="14" t="str">
        <f ca="1">IFERROR(__xludf.DUMMYFUNCTION("REGEXEXTRACT(O468,""^\S+\s(.+)$"")"),"Adquirir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474" s="23"/>
      <c r="BI474" s="23"/>
      <c r="BJ474" s="23"/>
      <c r="BK474" s="23"/>
      <c r="BL474" s="23"/>
      <c r="BM474" s="23"/>
      <c r="BN474" s="23"/>
      <c r="BO474" s="23"/>
      <c r="BP474" s="23"/>
      <c r="BQ474" s="23"/>
      <c r="BR474" s="23"/>
      <c r="BS474" s="23"/>
      <c r="BT474" s="23"/>
      <c r="BU474" s="23"/>
      <c r="BV474" s="23"/>
      <c r="BW474" s="23"/>
      <c r="BX474" s="23">
        <v>50000000</v>
      </c>
      <c r="BY474" s="23"/>
      <c r="BZ474" s="23"/>
      <c r="CA474" s="23">
        <v>12500000</v>
      </c>
      <c r="CB474" s="23"/>
      <c r="CC474" s="23">
        <v>12500000</v>
      </c>
      <c r="CD474" s="23"/>
      <c r="CE474" s="23">
        <v>25000000</v>
      </c>
      <c r="CF474" s="28"/>
      <c r="CG474" s="28"/>
      <c r="CH474" s="25">
        <f t="shared" ref="CH474:CI474" si="939">BH474+BJ474+BL474+BN474+BP474+BR474+BT474+BV474+BX474+BZ474+CB474+CD474+CF474</f>
        <v>50000000</v>
      </c>
      <c r="CI474" s="25">
        <f t="shared" si="939"/>
        <v>50000000</v>
      </c>
      <c r="CJ474" s="26">
        <f t="shared" si="816"/>
        <v>0</v>
      </c>
      <c r="CK474" s="26">
        <f t="shared" si="817"/>
        <v>0</v>
      </c>
    </row>
    <row r="475" spans="1:89" ht="90" customHeight="1" x14ac:dyDescent="0.3">
      <c r="A475" s="13" t="s">
        <v>248</v>
      </c>
      <c r="B475" s="14" t="s">
        <v>34</v>
      </c>
      <c r="C475" s="15" t="s">
        <v>1127</v>
      </c>
      <c r="D475" s="14" t="s">
        <v>61</v>
      </c>
      <c r="E475" s="13" t="s">
        <v>250</v>
      </c>
      <c r="F475" s="13" t="s">
        <v>250</v>
      </c>
      <c r="G475" s="14">
        <v>68</v>
      </c>
      <c r="H475" s="13" t="s">
        <v>1310</v>
      </c>
      <c r="I475" s="15" t="s">
        <v>1129</v>
      </c>
      <c r="J475" s="14" t="s">
        <v>9</v>
      </c>
      <c r="K475" s="15" t="s">
        <v>77</v>
      </c>
      <c r="L475" s="14">
        <v>81112501</v>
      </c>
      <c r="M475" s="14" t="s">
        <v>35</v>
      </c>
      <c r="N475" s="14" t="s">
        <v>770</v>
      </c>
      <c r="O475" s="15" t="s">
        <v>1311</v>
      </c>
      <c r="P475" s="14" t="s">
        <v>1312</v>
      </c>
      <c r="Q475" s="14" t="s">
        <v>473</v>
      </c>
      <c r="R475" s="14" t="s">
        <v>468</v>
      </c>
      <c r="S475" s="17">
        <v>12</v>
      </c>
      <c r="T475" s="14" t="s">
        <v>256</v>
      </c>
      <c r="U475" s="14" t="s">
        <v>1313</v>
      </c>
      <c r="V475" s="14" t="s">
        <v>112</v>
      </c>
      <c r="W475" s="18">
        <v>368750411</v>
      </c>
      <c r="X475" s="18">
        <v>368750411</v>
      </c>
      <c r="Y475" s="19" t="s">
        <v>339</v>
      </c>
      <c r="Z475" s="19" t="s">
        <v>258</v>
      </c>
      <c r="AA475" s="14" t="s">
        <v>1132</v>
      </c>
      <c r="AB475" s="14" t="s">
        <v>1133</v>
      </c>
      <c r="AC475" s="14">
        <v>6012220601</v>
      </c>
      <c r="AD475" s="14" t="s">
        <v>1134</v>
      </c>
      <c r="AE475" s="82">
        <v>0</v>
      </c>
      <c r="AF475" s="82">
        <v>0</v>
      </c>
      <c r="AG475" s="82">
        <v>0</v>
      </c>
      <c r="AH475" s="82">
        <v>0</v>
      </c>
      <c r="AI475" s="82">
        <v>0</v>
      </c>
      <c r="AJ475" s="82">
        <v>0</v>
      </c>
      <c r="AK475" s="82">
        <v>0</v>
      </c>
      <c r="AL475" s="82">
        <v>0</v>
      </c>
      <c r="AM475" s="82">
        <v>0</v>
      </c>
      <c r="AN475" s="82">
        <v>0</v>
      </c>
      <c r="AO475" s="82">
        <v>0</v>
      </c>
      <c r="AP475" s="82">
        <v>0</v>
      </c>
      <c r="AQ475" s="82">
        <v>0</v>
      </c>
      <c r="AR475" s="82">
        <v>0</v>
      </c>
      <c r="AS475" s="82">
        <v>0</v>
      </c>
      <c r="AT475" s="82">
        <v>0</v>
      </c>
      <c r="AU475" s="82">
        <v>0</v>
      </c>
      <c r="AV475" s="82">
        <v>0</v>
      </c>
      <c r="AW475" s="82">
        <v>368750411</v>
      </c>
      <c r="AX475" s="82">
        <v>0</v>
      </c>
      <c r="AY475" s="82">
        <v>0</v>
      </c>
      <c r="AZ475" s="82">
        <v>368750411</v>
      </c>
      <c r="BA475" s="82">
        <v>0</v>
      </c>
      <c r="BB475" s="82">
        <v>0</v>
      </c>
      <c r="BC475" s="82">
        <f t="shared" ref="BC475:BD475" si="940">AE475+AG475+AI475+AK475+AM475+AO475+AQ475+AS475+AU475+AW475+AY475+BA475</f>
        <v>368750411</v>
      </c>
      <c r="BD475" s="82">
        <f t="shared" si="940"/>
        <v>368750411</v>
      </c>
      <c r="BE475" s="83">
        <f t="shared" si="813"/>
        <v>0</v>
      </c>
      <c r="BF475" s="83">
        <f t="shared" si="814"/>
        <v>0</v>
      </c>
      <c r="BG475" s="14" t="str">
        <f ca="1">IFERROR(__xludf.DUMMYFUNCTION("REGEXEXTRACT(O469,""^\S+\s(.+)$"")"),"Adquirir servicio de renovación del licenciamiento de los modelos SDDP y OPTGEN, el cual incluye soporte y mantenimiento para las licencias durante la vigencia del servicio, así como la adquisición del servicio de ejecución remota PSR Cloud.")</f>
        <v>Adquirir servicio de renovación del licenciamiento de los modelos SDDP y OPTGEN, el cual incluye soporte y mantenimiento para las licencias durante la vigencia del servicio, así como la adquisición del servicio de ejecución remota PSR Cloud.</v>
      </c>
      <c r="BH475" s="23"/>
      <c r="BI475" s="23"/>
      <c r="BJ475" s="23"/>
      <c r="BK475" s="23"/>
      <c r="BL475" s="23"/>
      <c r="BM475" s="23"/>
      <c r="BN475" s="23"/>
      <c r="BO475" s="23"/>
      <c r="BP475" s="23"/>
      <c r="BQ475" s="23"/>
      <c r="BR475" s="23"/>
      <c r="BS475" s="23"/>
      <c r="BT475" s="23"/>
      <c r="BU475" s="23"/>
      <c r="BV475" s="23"/>
      <c r="BW475" s="23"/>
      <c r="BX475" s="23"/>
      <c r="BY475" s="23"/>
      <c r="BZ475" s="23">
        <v>368750411</v>
      </c>
      <c r="CA475" s="23"/>
      <c r="CB475" s="23"/>
      <c r="CC475" s="23">
        <v>368750411</v>
      </c>
      <c r="CD475" s="23"/>
      <c r="CE475" s="23"/>
      <c r="CF475" s="28"/>
      <c r="CG475" s="28"/>
      <c r="CH475" s="25">
        <f t="shared" ref="CH475:CI475" si="941">BH475+BJ475+BL475+BN475+BP475+BR475+BT475+BV475+BX475+BZ475+CB475+CD475+CF475</f>
        <v>368750411</v>
      </c>
      <c r="CI475" s="25">
        <f t="shared" si="941"/>
        <v>368750411</v>
      </c>
      <c r="CJ475" s="26">
        <f t="shared" si="816"/>
        <v>0</v>
      </c>
      <c r="CK475" s="26">
        <f t="shared" si="817"/>
        <v>0</v>
      </c>
    </row>
    <row r="476" spans="1:89" ht="90" customHeight="1" x14ac:dyDescent="0.3">
      <c r="A476" s="13" t="s">
        <v>248</v>
      </c>
      <c r="B476" s="14" t="s">
        <v>34</v>
      </c>
      <c r="C476" s="15" t="s">
        <v>1127</v>
      </c>
      <c r="D476" s="14" t="s">
        <v>61</v>
      </c>
      <c r="E476" s="13" t="s">
        <v>250</v>
      </c>
      <c r="F476" s="13" t="s">
        <v>250</v>
      </c>
      <c r="G476" s="14">
        <v>68</v>
      </c>
      <c r="H476" s="13" t="s">
        <v>1314</v>
      </c>
      <c r="I476" s="15" t="s">
        <v>1129</v>
      </c>
      <c r="J476" s="14" t="s">
        <v>9</v>
      </c>
      <c r="K476" s="15" t="s">
        <v>77</v>
      </c>
      <c r="L476" s="14">
        <v>80111620</v>
      </c>
      <c r="M476" s="14" t="s">
        <v>35</v>
      </c>
      <c r="N476" s="14" t="s">
        <v>253</v>
      </c>
      <c r="O476" s="15" t="s">
        <v>1315</v>
      </c>
      <c r="P476" s="14" t="s">
        <v>255</v>
      </c>
      <c r="Q476" s="14" t="s">
        <v>255</v>
      </c>
      <c r="R476" s="14" t="s">
        <v>255</v>
      </c>
      <c r="S476" s="17">
        <v>10</v>
      </c>
      <c r="T476" s="14" t="s">
        <v>256</v>
      </c>
      <c r="U476" s="14" t="s">
        <v>257</v>
      </c>
      <c r="V476" s="14" t="s">
        <v>112</v>
      </c>
      <c r="W476" s="18">
        <v>87000000</v>
      </c>
      <c r="X476" s="18">
        <v>87000000</v>
      </c>
      <c r="Y476" s="19" t="s">
        <v>339</v>
      </c>
      <c r="Z476" s="19" t="s">
        <v>258</v>
      </c>
      <c r="AA476" s="14" t="s">
        <v>1132</v>
      </c>
      <c r="AB476" s="14" t="s">
        <v>1133</v>
      </c>
      <c r="AC476" s="14">
        <v>6012220601</v>
      </c>
      <c r="AD476" s="14" t="s">
        <v>1134</v>
      </c>
      <c r="AE476" s="82">
        <v>87000000</v>
      </c>
      <c r="AF476" s="82">
        <v>0</v>
      </c>
      <c r="AG476" s="82">
        <v>0</v>
      </c>
      <c r="AH476" s="82">
        <v>0</v>
      </c>
      <c r="AI476" s="82">
        <v>0</v>
      </c>
      <c r="AJ476" s="82">
        <v>8700000</v>
      </c>
      <c r="AK476" s="82">
        <v>0</v>
      </c>
      <c r="AL476" s="82">
        <v>8700000</v>
      </c>
      <c r="AM476" s="82">
        <v>0</v>
      </c>
      <c r="AN476" s="82">
        <v>8700000</v>
      </c>
      <c r="AO476" s="82">
        <v>0</v>
      </c>
      <c r="AP476" s="82">
        <v>8700000</v>
      </c>
      <c r="AQ476" s="82">
        <v>0</v>
      </c>
      <c r="AR476" s="82">
        <v>8700000</v>
      </c>
      <c r="AS476" s="82">
        <v>0</v>
      </c>
      <c r="AT476" s="82">
        <v>8700000</v>
      </c>
      <c r="AU476" s="82">
        <v>0</v>
      </c>
      <c r="AV476" s="82">
        <v>8700000</v>
      </c>
      <c r="AW476" s="82">
        <v>0</v>
      </c>
      <c r="AX476" s="82">
        <v>8700000</v>
      </c>
      <c r="AY476" s="82">
        <v>0</v>
      </c>
      <c r="AZ476" s="82">
        <v>8700000</v>
      </c>
      <c r="BA476" s="82">
        <v>0</v>
      </c>
      <c r="BB476" s="82">
        <v>8700000</v>
      </c>
      <c r="BC476" s="82">
        <f t="shared" ref="BC476:BD476" si="942">AE476+AG476+AI476+AK476+AM476+AO476+AQ476+AS476+AU476+AW476+AY476+BA476</f>
        <v>87000000</v>
      </c>
      <c r="BD476" s="82">
        <f t="shared" si="942"/>
        <v>87000000</v>
      </c>
      <c r="BE476" s="83">
        <f t="shared" si="813"/>
        <v>0</v>
      </c>
      <c r="BF476" s="83">
        <f t="shared" si="814"/>
        <v>0</v>
      </c>
      <c r="BG476" s="14" t="str">
        <f ca="1">IFERROR(__xludf.DUMMYFUNCTION("REGEXEXTRACT(O470,""^\S+\s(.+)$"")"),"Prestar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76" s="23">
        <v>87000000</v>
      </c>
      <c r="BI476" s="23"/>
      <c r="BJ476" s="23"/>
      <c r="BK476" s="23"/>
      <c r="BL476" s="23"/>
      <c r="BM476" s="23">
        <v>8700000</v>
      </c>
      <c r="BN476" s="23"/>
      <c r="BO476" s="23">
        <v>8700000</v>
      </c>
      <c r="BP476" s="23"/>
      <c r="BQ476" s="23">
        <v>8700000</v>
      </c>
      <c r="BR476" s="23"/>
      <c r="BS476" s="23">
        <v>8700000</v>
      </c>
      <c r="BT476" s="23"/>
      <c r="BU476" s="23">
        <v>8700000</v>
      </c>
      <c r="BV476" s="23"/>
      <c r="BW476" s="23">
        <v>8700000</v>
      </c>
      <c r="BX476" s="23"/>
      <c r="BY476" s="23">
        <v>8700000</v>
      </c>
      <c r="BZ476" s="23"/>
      <c r="CA476" s="23">
        <v>8700000</v>
      </c>
      <c r="CB476" s="23"/>
      <c r="CC476" s="23">
        <v>8700000</v>
      </c>
      <c r="CD476" s="23"/>
      <c r="CE476" s="23">
        <v>8700000</v>
      </c>
      <c r="CF476" s="28"/>
      <c r="CG476" s="28"/>
      <c r="CH476" s="25">
        <f t="shared" ref="CH476:CI476" si="943">BH476+BJ476+BL476+BN476+BP476+BR476+BT476+BV476+BX476+BZ476+CB476+CD476+CF476</f>
        <v>87000000</v>
      </c>
      <c r="CI476" s="25">
        <f t="shared" si="943"/>
        <v>87000000</v>
      </c>
      <c r="CJ476" s="26">
        <f t="shared" si="816"/>
        <v>0</v>
      </c>
      <c r="CK476" s="26">
        <f t="shared" si="817"/>
        <v>0</v>
      </c>
    </row>
    <row r="477" spans="1:89" ht="90" customHeight="1" x14ac:dyDescent="0.3">
      <c r="A477" s="13" t="s">
        <v>248</v>
      </c>
      <c r="B477" s="14" t="s">
        <v>34</v>
      </c>
      <c r="C477" s="15" t="s">
        <v>1127</v>
      </c>
      <c r="D477" s="14" t="s">
        <v>61</v>
      </c>
      <c r="E477" s="13" t="s">
        <v>250</v>
      </c>
      <c r="F477" s="13" t="s">
        <v>250</v>
      </c>
      <c r="G477" s="14">
        <v>6</v>
      </c>
      <c r="H477" s="13" t="s">
        <v>1316</v>
      </c>
      <c r="I477" s="15" t="s">
        <v>1129</v>
      </c>
      <c r="J477" s="14" t="s">
        <v>9</v>
      </c>
      <c r="K477" s="15" t="s">
        <v>77</v>
      </c>
      <c r="L477" s="14">
        <v>80111620</v>
      </c>
      <c r="M477" s="14" t="s">
        <v>35</v>
      </c>
      <c r="N477" s="14" t="s">
        <v>253</v>
      </c>
      <c r="O477" s="15" t="s">
        <v>1317</v>
      </c>
      <c r="P477" s="14" t="s">
        <v>255</v>
      </c>
      <c r="Q477" s="14" t="s">
        <v>255</v>
      </c>
      <c r="R477" s="94" t="s">
        <v>549</v>
      </c>
      <c r="S477" s="17">
        <v>6</v>
      </c>
      <c r="T477" s="14" t="s">
        <v>256</v>
      </c>
      <c r="U477" s="14" t="s">
        <v>257</v>
      </c>
      <c r="V477" s="14" t="s">
        <v>112</v>
      </c>
      <c r="W477" s="18">
        <v>12000000</v>
      </c>
      <c r="X477" s="18">
        <v>12000000</v>
      </c>
      <c r="Y477" s="19" t="s">
        <v>339</v>
      </c>
      <c r="Z477" s="19" t="s">
        <v>258</v>
      </c>
      <c r="AA477" s="14" t="s">
        <v>1132</v>
      </c>
      <c r="AB477" s="14" t="s">
        <v>1133</v>
      </c>
      <c r="AC477" s="14">
        <v>6012220601</v>
      </c>
      <c r="AD477" s="14" t="s">
        <v>1134</v>
      </c>
      <c r="AE477" s="82">
        <v>0</v>
      </c>
      <c r="AF477" s="82">
        <v>0</v>
      </c>
      <c r="AG477" s="82">
        <v>12000000</v>
      </c>
      <c r="AH477" s="82">
        <v>0</v>
      </c>
      <c r="AI477" s="82">
        <v>0</v>
      </c>
      <c r="AJ477" s="82">
        <v>0</v>
      </c>
      <c r="AK477" s="82">
        <v>0</v>
      </c>
      <c r="AL477" s="82">
        <v>2000000</v>
      </c>
      <c r="AM477" s="82">
        <v>0</v>
      </c>
      <c r="AN477" s="82">
        <v>2000000</v>
      </c>
      <c r="AO477" s="82">
        <v>0</v>
      </c>
      <c r="AP477" s="82">
        <v>2000000</v>
      </c>
      <c r="AQ477" s="82">
        <v>0</v>
      </c>
      <c r="AR477" s="82">
        <v>2000000</v>
      </c>
      <c r="AS477" s="82">
        <v>0</v>
      </c>
      <c r="AT477" s="82">
        <v>2000000</v>
      </c>
      <c r="AU477" s="82">
        <v>0</v>
      </c>
      <c r="AV477" s="82">
        <v>2000000</v>
      </c>
      <c r="AW477" s="82">
        <v>0</v>
      </c>
      <c r="AX477" s="82">
        <v>0</v>
      </c>
      <c r="AY477" s="82">
        <v>0</v>
      </c>
      <c r="AZ477" s="82">
        <v>0</v>
      </c>
      <c r="BA477" s="82">
        <v>0</v>
      </c>
      <c r="BB477" s="82">
        <v>0</v>
      </c>
      <c r="BC477" s="82">
        <f t="shared" ref="BC477:BD477" si="944">AE477+AG477+AI477+AK477+AM477+AO477+AQ477+AS477+AU477+AW477+AY477+BA477</f>
        <v>12000000</v>
      </c>
      <c r="BD477" s="82">
        <f t="shared" si="944"/>
        <v>12000000</v>
      </c>
      <c r="BE477" s="83">
        <f t="shared" si="813"/>
        <v>0</v>
      </c>
      <c r="BF477" s="83">
        <f t="shared" si="814"/>
        <v>0</v>
      </c>
      <c r="BG477" s="14" t="str">
        <f ca="1">IFERROR(__xludf.DUMMYFUNCTION("REGEXEXTRACT(O471,""^\S+\s(.+)$"")"),"Prestar servicios profesionales para evaluar de manera integral proyectos de gestión eficiente de la energía, mediante la revisión y análisis de la información y documentación presentada, así como la validación de los soportes, de conformidad con la norma"&amp;"tividad vigente sobre incentivos tributarios")</f>
        <v>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v>
      </c>
      <c r="BH477" s="23"/>
      <c r="BI477" s="23"/>
      <c r="BJ477" s="23">
        <v>12000000</v>
      </c>
      <c r="BK477" s="23"/>
      <c r="BL477" s="23"/>
      <c r="BM477" s="23"/>
      <c r="BN477" s="23"/>
      <c r="BO477" s="23">
        <v>2000000</v>
      </c>
      <c r="BP477" s="23"/>
      <c r="BQ477" s="23">
        <v>2000000</v>
      </c>
      <c r="BR477" s="23"/>
      <c r="BS477" s="23">
        <v>2000000</v>
      </c>
      <c r="BT477" s="23"/>
      <c r="BU477" s="23">
        <v>2000000</v>
      </c>
      <c r="BV477" s="23"/>
      <c r="BW477" s="23">
        <v>2000000</v>
      </c>
      <c r="BX477" s="23"/>
      <c r="BY477" s="23">
        <v>2000000</v>
      </c>
      <c r="BZ477" s="23"/>
      <c r="CA477" s="23"/>
      <c r="CB477" s="23"/>
      <c r="CC477" s="23"/>
      <c r="CD477" s="23"/>
      <c r="CE477" s="23"/>
      <c r="CF477" s="28"/>
      <c r="CG477" s="28"/>
      <c r="CH477" s="25">
        <f t="shared" ref="CH477:CI477" si="945">BH477+BJ477+BL477+BN477+BP477+BR477+BT477+BV477+BX477+BZ477+CB477+CD477+CF477</f>
        <v>12000000</v>
      </c>
      <c r="CI477" s="25">
        <f t="shared" si="945"/>
        <v>12000000</v>
      </c>
      <c r="CJ477" s="26">
        <f t="shared" si="816"/>
        <v>0</v>
      </c>
      <c r="CK477" s="26">
        <f t="shared" si="817"/>
        <v>0</v>
      </c>
    </row>
    <row r="478" spans="1:89" ht="90" customHeight="1" x14ac:dyDescent="0.3">
      <c r="A478" s="13" t="s">
        <v>248</v>
      </c>
      <c r="B478" s="14" t="s">
        <v>34</v>
      </c>
      <c r="C478" s="15" t="s">
        <v>1127</v>
      </c>
      <c r="D478" s="14" t="s">
        <v>61</v>
      </c>
      <c r="E478" s="13" t="s">
        <v>250</v>
      </c>
      <c r="F478" s="13" t="s">
        <v>250</v>
      </c>
      <c r="G478" s="93" t="s">
        <v>1146</v>
      </c>
      <c r="H478" s="13" t="s">
        <v>1318</v>
      </c>
      <c r="I478" s="15" t="s">
        <v>1129</v>
      </c>
      <c r="J478" s="14" t="s">
        <v>9</v>
      </c>
      <c r="K478" s="15" t="s">
        <v>77</v>
      </c>
      <c r="L478" s="14">
        <v>81112501</v>
      </c>
      <c r="M478" s="14" t="s">
        <v>35</v>
      </c>
      <c r="N478" s="14" t="s">
        <v>770</v>
      </c>
      <c r="O478" s="15" t="s">
        <v>1319</v>
      </c>
      <c r="P478" s="14" t="s">
        <v>473</v>
      </c>
      <c r="Q478" s="14" t="s">
        <v>468</v>
      </c>
      <c r="R478" s="14" t="s">
        <v>798</v>
      </c>
      <c r="S478" s="17">
        <v>12</v>
      </c>
      <c r="T478" s="14" t="s">
        <v>256</v>
      </c>
      <c r="U478" s="14" t="s">
        <v>1313</v>
      </c>
      <c r="V478" s="94" t="s">
        <v>113</v>
      </c>
      <c r="W478" s="84">
        <v>468830288</v>
      </c>
      <c r="X478" s="18">
        <v>468830288</v>
      </c>
      <c r="Y478" s="19" t="s">
        <v>339</v>
      </c>
      <c r="Z478" s="19" t="s">
        <v>258</v>
      </c>
      <c r="AA478" s="14" t="s">
        <v>1132</v>
      </c>
      <c r="AB478" s="14" t="s">
        <v>1133</v>
      </c>
      <c r="AC478" s="14">
        <v>6012220601</v>
      </c>
      <c r="AD478" s="14" t="s">
        <v>1134</v>
      </c>
      <c r="AE478" s="82">
        <v>0</v>
      </c>
      <c r="AF478" s="82">
        <v>0</v>
      </c>
      <c r="AG478" s="82">
        <v>0</v>
      </c>
      <c r="AH478" s="82">
        <v>0</v>
      </c>
      <c r="AI478" s="82">
        <v>0</v>
      </c>
      <c r="AJ478" s="82">
        <v>0</v>
      </c>
      <c r="AK478" s="82">
        <v>0</v>
      </c>
      <c r="AL478" s="82">
        <v>0</v>
      </c>
      <c r="AM478" s="82">
        <v>0</v>
      </c>
      <c r="AN478" s="82">
        <v>0</v>
      </c>
      <c r="AO478" s="82">
        <v>0</v>
      </c>
      <c r="AP478" s="82">
        <v>0</v>
      </c>
      <c r="AQ478" s="82">
        <v>0</v>
      </c>
      <c r="AR478" s="82">
        <v>0</v>
      </c>
      <c r="AS478" s="82">
        <v>0</v>
      </c>
      <c r="AT478" s="82">
        <v>0</v>
      </c>
      <c r="AU478" s="82">
        <v>0</v>
      </c>
      <c r="AV478" s="82">
        <v>0</v>
      </c>
      <c r="AW478" s="82">
        <v>0</v>
      </c>
      <c r="AX478" s="82">
        <v>0</v>
      </c>
      <c r="AY478" s="82">
        <v>468830288</v>
      </c>
      <c r="AZ478" s="82">
        <v>0</v>
      </c>
      <c r="BA478" s="82">
        <v>0</v>
      </c>
      <c r="BB478" s="82">
        <v>468830288</v>
      </c>
      <c r="BC478" s="82">
        <f t="shared" ref="BC478:BD478" si="946">AE478+AG478+AI478+AK478+AM478+AO478+AQ478+AS478+AU478+AW478+AY478+BA478</f>
        <v>468830288</v>
      </c>
      <c r="BD478" s="82">
        <f t="shared" si="946"/>
        <v>468830288</v>
      </c>
      <c r="BE478" s="83">
        <f t="shared" si="813"/>
        <v>0</v>
      </c>
      <c r="BF478" s="83">
        <f t="shared" si="814"/>
        <v>0</v>
      </c>
      <c r="BG478" s="14" t="str">
        <f ca="1">IFERROR(__xludf.DUMMYFUNCTION("REGEXEXTRACT(O472,""^\S+\s(.+)$"")"),"Adquirir el servicio de adición de usuarios a los módulos de la licencia del software DIGSILENT POWER FACTORY y la actualización con el mantenimiento de las licencias existentes, así como el soporte técnico general y específico en el manejo del software, "&amp;"por un periodo de un año.")</f>
        <v>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v>
      </c>
      <c r="BH478" s="23"/>
      <c r="BI478" s="23"/>
      <c r="BJ478" s="23"/>
      <c r="BK478" s="23"/>
      <c r="BL478" s="23"/>
      <c r="BM478" s="23"/>
      <c r="BN478" s="23"/>
      <c r="BO478" s="23"/>
      <c r="BP478" s="23"/>
      <c r="BQ478" s="23"/>
      <c r="BR478" s="23"/>
      <c r="BS478" s="23"/>
      <c r="BT478" s="23"/>
      <c r="BU478" s="23"/>
      <c r="BV478" s="23"/>
      <c r="BW478" s="23"/>
      <c r="BX478" s="23"/>
      <c r="BY478" s="23"/>
      <c r="BZ478" s="23"/>
      <c r="CA478" s="23"/>
      <c r="CB478" s="23">
        <v>468830288</v>
      </c>
      <c r="CC478" s="23"/>
      <c r="CD478" s="23"/>
      <c r="CE478" s="23">
        <v>468830288</v>
      </c>
      <c r="CF478" s="28"/>
      <c r="CG478" s="28"/>
      <c r="CH478" s="25">
        <f t="shared" ref="CH478:CI478" si="947">BH478+BJ478+BL478+BN478+BP478+BR478+BT478+BV478+BX478+BZ478+CB478+CD478+CF478</f>
        <v>468830288</v>
      </c>
      <c r="CI478" s="25">
        <f t="shared" si="947"/>
        <v>468830288</v>
      </c>
      <c r="CJ478" s="26">
        <f t="shared" si="816"/>
        <v>0</v>
      </c>
      <c r="CK478" s="26">
        <f t="shared" si="817"/>
        <v>0</v>
      </c>
    </row>
    <row r="479" spans="1:89" ht="90" customHeight="1" x14ac:dyDescent="0.3">
      <c r="A479" s="13" t="s">
        <v>248</v>
      </c>
      <c r="B479" s="14" t="s">
        <v>34</v>
      </c>
      <c r="C479" s="15" t="s">
        <v>1127</v>
      </c>
      <c r="D479" s="14" t="s">
        <v>61</v>
      </c>
      <c r="E479" s="13" t="s">
        <v>339</v>
      </c>
      <c r="F479" s="13" t="s">
        <v>250</v>
      </c>
      <c r="G479" s="93" t="s">
        <v>1146</v>
      </c>
      <c r="H479" s="13" t="s">
        <v>1320</v>
      </c>
      <c r="I479" s="15" t="s">
        <v>1129</v>
      </c>
      <c r="J479" s="14" t="s">
        <v>9</v>
      </c>
      <c r="K479" s="15" t="s">
        <v>77</v>
      </c>
      <c r="L479" s="14" t="s">
        <v>258</v>
      </c>
      <c r="M479" s="14" t="s">
        <v>35</v>
      </c>
      <c r="N479" s="14" t="s">
        <v>602</v>
      </c>
      <c r="O479" s="15" t="s">
        <v>1321</v>
      </c>
      <c r="P479" s="14" t="s">
        <v>258</v>
      </c>
      <c r="Q479" s="14" t="s">
        <v>258</v>
      </c>
      <c r="R479" s="14" t="s">
        <v>258</v>
      </c>
      <c r="S479" s="17" t="s">
        <v>258</v>
      </c>
      <c r="T479" s="14" t="s">
        <v>258</v>
      </c>
      <c r="U479" s="14" t="s">
        <v>258</v>
      </c>
      <c r="V479" s="94" t="s">
        <v>113</v>
      </c>
      <c r="W479" s="84">
        <v>467193197</v>
      </c>
      <c r="X479" s="18">
        <v>467193197</v>
      </c>
      <c r="Y479" s="19" t="s">
        <v>339</v>
      </c>
      <c r="Z479" s="19" t="s">
        <v>258</v>
      </c>
      <c r="AA479" s="14" t="s">
        <v>1132</v>
      </c>
      <c r="AB479" s="14" t="s">
        <v>1133</v>
      </c>
      <c r="AC479" s="14">
        <v>6012220601</v>
      </c>
      <c r="AD479" s="14" t="s">
        <v>1134</v>
      </c>
      <c r="AE479" s="82">
        <v>0</v>
      </c>
      <c r="AF479" s="82">
        <v>0</v>
      </c>
      <c r="AG479" s="82">
        <v>0</v>
      </c>
      <c r="AH479" s="82">
        <v>0</v>
      </c>
      <c r="AI479" s="82">
        <v>0</v>
      </c>
      <c r="AJ479" s="82">
        <v>0</v>
      </c>
      <c r="AK479" s="82">
        <v>0</v>
      </c>
      <c r="AL479" s="82">
        <v>0</v>
      </c>
      <c r="AM479" s="82">
        <v>0</v>
      </c>
      <c r="AN479" s="82">
        <v>0</v>
      </c>
      <c r="AO479" s="82">
        <v>0</v>
      </c>
      <c r="AP479" s="82">
        <v>0</v>
      </c>
      <c r="AQ479" s="82">
        <v>77865533</v>
      </c>
      <c r="AR479" s="82">
        <v>77865533</v>
      </c>
      <c r="AS479" s="82">
        <v>77865533</v>
      </c>
      <c r="AT479" s="82">
        <v>77865533</v>
      </c>
      <c r="AU479" s="82">
        <v>77865533</v>
      </c>
      <c r="AV479" s="82">
        <v>77865533</v>
      </c>
      <c r="AW479" s="82">
        <v>77865533</v>
      </c>
      <c r="AX479" s="82">
        <v>77865533</v>
      </c>
      <c r="AY479" s="82">
        <v>77865533</v>
      </c>
      <c r="AZ479" s="82">
        <v>77865533</v>
      </c>
      <c r="BA479" s="82">
        <v>77865532</v>
      </c>
      <c r="BB479" s="82">
        <v>77865532</v>
      </c>
      <c r="BC479" s="82">
        <f t="shared" ref="BC479:BD479" si="948">AE479+AG479+AI479+AK479+AM479+AO479+AQ479+AS479+AU479+AW479+AY479+BA479</f>
        <v>467193197</v>
      </c>
      <c r="BD479" s="82">
        <f t="shared" si="948"/>
        <v>467193197</v>
      </c>
      <c r="BE479" s="83">
        <f t="shared" si="813"/>
        <v>0</v>
      </c>
      <c r="BF479" s="83">
        <f t="shared" si="814"/>
        <v>0</v>
      </c>
      <c r="BG479" s="14" t="str">
        <f ca="1">IFERROR(__xludf.DUMMYFUNCTION("REGEXEXTRACT(O473,""^\S+\s(.+)$"")"),"Gastos de personal de los empleos de la planta temporal")</f>
        <v>Gastos de personal de los empleos de la planta temporal</v>
      </c>
      <c r="BH479" s="23"/>
      <c r="BI479" s="23"/>
      <c r="BJ479" s="23"/>
      <c r="BK479" s="23"/>
      <c r="BL479" s="23"/>
      <c r="BM479" s="23"/>
      <c r="BN479" s="23"/>
      <c r="BO479" s="23"/>
      <c r="BP479" s="23"/>
      <c r="BQ479" s="23"/>
      <c r="BR479" s="23"/>
      <c r="BS479" s="23"/>
      <c r="BT479" s="23">
        <v>77865533</v>
      </c>
      <c r="BU479" s="23">
        <v>77865533</v>
      </c>
      <c r="BV479" s="23">
        <v>77865533</v>
      </c>
      <c r="BW479" s="23">
        <v>77865533</v>
      </c>
      <c r="BX479" s="23">
        <v>77865533</v>
      </c>
      <c r="BY479" s="23">
        <v>77865533</v>
      </c>
      <c r="BZ479" s="23">
        <v>77865533</v>
      </c>
      <c r="CA479" s="23">
        <v>77865533</v>
      </c>
      <c r="CB479" s="23">
        <v>77865533</v>
      </c>
      <c r="CC479" s="23">
        <v>77865533</v>
      </c>
      <c r="CD479" s="23">
        <v>77865532</v>
      </c>
      <c r="CE479" s="23">
        <v>77865532</v>
      </c>
      <c r="CF479" s="28"/>
      <c r="CG479" s="28"/>
      <c r="CH479" s="25">
        <f t="shared" ref="CH479:CI479" si="949">BH479+BJ479+BL479+BN479+BP479+BR479+BT479+BV479+BX479+BZ479+CB479+CD479+CF479</f>
        <v>467193197</v>
      </c>
      <c r="CI479" s="25">
        <f t="shared" si="949"/>
        <v>467193197</v>
      </c>
      <c r="CJ479" s="26">
        <f t="shared" si="816"/>
        <v>0</v>
      </c>
      <c r="CK479" s="26">
        <f t="shared" si="817"/>
        <v>0</v>
      </c>
    </row>
    <row r="480" spans="1:89" ht="90" customHeight="1" x14ac:dyDescent="0.3">
      <c r="A480" s="13" t="s">
        <v>248</v>
      </c>
      <c r="B480" s="14" t="s">
        <v>34</v>
      </c>
      <c r="C480" s="15" t="s">
        <v>1127</v>
      </c>
      <c r="D480" s="14" t="s">
        <v>61</v>
      </c>
      <c r="E480" s="13" t="s">
        <v>250</v>
      </c>
      <c r="F480" s="13" t="s">
        <v>250</v>
      </c>
      <c r="G480" s="14" t="s">
        <v>546</v>
      </c>
      <c r="H480" s="13" t="s">
        <v>1322</v>
      </c>
      <c r="I480" s="15" t="s">
        <v>1129</v>
      </c>
      <c r="J480" s="14" t="s">
        <v>9</v>
      </c>
      <c r="K480" s="15" t="s">
        <v>77</v>
      </c>
      <c r="L480" s="14" t="s">
        <v>277</v>
      </c>
      <c r="M480" s="14" t="s">
        <v>35</v>
      </c>
      <c r="N480" s="14" t="s">
        <v>278</v>
      </c>
      <c r="O480" s="85" t="s">
        <v>1323</v>
      </c>
      <c r="P480" s="14" t="s">
        <v>549</v>
      </c>
      <c r="Q480" s="14" t="s">
        <v>549</v>
      </c>
      <c r="R480" s="14" t="s">
        <v>280</v>
      </c>
      <c r="S480" s="17">
        <v>12</v>
      </c>
      <c r="T480" s="14" t="s">
        <v>256</v>
      </c>
      <c r="U480" s="14" t="s">
        <v>347</v>
      </c>
      <c r="V480" s="14" t="s">
        <v>113</v>
      </c>
      <c r="W480" s="18">
        <f t="shared" ref="W480:X480" si="950">279950708-168656043</f>
        <v>111294665</v>
      </c>
      <c r="X480" s="18">
        <f t="shared" si="950"/>
        <v>111294665</v>
      </c>
      <c r="Y480" s="19" t="s">
        <v>339</v>
      </c>
      <c r="Z480" s="19" t="s">
        <v>258</v>
      </c>
      <c r="AA480" s="14" t="s">
        <v>1132</v>
      </c>
      <c r="AB480" s="14" t="s">
        <v>1133</v>
      </c>
      <c r="AC480" s="14">
        <v>6012220601</v>
      </c>
      <c r="AD480" s="14" t="s">
        <v>1134</v>
      </c>
      <c r="AE480" s="82">
        <v>0</v>
      </c>
      <c r="AF480" s="82">
        <v>0</v>
      </c>
      <c r="AG480" s="82">
        <v>0</v>
      </c>
      <c r="AH480" s="82">
        <v>0</v>
      </c>
      <c r="AI480" s="82">
        <v>0</v>
      </c>
      <c r="AJ480" s="82">
        <v>0</v>
      </c>
      <c r="AK480" s="82">
        <v>111294665</v>
      </c>
      <c r="AL480" s="82">
        <v>0</v>
      </c>
      <c r="AM480" s="82">
        <v>0</v>
      </c>
      <c r="AN480" s="82">
        <v>0</v>
      </c>
      <c r="AO480" s="82">
        <v>0</v>
      </c>
      <c r="AP480" s="82">
        <v>111294665</v>
      </c>
      <c r="AQ480" s="82">
        <v>0</v>
      </c>
      <c r="AR480" s="82">
        <v>0</v>
      </c>
      <c r="AS480" s="82">
        <v>0</v>
      </c>
      <c r="AT480" s="82">
        <v>0</v>
      </c>
      <c r="AU480" s="82">
        <v>0</v>
      </c>
      <c r="AV480" s="82">
        <v>0</v>
      </c>
      <c r="AW480" s="82">
        <v>0</v>
      </c>
      <c r="AX480" s="82">
        <v>0</v>
      </c>
      <c r="AY480" s="82">
        <v>0</v>
      </c>
      <c r="AZ480" s="82">
        <v>0</v>
      </c>
      <c r="BA480" s="82">
        <v>0</v>
      </c>
      <c r="BB480" s="82">
        <v>0</v>
      </c>
      <c r="BC480" s="82">
        <f t="shared" ref="BC480:BD480" si="951">AE480+AG480+AI480+AK480+AM480+AO480+AQ480+AS480+AU480+AW480+AY480+BA480</f>
        <v>111294665</v>
      </c>
      <c r="BD480" s="82">
        <f t="shared" si="951"/>
        <v>111294665</v>
      </c>
      <c r="BE480" s="83">
        <f t="shared" si="813"/>
        <v>0</v>
      </c>
      <c r="BF480" s="83">
        <f t="shared" si="814"/>
        <v>0</v>
      </c>
      <c r="BG480" s="14" t="str">
        <f ca="1">IFERROR(__xludf.DUMMYFUNCTION("REGEXEXTRACT(O474,""^\S+\s(.+)$"")"),"Adquirir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480" s="23"/>
      <c r="BI480" s="23"/>
      <c r="BJ480" s="23"/>
      <c r="BK480" s="23"/>
      <c r="BL480" s="23"/>
      <c r="BM480" s="23"/>
      <c r="BN480" s="23">
        <v>111294665</v>
      </c>
      <c r="BO480" s="23"/>
      <c r="BP480" s="23"/>
      <c r="BQ480" s="23"/>
      <c r="BR480" s="23"/>
      <c r="BS480" s="23">
        <v>111294665</v>
      </c>
      <c r="BT480" s="23"/>
      <c r="BU480" s="23"/>
      <c r="BV480" s="23"/>
      <c r="BW480" s="23"/>
      <c r="BX480" s="23"/>
      <c r="BY480" s="23"/>
      <c r="BZ480" s="23"/>
      <c r="CA480" s="23"/>
      <c r="CB480" s="23"/>
      <c r="CC480" s="23"/>
      <c r="CD480" s="23"/>
      <c r="CE480" s="23"/>
      <c r="CF480" s="28"/>
      <c r="CG480" s="28"/>
      <c r="CH480" s="25">
        <f t="shared" ref="CH480:CI480" si="952">BH480+BJ480+BL480+BN480+BP480+BR480+BT480+BV480+BX480+BZ480+CB480+CD480+CF480</f>
        <v>111294665</v>
      </c>
      <c r="CI480" s="25">
        <f t="shared" si="952"/>
        <v>111294665</v>
      </c>
      <c r="CJ480" s="26">
        <f t="shared" si="816"/>
        <v>0</v>
      </c>
      <c r="CK480" s="26">
        <f t="shared" si="817"/>
        <v>0</v>
      </c>
    </row>
    <row r="481" spans="1:89" ht="90" customHeight="1" x14ac:dyDescent="0.3">
      <c r="A481" s="13" t="s">
        <v>248</v>
      </c>
      <c r="B481" s="14" t="s">
        <v>34</v>
      </c>
      <c r="C481" s="15" t="s">
        <v>1127</v>
      </c>
      <c r="D481" s="14" t="s">
        <v>61</v>
      </c>
      <c r="E481" s="13" t="s">
        <v>250</v>
      </c>
      <c r="F481" s="13" t="s">
        <v>250</v>
      </c>
      <c r="G481" s="14">
        <v>20</v>
      </c>
      <c r="H481" s="13" t="s">
        <v>1324</v>
      </c>
      <c r="I481" s="15" t="s">
        <v>1129</v>
      </c>
      <c r="J481" s="14" t="s">
        <v>9</v>
      </c>
      <c r="K481" s="15" t="s">
        <v>77</v>
      </c>
      <c r="L481" s="14" t="s">
        <v>277</v>
      </c>
      <c r="M481" s="14" t="s">
        <v>35</v>
      </c>
      <c r="N481" s="14" t="s">
        <v>278</v>
      </c>
      <c r="O481" s="85" t="s">
        <v>1325</v>
      </c>
      <c r="P481" s="14" t="s">
        <v>549</v>
      </c>
      <c r="Q481" s="14" t="s">
        <v>549</v>
      </c>
      <c r="R481" s="14" t="s">
        <v>280</v>
      </c>
      <c r="S481" s="17">
        <v>12</v>
      </c>
      <c r="T481" s="14" t="s">
        <v>256</v>
      </c>
      <c r="U481" s="14" t="s">
        <v>347</v>
      </c>
      <c r="V481" s="14" t="s">
        <v>112</v>
      </c>
      <c r="W481" s="18">
        <v>220049292</v>
      </c>
      <c r="X481" s="18">
        <v>220049292</v>
      </c>
      <c r="Y481" s="19" t="s">
        <v>339</v>
      </c>
      <c r="Z481" s="19" t="s">
        <v>258</v>
      </c>
      <c r="AA481" s="14" t="s">
        <v>1132</v>
      </c>
      <c r="AB481" s="14" t="s">
        <v>1133</v>
      </c>
      <c r="AC481" s="14">
        <v>6012220601</v>
      </c>
      <c r="AD481" s="14" t="s">
        <v>1134</v>
      </c>
      <c r="AE481" s="82">
        <v>0</v>
      </c>
      <c r="AF481" s="82">
        <v>0</v>
      </c>
      <c r="AG481" s="82">
        <v>0</v>
      </c>
      <c r="AH481" s="82">
        <v>0</v>
      </c>
      <c r="AI481" s="82">
        <v>0</v>
      </c>
      <c r="AJ481" s="82">
        <v>0</v>
      </c>
      <c r="AK481" s="82">
        <v>20049292</v>
      </c>
      <c r="AL481" s="82">
        <v>0</v>
      </c>
      <c r="AM481" s="82">
        <v>0</v>
      </c>
      <c r="AN481" s="82">
        <v>0</v>
      </c>
      <c r="AO481" s="82">
        <v>0</v>
      </c>
      <c r="AP481" s="82">
        <v>20049292</v>
      </c>
      <c r="AQ481" s="82">
        <v>0</v>
      </c>
      <c r="AR481" s="82">
        <v>0</v>
      </c>
      <c r="AS481" s="82">
        <v>0</v>
      </c>
      <c r="AT481" s="82">
        <v>0</v>
      </c>
      <c r="AU481" s="82">
        <v>0</v>
      </c>
      <c r="AV481" s="82">
        <v>0</v>
      </c>
      <c r="AW481" s="82">
        <v>0</v>
      </c>
      <c r="AX481" s="82">
        <v>0</v>
      </c>
      <c r="AY481" s="82">
        <v>0</v>
      </c>
      <c r="AZ481" s="82">
        <v>0</v>
      </c>
      <c r="BA481" s="82">
        <v>0</v>
      </c>
      <c r="BB481" s="82">
        <v>0</v>
      </c>
      <c r="BC481" s="82">
        <f t="shared" ref="BC481:BD481" si="953">AE481+AG481+AI481+AK481+AM481+AO481+AQ481+AS481+AU481+AW481+AY481+BA481</f>
        <v>20049292</v>
      </c>
      <c r="BD481" s="82">
        <f t="shared" si="953"/>
        <v>20049292</v>
      </c>
      <c r="BE481" s="83">
        <f t="shared" si="813"/>
        <v>200000000</v>
      </c>
      <c r="BF481" s="83">
        <f t="shared" si="814"/>
        <v>200000000</v>
      </c>
      <c r="BG481" s="14" t="str">
        <f ca="1">IFERROR(__xludf.DUMMYFUNCTION("REGEXEXTRACT(O475,""^\S+\s(.+)$"")"),"Adquirir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481" s="23"/>
      <c r="BI481" s="23"/>
      <c r="BJ481" s="23"/>
      <c r="BK481" s="23"/>
      <c r="BL481" s="23"/>
      <c r="BM481" s="23"/>
      <c r="BN481" s="23">
        <v>220049292</v>
      </c>
      <c r="BO481" s="23"/>
      <c r="BP481" s="23"/>
      <c r="BQ481" s="23">
        <v>220049292</v>
      </c>
      <c r="BR481" s="23"/>
      <c r="BS481" s="23"/>
      <c r="BT481" s="23"/>
      <c r="BU481" s="23"/>
      <c r="BV481" s="23"/>
      <c r="BW481" s="23"/>
      <c r="BX481" s="23"/>
      <c r="BY481" s="23"/>
      <c r="BZ481" s="23"/>
      <c r="CA481" s="23"/>
      <c r="CB481" s="23"/>
      <c r="CC481" s="23"/>
      <c r="CD481" s="23"/>
      <c r="CE481" s="23"/>
      <c r="CF481" s="28"/>
      <c r="CG481" s="28"/>
      <c r="CH481" s="25">
        <f t="shared" ref="CH481:CI481" si="954">BH481+BJ481+BL481+BN481+BP481+BR481+BT481+BV481+BX481+BZ481+CB481+CD481+CF481</f>
        <v>220049292</v>
      </c>
      <c r="CI481" s="25">
        <f t="shared" si="954"/>
        <v>220049292</v>
      </c>
      <c r="CJ481" s="26">
        <f t="shared" si="816"/>
        <v>0</v>
      </c>
      <c r="CK481" s="26">
        <f t="shared" si="817"/>
        <v>0</v>
      </c>
    </row>
    <row r="482" spans="1:89" ht="90" customHeight="1" x14ac:dyDescent="0.3">
      <c r="A482" s="13" t="s">
        <v>248</v>
      </c>
      <c r="B482" s="14" t="s">
        <v>34</v>
      </c>
      <c r="C482" s="15" t="s">
        <v>1127</v>
      </c>
      <c r="D482" s="14" t="s">
        <v>61</v>
      </c>
      <c r="E482" s="13" t="s">
        <v>339</v>
      </c>
      <c r="F482" s="13" t="s">
        <v>250</v>
      </c>
      <c r="G482" s="93" t="s">
        <v>1146</v>
      </c>
      <c r="H482" s="13" t="s">
        <v>1326</v>
      </c>
      <c r="I482" s="15" t="s">
        <v>1138</v>
      </c>
      <c r="J482" s="14" t="s">
        <v>18</v>
      </c>
      <c r="K482" s="15" t="s">
        <v>79</v>
      </c>
      <c r="L482" s="14" t="s">
        <v>258</v>
      </c>
      <c r="M482" s="14" t="s">
        <v>36</v>
      </c>
      <c r="N482" s="14" t="s">
        <v>602</v>
      </c>
      <c r="O482" s="15" t="s">
        <v>1327</v>
      </c>
      <c r="P482" s="14" t="s">
        <v>258</v>
      </c>
      <c r="Q482" s="14" t="s">
        <v>258</v>
      </c>
      <c r="R482" s="14" t="s">
        <v>258</v>
      </c>
      <c r="S482" s="17" t="s">
        <v>258</v>
      </c>
      <c r="T482" s="14" t="s">
        <v>258</v>
      </c>
      <c r="U482" s="14" t="s">
        <v>258</v>
      </c>
      <c r="V482" s="94" t="s">
        <v>113</v>
      </c>
      <c r="W482" s="18">
        <v>50424391</v>
      </c>
      <c r="X482" s="18">
        <v>50424391</v>
      </c>
      <c r="Y482" s="19" t="s">
        <v>339</v>
      </c>
      <c r="Z482" s="19" t="s">
        <v>258</v>
      </c>
      <c r="AA482" s="14" t="s">
        <v>1132</v>
      </c>
      <c r="AB482" s="14" t="s">
        <v>1133</v>
      </c>
      <c r="AC482" s="14">
        <v>6012220601</v>
      </c>
      <c r="AD482" s="14" t="s">
        <v>1134</v>
      </c>
      <c r="AE482" s="82">
        <v>0</v>
      </c>
      <c r="AF482" s="82">
        <v>0</v>
      </c>
      <c r="AG482" s="82">
        <v>0</v>
      </c>
      <c r="AH482" s="82">
        <v>0</v>
      </c>
      <c r="AI482" s="82">
        <v>0</v>
      </c>
      <c r="AJ482" s="82">
        <v>0</v>
      </c>
      <c r="AK482" s="82">
        <v>0</v>
      </c>
      <c r="AL482" s="82">
        <v>0</v>
      </c>
      <c r="AM482" s="82">
        <v>0</v>
      </c>
      <c r="AN482" s="82">
        <v>0</v>
      </c>
      <c r="AO482" s="82">
        <v>0</v>
      </c>
      <c r="AP482" s="82">
        <v>0</v>
      </c>
      <c r="AQ482" s="82">
        <v>8404065</v>
      </c>
      <c r="AR482" s="82">
        <v>8404065</v>
      </c>
      <c r="AS482" s="82">
        <v>8404065</v>
      </c>
      <c r="AT482" s="82">
        <v>8404065</v>
      </c>
      <c r="AU482" s="82">
        <v>8404065</v>
      </c>
      <c r="AV482" s="82">
        <v>8404065</v>
      </c>
      <c r="AW482" s="82">
        <v>8404065</v>
      </c>
      <c r="AX482" s="82">
        <v>8404065</v>
      </c>
      <c r="AY482" s="82">
        <v>8404065</v>
      </c>
      <c r="AZ482" s="82">
        <v>8404065</v>
      </c>
      <c r="BA482" s="82">
        <v>8404066</v>
      </c>
      <c r="BB482" s="82">
        <v>8404066</v>
      </c>
      <c r="BC482" s="82">
        <f t="shared" ref="BC482:BD482" si="955">AE482+AG482+AI482+AK482+AM482+AO482+AQ482+AS482+AU482+AW482+AY482+BA482</f>
        <v>50424391</v>
      </c>
      <c r="BD482" s="82">
        <f t="shared" si="955"/>
        <v>50424391</v>
      </c>
      <c r="BE482" s="83">
        <f t="shared" si="813"/>
        <v>0</v>
      </c>
      <c r="BF482" s="83">
        <f t="shared" si="814"/>
        <v>0</v>
      </c>
      <c r="BG482" s="14" t="str">
        <f ca="1">IFERROR(__xludf.DUMMYFUNCTION("REGEXEXTRACT(O476,""^\S+\s(.+)$"")"),"Gastos de personal de los empleos de la planta temporal")</f>
        <v>Gastos de personal de los empleos de la planta temporal</v>
      </c>
      <c r="BH482" s="23"/>
      <c r="BI482" s="23"/>
      <c r="BJ482" s="23"/>
      <c r="BK482" s="23"/>
      <c r="BL482" s="23"/>
      <c r="BM482" s="23"/>
      <c r="BN482" s="23"/>
      <c r="BO482" s="23"/>
      <c r="BP482" s="23"/>
      <c r="BQ482" s="23"/>
      <c r="BR482" s="23"/>
      <c r="BS482" s="23"/>
      <c r="BT482" s="23">
        <v>8404065</v>
      </c>
      <c r="BU482" s="23">
        <v>8404065</v>
      </c>
      <c r="BV482" s="23">
        <v>8404065</v>
      </c>
      <c r="BW482" s="23">
        <v>8404065</v>
      </c>
      <c r="BX482" s="23">
        <v>8404065</v>
      </c>
      <c r="BY482" s="23">
        <v>8404065</v>
      </c>
      <c r="BZ482" s="23">
        <v>8404065</v>
      </c>
      <c r="CA482" s="23">
        <v>8404065</v>
      </c>
      <c r="CB482" s="23">
        <v>8404065</v>
      </c>
      <c r="CC482" s="23">
        <v>8404065</v>
      </c>
      <c r="CD482" s="23">
        <v>8404066</v>
      </c>
      <c r="CE482" s="23">
        <v>8404066</v>
      </c>
      <c r="CF482" s="28"/>
      <c r="CG482" s="28"/>
      <c r="CH482" s="25">
        <f t="shared" ref="CH482:CI482" si="956">BH482+BJ482+BL482+BN482+BP482+BR482+BT482+BV482+BX482+BZ482+CB482+CD482+CF482</f>
        <v>50424391</v>
      </c>
      <c r="CI482" s="25">
        <f t="shared" si="956"/>
        <v>50424391</v>
      </c>
      <c r="CJ482" s="26">
        <f t="shared" si="816"/>
        <v>0</v>
      </c>
      <c r="CK482" s="26">
        <f t="shared" si="817"/>
        <v>0</v>
      </c>
    </row>
    <row r="483" spans="1:89" ht="90" customHeight="1" x14ac:dyDescent="0.3">
      <c r="A483" s="13" t="s">
        <v>248</v>
      </c>
      <c r="B483" s="14" t="s">
        <v>34</v>
      </c>
      <c r="C483" s="15" t="s">
        <v>1127</v>
      </c>
      <c r="D483" s="14" t="s">
        <v>61</v>
      </c>
      <c r="E483" s="13" t="s">
        <v>250</v>
      </c>
      <c r="F483" s="13" t="s">
        <v>250</v>
      </c>
      <c r="G483" s="29">
        <v>22</v>
      </c>
      <c r="H483" s="13" t="s">
        <v>1328</v>
      </c>
      <c r="I483" s="15" t="s">
        <v>1129</v>
      </c>
      <c r="J483" s="14" t="s">
        <v>9</v>
      </c>
      <c r="K483" s="15" t="s">
        <v>77</v>
      </c>
      <c r="L483" s="14">
        <v>80141607</v>
      </c>
      <c r="M483" s="14" t="s">
        <v>35</v>
      </c>
      <c r="N483" s="14" t="s">
        <v>284</v>
      </c>
      <c r="O483" s="15" t="s">
        <v>1329</v>
      </c>
      <c r="P483" s="14" t="s">
        <v>255</v>
      </c>
      <c r="Q483" s="14" t="s">
        <v>255</v>
      </c>
      <c r="R483" s="14" t="s">
        <v>255</v>
      </c>
      <c r="S483" s="17">
        <v>11</v>
      </c>
      <c r="T483" s="14" t="s">
        <v>256</v>
      </c>
      <c r="U483" s="14" t="s">
        <v>511</v>
      </c>
      <c r="V483" s="14" t="s">
        <v>112</v>
      </c>
      <c r="W483" s="18">
        <v>20000000</v>
      </c>
      <c r="X483" s="18">
        <v>20000000</v>
      </c>
      <c r="Y483" s="19" t="s">
        <v>339</v>
      </c>
      <c r="Z483" s="19" t="s">
        <v>258</v>
      </c>
      <c r="AA483" s="14" t="s">
        <v>1132</v>
      </c>
      <c r="AB483" s="14" t="s">
        <v>1133</v>
      </c>
      <c r="AC483" s="14">
        <v>6012220601</v>
      </c>
      <c r="AD483" s="14" t="s">
        <v>1134</v>
      </c>
      <c r="AE483" s="82">
        <v>10000000</v>
      </c>
      <c r="AF483" s="82">
        <v>0</v>
      </c>
      <c r="AG483" s="82">
        <v>0</v>
      </c>
      <c r="AH483" s="82">
        <v>0</v>
      </c>
      <c r="AI483" s="82">
        <v>0</v>
      </c>
      <c r="AJ483" s="82">
        <v>0</v>
      </c>
      <c r="AK483" s="82">
        <v>0</v>
      </c>
      <c r="AL483" s="82">
        <v>0</v>
      </c>
      <c r="AM483" s="82">
        <v>0</v>
      </c>
      <c r="AN483" s="82">
        <v>1250000</v>
      </c>
      <c r="AO483" s="82">
        <v>0</v>
      </c>
      <c r="AP483" s="82">
        <v>1250000</v>
      </c>
      <c r="AQ483" s="82">
        <v>0</v>
      </c>
      <c r="AR483" s="82">
        <v>1250000</v>
      </c>
      <c r="AS483" s="82">
        <v>0</v>
      </c>
      <c r="AT483" s="82">
        <v>1250000</v>
      </c>
      <c r="AU483" s="82">
        <v>0</v>
      </c>
      <c r="AV483" s="82">
        <v>1250000</v>
      </c>
      <c r="AW483" s="82">
        <v>0</v>
      </c>
      <c r="AX483" s="82">
        <v>1250000</v>
      </c>
      <c r="AY483" s="82">
        <v>0</v>
      </c>
      <c r="AZ483" s="82">
        <v>1250000</v>
      </c>
      <c r="BA483" s="82">
        <v>0</v>
      </c>
      <c r="BB483" s="82">
        <v>1250000</v>
      </c>
      <c r="BC483" s="82">
        <f t="shared" ref="BC483:BD483" si="957">AE483+AG483+AI483+AK483+AM483+AO483+AQ483+AS483+AU483+AW483+AY483+BA483</f>
        <v>10000000</v>
      </c>
      <c r="BD483" s="82">
        <f t="shared" si="957"/>
        <v>10000000</v>
      </c>
      <c r="BE483" s="83">
        <f t="shared" si="813"/>
        <v>10000000</v>
      </c>
      <c r="BF483" s="83">
        <f t="shared" si="814"/>
        <v>10000000</v>
      </c>
      <c r="BG483" s="14" t="str">
        <f ca="1">IFERROR(__xludf.DUMMYFUNCTION("REGEXEXTRACT(O477,""^\S+\s(.+)$"")"),"Prestación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483" s="23">
        <v>10000000</v>
      </c>
      <c r="BI483" s="23"/>
      <c r="BJ483" s="23"/>
      <c r="BK483" s="23"/>
      <c r="BL483" s="23"/>
      <c r="BM483" s="23"/>
      <c r="BN483" s="23"/>
      <c r="BO483" s="23"/>
      <c r="BP483" s="23">
        <v>10000000</v>
      </c>
      <c r="BQ483" s="23">
        <v>2500000</v>
      </c>
      <c r="BR483" s="23"/>
      <c r="BS483" s="23">
        <v>2500000</v>
      </c>
      <c r="BT483" s="23"/>
      <c r="BU483" s="23">
        <v>2500000</v>
      </c>
      <c r="BV483" s="23"/>
      <c r="BW483" s="23">
        <v>2500000</v>
      </c>
      <c r="BX483" s="23"/>
      <c r="BY483" s="23">
        <v>2500000</v>
      </c>
      <c r="BZ483" s="23"/>
      <c r="CA483" s="23">
        <v>2500000</v>
      </c>
      <c r="CB483" s="23"/>
      <c r="CC483" s="23">
        <v>2500000</v>
      </c>
      <c r="CD483" s="23"/>
      <c r="CE483" s="23">
        <v>2500000</v>
      </c>
      <c r="CF483" s="28"/>
      <c r="CG483" s="28"/>
      <c r="CH483" s="25">
        <f t="shared" ref="CH483:CI483" si="958">BH483+BJ483+BL483+BN483+BP483+BR483+BT483+BV483+BX483+BZ483+CB483+CD483+CF483</f>
        <v>20000000</v>
      </c>
      <c r="CI483" s="25">
        <f t="shared" si="958"/>
        <v>20000000</v>
      </c>
      <c r="CJ483" s="26">
        <f t="shared" si="816"/>
        <v>0</v>
      </c>
      <c r="CK483" s="26">
        <f t="shared" si="817"/>
        <v>0</v>
      </c>
    </row>
    <row r="484" spans="1:89" ht="90" customHeight="1" x14ac:dyDescent="0.3">
      <c r="A484" s="13" t="s">
        <v>248</v>
      </c>
      <c r="B484" s="14" t="s">
        <v>34</v>
      </c>
      <c r="C484" s="15" t="s">
        <v>1127</v>
      </c>
      <c r="D484" s="14" t="s">
        <v>61</v>
      </c>
      <c r="E484" s="13" t="s">
        <v>250</v>
      </c>
      <c r="F484" s="13" t="s">
        <v>250</v>
      </c>
      <c r="G484" s="14">
        <v>68</v>
      </c>
      <c r="H484" s="13" t="s">
        <v>1330</v>
      </c>
      <c r="I484" s="15" t="s">
        <v>1129</v>
      </c>
      <c r="J484" s="14" t="s">
        <v>9</v>
      </c>
      <c r="K484" s="15" t="s">
        <v>77</v>
      </c>
      <c r="L484" s="14">
        <v>80111620</v>
      </c>
      <c r="M484" s="14" t="s">
        <v>35</v>
      </c>
      <c r="N484" s="14" t="s">
        <v>253</v>
      </c>
      <c r="O484" s="15" t="s">
        <v>1331</v>
      </c>
      <c r="P484" s="14" t="s">
        <v>255</v>
      </c>
      <c r="Q484" s="14" t="s">
        <v>255</v>
      </c>
      <c r="R484" s="94" t="s">
        <v>549</v>
      </c>
      <c r="S484" s="17">
        <v>12</v>
      </c>
      <c r="T484" s="14" t="s">
        <v>256</v>
      </c>
      <c r="U484" s="14" t="s">
        <v>257</v>
      </c>
      <c r="V484" s="14" t="s">
        <v>112</v>
      </c>
      <c r="W484" s="18">
        <v>83636361</v>
      </c>
      <c r="X484" s="18">
        <v>83636361</v>
      </c>
      <c r="Y484" s="19" t="s">
        <v>339</v>
      </c>
      <c r="Z484" s="19" t="s">
        <v>258</v>
      </c>
      <c r="AA484" s="14" t="s">
        <v>1132</v>
      </c>
      <c r="AB484" s="14" t="s">
        <v>1133</v>
      </c>
      <c r="AC484" s="14">
        <v>6012220601</v>
      </c>
      <c r="AD484" s="14" t="s">
        <v>1134</v>
      </c>
      <c r="AE484" s="82">
        <v>0</v>
      </c>
      <c r="AF484" s="82">
        <v>0</v>
      </c>
      <c r="AG484" s="82">
        <v>83636361</v>
      </c>
      <c r="AH484" s="82">
        <v>0</v>
      </c>
      <c r="AI484" s="82">
        <v>0</v>
      </c>
      <c r="AJ484" s="82">
        <v>3636364</v>
      </c>
      <c r="AK484" s="82">
        <v>0</v>
      </c>
      <c r="AL484" s="82">
        <v>7272727</v>
      </c>
      <c r="AM484" s="82">
        <v>0</v>
      </c>
      <c r="AN484" s="82">
        <v>7272727</v>
      </c>
      <c r="AO484" s="82">
        <v>0</v>
      </c>
      <c r="AP484" s="82">
        <v>7272727</v>
      </c>
      <c r="AQ484" s="82">
        <v>0</v>
      </c>
      <c r="AR484" s="82">
        <v>7272727</v>
      </c>
      <c r="AS484" s="82">
        <v>0</v>
      </c>
      <c r="AT484" s="82">
        <v>7272727</v>
      </c>
      <c r="AU484" s="82">
        <v>0</v>
      </c>
      <c r="AV484" s="82">
        <v>7272727</v>
      </c>
      <c r="AW484" s="82">
        <v>0</v>
      </c>
      <c r="AX484" s="82">
        <v>7272727</v>
      </c>
      <c r="AY484" s="82">
        <v>0</v>
      </c>
      <c r="AZ484" s="82">
        <v>7272727</v>
      </c>
      <c r="BA484" s="82">
        <v>0</v>
      </c>
      <c r="BB484" s="82">
        <v>21818181</v>
      </c>
      <c r="BC484" s="82">
        <f t="shared" ref="BC484:BD484" si="959">AE484+AG484+AI484+AK484+AM484+AO484+AQ484+AS484+AU484+AW484+AY484+BA484</f>
        <v>83636361</v>
      </c>
      <c r="BD484" s="82">
        <f t="shared" si="959"/>
        <v>83636361</v>
      </c>
      <c r="BE484" s="83">
        <f t="shared" si="813"/>
        <v>0</v>
      </c>
      <c r="BF484" s="83">
        <f t="shared" si="814"/>
        <v>0</v>
      </c>
      <c r="BG484" s="14" t="str">
        <f ca="1">IFERROR(__xludf.DUMMYFUNCTION("REGEXEXTRACT(O478,""^\S+\s(.+)$"")"),"Prestar servicios profesionales para apoyar y fortalecer la gestión del talento humano de la Unidad de Planeación Minero Energética – UPME, mediante el desarrollo de actividades orientadas a la provisión de vacantes, los procesos de vinculación e inducció"&amp;"n de los servidores públicos, y el seguimiento a la ejecución de los planes de talento humano, en el marco de las acciones institucionales adelantadas para mejorar la planeación y la gestión del sector energético nacional.")</f>
        <v>Prestar servicios profesionales para apoyar y fortalecer la gestión del talento humano de la Unidad de Planeación Minero Energética – UPME, mediante el desarrollo de actividades orientadas a la provisión de vacantes, los procesos de vinculación e inducción de los servidores públicos, y el seguimiento a la ejecución de los planes de talento humano, en el marco de las acciones institucionales adelantadas para mejorar la planeación y la gestión del sector energético nacional.</v>
      </c>
      <c r="BH484" s="23"/>
      <c r="BI484" s="23"/>
      <c r="BJ484" s="23">
        <v>83636361</v>
      </c>
      <c r="BK484" s="23"/>
      <c r="BL484" s="23"/>
      <c r="BM484" s="23">
        <v>3636364</v>
      </c>
      <c r="BN484" s="23"/>
      <c r="BO484" s="23">
        <v>7272727</v>
      </c>
      <c r="BP484" s="23"/>
      <c r="BQ484" s="23">
        <v>7272727</v>
      </c>
      <c r="BR484" s="23"/>
      <c r="BS484" s="23">
        <v>7272727</v>
      </c>
      <c r="BT484" s="23"/>
      <c r="BU484" s="23">
        <v>7272727</v>
      </c>
      <c r="BV484" s="23"/>
      <c r="BW484" s="23">
        <v>7272727</v>
      </c>
      <c r="BX484" s="23"/>
      <c r="BY484" s="23">
        <v>7272727</v>
      </c>
      <c r="BZ484" s="23"/>
      <c r="CA484" s="23">
        <v>7272727</v>
      </c>
      <c r="CB484" s="23"/>
      <c r="CC484" s="23">
        <v>7272727</v>
      </c>
      <c r="CD484" s="23"/>
      <c r="CE484" s="23">
        <v>21818181</v>
      </c>
      <c r="CF484" s="28"/>
      <c r="CG484" s="28"/>
      <c r="CH484" s="25">
        <f t="shared" ref="CH484:CI484" si="960">BH484+BJ484+BL484+BN484+BP484+BR484+BT484+BV484+BX484+BZ484+CB484+CD484+CF484</f>
        <v>83636361</v>
      </c>
      <c r="CI484" s="25">
        <f t="shared" si="960"/>
        <v>83636361</v>
      </c>
      <c r="CJ484" s="26">
        <f t="shared" si="816"/>
        <v>0</v>
      </c>
      <c r="CK484" s="26">
        <f t="shared" si="817"/>
        <v>0</v>
      </c>
    </row>
    <row r="485" spans="1:89" ht="90" customHeight="1" x14ac:dyDescent="0.3">
      <c r="A485" s="13" t="s">
        <v>248</v>
      </c>
      <c r="B485" s="14" t="s">
        <v>34</v>
      </c>
      <c r="C485" s="15" t="s">
        <v>1127</v>
      </c>
      <c r="D485" s="14" t="s">
        <v>61</v>
      </c>
      <c r="E485" s="13" t="s">
        <v>250</v>
      </c>
      <c r="F485" s="13" t="s">
        <v>250</v>
      </c>
      <c r="G485" s="14">
        <v>68</v>
      </c>
      <c r="H485" s="13" t="s">
        <v>1332</v>
      </c>
      <c r="I485" s="15" t="s">
        <v>1129</v>
      </c>
      <c r="J485" s="14" t="s">
        <v>9</v>
      </c>
      <c r="K485" s="15" t="s">
        <v>77</v>
      </c>
      <c r="L485" s="14">
        <v>80111620</v>
      </c>
      <c r="M485" s="14" t="s">
        <v>35</v>
      </c>
      <c r="N485" s="14" t="s">
        <v>253</v>
      </c>
      <c r="O485" s="15" t="s">
        <v>1333</v>
      </c>
      <c r="P485" s="14" t="s">
        <v>255</v>
      </c>
      <c r="Q485" s="14" t="s">
        <v>255</v>
      </c>
      <c r="R485" s="14" t="s">
        <v>255</v>
      </c>
      <c r="S485" s="17">
        <v>12</v>
      </c>
      <c r="T485" s="14" t="s">
        <v>256</v>
      </c>
      <c r="U485" s="14" t="s">
        <v>257</v>
      </c>
      <c r="V485" s="14" t="s">
        <v>112</v>
      </c>
      <c r="W485" s="18">
        <v>63250000</v>
      </c>
      <c r="X485" s="18">
        <v>63250000</v>
      </c>
      <c r="Y485" s="19" t="s">
        <v>339</v>
      </c>
      <c r="Z485" s="19" t="s">
        <v>258</v>
      </c>
      <c r="AA485" s="14" t="s">
        <v>1132</v>
      </c>
      <c r="AB485" s="14" t="s">
        <v>1133</v>
      </c>
      <c r="AC485" s="14">
        <v>6012220601</v>
      </c>
      <c r="AD485" s="14" t="s">
        <v>1134</v>
      </c>
      <c r="AE485" s="82">
        <v>60500000</v>
      </c>
      <c r="AF485" s="82">
        <v>0</v>
      </c>
      <c r="AG485" s="82">
        <v>0</v>
      </c>
      <c r="AH485" s="82">
        <v>5500000</v>
      </c>
      <c r="AI485" s="82">
        <v>0</v>
      </c>
      <c r="AJ485" s="82">
        <v>5500000</v>
      </c>
      <c r="AK485" s="82">
        <v>0</v>
      </c>
      <c r="AL485" s="82">
        <v>5500000</v>
      </c>
      <c r="AM485" s="82">
        <v>0</v>
      </c>
      <c r="AN485" s="82">
        <v>5500000</v>
      </c>
      <c r="AO485" s="82">
        <v>0</v>
      </c>
      <c r="AP485" s="82">
        <v>5500000</v>
      </c>
      <c r="AQ485" s="82">
        <v>0</v>
      </c>
      <c r="AR485" s="82">
        <v>5500000</v>
      </c>
      <c r="AS485" s="82">
        <v>0</v>
      </c>
      <c r="AT485" s="82">
        <v>5500000</v>
      </c>
      <c r="AU485" s="82">
        <v>0</v>
      </c>
      <c r="AV485" s="82">
        <v>5500000</v>
      </c>
      <c r="AW485" s="82">
        <v>0</v>
      </c>
      <c r="AX485" s="82">
        <v>5500000</v>
      </c>
      <c r="AY485" s="82">
        <v>2750000</v>
      </c>
      <c r="AZ485" s="82">
        <v>5500000</v>
      </c>
      <c r="BA485" s="82">
        <v>0</v>
      </c>
      <c r="BB485" s="82">
        <v>8250000</v>
      </c>
      <c r="BC485" s="82">
        <f t="shared" ref="BC485:BD485" si="961">AE485+AG485+AI485+AK485+AM485+AO485+AQ485+AS485+AU485+AW485+AY485+BA485</f>
        <v>63250000</v>
      </c>
      <c r="BD485" s="82">
        <f t="shared" si="961"/>
        <v>63250000</v>
      </c>
      <c r="BE485" s="83">
        <f t="shared" si="813"/>
        <v>0</v>
      </c>
      <c r="BF485" s="83">
        <f t="shared" si="814"/>
        <v>0</v>
      </c>
      <c r="BG485" s="14" t="str">
        <f ca="1">IFERROR(__xludf.DUMMYFUNCTION("REGEXEXTRACT(O479,""^\S+\s(.+)$"")"),"Prestar los servicios profesionales para apoyar y gestionar las actividades orientadas al fortalecimiento del proceso de atención al ciudadano, así como garantizando la adecuada implementación, seguimiento y evaluación de la política de participación ciud"&amp;"adana de la Unidad de Planeación Minero Energética – UPME.")</f>
        <v>Prestar los servicios profesionales para apoyar y gestionar las actividades orientadas al fortalecimiento del proceso de atención al ciudadano, así como garantizando la adecuada implementación, seguimiento y evaluación de la política de participación ciudadana de la Unidad de Planeación Minero Energética – UPME.</v>
      </c>
      <c r="BH485" s="23">
        <v>60500000</v>
      </c>
      <c r="BI485" s="23"/>
      <c r="BJ485" s="23"/>
      <c r="BK485" s="23">
        <v>5500000</v>
      </c>
      <c r="BL485" s="23"/>
      <c r="BM485" s="23">
        <v>5500000</v>
      </c>
      <c r="BN485" s="23"/>
      <c r="BO485" s="23">
        <v>5500000</v>
      </c>
      <c r="BP485" s="23"/>
      <c r="BQ485" s="23">
        <v>5500000</v>
      </c>
      <c r="BR485" s="23"/>
      <c r="BS485" s="23">
        <v>5500000</v>
      </c>
      <c r="BT485" s="23"/>
      <c r="BU485" s="23">
        <v>5500000</v>
      </c>
      <c r="BV485" s="23"/>
      <c r="BW485" s="23">
        <v>5500000</v>
      </c>
      <c r="BX485" s="23"/>
      <c r="BY485" s="23">
        <v>5500000</v>
      </c>
      <c r="BZ485" s="23"/>
      <c r="CA485" s="23">
        <v>5500000</v>
      </c>
      <c r="CB485" s="23">
        <v>2750000</v>
      </c>
      <c r="CC485" s="23">
        <v>5500000</v>
      </c>
      <c r="CD485" s="23"/>
      <c r="CE485" s="23">
        <v>8250000</v>
      </c>
      <c r="CF485" s="28"/>
      <c r="CG485" s="28"/>
      <c r="CH485" s="25">
        <f t="shared" ref="CH485:CI485" si="962">BH485+BJ485+BL485+BN485+BP485+BR485+BT485+BV485+BX485+BZ485+CB485+CD485+CF485</f>
        <v>63250000</v>
      </c>
      <c r="CI485" s="25">
        <f t="shared" si="962"/>
        <v>63250000</v>
      </c>
      <c r="CJ485" s="26">
        <f t="shared" si="816"/>
        <v>0</v>
      </c>
      <c r="CK485" s="26">
        <f t="shared" si="817"/>
        <v>0</v>
      </c>
    </row>
    <row r="486" spans="1:89" ht="90" customHeight="1" x14ac:dyDescent="0.3">
      <c r="A486" s="13" t="s">
        <v>248</v>
      </c>
      <c r="B486" s="14" t="s">
        <v>34</v>
      </c>
      <c r="C486" s="15" t="s">
        <v>1127</v>
      </c>
      <c r="D486" s="14" t="s">
        <v>61</v>
      </c>
      <c r="E486" s="13" t="s">
        <v>250</v>
      </c>
      <c r="F486" s="13" t="s">
        <v>250</v>
      </c>
      <c r="G486" s="14">
        <v>1</v>
      </c>
      <c r="H486" s="13" t="s">
        <v>1334</v>
      </c>
      <c r="I486" s="15" t="s">
        <v>1129</v>
      </c>
      <c r="J486" s="14" t="s">
        <v>9</v>
      </c>
      <c r="K486" s="15" t="s">
        <v>77</v>
      </c>
      <c r="L486" s="14">
        <v>80111620</v>
      </c>
      <c r="M486" s="14" t="s">
        <v>35</v>
      </c>
      <c r="N486" s="14" t="s">
        <v>253</v>
      </c>
      <c r="O486" s="15" t="s">
        <v>1335</v>
      </c>
      <c r="P486" s="14" t="s">
        <v>255</v>
      </c>
      <c r="Q486" s="14" t="s">
        <v>255</v>
      </c>
      <c r="R486" s="14" t="s">
        <v>255</v>
      </c>
      <c r="S486" s="17">
        <v>11.5</v>
      </c>
      <c r="T486" s="14" t="s">
        <v>256</v>
      </c>
      <c r="U486" s="14" t="s">
        <v>257</v>
      </c>
      <c r="V486" s="14" t="s">
        <v>112</v>
      </c>
      <c r="W486" s="18">
        <v>34879454</v>
      </c>
      <c r="X486" s="18">
        <v>34879454</v>
      </c>
      <c r="Y486" s="19" t="s">
        <v>339</v>
      </c>
      <c r="Z486" s="19" t="s">
        <v>258</v>
      </c>
      <c r="AA486" s="14" t="s">
        <v>1132</v>
      </c>
      <c r="AB486" s="14" t="s">
        <v>1133</v>
      </c>
      <c r="AC486" s="14">
        <v>6012220601</v>
      </c>
      <c r="AD486" s="14" t="s">
        <v>1134</v>
      </c>
      <c r="AE486" s="82">
        <v>34879454</v>
      </c>
      <c r="AF486" s="82">
        <v>0</v>
      </c>
      <c r="AG486" s="82">
        <v>0</v>
      </c>
      <c r="AH486" s="82">
        <v>3032996</v>
      </c>
      <c r="AI486" s="82">
        <v>0</v>
      </c>
      <c r="AJ486" s="82">
        <v>3032996</v>
      </c>
      <c r="AK486" s="82">
        <v>0</v>
      </c>
      <c r="AL486" s="82">
        <v>3032996</v>
      </c>
      <c r="AM486" s="82">
        <v>0</v>
      </c>
      <c r="AN486" s="82">
        <v>3032996</v>
      </c>
      <c r="AO486" s="82">
        <v>0</v>
      </c>
      <c r="AP486" s="82">
        <v>3032996</v>
      </c>
      <c r="AQ486" s="82">
        <v>0</v>
      </c>
      <c r="AR486" s="82">
        <v>3032996</v>
      </c>
      <c r="AS486" s="82">
        <v>0</v>
      </c>
      <c r="AT486" s="82">
        <v>3032996</v>
      </c>
      <c r="AU486" s="82">
        <v>0</v>
      </c>
      <c r="AV486" s="82">
        <v>3032996</v>
      </c>
      <c r="AW486" s="82">
        <v>0</v>
      </c>
      <c r="AX486" s="82">
        <v>3032996</v>
      </c>
      <c r="AY486" s="82">
        <v>0</v>
      </c>
      <c r="AZ486" s="82">
        <v>3032996</v>
      </c>
      <c r="BA486" s="82">
        <v>0</v>
      </c>
      <c r="BB486" s="82">
        <v>4549494</v>
      </c>
      <c r="BC486" s="82">
        <f t="shared" ref="BC486:BD486" si="963">AE486+AG486+AI486+AK486+AM486+AO486+AQ486+AS486+AU486+AW486+AY486+BA486</f>
        <v>34879454</v>
      </c>
      <c r="BD486" s="82">
        <f t="shared" si="963"/>
        <v>34879454</v>
      </c>
      <c r="BE486" s="83">
        <f t="shared" si="813"/>
        <v>0</v>
      </c>
      <c r="BF486" s="83">
        <f t="shared" si="814"/>
        <v>0</v>
      </c>
      <c r="BG486" s="14" t="str">
        <f ca="1">IFERROR(__xludf.DUMMYFUNCTION("REGEXEXTRACT(O480,""^\S+\s(.+)$"")"),"Prestar servicios de apoyo en la etapa precontractual y contractual, en el marco de la gestión administrativa y los procesos internos de la UPME.")</f>
        <v>Prestar servicios de apoyo en la etapa precontractual y contractual, en el marco de la gestión administrativa y los procesos internos de la UPME.</v>
      </c>
      <c r="BH486" s="23">
        <v>34879454</v>
      </c>
      <c r="BI486" s="23"/>
      <c r="BJ486" s="23"/>
      <c r="BK486" s="23">
        <v>3032996</v>
      </c>
      <c r="BL486" s="23"/>
      <c r="BM486" s="23">
        <v>3032996</v>
      </c>
      <c r="BN486" s="23"/>
      <c r="BO486" s="23">
        <v>3032996</v>
      </c>
      <c r="BP486" s="23"/>
      <c r="BQ486" s="23">
        <v>3032996</v>
      </c>
      <c r="BR486" s="23"/>
      <c r="BS486" s="23">
        <v>3032996</v>
      </c>
      <c r="BT486" s="23"/>
      <c r="BU486" s="23">
        <v>3032996</v>
      </c>
      <c r="BV486" s="23"/>
      <c r="BW486" s="23">
        <v>3032996</v>
      </c>
      <c r="BX486" s="23"/>
      <c r="BY486" s="23">
        <v>3032996</v>
      </c>
      <c r="BZ486" s="23"/>
      <c r="CA486" s="23">
        <v>3032996</v>
      </c>
      <c r="CB486" s="23"/>
      <c r="CC486" s="23">
        <v>3032996</v>
      </c>
      <c r="CD486" s="23"/>
      <c r="CE486" s="23">
        <v>4549494</v>
      </c>
      <c r="CF486" s="28"/>
      <c r="CG486" s="28"/>
      <c r="CH486" s="25">
        <f t="shared" ref="CH486:CI486" si="964">BH486+BJ486+BL486+BN486+BP486+BR486+BT486+BV486+BX486+BZ486+CB486+CD486+CF486</f>
        <v>34879454</v>
      </c>
      <c r="CI486" s="25">
        <f t="shared" si="964"/>
        <v>34879454</v>
      </c>
      <c r="CJ486" s="26">
        <f t="shared" si="816"/>
        <v>0</v>
      </c>
      <c r="CK486" s="26">
        <f t="shared" si="817"/>
        <v>0</v>
      </c>
    </row>
    <row r="487" spans="1:89" ht="90" customHeight="1" x14ac:dyDescent="0.3">
      <c r="A487" s="13" t="s">
        <v>248</v>
      </c>
      <c r="B487" s="14" t="s">
        <v>34</v>
      </c>
      <c r="C487" s="15" t="s">
        <v>1127</v>
      </c>
      <c r="D487" s="14" t="s">
        <v>61</v>
      </c>
      <c r="E487" s="13" t="s">
        <v>250</v>
      </c>
      <c r="F487" s="13" t="s">
        <v>250</v>
      </c>
      <c r="G487" s="14">
        <v>68</v>
      </c>
      <c r="H487" s="13" t="s">
        <v>1336</v>
      </c>
      <c r="I487" s="15" t="s">
        <v>1129</v>
      </c>
      <c r="J487" s="14" t="s">
        <v>9</v>
      </c>
      <c r="K487" s="15" t="s">
        <v>77</v>
      </c>
      <c r="L487" s="14">
        <v>80111620</v>
      </c>
      <c r="M487" s="14" t="s">
        <v>35</v>
      </c>
      <c r="N487" s="14" t="s">
        <v>253</v>
      </c>
      <c r="O487" s="15" t="s">
        <v>1337</v>
      </c>
      <c r="P487" s="14" t="s">
        <v>255</v>
      </c>
      <c r="Q487" s="14" t="s">
        <v>255</v>
      </c>
      <c r="R487" s="14" t="s">
        <v>255</v>
      </c>
      <c r="S487" s="17">
        <v>10</v>
      </c>
      <c r="T487" s="14" t="s">
        <v>256</v>
      </c>
      <c r="U487" s="14" t="s">
        <v>257</v>
      </c>
      <c r="V487" s="14" t="s">
        <v>112</v>
      </c>
      <c r="W487" s="18">
        <v>45000000</v>
      </c>
      <c r="X487" s="18">
        <v>45000000</v>
      </c>
      <c r="Y487" s="19" t="s">
        <v>339</v>
      </c>
      <c r="Z487" s="19" t="s">
        <v>258</v>
      </c>
      <c r="AA487" s="14" t="s">
        <v>1132</v>
      </c>
      <c r="AB487" s="14" t="s">
        <v>1133</v>
      </c>
      <c r="AC487" s="14">
        <v>6012220601</v>
      </c>
      <c r="AD487" s="14" t="s">
        <v>1134</v>
      </c>
      <c r="AE487" s="82">
        <v>45000000</v>
      </c>
      <c r="AF487" s="82">
        <v>0</v>
      </c>
      <c r="AG487" s="82">
        <v>0</v>
      </c>
      <c r="AH487" s="82">
        <v>0</v>
      </c>
      <c r="AI487" s="82">
        <v>0</v>
      </c>
      <c r="AJ487" s="82">
        <v>4500000</v>
      </c>
      <c r="AK487" s="82">
        <v>0</v>
      </c>
      <c r="AL487" s="82">
        <v>4500000</v>
      </c>
      <c r="AM487" s="82">
        <v>0</v>
      </c>
      <c r="AN487" s="82">
        <v>4500000</v>
      </c>
      <c r="AO487" s="82">
        <v>0</v>
      </c>
      <c r="AP487" s="82">
        <v>4500000</v>
      </c>
      <c r="AQ487" s="82">
        <v>0</v>
      </c>
      <c r="AR487" s="82">
        <v>4500000</v>
      </c>
      <c r="AS487" s="82">
        <v>0</v>
      </c>
      <c r="AT487" s="82">
        <v>4500000</v>
      </c>
      <c r="AU487" s="82">
        <v>0</v>
      </c>
      <c r="AV487" s="82">
        <v>4500000</v>
      </c>
      <c r="AW487" s="82">
        <v>0</v>
      </c>
      <c r="AX487" s="82">
        <v>4500000</v>
      </c>
      <c r="AY487" s="82">
        <v>0</v>
      </c>
      <c r="AZ487" s="82">
        <v>4500000</v>
      </c>
      <c r="BA487" s="82">
        <v>0</v>
      </c>
      <c r="BB487" s="82">
        <v>4500000</v>
      </c>
      <c r="BC487" s="82">
        <f t="shared" ref="BC487:BD487" si="965">AE487+AG487+AI487+AK487+AM487+AO487+AQ487+AS487+AU487+AW487+AY487+BA487</f>
        <v>45000000</v>
      </c>
      <c r="BD487" s="82">
        <f t="shared" si="965"/>
        <v>45000000</v>
      </c>
      <c r="BE487" s="83">
        <f t="shared" si="813"/>
        <v>0</v>
      </c>
      <c r="BF487" s="83">
        <f t="shared" si="814"/>
        <v>0</v>
      </c>
      <c r="BG487" s="14" t="str">
        <f ca="1">IFERROR(__xludf.DUMMYFUNCTION("REGEXEXTRACT(O481,""^\S+\s(.+)$"")"),"Prestar servicios ​profesionales en asuntos jurídicos relacionados con los procesos ​y procedimientos de competencia de la Oficina Asesora Jurídica de la UPME, en el marco de la gestión institucional de la Entidad.")</f>
        <v>Prestar servicios ​profesionales en asuntos jurídicos relacionados con los procesos ​y procedimientos de competencia de la Oficina Asesora Jurídica de la UPME, en el marco de la gestión institucional de la Entidad.</v>
      </c>
      <c r="BH487" s="23">
        <v>45000000</v>
      </c>
      <c r="BI487" s="23"/>
      <c r="BJ487" s="23"/>
      <c r="BK487" s="23"/>
      <c r="BL487" s="23"/>
      <c r="BM487" s="23">
        <v>4500000</v>
      </c>
      <c r="BN487" s="23"/>
      <c r="BO487" s="23">
        <v>4500000</v>
      </c>
      <c r="BP487" s="23"/>
      <c r="BQ487" s="23">
        <v>4500000</v>
      </c>
      <c r="BR487" s="23"/>
      <c r="BS487" s="23">
        <v>4500000</v>
      </c>
      <c r="BT487" s="23"/>
      <c r="BU487" s="23">
        <v>4500000</v>
      </c>
      <c r="BV487" s="23"/>
      <c r="BW487" s="23">
        <v>4500000</v>
      </c>
      <c r="BX487" s="23"/>
      <c r="BY487" s="23">
        <v>4500000</v>
      </c>
      <c r="BZ487" s="23"/>
      <c r="CA487" s="23">
        <v>4500000</v>
      </c>
      <c r="CB487" s="23"/>
      <c r="CC487" s="23">
        <v>4500000</v>
      </c>
      <c r="CD487" s="23"/>
      <c r="CE487" s="23">
        <v>4500000</v>
      </c>
      <c r="CF487" s="28"/>
      <c r="CG487" s="28"/>
      <c r="CH487" s="25">
        <f t="shared" ref="CH487:CI487" si="966">BH487+BJ487+BL487+BN487+BP487+BR487+BT487+BV487+BX487+BZ487+CB487+CD487+CF487</f>
        <v>45000000</v>
      </c>
      <c r="CI487" s="25">
        <f t="shared" si="966"/>
        <v>45000000</v>
      </c>
      <c r="CJ487" s="26">
        <f t="shared" si="816"/>
        <v>0</v>
      </c>
      <c r="CK487" s="26">
        <f t="shared" si="817"/>
        <v>0</v>
      </c>
    </row>
    <row r="488" spans="1:89" ht="90" customHeight="1" x14ac:dyDescent="0.3">
      <c r="A488" s="13" t="s">
        <v>248</v>
      </c>
      <c r="B488" s="14" t="s">
        <v>34</v>
      </c>
      <c r="C488" s="15" t="s">
        <v>1127</v>
      </c>
      <c r="D488" s="14" t="s">
        <v>61</v>
      </c>
      <c r="E488" s="13" t="s">
        <v>250</v>
      </c>
      <c r="F488" s="13" t="s">
        <v>250</v>
      </c>
      <c r="G488" s="14">
        <v>3</v>
      </c>
      <c r="H488" s="13" t="s">
        <v>1338</v>
      </c>
      <c r="I488" s="15" t="s">
        <v>1129</v>
      </c>
      <c r="J488" s="14" t="s">
        <v>9</v>
      </c>
      <c r="K488" s="15" t="s">
        <v>77</v>
      </c>
      <c r="L488" s="14">
        <v>80111620</v>
      </c>
      <c r="M488" s="14" t="s">
        <v>35</v>
      </c>
      <c r="N488" s="14" t="s">
        <v>253</v>
      </c>
      <c r="O488" s="15" t="s">
        <v>1339</v>
      </c>
      <c r="P488" s="14" t="s">
        <v>255</v>
      </c>
      <c r="Q488" s="14" t="s">
        <v>255</v>
      </c>
      <c r="R488" s="14" t="s">
        <v>255</v>
      </c>
      <c r="S488" s="17">
        <v>7</v>
      </c>
      <c r="T488" s="14" t="s">
        <v>256</v>
      </c>
      <c r="U488" s="14" t="s">
        <v>257</v>
      </c>
      <c r="V488" s="14" t="s">
        <v>112</v>
      </c>
      <c r="W488" s="18">
        <v>37782675</v>
      </c>
      <c r="X488" s="18">
        <v>37782675</v>
      </c>
      <c r="Y488" s="19" t="s">
        <v>339</v>
      </c>
      <c r="Z488" s="19" t="s">
        <v>258</v>
      </c>
      <c r="AA488" s="14" t="s">
        <v>1132</v>
      </c>
      <c r="AB488" s="14" t="s">
        <v>1133</v>
      </c>
      <c r="AC488" s="14">
        <v>6012220601</v>
      </c>
      <c r="AD488" s="14" t="s">
        <v>1134</v>
      </c>
      <c r="AE488" s="82">
        <v>37620000</v>
      </c>
      <c r="AF488" s="82">
        <v>0</v>
      </c>
      <c r="AG488" s="82">
        <v>0</v>
      </c>
      <c r="AH488" s="82">
        <v>3285450</v>
      </c>
      <c r="AI488" s="82">
        <v>0</v>
      </c>
      <c r="AJ488" s="82">
        <v>3285450</v>
      </c>
      <c r="AK488" s="82">
        <v>0</v>
      </c>
      <c r="AL488" s="82">
        <v>3285450</v>
      </c>
      <c r="AM488" s="82">
        <v>0</v>
      </c>
      <c r="AN488" s="82">
        <v>3285450</v>
      </c>
      <c r="AO488" s="82">
        <v>0</v>
      </c>
      <c r="AP488" s="82">
        <v>3285450</v>
      </c>
      <c r="AQ488" s="82">
        <v>0</v>
      </c>
      <c r="AR488" s="82">
        <v>3285450</v>
      </c>
      <c r="AS488" s="82">
        <v>0</v>
      </c>
      <c r="AT488" s="82">
        <v>3285450</v>
      </c>
      <c r="AU488" s="82">
        <v>0</v>
      </c>
      <c r="AV488" s="82">
        <v>3285450</v>
      </c>
      <c r="AW488" s="82">
        <v>0</v>
      </c>
      <c r="AX488" s="82">
        <v>3285450</v>
      </c>
      <c r="AY488" s="82">
        <v>162675</v>
      </c>
      <c r="AZ488" s="82">
        <v>3285450</v>
      </c>
      <c r="BA488" s="82">
        <v>0</v>
      </c>
      <c r="BB488" s="82">
        <v>4928175</v>
      </c>
      <c r="BC488" s="82">
        <f t="shared" ref="BC488:BD488" si="967">AE488+AG488+AI488+AK488+AM488+AO488+AQ488+AS488+AU488+AW488+AY488+BA488</f>
        <v>37782675</v>
      </c>
      <c r="BD488" s="82">
        <f t="shared" si="967"/>
        <v>37782675</v>
      </c>
      <c r="BE488" s="83">
        <f t="shared" si="813"/>
        <v>0</v>
      </c>
      <c r="BF488" s="83">
        <f t="shared" si="814"/>
        <v>0</v>
      </c>
      <c r="BG488" s="14" t="str">
        <f ca="1">IFERROR(__xludf.DUMMYFUNCTION("REGEXEXTRACT(O482,""^\S+\s(.+)$"")"),"Prestar los servicios profesionales de apoyo al Grupo Interno de Trabajo de Gestión del Talento Humano de la UPME, en el fortalecimiento de los procesos de bienestar, desarrollo del talento humano y acompañamiento a la gestión de previsión de vacantes, en"&amp;" el marco de la planeación de la futura planta temporal de la entidad.")</f>
        <v>Prestar los servicios profesionales de apoyo al Grupo Interno de Trabajo de Gestión del Talento Humano de la UPME, en el fortalecimiento de los procesos de bienestar, desarrollo del talento humano y acompañamiento a la gestión de previsión de vacantes, en el marco de la planeación de la futura planta temporal de la entidad.</v>
      </c>
      <c r="BH488" s="23">
        <v>37620000</v>
      </c>
      <c r="BI488" s="23"/>
      <c r="BJ488" s="23"/>
      <c r="BK488" s="23">
        <v>3285450</v>
      </c>
      <c r="BL488" s="23"/>
      <c r="BM488" s="23">
        <v>3285450</v>
      </c>
      <c r="BN488" s="23"/>
      <c r="BO488" s="23">
        <v>3285450</v>
      </c>
      <c r="BP488" s="23"/>
      <c r="BQ488" s="23">
        <v>3285450</v>
      </c>
      <c r="BR488" s="23"/>
      <c r="BS488" s="23">
        <v>3285450</v>
      </c>
      <c r="BT488" s="23"/>
      <c r="BU488" s="23">
        <v>3285450</v>
      </c>
      <c r="BV488" s="23"/>
      <c r="BW488" s="23">
        <v>3285450</v>
      </c>
      <c r="BX488" s="23"/>
      <c r="BY488" s="23">
        <v>3285450</v>
      </c>
      <c r="BZ488" s="23"/>
      <c r="CA488" s="23">
        <v>3285450</v>
      </c>
      <c r="CB488" s="23">
        <v>162675</v>
      </c>
      <c r="CC488" s="23">
        <v>3285450</v>
      </c>
      <c r="CD488" s="23"/>
      <c r="CE488" s="23">
        <v>4928175</v>
      </c>
      <c r="CF488" s="28"/>
      <c r="CG488" s="28"/>
      <c r="CH488" s="25">
        <f t="shared" ref="CH488:CI488" si="968">BH488+BJ488+BL488+BN488+BP488+BR488+BT488+BV488+BX488+BZ488+CB488+CD488+CF488</f>
        <v>37782675</v>
      </c>
      <c r="CI488" s="25">
        <f t="shared" si="968"/>
        <v>37782675</v>
      </c>
      <c r="CJ488" s="26">
        <f t="shared" si="816"/>
        <v>0</v>
      </c>
      <c r="CK488" s="26">
        <f t="shared" si="817"/>
        <v>0</v>
      </c>
    </row>
    <row r="489" spans="1:89" ht="90" customHeight="1" x14ac:dyDescent="0.3">
      <c r="A489" s="13" t="s">
        <v>248</v>
      </c>
      <c r="B489" s="14" t="s">
        <v>34</v>
      </c>
      <c r="C489" s="15" t="s">
        <v>1127</v>
      </c>
      <c r="D489" s="14" t="s">
        <v>61</v>
      </c>
      <c r="E489" s="13" t="s">
        <v>250</v>
      </c>
      <c r="F489" s="13" t="s">
        <v>250</v>
      </c>
      <c r="G489" s="14">
        <v>68</v>
      </c>
      <c r="H489" s="13" t="s">
        <v>1340</v>
      </c>
      <c r="I489" s="15" t="s">
        <v>1129</v>
      </c>
      <c r="J489" s="14" t="s">
        <v>9</v>
      </c>
      <c r="K489" s="15" t="s">
        <v>77</v>
      </c>
      <c r="L489" s="14">
        <v>80111620</v>
      </c>
      <c r="M489" s="14" t="s">
        <v>35</v>
      </c>
      <c r="N489" s="14" t="s">
        <v>253</v>
      </c>
      <c r="O489" s="15" t="s">
        <v>1341</v>
      </c>
      <c r="P489" s="14" t="s">
        <v>255</v>
      </c>
      <c r="Q489" s="14" t="s">
        <v>255</v>
      </c>
      <c r="R489" s="14" t="s">
        <v>255</v>
      </c>
      <c r="S489" s="17">
        <v>12</v>
      </c>
      <c r="T489" s="14" t="s">
        <v>256</v>
      </c>
      <c r="U489" s="14" t="s">
        <v>257</v>
      </c>
      <c r="V489" s="14" t="s">
        <v>113</v>
      </c>
      <c r="W489" s="18">
        <v>31197784</v>
      </c>
      <c r="X489" s="18">
        <v>31197784</v>
      </c>
      <c r="Y489" s="19" t="s">
        <v>339</v>
      </c>
      <c r="Z489" s="19" t="s">
        <v>258</v>
      </c>
      <c r="AA489" s="14" t="s">
        <v>1132</v>
      </c>
      <c r="AB489" s="14" t="s">
        <v>1133</v>
      </c>
      <c r="AC489" s="14">
        <v>6012220601</v>
      </c>
      <c r="AD489" s="14" t="s">
        <v>1134</v>
      </c>
      <c r="AE489" s="82">
        <v>29397784</v>
      </c>
      <c r="AF489" s="82">
        <v>0</v>
      </c>
      <c r="AG489" s="82">
        <v>0</v>
      </c>
      <c r="AH489" s="82">
        <v>2712851</v>
      </c>
      <c r="AI489" s="82">
        <v>0</v>
      </c>
      <c r="AJ489" s="82">
        <v>2712851</v>
      </c>
      <c r="AK489" s="82">
        <v>0</v>
      </c>
      <c r="AL489" s="82">
        <v>2712851</v>
      </c>
      <c r="AM489" s="82">
        <v>0</v>
      </c>
      <c r="AN489" s="82">
        <v>2712851</v>
      </c>
      <c r="AO489" s="82">
        <v>0</v>
      </c>
      <c r="AP489" s="82">
        <v>2712851</v>
      </c>
      <c r="AQ489" s="82">
        <v>0</v>
      </c>
      <c r="AR489" s="82">
        <v>2712851</v>
      </c>
      <c r="AS489" s="82">
        <v>0</v>
      </c>
      <c r="AT489" s="82">
        <v>2712851</v>
      </c>
      <c r="AU489" s="82">
        <v>0</v>
      </c>
      <c r="AV489" s="82">
        <v>2712851</v>
      </c>
      <c r="AW489" s="82">
        <v>0</v>
      </c>
      <c r="AX489" s="82">
        <v>2712851</v>
      </c>
      <c r="AY489" s="82">
        <v>1800000</v>
      </c>
      <c r="AZ489" s="82">
        <v>2712851</v>
      </c>
      <c r="BA489" s="82">
        <v>0</v>
      </c>
      <c r="BB489" s="82">
        <v>4069274</v>
      </c>
      <c r="BC489" s="82">
        <f t="shared" ref="BC489:BD489" si="969">AE489+AG489+AI489+AK489+AM489+AO489+AQ489+AS489+AU489+AW489+AY489+BA489</f>
        <v>31197784</v>
      </c>
      <c r="BD489" s="82">
        <f t="shared" si="969"/>
        <v>31197784</v>
      </c>
      <c r="BE489" s="83">
        <f t="shared" si="813"/>
        <v>0</v>
      </c>
      <c r="BF489" s="83">
        <f t="shared" si="814"/>
        <v>0</v>
      </c>
      <c r="BG489" s="14" t="str">
        <f ca="1">IFERROR(__xludf.DUMMYFUNCTION("REGEXEXTRACT(O483,""^\S+\s(.+)$"")"),"Prestar los servicios profesionales de apoyo al Grupo Interno de Trabajo de Gestión del Talento Humano, en el fortalecimiento de los planes y programas de bienestar social, clima laboral y convivencia organizacional de la UPME, así como en la ejecución de"&amp;" acciones que aporten a la gestión de previsión de vacantes y a la preparación de la futura planta temporal de la entidad.")</f>
        <v>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v>
      </c>
      <c r="BH489" s="23">
        <v>29397784</v>
      </c>
      <c r="BI489" s="23"/>
      <c r="BJ489" s="23"/>
      <c r="BK489" s="23">
        <v>2712851</v>
      </c>
      <c r="BL489" s="23"/>
      <c r="BM489" s="23">
        <v>2712851</v>
      </c>
      <c r="BN489" s="23"/>
      <c r="BO489" s="23">
        <v>2712851</v>
      </c>
      <c r="BP489" s="23"/>
      <c r="BQ489" s="23">
        <v>2712851</v>
      </c>
      <c r="BR489" s="23"/>
      <c r="BS489" s="23">
        <v>2712851</v>
      </c>
      <c r="BT489" s="23"/>
      <c r="BU489" s="23">
        <v>2712851</v>
      </c>
      <c r="BV489" s="23"/>
      <c r="BW489" s="23">
        <v>2712851</v>
      </c>
      <c r="BX489" s="23"/>
      <c r="BY489" s="23">
        <v>2712851</v>
      </c>
      <c r="BZ489" s="23"/>
      <c r="CA489" s="23">
        <v>2712851</v>
      </c>
      <c r="CB489" s="23">
        <v>1800000</v>
      </c>
      <c r="CC489" s="23">
        <v>2712851</v>
      </c>
      <c r="CD489" s="23"/>
      <c r="CE489" s="23">
        <v>4069274</v>
      </c>
      <c r="CF489" s="28"/>
      <c r="CG489" s="28"/>
      <c r="CH489" s="25">
        <f t="shared" ref="CH489:CI489" si="970">BH489+BJ489+BL489+BN489+BP489+BR489+BT489+BV489+BX489+BZ489+CB489+CD489+CF489</f>
        <v>31197784</v>
      </c>
      <c r="CI489" s="25">
        <f t="shared" si="970"/>
        <v>31197784</v>
      </c>
      <c r="CJ489" s="26">
        <f t="shared" si="816"/>
        <v>0</v>
      </c>
      <c r="CK489" s="26">
        <f t="shared" si="817"/>
        <v>0</v>
      </c>
    </row>
    <row r="490" spans="1:89" ht="90" customHeight="1" x14ac:dyDescent="0.3">
      <c r="A490" s="13" t="s">
        <v>248</v>
      </c>
      <c r="B490" s="14" t="s">
        <v>34</v>
      </c>
      <c r="C490" s="15" t="s">
        <v>1127</v>
      </c>
      <c r="D490" s="14" t="s">
        <v>61</v>
      </c>
      <c r="E490" s="13" t="s">
        <v>250</v>
      </c>
      <c r="F490" s="13" t="s">
        <v>250</v>
      </c>
      <c r="G490" s="14">
        <v>68</v>
      </c>
      <c r="H490" s="13" t="s">
        <v>1342</v>
      </c>
      <c r="I490" s="15" t="s">
        <v>1129</v>
      </c>
      <c r="J490" s="14" t="s">
        <v>9</v>
      </c>
      <c r="K490" s="15" t="s">
        <v>77</v>
      </c>
      <c r="L490" s="14">
        <v>80111620</v>
      </c>
      <c r="M490" s="14" t="s">
        <v>35</v>
      </c>
      <c r="N490" s="14" t="s">
        <v>253</v>
      </c>
      <c r="O490" s="15" t="s">
        <v>1343</v>
      </c>
      <c r="P490" s="14" t="s">
        <v>255</v>
      </c>
      <c r="Q490" s="14" t="s">
        <v>255</v>
      </c>
      <c r="R490" s="14" t="s">
        <v>255</v>
      </c>
      <c r="S490" s="17">
        <v>12</v>
      </c>
      <c r="T490" s="14" t="s">
        <v>256</v>
      </c>
      <c r="U490" s="14" t="s">
        <v>257</v>
      </c>
      <c r="V490" s="14" t="s">
        <v>112</v>
      </c>
      <c r="W490" s="18">
        <v>10202216</v>
      </c>
      <c r="X490" s="18">
        <v>10202216</v>
      </c>
      <c r="Y490" s="19" t="s">
        <v>339</v>
      </c>
      <c r="Z490" s="19" t="s">
        <v>258</v>
      </c>
      <c r="AA490" s="14" t="s">
        <v>1132</v>
      </c>
      <c r="AB490" s="14" t="s">
        <v>1133</v>
      </c>
      <c r="AC490" s="14">
        <v>6012220601</v>
      </c>
      <c r="AD490" s="14" t="s">
        <v>1134</v>
      </c>
      <c r="AE490" s="82">
        <v>10202216</v>
      </c>
      <c r="AF490" s="82">
        <v>0</v>
      </c>
      <c r="AG490" s="82">
        <v>0</v>
      </c>
      <c r="AH490" s="82">
        <v>887149</v>
      </c>
      <c r="AI490" s="82">
        <v>0</v>
      </c>
      <c r="AJ490" s="82">
        <v>887149</v>
      </c>
      <c r="AK490" s="82">
        <v>0</v>
      </c>
      <c r="AL490" s="82">
        <v>887149</v>
      </c>
      <c r="AM490" s="82">
        <v>0</v>
      </c>
      <c r="AN490" s="82">
        <v>887149</v>
      </c>
      <c r="AO490" s="82">
        <v>0</v>
      </c>
      <c r="AP490" s="82">
        <v>887149</v>
      </c>
      <c r="AQ490" s="82">
        <v>0</v>
      </c>
      <c r="AR490" s="82">
        <v>887149</v>
      </c>
      <c r="AS490" s="82">
        <v>0</v>
      </c>
      <c r="AT490" s="82">
        <v>887149</v>
      </c>
      <c r="AU490" s="82">
        <v>0</v>
      </c>
      <c r="AV490" s="82">
        <v>887149</v>
      </c>
      <c r="AW490" s="82">
        <v>0</v>
      </c>
      <c r="AX490" s="82">
        <v>887149</v>
      </c>
      <c r="AY490" s="82">
        <v>0</v>
      </c>
      <c r="AZ490" s="82">
        <v>887149</v>
      </c>
      <c r="BA490" s="82">
        <v>0</v>
      </c>
      <c r="BB490" s="82">
        <v>1330726</v>
      </c>
      <c r="BC490" s="82">
        <f t="shared" ref="BC490:BD490" si="971">AE490+AG490+AI490+AK490+AM490+AO490+AQ490+AS490+AU490+AW490+AY490+BA490</f>
        <v>10202216</v>
      </c>
      <c r="BD490" s="82">
        <f t="shared" si="971"/>
        <v>10202216</v>
      </c>
      <c r="BE490" s="83">
        <f t="shared" si="813"/>
        <v>0</v>
      </c>
      <c r="BF490" s="83">
        <f t="shared" si="814"/>
        <v>0</v>
      </c>
      <c r="BG490" s="14" t="str">
        <f ca="1">IFERROR(__xludf.DUMMYFUNCTION("REGEXEXTRACT(O484,""^\S+\s(.+)$"")"),"Prestar los servicios profesionales de apoyo al Grupo Interno de Trabajo de Gestión del Talento Humano, en el fortalecimiento de los planes y programas de bienestar social, clima laboral y convivencia organizacional de la UPME, así como en la ejecución de"&amp;" acciones que aporten a la gestión de previsión de vacantes y a la preparación de la futura planta temporal de la entidad.")</f>
        <v>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v>
      </c>
      <c r="BH490" s="23">
        <v>10202216</v>
      </c>
      <c r="BI490" s="23"/>
      <c r="BJ490" s="23"/>
      <c r="BK490" s="23">
        <v>887149</v>
      </c>
      <c r="BL490" s="23"/>
      <c r="BM490" s="23">
        <v>887149</v>
      </c>
      <c r="BN490" s="23"/>
      <c r="BO490" s="23">
        <v>887149</v>
      </c>
      <c r="BP490" s="23"/>
      <c r="BQ490" s="23">
        <v>887149</v>
      </c>
      <c r="BR490" s="23"/>
      <c r="BS490" s="23">
        <v>887149</v>
      </c>
      <c r="BT490" s="23"/>
      <c r="BU490" s="23">
        <v>887149</v>
      </c>
      <c r="BV490" s="23"/>
      <c r="BW490" s="23">
        <v>887149</v>
      </c>
      <c r="BX490" s="23"/>
      <c r="BY490" s="23">
        <v>887149</v>
      </c>
      <c r="BZ490" s="23"/>
      <c r="CA490" s="23">
        <v>887149</v>
      </c>
      <c r="CB490" s="23"/>
      <c r="CC490" s="23">
        <v>887149</v>
      </c>
      <c r="CD490" s="23"/>
      <c r="CE490" s="23">
        <v>1330726</v>
      </c>
      <c r="CF490" s="28"/>
      <c r="CG490" s="28"/>
      <c r="CH490" s="25">
        <f t="shared" ref="CH490:CI490" si="972">BH490+BJ490+BL490+BN490+BP490+BR490+BT490+BV490+BX490+BZ490+CB490+CD490+CF490</f>
        <v>10202216</v>
      </c>
      <c r="CI490" s="25">
        <f t="shared" si="972"/>
        <v>10202216</v>
      </c>
      <c r="CJ490" s="26">
        <f t="shared" si="816"/>
        <v>0</v>
      </c>
      <c r="CK490" s="26">
        <f t="shared" si="817"/>
        <v>0</v>
      </c>
    </row>
    <row r="491" spans="1:89" ht="90" customHeight="1" x14ac:dyDescent="0.3">
      <c r="A491" s="13" t="s">
        <v>248</v>
      </c>
      <c r="B491" s="14" t="s">
        <v>34</v>
      </c>
      <c r="C491" s="15" t="s">
        <v>1127</v>
      </c>
      <c r="D491" s="14" t="s">
        <v>61</v>
      </c>
      <c r="E491" s="13" t="s">
        <v>250</v>
      </c>
      <c r="F491" s="13" t="s">
        <v>250</v>
      </c>
      <c r="G491" s="14">
        <v>2</v>
      </c>
      <c r="H491" s="13" t="s">
        <v>1344</v>
      </c>
      <c r="I491" s="15" t="s">
        <v>1129</v>
      </c>
      <c r="J491" s="14" t="s">
        <v>9</v>
      </c>
      <c r="K491" s="15" t="s">
        <v>77</v>
      </c>
      <c r="L491" s="14">
        <v>80111620</v>
      </c>
      <c r="M491" s="14" t="s">
        <v>35</v>
      </c>
      <c r="N491" s="14" t="s">
        <v>253</v>
      </c>
      <c r="O491" s="15" t="s">
        <v>1345</v>
      </c>
      <c r="P491" s="14" t="s">
        <v>255</v>
      </c>
      <c r="Q491" s="14" t="s">
        <v>255</v>
      </c>
      <c r="R491" s="94" t="s">
        <v>549</v>
      </c>
      <c r="S491" s="17">
        <v>10</v>
      </c>
      <c r="T491" s="14" t="s">
        <v>256</v>
      </c>
      <c r="U491" s="14" t="s">
        <v>257</v>
      </c>
      <c r="V491" s="14" t="s">
        <v>112</v>
      </c>
      <c r="W491" s="18">
        <v>38909378</v>
      </c>
      <c r="X491" s="18">
        <v>38909378</v>
      </c>
      <c r="Y491" s="19" t="s">
        <v>339</v>
      </c>
      <c r="Z491" s="19" t="s">
        <v>258</v>
      </c>
      <c r="AA491" s="14" t="s">
        <v>1132</v>
      </c>
      <c r="AB491" s="14" t="s">
        <v>1133</v>
      </c>
      <c r="AC491" s="14">
        <v>6012220601</v>
      </c>
      <c r="AD491" s="14" t="s">
        <v>1134</v>
      </c>
      <c r="AE491" s="82">
        <v>0</v>
      </c>
      <c r="AF491" s="82">
        <v>0</v>
      </c>
      <c r="AG491" s="82">
        <v>35000000</v>
      </c>
      <c r="AH491" s="82">
        <v>0</v>
      </c>
      <c r="AI491" s="82">
        <v>0</v>
      </c>
      <c r="AJ491" s="82">
        <v>3890938</v>
      </c>
      <c r="AK491" s="82">
        <v>0</v>
      </c>
      <c r="AL491" s="82">
        <v>3890938</v>
      </c>
      <c r="AM491" s="82">
        <v>0</v>
      </c>
      <c r="AN491" s="82">
        <v>3890938</v>
      </c>
      <c r="AO491" s="82">
        <v>0</v>
      </c>
      <c r="AP491" s="82">
        <v>3890938</v>
      </c>
      <c r="AQ491" s="82">
        <v>0</v>
      </c>
      <c r="AR491" s="82">
        <v>3890938</v>
      </c>
      <c r="AS491" s="82">
        <v>0</v>
      </c>
      <c r="AT491" s="82">
        <v>3890938</v>
      </c>
      <c r="AU491" s="82">
        <v>0</v>
      </c>
      <c r="AV491" s="82">
        <v>3890938</v>
      </c>
      <c r="AW491" s="82">
        <v>0</v>
      </c>
      <c r="AX491" s="82">
        <v>3890938</v>
      </c>
      <c r="AY491" s="82">
        <v>3909378</v>
      </c>
      <c r="AZ491" s="82">
        <v>3890938</v>
      </c>
      <c r="BA491" s="82">
        <v>0</v>
      </c>
      <c r="BB491" s="82">
        <v>3890936</v>
      </c>
      <c r="BC491" s="82">
        <f t="shared" ref="BC491:BD491" si="973">AE491+AG491+AI491+AK491+AM491+AO491+AQ491+AS491+AU491+AW491+AY491+BA491</f>
        <v>38909378</v>
      </c>
      <c r="BD491" s="82">
        <f t="shared" si="973"/>
        <v>38909378</v>
      </c>
      <c r="BE491" s="83">
        <f t="shared" si="813"/>
        <v>0</v>
      </c>
      <c r="BF491" s="83">
        <f t="shared" si="814"/>
        <v>0</v>
      </c>
      <c r="BG491" s="14" t="str">
        <f ca="1">IFERROR(__xludf.DUMMYFUNCTION("REGEXEXTRACT(O485,""^\S+\s(.+)$"")"),"Prestar servicios profesionales para la proyección de documentos de contenido legal y apoyo de los asuntos de tipo jurídico que resulten de las actuaciones administrativas de competencia de la Subdirección de Energía Eléctrica. ")</f>
        <v xml:space="preserve">Prestar servicios profesionales para la proyección de documentos de contenido legal y apoyo de los asuntos de tipo jurídico que resulten de las actuaciones administrativas de competencia de la Subdirección de Energía Eléctrica. </v>
      </c>
      <c r="BH491" s="23"/>
      <c r="BI491" s="23"/>
      <c r="BJ491" s="23">
        <v>35000000</v>
      </c>
      <c r="BK491" s="23"/>
      <c r="BL491" s="23"/>
      <c r="BM491" s="23">
        <v>3890938</v>
      </c>
      <c r="BN491" s="23"/>
      <c r="BO491" s="23">
        <v>3890938</v>
      </c>
      <c r="BP491" s="23"/>
      <c r="BQ491" s="23">
        <v>3890938</v>
      </c>
      <c r="BR491" s="23"/>
      <c r="BS491" s="23">
        <v>3890938</v>
      </c>
      <c r="BT491" s="23"/>
      <c r="BU491" s="23">
        <v>3890938</v>
      </c>
      <c r="BV491" s="23"/>
      <c r="BW491" s="23">
        <v>3890938</v>
      </c>
      <c r="BX491" s="23"/>
      <c r="BY491" s="23">
        <v>3890938</v>
      </c>
      <c r="BZ491" s="23"/>
      <c r="CA491" s="23">
        <v>3890938</v>
      </c>
      <c r="CB491" s="23">
        <v>3909378</v>
      </c>
      <c r="CC491" s="23">
        <v>3890938</v>
      </c>
      <c r="CD491" s="23"/>
      <c r="CE491" s="23">
        <v>3890936</v>
      </c>
      <c r="CF491" s="28"/>
      <c r="CG491" s="28"/>
      <c r="CH491" s="25">
        <f t="shared" ref="CH491:CI491" si="974">BH491+BJ491+BL491+BN491+BP491+BR491+BT491+BV491+BX491+BZ491+CB491+CD491+CF491</f>
        <v>38909378</v>
      </c>
      <c r="CI491" s="25">
        <f t="shared" si="974"/>
        <v>38909378</v>
      </c>
      <c r="CJ491" s="26">
        <f t="shared" si="816"/>
        <v>0</v>
      </c>
      <c r="CK491" s="26">
        <f t="shared" si="817"/>
        <v>0</v>
      </c>
    </row>
    <row r="492" spans="1:89" ht="90" customHeight="1" x14ac:dyDescent="0.3">
      <c r="A492" s="13" t="s">
        <v>248</v>
      </c>
      <c r="B492" s="14" t="s">
        <v>34</v>
      </c>
      <c r="C492" s="15" t="s">
        <v>1127</v>
      </c>
      <c r="D492" s="14" t="s">
        <v>61</v>
      </c>
      <c r="E492" s="13" t="s">
        <v>250</v>
      </c>
      <c r="F492" s="13" t="s">
        <v>250</v>
      </c>
      <c r="G492" s="14">
        <v>8</v>
      </c>
      <c r="H492" s="13" t="s">
        <v>1346</v>
      </c>
      <c r="I492" s="15" t="s">
        <v>1129</v>
      </c>
      <c r="J492" s="14" t="s">
        <v>9</v>
      </c>
      <c r="K492" s="15" t="s">
        <v>77</v>
      </c>
      <c r="L492" s="14">
        <v>80111620</v>
      </c>
      <c r="M492" s="14" t="s">
        <v>35</v>
      </c>
      <c r="N492" s="14" t="s">
        <v>253</v>
      </c>
      <c r="O492" s="15" t="s">
        <v>1347</v>
      </c>
      <c r="P492" s="14" t="s">
        <v>255</v>
      </c>
      <c r="Q492" s="14" t="s">
        <v>255</v>
      </c>
      <c r="R492" s="14" t="s">
        <v>255</v>
      </c>
      <c r="S492" s="17">
        <v>10</v>
      </c>
      <c r="T492" s="14" t="s">
        <v>256</v>
      </c>
      <c r="U492" s="14" t="s">
        <v>257</v>
      </c>
      <c r="V492" s="14" t="s">
        <v>112</v>
      </c>
      <c r="W492" s="18">
        <v>37947000</v>
      </c>
      <c r="X492" s="18">
        <v>37947000</v>
      </c>
      <c r="Y492" s="19" t="s">
        <v>339</v>
      </c>
      <c r="Z492" s="19" t="s">
        <v>258</v>
      </c>
      <c r="AA492" s="14" t="s">
        <v>1132</v>
      </c>
      <c r="AB492" s="14" t="s">
        <v>1133</v>
      </c>
      <c r="AC492" s="14">
        <v>6012220601</v>
      </c>
      <c r="AD492" s="14" t="s">
        <v>1134</v>
      </c>
      <c r="AE492" s="82">
        <v>0</v>
      </c>
      <c r="AF492" s="82">
        <v>0</v>
      </c>
      <c r="AG492" s="82">
        <v>32854500</v>
      </c>
      <c r="AH492" s="82">
        <v>0</v>
      </c>
      <c r="AI492" s="82">
        <v>0</v>
      </c>
      <c r="AJ492" s="82">
        <v>3794700</v>
      </c>
      <c r="AK492" s="82">
        <v>0</v>
      </c>
      <c r="AL492" s="82">
        <v>3794700</v>
      </c>
      <c r="AM492" s="82">
        <v>0</v>
      </c>
      <c r="AN492" s="82">
        <v>3794700</v>
      </c>
      <c r="AO492" s="82">
        <v>0</v>
      </c>
      <c r="AP492" s="82">
        <v>3794700</v>
      </c>
      <c r="AQ492" s="82">
        <v>0</v>
      </c>
      <c r="AR492" s="82">
        <v>3794700</v>
      </c>
      <c r="AS492" s="82">
        <v>0</v>
      </c>
      <c r="AT492" s="82">
        <v>3794700</v>
      </c>
      <c r="AU492" s="82">
        <v>0</v>
      </c>
      <c r="AV492" s="82">
        <v>3794700</v>
      </c>
      <c r="AW492" s="82">
        <v>0</v>
      </c>
      <c r="AX492" s="82">
        <v>3794700</v>
      </c>
      <c r="AY492" s="82">
        <v>5092500</v>
      </c>
      <c r="AZ492" s="82">
        <v>3794700</v>
      </c>
      <c r="BA492" s="82">
        <v>0</v>
      </c>
      <c r="BB492" s="82">
        <v>3794700</v>
      </c>
      <c r="BC492" s="82">
        <f t="shared" ref="BC492:BD492" si="975">AE492+AG492+AI492+AK492+AM492+AO492+AQ492+AS492+AU492+AW492+AY492+BA492</f>
        <v>37947000</v>
      </c>
      <c r="BD492" s="82">
        <f t="shared" si="975"/>
        <v>37947000</v>
      </c>
      <c r="BE492" s="83">
        <f t="shared" si="813"/>
        <v>0</v>
      </c>
      <c r="BF492" s="83">
        <f t="shared" si="814"/>
        <v>0</v>
      </c>
      <c r="BG492" s="14" t="str">
        <f ca="1">IFERROR(__xludf.DUMMYFUNCTION("REGEXEXTRACT(O486,""^\S+\s(.+)$"")"),"Prestar servicios profesionales para efectuar el seguimiento del componente social de los proyectos definidos en el plan de expansión que son objeto de convocatoria pública. ")</f>
        <v xml:space="preserve">Prestar servicios profesionales para efectuar el seguimiento del componente social de los proyectos definidos en el plan de expansión que son objeto de convocatoria pública. </v>
      </c>
      <c r="BH492" s="23"/>
      <c r="BI492" s="23"/>
      <c r="BJ492" s="23">
        <v>32854500</v>
      </c>
      <c r="BK492" s="23"/>
      <c r="BL492" s="23"/>
      <c r="BM492" s="23">
        <v>3794700</v>
      </c>
      <c r="BN492" s="23"/>
      <c r="BO492" s="23">
        <v>3794700</v>
      </c>
      <c r="BP492" s="23"/>
      <c r="BQ492" s="23">
        <v>3794700</v>
      </c>
      <c r="BR492" s="23"/>
      <c r="BS492" s="23">
        <v>3794700</v>
      </c>
      <c r="BT492" s="23"/>
      <c r="BU492" s="23">
        <v>3794700</v>
      </c>
      <c r="BV492" s="23"/>
      <c r="BW492" s="23">
        <v>3794700</v>
      </c>
      <c r="BX492" s="23"/>
      <c r="BY492" s="23">
        <v>3794700</v>
      </c>
      <c r="BZ492" s="23"/>
      <c r="CA492" s="23">
        <v>3794700</v>
      </c>
      <c r="CB492" s="23">
        <v>5092500</v>
      </c>
      <c r="CC492" s="23">
        <v>3794700</v>
      </c>
      <c r="CD492" s="23"/>
      <c r="CE492" s="23">
        <v>3794700</v>
      </c>
      <c r="CF492" s="28"/>
      <c r="CG492" s="28"/>
      <c r="CH492" s="25">
        <f t="shared" ref="CH492:CI492" si="976">BH492+BJ492+BL492+BN492+BP492+BR492+BT492+BV492+BX492+BZ492+CB492+CD492+CF492</f>
        <v>37947000</v>
      </c>
      <c r="CI492" s="25">
        <f t="shared" si="976"/>
        <v>37947000</v>
      </c>
      <c r="CJ492" s="26">
        <f t="shared" si="816"/>
        <v>0</v>
      </c>
      <c r="CK492" s="26">
        <f t="shared" si="817"/>
        <v>0</v>
      </c>
    </row>
    <row r="493" spans="1:89" ht="90" customHeight="1" x14ac:dyDescent="0.3">
      <c r="A493" s="13" t="s">
        <v>248</v>
      </c>
      <c r="B493" s="14" t="s">
        <v>34</v>
      </c>
      <c r="C493" s="15" t="s">
        <v>1127</v>
      </c>
      <c r="D493" s="14" t="s">
        <v>61</v>
      </c>
      <c r="E493" s="13" t="s">
        <v>250</v>
      </c>
      <c r="F493" s="13" t="s">
        <v>250</v>
      </c>
      <c r="G493" s="14">
        <v>2</v>
      </c>
      <c r="H493" s="13" t="s">
        <v>1348</v>
      </c>
      <c r="I493" s="15" t="s">
        <v>1129</v>
      </c>
      <c r="J493" s="14" t="s">
        <v>9</v>
      </c>
      <c r="K493" s="15" t="s">
        <v>77</v>
      </c>
      <c r="L493" s="14">
        <v>80111620</v>
      </c>
      <c r="M493" s="14" t="s">
        <v>35</v>
      </c>
      <c r="N493" s="14" t="s">
        <v>253</v>
      </c>
      <c r="O493" s="15" t="s">
        <v>1349</v>
      </c>
      <c r="P493" s="14" t="s">
        <v>255</v>
      </c>
      <c r="Q493" s="14" t="s">
        <v>255</v>
      </c>
      <c r="R493" s="14" t="s">
        <v>255</v>
      </c>
      <c r="S493" s="17">
        <v>11</v>
      </c>
      <c r="T493" s="14" t="s">
        <v>256</v>
      </c>
      <c r="U493" s="14" t="s">
        <v>257</v>
      </c>
      <c r="V493" s="14" t="s">
        <v>112</v>
      </c>
      <c r="W493" s="18">
        <v>59160122</v>
      </c>
      <c r="X493" s="18">
        <v>59160122</v>
      </c>
      <c r="Y493" s="19" t="s">
        <v>339</v>
      </c>
      <c r="Z493" s="19" t="s">
        <v>258</v>
      </c>
      <c r="AA493" s="14" t="s">
        <v>1132</v>
      </c>
      <c r="AB493" s="14" t="s">
        <v>1133</v>
      </c>
      <c r="AC493" s="14">
        <v>6012220601</v>
      </c>
      <c r="AD493" s="14" t="s">
        <v>1134</v>
      </c>
      <c r="AE493" s="82">
        <v>59160122</v>
      </c>
      <c r="AF493" s="82">
        <v>0</v>
      </c>
      <c r="AG493" s="82">
        <v>0</v>
      </c>
      <c r="AH493" s="82">
        <v>0</v>
      </c>
      <c r="AI493" s="82">
        <v>0</v>
      </c>
      <c r="AJ493" s="82">
        <v>5916012</v>
      </c>
      <c r="AK493" s="82">
        <v>0</v>
      </c>
      <c r="AL493" s="82">
        <v>5916012</v>
      </c>
      <c r="AM493" s="82">
        <v>0</v>
      </c>
      <c r="AN493" s="82">
        <v>5916012</v>
      </c>
      <c r="AO493" s="82">
        <v>0</v>
      </c>
      <c r="AP493" s="82">
        <v>5916012</v>
      </c>
      <c r="AQ493" s="82">
        <v>0</v>
      </c>
      <c r="AR493" s="82">
        <v>5916012</v>
      </c>
      <c r="AS493" s="82">
        <v>0</v>
      </c>
      <c r="AT493" s="82">
        <v>5916012</v>
      </c>
      <c r="AU493" s="82">
        <v>0</v>
      </c>
      <c r="AV493" s="82">
        <v>5916012</v>
      </c>
      <c r="AW493" s="82">
        <v>0</v>
      </c>
      <c r="AX493" s="82">
        <v>5916012</v>
      </c>
      <c r="AY493" s="82">
        <v>0</v>
      </c>
      <c r="AZ493" s="82">
        <v>5916012</v>
      </c>
      <c r="BA493" s="82">
        <v>0</v>
      </c>
      <c r="BB493" s="82">
        <v>5916014</v>
      </c>
      <c r="BC493" s="82">
        <f t="shared" ref="BC493:BD493" si="977">AE493+AG493+AI493+AK493+AM493+AO493+AQ493+AS493+AU493+AW493+AY493+BA493</f>
        <v>59160122</v>
      </c>
      <c r="BD493" s="82">
        <f t="shared" si="977"/>
        <v>59160122</v>
      </c>
      <c r="BE493" s="83">
        <f t="shared" si="813"/>
        <v>0</v>
      </c>
      <c r="BF493" s="83">
        <f t="shared" si="814"/>
        <v>0</v>
      </c>
      <c r="BG493" s="14" t="str">
        <f ca="1">IFERROR(__xludf.DUMMYFUNCTION("REGEXEXTRACT(O487,""^\S+\s(.+)$"")"),"Prestar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493" s="23">
        <v>59160122</v>
      </c>
      <c r="BI493" s="23"/>
      <c r="BJ493" s="23"/>
      <c r="BK493" s="23"/>
      <c r="BL493" s="23"/>
      <c r="BM493" s="23">
        <v>5916012</v>
      </c>
      <c r="BN493" s="23"/>
      <c r="BO493" s="23">
        <v>5916012</v>
      </c>
      <c r="BP493" s="23"/>
      <c r="BQ493" s="23">
        <v>5916012</v>
      </c>
      <c r="BR493" s="23"/>
      <c r="BS493" s="23">
        <v>5916012</v>
      </c>
      <c r="BT493" s="23"/>
      <c r="BU493" s="23">
        <v>5916012</v>
      </c>
      <c r="BV493" s="23"/>
      <c r="BW493" s="23">
        <v>5916012</v>
      </c>
      <c r="BX493" s="23"/>
      <c r="BY493" s="23">
        <v>5916012</v>
      </c>
      <c r="BZ493" s="23"/>
      <c r="CA493" s="23">
        <v>5916012</v>
      </c>
      <c r="CB493" s="23"/>
      <c r="CC493" s="23">
        <v>5916012</v>
      </c>
      <c r="CD493" s="23"/>
      <c r="CE493" s="23">
        <v>5916014</v>
      </c>
      <c r="CF493" s="28"/>
      <c r="CG493" s="28"/>
      <c r="CH493" s="25">
        <f t="shared" ref="CH493:CI493" si="978">BH493+BJ493+BL493+BN493+BP493+BR493+BT493+BV493+BX493+BZ493+CB493+CD493+CF493</f>
        <v>59160122</v>
      </c>
      <c r="CI493" s="25">
        <f t="shared" si="978"/>
        <v>59160122</v>
      </c>
      <c r="CJ493" s="26">
        <f t="shared" si="816"/>
        <v>0</v>
      </c>
      <c r="CK493" s="26">
        <f t="shared" si="817"/>
        <v>0</v>
      </c>
    </row>
    <row r="494" spans="1:89" ht="90" customHeight="1" x14ac:dyDescent="0.3">
      <c r="A494" s="13" t="s">
        <v>248</v>
      </c>
      <c r="B494" s="14" t="s">
        <v>34</v>
      </c>
      <c r="C494" s="15" t="s">
        <v>1127</v>
      </c>
      <c r="D494" s="14" t="s">
        <v>61</v>
      </c>
      <c r="E494" s="13" t="s">
        <v>250</v>
      </c>
      <c r="F494" s="13" t="s">
        <v>250</v>
      </c>
      <c r="G494" s="14">
        <v>68</v>
      </c>
      <c r="H494" s="13" t="s">
        <v>1350</v>
      </c>
      <c r="I494" s="15" t="s">
        <v>1129</v>
      </c>
      <c r="J494" s="14" t="s">
        <v>9</v>
      </c>
      <c r="K494" s="15" t="s">
        <v>77</v>
      </c>
      <c r="L494" s="14">
        <v>80111620</v>
      </c>
      <c r="M494" s="14" t="s">
        <v>35</v>
      </c>
      <c r="N494" s="14" t="s">
        <v>253</v>
      </c>
      <c r="O494" s="15" t="s">
        <v>1351</v>
      </c>
      <c r="P494" s="14" t="s">
        <v>255</v>
      </c>
      <c r="Q494" s="14" t="s">
        <v>255</v>
      </c>
      <c r="R494" s="14" t="s">
        <v>255</v>
      </c>
      <c r="S494" s="17">
        <v>10</v>
      </c>
      <c r="T494" s="14" t="s">
        <v>256</v>
      </c>
      <c r="U494" s="14" t="s">
        <v>257</v>
      </c>
      <c r="V494" s="14" t="s">
        <v>112</v>
      </c>
      <c r="W494" s="18">
        <v>50000000</v>
      </c>
      <c r="X494" s="18">
        <v>50000000</v>
      </c>
      <c r="Y494" s="19" t="s">
        <v>339</v>
      </c>
      <c r="Z494" s="19" t="s">
        <v>258</v>
      </c>
      <c r="AA494" s="14" t="s">
        <v>1132</v>
      </c>
      <c r="AB494" s="14" t="s">
        <v>1133</v>
      </c>
      <c r="AC494" s="14">
        <v>6012220601</v>
      </c>
      <c r="AD494" s="14" t="s">
        <v>1134</v>
      </c>
      <c r="AE494" s="82">
        <v>50000000</v>
      </c>
      <c r="AF494" s="82">
        <v>0</v>
      </c>
      <c r="AG494" s="82">
        <v>0</v>
      </c>
      <c r="AH494" s="82">
        <v>0</v>
      </c>
      <c r="AI494" s="82">
        <v>0</v>
      </c>
      <c r="AJ494" s="82">
        <v>5000000</v>
      </c>
      <c r="AK494" s="82">
        <v>0</v>
      </c>
      <c r="AL494" s="82">
        <v>5000000</v>
      </c>
      <c r="AM494" s="82">
        <v>0</v>
      </c>
      <c r="AN494" s="82">
        <v>5000000</v>
      </c>
      <c r="AO494" s="82">
        <v>0</v>
      </c>
      <c r="AP494" s="82">
        <v>5000000</v>
      </c>
      <c r="AQ494" s="82">
        <v>0</v>
      </c>
      <c r="AR494" s="82">
        <v>5000000</v>
      </c>
      <c r="AS494" s="82">
        <v>0</v>
      </c>
      <c r="AT494" s="82">
        <v>5000000</v>
      </c>
      <c r="AU494" s="82">
        <v>0</v>
      </c>
      <c r="AV494" s="82">
        <v>5000000</v>
      </c>
      <c r="AW494" s="82">
        <v>0</v>
      </c>
      <c r="AX494" s="82">
        <v>5000000</v>
      </c>
      <c r="AY494" s="82">
        <v>0</v>
      </c>
      <c r="AZ494" s="82">
        <v>5000000</v>
      </c>
      <c r="BA494" s="82">
        <v>0</v>
      </c>
      <c r="BB494" s="82">
        <v>5000000</v>
      </c>
      <c r="BC494" s="82">
        <f t="shared" ref="BC494:BD494" si="979">AE494+AG494+AI494+AK494+AM494+AO494+AQ494+AS494+AU494+AW494+AY494+BA494</f>
        <v>50000000</v>
      </c>
      <c r="BD494" s="82">
        <f t="shared" si="979"/>
        <v>50000000</v>
      </c>
      <c r="BE494" s="83">
        <f t="shared" si="813"/>
        <v>0</v>
      </c>
      <c r="BF494" s="83">
        <f t="shared" si="814"/>
        <v>0</v>
      </c>
      <c r="BG494" s="14" t="str">
        <f ca="1">IFERROR(__xludf.DUMMYFUNCTION("REGEXEXTRACT(O488,""^\S+\s(.+)$"")"),"Prestar los servicios profesionales para la implementación y mantenimiento del Programa de Transparencia y Ética Pública (PTEP) y fortalecer la Política de Rendición de Cuentas, la Política de Participación Ciudadana en la Gestión y la Política de Servici"&amp;"o al Ciudadano en la UPME")</f>
        <v>Prestar los servicios profesionales para la implementación y mantenimiento del Programa de Transparencia y Ética Pública (PTEP) y fortalecer la Política de Rendición de Cuentas, la Política de Participación Ciudadana en la Gestión y la Política de Servicio al Ciudadano en la UPME</v>
      </c>
      <c r="BH494" s="23">
        <v>50000000</v>
      </c>
      <c r="BI494" s="23"/>
      <c r="BJ494" s="23"/>
      <c r="BK494" s="23"/>
      <c r="BL494" s="23"/>
      <c r="BM494" s="23">
        <v>5000000</v>
      </c>
      <c r="BN494" s="23"/>
      <c r="BO494" s="23">
        <v>5000000</v>
      </c>
      <c r="BP494" s="23"/>
      <c r="BQ494" s="23">
        <v>5000000</v>
      </c>
      <c r="BR494" s="23"/>
      <c r="BS494" s="23">
        <v>5000000</v>
      </c>
      <c r="BT494" s="23"/>
      <c r="BU494" s="23">
        <v>5000000</v>
      </c>
      <c r="BV494" s="23"/>
      <c r="BW494" s="23">
        <v>5000000</v>
      </c>
      <c r="BX494" s="23"/>
      <c r="BY494" s="23">
        <v>5000000</v>
      </c>
      <c r="BZ494" s="23"/>
      <c r="CA494" s="23">
        <v>5000000</v>
      </c>
      <c r="CB494" s="23"/>
      <c r="CC494" s="23">
        <v>5000000</v>
      </c>
      <c r="CD494" s="23"/>
      <c r="CE494" s="23">
        <v>5000000</v>
      </c>
      <c r="CF494" s="28"/>
      <c r="CG494" s="28"/>
      <c r="CH494" s="25">
        <f t="shared" ref="CH494:CI494" si="980">BH494+BJ494+BL494+BN494+BP494+BR494+BT494+BV494+BX494+BZ494+CB494+CD494+CF494</f>
        <v>50000000</v>
      </c>
      <c r="CI494" s="25">
        <f t="shared" si="980"/>
        <v>50000000</v>
      </c>
      <c r="CJ494" s="26">
        <f t="shared" si="816"/>
        <v>0</v>
      </c>
      <c r="CK494" s="26">
        <f t="shared" si="817"/>
        <v>0</v>
      </c>
    </row>
    <row r="495" spans="1:89" ht="90" customHeight="1" x14ac:dyDescent="0.3">
      <c r="A495" s="13" t="s">
        <v>248</v>
      </c>
      <c r="B495" s="14" t="s">
        <v>34</v>
      </c>
      <c r="C495" s="15" t="s">
        <v>1127</v>
      </c>
      <c r="D495" s="14" t="s">
        <v>61</v>
      </c>
      <c r="E495" s="13" t="s">
        <v>250</v>
      </c>
      <c r="F495" s="13" t="s">
        <v>250</v>
      </c>
      <c r="G495" s="14">
        <v>68</v>
      </c>
      <c r="H495" s="13" t="s">
        <v>1352</v>
      </c>
      <c r="I495" s="15" t="s">
        <v>1129</v>
      </c>
      <c r="J495" s="14" t="s">
        <v>9</v>
      </c>
      <c r="K495" s="15" t="s">
        <v>77</v>
      </c>
      <c r="L495" s="14">
        <v>80111620</v>
      </c>
      <c r="M495" s="14" t="s">
        <v>35</v>
      </c>
      <c r="N495" s="14" t="s">
        <v>253</v>
      </c>
      <c r="O495" s="15" t="s">
        <v>1353</v>
      </c>
      <c r="P495" s="14" t="s">
        <v>255</v>
      </c>
      <c r="Q495" s="14" t="s">
        <v>255</v>
      </c>
      <c r="R495" s="14" t="s">
        <v>255</v>
      </c>
      <c r="S495" s="17">
        <v>10</v>
      </c>
      <c r="T495" s="14" t="s">
        <v>256</v>
      </c>
      <c r="U495" s="14" t="s">
        <v>257</v>
      </c>
      <c r="V495" s="14" t="s">
        <v>112</v>
      </c>
      <c r="W495" s="18">
        <v>32000000</v>
      </c>
      <c r="X495" s="18">
        <v>32000000</v>
      </c>
      <c r="Y495" s="19" t="s">
        <v>339</v>
      </c>
      <c r="Z495" s="19" t="s">
        <v>258</v>
      </c>
      <c r="AA495" s="14" t="s">
        <v>1132</v>
      </c>
      <c r="AB495" s="14" t="s">
        <v>1133</v>
      </c>
      <c r="AC495" s="14">
        <v>6012220601</v>
      </c>
      <c r="AD495" s="14" t="s">
        <v>1134</v>
      </c>
      <c r="AE495" s="82">
        <v>0</v>
      </c>
      <c r="AF495" s="82">
        <v>0</v>
      </c>
      <c r="AG495" s="82">
        <v>32000000</v>
      </c>
      <c r="AH495" s="82">
        <v>0</v>
      </c>
      <c r="AI495" s="82">
        <v>0</v>
      </c>
      <c r="AJ495" s="82">
        <v>3200000</v>
      </c>
      <c r="AK495" s="82">
        <v>0</v>
      </c>
      <c r="AL495" s="82">
        <v>3200000</v>
      </c>
      <c r="AM495" s="82">
        <v>0</v>
      </c>
      <c r="AN495" s="82">
        <v>3200000</v>
      </c>
      <c r="AO495" s="82">
        <v>0</v>
      </c>
      <c r="AP495" s="82">
        <v>3200000</v>
      </c>
      <c r="AQ495" s="82">
        <v>0</v>
      </c>
      <c r="AR495" s="82">
        <v>3200000</v>
      </c>
      <c r="AS495" s="82">
        <v>0</v>
      </c>
      <c r="AT495" s="82">
        <v>3200000</v>
      </c>
      <c r="AU495" s="82">
        <v>0</v>
      </c>
      <c r="AV495" s="82">
        <v>3200000</v>
      </c>
      <c r="AW495" s="82">
        <v>0</v>
      </c>
      <c r="AX495" s="82">
        <v>3200000</v>
      </c>
      <c r="AY495" s="82">
        <v>0</v>
      </c>
      <c r="AZ495" s="82">
        <v>3200000</v>
      </c>
      <c r="BA495" s="82">
        <v>0</v>
      </c>
      <c r="BB495" s="82">
        <v>3200000</v>
      </c>
      <c r="BC495" s="82">
        <f t="shared" ref="BC495:BD495" si="981">AE495+AG495+AI495+AK495+AM495+AO495+AQ495+AS495+AU495+AW495+AY495+BA495</f>
        <v>32000000</v>
      </c>
      <c r="BD495" s="82">
        <f t="shared" si="981"/>
        <v>32000000</v>
      </c>
      <c r="BE495" s="83">
        <f t="shared" si="813"/>
        <v>0</v>
      </c>
      <c r="BF495" s="83">
        <f t="shared" si="814"/>
        <v>0</v>
      </c>
      <c r="BG495" s="14" t="str">
        <f ca="1">IFERROR(__xludf.DUMMYFUNCTION("REGEXEXTRACT(O489,""^\S+\s(.+)$"")"),"Prestar servicios de apoyo profesional en la recopilación, organización y creación de contenido como insumos informativos, bases de datos, formatos y contenidos preliminares requeridos para el desarrollo de las estrategias de comunicación externa e intern"&amp;"a de la Unidad, la producción de piezas digitales y la gestión operativa de los canales institucionales en concordancia con los lineamientos del Plan de Comunicaciones de la UPME y la Dirección General")</f>
        <v>Prestar servicios de apoyo profesional en la recopilación, organización y creación de contenido como insumos informativos, bases de datos, formatos y contenidos preliminares requeridos para el desarrollo de las estrategias de comunicación externa e interna de la Unidad, la producción de piezas digitales y la gestión operativa de los canales institucionales en concordancia con los lineamientos del Plan de Comunicaciones de la UPME y la Dirección General</v>
      </c>
      <c r="BH495" s="23"/>
      <c r="BI495" s="23"/>
      <c r="BJ495" s="23">
        <v>32000000</v>
      </c>
      <c r="BK495" s="23"/>
      <c r="BL495" s="23"/>
      <c r="BM495" s="23">
        <v>3200000</v>
      </c>
      <c r="BN495" s="23"/>
      <c r="BO495" s="23">
        <v>3200000</v>
      </c>
      <c r="BP495" s="23"/>
      <c r="BQ495" s="23">
        <v>3200000</v>
      </c>
      <c r="BR495" s="23"/>
      <c r="BS495" s="23">
        <v>3200000</v>
      </c>
      <c r="BT495" s="23"/>
      <c r="BU495" s="23">
        <v>3200000</v>
      </c>
      <c r="BV495" s="23"/>
      <c r="BW495" s="23">
        <v>3200000</v>
      </c>
      <c r="BX495" s="23"/>
      <c r="BY495" s="23">
        <v>3200000</v>
      </c>
      <c r="BZ495" s="23"/>
      <c r="CA495" s="23">
        <v>3200000</v>
      </c>
      <c r="CB495" s="23"/>
      <c r="CC495" s="23">
        <v>3200000</v>
      </c>
      <c r="CD495" s="23"/>
      <c r="CE495" s="23">
        <v>3200000</v>
      </c>
      <c r="CF495" s="28"/>
      <c r="CG495" s="28"/>
      <c r="CH495" s="25">
        <f t="shared" ref="CH495:CI495" si="982">BH495+BJ495+BL495+BN495+BP495+BR495+BT495+BV495+BX495+BZ495+CB495+CD495+CF495</f>
        <v>32000000</v>
      </c>
      <c r="CI495" s="25">
        <f t="shared" si="982"/>
        <v>32000000</v>
      </c>
      <c r="CJ495" s="26">
        <f t="shared" si="816"/>
        <v>0</v>
      </c>
      <c r="CK495" s="26">
        <f t="shared" si="817"/>
        <v>0</v>
      </c>
    </row>
    <row r="496" spans="1:89" ht="90" customHeight="1" x14ac:dyDescent="0.3">
      <c r="A496" s="13" t="s">
        <v>248</v>
      </c>
      <c r="B496" s="14" t="s">
        <v>34</v>
      </c>
      <c r="C496" s="15" t="s">
        <v>1127</v>
      </c>
      <c r="D496" s="14" t="s">
        <v>61</v>
      </c>
      <c r="E496" s="13" t="s">
        <v>250</v>
      </c>
      <c r="F496" s="13" t="s">
        <v>250</v>
      </c>
      <c r="G496" s="14">
        <v>68</v>
      </c>
      <c r="H496" s="13" t="s">
        <v>1354</v>
      </c>
      <c r="I496" s="15" t="s">
        <v>1129</v>
      </c>
      <c r="J496" s="14" t="s">
        <v>9</v>
      </c>
      <c r="K496" s="15" t="s">
        <v>77</v>
      </c>
      <c r="L496" s="14">
        <v>80111620</v>
      </c>
      <c r="M496" s="14" t="s">
        <v>35</v>
      </c>
      <c r="N496" s="14" t="s">
        <v>253</v>
      </c>
      <c r="O496" s="15" t="s">
        <v>1355</v>
      </c>
      <c r="P496" s="14" t="s">
        <v>255</v>
      </c>
      <c r="Q496" s="14" t="s">
        <v>255</v>
      </c>
      <c r="R496" s="14" t="s">
        <v>255</v>
      </c>
      <c r="S496" s="17">
        <v>10</v>
      </c>
      <c r="T496" s="14" t="s">
        <v>256</v>
      </c>
      <c r="U496" s="14" t="s">
        <v>257</v>
      </c>
      <c r="V496" s="14" t="s">
        <v>112</v>
      </c>
      <c r="W496" s="18">
        <v>32000000</v>
      </c>
      <c r="X496" s="18">
        <v>32000000</v>
      </c>
      <c r="Y496" s="19" t="s">
        <v>339</v>
      </c>
      <c r="Z496" s="19" t="s">
        <v>258</v>
      </c>
      <c r="AA496" s="14" t="s">
        <v>1132</v>
      </c>
      <c r="AB496" s="14" t="s">
        <v>1133</v>
      </c>
      <c r="AC496" s="14">
        <v>6012220601</v>
      </c>
      <c r="AD496" s="14" t="s">
        <v>1134</v>
      </c>
      <c r="AE496" s="82">
        <v>32000000</v>
      </c>
      <c r="AF496" s="82">
        <v>0</v>
      </c>
      <c r="AG496" s="82">
        <v>0</v>
      </c>
      <c r="AH496" s="82">
        <v>0</v>
      </c>
      <c r="AI496" s="82">
        <v>0</v>
      </c>
      <c r="AJ496" s="82">
        <v>3200000</v>
      </c>
      <c r="AK496" s="82">
        <v>0</v>
      </c>
      <c r="AL496" s="82">
        <v>3200000</v>
      </c>
      <c r="AM496" s="82">
        <v>0</v>
      </c>
      <c r="AN496" s="82">
        <v>3200000</v>
      </c>
      <c r="AO496" s="82">
        <v>0</v>
      </c>
      <c r="AP496" s="82">
        <v>3200000</v>
      </c>
      <c r="AQ496" s="82">
        <v>0</v>
      </c>
      <c r="AR496" s="82">
        <v>3200000</v>
      </c>
      <c r="AS496" s="82">
        <v>0</v>
      </c>
      <c r="AT496" s="82">
        <v>3200000</v>
      </c>
      <c r="AU496" s="82">
        <v>0</v>
      </c>
      <c r="AV496" s="82">
        <v>3200000</v>
      </c>
      <c r="AW496" s="82">
        <v>0</v>
      </c>
      <c r="AX496" s="82">
        <v>3200000</v>
      </c>
      <c r="AY496" s="82">
        <v>0</v>
      </c>
      <c r="AZ496" s="82">
        <v>3200000</v>
      </c>
      <c r="BA496" s="82">
        <v>0</v>
      </c>
      <c r="BB496" s="82">
        <v>3200000</v>
      </c>
      <c r="BC496" s="82">
        <f t="shared" ref="BC496:BD496" si="983">AE496+AG496+AI496+AK496+AM496+AO496+AQ496+AS496+AU496+AW496+AY496+BA496</f>
        <v>32000000</v>
      </c>
      <c r="BD496" s="82">
        <f t="shared" si="983"/>
        <v>32000000</v>
      </c>
      <c r="BE496" s="83">
        <f t="shared" si="813"/>
        <v>0</v>
      </c>
      <c r="BF496" s="83">
        <f t="shared" si="814"/>
        <v>0</v>
      </c>
      <c r="BG496" s="14" t="str">
        <f ca="1">IFERROR(__xludf.DUMMYFUNCTION("REGEXEXTRACT(O490,""^\S+\s(.+)$"")"),"Prestar servicios profesionales para apoyar el análisis y procesamiento de solicitudes de conexión de los agentes a las redes nacional, regional y de distribución, de conformidad con la Resolución CREG 075.")</f>
        <v>Prestar servicios profesionales para apoyar el análisis y procesamiento de solicitudes de conexión de los agentes a las redes nacional, regional y de distribución, de conformidad con la Resolución CREG 075.</v>
      </c>
      <c r="BH496" s="23">
        <v>32000000</v>
      </c>
      <c r="BI496" s="23"/>
      <c r="BJ496" s="23"/>
      <c r="BK496" s="23"/>
      <c r="BL496" s="23"/>
      <c r="BM496" s="23">
        <v>3200000</v>
      </c>
      <c r="BN496" s="23"/>
      <c r="BO496" s="23">
        <v>3200000</v>
      </c>
      <c r="BP496" s="23"/>
      <c r="BQ496" s="23">
        <v>3200000</v>
      </c>
      <c r="BR496" s="23"/>
      <c r="BS496" s="23">
        <v>3200000</v>
      </c>
      <c r="BT496" s="23"/>
      <c r="BU496" s="23">
        <v>3200000</v>
      </c>
      <c r="BV496" s="23"/>
      <c r="BW496" s="23">
        <v>3200000</v>
      </c>
      <c r="BX496" s="23"/>
      <c r="BY496" s="23">
        <v>3200000</v>
      </c>
      <c r="BZ496" s="23"/>
      <c r="CA496" s="23">
        <v>3200000</v>
      </c>
      <c r="CB496" s="23"/>
      <c r="CC496" s="23">
        <v>3200000</v>
      </c>
      <c r="CD496" s="23"/>
      <c r="CE496" s="23">
        <v>3200000</v>
      </c>
      <c r="CF496" s="28"/>
      <c r="CG496" s="28"/>
      <c r="CH496" s="25">
        <f t="shared" ref="CH496:CI496" si="984">BH496+BJ496+BL496+BN496+BP496+BR496+BT496+BV496+BX496+BZ496+CB496+CD496+CF496</f>
        <v>32000000</v>
      </c>
      <c r="CI496" s="25">
        <f t="shared" si="984"/>
        <v>32000000</v>
      </c>
      <c r="CJ496" s="26">
        <f t="shared" si="816"/>
        <v>0</v>
      </c>
      <c r="CK496" s="26">
        <f t="shared" si="817"/>
        <v>0</v>
      </c>
    </row>
    <row r="497" spans="1:89" ht="90" customHeight="1" x14ac:dyDescent="0.3">
      <c r="A497" s="13" t="s">
        <v>248</v>
      </c>
      <c r="B497" s="14" t="s">
        <v>34</v>
      </c>
      <c r="C497" s="15" t="s">
        <v>1127</v>
      </c>
      <c r="D497" s="14" t="s">
        <v>61</v>
      </c>
      <c r="E497" s="13" t="s">
        <v>250</v>
      </c>
      <c r="F497" s="13" t="s">
        <v>250</v>
      </c>
      <c r="G497" s="14">
        <v>2</v>
      </c>
      <c r="H497" s="13" t="s">
        <v>1356</v>
      </c>
      <c r="I497" s="15" t="s">
        <v>1129</v>
      </c>
      <c r="J497" s="14" t="s">
        <v>9</v>
      </c>
      <c r="K497" s="15" t="s">
        <v>77</v>
      </c>
      <c r="L497" s="14">
        <v>80111620</v>
      </c>
      <c r="M497" s="14" t="s">
        <v>35</v>
      </c>
      <c r="N497" s="14" t="s">
        <v>253</v>
      </c>
      <c r="O497" s="15" t="s">
        <v>1357</v>
      </c>
      <c r="P497" s="14" t="s">
        <v>255</v>
      </c>
      <c r="Q497" s="14" t="s">
        <v>255</v>
      </c>
      <c r="R497" s="14" t="s">
        <v>255</v>
      </c>
      <c r="S497" s="17">
        <v>10</v>
      </c>
      <c r="T497" s="14" t="s">
        <v>256</v>
      </c>
      <c r="U497" s="14" t="s">
        <v>257</v>
      </c>
      <c r="V497" s="14" t="s">
        <v>112</v>
      </c>
      <c r="W497" s="18">
        <v>50000000</v>
      </c>
      <c r="X497" s="18">
        <v>50000000</v>
      </c>
      <c r="Y497" s="19" t="s">
        <v>339</v>
      </c>
      <c r="Z497" s="19" t="s">
        <v>258</v>
      </c>
      <c r="AA497" s="14" t="s">
        <v>1132</v>
      </c>
      <c r="AB497" s="14" t="s">
        <v>1133</v>
      </c>
      <c r="AC497" s="14">
        <v>6012220601</v>
      </c>
      <c r="AD497" s="14" t="s">
        <v>1134</v>
      </c>
      <c r="AE497" s="82">
        <v>0</v>
      </c>
      <c r="AF497" s="82">
        <v>0</v>
      </c>
      <c r="AG497" s="82">
        <v>50000000</v>
      </c>
      <c r="AH497" s="82">
        <v>0</v>
      </c>
      <c r="AI497" s="82">
        <v>0</v>
      </c>
      <c r="AJ497" s="82">
        <v>5000000</v>
      </c>
      <c r="AK497" s="82">
        <v>0</v>
      </c>
      <c r="AL497" s="82">
        <v>5000000</v>
      </c>
      <c r="AM497" s="82">
        <v>0</v>
      </c>
      <c r="AN497" s="82">
        <v>5000000</v>
      </c>
      <c r="AO497" s="82">
        <v>0</v>
      </c>
      <c r="AP497" s="82">
        <v>5000000</v>
      </c>
      <c r="AQ497" s="82">
        <v>0</v>
      </c>
      <c r="AR497" s="82">
        <v>5000000</v>
      </c>
      <c r="AS497" s="82">
        <v>0</v>
      </c>
      <c r="AT497" s="82">
        <v>5000000</v>
      </c>
      <c r="AU497" s="82">
        <v>0</v>
      </c>
      <c r="AV497" s="82">
        <v>5000000</v>
      </c>
      <c r="AW497" s="82">
        <v>0</v>
      </c>
      <c r="AX497" s="82">
        <v>5000000</v>
      </c>
      <c r="AY497" s="82">
        <v>0</v>
      </c>
      <c r="AZ497" s="82">
        <v>5000000</v>
      </c>
      <c r="BA497" s="82">
        <v>0</v>
      </c>
      <c r="BB497" s="82">
        <v>5000000</v>
      </c>
      <c r="BC497" s="82">
        <f t="shared" ref="BC497:BD497" si="985">AE497+AG497+AI497+AK497+AM497+AO497+AQ497+AS497+AU497+AW497+AY497+BA497</f>
        <v>50000000</v>
      </c>
      <c r="BD497" s="82">
        <f t="shared" si="985"/>
        <v>50000000</v>
      </c>
      <c r="BE497" s="83">
        <f t="shared" si="813"/>
        <v>0</v>
      </c>
      <c r="BF497" s="83">
        <f t="shared" si="814"/>
        <v>0</v>
      </c>
      <c r="BG497" s="14" t="str">
        <f ca="1">IFERROR(__xludf.DUMMYFUNCTION("REGEXEXTRACT(O491,""^\S+\s(.+)$"")"),"Prestación de servicios profesionales para la elaboración de documentos y el procesamiento de la información de las convocatorias públicas de los proyectos de transmisión nacional y regional.")</f>
        <v>Prestación de servicios profesionales para la elaboración de documentos y el procesamiento de la información de las convocatorias públicas de los proyectos de transmisión nacional y regional.</v>
      </c>
      <c r="BH497" s="23"/>
      <c r="BI497" s="23"/>
      <c r="BJ497" s="23">
        <v>50000000</v>
      </c>
      <c r="BK497" s="23"/>
      <c r="BL497" s="23"/>
      <c r="BM497" s="23">
        <v>5000000</v>
      </c>
      <c r="BN497" s="23"/>
      <c r="BO497" s="23">
        <v>5000000</v>
      </c>
      <c r="BP497" s="23"/>
      <c r="BQ497" s="23">
        <v>5000000</v>
      </c>
      <c r="BR497" s="23"/>
      <c r="BS497" s="23">
        <v>5000000</v>
      </c>
      <c r="BT497" s="23"/>
      <c r="BU497" s="23">
        <v>5000000</v>
      </c>
      <c r="BV497" s="23"/>
      <c r="BW497" s="23">
        <v>5000000</v>
      </c>
      <c r="BX497" s="23"/>
      <c r="BY497" s="23">
        <v>5000000</v>
      </c>
      <c r="BZ497" s="23"/>
      <c r="CA497" s="23">
        <v>5000000</v>
      </c>
      <c r="CB497" s="23"/>
      <c r="CC497" s="23">
        <v>5000000</v>
      </c>
      <c r="CD497" s="23"/>
      <c r="CE497" s="23">
        <v>5000000</v>
      </c>
      <c r="CF497" s="28"/>
      <c r="CG497" s="28"/>
      <c r="CH497" s="25">
        <f t="shared" ref="CH497:CI497" si="986">BH497+BJ497+BL497+BN497+BP497+BR497+BT497+BV497+BX497+BZ497+CB497+CD497+CF497</f>
        <v>50000000</v>
      </c>
      <c r="CI497" s="25">
        <f t="shared" si="986"/>
        <v>50000000</v>
      </c>
      <c r="CJ497" s="26">
        <f t="shared" si="816"/>
        <v>0</v>
      </c>
      <c r="CK497" s="26">
        <f t="shared" si="817"/>
        <v>0</v>
      </c>
    </row>
    <row r="498" spans="1:89" ht="90" customHeight="1" x14ac:dyDescent="0.3">
      <c r="A498" s="13" t="s">
        <v>248</v>
      </c>
      <c r="B498" s="14" t="s">
        <v>34</v>
      </c>
      <c r="C498" s="15" t="s">
        <v>1127</v>
      </c>
      <c r="D498" s="14" t="s">
        <v>61</v>
      </c>
      <c r="E498" s="13" t="s">
        <v>250</v>
      </c>
      <c r="F498" s="13" t="s">
        <v>250</v>
      </c>
      <c r="G498" s="14">
        <v>68</v>
      </c>
      <c r="H498" s="13" t="s">
        <v>1358</v>
      </c>
      <c r="I498" s="15" t="s">
        <v>1129</v>
      </c>
      <c r="J498" s="14" t="s">
        <v>9</v>
      </c>
      <c r="K498" s="15" t="s">
        <v>77</v>
      </c>
      <c r="L498" s="14">
        <v>80111620</v>
      </c>
      <c r="M498" s="14" t="s">
        <v>35</v>
      </c>
      <c r="N498" s="14" t="s">
        <v>253</v>
      </c>
      <c r="O498" s="15" t="s">
        <v>1359</v>
      </c>
      <c r="P498" s="14" t="s">
        <v>255</v>
      </c>
      <c r="Q498" s="14" t="s">
        <v>255</v>
      </c>
      <c r="R498" s="14" t="s">
        <v>255</v>
      </c>
      <c r="S498" s="17">
        <v>10</v>
      </c>
      <c r="T498" s="14" t="s">
        <v>256</v>
      </c>
      <c r="U498" s="14" t="s">
        <v>257</v>
      </c>
      <c r="V498" s="14" t="s">
        <v>112</v>
      </c>
      <c r="W498" s="18">
        <v>62000000</v>
      </c>
      <c r="X498" s="18">
        <v>62000000</v>
      </c>
      <c r="Y498" s="19" t="s">
        <v>339</v>
      </c>
      <c r="Z498" s="19" t="s">
        <v>258</v>
      </c>
      <c r="AA498" s="14" t="s">
        <v>1132</v>
      </c>
      <c r="AB498" s="14" t="s">
        <v>1133</v>
      </c>
      <c r="AC498" s="14">
        <v>6012220601</v>
      </c>
      <c r="AD498" s="14" t="s">
        <v>1134</v>
      </c>
      <c r="AE498" s="82">
        <v>62000000</v>
      </c>
      <c r="AF498" s="82">
        <v>0</v>
      </c>
      <c r="AG498" s="82">
        <v>0</v>
      </c>
      <c r="AH498" s="82">
        <v>0</v>
      </c>
      <c r="AI498" s="82">
        <v>0</v>
      </c>
      <c r="AJ498" s="82">
        <v>6200000</v>
      </c>
      <c r="AK498" s="82">
        <v>0</v>
      </c>
      <c r="AL498" s="82">
        <v>6200000</v>
      </c>
      <c r="AM498" s="82">
        <v>0</v>
      </c>
      <c r="AN498" s="82">
        <v>6200000</v>
      </c>
      <c r="AO498" s="82">
        <v>0</v>
      </c>
      <c r="AP498" s="82">
        <v>6200000</v>
      </c>
      <c r="AQ498" s="82">
        <v>0</v>
      </c>
      <c r="AR498" s="82">
        <v>6200000</v>
      </c>
      <c r="AS498" s="82">
        <v>0</v>
      </c>
      <c r="AT498" s="82">
        <v>6200000</v>
      </c>
      <c r="AU498" s="82">
        <v>0</v>
      </c>
      <c r="AV498" s="82">
        <v>6200000</v>
      </c>
      <c r="AW498" s="82">
        <v>0</v>
      </c>
      <c r="AX498" s="82">
        <v>6200000</v>
      </c>
      <c r="AY498" s="82">
        <v>0</v>
      </c>
      <c r="AZ498" s="82">
        <v>6200000</v>
      </c>
      <c r="BA498" s="82">
        <v>0</v>
      </c>
      <c r="BB498" s="82">
        <v>6200000</v>
      </c>
      <c r="BC498" s="82">
        <f t="shared" ref="BC498:BD498" si="987">AE498+AG498+AI498+AK498+AM498+AO498+AQ498+AS498+AU498+AW498+AY498+BA498</f>
        <v>62000000</v>
      </c>
      <c r="BD498" s="82">
        <f t="shared" si="987"/>
        <v>62000000</v>
      </c>
      <c r="BE498" s="83">
        <f t="shared" si="813"/>
        <v>0</v>
      </c>
      <c r="BF498" s="83">
        <f t="shared" si="814"/>
        <v>0</v>
      </c>
      <c r="BG498" s="14" t="str">
        <f ca="1">IFERROR(__xludf.DUMMYFUNCTION("REGEXEXTRACT(O492,""^\S+\s(.+)$"")"),"Prestar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98" s="23">
        <v>62000000</v>
      </c>
      <c r="BI498" s="23"/>
      <c r="BJ498" s="23"/>
      <c r="BK498" s="23"/>
      <c r="BL498" s="23"/>
      <c r="BM498" s="23">
        <v>6200000</v>
      </c>
      <c r="BN498" s="23"/>
      <c r="BO498" s="23">
        <v>6200000</v>
      </c>
      <c r="BP498" s="23"/>
      <c r="BQ498" s="23">
        <v>6200000</v>
      </c>
      <c r="BR498" s="23"/>
      <c r="BS498" s="23">
        <v>6200000</v>
      </c>
      <c r="BT498" s="23"/>
      <c r="BU498" s="23">
        <v>6200000</v>
      </c>
      <c r="BV498" s="23"/>
      <c r="BW498" s="23">
        <v>6200000</v>
      </c>
      <c r="BX498" s="23"/>
      <c r="BY498" s="23">
        <v>6200000</v>
      </c>
      <c r="BZ498" s="23"/>
      <c r="CA498" s="23">
        <v>6200000</v>
      </c>
      <c r="CB498" s="23"/>
      <c r="CC498" s="23">
        <v>6200000</v>
      </c>
      <c r="CD498" s="23"/>
      <c r="CE498" s="23">
        <v>6200000</v>
      </c>
      <c r="CF498" s="28"/>
      <c r="CG498" s="28"/>
      <c r="CH498" s="25">
        <f t="shared" ref="CH498:CI498" si="988">BH498+BJ498+BL498+BN498+BP498+BR498+BT498+BV498+BX498+BZ498+CB498+CD498+CF498</f>
        <v>62000000</v>
      </c>
      <c r="CI498" s="25">
        <f t="shared" si="988"/>
        <v>62000000</v>
      </c>
      <c r="CJ498" s="26">
        <f t="shared" si="816"/>
        <v>0</v>
      </c>
      <c r="CK498" s="26">
        <f t="shared" si="817"/>
        <v>0</v>
      </c>
    </row>
    <row r="499" spans="1:89" ht="90" customHeight="1" x14ac:dyDescent="0.3">
      <c r="A499" s="13" t="s">
        <v>248</v>
      </c>
      <c r="B499" s="14" t="s">
        <v>34</v>
      </c>
      <c r="C499" s="15" t="s">
        <v>1127</v>
      </c>
      <c r="D499" s="14" t="s">
        <v>61</v>
      </c>
      <c r="E499" s="13" t="s">
        <v>250</v>
      </c>
      <c r="F499" s="13" t="s">
        <v>250</v>
      </c>
      <c r="G499" s="14">
        <v>68</v>
      </c>
      <c r="H499" s="13" t="s">
        <v>1360</v>
      </c>
      <c r="I499" s="15" t="s">
        <v>1129</v>
      </c>
      <c r="J499" s="14" t="s">
        <v>9</v>
      </c>
      <c r="K499" s="15" t="s">
        <v>77</v>
      </c>
      <c r="L499" s="14">
        <v>80111620</v>
      </c>
      <c r="M499" s="14" t="s">
        <v>35</v>
      </c>
      <c r="N499" s="14" t="s">
        <v>253</v>
      </c>
      <c r="O499" s="15" t="s">
        <v>1361</v>
      </c>
      <c r="P499" s="14" t="s">
        <v>255</v>
      </c>
      <c r="Q499" s="14" t="s">
        <v>255</v>
      </c>
      <c r="R499" s="14" t="s">
        <v>255</v>
      </c>
      <c r="S499" s="17">
        <v>11</v>
      </c>
      <c r="T499" s="14" t="s">
        <v>256</v>
      </c>
      <c r="U499" s="14" t="s">
        <v>257</v>
      </c>
      <c r="V499" s="14" t="s">
        <v>112</v>
      </c>
      <c r="W499" s="18">
        <v>60000000</v>
      </c>
      <c r="X499" s="18">
        <v>60000000</v>
      </c>
      <c r="Y499" s="19" t="s">
        <v>339</v>
      </c>
      <c r="Z499" s="19" t="s">
        <v>258</v>
      </c>
      <c r="AA499" s="14" t="s">
        <v>1132</v>
      </c>
      <c r="AB499" s="14" t="s">
        <v>1133</v>
      </c>
      <c r="AC499" s="14">
        <v>6012220601</v>
      </c>
      <c r="AD499" s="14" t="s">
        <v>1134</v>
      </c>
      <c r="AE499" s="82">
        <v>60000000</v>
      </c>
      <c r="AF499" s="82">
        <v>0</v>
      </c>
      <c r="AG499" s="82">
        <v>0</v>
      </c>
      <c r="AH499" s="82">
        <v>0</v>
      </c>
      <c r="AI499" s="82">
        <v>0</v>
      </c>
      <c r="AJ499" s="82">
        <v>6000000</v>
      </c>
      <c r="AK499" s="82">
        <v>0</v>
      </c>
      <c r="AL499" s="82">
        <v>6000000</v>
      </c>
      <c r="AM499" s="82">
        <v>0</v>
      </c>
      <c r="AN499" s="82">
        <v>6000000</v>
      </c>
      <c r="AO499" s="82">
        <v>0</v>
      </c>
      <c r="AP499" s="82">
        <v>6000000</v>
      </c>
      <c r="AQ499" s="82">
        <v>0</v>
      </c>
      <c r="AR499" s="82">
        <v>6000000</v>
      </c>
      <c r="AS499" s="82">
        <v>0</v>
      </c>
      <c r="AT499" s="82">
        <v>6000000</v>
      </c>
      <c r="AU499" s="82">
        <v>0</v>
      </c>
      <c r="AV499" s="82">
        <v>6000000</v>
      </c>
      <c r="AW499" s="82">
        <v>0</v>
      </c>
      <c r="AX499" s="82">
        <v>6000000</v>
      </c>
      <c r="AY499" s="82">
        <v>0</v>
      </c>
      <c r="AZ499" s="82">
        <v>6000000</v>
      </c>
      <c r="BA499" s="82">
        <v>0</v>
      </c>
      <c r="BB499" s="82">
        <v>6000000</v>
      </c>
      <c r="BC499" s="82">
        <f t="shared" ref="BC499:BD499" si="989">AE499+AG499+AI499+AK499+AM499+AO499+AQ499+AS499+AU499+AW499+AY499+BA499</f>
        <v>60000000</v>
      </c>
      <c r="BD499" s="82">
        <f t="shared" si="989"/>
        <v>60000000</v>
      </c>
      <c r="BE499" s="83">
        <f t="shared" si="813"/>
        <v>0</v>
      </c>
      <c r="BF499" s="83">
        <f t="shared" si="814"/>
        <v>0</v>
      </c>
      <c r="BG499" s="14" t="str">
        <f ca="1">IFERROR(__xludf.DUMMYFUNCTION("REGEXEXTRACT(O493,""^\S+\s(.+)$"")"),"Prestar servicios profesionales para participar en el análisis de la expansión y de las solicitudes de asignación de capacidad de proyectos de generación y usuarios finales, así como en el procesamiento de la información requerida por los modelos y en la "&amp;"gestión de la plataforma de la Ventanilla Única")</f>
        <v>Prestar servicios profesionales para participar en el análisis de la expansión y de las solicitudes de asignación de capacidad de proyectos de generación y usuarios finales, así como en el procesamiento de la información requerida por los modelos y en la gestión de la plataforma de la Ventanilla Única</v>
      </c>
      <c r="BH499" s="23">
        <v>60000000</v>
      </c>
      <c r="BI499" s="23"/>
      <c r="BJ499" s="23"/>
      <c r="BK499" s="23"/>
      <c r="BL499" s="23"/>
      <c r="BM499" s="23">
        <v>6000000</v>
      </c>
      <c r="BN499" s="23"/>
      <c r="BO499" s="23">
        <v>6000000</v>
      </c>
      <c r="BP499" s="23"/>
      <c r="BQ499" s="23">
        <v>6000000</v>
      </c>
      <c r="BR499" s="23"/>
      <c r="BS499" s="23">
        <v>6000000</v>
      </c>
      <c r="BT499" s="23"/>
      <c r="BU499" s="23">
        <v>6000000</v>
      </c>
      <c r="BV499" s="23"/>
      <c r="BW499" s="23">
        <v>6000000</v>
      </c>
      <c r="BX499" s="23"/>
      <c r="BY499" s="23">
        <v>6000000</v>
      </c>
      <c r="BZ499" s="23"/>
      <c r="CA499" s="23">
        <v>6000000</v>
      </c>
      <c r="CB499" s="23"/>
      <c r="CC499" s="23">
        <v>6000000</v>
      </c>
      <c r="CD499" s="23"/>
      <c r="CE499" s="23">
        <v>6000000</v>
      </c>
      <c r="CF499" s="28"/>
      <c r="CG499" s="28"/>
      <c r="CH499" s="25">
        <f t="shared" ref="CH499:CI499" si="990">BH499+BJ499+BL499+BN499+BP499+BR499+BT499+BV499+BX499+BZ499+CB499+CD499+CF499</f>
        <v>60000000</v>
      </c>
      <c r="CI499" s="25">
        <f t="shared" si="990"/>
        <v>60000000</v>
      </c>
      <c r="CJ499" s="26">
        <f t="shared" si="816"/>
        <v>0</v>
      </c>
      <c r="CK499" s="26">
        <f t="shared" si="817"/>
        <v>0</v>
      </c>
    </row>
    <row r="500" spans="1:89" ht="90" customHeight="1" x14ac:dyDescent="0.3">
      <c r="A500" s="13" t="s">
        <v>248</v>
      </c>
      <c r="B500" s="14" t="s">
        <v>34</v>
      </c>
      <c r="C500" s="15" t="s">
        <v>1127</v>
      </c>
      <c r="D500" s="14" t="s">
        <v>61</v>
      </c>
      <c r="E500" s="13" t="s">
        <v>250</v>
      </c>
      <c r="F500" s="13" t="s">
        <v>250</v>
      </c>
      <c r="G500" s="14">
        <v>68</v>
      </c>
      <c r="H500" s="13" t="s">
        <v>1362</v>
      </c>
      <c r="I500" s="15" t="s">
        <v>1129</v>
      </c>
      <c r="J500" s="14" t="s">
        <v>9</v>
      </c>
      <c r="K500" s="15" t="s">
        <v>77</v>
      </c>
      <c r="L500" s="14">
        <v>80111620</v>
      </c>
      <c r="M500" s="14" t="s">
        <v>35</v>
      </c>
      <c r="N500" s="14" t="s">
        <v>253</v>
      </c>
      <c r="O500" s="15" t="s">
        <v>1363</v>
      </c>
      <c r="P500" s="14" t="s">
        <v>255</v>
      </c>
      <c r="Q500" s="14" t="s">
        <v>255</v>
      </c>
      <c r="R500" s="14" t="s">
        <v>255</v>
      </c>
      <c r="S500" s="17">
        <v>10</v>
      </c>
      <c r="T500" s="14" t="s">
        <v>256</v>
      </c>
      <c r="U500" s="14" t="s">
        <v>257</v>
      </c>
      <c r="V500" s="14" t="s">
        <v>112</v>
      </c>
      <c r="W500" s="18">
        <v>32000000</v>
      </c>
      <c r="X500" s="18">
        <v>32000000</v>
      </c>
      <c r="Y500" s="19" t="s">
        <v>339</v>
      </c>
      <c r="Z500" s="19" t="s">
        <v>258</v>
      </c>
      <c r="AA500" s="14" t="s">
        <v>1132</v>
      </c>
      <c r="AB500" s="14" t="s">
        <v>1133</v>
      </c>
      <c r="AC500" s="14">
        <v>6012220601</v>
      </c>
      <c r="AD500" s="14" t="s">
        <v>1134</v>
      </c>
      <c r="AE500" s="82">
        <v>0</v>
      </c>
      <c r="AF500" s="82">
        <v>0</v>
      </c>
      <c r="AG500" s="82">
        <v>32000000</v>
      </c>
      <c r="AH500" s="82">
        <v>0</v>
      </c>
      <c r="AI500" s="82">
        <v>0</v>
      </c>
      <c r="AJ500" s="82">
        <v>3200000</v>
      </c>
      <c r="AK500" s="82">
        <v>0</v>
      </c>
      <c r="AL500" s="82">
        <v>3200000</v>
      </c>
      <c r="AM500" s="82">
        <v>0</v>
      </c>
      <c r="AN500" s="82">
        <v>3200000</v>
      </c>
      <c r="AO500" s="82">
        <v>0</v>
      </c>
      <c r="AP500" s="82">
        <v>3200000</v>
      </c>
      <c r="AQ500" s="82">
        <v>0</v>
      </c>
      <c r="AR500" s="82">
        <v>3200000</v>
      </c>
      <c r="AS500" s="82">
        <v>0</v>
      </c>
      <c r="AT500" s="82">
        <v>3200000</v>
      </c>
      <c r="AU500" s="82">
        <v>0</v>
      </c>
      <c r="AV500" s="82">
        <v>3200000</v>
      </c>
      <c r="AW500" s="82">
        <v>0</v>
      </c>
      <c r="AX500" s="82">
        <v>3200000</v>
      </c>
      <c r="AY500" s="82">
        <v>0</v>
      </c>
      <c r="AZ500" s="82">
        <v>3200000</v>
      </c>
      <c r="BA500" s="82">
        <v>0</v>
      </c>
      <c r="BB500" s="82">
        <v>3200000</v>
      </c>
      <c r="BC500" s="82">
        <f t="shared" ref="BC500:BD500" si="991">AE500+AG500+AI500+AK500+AM500+AO500+AQ500+AS500+AU500+AW500+AY500+BA500</f>
        <v>32000000</v>
      </c>
      <c r="BD500" s="82">
        <f t="shared" si="991"/>
        <v>32000000</v>
      </c>
      <c r="BE500" s="83">
        <f t="shared" si="813"/>
        <v>0</v>
      </c>
      <c r="BF500" s="83">
        <f t="shared" si="814"/>
        <v>0</v>
      </c>
      <c r="BG500" s="14" t="str">
        <f ca="1">IFERROR(__xludf.DUMMYFUNCTION("REGEXEXTRACT(O494,""^\S+\s(.+)$"")"),"Brindar servicios de apoyo profesional en la creación y diseño de productos gráficos innovadores para contenido digital e impreso, con el fin de contribuir a la gestión de la comunicación interna y externa de la UPME")</f>
        <v>Brindar servicios de apoyo profesional en la creación y diseño de productos gráficos innovadores para contenido digital e impreso, con el fin de contribuir a la gestión de la comunicación interna y externa de la UPME</v>
      </c>
      <c r="BH500" s="23"/>
      <c r="BI500" s="23"/>
      <c r="BJ500" s="23">
        <v>32000000</v>
      </c>
      <c r="BK500" s="23"/>
      <c r="BL500" s="23"/>
      <c r="BM500" s="23">
        <v>3200000</v>
      </c>
      <c r="BN500" s="23"/>
      <c r="BO500" s="23">
        <v>3200000</v>
      </c>
      <c r="BP500" s="23"/>
      <c r="BQ500" s="23">
        <v>3200000</v>
      </c>
      <c r="BR500" s="23"/>
      <c r="BS500" s="23">
        <v>3200000</v>
      </c>
      <c r="BT500" s="23"/>
      <c r="BU500" s="23">
        <v>3200000</v>
      </c>
      <c r="BV500" s="23"/>
      <c r="BW500" s="23">
        <v>3200000</v>
      </c>
      <c r="BX500" s="23"/>
      <c r="BY500" s="23">
        <v>3200000</v>
      </c>
      <c r="BZ500" s="23"/>
      <c r="CA500" s="23">
        <v>3200000</v>
      </c>
      <c r="CB500" s="23"/>
      <c r="CC500" s="23">
        <v>3200000</v>
      </c>
      <c r="CD500" s="23"/>
      <c r="CE500" s="23">
        <v>3200000</v>
      </c>
      <c r="CF500" s="28"/>
      <c r="CG500" s="28"/>
      <c r="CH500" s="25">
        <f t="shared" ref="CH500:CI500" si="992">BH500+BJ500+BL500+BN500+BP500+BR500+BT500+BV500+BX500+BZ500+CB500+CD500+CF500</f>
        <v>32000000</v>
      </c>
      <c r="CI500" s="25">
        <f t="shared" si="992"/>
        <v>32000000</v>
      </c>
      <c r="CJ500" s="26">
        <f t="shared" si="816"/>
        <v>0</v>
      </c>
      <c r="CK500" s="26">
        <f t="shared" si="817"/>
        <v>0</v>
      </c>
    </row>
    <row r="501" spans="1:89" ht="90" customHeight="1" x14ac:dyDescent="0.3">
      <c r="A501" s="13" t="s">
        <v>248</v>
      </c>
      <c r="B501" s="14" t="s">
        <v>34</v>
      </c>
      <c r="C501" s="15" t="s">
        <v>1127</v>
      </c>
      <c r="D501" s="14" t="s">
        <v>61</v>
      </c>
      <c r="E501" s="13" t="s">
        <v>250</v>
      </c>
      <c r="F501" s="13" t="s">
        <v>250</v>
      </c>
      <c r="G501" s="14">
        <v>68</v>
      </c>
      <c r="H501" s="13" t="s">
        <v>1364</v>
      </c>
      <c r="I501" s="15" t="s">
        <v>1129</v>
      </c>
      <c r="J501" s="14" t="s">
        <v>9</v>
      </c>
      <c r="K501" s="15" t="s">
        <v>77</v>
      </c>
      <c r="L501" s="14">
        <v>80111620</v>
      </c>
      <c r="M501" s="14" t="s">
        <v>35</v>
      </c>
      <c r="N501" s="14" t="s">
        <v>253</v>
      </c>
      <c r="O501" s="15" t="s">
        <v>1365</v>
      </c>
      <c r="P501" s="14" t="s">
        <v>255</v>
      </c>
      <c r="Q501" s="14" t="s">
        <v>255</v>
      </c>
      <c r="R501" s="14" t="s">
        <v>255</v>
      </c>
      <c r="S501" s="17">
        <v>10</v>
      </c>
      <c r="T501" s="14" t="s">
        <v>256</v>
      </c>
      <c r="U501" s="14" t="s">
        <v>257</v>
      </c>
      <c r="V501" s="14" t="s">
        <v>112</v>
      </c>
      <c r="W501" s="18">
        <v>70000000</v>
      </c>
      <c r="X501" s="18">
        <v>70000000</v>
      </c>
      <c r="Y501" s="19" t="s">
        <v>339</v>
      </c>
      <c r="Z501" s="19" t="s">
        <v>258</v>
      </c>
      <c r="AA501" s="14" t="s">
        <v>1132</v>
      </c>
      <c r="AB501" s="14" t="s">
        <v>1133</v>
      </c>
      <c r="AC501" s="14">
        <v>6012220601</v>
      </c>
      <c r="AD501" s="14" t="s">
        <v>1134</v>
      </c>
      <c r="AE501" s="82">
        <v>70000000</v>
      </c>
      <c r="AF501" s="82">
        <v>0</v>
      </c>
      <c r="AG501" s="82">
        <v>0</v>
      </c>
      <c r="AH501" s="82">
        <v>0</v>
      </c>
      <c r="AI501" s="82">
        <v>0</v>
      </c>
      <c r="AJ501" s="82">
        <v>7000000</v>
      </c>
      <c r="AK501" s="82">
        <v>0</v>
      </c>
      <c r="AL501" s="82">
        <v>7000000</v>
      </c>
      <c r="AM501" s="82">
        <v>0</v>
      </c>
      <c r="AN501" s="82">
        <v>7000000</v>
      </c>
      <c r="AO501" s="82">
        <v>0</v>
      </c>
      <c r="AP501" s="82">
        <v>7000000</v>
      </c>
      <c r="AQ501" s="82">
        <v>0</v>
      </c>
      <c r="AR501" s="82">
        <v>7000000</v>
      </c>
      <c r="AS501" s="82">
        <v>0</v>
      </c>
      <c r="AT501" s="82">
        <v>7000000</v>
      </c>
      <c r="AU501" s="82">
        <v>0</v>
      </c>
      <c r="AV501" s="82">
        <v>7000000</v>
      </c>
      <c r="AW501" s="82">
        <v>0</v>
      </c>
      <c r="AX501" s="82">
        <v>7000000</v>
      </c>
      <c r="AY501" s="82">
        <v>0</v>
      </c>
      <c r="AZ501" s="82">
        <v>7000000</v>
      </c>
      <c r="BA501" s="82">
        <v>0</v>
      </c>
      <c r="BB501" s="82">
        <v>7000000</v>
      </c>
      <c r="BC501" s="82">
        <f t="shared" ref="BC501:BD501" si="993">AE501+AG501+AI501+AK501+AM501+AO501+AQ501+AS501+AU501+AW501+AY501+BA501</f>
        <v>70000000</v>
      </c>
      <c r="BD501" s="82">
        <f t="shared" si="993"/>
        <v>70000000</v>
      </c>
      <c r="BE501" s="83">
        <f t="shared" si="813"/>
        <v>0</v>
      </c>
      <c r="BF501" s="83">
        <f t="shared" si="814"/>
        <v>0</v>
      </c>
      <c r="BG501" s="14" t="str">
        <f ca="1">IFERROR(__xludf.DUMMYFUNCTION("REGEXEXTRACT(O495,""^\S+\s(.+)$"")"),"Prestar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501" s="23">
        <v>70000000</v>
      </c>
      <c r="BI501" s="23"/>
      <c r="BJ501" s="23"/>
      <c r="BK501" s="23"/>
      <c r="BL501" s="23"/>
      <c r="BM501" s="23">
        <v>7000000</v>
      </c>
      <c r="BN501" s="23"/>
      <c r="BO501" s="23">
        <v>7000000</v>
      </c>
      <c r="BP501" s="23"/>
      <c r="BQ501" s="23">
        <v>7000000</v>
      </c>
      <c r="BR501" s="23"/>
      <c r="BS501" s="23">
        <v>7000000</v>
      </c>
      <c r="BT501" s="23"/>
      <c r="BU501" s="23">
        <v>7000000</v>
      </c>
      <c r="BV501" s="23"/>
      <c r="BW501" s="23">
        <v>7000000</v>
      </c>
      <c r="BX501" s="23"/>
      <c r="BY501" s="23">
        <v>7000000</v>
      </c>
      <c r="BZ501" s="23"/>
      <c r="CA501" s="23">
        <v>7000000</v>
      </c>
      <c r="CB501" s="23"/>
      <c r="CC501" s="23">
        <v>7000000</v>
      </c>
      <c r="CD501" s="23"/>
      <c r="CE501" s="23">
        <v>7000000</v>
      </c>
      <c r="CF501" s="28"/>
      <c r="CG501" s="28"/>
      <c r="CH501" s="25">
        <f t="shared" ref="CH501:CI501" si="994">BH501+BJ501+BL501+BN501+BP501+BR501+BT501+BV501+BX501+BZ501+CB501+CD501+CF501</f>
        <v>70000000</v>
      </c>
      <c r="CI501" s="25">
        <f t="shared" si="994"/>
        <v>70000000</v>
      </c>
      <c r="CJ501" s="26">
        <f t="shared" si="816"/>
        <v>0</v>
      </c>
      <c r="CK501" s="26">
        <f t="shared" si="817"/>
        <v>0</v>
      </c>
    </row>
    <row r="502" spans="1:89" ht="90" customHeight="1" x14ac:dyDescent="0.3">
      <c r="A502" s="13" t="s">
        <v>248</v>
      </c>
      <c r="B502" s="14" t="s">
        <v>34</v>
      </c>
      <c r="C502" s="15" t="s">
        <v>1127</v>
      </c>
      <c r="D502" s="14" t="s">
        <v>61</v>
      </c>
      <c r="E502" s="13" t="s">
        <v>250</v>
      </c>
      <c r="F502" s="13" t="s">
        <v>250</v>
      </c>
      <c r="G502" s="14">
        <v>20</v>
      </c>
      <c r="H502" s="13" t="s">
        <v>1366</v>
      </c>
      <c r="I502" s="15" t="s">
        <v>1129</v>
      </c>
      <c r="J502" s="14" t="s">
        <v>9</v>
      </c>
      <c r="K502" s="15" t="s">
        <v>77</v>
      </c>
      <c r="L502" s="14">
        <v>80111620</v>
      </c>
      <c r="M502" s="14" t="s">
        <v>35</v>
      </c>
      <c r="N502" s="14" t="s">
        <v>253</v>
      </c>
      <c r="O502" s="86" t="s">
        <v>1367</v>
      </c>
      <c r="P502" s="14" t="s">
        <v>255</v>
      </c>
      <c r="Q502" s="14" t="s">
        <v>255</v>
      </c>
      <c r="R502" s="14" t="s">
        <v>255</v>
      </c>
      <c r="S502" s="17">
        <v>10</v>
      </c>
      <c r="T502" s="14" t="s">
        <v>256</v>
      </c>
      <c r="U502" s="14" t="s">
        <v>257</v>
      </c>
      <c r="V502" s="14" t="s">
        <v>112</v>
      </c>
      <c r="W502" s="18">
        <v>0</v>
      </c>
      <c r="X502" s="18">
        <v>0</v>
      </c>
      <c r="Y502" s="19" t="s">
        <v>339</v>
      </c>
      <c r="Z502" s="19" t="s">
        <v>258</v>
      </c>
      <c r="AA502" s="14" t="s">
        <v>1132</v>
      </c>
      <c r="AB502" s="14" t="s">
        <v>1133</v>
      </c>
      <c r="AC502" s="14">
        <v>6012220601</v>
      </c>
      <c r="AD502" s="14" t="s">
        <v>1134</v>
      </c>
      <c r="AE502" s="82">
        <v>0</v>
      </c>
      <c r="AF502" s="82">
        <v>0</v>
      </c>
      <c r="AG502" s="82">
        <v>0</v>
      </c>
      <c r="AH502" s="82">
        <v>0</v>
      </c>
      <c r="AI502" s="82">
        <v>0</v>
      </c>
      <c r="AJ502" s="82">
        <v>0</v>
      </c>
      <c r="AK502" s="82">
        <v>0</v>
      </c>
      <c r="AL502" s="82">
        <v>0</v>
      </c>
      <c r="AM502" s="82">
        <v>0</v>
      </c>
      <c r="AN502" s="82">
        <v>0</v>
      </c>
      <c r="AO502" s="82">
        <v>0</v>
      </c>
      <c r="AP502" s="82">
        <v>0</v>
      </c>
      <c r="AQ502" s="82">
        <v>0</v>
      </c>
      <c r="AR502" s="82">
        <v>0</v>
      </c>
      <c r="AS502" s="82">
        <v>0</v>
      </c>
      <c r="AT502" s="82">
        <v>0</v>
      </c>
      <c r="AU502" s="82">
        <v>0</v>
      </c>
      <c r="AV502" s="82">
        <v>0</v>
      </c>
      <c r="AW502" s="82">
        <v>0</v>
      </c>
      <c r="AX502" s="82">
        <v>0</v>
      </c>
      <c r="AY502" s="82">
        <v>70000000</v>
      </c>
      <c r="AZ502" s="82">
        <v>0</v>
      </c>
      <c r="BA502" s="82">
        <v>0</v>
      </c>
      <c r="BB502" s="82">
        <v>70000000</v>
      </c>
      <c r="BC502" s="82">
        <f t="shared" ref="BC502:BD502" si="995">AE502+AG502+AI502+AK502+AM502+AO502+AQ502+AS502+AU502+AW502+AY502+BA502</f>
        <v>70000000</v>
      </c>
      <c r="BD502" s="82">
        <f t="shared" si="995"/>
        <v>70000000</v>
      </c>
      <c r="BE502" s="83">
        <f t="shared" si="813"/>
        <v>-70000000</v>
      </c>
      <c r="BF502" s="83">
        <f t="shared" si="814"/>
        <v>-70000000</v>
      </c>
      <c r="BG502" s="14" t="str">
        <f ca="1">IFERROR(__xludf.DUMMYFUNCTION("REGEXEXTRACT(O496,""^\S+\s(.+)$"")"),"Prestar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8"/>
      <c r="CG502" s="28"/>
      <c r="CH502" s="25">
        <f t="shared" ref="CH502:CI502" si="996">BH502+BJ502+BL502+BN502+BP502+BR502+BT502+BV502+BX502+BZ502+CB502+CD502+CF502</f>
        <v>0</v>
      </c>
      <c r="CI502" s="25">
        <f t="shared" si="996"/>
        <v>0</v>
      </c>
      <c r="CJ502" s="26">
        <f t="shared" si="816"/>
        <v>0</v>
      </c>
      <c r="CK502" s="26">
        <f t="shared" si="817"/>
        <v>0</v>
      </c>
    </row>
    <row r="503" spans="1:89" ht="90" customHeight="1" x14ac:dyDescent="0.3">
      <c r="A503" s="13" t="s">
        <v>248</v>
      </c>
      <c r="B503" s="14" t="s">
        <v>34</v>
      </c>
      <c r="C503" s="15" t="s">
        <v>1127</v>
      </c>
      <c r="D503" s="14" t="s">
        <v>61</v>
      </c>
      <c r="E503" s="13" t="s">
        <v>250</v>
      </c>
      <c r="F503" s="13" t="s">
        <v>250</v>
      </c>
      <c r="G503" s="14" t="s">
        <v>546</v>
      </c>
      <c r="H503" s="13" t="s">
        <v>1368</v>
      </c>
      <c r="I503" s="15" t="s">
        <v>1129</v>
      </c>
      <c r="J503" s="14" t="s">
        <v>9</v>
      </c>
      <c r="K503" s="15" t="s">
        <v>77</v>
      </c>
      <c r="L503" s="14" t="s">
        <v>277</v>
      </c>
      <c r="M503" s="14" t="s">
        <v>35</v>
      </c>
      <c r="N503" s="14" t="s">
        <v>278</v>
      </c>
      <c r="O503" s="85" t="s">
        <v>1369</v>
      </c>
      <c r="P503" s="14" t="s">
        <v>549</v>
      </c>
      <c r="Q503" s="14" t="s">
        <v>549</v>
      </c>
      <c r="R503" s="14" t="s">
        <v>280</v>
      </c>
      <c r="S503" s="17">
        <v>12</v>
      </c>
      <c r="T503" s="14" t="s">
        <v>256</v>
      </c>
      <c r="U503" s="14" t="s">
        <v>347</v>
      </c>
      <c r="V503" s="14" t="s">
        <v>112</v>
      </c>
      <c r="W503" s="18">
        <v>168656043</v>
      </c>
      <c r="X503" s="18">
        <v>168656043</v>
      </c>
      <c r="Y503" s="19" t="s">
        <v>339</v>
      </c>
      <c r="Z503" s="19" t="s">
        <v>258</v>
      </c>
      <c r="AA503" s="14" t="s">
        <v>1132</v>
      </c>
      <c r="AB503" s="14" t="s">
        <v>1133</v>
      </c>
      <c r="AC503" s="14">
        <v>6012220601</v>
      </c>
      <c r="AD503" s="14" t="s">
        <v>1134</v>
      </c>
      <c r="AE503" s="82">
        <v>0</v>
      </c>
      <c r="AF503" s="82">
        <v>0</v>
      </c>
      <c r="AG503" s="82">
        <v>0</v>
      </c>
      <c r="AH503" s="82">
        <v>0</v>
      </c>
      <c r="AI503" s="82">
        <v>0</v>
      </c>
      <c r="AJ503" s="82">
        <v>0</v>
      </c>
      <c r="AK503" s="82">
        <v>168656043</v>
      </c>
      <c r="AL503" s="82">
        <v>0</v>
      </c>
      <c r="AM503" s="82">
        <v>0</v>
      </c>
      <c r="AN503" s="82">
        <v>0</v>
      </c>
      <c r="AO503" s="82">
        <v>0</v>
      </c>
      <c r="AP503" s="82">
        <v>168656043</v>
      </c>
      <c r="AQ503" s="82">
        <v>0</v>
      </c>
      <c r="AR503" s="82">
        <v>0</v>
      </c>
      <c r="AS503" s="82">
        <v>0</v>
      </c>
      <c r="AT503" s="82">
        <v>0</v>
      </c>
      <c r="AU503" s="82">
        <v>0</v>
      </c>
      <c r="AV503" s="82">
        <v>0</v>
      </c>
      <c r="AW503" s="82">
        <v>0</v>
      </c>
      <c r="AX503" s="82">
        <v>0</v>
      </c>
      <c r="AY503" s="82">
        <v>0</v>
      </c>
      <c r="AZ503" s="82">
        <v>0</v>
      </c>
      <c r="BA503" s="82">
        <v>0</v>
      </c>
      <c r="BB503" s="82">
        <v>0</v>
      </c>
      <c r="BC503" s="82">
        <f t="shared" ref="BC503:BD503" si="997">AE503+AG503+AI503+AK503+AM503+AO503+AQ503+AS503+AU503+AW503+AY503+BA503</f>
        <v>168656043</v>
      </c>
      <c r="BD503" s="82">
        <f t="shared" si="997"/>
        <v>168656043</v>
      </c>
      <c r="BE503" s="83">
        <f t="shared" si="813"/>
        <v>0</v>
      </c>
      <c r="BF503" s="83">
        <f t="shared" si="814"/>
        <v>0</v>
      </c>
      <c r="BG503" s="14" t="str">
        <f ca="1">IFERROR(__xludf.DUMMYFUNCTION("REGEXEXTRACT(O497,""^\S+\s(.+)$"")"),"Adquirir el licenciamiento por suscripción para Plataforma de virtualización y almacenamiento en nube incluyendo la adquisición del hardware para Computación y Storage que soporta esta solución de Hiperconvergencia.						")</f>
        <v xml:space="preserve">Adquirir el licenciamiento por suscripción para Plataforma de virtualización y almacenamiento en nube incluyendo la adquisición del hardware para Computación y Storage que soporta esta solución de Hiperconvergencia.						</v>
      </c>
      <c r="BH503" s="23"/>
      <c r="BI503" s="23"/>
      <c r="BJ503" s="23"/>
      <c r="BK503" s="23"/>
      <c r="BL503" s="23"/>
      <c r="BM503" s="23"/>
      <c r="BN503" s="23">
        <v>168656043</v>
      </c>
      <c r="BO503" s="23"/>
      <c r="BP503" s="23"/>
      <c r="BQ503" s="23"/>
      <c r="BR503" s="23"/>
      <c r="BS503" s="23">
        <v>168656043</v>
      </c>
      <c r="BT503" s="23"/>
      <c r="BU503" s="23"/>
      <c r="BV503" s="23"/>
      <c r="BW503" s="23"/>
      <c r="BX503" s="23"/>
      <c r="BY503" s="23"/>
      <c r="BZ503" s="23"/>
      <c r="CA503" s="23"/>
      <c r="CB503" s="23"/>
      <c r="CC503" s="23"/>
      <c r="CD503" s="23"/>
      <c r="CE503" s="23"/>
      <c r="CF503" s="28"/>
      <c r="CG503" s="28"/>
      <c r="CH503" s="25">
        <f t="shared" ref="CH503:CI503" si="998">BH503+BJ503+BL503+BN503+BP503+BR503+BT503+BV503+BX503+BZ503+CB503+CD503+CF503</f>
        <v>168656043</v>
      </c>
      <c r="CI503" s="25">
        <f t="shared" si="998"/>
        <v>168656043</v>
      </c>
      <c r="CJ503" s="26">
        <f t="shared" si="816"/>
        <v>0</v>
      </c>
      <c r="CK503" s="26">
        <f t="shared" si="817"/>
        <v>0</v>
      </c>
    </row>
    <row r="504" spans="1:89" ht="90" customHeight="1" x14ac:dyDescent="0.3">
      <c r="A504" s="13" t="s">
        <v>248</v>
      </c>
      <c r="B504" s="14" t="s">
        <v>34</v>
      </c>
      <c r="C504" s="15" t="s">
        <v>1127</v>
      </c>
      <c r="D504" s="14" t="s">
        <v>61</v>
      </c>
      <c r="E504" s="13" t="s">
        <v>250</v>
      </c>
      <c r="F504" s="13" t="s">
        <v>250</v>
      </c>
      <c r="G504" s="93" t="s">
        <v>1155</v>
      </c>
      <c r="H504" s="13" t="s">
        <v>1370</v>
      </c>
      <c r="I504" s="15" t="s">
        <v>1138</v>
      </c>
      <c r="J504" s="14" t="s">
        <v>18</v>
      </c>
      <c r="K504" s="15" t="s">
        <v>79</v>
      </c>
      <c r="L504" s="14">
        <v>43211507</v>
      </c>
      <c r="M504" s="14" t="s">
        <v>36</v>
      </c>
      <c r="N504" s="14" t="s">
        <v>278</v>
      </c>
      <c r="O504" s="15" t="s">
        <v>1371</v>
      </c>
      <c r="P504" s="14" t="s">
        <v>477</v>
      </c>
      <c r="Q504" s="14" t="s">
        <v>614</v>
      </c>
      <c r="R504" s="88" t="s">
        <v>774</v>
      </c>
      <c r="S504" s="17">
        <v>4</v>
      </c>
      <c r="T504" s="14" t="s">
        <v>256</v>
      </c>
      <c r="U504" s="14" t="s">
        <v>286</v>
      </c>
      <c r="V504" s="94" t="s">
        <v>113</v>
      </c>
      <c r="W504" s="18">
        <v>92655700</v>
      </c>
      <c r="X504" s="18">
        <v>92655700</v>
      </c>
      <c r="Y504" s="19" t="s">
        <v>339</v>
      </c>
      <c r="Z504" s="19" t="s">
        <v>258</v>
      </c>
      <c r="AA504" s="14" t="s">
        <v>1132</v>
      </c>
      <c r="AB504" s="14" t="s">
        <v>1133</v>
      </c>
      <c r="AC504" s="14">
        <v>6012220601</v>
      </c>
      <c r="AD504" s="14" t="s">
        <v>1134</v>
      </c>
      <c r="AE504" s="82">
        <v>0</v>
      </c>
      <c r="AF504" s="82">
        <v>0</v>
      </c>
      <c r="AG504" s="82">
        <v>0</v>
      </c>
      <c r="AH504" s="82">
        <v>0</v>
      </c>
      <c r="AI504" s="82">
        <v>0</v>
      </c>
      <c r="AJ504" s="82">
        <v>0</v>
      </c>
      <c r="AK504" s="82">
        <v>92655700</v>
      </c>
      <c r="AL504" s="82">
        <v>0</v>
      </c>
      <c r="AM504" s="82">
        <v>0</v>
      </c>
      <c r="AN504" s="82">
        <v>23163925</v>
      </c>
      <c r="AO504" s="82">
        <v>0</v>
      </c>
      <c r="AP504" s="82">
        <v>23163925</v>
      </c>
      <c r="AQ504" s="82">
        <v>0</v>
      </c>
      <c r="AR504" s="82">
        <v>46327850</v>
      </c>
      <c r="AS504" s="82">
        <v>0</v>
      </c>
      <c r="AT504" s="82">
        <v>0</v>
      </c>
      <c r="AU504" s="82">
        <v>0</v>
      </c>
      <c r="AV504" s="82">
        <v>0</v>
      </c>
      <c r="AW504" s="82">
        <v>0</v>
      </c>
      <c r="AX504" s="82">
        <v>0</v>
      </c>
      <c r="AY504" s="82">
        <v>0</v>
      </c>
      <c r="AZ504" s="82">
        <v>0</v>
      </c>
      <c r="BA504" s="82">
        <v>0</v>
      </c>
      <c r="BB504" s="82">
        <v>0</v>
      </c>
      <c r="BC504" s="82">
        <f t="shared" ref="BC504:BD504" si="999">AE504+AG504+AI504+AK504+AM504+AO504+AQ504+AS504+AU504+AW504+AY504+BA504</f>
        <v>92655700</v>
      </c>
      <c r="BD504" s="82">
        <f t="shared" si="999"/>
        <v>92655700</v>
      </c>
      <c r="BE504" s="83">
        <f t="shared" si="813"/>
        <v>0</v>
      </c>
      <c r="BF504" s="83">
        <f t="shared" si="814"/>
        <v>0</v>
      </c>
      <c r="BG504" s="14" t="str">
        <f ca="1">IFERROR(__xludf.DUMMYFUNCTION("REGEXEXTRACT(O498,""^\S+\s(.+)$"")"),"Adquirir equipos de cómputo para la Subdirección de Energía Eléctrica")</f>
        <v>Adquirir equipos de cómputo para la Subdirección de Energía Eléctrica</v>
      </c>
      <c r="BH504" s="23"/>
      <c r="BI504" s="23"/>
      <c r="BJ504" s="23"/>
      <c r="BK504" s="23"/>
      <c r="BL504" s="23"/>
      <c r="BM504" s="23"/>
      <c r="BN504" s="23">
        <v>92655700</v>
      </c>
      <c r="BO504" s="23"/>
      <c r="BP504" s="23"/>
      <c r="BQ504" s="23">
        <v>23163925</v>
      </c>
      <c r="BR504" s="23"/>
      <c r="BS504" s="23">
        <v>23163925</v>
      </c>
      <c r="BT504" s="23"/>
      <c r="BU504" s="23">
        <v>46327850</v>
      </c>
      <c r="BV504" s="23"/>
      <c r="BW504" s="23"/>
      <c r="BX504" s="23"/>
      <c r="BY504" s="23"/>
      <c r="BZ504" s="23"/>
      <c r="CA504" s="23"/>
      <c r="CB504" s="23"/>
      <c r="CC504" s="23"/>
      <c r="CD504" s="23"/>
      <c r="CE504" s="23"/>
      <c r="CF504" s="28"/>
      <c r="CG504" s="28"/>
      <c r="CH504" s="25">
        <f t="shared" ref="CH504:CI504" si="1000">BH504+BJ504+BL504+BN504+BP504+BR504+BT504+BV504+BX504+BZ504+CB504+CD504+CF504</f>
        <v>92655700</v>
      </c>
      <c r="CI504" s="25">
        <f t="shared" si="1000"/>
        <v>92655700</v>
      </c>
      <c r="CJ504" s="26">
        <f t="shared" si="816"/>
        <v>0</v>
      </c>
      <c r="CK504" s="26">
        <f t="shared" si="817"/>
        <v>0</v>
      </c>
    </row>
    <row r="505" spans="1:89" ht="90" customHeight="1" x14ac:dyDescent="0.3">
      <c r="A505" s="13" t="s">
        <v>248</v>
      </c>
      <c r="B505" s="14" t="s">
        <v>34</v>
      </c>
      <c r="C505" s="15" t="s">
        <v>1127</v>
      </c>
      <c r="D505" s="14" t="s">
        <v>61</v>
      </c>
      <c r="E505" s="13" t="s">
        <v>250</v>
      </c>
      <c r="F505" s="13" t="s">
        <v>250</v>
      </c>
      <c r="G505" s="14">
        <v>68</v>
      </c>
      <c r="H505" s="13" t="s">
        <v>1372</v>
      </c>
      <c r="I505" s="15" t="s">
        <v>1138</v>
      </c>
      <c r="J505" s="14" t="s">
        <v>18</v>
      </c>
      <c r="K505" s="15" t="s">
        <v>79</v>
      </c>
      <c r="L505" s="14">
        <v>80111620</v>
      </c>
      <c r="M505" s="14" t="s">
        <v>36</v>
      </c>
      <c r="N505" s="14" t="s">
        <v>253</v>
      </c>
      <c r="O505" s="15" t="s">
        <v>1373</v>
      </c>
      <c r="P505" s="14" t="s">
        <v>255</v>
      </c>
      <c r="Q505" s="14" t="s">
        <v>255</v>
      </c>
      <c r="R505" s="14" t="s">
        <v>255</v>
      </c>
      <c r="S505" s="17">
        <v>11</v>
      </c>
      <c r="T505" s="14" t="s">
        <v>256</v>
      </c>
      <c r="U505" s="14" t="s">
        <v>257</v>
      </c>
      <c r="V505" s="14" t="s">
        <v>112</v>
      </c>
      <c r="W505" s="18">
        <v>5039878</v>
      </c>
      <c r="X505" s="18">
        <v>5039878</v>
      </c>
      <c r="Y505" s="19" t="s">
        <v>339</v>
      </c>
      <c r="Z505" s="19" t="s">
        <v>258</v>
      </c>
      <c r="AA505" s="14" t="s">
        <v>1132</v>
      </c>
      <c r="AB505" s="14" t="s">
        <v>1133</v>
      </c>
      <c r="AC505" s="14">
        <v>6012220601</v>
      </c>
      <c r="AD505" s="14" t="s">
        <v>1134</v>
      </c>
      <c r="AE505" s="82">
        <v>5039878</v>
      </c>
      <c r="AF505" s="82">
        <v>0</v>
      </c>
      <c r="AG505" s="82">
        <v>0</v>
      </c>
      <c r="AH505" s="82">
        <v>458171</v>
      </c>
      <c r="AI505" s="82">
        <v>0</v>
      </c>
      <c r="AJ505" s="82">
        <v>458171</v>
      </c>
      <c r="AK505" s="82">
        <v>0</v>
      </c>
      <c r="AL505" s="82">
        <v>458171</v>
      </c>
      <c r="AM505" s="82">
        <v>0</v>
      </c>
      <c r="AN505" s="82">
        <v>458171</v>
      </c>
      <c r="AO505" s="82">
        <v>0</v>
      </c>
      <c r="AP505" s="82">
        <v>458171</v>
      </c>
      <c r="AQ505" s="82">
        <v>0</v>
      </c>
      <c r="AR505" s="82">
        <v>458171</v>
      </c>
      <c r="AS505" s="82">
        <v>0</v>
      </c>
      <c r="AT505" s="82">
        <v>458171</v>
      </c>
      <c r="AU505" s="82">
        <v>0</v>
      </c>
      <c r="AV505" s="82">
        <v>458171</v>
      </c>
      <c r="AW505" s="82">
        <v>0</v>
      </c>
      <c r="AX505" s="82">
        <v>458171</v>
      </c>
      <c r="AY505" s="82">
        <v>0</v>
      </c>
      <c r="AZ505" s="82">
        <v>458171</v>
      </c>
      <c r="BA505" s="82">
        <v>0</v>
      </c>
      <c r="BB505" s="82">
        <v>458168</v>
      </c>
      <c r="BC505" s="82">
        <f t="shared" ref="BC505:BD505" si="1001">AE505+AG505+AI505+AK505+AM505+AO505+AQ505+AS505+AU505+AW505+AY505+BA505</f>
        <v>5039878</v>
      </c>
      <c r="BD505" s="82">
        <f t="shared" si="1001"/>
        <v>5039878</v>
      </c>
      <c r="BE505" s="83">
        <f t="shared" si="813"/>
        <v>0</v>
      </c>
      <c r="BF505" s="83">
        <f t="shared" si="814"/>
        <v>0</v>
      </c>
      <c r="BG505" s="14" t="str">
        <f ca="1">IFERROR(__xludf.DUMMYFUNCTION("REGEXEXTRACT(O499,""^\S+\s(.+)$"")"),"Prestar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505" s="23">
        <v>5039878</v>
      </c>
      <c r="BI505" s="23"/>
      <c r="BJ505" s="23"/>
      <c r="BK505" s="23">
        <v>458171</v>
      </c>
      <c r="BL505" s="23"/>
      <c r="BM505" s="23">
        <v>458171</v>
      </c>
      <c r="BN505" s="23"/>
      <c r="BO505" s="23">
        <v>458171</v>
      </c>
      <c r="BP505" s="23"/>
      <c r="BQ505" s="23">
        <v>458171</v>
      </c>
      <c r="BR505" s="23"/>
      <c r="BS505" s="23">
        <v>458171</v>
      </c>
      <c r="BT505" s="23"/>
      <c r="BU505" s="23">
        <v>458171</v>
      </c>
      <c r="BV505" s="23"/>
      <c r="BW505" s="23">
        <v>458171</v>
      </c>
      <c r="BX505" s="23"/>
      <c r="BY505" s="23">
        <v>458171</v>
      </c>
      <c r="BZ505" s="23"/>
      <c r="CA505" s="23">
        <v>458171</v>
      </c>
      <c r="CB505" s="23"/>
      <c r="CC505" s="23">
        <v>458171</v>
      </c>
      <c r="CD505" s="23"/>
      <c r="CE505" s="23">
        <v>458168</v>
      </c>
      <c r="CF505" s="28"/>
      <c r="CG505" s="28"/>
      <c r="CH505" s="25">
        <f t="shared" ref="CH505:CI505" si="1002">BH505+BJ505+BL505+BN505+BP505+BR505+BT505+BV505+BX505+BZ505+CB505+CD505+CF505</f>
        <v>5039878</v>
      </c>
      <c r="CI505" s="25">
        <f t="shared" si="1002"/>
        <v>5039878</v>
      </c>
      <c r="CJ505" s="26">
        <f t="shared" si="816"/>
        <v>0</v>
      </c>
      <c r="CK505" s="26">
        <f t="shared" si="817"/>
        <v>0</v>
      </c>
    </row>
    <row r="506" spans="1:89" ht="90" customHeight="1" x14ac:dyDescent="0.3">
      <c r="A506" s="13" t="s">
        <v>248</v>
      </c>
      <c r="B506" s="14" t="s">
        <v>34</v>
      </c>
      <c r="C506" s="15" t="s">
        <v>1127</v>
      </c>
      <c r="D506" s="14" t="s">
        <v>61</v>
      </c>
      <c r="E506" s="13" t="s">
        <v>250</v>
      </c>
      <c r="F506" s="13" t="s">
        <v>250</v>
      </c>
      <c r="G506" s="14">
        <v>68</v>
      </c>
      <c r="H506" s="13" t="s">
        <v>1374</v>
      </c>
      <c r="I506" s="15" t="s">
        <v>1138</v>
      </c>
      <c r="J506" s="14" t="s">
        <v>18</v>
      </c>
      <c r="K506" s="15" t="s">
        <v>78</v>
      </c>
      <c r="L506" s="14">
        <v>80111620</v>
      </c>
      <c r="M506" s="14" t="s">
        <v>36</v>
      </c>
      <c r="N506" s="14" t="s">
        <v>253</v>
      </c>
      <c r="O506" s="15" t="s">
        <v>1375</v>
      </c>
      <c r="P506" s="14" t="s">
        <v>255</v>
      </c>
      <c r="Q506" s="14" t="s">
        <v>255</v>
      </c>
      <c r="R506" s="14" t="s">
        <v>255</v>
      </c>
      <c r="S506" s="17">
        <v>11</v>
      </c>
      <c r="T506" s="14" t="s">
        <v>256</v>
      </c>
      <c r="U506" s="14" t="s">
        <v>257</v>
      </c>
      <c r="V506" s="14" t="s">
        <v>113</v>
      </c>
      <c r="W506" s="18">
        <v>2113650</v>
      </c>
      <c r="X506" s="18">
        <v>2113650</v>
      </c>
      <c r="Y506" s="19" t="s">
        <v>339</v>
      </c>
      <c r="Z506" s="19" t="s">
        <v>258</v>
      </c>
      <c r="AA506" s="14" t="s">
        <v>1132</v>
      </c>
      <c r="AB506" s="14" t="s">
        <v>1133</v>
      </c>
      <c r="AC506" s="14">
        <v>6012220601</v>
      </c>
      <c r="AD506" s="14" t="s">
        <v>1134</v>
      </c>
      <c r="AE506" s="82">
        <v>2113650</v>
      </c>
      <c r="AF506" s="82">
        <v>0</v>
      </c>
      <c r="AG506" s="82">
        <v>0</v>
      </c>
      <c r="AH506" s="82">
        <v>192150</v>
      </c>
      <c r="AI506" s="82">
        <v>0</v>
      </c>
      <c r="AJ506" s="82">
        <v>192150</v>
      </c>
      <c r="AK506" s="82">
        <v>0</v>
      </c>
      <c r="AL506" s="82">
        <v>192150</v>
      </c>
      <c r="AM506" s="82">
        <v>0</v>
      </c>
      <c r="AN506" s="82">
        <v>192150</v>
      </c>
      <c r="AO506" s="82">
        <v>0</v>
      </c>
      <c r="AP506" s="82">
        <v>192150</v>
      </c>
      <c r="AQ506" s="82">
        <v>0</v>
      </c>
      <c r="AR506" s="82">
        <v>192150</v>
      </c>
      <c r="AS506" s="82">
        <v>0</v>
      </c>
      <c r="AT506" s="82">
        <v>192150</v>
      </c>
      <c r="AU506" s="82">
        <v>0</v>
      </c>
      <c r="AV506" s="82">
        <v>192150</v>
      </c>
      <c r="AW506" s="82">
        <v>0</v>
      </c>
      <c r="AX506" s="82">
        <v>192150</v>
      </c>
      <c r="AY506" s="82">
        <v>0</v>
      </c>
      <c r="AZ506" s="82">
        <v>192150</v>
      </c>
      <c r="BA506" s="82">
        <v>0</v>
      </c>
      <c r="BB506" s="82">
        <v>192150</v>
      </c>
      <c r="BC506" s="82">
        <f t="shared" ref="BC506:BD506" si="1003">AE506+AG506+AI506+AK506+AM506+AO506+AQ506+AS506+AU506+AW506+AY506+BA506</f>
        <v>2113650</v>
      </c>
      <c r="BD506" s="82">
        <f t="shared" si="1003"/>
        <v>2113650</v>
      </c>
      <c r="BE506" s="83">
        <f t="shared" si="813"/>
        <v>0</v>
      </c>
      <c r="BF506" s="83">
        <f t="shared" si="814"/>
        <v>0</v>
      </c>
      <c r="BG506" s="14" t="str">
        <f ca="1">IFERROR(__xludf.DUMMYFUNCTION("REGEXEXTRACT(O500,""^\S+\s(.+)$"")"),"Prestar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506" s="23">
        <v>2113650</v>
      </c>
      <c r="BI506" s="23"/>
      <c r="BJ506" s="23"/>
      <c r="BK506" s="23">
        <v>192150</v>
      </c>
      <c r="BL506" s="23"/>
      <c r="BM506" s="23">
        <v>192150</v>
      </c>
      <c r="BN506" s="23"/>
      <c r="BO506" s="23">
        <v>192150</v>
      </c>
      <c r="BP506" s="23"/>
      <c r="BQ506" s="23">
        <v>192150</v>
      </c>
      <c r="BR506" s="23"/>
      <c r="BS506" s="23">
        <v>192150</v>
      </c>
      <c r="BT506" s="23"/>
      <c r="BU506" s="23">
        <v>192150</v>
      </c>
      <c r="BV506" s="23"/>
      <c r="BW506" s="23">
        <v>192150</v>
      </c>
      <c r="BX506" s="23"/>
      <c r="BY506" s="23">
        <v>192150</v>
      </c>
      <c r="BZ506" s="23"/>
      <c r="CA506" s="23">
        <v>192150</v>
      </c>
      <c r="CB506" s="23"/>
      <c r="CC506" s="23">
        <v>192150</v>
      </c>
      <c r="CD506" s="23"/>
      <c r="CE506" s="23">
        <v>192150</v>
      </c>
      <c r="CF506" s="28"/>
      <c r="CG506" s="28"/>
      <c r="CH506" s="25">
        <f t="shared" ref="CH506:CI506" si="1004">BH506+BJ506+BL506+BN506+BP506+BR506+BT506+BV506+BX506+BZ506+CB506+CD506+CF506</f>
        <v>2113650</v>
      </c>
      <c r="CI506" s="25">
        <f t="shared" si="1004"/>
        <v>2113650</v>
      </c>
      <c r="CJ506" s="26">
        <f t="shared" si="816"/>
        <v>0</v>
      </c>
      <c r="CK506" s="26">
        <f t="shared" si="817"/>
        <v>0</v>
      </c>
    </row>
    <row r="507" spans="1:89" ht="90" customHeight="1" x14ac:dyDescent="0.3">
      <c r="A507" s="13" t="s">
        <v>248</v>
      </c>
      <c r="B507" s="14" t="s">
        <v>34</v>
      </c>
      <c r="C507" s="15" t="s">
        <v>1127</v>
      </c>
      <c r="D507" s="14" t="s">
        <v>61</v>
      </c>
      <c r="E507" s="13" t="s">
        <v>250</v>
      </c>
      <c r="F507" s="13" t="s">
        <v>250</v>
      </c>
      <c r="G507" s="14">
        <v>68</v>
      </c>
      <c r="H507" s="13" t="s">
        <v>1376</v>
      </c>
      <c r="I507" s="15" t="s">
        <v>1138</v>
      </c>
      <c r="J507" s="14" t="s">
        <v>18</v>
      </c>
      <c r="K507" s="15" t="s">
        <v>78</v>
      </c>
      <c r="L507" s="14">
        <v>80111620</v>
      </c>
      <c r="M507" s="14" t="s">
        <v>36</v>
      </c>
      <c r="N507" s="14" t="s">
        <v>253</v>
      </c>
      <c r="O507" s="15" t="s">
        <v>1377</v>
      </c>
      <c r="P507" s="14" t="s">
        <v>255</v>
      </c>
      <c r="Q507" s="14" t="s">
        <v>255</v>
      </c>
      <c r="R507" s="14" t="s">
        <v>255</v>
      </c>
      <c r="S507" s="17">
        <v>11</v>
      </c>
      <c r="T507" s="14" t="s">
        <v>256</v>
      </c>
      <c r="U507" s="14" t="s">
        <v>257</v>
      </c>
      <c r="V507" s="14" t="s">
        <v>112</v>
      </c>
      <c r="W507" s="18">
        <v>3686350</v>
      </c>
      <c r="X507" s="18">
        <v>3686350</v>
      </c>
      <c r="Y507" s="19" t="s">
        <v>339</v>
      </c>
      <c r="Z507" s="19" t="s">
        <v>258</v>
      </c>
      <c r="AA507" s="14" t="s">
        <v>1132</v>
      </c>
      <c r="AB507" s="14" t="s">
        <v>1133</v>
      </c>
      <c r="AC507" s="14">
        <v>6012220601</v>
      </c>
      <c r="AD507" s="14" t="s">
        <v>1134</v>
      </c>
      <c r="AE507" s="82">
        <v>3686350</v>
      </c>
      <c r="AF507" s="82">
        <v>0</v>
      </c>
      <c r="AG507" s="82">
        <v>0</v>
      </c>
      <c r="AH507" s="82">
        <v>335123</v>
      </c>
      <c r="AI507" s="82">
        <v>0</v>
      </c>
      <c r="AJ507" s="82">
        <v>335123</v>
      </c>
      <c r="AK507" s="82">
        <v>0</v>
      </c>
      <c r="AL507" s="82">
        <v>335123</v>
      </c>
      <c r="AM507" s="82">
        <v>0</v>
      </c>
      <c r="AN507" s="82">
        <v>335123</v>
      </c>
      <c r="AO507" s="82">
        <v>0</v>
      </c>
      <c r="AP507" s="82">
        <v>335123</v>
      </c>
      <c r="AQ507" s="82">
        <v>0</v>
      </c>
      <c r="AR507" s="82">
        <v>335123</v>
      </c>
      <c r="AS507" s="82">
        <v>0</v>
      </c>
      <c r="AT507" s="82">
        <v>335123</v>
      </c>
      <c r="AU507" s="82">
        <v>0</v>
      </c>
      <c r="AV507" s="82">
        <v>335123</v>
      </c>
      <c r="AW507" s="82">
        <v>0</v>
      </c>
      <c r="AX507" s="82">
        <v>335123</v>
      </c>
      <c r="AY507" s="82">
        <v>0</v>
      </c>
      <c r="AZ507" s="82">
        <v>335123</v>
      </c>
      <c r="BA507" s="82">
        <v>0</v>
      </c>
      <c r="BB507" s="82">
        <v>335120</v>
      </c>
      <c r="BC507" s="82">
        <f t="shared" ref="BC507:BD507" si="1005">AE507+AG507+AI507+AK507+AM507+AO507+AQ507+AS507+AU507+AW507+AY507+BA507</f>
        <v>3686350</v>
      </c>
      <c r="BD507" s="82">
        <f t="shared" si="1005"/>
        <v>3686350</v>
      </c>
      <c r="BE507" s="83">
        <f t="shared" si="813"/>
        <v>0</v>
      </c>
      <c r="BF507" s="83">
        <f t="shared" si="814"/>
        <v>0</v>
      </c>
      <c r="BG507" s="14" t="str">
        <f ca="1">IFERROR(__xludf.DUMMYFUNCTION("REGEXEXTRACT(O501,""^\S+\s(.+)$"")"),"Prestar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507" s="23">
        <v>3686350</v>
      </c>
      <c r="BI507" s="23"/>
      <c r="BJ507" s="23"/>
      <c r="BK507" s="23">
        <v>335123</v>
      </c>
      <c r="BL507" s="23"/>
      <c r="BM507" s="23">
        <v>335123</v>
      </c>
      <c r="BN507" s="23"/>
      <c r="BO507" s="23">
        <v>335123</v>
      </c>
      <c r="BP507" s="23"/>
      <c r="BQ507" s="23">
        <v>335123</v>
      </c>
      <c r="BR507" s="23"/>
      <c r="BS507" s="23">
        <v>335123</v>
      </c>
      <c r="BT507" s="23"/>
      <c r="BU507" s="23">
        <v>335123</v>
      </c>
      <c r="BV507" s="23"/>
      <c r="BW507" s="23">
        <v>335123</v>
      </c>
      <c r="BX507" s="23"/>
      <c r="BY507" s="23">
        <v>335123</v>
      </c>
      <c r="BZ507" s="23"/>
      <c r="CA507" s="23">
        <v>335123</v>
      </c>
      <c r="CB507" s="23"/>
      <c r="CC507" s="23">
        <v>335123</v>
      </c>
      <c r="CD507" s="23"/>
      <c r="CE507" s="23">
        <v>335120</v>
      </c>
      <c r="CF507" s="28"/>
      <c r="CG507" s="28"/>
      <c r="CH507" s="25">
        <f t="shared" ref="CH507:CI507" si="1006">BH507+BJ507+BL507+BN507+BP507+BR507+BT507+BV507+BX507+BZ507+CB507+CD507+CF507</f>
        <v>3686350</v>
      </c>
      <c r="CI507" s="25">
        <f t="shared" si="1006"/>
        <v>3686350</v>
      </c>
      <c r="CJ507" s="26">
        <f t="shared" si="816"/>
        <v>0</v>
      </c>
      <c r="CK507" s="26">
        <f t="shared" si="817"/>
        <v>0</v>
      </c>
    </row>
    <row r="508" spans="1:89" ht="90" customHeight="1" x14ac:dyDescent="0.3">
      <c r="A508" s="13" t="s">
        <v>248</v>
      </c>
      <c r="B508" s="14" t="s">
        <v>34</v>
      </c>
      <c r="C508" s="15" t="s">
        <v>1127</v>
      </c>
      <c r="D508" s="14" t="s">
        <v>61</v>
      </c>
      <c r="E508" s="13" t="s">
        <v>250</v>
      </c>
      <c r="F508" s="13" t="s">
        <v>250</v>
      </c>
      <c r="G508" s="14">
        <v>68</v>
      </c>
      <c r="H508" s="13" t="s">
        <v>1378</v>
      </c>
      <c r="I508" s="15" t="s">
        <v>1129</v>
      </c>
      <c r="J508" s="14" t="s">
        <v>9</v>
      </c>
      <c r="K508" s="15" t="s">
        <v>77</v>
      </c>
      <c r="L508" s="14">
        <v>80111620</v>
      </c>
      <c r="M508" s="14" t="s">
        <v>35</v>
      </c>
      <c r="N508" s="14" t="s">
        <v>253</v>
      </c>
      <c r="O508" s="15" t="s">
        <v>1379</v>
      </c>
      <c r="P508" s="14" t="s">
        <v>255</v>
      </c>
      <c r="Q508" s="14" t="s">
        <v>255</v>
      </c>
      <c r="R508" s="14" t="s">
        <v>255</v>
      </c>
      <c r="S508" s="17">
        <v>10</v>
      </c>
      <c r="T508" s="14" t="s">
        <v>256</v>
      </c>
      <c r="U508" s="14" t="s">
        <v>257</v>
      </c>
      <c r="V508" s="14" t="s">
        <v>112</v>
      </c>
      <c r="W508" s="18">
        <v>118644390</v>
      </c>
      <c r="X508" s="18">
        <v>118644390</v>
      </c>
      <c r="Y508" s="19" t="s">
        <v>339</v>
      </c>
      <c r="Z508" s="19" t="s">
        <v>258</v>
      </c>
      <c r="AA508" s="14" t="s">
        <v>1132</v>
      </c>
      <c r="AB508" s="14" t="s">
        <v>1133</v>
      </c>
      <c r="AC508" s="14">
        <v>6012220601</v>
      </c>
      <c r="AD508" s="14" t="s">
        <v>1134</v>
      </c>
      <c r="AE508" s="82">
        <v>118644390</v>
      </c>
      <c r="AF508" s="82">
        <v>0</v>
      </c>
      <c r="AG508" s="82">
        <v>0</v>
      </c>
      <c r="AH508" s="82">
        <v>0</v>
      </c>
      <c r="AI508" s="82">
        <v>0</v>
      </c>
      <c r="AJ508" s="82">
        <v>11864439</v>
      </c>
      <c r="AK508" s="82">
        <v>0</v>
      </c>
      <c r="AL508" s="82">
        <v>11864439</v>
      </c>
      <c r="AM508" s="82">
        <v>0</v>
      </c>
      <c r="AN508" s="82">
        <v>11864439</v>
      </c>
      <c r="AO508" s="82">
        <v>0</v>
      </c>
      <c r="AP508" s="82">
        <v>11864439</v>
      </c>
      <c r="AQ508" s="82">
        <v>0</v>
      </c>
      <c r="AR508" s="82">
        <v>11864439</v>
      </c>
      <c r="AS508" s="82">
        <v>0</v>
      </c>
      <c r="AT508" s="82">
        <v>11864439</v>
      </c>
      <c r="AU508" s="82">
        <v>0</v>
      </c>
      <c r="AV508" s="82">
        <v>11864439</v>
      </c>
      <c r="AW508" s="82">
        <v>0</v>
      </c>
      <c r="AX508" s="82">
        <v>11864439</v>
      </c>
      <c r="AY508" s="82">
        <v>0</v>
      </c>
      <c r="AZ508" s="82">
        <v>11864439</v>
      </c>
      <c r="BA508" s="82">
        <v>0</v>
      </c>
      <c r="BB508" s="82">
        <v>11864439</v>
      </c>
      <c r="BC508" s="82">
        <f t="shared" ref="BC508:BD508" si="1007">AE508+AG508+AI508+AK508+AM508+AO508+AQ508+AS508+AU508+AW508+AY508+BA508</f>
        <v>118644390</v>
      </c>
      <c r="BD508" s="82">
        <f t="shared" si="1007"/>
        <v>118644390</v>
      </c>
      <c r="BE508" s="83">
        <f t="shared" si="813"/>
        <v>0</v>
      </c>
      <c r="BF508" s="83">
        <f t="shared" si="814"/>
        <v>0</v>
      </c>
      <c r="BG508" s="14" t="str">
        <f ca="1">IFERROR(__xludf.DUMMYFUNCTION("REGEXEXTRACT(O502,""^\S+\s(.+)$"")"),"Brindar servicios profesionales de asesoría en asuntos jurídicos y regulatorios a la Subdirección de Energía Eléctrica, en el marco de los procedimientos y actuaciones que adelante")</f>
        <v>Brindar servicios profesionales de asesoría en asuntos jurídicos y regulatorios a la Subdirección de Energía Eléctrica, en el marco de los procedimientos y actuaciones que adelante</v>
      </c>
      <c r="BH508" s="23">
        <v>118644390</v>
      </c>
      <c r="BI508" s="23"/>
      <c r="BJ508" s="23"/>
      <c r="BK508" s="23"/>
      <c r="BL508" s="23"/>
      <c r="BM508" s="23">
        <v>11864439</v>
      </c>
      <c r="BN508" s="23"/>
      <c r="BO508" s="23">
        <v>11864439</v>
      </c>
      <c r="BP508" s="23"/>
      <c r="BQ508" s="23">
        <v>11864439</v>
      </c>
      <c r="BR508" s="23"/>
      <c r="BS508" s="23">
        <v>11864439</v>
      </c>
      <c r="BT508" s="23"/>
      <c r="BU508" s="23">
        <v>11864439</v>
      </c>
      <c r="BV508" s="23"/>
      <c r="BW508" s="23">
        <v>11864439</v>
      </c>
      <c r="BX508" s="23"/>
      <c r="BY508" s="23">
        <v>11864439</v>
      </c>
      <c r="BZ508" s="23"/>
      <c r="CA508" s="23">
        <v>11864439</v>
      </c>
      <c r="CB508" s="23"/>
      <c r="CC508" s="23">
        <v>11864439</v>
      </c>
      <c r="CD508" s="23"/>
      <c r="CE508" s="23">
        <v>11864439</v>
      </c>
      <c r="CF508" s="28"/>
      <c r="CG508" s="28"/>
      <c r="CH508" s="25">
        <f t="shared" ref="CH508:CI508" si="1008">BH508+BJ508+BL508+BN508+BP508+BR508+BT508+BV508+BX508+BZ508+CB508+CD508+CF508</f>
        <v>118644390</v>
      </c>
      <c r="CI508" s="25">
        <f t="shared" si="1008"/>
        <v>118644390</v>
      </c>
      <c r="CJ508" s="26">
        <f t="shared" si="816"/>
        <v>0</v>
      </c>
      <c r="CK508" s="26">
        <f t="shared" si="817"/>
        <v>0</v>
      </c>
    </row>
    <row r="509" spans="1:89" ht="90" customHeight="1" x14ac:dyDescent="0.3">
      <c r="A509" s="13" t="s">
        <v>248</v>
      </c>
      <c r="B509" s="14" t="s">
        <v>37</v>
      </c>
      <c r="C509" s="15" t="s">
        <v>1380</v>
      </c>
      <c r="D509" s="14" t="s">
        <v>64</v>
      </c>
      <c r="E509" s="13" t="s">
        <v>250</v>
      </c>
      <c r="F509" s="13" t="s">
        <v>250</v>
      </c>
      <c r="G509" s="14">
        <v>68</v>
      </c>
      <c r="H509" s="13" t="s">
        <v>1381</v>
      </c>
      <c r="I509" s="15" t="s">
        <v>1382</v>
      </c>
      <c r="J509" s="14" t="s">
        <v>38</v>
      </c>
      <c r="K509" s="15" t="s">
        <v>71</v>
      </c>
      <c r="L509" s="14">
        <v>80111620</v>
      </c>
      <c r="M509" s="14" t="s">
        <v>39</v>
      </c>
      <c r="N509" s="14" t="s">
        <v>253</v>
      </c>
      <c r="O509" s="15" t="s">
        <v>1383</v>
      </c>
      <c r="P509" s="14" t="s">
        <v>255</v>
      </c>
      <c r="Q509" s="14" t="s">
        <v>255</v>
      </c>
      <c r="R509" s="14" t="s">
        <v>255</v>
      </c>
      <c r="S509" s="17">
        <v>10</v>
      </c>
      <c r="T509" s="14" t="s">
        <v>256</v>
      </c>
      <c r="U509" s="14" t="s">
        <v>257</v>
      </c>
      <c r="V509" s="14" t="s">
        <v>112</v>
      </c>
      <c r="W509" s="18">
        <v>41700000</v>
      </c>
      <c r="X509" s="18">
        <v>41700000</v>
      </c>
      <c r="Y509" s="19" t="s">
        <v>339</v>
      </c>
      <c r="Z509" s="19" t="s">
        <v>258</v>
      </c>
      <c r="AA509" s="14" t="s">
        <v>1384</v>
      </c>
      <c r="AB509" s="14" t="s">
        <v>1385</v>
      </c>
      <c r="AC509" s="14">
        <v>6012220601</v>
      </c>
      <c r="AD509" s="14" t="s">
        <v>1134</v>
      </c>
      <c r="AE509" s="82">
        <v>41700000</v>
      </c>
      <c r="AF509" s="82">
        <v>0</v>
      </c>
      <c r="AG509" s="82">
        <v>0</v>
      </c>
      <c r="AH509" s="82">
        <v>5000000</v>
      </c>
      <c r="AI509" s="82">
        <v>0</v>
      </c>
      <c r="AJ509" s="82">
        <v>10000000</v>
      </c>
      <c r="AK509" s="82">
        <v>0</v>
      </c>
      <c r="AL509" s="82">
        <v>10000000</v>
      </c>
      <c r="AM509" s="82">
        <v>0</v>
      </c>
      <c r="AN509" s="82">
        <v>10000000</v>
      </c>
      <c r="AO509" s="82">
        <v>0</v>
      </c>
      <c r="AP509" s="82">
        <v>6700000</v>
      </c>
      <c r="AQ509" s="82">
        <v>0</v>
      </c>
      <c r="AR509" s="82">
        <v>0</v>
      </c>
      <c r="AS509" s="82">
        <v>0</v>
      </c>
      <c r="AT509" s="82">
        <v>0</v>
      </c>
      <c r="AU509" s="82">
        <v>0</v>
      </c>
      <c r="AV509" s="82">
        <v>0</v>
      </c>
      <c r="AW509" s="82">
        <v>0</v>
      </c>
      <c r="AX509" s="82">
        <v>0</v>
      </c>
      <c r="AY509" s="82">
        <v>0</v>
      </c>
      <c r="AZ509" s="82">
        <v>0</v>
      </c>
      <c r="BA509" s="82">
        <v>0</v>
      </c>
      <c r="BB509" s="82">
        <v>0</v>
      </c>
      <c r="BC509" s="82">
        <f t="shared" ref="BC509:BD509" si="1009">AE509+AG509+AI509+AK509+AM509+AO509+AQ509+AS509+AU509+AW509+AY509+BA509</f>
        <v>41700000</v>
      </c>
      <c r="BD509" s="82">
        <f t="shared" si="1009"/>
        <v>41700000</v>
      </c>
      <c r="BE509" s="83">
        <f t="shared" si="813"/>
        <v>0</v>
      </c>
      <c r="BF509" s="83">
        <f t="shared" si="814"/>
        <v>0</v>
      </c>
      <c r="BG509" s="14" t="str">
        <f ca="1">IFERROR(__xludf.DUMMYFUNCTION("REGEXEXTRACT(O503,""^\S+\s(.+)$"")"),"Prestación de servicios profesionales para la construcción e implementación de los lineamientos sectoriales e institucionales en materia de gobierno de datos y gestión de información, considerando el marco normativo vigente.")</f>
        <v>Prestación de servicios profesionales para la construcción e implementación de los lineamientos sectoriales e institucionales en materia de gobierno de datos y gestión de información, considerando el marco normativo vigente.</v>
      </c>
      <c r="BH509" s="23">
        <v>41700000</v>
      </c>
      <c r="BI509" s="23"/>
      <c r="BJ509" s="23"/>
      <c r="BK509" s="23">
        <v>5000000</v>
      </c>
      <c r="BL509" s="23"/>
      <c r="BM509" s="23">
        <v>10000000</v>
      </c>
      <c r="BN509" s="23"/>
      <c r="BO509" s="23">
        <v>10000000</v>
      </c>
      <c r="BP509" s="23"/>
      <c r="BQ509" s="23">
        <v>10000000</v>
      </c>
      <c r="BR509" s="23"/>
      <c r="BS509" s="23">
        <v>6700000</v>
      </c>
      <c r="BT509" s="23"/>
      <c r="BU509" s="23"/>
      <c r="BV509" s="23"/>
      <c r="BW509" s="23"/>
      <c r="BX509" s="23"/>
      <c r="BY509" s="23"/>
      <c r="BZ509" s="23"/>
      <c r="CA509" s="23"/>
      <c r="CB509" s="23"/>
      <c r="CC509" s="23"/>
      <c r="CD509" s="23"/>
      <c r="CE509" s="23"/>
      <c r="CF509" s="28"/>
      <c r="CG509" s="28"/>
      <c r="CH509" s="25">
        <f t="shared" ref="CH509:CI509" si="1010">BH509+BJ509+BL509+BN509+BP509+BR509+BT509+BV509+BX509+BZ509+CB509+CD509+CF509</f>
        <v>41700000</v>
      </c>
      <c r="CI509" s="25">
        <f t="shared" si="1010"/>
        <v>41700000</v>
      </c>
      <c r="CJ509" s="26">
        <f t="shared" si="816"/>
        <v>0</v>
      </c>
      <c r="CK509" s="26">
        <f t="shared" si="817"/>
        <v>0</v>
      </c>
    </row>
    <row r="510" spans="1:89" ht="90" customHeight="1" x14ac:dyDescent="0.3">
      <c r="A510" s="13" t="s">
        <v>248</v>
      </c>
      <c r="B510" s="14" t="s">
        <v>37</v>
      </c>
      <c r="C510" s="15" t="s">
        <v>1380</v>
      </c>
      <c r="D510" s="14" t="s">
        <v>64</v>
      </c>
      <c r="E510" s="13" t="s">
        <v>250</v>
      </c>
      <c r="F510" s="13" t="s">
        <v>250</v>
      </c>
      <c r="G510" s="14">
        <v>2</v>
      </c>
      <c r="H510" s="13" t="s">
        <v>1386</v>
      </c>
      <c r="I510" s="15" t="s">
        <v>1382</v>
      </c>
      <c r="J510" s="14" t="s">
        <v>38</v>
      </c>
      <c r="K510" s="15" t="s">
        <v>71</v>
      </c>
      <c r="L510" s="14">
        <v>80111620</v>
      </c>
      <c r="M510" s="14" t="s">
        <v>39</v>
      </c>
      <c r="N510" s="14" t="s">
        <v>253</v>
      </c>
      <c r="O510" s="15" t="s">
        <v>1387</v>
      </c>
      <c r="P510" s="14" t="s">
        <v>255</v>
      </c>
      <c r="Q510" s="14" t="s">
        <v>255</v>
      </c>
      <c r="R510" s="14" t="s">
        <v>255</v>
      </c>
      <c r="S510" s="17">
        <v>10</v>
      </c>
      <c r="T510" s="14" t="s">
        <v>256</v>
      </c>
      <c r="U510" s="14" t="s">
        <v>257</v>
      </c>
      <c r="V510" s="14" t="s">
        <v>112</v>
      </c>
      <c r="W510" s="18">
        <v>40000000</v>
      </c>
      <c r="X510" s="18">
        <v>40000000</v>
      </c>
      <c r="Y510" s="19" t="s">
        <v>339</v>
      </c>
      <c r="Z510" s="19" t="s">
        <v>258</v>
      </c>
      <c r="AA510" s="14" t="s">
        <v>1384</v>
      </c>
      <c r="AB510" s="14" t="s">
        <v>1385</v>
      </c>
      <c r="AC510" s="14">
        <v>6012220601</v>
      </c>
      <c r="AD510" s="14" t="s">
        <v>1134</v>
      </c>
      <c r="AE510" s="82">
        <v>40000000</v>
      </c>
      <c r="AF510" s="82">
        <v>0</v>
      </c>
      <c r="AG510" s="82">
        <v>0</v>
      </c>
      <c r="AH510" s="82">
        <v>500000</v>
      </c>
      <c r="AI510" s="82">
        <v>0</v>
      </c>
      <c r="AJ510" s="82">
        <v>4000000</v>
      </c>
      <c r="AK510" s="82">
        <v>0</v>
      </c>
      <c r="AL510" s="82">
        <v>4000000</v>
      </c>
      <c r="AM510" s="82">
        <v>0</v>
      </c>
      <c r="AN510" s="82">
        <v>4000000</v>
      </c>
      <c r="AO510" s="82">
        <v>0</v>
      </c>
      <c r="AP510" s="82">
        <v>4000000</v>
      </c>
      <c r="AQ510" s="82">
        <v>0</v>
      </c>
      <c r="AR510" s="82">
        <v>4000000</v>
      </c>
      <c r="AS510" s="82">
        <v>0</v>
      </c>
      <c r="AT510" s="82">
        <v>4000000</v>
      </c>
      <c r="AU510" s="82">
        <v>0</v>
      </c>
      <c r="AV510" s="82">
        <v>4000000</v>
      </c>
      <c r="AW510" s="82">
        <v>0</v>
      </c>
      <c r="AX510" s="82">
        <v>4000000</v>
      </c>
      <c r="AY510" s="82">
        <v>0</v>
      </c>
      <c r="AZ510" s="82">
        <v>4000000</v>
      </c>
      <c r="BA510" s="82">
        <v>0</v>
      </c>
      <c r="BB510" s="82">
        <v>3500000</v>
      </c>
      <c r="BC510" s="82">
        <f t="shared" ref="BC510:BD510" si="1011">AE510+AG510+AI510+AK510+AM510+AO510+AQ510+AS510+AU510+AW510+AY510+BA510</f>
        <v>40000000</v>
      </c>
      <c r="BD510" s="82">
        <f t="shared" si="1011"/>
        <v>40000000</v>
      </c>
      <c r="BE510" s="83">
        <f t="shared" si="813"/>
        <v>0</v>
      </c>
      <c r="BF510" s="83">
        <f t="shared" si="814"/>
        <v>0</v>
      </c>
      <c r="BG510" s="14" t="str">
        <f ca="1">IFERROR(__xludf.DUMMYFUNCTION("REGEXEXTRACT(O504,""^\S+\s(.+)$"")"),"Prestación de servicios de apoyo a la gestión para el seguimiento, estructuración y tramitación de las gestiones y metas presupuestales asociadas a la entidad, con especial énfasis en la Subdirección de Gestión de la Información y su proyecto de inversión"&amp;".")</f>
        <v>Prestación de servicios de apoyo a la gestión para el seguimiento, estructuración y tramitación de las gestiones y metas presupuestales asociadas a la entidad, con especial énfasis en la Subdirección de Gestión de la Información y su proyecto de inversión.</v>
      </c>
      <c r="BH510" s="23">
        <v>40000000</v>
      </c>
      <c r="BI510" s="23"/>
      <c r="BJ510" s="23"/>
      <c r="BK510" s="23">
        <v>500000</v>
      </c>
      <c r="BL510" s="23"/>
      <c r="BM510" s="23">
        <v>4000000</v>
      </c>
      <c r="BN510" s="23"/>
      <c r="BO510" s="23">
        <v>4000000</v>
      </c>
      <c r="BP510" s="23"/>
      <c r="BQ510" s="23">
        <v>4000000</v>
      </c>
      <c r="BR510" s="23"/>
      <c r="BS510" s="23">
        <v>4000000</v>
      </c>
      <c r="BT510" s="23"/>
      <c r="BU510" s="23">
        <v>4000000</v>
      </c>
      <c r="BV510" s="23"/>
      <c r="BW510" s="23">
        <v>4000000</v>
      </c>
      <c r="BX510" s="23"/>
      <c r="BY510" s="23">
        <v>4000000</v>
      </c>
      <c r="BZ510" s="23"/>
      <c r="CA510" s="23">
        <v>4000000</v>
      </c>
      <c r="CB510" s="23"/>
      <c r="CC510" s="23">
        <v>4000000</v>
      </c>
      <c r="CD510" s="23"/>
      <c r="CE510" s="23">
        <v>3500000</v>
      </c>
      <c r="CF510" s="28"/>
      <c r="CG510" s="28"/>
      <c r="CH510" s="25">
        <f t="shared" ref="CH510:CI510" si="1012">BH510+BJ510+BL510+BN510+BP510+BR510+BT510+BV510+BX510+BZ510+CB510+CD510+CF510</f>
        <v>40000000</v>
      </c>
      <c r="CI510" s="25">
        <f t="shared" si="1012"/>
        <v>40000000</v>
      </c>
      <c r="CJ510" s="26">
        <f t="shared" si="816"/>
        <v>0</v>
      </c>
      <c r="CK510" s="26">
        <f t="shared" si="817"/>
        <v>0</v>
      </c>
    </row>
    <row r="511" spans="1:89" ht="90" customHeight="1" x14ac:dyDescent="0.3">
      <c r="A511" s="13" t="s">
        <v>248</v>
      </c>
      <c r="B511" s="14" t="s">
        <v>37</v>
      </c>
      <c r="C511" s="15" t="s">
        <v>1380</v>
      </c>
      <c r="D511" s="14" t="s">
        <v>64</v>
      </c>
      <c r="E511" s="13" t="s">
        <v>250</v>
      </c>
      <c r="F511" s="13" t="s">
        <v>250</v>
      </c>
      <c r="G511" s="14">
        <v>23</v>
      </c>
      <c r="H511" s="13" t="s">
        <v>1388</v>
      </c>
      <c r="I511" s="15" t="s">
        <v>1382</v>
      </c>
      <c r="J511" s="14" t="s">
        <v>38</v>
      </c>
      <c r="K511" s="15" t="s">
        <v>71</v>
      </c>
      <c r="L511" s="14">
        <v>80111620</v>
      </c>
      <c r="M511" s="14" t="s">
        <v>39</v>
      </c>
      <c r="N511" s="14" t="s">
        <v>253</v>
      </c>
      <c r="O511" s="15" t="s">
        <v>1389</v>
      </c>
      <c r="P511" s="14" t="s">
        <v>255</v>
      </c>
      <c r="Q511" s="14" t="s">
        <v>255</v>
      </c>
      <c r="R511" s="14" t="s">
        <v>255</v>
      </c>
      <c r="S511" s="17">
        <v>11.5</v>
      </c>
      <c r="T511" s="14" t="s">
        <v>256</v>
      </c>
      <c r="U511" s="14" t="s">
        <v>257</v>
      </c>
      <c r="V511" s="14" t="s">
        <v>112</v>
      </c>
      <c r="W511" s="18">
        <v>74750000</v>
      </c>
      <c r="X511" s="18">
        <v>74750000</v>
      </c>
      <c r="Y511" s="19" t="s">
        <v>339</v>
      </c>
      <c r="Z511" s="19" t="s">
        <v>258</v>
      </c>
      <c r="AA511" s="14" t="s">
        <v>1384</v>
      </c>
      <c r="AB511" s="14" t="s">
        <v>1385</v>
      </c>
      <c r="AC511" s="14">
        <v>6012220601</v>
      </c>
      <c r="AD511" s="14" t="s">
        <v>1134</v>
      </c>
      <c r="AE511" s="82">
        <v>74750000</v>
      </c>
      <c r="AF511" s="82">
        <v>0</v>
      </c>
      <c r="AG511" s="82">
        <v>0</v>
      </c>
      <c r="AH511" s="82">
        <v>3250000</v>
      </c>
      <c r="AI511" s="82">
        <v>0</v>
      </c>
      <c r="AJ511" s="82">
        <v>6500000</v>
      </c>
      <c r="AK511" s="82">
        <v>0</v>
      </c>
      <c r="AL511" s="82">
        <v>6500000</v>
      </c>
      <c r="AM511" s="82">
        <v>0</v>
      </c>
      <c r="AN511" s="82">
        <v>6500000</v>
      </c>
      <c r="AO511" s="82">
        <v>0</v>
      </c>
      <c r="AP511" s="82">
        <v>6500000</v>
      </c>
      <c r="AQ511" s="82">
        <v>0</v>
      </c>
      <c r="AR511" s="82">
        <v>6500000</v>
      </c>
      <c r="AS511" s="82">
        <v>0</v>
      </c>
      <c r="AT511" s="82">
        <v>6500000</v>
      </c>
      <c r="AU511" s="82">
        <v>0</v>
      </c>
      <c r="AV511" s="82">
        <v>6500000</v>
      </c>
      <c r="AW511" s="82">
        <v>0</v>
      </c>
      <c r="AX511" s="82">
        <v>6500000</v>
      </c>
      <c r="AY511" s="82">
        <v>0</v>
      </c>
      <c r="AZ511" s="82">
        <v>6500000</v>
      </c>
      <c r="BA511" s="82">
        <v>0</v>
      </c>
      <c r="BB511" s="82">
        <v>13000000</v>
      </c>
      <c r="BC511" s="82">
        <f t="shared" ref="BC511:BD511" si="1013">AE511+AG511+AI511+AK511+AM511+AO511+AQ511+AS511+AU511+AW511+AY511+BA511</f>
        <v>74750000</v>
      </c>
      <c r="BD511" s="82">
        <f t="shared" si="1013"/>
        <v>74750000</v>
      </c>
      <c r="BE511" s="83">
        <f t="shared" si="813"/>
        <v>0</v>
      </c>
      <c r="BF511" s="83">
        <f t="shared" si="814"/>
        <v>0</v>
      </c>
      <c r="BG511" s="14" t="str">
        <f ca="1">IFERROR(__xludf.DUMMYFUNCTION("REGEXEXTRACT(O505,""^\S+\s(.+)$"")"),"Prestación servicios profesionales para la documentación y actualización de los lineamientos de gobierno de datos y la metodología de gestión de la información, así como para brindar el apoyo administrativo en el seguimiento y control de las metas de la S"&amp;"ubdirección de Gestión de la Información.")</f>
        <v>Prestación servicios profesionales para la documentación y actualización de los lineamientos de gobierno de datos y la metodología de gestión de la información, así como para brindar el apoyo administrativo en el seguimiento y control de las metas de la Subdirección de Gestión de la Información.</v>
      </c>
      <c r="BH511" s="23">
        <v>74750000</v>
      </c>
      <c r="BI511" s="23"/>
      <c r="BJ511" s="23"/>
      <c r="BK511" s="23">
        <v>3250000</v>
      </c>
      <c r="BL511" s="23"/>
      <c r="BM511" s="23">
        <v>6500000</v>
      </c>
      <c r="BN511" s="23"/>
      <c r="BO511" s="23">
        <v>6500000</v>
      </c>
      <c r="BP511" s="23"/>
      <c r="BQ511" s="23">
        <v>6500000</v>
      </c>
      <c r="BR511" s="23"/>
      <c r="BS511" s="23">
        <v>6500000</v>
      </c>
      <c r="BT511" s="23"/>
      <c r="BU511" s="23">
        <v>6500000</v>
      </c>
      <c r="BV511" s="23"/>
      <c r="BW511" s="23">
        <v>6500000</v>
      </c>
      <c r="BX511" s="23"/>
      <c r="BY511" s="23">
        <v>6500000</v>
      </c>
      <c r="BZ511" s="23"/>
      <c r="CA511" s="23">
        <v>6500000</v>
      </c>
      <c r="CB511" s="23"/>
      <c r="CC511" s="23">
        <v>6500000</v>
      </c>
      <c r="CD511" s="23"/>
      <c r="CE511" s="23">
        <v>13000000</v>
      </c>
      <c r="CF511" s="28"/>
      <c r="CG511" s="28"/>
      <c r="CH511" s="25">
        <f t="shared" ref="CH511:CI511" si="1014">BH511+BJ511+BL511+BN511+BP511+BR511+BT511+BV511+BX511+BZ511+CB511+CD511+CF511</f>
        <v>74750000</v>
      </c>
      <c r="CI511" s="25">
        <f t="shared" si="1014"/>
        <v>74750000</v>
      </c>
      <c r="CJ511" s="26">
        <f t="shared" si="816"/>
        <v>0</v>
      </c>
      <c r="CK511" s="26">
        <f t="shared" si="817"/>
        <v>0</v>
      </c>
    </row>
    <row r="512" spans="1:89" ht="90" customHeight="1" x14ac:dyDescent="0.3">
      <c r="A512" s="13" t="s">
        <v>248</v>
      </c>
      <c r="B512" s="14" t="s">
        <v>37</v>
      </c>
      <c r="C512" s="15" t="s">
        <v>1380</v>
      </c>
      <c r="D512" s="14" t="s">
        <v>64</v>
      </c>
      <c r="E512" s="13" t="s">
        <v>250</v>
      </c>
      <c r="F512" s="13" t="s">
        <v>250</v>
      </c>
      <c r="G512" s="14">
        <v>68</v>
      </c>
      <c r="H512" s="13" t="s">
        <v>1390</v>
      </c>
      <c r="I512" s="15" t="s">
        <v>1382</v>
      </c>
      <c r="J512" s="14" t="s">
        <v>38</v>
      </c>
      <c r="K512" s="15" t="s">
        <v>71</v>
      </c>
      <c r="L512" s="14">
        <v>80111620</v>
      </c>
      <c r="M512" s="14" t="s">
        <v>39</v>
      </c>
      <c r="N512" s="14" t="s">
        <v>253</v>
      </c>
      <c r="O512" s="15" t="s">
        <v>1391</v>
      </c>
      <c r="P512" s="14" t="s">
        <v>255</v>
      </c>
      <c r="Q512" s="14" t="s">
        <v>255</v>
      </c>
      <c r="R512" s="14" t="s">
        <v>255</v>
      </c>
      <c r="S512" s="17">
        <v>10</v>
      </c>
      <c r="T512" s="14" t="s">
        <v>256</v>
      </c>
      <c r="U512" s="14" t="s">
        <v>257</v>
      </c>
      <c r="V512" s="14" t="s">
        <v>112</v>
      </c>
      <c r="W512" s="18">
        <v>50000000</v>
      </c>
      <c r="X512" s="18">
        <v>50000000</v>
      </c>
      <c r="Y512" s="19" t="s">
        <v>339</v>
      </c>
      <c r="Z512" s="19" t="s">
        <v>258</v>
      </c>
      <c r="AA512" s="14" t="s">
        <v>1384</v>
      </c>
      <c r="AB512" s="14" t="s">
        <v>1385</v>
      </c>
      <c r="AC512" s="14">
        <v>6012220601</v>
      </c>
      <c r="AD512" s="14" t="s">
        <v>1134</v>
      </c>
      <c r="AE512" s="82">
        <v>0</v>
      </c>
      <c r="AF512" s="82">
        <v>0</v>
      </c>
      <c r="AG512" s="82">
        <v>50000000</v>
      </c>
      <c r="AH512" s="82">
        <v>0</v>
      </c>
      <c r="AI512" s="82">
        <v>0</v>
      </c>
      <c r="AJ512" s="82">
        <v>5000000</v>
      </c>
      <c r="AK512" s="82">
        <v>0</v>
      </c>
      <c r="AL512" s="82">
        <v>5000000</v>
      </c>
      <c r="AM512" s="82">
        <v>0</v>
      </c>
      <c r="AN512" s="82">
        <v>5000000</v>
      </c>
      <c r="AO512" s="82">
        <v>0</v>
      </c>
      <c r="AP512" s="82">
        <v>5000000</v>
      </c>
      <c r="AQ512" s="82">
        <v>0</v>
      </c>
      <c r="AR512" s="82">
        <v>5000000</v>
      </c>
      <c r="AS512" s="82">
        <v>0</v>
      </c>
      <c r="AT512" s="82">
        <v>5000000</v>
      </c>
      <c r="AU512" s="82">
        <v>0</v>
      </c>
      <c r="AV512" s="82">
        <v>5000000</v>
      </c>
      <c r="AW512" s="82">
        <v>0</v>
      </c>
      <c r="AX512" s="82">
        <v>5000000</v>
      </c>
      <c r="AY512" s="82">
        <v>0</v>
      </c>
      <c r="AZ512" s="82">
        <v>5000000</v>
      </c>
      <c r="BA512" s="82">
        <v>0</v>
      </c>
      <c r="BB512" s="82">
        <v>5000000</v>
      </c>
      <c r="BC512" s="82">
        <f t="shared" ref="BC512:BD512" si="1015">AE512+AG512+AI512+AK512+AM512+AO512+AQ512+AS512+AU512+AW512+AY512+BA512</f>
        <v>50000000</v>
      </c>
      <c r="BD512" s="82">
        <f t="shared" si="1015"/>
        <v>50000000</v>
      </c>
      <c r="BE512" s="83">
        <f t="shared" si="813"/>
        <v>0</v>
      </c>
      <c r="BF512" s="83">
        <f t="shared" si="814"/>
        <v>0</v>
      </c>
      <c r="BG512" s="14" t="str">
        <f ca="1">IFERROR(__xludf.DUMMYFUNCTION("REGEXEXTRACT(O506,""^\S+\s(.+)$"")"),"Prestación de servicios profesionales orientados a la gestión de proyectos asociados al Plan Estratégico de Tecnologías de la Información y a otros instrumentos de planeación de la Subdirección de Gestión de la Información")</f>
        <v>Prestación de servicios profesionales orientados a la gestión de proyectos asociados al Plan Estratégico de Tecnologías de la Información y a otros instrumentos de planeación de la Subdirección de Gestión de la Información</v>
      </c>
      <c r="BH512" s="23"/>
      <c r="BI512" s="23"/>
      <c r="BJ512" s="23">
        <v>50000000</v>
      </c>
      <c r="BK512" s="23"/>
      <c r="BL512" s="23"/>
      <c r="BM512" s="23">
        <v>5000000</v>
      </c>
      <c r="BN512" s="23"/>
      <c r="BO512" s="23">
        <v>5000000</v>
      </c>
      <c r="BP512" s="23"/>
      <c r="BQ512" s="23">
        <v>5000000</v>
      </c>
      <c r="BR512" s="23"/>
      <c r="BS512" s="23">
        <v>5000000</v>
      </c>
      <c r="BT512" s="23"/>
      <c r="BU512" s="23">
        <v>5000000</v>
      </c>
      <c r="BV512" s="23"/>
      <c r="BW512" s="23">
        <v>5000000</v>
      </c>
      <c r="BX512" s="23"/>
      <c r="BY512" s="23">
        <v>5000000</v>
      </c>
      <c r="BZ512" s="23"/>
      <c r="CA512" s="23">
        <v>5000000</v>
      </c>
      <c r="CB512" s="23"/>
      <c r="CC512" s="23">
        <v>5000000</v>
      </c>
      <c r="CD512" s="23"/>
      <c r="CE512" s="23">
        <v>5000000</v>
      </c>
      <c r="CF512" s="28"/>
      <c r="CG512" s="28"/>
      <c r="CH512" s="25">
        <f t="shared" ref="CH512:CI512" si="1016">BH512+BJ512+BL512+BN512+BP512+BR512+BT512+BV512+BX512+BZ512+CB512+CD512+CF512</f>
        <v>50000000</v>
      </c>
      <c r="CI512" s="25">
        <f t="shared" si="1016"/>
        <v>50000000</v>
      </c>
      <c r="CJ512" s="26">
        <f t="shared" si="816"/>
        <v>0</v>
      </c>
      <c r="CK512" s="26">
        <f t="shared" si="817"/>
        <v>0</v>
      </c>
    </row>
    <row r="513" spans="1:89" ht="90" customHeight="1" x14ac:dyDescent="0.3">
      <c r="A513" s="13" t="s">
        <v>248</v>
      </c>
      <c r="B513" s="14" t="s">
        <v>37</v>
      </c>
      <c r="C513" s="15" t="s">
        <v>1380</v>
      </c>
      <c r="D513" s="14" t="s">
        <v>64</v>
      </c>
      <c r="E513" s="13" t="s">
        <v>250</v>
      </c>
      <c r="F513" s="13" t="s">
        <v>250</v>
      </c>
      <c r="G513" s="14">
        <v>23</v>
      </c>
      <c r="H513" s="13" t="s">
        <v>1392</v>
      </c>
      <c r="I513" s="15" t="s">
        <v>1382</v>
      </c>
      <c r="J513" s="14" t="s">
        <v>38</v>
      </c>
      <c r="K513" s="15" t="s">
        <v>71</v>
      </c>
      <c r="L513" s="14">
        <v>80111620</v>
      </c>
      <c r="M513" s="14" t="s">
        <v>39</v>
      </c>
      <c r="N513" s="14" t="s">
        <v>253</v>
      </c>
      <c r="O513" s="15" t="s">
        <v>1393</v>
      </c>
      <c r="P513" s="14" t="s">
        <v>255</v>
      </c>
      <c r="Q513" s="14" t="s">
        <v>255</v>
      </c>
      <c r="R513" s="14" t="s">
        <v>255</v>
      </c>
      <c r="S513" s="17">
        <v>11</v>
      </c>
      <c r="T513" s="14" t="s">
        <v>256</v>
      </c>
      <c r="U513" s="14" t="s">
        <v>257</v>
      </c>
      <c r="V513" s="14" t="s">
        <v>112</v>
      </c>
      <c r="W513" s="18">
        <v>46200000</v>
      </c>
      <c r="X513" s="18">
        <v>46200000</v>
      </c>
      <c r="Y513" s="19" t="s">
        <v>339</v>
      </c>
      <c r="Z513" s="19" t="s">
        <v>258</v>
      </c>
      <c r="AA513" s="14" t="s">
        <v>1384</v>
      </c>
      <c r="AB513" s="14" t="s">
        <v>1385</v>
      </c>
      <c r="AC513" s="14">
        <v>6012220601</v>
      </c>
      <c r="AD513" s="14" t="s">
        <v>1134</v>
      </c>
      <c r="AE513" s="82">
        <v>0</v>
      </c>
      <c r="AF513" s="82">
        <v>0</v>
      </c>
      <c r="AG513" s="82">
        <v>46200000</v>
      </c>
      <c r="AH513" s="82">
        <v>0</v>
      </c>
      <c r="AI513" s="82">
        <v>0</v>
      </c>
      <c r="AJ513" s="82">
        <v>4200000</v>
      </c>
      <c r="AK513" s="82">
        <v>0</v>
      </c>
      <c r="AL513" s="82">
        <v>4200000</v>
      </c>
      <c r="AM513" s="82">
        <v>0</v>
      </c>
      <c r="AN513" s="82">
        <v>4200000</v>
      </c>
      <c r="AO513" s="82">
        <v>0</v>
      </c>
      <c r="AP513" s="82">
        <v>4200000</v>
      </c>
      <c r="AQ513" s="82">
        <v>0</v>
      </c>
      <c r="AR513" s="82">
        <v>4200000</v>
      </c>
      <c r="AS513" s="82">
        <v>0</v>
      </c>
      <c r="AT513" s="82">
        <v>4200000</v>
      </c>
      <c r="AU513" s="82">
        <v>0</v>
      </c>
      <c r="AV513" s="82">
        <v>4200000</v>
      </c>
      <c r="AW513" s="82">
        <v>0</v>
      </c>
      <c r="AX513" s="82">
        <v>4200000</v>
      </c>
      <c r="AY513" s="82">
        <v>0</v>
      </c>
      <c r="AZ513" s="82">
        <v>4200000</v>
      </c>
      <c r="BA513" s="82">
        <v>0</v>
      </c>
      <c r="BB513" s="82">
        <v>8400000</v>
      </c>
      <c r="BC513" s="82">
        <f t="shared" ref="BC513:BD513" si="1017">AE513+AG513+AI513+AK513+AM513+AO513+AQ513+AS513+AU513+AW513+AY513+BA513</f>
        <v>46200000</v>
      </c>
      <c r="BD513" s="82">
        <f t="shared" si="1017"/>
        <v>46200000</v>
      </c>
      <c r="BE513" s="83">
        <f t="shared" si="813"/>
        <v>0</v>
      </c>
      <c r="BF513" s="83">
        <f t="shared" si="814"/>
        <v>0</v>
      </c>
      <c r="BG513" s="14" t="str">
        <f ca="1">IFERROR(__xludf.DUMMYFUNCTION("REGEXEXTRACT(O507,""^\S+\s(.+)$"")"),"Prestación de servicios de apoyo a la gestión para desarrollar la documentación integral del sistema de gestión de datos y brindar apoyo técnico en la implementación y actualización de la política de gobierno de datos y la metodología de gestión de inform"&amp;"ación, tanto para la UPME como para el sector minero energético.")</f>
        <v>Prestación de servicios de apoyo a la gestión para desarrollar la documentación integral del sistema de gestión de datos y brindar apoyo técnico en la implementación y actualización de la política de gobierno de datos y la metodología de gestión de información, tanto para la UPME como para el sector minero energético.</v>
      </c>
      <c r="BH513" s="23"/>
      <c r="BI513" s="23"/>
      <c r="BJ513" s="23">
        <v>46200000</v>
      </c>
      <c r="BK513" s="23"/>
      <c r="BL513" s="23"/>
      <c r="BM513" s="23">
        <v>4200000</v>
      </c>
      <c r="BN513" s="23"/>
      <c r="BO513" s="23">
        <v>4200000</v>
      </c>
      <c r="BP513" s="23"/>
      <c r="BQ513" s="23">
        <v>4200000</v>
      </c>
      <c r="BR513" s="23"/>
      <c r="BS513" s="23">
        <v>4200000</v>
      </c>
      <c r="BT513" s="23"/>
      <c r="BU513" s="23">
        <v>4200000</v>
      </c>
      <c r="BV513" s="23"/>
      <c r="BW513" s="23">
        <v>4200000</v>
      </c>
      <c r="BX513" s="23"/>
      <c r="BY513" s="23">
        <v>4200000</v>
      </c>
      <c r="BZ513" s="23"/>
      <c r="CA513" s="23">
        <v>4200000</v>
      </c>
      <c r="CB513" s="23"/>
      <c r="CC513" s="23">
        <v>4200000</v>
      </c>
      <c r="CD513" s="23"/>
      <c r="CE513" s="23">
        <v>8400000</v>
      </c>
      <c r="CF513" s="28"/>
      <c r="CG513" s="28"/>
      <c r="CH513" s="25">
        <f t="shared" ref="CH513:CI513" si="1018">BH513+BJ513+BL513+BN513+BP513+BR513+BT513+BV513+BX513+BZ513+CB513+CD513+CF513</f>
        <v>46200000</v>
      </c>
      <c r="CI513" s="25">
        <f t="shared" si="1018"/>
        <v>46200000</v>
      </c>
      <c r="CJ513" s="26">
        <f t="shared" si="816"/>
        <v>0</v>
      </c>
      <c r="CK513" s="26">
        <f t="shared" si="817"/>
        <v>0</v>
      </c>
    </row>
    <row r="514" spans="1:89" ht="90" customHeight="1" x14ac:dyDescent="0.3">
      <c r="A514" s="13" t="s">
        <v>248</v>
      </c>
      <c r="B514" s="14" t="s">
        <v>37</v>
      </c>
      <c r="C514" s="15" t="s">
        <v>1380</v>
      </c>
      <c r="D514" s="14" t="s">
        <v>64</v>
      </c>
      <c r="E514" s="13" t="s">
        <v>250</v>
      </c>
      <c r="F514" s="13" t="s">
        <v>250</v>
      </c>
      <c r="G514" s="14">
        <v>23</v>
      </c>
      <c r="H514" s="13" t="s">
        <v>1394</v>
      </c>
      <c r="I514" s="15" t="s">
        <v>1382</v>
      </c>
      <c r="J514" s="14" t="s">
        <v>38</v>
      </c>
      <c r="K514" s="15" t="s">
        <v>71</v>
      </c>
      <c r="L514" s="14">
        <v>80111620</v>
      </c>
      <c r="M514" s="14" t="s">
        <v>39</v>
      </c>
      <c r="N514" s="14" t="s">
        <v>253</v>
      </c>
      <c r="O514" s="15" t="s">
        <v>1395</v>
      </c>
      <c r="P514" s="14" t="s">
        <v>255</v>
      </c>
      <c r="Q514" s="14" t="s">
        <v>255</v>
      </c>
      <c r="R514" s="14" t="s">
        <v>255</v>
      </c>
      <c r="S514" s="17">
        <v>7</v>
      </c>
      <c r="T514" s="14" t="s">
        <v>256</v>
      </c>
      <c r="U514" s="14" t="s">
        <v>257</v>
      </c>
      <c r="V514" s="14" t="s">
        <v>112</v>
      </c>
      <c r="W514" s="18">
        <v>49000000</v>
      </c>
      <c r="X514" s="18">
        <v>49000000</v>
      </c>
      <c r="Y514" s="19" t="s">
        <v>339</v>
      </c>
      <c r="Z514" s="19" t="s">
        <v>258</v>
      </c>
      <c r="AA514" s="14" t="s">
        <v>1384</v>
      </c>
      <c r="AB514" s="14" t="s">
        <v>1385</v>
      </c>
      <c r="AC514" s="14">
        <v>6012220601</v>
      </c>
      <c r="AD514" s="14" t="s">
        <v>1134</v>
      </c>
      <c r="AE514" s="82">
        <v>0</v>
      </c>
      <c r="AF514" s="82">
        <v>0</v>
      </c>
      <c r="AG514" s="82">
        <v>0</v>
      </c>
      <c r="AH514" s="82">
        <v>0</v>
      </c>
      <c r="AI514" s="82">
        <v>0</v>
      </c>
      <c r="AJ514" s="82">
        <v>0</v>
      </c>
      <c r="AK514" s="82">
        <v>0</v>
      </c>
      <c r="AL514" s="82">
        <v>0</v>
      </c>
      <c r="AM514" s="82">
        <v>0</v>
      </c>
      <c r="AN514" s="82">
        <v>0</v>
      </c>
      <c r="AO514" s="82">
        <v>0</v>
      </c>
      <c r="AP514" s="82">
        <v>0</v>
      </c>
      <c r="AQ514" s="82">
        <v>49000000</v>
      </c>
      <c r="AR514" s="82">
        <v>0</v>
      </c>
      <c r="AS514" s="82">
        <v>0</v>
      </c>
      <c r="AT514" s="82">
        <v>0</v>
      </c>
      <c r="AU514" s="82">
        <v>0</v>
      </c>
      <c r="AV514" s="82">
        <v>0</v>
      </c>
      <c r="AW514" s="82">
        <v>0</v>
      </c>
      <c r="AX514" s="82">
        <v>0</v>
      </c>
      <c r="AY514" s="82">
        <v>0</v>
      </c>
      <c r="AZ514" s="82">
        <v>0</v>
      </c>
      <c r="BA514" s="82">
        <v>0</v>
      </c>
      <c r="BB514" s="82">
        <v>49000000</v>
      </c>
      <c r="BC514" s="82">
        <f t="shared" ref="BC514:BD514" si="1019">AE514+AG514+AI514+AK514+AM514+AO514+AQ514+AS514+AU514+AW514+AY514+BA514</f>
        <v>49000000</v>
      </c>
      <c r="BD514" s="82">
        <f t="shared" si="1019"/>
        <v>49000000</v>
      </c>
      <c r="BE514" s="83">
        <f t="shared" si="813"/>
        <v>0</v>
      </c>
      <c r="BF514" s="83">
        <f t="shared" si="814"/>
        <v>0</v>
      </c>
      <c r="BG514" s="14" t="str">
        <f ca="1">IFERROR(__xludf.DUMMYFUNCTION("REGEXEXTRACT(O508,""^\S+\s(.+)$"")"),"Prestación de servicios profesionales para actualizar y fortalecer el documento de gestión de información sectorial, incluyendo la revisión, actualización e implementación de metodologías y políticas de gobierno de datos, alineados con las necesidades del"&amp;" sector minero energético y los estándares de la UPME.")</f>
        <v>Prestación de servicios profesionales para actualizar y fortalecer el documento de gestión de información sectorial, incluyendo la revisión, actualización e implementación de metodologías y políticas de gobierno de datos, alineados con las necesidades del sector minero energético y los estándares de la UPME.</v>
      </c>
      <c r="BH514" s="23"/>
      <c r="BI514" s="23"/>
      <c r="BJ514" s="23"/>
      <c r="BK514" s="23"/>
      <c r="BL514" s="23"/>
      <c r="BM514" s="23"/>
      <c r="BN514" s="23"/>
      <c r="BO514" s="23"/>
      <c r="BP514" s="23"/>
      <c r="BQ514" s="23"/>
      <c r="BR514" s="23"/>
      <c r="BS514" s="23"/>
      <c r="BT514" s="23">
        <v>49000000</v>
      </c>
      <c r="BU514" s="23"/>
      <c r="BV514" s="23"/>
      <c r="BW514" s="23"/>
      <c r="BX514" s="23"/>
      <c r="BY514" s="23"/>
      <c r="BZ514" s="23"/>
      <c r="CA514" s="23"/>
      <c r="CB514" s="23"/>
      <c r="CC514" s="23"/>
      <c r="CD514" s="23"/>
      <c r="CE514" s="23">
        <v>49000000</v>
      </c>
      <c r="CF514" s="28"/>
      <c r="CG514" s="28"/>
      <c r="CH514" s="25">
        <f t="shared" ref="CH514:CI514" si="1020">BH514+BJ514+BL514+BN514+BP514+BR514+BT514+BV514+BX514+BZ514+CB514+CD514+CF514</f>
        <v>49000000</v>
      </c>
      <c r="CI514" s="25">
        <f t="shared" si="1020"/>
        <v>49000000</v>
      </c>
      <c r="CJ514" s="26">
        <f t="shared" si="816"/>
        <v>0</v>
      </c>
      <c r="CK514" s="26">
        <f t="shared" si="817"/>
        <v>0</v>
      </c>
    </row>
    <row r="515" spans="1:89" ht="90" customHeight="1" x14ac:dyDescent="0.3">
      <c r="A515" s="13" t="s">
        <v>248</v>
      </c>
      <c r="B515" s="14" t="s">
        <v>37</v>
      </c>
      <c r="C515" s="15" t="s">
        <v>1380</v>
      </c>
      <c r="D515" s="14" t="s">
        <v>64</v>
      </c>
      <c r="E515" s="13" t="s">
        <v>250</v>
      </c>
      <c r="F515" s="13" t="s">
        <v>250</v>
      </c>
      <c r="G515" s="14">
        <v>23</v>
      </c>
      <c r="H515" s="13" t="s">
        <v>1396</v>
      </c>
      <c r="I515" s="15" t="s">
        <v>1382</v>
      </c>
      <c r="J515" s="14" t="s">
        <v>38</v>
      </c>
      <c r="K515" s="15" t="s">
        <v>71</v>
      </c>
      <c r="L515" s="14">
        <v>80111620</v>
      </c>
      <c r="M515" s="14" t="s">
        <v>39</v>
      </c>
      <c r="N515" s="14" t="s">
        <v>253</v>
      </c>
      <c r="O515" s="15" t="s">
        <v>1397</v>
      </c>
      <c r="P515" s="14" t="s">
        <v>255</v>
      </c>
      <c r="Q515" s="14" t="s">
        <v>255</v>
      </c>
      <c r="R515" s="14" t="s">
        <v>255</v>
      </c>
      <c r="S515" s="17">
        <v>11</v>
      </c>
      <c r="T515" s="14" t="s">
        <v>256</v>
      </c>
      <c r="U515" s="14" t="s">
        <v>257</v>
      </c>
      <c r="V515" s="14" t="s">
        <v>112</v>
      </c>
      <c r="W515" s="18">
        <v>77000000</v>
      </c>
      <c r="X515" s="18">
        <v>77000000</v>
      </c>
      <c r="Y515" s="19" t="s">
        <v>339</v>
      </c>
      <c r="Z515" s="19" t="s">
        <v>258</v>
      </c>
      <c r="AA515" s="14" t="s">
        <v>1384</v>
      </c>
      <c r="AB515" s="14" t="s">
        <v>1385</v>
      </c>
      <c r="AC515" s="14">
        <v>6012220601</v>
      </c>
      <c r="AD515" s="14" t="s">
        <v>1134</v>
      </c>
      <c r="AE515" s="82">
        <v>0</v>
      </c>
      <c r="AF515" s="82">
        <v>0</v>
      </c>
      <c r="AG515" s="82">
        <v>77000000</v>
      </c>
      <c r="AH515" s="82">
        <v>0</v>
      </c>
      <c r="AI515" s="82">
        <v>0</v>
      </c>
      <c r="AJ515" s="82">
        <v>7000000</v>
      </c>
      <c r="AK515" s="82">
        <v>0</v>
      </c>
      <c r="AL515" s="82">
        <v>7000000</v>
      </c>
      <c r="AM515" s="82">
        <v>0</v>
      </c>
      <c r="AN515" s="82">
        <v>7000000</v>
      </c>
      <c r="AO515" s="82">
        <v>0</v>
      </c>
      <c r="AP515" s="82">
        <v>7000000</v>
      </c>
      <c r="AQ515" s="82">
        <v>0</v>
      </c>
      <c r="AR515" s="82">
        <v>7000000</v>
      </c>
      <c r="AS515" s="82">
        <v>0</v>
      </c>
      <c r="AT515" s="82">
        <v>7000000</v>
      </c>
      <c r="AU515" s="82">
        <v>0</v>
      </c>
      <c r="AV515" s="82">
        <v>7000000</v>
      </c>
      <c r="AW515" s="82">
        <v>0</v>
      </c>
      <c r="AX515" s="82">
        <v>7000000</v>
      </c>
      <c r="AY515" s="82">
        <v>0</v>
      </c>
      <c r="AZ515" s="82">
        <v>7000000</v>
      </c>
      <c r="BA515" s="82">
        <v>0</v>
      </c>
      <c r="BB515" s="82">
        <v>14000000</v>
      </c>
      <c r="BC515" s="82">
        <f t="shared" ref="BC515:BD515" si="1021">AE515+AG515+AI515+AK515+AM515+AO515+AQ515+AS515+AU515+AW515+AY515+BA515</f>
        <v>77000000</v>
      </c>
      <c r="BD515" s="82">
        <f t="shared" si="1021"/>
        <v>77000000</v>
      </c>
      <c r="BE515" s="83">
        <f t="shared" si="813"/>
        <v>0</v>
      </c>
      <c r="BF515" s="83">
        <f t="shared" si="814"/>
        <v>0</v>
      </c>
      <c r="BG515" s="14" t="str">
        <f ca="1">IFERROR(__xludf.DUMMYFUNCTION("REGEXEXTRACT(O509,""^\S+\s(.+)$"")"),"Prestación de servicios profesionales para apoyar el fortalecimiento e implementación del Marco de Referencia de Arquitectura Empresarial en la Unidad de Planeación Minero Energética")</f>
        <v>Prestación de servicios profesionales para apoyar el fortalecimiento e implementación del Marco de Referencia de Arquitectura Empresarial en la Unidad de Planeación Minero Energética</v>
      </c>
      <c r="BH515" s="23"/>
      <c r="BI515" s="23"/>
      <c r="BJ515" s="23">
        <v>77000000</v>
      </c>
      <c r="BK515" s="23"/>
      <c r="BL515" s="23"/>
      <c r="BM515" s="23">
        <v>7000000</v>
      </c>
      <c r="BN515" s="23"/>
      <c r="BO515" s="23">
        <v>7000000</v>
      </c>
      <c r="BP515" s="23"/>
      <c r="BQ515" s="23">
        <v>7000000</v>
      </c>
      <c r="BR515" s="23"/>
      <c r="BS515" s="23">
        <v>7000000</v>
      </c>
      <c r="BT515" s="23"/>
      <c r="BU515" s="23">
        <v>7000000</v>
      </c>
      <c r="BV515" s="23"/>
      <c r="BW515" s="23">
        <v>7000000</v>
      </c>
      <c r="BX515" s="23"/>
      <c r="BY515" s="23">
        <v>7000000</v>
      </c>
      <c r="BZ515" s="23"/>
      <c r="CA515" s="23">
        <v>7000000</v>
      </c>
      <c r="CB515" s="23"/>
      <c r="CC515" s="23">
        <v>7000000</v>
      </c>
      <c r="CD515" s="23"/>
      <c r="CE515" s="23">
        <v>14000000</v>
      </c>
      <c r="CF515" s="28"/>
      <c r="CG515" s="28"/>
      <c r="CH515" s="25">
        <f t="shared" ref="CH515:CI515" si="1022">BH515+BJ515+BL515+BN515+BP515+BR515+BT515+BV515+BX515+BZ515+CB515+CD515+CF515</f>
        <v>77000000</v>
      </c>
      <c r="CI515" s="25">
        <f t="shared" si="1022"/>
        <v>77000000</v>
      </c>
      <c r="CJ515" s="26">
        <f t="shared" si="816"/>
        <v>0</v>
      </c>
      <c r="CK515" s="26">
        <f t="shared" si="817"/>
        <v>0</v>
      </c>
    </row>
    <row r="516" spans="1:89" ht="90" customHeight="1" x14ac:dyDescent="0.3">
      <c r="A516" s="13" t="s">
        <v>248</v>
      </c>
      <c r="B516" s="14" t="s">
        <v>37</v>
      </c>
      <c r="C516" s="15" t="s">
        <v>1380</v>
      </c>
      <c r="D516" s="14" t="s">
        <v>64</v>
      </c>
      <c r="E516" s="13" t="s">
        <v>250</v>
      </c>
      <c r="F516" s="13" t="s">
        <v>250</v>
      </c>
      <c r="G516" s="14">
        <v>23</v>
      </c>
      <c r="H516" s="13" t="s">
        <v>1398</v>
      </c>
      <c r="I516" s="15" t="s">
        <v>1382</v>
      </c>
      <c r="J516" s="14" t="s">
        <v>38</v>
      </c>
      <c r="K516" s="15" t="s">
        <v>71</v>
      </c>
      <c r="L516" s="14">
        <v>80111620</v>
      </c>
      <c r="M516" s="14" t="s">
        <v>39</v>
      </c>
      <c r="N516" s="14" t="s">
        <v>253</v>
      </c>
      <c r="O516" s="15" t="s">
        <v>1399</v>
      </c>
      <c r="P516" s="14" t="s">
        <v>255</v>
      </c>
      <c r="Q516" s="14" t="s">
        <v>255</v>
      </c>
      <c r="R516" s="14" t="s">
        <v>255</v>
      </c>
      <c r="S516" s="17">
        <v>11.5</v>
      </c>
      <c r="T516" s="14" t="s">
        <v>256</v>
      </c>
      <c r="U516" s="14" t="s">
        <v>257</v>
      </c>
      <c r="V516" s="14" t="s">
        <v>112</v>
      </c>
      <c r="W516" s="18">
        <v>41400000</v>
      </c>
      <c r="X516" s="18">
        <v>41400000</v>
      </c>
      <c r="Y516" s="19" t="s">
        <v>339</v>
      </c>
      <c r="Z516" s="19" t="s">
        <v>258</v>
      </c>
      <c r="AA516" s="14" t="s">
        <v>1384</v>
      </c>
      <c r="AB516" s="14" t="s">
        <v>1385</v>
      </c>
      <c r="AC516" s="14">
        <v>6012220601</v>
      </c>
      <c r="AD516" s="14" t="s">
        <v>1134</v>
      </c>
      <c r="AE516" s="82">
        <v>39600000</v>
      </c>
      <c r="AF516" s="82">
        <v>0</v>
      </c>
      <c r="AG516" s="82">
        <v>0</v>
      </c>
      <c r="AH516" s="82">
        <v>1800000</v>
      </c>
      <c r="AI516" s="82">
        <v>0</v>
      </c>
      <c r="AJ516" s="82">
        <v>3600000</v>
      </c>
      <c r="AK516" s="82">
        <v>0</v>
      </c>
      <c r="AL516" s="82">
        <v>3600000</v>
      </c>
      <c r="AM516" s="82">
        <v>0</v>
      </c>
      <c r="AN516" s="82">
        <v>3600000</v>
      </c>
      <c r="AO516" s="82">
        <v>0</v>
      </c>
      <c r="AP516" s="82">
        <v>3600000</v>
      </c>
      <c r="AQ516" s="82">
        <v>1800000</v>
      </c>
      <c r="AR516" s="82">
        <v>3600000</v>
      </c>
      <c r="AS516" s="82">
        <v>0</v>
      </c>
      <c r="AT516" s="82">
        <v>3600000</v>
      </c>
      <c r="AU516" s="82">
        <v>0</v>
      </c>
      <c r="AV516" s="82">
        <v>3600000</v>
      </c>
      <c r="AW516" s="82">
        <v>0</v>
      </c>
      <c r="AX516" s="82">
        <v>3600000</v>
      </c>
      <c r="AY516" s="82">
        <v>0</v>
      </c>
      <c r="AZ516" s="82">
        <v>3600000</v>
      </c>
      <c r="BA516" s="82">
        <v>0</v>
      </c>
      <c r="BB516" s="82">
        <v>7200000</v>
      </c>
      <c r="BC516" s="82">
        <f t="shared" ref="BC516:BD516" si="1023">AE516+AG516+AI516+AK516+AM516+AO516+AQ516+AS516+AU516+AW516+AY516+BA516</f>
        <v>41400000</v>
      </c>
      <c r="BD516" s="82">
        <f t="shared" si="1023"/>
        <v>41400000</v>
      </c>
      <c r="BE516" s="83">
        <f t="shared" si="813"/>
        <v>0</v>
      </c>
      <c r="BF516" s="83">
        <f t="shared" si="814"/>
        <v>0</v>
      </c>
      <c r="BG516" s="14" t="str">
        <f ca="1">IFERROR(__xludf.DUMMYFUNCTION("REGEXEXTRACT(O510,""^\S+\s(.+)$"")"),"Prestar apoyo en la elaboración, actualización de los procesos, procedimientos y documentación en el marco de la Modernización de Procesos de la Entidad")</f>
        <v>Prestar apoyo en la elaboración, actualización de los procesos, procedimientos y documentación en el marco de la Modernización de Procesos de la Entidad</v>
      </c>
      <c r="BH516" s="23">
        <v>39600000</v>
      </c>
      <c r="BI516" s="23"/>
      <c r="BJ516" s="23"/>
      <c r="BK516" s="23">
        <v>1800000</v>
      </c>
      <c r="BL516" s="23"/>
      <c r="BM516" s="23">
        <v>3600000</v>
      </c>
      <c r="BN516" s="23"/>
      <c r="BO516" s="23">
        <v>3600000</v>
      </c>
      <c r="BP516" s="23"/>
      <c r="BQ516" s="23">
        <v>3600000</v>
      </c>
      <c r="BR516" s="23"/>
      <c r="BS516" s="23">
        <v>3600000</v>
      </c>
      <c r="BT516" s="23">
        <v>1800000</v>
      </c>
      <c r="BU516" s="23">
        <v>3600000</v>
      </c>
      <c r="BV516" s="23"/>
      <c r="BW516" s="23">
        <v>3600000</v>
      </c>
      <c r="BX516" s="23"/>
      <c r="BY516" s="23">
        <v>3600000</v>
      </c>
      <c r="BZ516" s="23"/>
      <c r="CA516" s="23">
        <v>3600000</v>
      </c>
      <c r="CB516" s="23"/>
      <c r="CC516" s="23">
        <v>3600000</v>
      </c>
      <c r="CD516" s="23"/>
      <c r="CE516" s="23">
        <v>7200000</v>
      </c>
      <c r="CF516" s="28"/>
      <c r="CG516" s="28"/>
      <c r="CH516" s="25">
        <f t="shared" ref="CH516:CI516" si="1024">BH516+BJ516+BL516+BN516+BP516+BR516+BT516+BV516+BX516+BZ516+CB516+CD516+CF516</f>
        <v>41400000</v>
      </c>
      <c r="CI516" s="25">
        <f t="shared" si="1024"/>
        <v>41400000</v>
      </c>
      <c r="CJ516" s="26">
        <f t="shared" si="816"/>
        <v>0</v>
      </c>
      <c r="CK516" s="26">
        <f t="shared" si="817"/>
        <v>0</v>
      </c>
    </row>
    <row r="517" spans="1:89" ht="90" customHeight="1" x14ac:dyDescent="0.3">
      <c r="A517" s="13" t="s">
        <v>248</v>
      </c>
      <c r="B517" s="14" t="s">
        <v>37</v>
      </c>
      <c r="C517" s="15" t="s">
        <v>1380</v>
      </c>
      <c r="D517" s="14" t="s">
        <v>64</v>
      </c>
      <c r="E517" s="13" t="s">
        <v>250</v>
      </c>
      <c r="F517" s="13" t="s">
        <v>250</v>
      </c>
      <c r="G517" s="14">
        <v>68</v>
      </c>
      <c r="H517" s="13" t="s">
        <v>1400</v>
      </c>
      <c r="I517" s="15" t="s">
        <v>1382</v>
      </c>
      <c r="J517" s="14" t="s">
        <v>38</v>
      </c>
      <c r="K517" s="15" t="s">
        <v>73</v>
      </c>
      <c r="L517" s="14">
        <v>80111620</v>
      </c>
      <c r="M517" s="14" t="s">
        <v>39</v>
      </c>
      <c r="N517" s="14" t="s">
        <v>253</v>
      </c>
      <c r="O517" s="15" t="s">
        <v>1401</v>
      </c>
      <c r="P517" s="14" t="s">
        <v>255</v>
      </c>
      <c r="Q517" s="14" t="s">
        <v>255</v>
      </c>
      <c r="R517" s="14" t="s">
        <v>255</v>
      </c>
      <c r="S517" s="17">
        <v>10</v>
      </c>
      <c r="T517" s="14" t="s">
        <v>256</v>
      </c>
      <c r="U517" s="14" t="s">
        <v>257</v>
      </c>
      <c r="V517" s="14" t="s">
        <v>112</v>
      </c>
      <c r="W517" s="18">
        <v>58300000</v>
      </c>
      <c r="X517" s="18">
        <v>58300000</v>
      </c>
      <c r="Y517" s="19" t="s">
        <v>339</v>
      </c>
      <c r="Z517" s="19" t="s">
        <v>258</v>
      </c>
      <c r="AA517" s="14" t="s">
        <v>1384</v>
      </c>
      <c r="AB517" s="14" t="s">
        <v>1385</v>
      </c>
      <c r="AC517" s="14">
        <v>6012220601</v>
      </c>
      <c r="AD517" s="14" t="s">
        <v>1134</v>
      </c>
      <c r="AE517" s="82">
        <v>58300000</v>
      </c>
      <c r="AF517" s="82">
        <v>0</v>
      </c>
      <c r="AG517" s="82">
        <v>0</v>
      </c>
      <c r="AH517" s="82">
        <v>0</v>
      </c>
      <c r="AI517" s="82">
        <v>0</v>
      </c>
      <c r="AJ517" s="82">
        <v>0</v>
      </c>
      <c r="AK517" s="82">
        <v>0</v>
      </c>
      <c r="AL517" s="82">
        <v>0</v>
      </c>
      <c r="AM517" s="82">
        <v>0</v>
      </c>
      <c r="AN517" s="82">
        <v>0</v>
      </c>
      <c r="AO517" s="82">
        <v>0</v>
      </c>
      <c r="AP517" s="82">
        <v>3300000</v>
      </c>
      <c r="AQ517" s="82">
        <v>0</v>
      </c>
      <c r="AR517" s="82">
        <v>10000000</v>
      </c>
      <c r="AS517" s="82">
        <v>0</v>
      </c>
      <c r="AT517" s="82">
        <v>10000000</v>
      </c>
      <c r="AU517" s="82">
        <v>0</v>
      </c>
      <c r="AV517" s="82">
        <v>10000000</v>
      </c>
      <c r="AW517" s="82">
        <v>0</v>
      </c>
      <c r="AX517" s="82">
        <v>10000000</v>
      </c>
      <c r="AY517" s="82">
        <v>0</v>
      </c>
      <c r="AZ517" s="82">
        <v>10000000</v>
      </c>
      <c r="BA517" s="82">
        <v>0</v>
      </c>
      <c r="BB517" s="82">
        <v>5000000</v>
      </c>
      <c r="BC517" s="82">
        <f t="shared" ref="BC517:BD517" si="1025">AE517+AG517+AI517+AK517+AM517+AO517+AQ517+AS517+AU517+AW517+AY517+BA517</f>
        <v>58300000</v>
      </c>
      <c r="BD517" s="82">
        <f t="shared" si="1025"/>
        <v>58300000</v>
      </c>
      <c r="BE517" s="83">
        <f t="shared" si="813"/>
        <v>0</v>
      </c>
      <c r="BF517" s="83">
        <f t="shared" si="814"/>
        <v>0</v>
      </c>
      <c r="BG517" s="14" t="str">
        <f ca="1">IFERROR(__xludf.DUMMYFUNCTION("REGEXEXTRACT(O511,""^\S+\s(.+)$"")"),"Prestación de servicios profesionales para la construcción e implementación de los lineamientos sectoriales e institucionales en materia de gobierno de datos y gestión de información, considerando el marco normativo vigente.")</f>
        <v>Prestación de servicios profesionales para la construcción e implementación de los lineamientos sectoriales e institucionales en materia de gobierno de datos y gestión de información, considerando el marco normativo vigente.</v>
      </c>
      <c r="BH517" s="23">
        <v>58300000</v>
      </c>
      <c r="BI517" s="23"/>
      <c r="BJ517" s="23"/>
      <c r="BK517" s="23"/>
      <c r="BL517" s="23"/>
      <c r="BM517" s="23"/>
      <c r="BN517" s="23"/>
      <c r="BO517" s="23"/>
      <c r="BP517" s="23"/>
      <c r="BQ517" s="23"/>
      <c r="BR517" s="23"/>
      <c r="BS517" s="23">
        <v>3300000</v>
      </c>
      <c r="BT517" s="23"/>
      <c r="BU517" s="23">
        <v>10000000</v>
      </c>
      <c r="BV517" s="23"/>
      <c r="BW517" s="23">
        <v>10000000</v>
      </c>
      <c r="BX517" s="23"/>
      <c r="BY517" s="23">
        <v>10000000</v>
      </c>
      <c r="BZ517" s="23"/>
      <c r="CA517" s="23">
        <v>10000000</v>
      </c>
      <c r="CB517" s="23"/>
      <c r="CC517" s="23">
        <v>10000000</v>
      </c>
      <c r="CD517" s="23"/>
      <c r="CE517" s="23">
        <v>5000000</v>
      </c>
      <c r="CF517" s="28"/>
      <c r="CG517" s="28"/>
      <c r="CH517" s="25">
        <f t="shared" ref="CH517:CI517" si="1026">BH517+BJ517+BL517+BN517+BP517+BR517+BT517+BV517+BX517+BZ517+CB517+CD517+CF517</f>
        <v>58300000</v>
      </c>
      <c r="CI517" s="25">
        <f t="shared" si="1026"/>
        <v>58300000</v>
      </c>
      <c r="CJ517" s="26">
        <f t="shared" si="816"/>
        <v>0</v>
      </c>
      <c r="CK517" s="26">
        <f t="shared" si="817"/>
        <v>0</v>
      </c>
    </row>
    <row r="518" spans="1:89" ht="90" customHeight="1" x14ac:dyDescent="0.3">
      <c r="A518" s="13" t="s">
        <v>248</v>
      </c>
      <c r="B518" s="14" t="s">
        <v>37</v>
      </c>
      <c r="C518" s="15" t="s">
        <v>1380</v>
      </c>
      <c r="D518" s="14" t="s">
        <v>64</v>
      </c>
      <c r="E518" s="13" t="s">
        <v>250</v>
      </c>
      <c r="F518" s="13" t="s">
        <v>250</v>
      </c>
      <c r="G518" s="14">
        <v>68</v>
      </c>
      <c r="H518" s="13" t="s">
        <v>1402</v>
      </c>
      <c r="I518" s="15" t="s">
        <v>1382</v>
      </c>
      <c r="J518" s="14" t="s">
        <v>45</v>
      </c>
      <c r="K518" s="15" t="s">
        <v>89</v>
      </c>
      <c r="L518" s="14">
        <v>80111620</v>
      </c>
      <c r="M518" s="14" t="s">
        <v>46</v>
      </c>
      <c r="N518" s="14" t="s">
        <v>253</v>
      </c>
      <c r="O518" s="15" t="s">
        <v>1403</v>
      </c>
      <c r="P518" s="14" t="s">
        <v>255</v>
      </c>
      <c r="Q518" s="14" t="s">
        <v>255</v>
      </c>
      <c r="R518" s="14" t="s">
        <v>255</v>
      </c>
      <c r="S518" s="17">
        <v>11.5</v>
      </c>
      <c r="T518" s="14" t="s">
        <v>256</v>
      </c>
      <c r="U518" s="14" t="s">
        <v>257</v>
      </c>
      <c r="V518" s="14" t="s">
        <v>112</v>
      </c>
      <c r="W518" s="18">
        <v>85100000</v>
      </c>
      <c r="X518" s="18">
        <v>85100000</v>
      </c>
      <c r="Y518" s="19" t="s">
        <v>339</v>
      </c>
      <c r="Z518" s="19" t="s">
        <v>258</v>
      </c>
      <c r="AA518" s="14" t="s">
        <v>1384</v>
      </c>
      <c r="AB518" s="14" t="s">
        <v>1385</v>
      </c>
      <c r="AC518" s="14">
        <v>6012220601</v>
      </c>
      <c r="AD518" s="14" t="s">
        <v>1134</v>
      </c>
      <c r="AE518" s="82">
        <v>85000000</v>
      </c>
      <c r="AF518" s="82">
        <v>0</v>
      </c>
      <c r="AG518" s="82">
        <v>0</v>
      </c>
      <c r="AH518" s="82">
        <v>3700000</v>
      </c>
      <c r="AI518" s="82">
        <v>0</v>
      </c>
      <c r="AJ518" s="82">
        <v>7400000</v>
      </c>
      <c r="AK518" s="82">
        <v>0</v>
      </c>
      <c r="AL518" s="82">
        <v>7400000</v>
      </c>
      <c r="AM518" s="82">
        <v>0</v>
      </c>
      <c r="AN518" s="82">
        <v>7400000</v>
      </c>
      <c r="AO518" s="82">
        <v>0</v>
      </c>
      <c r="AP518" s="82">
        <v>7400000</v>
      </c>
      <c r="AQ518" s="82">
        <v>100000</v>
      </c>
      <c r="AR518" s="82">
        <v>7400000</v>
      </c>
      <c r="AS518" s="82">
        <v>0</v>
      </c>
      <c r="AT518" s="82">
        <v>7400000</v>
      </c>
      <c r="AU518" s="82">
        <v>0</v>
      </c>
      <c r="AV518" s="82">
        <v>7400000</v>
      </c>
      <c r="AW518" s="82">
        <v>0</v>
      </c>
      <c r="AX518" s="82">
        <v>7400000</v>
      </c>
      <c r="AY518" s="82">
        <v>0</v>
      </c>
      <c r="AZ518" s="82">
        <v>7400000</v>
      </c>
      <c r="BA518" s="82">
        <v>0</v>
      </c>
      <c r="BB518" s="82">
        <v>14800000</v>
      </c>
      <c r="BC518" s="82">
        <f t="shared" ref="BC518:BD518" si="1027">AE518+AG518+AI518+AK518+AM518+AO518+AQ518+AS518+AU518+AW518+AY518+BA518</f>
        <v>85100000</v>
      </c>
      <c r="BD518" s="82">
        <f t="shared" si="1027"/>
        <v>85100000</v>
      </c>
      <c r="BE518" s="83">
        <f t="shared" si="813"/>
        <v>0</v>
      </c>
      <c r="BF518" s="83">
        <f t="shared" si="814"/>
        <v>0</v>
      </c>
      <c r="BG518" s="14" t="str">
        <f ca="1">IFERROR(__xludf.DUMMYFUNCTION("REGEXEXTRACT(O512,""^\S+\s(.+)$"")"),"Prestación de servicios profesionales para diseñar, documentar e implementar arquitecturas de datos robustas, escalables y seguras, incluyendo el modelo conceptual, lógico y físico que procure la integración de las diferentes fuentes de información que re"&amp;"quiera la entidad.")</f>
        <v>Prestación de servicios profesionales para diseñar, documentar e implementar arquitecturas de datos robustas, escalables y seguras, incluyendo el modelo conceptual, lógico y físico que procure la integración de las diferentes fuentes de información que requiera la entidad.</v>
      </c>
      <c r="BH518" s="23">
        <v>85000000</v>
      </c>
      <c r="BI518" s="23"/>
      <c r="BJ518" s="23"/>
      <c r="BK518" s="23">
        <v>3700000</v>
      </c>
      <c r="BL518" s="23"/>
      <c r="BM518" s="23">
        <v>7400000</v>
      </c>
      <c r="BN518" s="23"/>
      <c r="BO518" s="23">
        <v>7400000</v>
      </c>
      <c r="BP518" s="23"/>
      <c r="BQ518" s="23">
        <v>7400000</v>
      </c>
      <c r="BR518" s="23"/>
      <c r="BS518" s="23">
        <v>7400000</v>
      </c>
      <c r="BT518" s="23">
        <v>100000</v>
      </c>
      <c r="BU518" s="23">
        <v>7400000</v>
      </c>
      <c r="BV518" s="23"/>
      <c r="BW518" s="23">
        <v>7400000</v>
      </c>
      <c r="BX518" s="23"/>
      <c r="BY518" s="23">
        <v>7400000</v>
      </c>
      <c r="BZ518" s="23"/>
      <c r="CA518" s="23">
        <v>7400000</v>
      </c>
      <c r="CB518" s="23"/>
      <c r="CC518" s="23">
        <v>7400000</v>
      </c>
      <c r="CD518" s="23"/>
      <c r="CE518" s="23">
        <v>14800000</v>
      </c>
      <c r="CF518" s="28"/>
      <c r="CG518" s="28"/>
      <c r="CH518" s="25">
        <f t="shared" ref="CH518:CI518" si="1028">BH518+BJ518+BL518+BN518+BP518+BR518+BT518+BV518+BX518+BZ518+CB518+CD518+CF518</f>
        <v>85100000</v>
      </c>
      <c r="CI518" s="25">
        <f t="shared" si="1028"/>
        <v>85100000</v>
      </c>
      <c r="CJ518" s="26">
        <f t="shared" si="816"/>
        <v>0</v>
      </c>
      <c r="CK518" s="26">
        <f t="shared" si="817"/>
        <v>0</v>
      </c>
    </row>
    <row r="519" spans="1:89" ht="90" customHeight="1" x14ac:dyDescent="0.3">
      <c r="A519" s="13" t="s">
        <v>248</v>
      </c>
      <c r="B519" s="14" t="s">
        <v>37</v>
      </c>
      <c r="C519" s="15" t="s">
        <v>1380</v>
      </c>
      <c r="D519" s="14" t="s">
        <v>64</v>
      </c>
      <c r="E519" s="13" t="s">
        <v>250</v>
      </c>
      <c r="F519" s="13" t="s">
        <v>250</v>
      </c>
      <c r="G519" s="14">
        <v>22</v>
      </c>
      <c r="H519" s="13" t="s">
        <v>1404</v>
      </c>
      <c r="I519" s="15" t="s">
        <v>1382</v>
      </c>
      <c r="J519" s="14" t="s">
        <v>45</v>
      </c>
      <c r="K519" s="15" t="s">
        <v>89</v>
      </c>
      <c r="L519" s="14">
        <v>81112003</v>
      </c>
      <c r="M519" s="14" t="s">
        <v>46</v>
      </c>
      <c r="N519" s="14" t="s">
        <v>770</v>
      </c>
      <c r="O519" s="15" t="s">
        <v>1405</v>
      </c>
      <c r="P519" s="14" t="s">
        <v>280</v>
      </c>
      <c r="Q519" s="14" t="s">
        <v>281</v>
      </c>
      <c r="R519" s="14" t="s">
        <v>281</v>
      </c>
      <c r="S519" s="17">
        <v>12</v>
      </c>
      <c r="T519" s="14" t="s">
        <v>256</v>
      </c>
      <c r="U519" s="14" t="s">
        <v>282</v>
      </c>
      <c r="V519" s="14" t="s">
        <v>112</v>
      </c>
      <c r="W519" s="18">
        <v>32116800</v>
      </c>
      <c r="X519" s="18">
        <v>32116800</v>
      </c>
      <c r="Y519" s="19" t="s">
        <v>339</v>
      </c>
      <c r="Z519" s="19" t="s">
        <v>258</v>
      </c>
      <c r="AA519" s="14" t="s">
        <v>1384</v>
      </c>
      <c r="AB519" s="14" t="s">
        <v>1385</v>
      </c>
      <c r="AC519" s="14">
        <v>6012220601</v>
      </c>
      <c r="AD519" s="14" t="s">
        <v>1134</v>
      </c>
      <c r="AE519" s="82">
        <v>0</v>
      </c>
      <c r="AF519" s="82">
        <v>0</v>
      </c>
      <c r="AG519" s="82">
        <v>0</v>
      </c>
      <c r="AH519" s="82">
        <v>0</v>
      </c>
      <c r="AI519" s="82">
        <v>0</v>
      </c>
      <c r="AJ519" s="82">
        <v>0</v>
      </c>
      <c r="AK519" s="82">
        <v>32116800</v>
      </c>
      <c r="AL519" s="82">
        <v>0</v>
      </c>
      <c r="AM519" s="82">
        <v>0</v>
      </c>
      <c r="AN519" s="82">
        <v>32116800</v>
      </c>
      <c r="AO519" s="82">
        <v>0</v>
      </c>
      <c r="AP519" s="82">
        <v>0</v>
      </c>
      <c r="AQ519" s="82">
        <v>0</v>
      </c>
      <c r="AR519" s="82">
        <v>0</v>
      </c>
      <c r="AS519" s="82">
        <v>0</v>
      </c>
      <c r="AT519" s="82">
        <v>0</v>
      </c>
      <c r="AU519" s="82">
        <v>0</v>
      </c>
      <c r="AV519" s="82">
        <v>0</v>
      </c>
      <c r="AW519" s="82">
        <v>0</v>
      </c>
      <c r="AX519" s="82">
        <v>0</v>
      </c>
      <c r="AY519" s="82">
        <v>0</v>
      </c>
      <c r="AZ519" s="82">
        <v>0</v>
      </c>
      <c r="BA519" s="82">
        <v>0</v>
      </c>
      <c r="BB519" s="82">
        <v>0</v>
      </c>
      <c r="BC519" s="82">
        <f t="shared" ref="BC519:BD519" si="1029">AE519+AG519+AI519+AK519+AM519+AO519+AQ519+AS519+AU519+AW519+AY519+BA519</f>
        <v>32116800</v>
      </c>
      <c r="BD519" s="82">
        <f t="shared" si="1029"/>
        <v>32116800</v>
      </c>
      <c r="BE519" s="83">
        <f t="shared" si="813"/>
        <v>0</v>
      </c>
      <c r="BF519" s="83">
        <f t="shared" si="814"/>
        <v>0</v>
      </c>
      <c r="BG519" s="14" t="str">
        <f ca="1">IFERROR(__xludf.DUMMYFUNCTION("REGEXEXTRACT(O513,""^\S+\s(.+)$"")"),"servicios en la nube para la implementación de un lago de datos institucional que permita la consolidación, integración, centralización, acceso y exposición de la información de la UPME, incluyendo la asociada a electromovilidad.")</f>
        <v>servicios en la nube para la implementación de un lago de datos institucional que permita la consolidación, integración, centralización, acceso y exposición de la información de la UPME, incluyendo la asociada a electromovilidad.</v>
      </c>
      <c r="BH519" s="23">
        <v>0</v>
      </c>
      <c r="BI519" s="23">
        <v>0</v>
      </c>
      <c r="BJ519" s="23">
        <v>0</v>
      </c>
      <c r="BK519" s="23">
        <v>0</v>
      </c>
      <c r="BL519" s="23">
        <v>0</v>
      </c>
      <c r="BM519" s="23">
        <v>0</v>
      </c>
      <c r="BN519" s="23">
        <v>0</v>
      </c>
      <c r="BO519" s="23">
        <v>0</v>
      </c>
      <c r="BP519" s="23">
        <v>32116800</v>
      </c>
      <c r="BQ519" s="23">
        <v>0</v>
      </c>
      <c r="BR519" s="23">
        <v>0</v>
      </c>
      <c r="BS519" s="23">
        <v>0</v>
      </c>
      <c r="BT519" s="23">
        <v>0</v>
      </c>
      <c r="BU519" s="23">
        <v>32116800</v>
      </c>
      <c r="BV519" s="23">
        <v>0</v>
      </c>
      <c r="BW519" s="23">
        <v>0</v>
      </c>
      <c r="BX519" s="23">
        <v>0</v>
      </c>
      <c r="BY519" s="23">
        <v>0</v>
      </c>
      <c r="BZ519" s="23">
        <v>0</v>
      </c>
      <c r="CA519" s="23">
        <v>0</v>
      </c>
      <c r="CB519" s="23">
        <v>0</v>
      </c>
      <c r="CC519" s="23">
        <v>0</v>
      </c>
      <c r="CD519" s="23">
        <v>0</v>
      </c>
      <c r="CE519" s="23">
        <v>0</v>
      </c>
      <c r="CF519" s="28"/>
      <c r="CG519" s="28"/>
      <c r="CH519" s="25">
        <f t="shared" ref="CH519:CI519" si="1030">BH519+BJ519+BL519+BN519+BP519+BR519+BT519+BV519+BX519+BZ519+CB519+CD519+CF519</f>
        <v>32116800</v>
      </c>
      <c r="CI519" s="25">
        <f t="shared" si="1030"/>
        <v>32116800</v>
      </c>
      <c r="CJ519" s="26">
        <f t="shared" si="816"/>
        <v>0</v>
      </c>
      <c r="CK519" s="26">
        <f t="shared" si="817"/>
        <v>0</v>
      </c>
    </row>
    <row r="520" spans="1:89" ht="90" customHeight="1" x14ac:dyDescent="0.3">
      <c r="A520" s="13" t="s">
        <v>248</v>
      </c>
      <c r="B520" s="14" t="s">
        <v>37</v>
      </c>
      <c r="C520" s="15" t="s">
        <v>1380</v>
      </c>
      <c r="D520" s="14" t="s">
        <v>64</v>
      </c>
      <c r="E520" s="13" t="s">
        <v>250</v>
      </c>
      <c r="F520" s="13" t="s">
        <v>250</v>
      </c>
      <c r="G520" s="14">
        <v>68</v>
      </c>
      <c r="H520" s="13" t="s">
        <v>1406</v>
      </c>
      <c r="I520" s="15" t="s">
        <v>1382</v>
      </c>
      <c r="J520" s="14" t="s">
        <v>45</v>
      </c>
      <c r="K520" s="15" t="s">
        <v>89</v>
      </c>
      <c r="L520" s="14">
        <v>80111713</v>
      </c>
      <c r="M520" s="14" t="s">
        <v>46</v>
      </c>
      <c r="N520" s="14" t="s">
        <v>770</v>
      </c>
      <c r="O520" s="15" t="s">
        <v>1407</v>
      </c>
      <c r="P520" s="14" t="s">
        <v>774</v>
      </c>
      <c r="Q520" s="14" t="s">
        <v>774</v>
      </c>
      <c r="R520" s="14" t="s">
        <v>1312</v>
      </c>
      <c r="S520" s="17">
        <v>12</v>
      </c>
      <c r="T520" s="14" t="s">
        <v>256</v>
      </c>
      <c r="U520" s="14" t="s">
        <v>282</v>
      </c>
      <c r="V520" s="14" t="s">
        <v>113</v>
      </c>
      <c r="W520" s="18">
        <v>10812000</v>
      </c>
      <c r="X520" s="18">
        <v>10812000</v>
      </c>
      <c r="Y520" s="19" t="s">
        <v>339</v>
      </c>
      <c r="Z520" s="19" t="s">
        <v>258</v>
      </c>
      <c r="AA520" s="14" t="s">
        <v>1384</v>
      </c>
      <c r="AB520" s="14" t="s">
        <v>1385</v>
      </c>
      <c r="AC520" s="14">
        <v>6012220601</v>
      </c>
      <c r="AD520" s="14" t="s">
        <v>1134</v>
      </c>
      <c r="AE520" s="82">
        <v>0</v>
      </c>
      <c r="AF520" s="82">
        <v>0</v>
      </c>
      <c r="AG520" s="82">
        <v>0</v>
      </c>
      <c r="AH520" s="82">
        <v>0</v>
      </c>
      <c r="AI520" s="82">
        <v>0</v>
      </c>
      <c r="AJ520" s="82">
        <v>0</v>
      </c>
      <c r="AK520" s="82">
        <v>0</v>
      </c>
      <c r="AL520" s="82">
        <v>0</v>
      </c>
      <c r="AM520" s="82">
        <v>0</v>
      </c>
      <c r="AN520" s="82">
        <v>0</v>
      </c>
      <c r="AO520" s="82">
        <v>0</v>
      </c>
      <c r="AP520" s="82">
        <v>0</v>
      </c>
      <c r="AQ520" s="82">
        <v>0</v>
      </c>
      <c r="AR520" s="82">
        <v>0</v>
      </c>
      <c r="AS520" s="82">
        <v>0</v>
      </c>
      <c r="AT520" s="82">
        <v>0</v>
      </c>
      <c r="AU520" s="82">
        <v>0</v>
      </c>
      <c r="AV520" s="82">
        <v>0</v>
      </c>
      <c r="AW520" s="82">
        <v>10812000</v>
      </c>
      <c r="AX520" s="82">
        <v>0</v>
      </c>
      <c r="AY520" s="82">
        <v>0</v>
      </c>
      <c r="AZ520" s="82">
        <v>0</v>
      </c>
      <c r="BA520" s="82">
        <v>0</v>
      </c>
      <c r="BB520" s="82">
        <v>10812000</v>
      </c>
      <c r="BC520" s="82">
        <f t="shared" ref="BC520:BD520" si="1031">AE520+AG520+AI520+AK520+AM520+AO520+AQ520+AS520+AU520+AW520+AY520+BA520</f>
        <v>10812000</v>
      </c>
      <c r="BD520" s="82">
        <f t="shared" si="1031"/>
        <v>10812000</v>
      </c>
      <c r="BE520" s="83">
        <f t="shared" si="813"/>
        <v>0</v>
      </c>
      <c r="BF520" s="83">
        <f t="shared" si="814"/>
        <v>0</v>
      </c>
      <c r="BG520" s="14" t="str">
        <f ca="1">IFERROR(__xludf.DUMMYFUNCTION("REGEXEXTRACT(O514,""^\S+\s(.+)$"")"),"Adquirir el licenciamiento de las herramientas colaborativas en nube para la UPME")</f>
        <v>Adquirir el licenciamiento de las herramientas colaborativas en nube para la UPME</v>
      </c>
      <c r="BH520" s="23"/>
      <c r="BI520" s="23"/>
      <c r="BJ520" s="23"/>
      <c r="BK520" s="23"/>
      <c r="BL520" s="23"/>
      <c r="BM520" s="23"/>
      <c r="BN520" s="23"/>
      <c r="BO520" s="23"/>
      <c r="BP520" s="23"/>
      <c r="BQ520" s="23"/>
      <c r="BR520" s="23"/>
      <c r="BS520" s="23"/>
      <c r="BT520" s="23"/>
      <c r="BU520" s="23"/>
      <c r="BV520" s="23"/>
      <c r="BW520" s="23"/>
      <c r="BX520" s="23"/>
      <c r="BY520" s="23"/>
      <c r="BZ520" s="23">
        <v>10812000</v>
      </c>
      <c r="CA520" s="23"/>
      <c r="CB520" s="23"/>
      <c r="CC520" s="23"/>
      <c r="CD520" s="23"/>
      <c r="CE520" s="23">
        <v>10812000</v>
      </c>
      <c r="CF520" s="28"/>
      <c r="CG520" s="28"/>
      <c r="CH520" s="25">
        <f t="shared" ref="CH520:CI520" si="1032">BH520+BJ520+BL520+BN520+BP520+BR520+BT520+BV520+BX520+BZ520+CB520+CD520+CF520</f>
        <v>10812000</v>
      </c>
      <c r="CI520" s="25">
        <f t="shared" si="1032"/>
        <v>10812000</v>
      </c>
      <c r="CJ520" s="26">
        <f t="shared" si="816"/>
        <v>0</v>
      </c>
      <c r="CK520" s="26">
        <f t="shared" si="817"/>
        <v>0</v>
      </c>
    </row>
    <row r="521" spans="1:89" ht="90" customHeight="1" x14ac:dyDescent="0.3">
      <c r="A521" s="13" t="s">
        <v>248</v>
      </c>
      <c r="B521" s="14" t="s">
        <v>37</v>
      </c>
      <c r="C521" s="15" t="s">
        <v>1380</v>
      </c>
      <c r="D521" s="14" t="s">
        <v>64</v>
      </c>
      <c r="E521" s="13" t="s">
        <v>250</v>
      </c>
      <c r="F521" s="13" t="s">
        <v>250</v>
      </c>
      <c r="G521" s="14">
        <v>68</v>
      </c>
      <c r="H521" s="13" t="s">
        <v>1408</v>
      </c>
      <c r="I521" s="15" t="s">
        <v>1382</v>
      </c>
      <c r="J521" s="14" t="s">
        <v>45</v>
      </c>
      <c r="K521" s="15" t="s">
        <v>90</v>
      </c>
      <c r="L521" s="14">
        <v>80111620</v>
      </c>
      <c r="M521" s="14" t="s">
        <v>46</v>
      </c>
      <c r="N521" s="14" t="s">
        <v>253</v>
      </c>
      <c r="O521" s="15" t="s">
        <v>1409</v>
      </c>
      <c r="P521" s="14" t="s">
        <v>255</v>
      </c>
      <c r="Q521" s="14" t="s">
        <v>255</v>
      </c>
      <c r="R521" s="14" t="s">
        <v>255</v>
      </c>
      <c r="S521" s="17">
        <v>11</v>
      </c>
      <c r="T521" s="14" t="s">
        <v>256</v>
      </c>
      <c r="U521" s="14" t="s">
        <v>257</v>
      </c>
      <c r="V521" s="14" t="s">
        <v>112</v>
      </c>
      <c r="W521" s="18">
        <v>55440000</v>
      </c>
      <c r="X521" s="18">
        <v>55440000</v>
      </c>
      <c r="Y521" s="19" t="s">
        <v>339</v>
      </c>
      <c r="Z521" s="19" t="s">
        <v>258</v>
      </c>
      <c r="AA521" s="14" t="s">
        <v>1384</v>
      </c>
      <c r="AB521" s="14" t="s">
        <v>1385</v>
      </c>
      <c r="AC521" s="14">
        <v>6012220601</v>
      </c>
      <c r="AD521" s="14" t="s">
        <v>1134</v>
      </c>
      <c r="AE521" s="82">
        <v>0</v>
      </c>
      <c r="AF521" s="82">
        <v>0</v>
      </c>
      <c r="AG521" s="82">
        <v>55440000</v>
      </c>
      <c r="AH521" s="82">
        <v>0</v>
      </c>
      <c r="AI521" s="82">
        <v>0</v>
      </c>
      <c r="AJ521" s="82">
        <v>5040000</v>
      </c>
      <c r="AK521" s="82">
        <v>0</v>
      </c>
      <c r="AL521" s="82">
        <v>5040000</v>
      </c>
      <c r="AM521" s="82">
        <v>0</v>
      </c>
      <c r="AN521" s="82">
        <v>5040000</v>
      </c>
      <c r="AO521" s="82">
        <v>0</v>
      </c>
      <c r="AP521" s="82">
        <v>5040000</v>
      </c>
      <c r="AQ521" s="82">
        <v>0</v>
      </c>
      <c r="AR521" s="82">
        <v>5040000</v>
      </c>
      <c r="AS521" s="82">
        <v>0</v>
      </c>
      <c r="AT521" s="82">
        <v>5040000</v>
      </c>
      <c r="AU521" s="82">
        <v>0</v>
      </c>
      <c r="AV521" s="82">
        <v>5040000</v>
      </c>
      <c r="AW521" s="82">
        <v>0</v>
      </c>
      <c r="AX521" s="82">
        <v>5040000</v>
      </c>
      <c r="AY521" s="82">
        <v>0</v>
      </c>
      <c r="AZ521" s="82">
        <v>5040000</v>
      </c>
      <c r="BA521" s="82">
        <v>0</v>
      </c>
      <c r="BB521" s="82">
        <v>10080000</v>
      </c>
      <c r="BC521" s="82">
        <f t="shared" ref="BC521:BD521" si="1033">AE521+AG521+AI521+AK521+AM521+AO521+AQ521+AS521+AU521+AW521+AY521+BA521</f>
        <v>55440000</v>
      </c>
      <c r="BD521" s="82">
        <f t="shared" si="1033"/>
        <v>55440000</v>
      </c>
      <c r="BE521" s="83">
        <f t="shared" si="813"/>
        <v>0</v>
      </c>
      <c r="BF521" s="83">
        <f t="shared" si="814"/>
        <v>0</v>
      </c>
      <c r="BG521" s="14" t="str">
        <f ca="1">IFERROR(__xludf.DUMMYFUNCTION("REGEXEXTRACT(O515,""^\S+\s(.+)$"")"),"Prestación de servicios de apoyo a la gestión para el diseño, documentación e implementación de la arquitectura de integración y flujos de información sectoriales, garantizando la interoperabilidad entre los sistemas de información de la UPME y la coheren"&amp;"cia con los lineamientos de gobierno de datos y gestión de la información.")</f>
        <v>Prestación de servicios de apoyo a la gestión para el diseño, documentación e implementación de la arquitectura de integración y flujos de información sectoriales, garantizando la interoperabilidad entre los sistemas de información de la UPME y la coherencia con los lineamientos de gobierno de datos y gestión de la información.</v>
      </c>
      <c r="BH521" s="23"/>
      <c r="BI521" s="23"/>
      <c r="BJ521" s="23">
        <v>55440000</v>
      </c>
      <c r="BK521" s="23"/>
      <c r="BL521" s="23"/>
      <c r="BM521" s="23">
        <v>5040000</v>
      </c>
      <c r="BN521" s="23"/>
      <c r="BO521" s="23">
        <v>5040000</v>
      </c>
      <c r="BP521" s="23"/>
      <c r="BQ521" s="23">
        <v>5040000</v>
      </c>
      <c r="BR521" s="23"/>
      <c r="BS521" s="23">
        <v>5040000</v>
      </c>
      <c r="BT521" s="23"/>
      <c r="BU521" s="23">
        <v>5040000</v>
      </c>
      <c r="BV521" s="23"/>
      <c r="BW521" s="23">
        <v>5040000</v>
      </c>
      <c r="BX521" s="23"/>
      <c r="BY521" s="23">
        <v>5040000</v>
      </c>
      <c r="BZ521" s="23"/>
      <c r="CA521" s="23">
        <v>5040000</v>
      </c>
      <c r="CB521" s="23"/>
      <c r="CC521" s="23">
        <v>5040000</v>
      </c>
      <c r="CD521" s="23"/>
      <c r="CE521" s="23">
        <v>10080000</v>
      </c>
      <c r="CF521" s="28"/>
      <c r="CG521" s="28"/>
      <c r="CH521" s="25">
        <f t="shared" ref="CH521:CI521" si="1034">BH521+BJ521+BL521+BN521+BP521+BR521+BT521+BV521+BX521+BZ521+CB521+CD521+CF521</f>
        <v>55440000</v>
      </c>
      <c r="CI521" s="25">
        <f t="shared" si="1034"/>
        <v>55440000</v>
      </c>
      <c r="CJ521" s="26">
        <f t="shared" si="816"/>
        <v>0</v>
      </c>
      <c r="CK521" s="26">
        <f t="shared" si="817"/>
        <v>0</v>
      </c>
    </row>
    <row r="522" spans="1:89" ht="90" customHeight="1" x14ac:dyDescent="0.3">
      <c r="A522" s="13" t="s">
        <v>248</v>
      </c>
      <c r="B522" s="14" t="s">
        <v>37</v>
      </c>
      <c r="C522" s="15" t="s">
        <v>1380</v>
      </c>
      <c r="D522" s="14" t="s">
        <v>64</v>
      </c>
      <c r="E522" s="13" t="s">
        <v>250</v>
      </c>
      <c r="F522" s="13" t="s">
        <v>250</v>
      </c>
      <c r="G522" s="14">
        <v>68</v>
      </c>
      <c r="H522" s="13" t="s">
        <v>1410</v>
      </c>
      <c r="I522" s="15" t="s">
        <v>1382</v>
      </c>
      <c r="J522" s="14" t="s">
        <v>45</v>
      </c>
      <c r="K522" s="15" t="s">
        <v>90</v>
      </c>
      <c r="L522" s="14">
        <v>80111620</v>
      </c>
      <c r="M522" s="14" t="s">
        <v>46</v>
      </c>
      <c r="N522" s="14" t="s">
        <v>253</v>
      </c>
      <c r="O522" s="15" t="s">
        <v>1411</v>
      </c>
      <c r="P522" s="14" t="s">
        <v>255</v>
      </c>
      <c r="Q522" s="14" t="s">
        <v>255</v>
      </c>
      <c r="R522" s="14" t="s">
        <v>255</v>
      </c>
      <c r="S522" s="17">
        <v>11</v>
      </c>
      <c r="T522" s="14" t="s">
        <v>256</v>
      </c>
      <c r="U522" s="14" t="s">
        <v>257</v>
      </c>
      <c r="V522" s="14" t="s">
        <v>112</v>
      </c>
      <c r="W522" s="18">
        <v>55440000</v>
      </c>
      <c r="X522" s="18">
        <v>55440000</v>
      </c>
      <c r="Y522" s="19" t="s">
        <v>339</v>
      </c>
      <c r="Z522" s="19" t="s">
        <v>258</v>
      </c>
      <c r="AA522" s="14" t="s">
        <v>1384</v>
      </c>
      <c r="AB522" s="14" t="s">
        <v>1385</v>
      </c>
      <c r="AC522" s="14">
        <v>6012220601</v>
      </c>
      <c r="AD522" s="14" t="s">
        <v>1134</v>
      </c>
      <c r="AE522" s="82">
        <v>55440000</v>
      </c>
      <c r="AF522" s="82">
        <v>0</v>
      </c>
      <c r="AG522" s="82">
        <v>0</v>
      </c>
      <c r="AH522" s="82">
        <v>1260000</v>
      </c>
      <c r="AI522" s="82">
        <v>0</v>
      </c>
      <c r="AJ522" s="82">
        <v>5040000</v>
      </c>
      <c r="AK522" s="82">
        <v>0</v>
      </c>
      <c r="AL522" s="82">
        <v>5040000</v>
      </c>
      <c r="AM522" s="82">
        <v>0</v>
      </c>
      <c r="AN522" s="82">
        <v>5040000</v>
      </c>
      <c r="AO522" s="82">
        <v>0</v>
      </c>
      <c r="AP522" s="82">
        <v>5040000</v>
      </c>
      <c r="AQ522" s="82">
        <v>0</v>
      </c>
      <c r="AR522" s="82">
        <v>5040000</v>
      </c>
      <c r="AS522" s="82">
        <v>0</v>
      </c>
      <c r="AT522" s="82">
        <v>5040000</v>
      </c>
      <c r="AU522" s="82">
        <v>0</v>
      </c>
      <c r="AV522" s="82">
        <v>5040000</v>
      </c>
      <c r="AW522" s="82">
        <v>0</v>
      </c>
      <c r="AX522" s="82">
        <v>5040000</v>
      </c>
      <c r="AY522" s="82">
        <v>0</v>
      </c>
      <c r="AZ522" s="82">
        <v>5040000</v>
      </c>
      <c r="BA522" s="82">
        <v>0</v>
      </c>
      <c r="BB522" s="82">
        <v>8820000</v>
      </c>
      <c r="BC522" s="82">
        <f t="shared" ref="BC522:BD522" si="1035">AE522+AG522+AI522+AK522+AM522+AO522+AQ522+AS522+AU522+AW522+AY522+BA522</f>
        <v>55440000</v>
      </c>
      <c r="BD522" s="82">
        <f t="shared" si="1035"/>
        <v>55440000</v>
      </c>
      <c r="BE522" s="83">
        <f t="shared" si="813"/>
        <v>0</v>
      </c>
      <c r="BF522" s="83">
        <f t="shared" si="814"/>
        <v>0</v>
      </c>
      <c r="BG522" s="14" t="str">
        <f ca="1">IFERROR(__xludf.DUMMYFUNCTION("REGEXEXTRACT(O516,""^\S+\s(.+)$"")"),"Prestación de servicios de apoyo a la gestión orientados al despliegue de microservicios y arquitecturas distribuidas, así como a la contribución en la integración e interoperabilidad de la información requerida por la entidad.")</f>
        <v>Prestación de servicios de apoyo a la gestión orientados al despliegue de microservicios y arquitecturas distribuidas, así como a la contribución en la integración e interoperabilidad de la información requerida por la entidad.</v>
      </c>
      <c r="BH522" s="23">
        <v>55440000</v>
      </c>
      <c r="BI522" s="23"/>
      <c r="BJ522" s="23"/>
      <c r="BK522" s="23">
        <v>1260000</v>
      </c>
      <c r="BL522" s="23"/>
      <c r="BM522" s="23">
        <v>5040000</v>
      </c>
      <c r="BN522" s="23"/>
      <c r="BO522" s="23">
        <v>5040000</v>
      </c>
      <c r="BP522" s="23"/>
      <c r="BQ522" s="23">
        <v>5040000</v>
      </c>
      <c r="BR522" s="23"/>
      <c r="BS522" s="23">
        <v>5040000</v>
      </c>
      <c r="BT522" s="23"/>
      <c r="BU522" s="23">
        <v>5040000</v>
      </c>
      <c r="BV522" s="23"/>
      <c r="BW522" s="23">
        <v>5040000</v>
      </c>
      <c r="BX522" s="23"/>
      <c r="BY522" s="23">
        <v>5040000</v>
      </c>
      <c r="BZ522" s="23"/>
      <c r="CA522" s="23">
        <v>5040000</v>
      </c>
      <c r="CB522" s="23"/>
      <c r="CC522" s="23">
        <v>5040000</v>
      </c>
      <c r="CD522" s="23"/>
      <c r="CE522" s="23">
        <v>8820000</v>
      </c>
      <c r="CF522" s="28"/>
      <c r="CG522" s="28"/>
      <c r="CH522" s="25">
        <f t="shared" ref="CH522:CI522" si="1036">BH522+BJ522+BL522+BN522+BP522+BR522+BT522+BV522+BX522+BZ522+CB522+CD522+CF522</f>
        <v>55440000</v>
      </c>
      <c r="CI522" s="25">
        <f t="shared" si="1036"/>
        <v>55440000</v>
      </c>
      <c r="CJ522" s="26">
        <f t="shared" si="816"/>
        <v>0</v>
      </c>
      <c r="CK522" s="26">
        <f t="shared" si="817"/>
        <v>0</v>
      </c>
    </row>
    <row r="523" spans="1:89" ht="90" customHeight="1" x14ac:dyDescent="0.3">
      <c r="A523" s="13" t="s">
        <v>248</v>
      </c>
      <c r="B523" s="14" t="s">
        <v>37</v>
      </c>
      <c r="C523" s="15" t="s">
        <v>1380</v>
      </c>
      <c r="D523" s="14" t="s">
        <v>64</v>
      </c>
      <c r="E523" s="13" t="s">
        <v>250</v>
      </c>
      <c r="F523" s="13" t="s">
        <v>250</v>
      </c>
      <c r="G523" s="14">
        <v>2</v>
      </c>
      <c r="H523" s="13" t="s">
        <v>1412</v>
      </c>
      <c r="I523" s="15" t="s">
        <v>1382</v>
      </c>
      <c r="J523" s="14" t="s">
        <v>45</v>
      </c>
      <c r="K523" s="15" t="s">
        <v>90</v>
      </c>
      <c r="L523" s="14">
        <v>80111620</v>
      </c>
      <c r="M523" s="14" t="s">
        <v>46</v>
      </c>
      <c r="N523" s="14" t="s">
        <v>253</v>
      </c>
      <c r="O523" s="15" t="s">
        <v>1413</v>
      </c>
      <c r="P523" s="14" t="s">
        <v>255</v>
      </c>
      <c r="Q523" s="14" t="s">
        <v>255</v>
      </c>
      <c r="R523" s="14" t="s">
        <v>255</v>
      </c>
      <c r="S523" s="17">
        <v>11</v>
      </c>
      <c r="T523" s="14" t="s">
        <v>256</v>
      </c>
      <c r="U523" s="14" t="s">
        <v>257</v>
      </c>
      <c r="V523" s="14" t="s">
        <v>112</v>
      </c>
      <c r="W523" s="18">
        <v>39297856</v>
      </c>
      <c r="X523" s="18">
        <v>39297856</v>
      </c>
      <c r="Y523" s="19" t="s">
        <v>339</v>
      </c>
      <c r="Z523" s="19" t="s">
        <v>258</v>
      </c>
      <c r="AA523" s="14" t="s">
        <v>1384</v>
      </c>
      <c r="AB523" s="14" t="s">
        <v>1385</v>
      </c>
      <c r="AC523" s="14">
        <v>6012220601</v>
      </c>
      <c r="AD523" s="14" t="s">
        <v>1134</v>
      </c>
      <c r="AE523" s="82">
        <v>39297856</v>
      </c>
      <c r="AF523" s="82">
        <v>0</v>
      </c>
      <c r="AG523" s="82">
        <v>0</v>
      </c>
      <c r="AH523" s="82">
        <v>333333</v>
      </c>
      <c r="AI523" s="82">
        <v>0</v>
      </c>
      <c r="AJ523" s="82">
        <v>5000000</v>
      </c>
      <c r="AK523" s="82">
        <v>0</v>
      </c>
      <c r="AL523" s="82">
        <v>5000000</v>
      </c>
      <c r="AM523" s="82">
        <v>0</v>
      </c>
      <c r="AN523" s="82">
        <v>5000000</v>
      </c>
      <c r="AO523" s="82">
        <v>0</v>
      </c>
      <c r="AP523" s="82">
        <v>5000000</v>
      </c>
      <c r="AQ523" s="82">
        <v>0</v>
      </c>
      <c r="AR523" s="82">
        <v>5000000</v>
      </c>
      <c r="AS523" s="82">
        <v>0</v>
      </c>
      <c r="AT523" s="82">
        <v>5000000</v>
      </c>
      <c r="AU523" s="82">
        <v>0</v>
      </c>
      <c r="AV523" s="82">
        <v>5000000</v>
      </c>
      <c r="AW523" s="82">
        <v>0</v>
      </c>
      <c r="AX523" s="82">
        <v>3964523</v>
      </c>
      <c r="AY523" s="82">
        <v>0</v>
      </c>
      <c r="AZ523" s="82">
        <v>0</v>
      </c>
      <c r="BA523" s="82">
        <v>0</v>
      </c>
      <c r="BB523" s="82">
        <v>0</v>
      </c>
      <c r="BC523" s="82">
        <f t="shared" ref="BC523:BD523" si="1037">AE523+AG523+AI523+AK523+AM523+AO523+AQ523+AS523+AU523+AW523+AY523+BA523</f>
        <v>39297856</v>
      </c>
      <c r="BD523" s="82">
        <f t="shared" si="1037"/>
        <v>39297856</v>
      </c>
      <c r="BE523" s="83">
        <f t="shared" si="813"/>
        <v>0</v>
      </c>
      <c r="BF523" s="83">
        <f t="shared" si="814"/>
        <v>0</v>
      </c>
      <c r="BG523" s="14" t="str">
        <f ca="1">IFERROR(__xludf.DUMMYFUNCTION("REGEXEXTRACT(O517,""^\S+\s(.+)$"")"),"Prestación de servicios de apoyo a la gestión para la recolección y procesamiento de material audiovisual requerido para los sistemas de información y las comunicaciones institucionales")</f>
        <v>Prestación de servicios de apoyo a la gestión para la recolección y procesamiento de material audiovisual requerido para los sistemas de información y las comunicaciones institucionales</v>
      </c>
      <c r="BH523" s="23">
        <v>39297856</v>
      </c>
      <c r="BI523" s="23"/>
      <c r="BJ523" s="23"/>
      <c r="BK523" s="23">
        <v>333333</v>
      </c>
      <c r="BL523" s="23"/>
      <c r="BM523" s="23">
        <v>5000000</v>
      </c>
      <c r="BN523" s="23"/>
      <c r="BO523" s="23">
        <v>5000000</v>
      </c>
      <c r="BP523" s="23"/>
      <c r="BQ523" s="23">
        <v>5000000</v>
      </c>
      <c r="BR523" s="23"/>
      <c r="BS523" s="23">
        <v>5000000</v>
      </c>
      <c r="BT523" s="23"/>
      <c r="BU523" s="23">
        <v>5000000</v>
      </c>
      <c r="BV523" s="23"/>
      <c r="BW523" s="23">
        <v>5000000</v>
      </c>
      <c r="BX523" s="23"/>
      <c r="BY523" s="23">
        <v>5000000</v>
      </c>
      <c r="BZ523" s="23"/>
      <c r="CA523" s="23">
        <v>3964523</v>
      </c>
      <c r="CB523" s="23"/>
      <c r="CC523" s="23"/>
      <c r="CD523" s="23"/>
      <c r="CE523" s="23"/>
      <c r="CF523" s="28"/>
      <c r="CG523" s="28"/>
      <c r="CH523" s="25">
        <f t="shared" ref="CH523:CI523" si="1038">BH523+BJ523+BL523+BN523+BP523+BR523+BT523+BV523+BX523+BZ523+CB523+CD523+CF523</f>
        <v>39297856</v>
      </c>
      <c r="CI523" s="25">
        <f t="shared" si="1038"/>
        <v>39297856</v>
      </c>
      <c r="CJ523" s="26">
        <f t="shared" si="816"/>
        <v>0</v>
      </c>
      <c r="CK523" s="26">
        <f t="shared" si="817"/>
        <v>0</v>
      </c>
    </row>
    <row r="524" spans="1:89" ht="90" customHeight="1" x14ac:dyDescent="0.3">
      <c r="A524" s="13" t="s">
        <v>248</v>
      </c>
      <c r="B524" s="14" t="s">
        <v>37</v>
      </c>
      <c r="C524" s="15" t="s">
        <v>1380</v>
      </c>
      <c r="D524" s="14" t="s">
        <v>64</v>
      </c>
      <c r="E524" s="13" t="s">
        <v>250</v>
      </c>
      <c r="F524" s="13" t="s">
        <v>250</v>
      </c>
      <c r="G524" s="14">
        <v>9</v>
      </c>
      <c r="H524" s="13" t="s">
        <v>1414</v>
      </c>
      <c r="I524" s="15" t="s">
        <v>1382</v>
      </c>
      <c r="J524" s="14" t="s">
        <v>45</v>
      </c>
      <c r="K524" s="15" t="s">
        <v>90</v>
      </c>
      <c r="L524" s="14">
        <v>80111620</v>
      </c>
      <c r="M524" s="14" t="s">
        <v>46</v>
      </c>
      <c r="N524" s="14" t="s">
        <v>253</v>
      </c>
      <c r="O524" s="15" t="s">
        <v>1415</v>
      </c>
      <c r="P524" s="14" t="s">
        <v>255</v>
      </c>
      <c r="Q524" s="14" t="s">
        <v>255</v>
      </c>
      <c r="R524" s="14" t="s">
        <v>255</v>
      </c>
      <c r="S524" s="17">
        <v>10.5</v>
      </c>
      <c r="T524" s="14" t="s">
        <v>256</v>
      </c>
      <c r="U524" s="14" t="s">
        <v>257</v>
      </c>
      <c r="V524" s="14" t="s">
        <v>112</v>
      </c>
      <c r="W524" s="18">
        <v>33681384</v>
      </c>
      <c r="X524" s="18">
        <v>33681384</v>
      </c>
      <c r="Y524" s="19" t="s">
        <v>339</v>
      </c>
      <c r="Z524" s="19" t="s">
        <v>258</v>
      </c>
      <c r="AA524" s="14" t="s">
        <v>1384</v>
      </c>
      <c r="AB524" s="14" t="s">
        <v>1385</v>
      </c>
      <c r="AC524" s="14">
        <v>6012220601</v>
      </c>
      <c r="AD524" s="14" t="s">
        <v>1134</v>
      </c>
      <c r="AE524" s="82">
        <v>0</v>
      </c>
      <c r="AF524" s="82">
        <v>0</v>
      </c>
      <c r="AG524" s="82">
        <v>33681384</v>
      </c>
      <c r="AH524" s="82">
        <v>0</v>
      </c>
      <c r="AI524" s="82">
        <v>0</v>
      </c>
      <c r="AJ524" s="82">
        <v>3285450</v>
      </c>
      <c r="AK524" s="82">
        <v>0</v>
      </c>
      <c r="AL524" s="82">
        <v>3285450</v>
      </c>
      <c r="AM524" s="82">
        <v>0</v>
      </c>
      <c r="AN524" s="82">
        <v>3285450</v>
      </c>
      <c r="AO524" s="82">
        <v>0</v>
      </c>
      <c r="AP524" s="82">
        <v>3285450</v>
      </c>
      <c r="AQ524" s="82">
        <v>0</v>
      </c>
      <c r="AR524" s="82">
        <v>3285450</v>
      </c>
      <c r="AS524" s="82">
        <v>0</v>
      </c>
      <c r="AT524" s="82">
        <v>3285450</v>
      </c>
      <c r="AU524" s="82">
        <v>0</v>
      </c>
      <c r="AV524" s="82">
        <v>3285450</v>
      </c>
      <c r="AW524" s="82">
        <v>0</v>
      </c>
      <c r="AX524" s="82">
        <v>3285450</v>
      </c>
      <c r="AY524" s="82">
        <v>0</v>
      </c>
      <c r="AZ524" s="82">
        <v>3285450</v>
      </c>
      <c r="BA524" s="82">
        <v>0</v>
      </c>
      <c r="BB524" s="82">
        <v>4112334</v>
      </c>
      <c r="BC524" s="82">
        <f t="shared" ref="BC524:BD524" si="1039">AE524+AG524+AI524+AK524+AM524+AO524+AQ524+AS524+AU524+AW524+AY524+BA524</f>
        <v>33681384</v>
      </c>
      <c r="BD524" s="82">
        <f t="shared" si="1039"/>
        <v>33681384</v>
      </c>
      <c r="BE524" s="83">
        <f t="shared" si="813"/>
        <v>0</v>
      </c>
      <c r="BF524" s="83">
        <f t="shared" si="814"/>
        <v>0</v>
      </c>
      <c r="BG524" s="14" t="str">
        <f ca="1">IFERROR(__xludf.DUMMYFUNCTION("REGEXEXTRACT(O518,""^\S+\s(.+)$"")"),"Prestación de servicios profesionales para apoyar la gestión, actualización y visualización de información geográfica, siguiendo los lineamientos técnicos definidos por la entidad.")</f>
        <v>Prestación de servicios profesionales para apoyar la gestión, actualización y visualización de información geográfica, siguiendo los lineamientos técnicos definidos por la entidad.</v>
      </c>
      <c r="BH524" s="23"/>
      <c r="BI524" s="23"/>
      <c r="BJ524" s="23">
        <v>33681384</v>
      </c>
      <c r="BK524" s="23"/>
      <c r="BL524" s="23"/>
      <c r="BM524" s="23">
        <v>3285450</v>
      </c>
      <c r="BN524" s="23"/>
      <c r="BO524" s="23">
        <v>3285450</v>
      </c>
      <c r="BP524" s="23"/>
      <c r="BQ524" s="23">
        <v>3285450</v>
      </c>
      <c r="BR524" s="23"/>
      <c r="BS524" s="23">
        <v>3285450</v>
      </c>
      <c r="BT524" s="23"/>
      <c r="BU524" s="23">
        <v>3285450</v>
      </c>
      <c r="BV524" s="23"/>
      <c r="BW524" s="23">
        <v>3285450</v>
      </c>
      <c r="BX524" s="23"/>
      <c r="BY524" s="23">
        <v>3285450</v>
      </c>
      <c r="BZ524" s="23"/>
      <c r="CA524" s="23">
        <v>3285450</v>
      </c>
      <c r="CB524" s="23"/>
      <c r="CC524" s="23">
        <v>3285450</v>
      </c>
      <c r="CD524" s="23"/>
      <c r="CE524" s="23">
        <v>4112334</v>
      </c>
      <c r="CF524" s="28"/>
      <c r="CG524" s="28"/>
      <c r="CH524" s="25">
        <f t="shared" ref="CH524:CI524" si="1040">BH524+BJ524+BL524+BN524+BP524+BR524+BT524+BV524+BX524+BZ524+CB524+CD524+CF524</f>
        <v>33681384</v>
      </c>
      <c r="CI524" s="25">
        <f t="shared" si="1040"/>
        <v>33681384</v>
      </c>
      <c r="CJ524" s="26">
        <f t="shared" si="816"/>
        <v>0</v>
      </c>
      <c r="CK524" s="26">
        <f t="shared" si="817"/>
        <v>0</v>
      </c>
    </row>
    <row r="525" spans="1:89" ht="90" customHeight="1" x14ac:dyDescent="0.3">
      <c r="A525" s="13" t="s">
        <v>248</v>
      </c>
      <c r="B525" s="14" t="s">
        <v>37</v>
      </c>
      <c r="C525" s="15" t="s">
        <v>1380</v>
      </c>
      <c r="D525" s="14" t="s">
        <v>64</v>
      </c>
      <c r="E525" s="13" t="s">
        <v>250</v>
      </c>
      <c r="F525" s="13" t="s">
        <v>250</v>
      </c>
      <c r="G525" s="14">
        <v>2</v>
      </c>
      <c r="H525" s="13" t="s">
        <v>1416</v>
      </c>
      <c r="I525" s="15" t="s">
        <v>1382</v>
      </c>
      <c r="J525" s="14" t="s">
        <v>45</v>
      </c>
      <c r="K525" s="15" t="s">
        <v>90</v>
      </c>
      <c r="L525" s="14">
        <v>80111620</v>
      </c>
      <c r="M525" s="14" t="s">
        <v>46</v>
      </c>
      <c r="N525" s="14" t="s">
        <v>253</v>
      </c>
      <c r="O525" s="15" t="s">
        <v>1417</v>
      </c>
      <c r="P525" s="14" t="s">
        <v>255</v>
      </c>
      <c r="Q525" s="14" t="s">
        <v>255</v>
      </c>
      <c r="R525" s="14" t="s">
        <v>255</v>
      </c>
      <c r="S525" s="17">
        <v>10</v>
      </c>
      <c r="T525" s="14" t="s">
        <v>256</v>
      </c>
      <c r="U525" s="14" t="s">
        <v>257</v>
      </c>
      <c r="V525" s="14" t="s">
        <v>112</v>
      </c>
      <c r="W525" s="18">
        <v>50000000</v>
      </c>
      <c r="X525" s="18">
        <v>50000000</v>
      </c>
      <c r="Y525" s="19" t="s">
        <v>339</v>
      </c>
      <c r="Z525" s="19" t="s">
        <v>258</v>
      </c>
      <c r="AA525" s="14" t="s">
        <v>1384</v>
      </c>
      <c r="AB525" s="14" t="s">
        <v>1385</v>
      </c>
      <c r="AC525" s="14">
        <v>6012220601</v>
      </c>
      <c r="AD525" s="14" t="s">
        <v>1134</v>
      </c>
      <c r="AE525" s="82">
        <v>50000000</v>
      </c>
      <c r="AF525" s="82">
        <v>0</v>
      </c>
      <c r="AG525" s="82">
        <v>0</v>
      </c>
      <c r="AH525" s="82">
        <v>333333</v>
      </c>
      <c r="AI525" s="82">
        <v>0</v>
      </c>
      <c r="AJ525" s="82">
        <v>5000000</v>
      </c>
      <c r="AK525" s="82">
        <v>0</v>
      </c>
      <c r="AL525" s="82">
        <v>5000000</v>
      </c>
      <c r="AM525" s="82">
        <v>0</v>
      </c>
      <c r="AN525" s="82">
        <v>5000000</v>
      </c>
      <c r="AO525" s="82">
        <v>0</v>
      </c>
      <c r="AP525" s="82">
        <v>5000000</v>
      </c>
      <c r="AQ525" s="82">
        <v>0</v>
      </c>
      <c r="AR525" s="82">
        <v>5000000</v>
      </c>
      <c r="AS525" s="82">
        <v>0</v>
      </c>
      <c r="AT525" s="82">
        <v>5000000</v>
      </c>
      <c r="AU525" s="82">
        <v>0</v>
      </c>
      <c r="AV525" s="82">
        <v>5000000</v>
      </c>
      <c r="AW525" s="82">
        <v>0</v>
      </c>
      <c r="AX525" s="82">
        <v>5000000</v>
      </c>
      <c r="AY525" s="82">
        <v>0</v>
      </c>
      <c r="AZ525" s="82">
        <v>5000000</v>
      </c>
      <c r="BA525" s="82">
        <v>0</v>
      </c>
      <c r="BB525" s="82">
        <v>4666667</v>
      </c>
      <c r="BC525" s="82">
        <f t="shared" ref="BC525:BD525" si="1041">AE525+AG525+AI525+AK525+AM525+AO525+AQ525+AS525+AU525+AW525+AY525+BA525</f>
        <v>50000000</v>
      </c>
      <c r="BD525" s="82">
        <f t="shared" si="1041"/>
        <v>50000000</v>
      </c>
      <c r="BE525" s="83">
        <f t="shared" si="813"/>
        <v>0</v>
      </c>
      <c r="BF525" s="83">
        <f t="shared" si="814"/>
        <v>0</v>
      </c>
      <c r="BG525" s="14" t="str">
        <f ca="1">IFERROR(__xludf.DUMMYFUNCTION("REGEXEXTRACT(O519,""^\S+\s(.+)$"")"),"Prestación de servicios de apoyo a la gestión para la creación de contenido digital asociado a los sistemas de información y las comunicaciones institucionales.")</f>
        <v>Prestación de servicios de apoyo a la gestión para la creación de contenido digital asociado a los sistemas de información y las comunicaciones institucionales.</v>
      </c>
      <c r="BH525" s="23">
        <v>50000000</v>
      </c>
      <c r="BI525" s="23"/>
      <c r="BJ525" s="23"/>
      <c r="BK525" s="23">
        <v>333333</v>
      </c>
      <c r="BL525" s="23"/>
      <c r="BM525" s="23">
        <v>5000000</v>
      </c>
      <c r="BN525" s="23"/>
      <c r="BO525" s="23">
        <v>5000000</v>
      </c>
      <c r="BP525" s="23"/>
      <c r="BQ525" s="23">
        <v>5000000</v>
      </c>
      <c r="BR525" s="23"/>
      <c r="BS525" s="23">
        <v>5000000</v>
      </c>
      <c r="BT525" s="23"/>
      <c r="BU525" s="23">
        <v>5000000</v>
      </c>
      <c r="BV525" s="23"/>
      <c r="BW525" s="23">
        <v>5000000</v>
      </c>
      <c r="BX525" s="23"/>
      <c r="BY525" s="23">
        <v>5000000</v>
      </c>
      <c r="BZ525" s="23"/>
      <c r="CA525" s="23">
        <v>5000000</v>
      </c>
      <c r="CB525" s="23"/>
      <c r="CC525" s="23">
        <v>5000000</v>
      </c>
      <c r="CD525" s="23"/>
      <c r="CE525" s="23">
        <v>4666667</v>
      </c>
      <c r="CF525" s="28"/>
      <c r="CG525" s="28"/>
      <c r="CH525" s="25">
        <f t="shared" ref="CH525:CI525" si="1042">BH525+BJ525+BL525+BN525+BP525+BR525+BT525+BV525+BX525+BZ525+CB525+CD525+CF525</f>
        <v>50000000</v>
      </c>
      <c r="CI525" s="25">
        <f t="shared" si="1042"/>
        <v>50000000</v>
      </c>
      <c r="CJ525" s="26">
        <f t="shared" si="816"/>
        <v>0</v>
      </c>
      <c r="CK525" s="26">
        <f t="shared" si="817"/>
        <v>0</v>
      </c>
    </row>
    <row r="526" spans="1:89" ht="90" customHeight="1" x14ac:dyDescent="0.3">
      <c r="A526" s="13" t="s">
        <v>248</v>
      </c>
      <c r="B526" s="14" t="s">
        <v>37</v>
      </c>
      <c r="C526" s="15" t="s">
        <v>1380</v>
      </c>
      <c r="D526" s="14" t="s">
        <v>64</v>
      </c>
      <c r="E526" s="13" t="s">
        <v>250</v>
      </c>
      <c r="F526" s="13" t="s">
        <v>250</v>
      </c>
      <c r="G526" s="14">
        <v>68</v>
      </c>
      <c r="H526" s="13" t="s">
        <v>1418</v>
      </c>
      <c r="I526" s="15" t="s">
        <v>1382</v>
      </c>
      <c r="J526" s="14" t="s">
        <v>45</v>
      </c>
      <c r="K526" s="15" t="s">
        <v>90</v>
      </c>
      <c r="L526" s="14">
        <v>80111620</v>
      </c>
      <c r="M526" s="14" t="s">
        <v>46</v>
      </c>
      <c r="N526" s="14" t="s">
        <v>253</v>
      </c>
      <c r="O526" s="15" t="s">
        <v>1419</v>
      </c>
      <c r="P526" s="14" t="s">
        <v>255</v>
      </c>
      <c r="Q526" s="14" t="s">
        <v>255</v>
      </c>
      <c r="R526" s="14" t="s">
        <v>255</v>
      </c>
      <c r="S526" s="17">
        <v>11</v>
      </c>
      <c r="T526" s="14" t="s">
        <v>256</v>
      </c>
      <c r="U526" s="14" t="s">
        <v>257</v>
      </c>
      <c r="V526" s="14" t="s">
        <v>113</v>
      </c>
      <c r="W526" s="18">
        <v>33746160</v>
      </c>
      <c r="X526" s="18">
        <v>33746160</v>
      </c>
      <c r="Y526" s="19" t="s">
        <v>339</v>
      </c>
      <c r="Z526" s="19" t="s">
        <v>258</v>
      </c>
      <c r="AA526" s="14" t="s">
        <v>1384</v>
      </c>
      <c r="AB526" s="14" t="s">
        <v>1385</v>
      </c>
      <c r="AC526" s="14">
        <v>6012220601</v>
      </c>
      <c r="AD526" s="14" t="s">
        <v>1134</v>
      </c>
      <c r="AE526" s="82">
        <v>33730620</v>
      </c>
      <c r="AF526" s="82">
        <v>0</v>
      </c>
      <c r="AG526" s="82">
        <v>0</v>
      </c>
      <c r="AH526" s="82">
        <v>219030</v>
      </c>
      <c r="AI526" s="82">
        <v>0</v>
      </c>
      <c r="AJ526" s="82">
        <v>3285450</v>
      </c>
      <c r="AK526" s="82">
        <v>0</v>
      </c>
      <c r="AL526" s="82">
        <v>3285450</v>
      </c>
      <c r="AM526" s="82">
        <v>0</v>
      </c>
      <c r="AN526" s="82">
        <v>3285450</v>
      </c>
      <c r="AO526" s="82">
        <v>0</v>
      </c>
      <c r="AP526" s="82">
        <v>3285450</v>
      </c>
      <c r="AQ526" s="82">
        <v>15540</v>
      </c>
      <c r="AR526" s="82">
        <v>3285450</v>
      </c>
      <c r="AS526" s="82">
        <v>0</v>
      </c>
      <c r="AT526" s="82">
        <v>3285450</v>
      </c>
      <c r="AU526" s="82">
        <v>0</v>
      </c>
      <c r="AV526" s="82">
        <v>3285450</v>
      </c>
      <c r="AW526" s="82">
        <v>0</v>
      </c>
      <c r="AX526" s="82">
        <v>3285450</v>
      </c>
      <c r="AY526" s="82">
        <v>0</v>
      </c>
      <c r="AZ526" s="82">
        <v>3285450</v>
      </c>
      <c r="BA526" s="82">
        <v>0</v>
      </c>
      <c r="BB526" s="82">
        <v>3958080</v>
      </c>
      <c r="BC526" s="82">
        <f t="shared" ref="BC526:BD526" si="1043">AE526+AG526+AI526+AK526+AM526+AO526+AQ526+AS526+AU526+AW526+AY526+BA526</f>
        <v>33746160</v>
      </c>
      <c r="BD526" s="82">
        <f t="shared" si="1043"/>
        <v>33746160</v>
      </c>
      <c r="BE526" s="83">
        <f t="shared" si="813"/>
        <v>0</v>
      </c>
      <c r="BF526" s="83">
        <f t="shared" si="814"/>
        <v>0</v>
      </c>
      <c r="BG526" s="14" t="str">
        <f ca="1">IFERROR(__xludf.DUMMYFUNCTION("REGEXEXTRACT(O520,""^\S+\s(.+)$"")"),"Prestación de servicios profesionales para el fortalecimiento de las comunicaciones y divulgación de los sistemas de información institucionales.")</f>
        <v>Prestación de servicios profesionales para el fortalecimiento de las comunicaciones y divulgación de los sistemas de información institucionales.</v>
      </c>
      <c r="BH526" s="23">
        <v>33730620</v>
      </c>
      <c r="BI526" s="23"/>
      <c r="BJ526" s="23"/>
      <c r="BK526" s="23">
        <v>219030</v>
      </c>
      <c r="BL526" s="23"/>
      <c r="BM526" s="23">
        <v>3285450</v>
      </c>
      <c r="BN526" s="23"/>
      <c r="BO526" s="23">
        <v>3285450</v>
      </c>
      <c r="BP526" s="23"/>
      <c r="BQ526" s="23">
        <v>3285450</v>
      </c>
      <c r="BR526" s="23"/>
      <c r="BS526" s="23">
        <v>3285450</v>
      </c>
      <c r="BT526" s="23">
        <v>15540</v>
      </c>
      <c r="BU526" s="23">
        <v>3285450</v>
      </c>
      <c r="BV526" s="23"/>
      <c r="BW526" s="23">
        <v>3285450</v>
      </c>
      <c r="BX526" s="23"/>
      <c r="BY526" s="23">
        <v>3285450</v>
      </c>
      <c r="BZ526" s="23"/>
      <c r="CA526" s="23">
        <v>3285450</v>
      </c>
      <c r="CB526" s="23"/>
      <c r="CC526" s="23">
        <v>3285450</v>
      </c>
      <c r="CD526" s="23"/>
      <c r="CE526" s="23">
        <v>3958080</v>
      </c>
      <c r="CF526" s="28"/>
      <c r="CG526" s="28"/>
      <c r="CH526" s="25">
        <f t="shared" ref="CH526:CI526" si="1044">BH526+BJ526+BL526+BN526+BP526+BR526+BT526+BV526+BX526+BZ526+CB526+CD526+CF526</f>
        <v>33746160</v>
      </c>
      <c r="CI526" s="25">
        <f t="shared" si="1044"/>
        <v>33746160</v>
      </c>
      <c r="CJ526" s="26">
        <f t="shared" si="816"/>
        <v>0</v>
      </c>
      <c r="CK526" s="26">
        <f t="shared" si="817"/>
        <v>0</v>
      </c>
    </row>
    <row r="527" spans="1:89" ht="90" customHeight="1" x14ac:dyDescent="0.3">
      <c r="A527" s="13" t="s">
        <v>248</v>
      </c>
      <c r="B527" s="14" t="s">
        <v>37</v>
      </c>
      <c r="C527" s="15" t="s">
        <v>1380</v>
      </c>
      <c r="D527" s="14" t="s">
        <v>64</v>
      </c>
      <c r="E527" s="13" t="s">
        <v>250</v>
      </c>
      <c r="F527" s="13" t="s">
        <v>250</v>
      </c>
      <c r="G527" s="14">
        <v>68</v>
      </c>
      <c r="H527" s="13" t="s">
        <v>1420</v>
      </c>
      <c r="I527" s="15" t="s">
        <v>1421</v>
      </c>
      <c r="J527" s="14" t="s">
        <v>40</v>
      </c>
      <c r="K527" s="15" t="s">
        <v>70</v>
      </c>
      <c r="L527" s="14">
        <v>80111620</v>
      </c>
      <c r="M527" s="14" t="s">
        <v>39</v>
      </c>
      <c r="N527" s="14" t="s">
        <v>253</v>
      </c>
      <c r="O527" s="15" t="s">
        <v>1422</v>
      </c>
      <c r="P527" s="14" t="s">
        <v>255</v>
      </c>
      <c r="Q527" s="14" t="s">
        <v>255</v>
      </c>
      <c r="R527" s="14" t="s">
        <v>255</v>
      </c>
      <c r="S527" s="17">
        <v>11.5</v>
      </c>
      <c r="T527" s="14" t="s">
        <v>256</v>
      </c>
      <c r="U527" s="14" t="s">
        <v>257</v>
      </c>
      <c r="V527" s="14" t="s">
        <v>112</v>
      </c>
      <c r="W527" s="18">
        <v>97750000</v>
      </c>
      <c r="X527" s="18">
        <v>97750000</v>
      </c>
      <c r="Y527" s="19" t="s">
        <v>339</v>
      </c>
      <c r="Z527" s="19" t="s">
        <v>258</v>
      </c>
      <c r="AA527" s="14" t="s">
        <v>1384</v>
      </c>
      <c r="AB527" s="14" t="s">
        <v>1385</v>
      </c>
      <c r="AC527" s="14">
        <v>6012220601</v>
      </c>
      <c r="AD527" s="14" t="s">
        <v>1134</v>
      </c>
      <c r="AE527" s="82">
        <v>96333333</v>
      </c>
      <c r="AF527" s="82">
        <v>0</v>
      </c>
      <c r="AG527" s="82">
        <v>0</v>
      </c>
      <c r="AH527" s="82">
        <v>4250000</v>
      </c>
      <c r="AI527" s="82">
        <v>0</v>
      </c>
      <c r="AJ527" s="82">
        <v>8500000</v>
      </c>
      <c r="AK527" s="82">
        <v>0</v>
      </c>
      <c r="AL527" s="82">
        <v>8500000</v>
      </c>
      <c r="AM527" s="82">
        <v>0</v>
      </c>
      <c r="AN527" s="82">
        <v>8500000</v>
      </c>
      <c r="AO527" s="82">
        <v>0</v>
      </c>
      <c r="AP527" s="82">
        <v>8500000</v>
      </c>
      <c r="AQ527" s="82">
        <v>1416667</v>
      </c>
      <c r="AR527" s="82">
        <v>8500000</v>
      </c>
      <c r="AS527" s="82">
        <v>0</v>
      </c>
      <c r="AT527" s="82">
        <v>8500000</v>
      </c>
      <c r="AU527" s="82">
        <v>0</v>
      </c>
      <c r="AV527" s="82">
        <v>8500000</v>
      </c>
      <c r="AW527" s="82">
        <v>0</v>
      </c>
      <c r="AX527" s="82">
        <v>8500000</v>
      </c>
      <c r="AY527" s="82">
        <v>0</v>
      </c>
      <c r="AZ527" s="82">
        <v>8500000</v>
      </c>
      <c r="BA527" s="82">
        <v>0</v>
      </c>
      <c r="BB527" s="82">
        <v>17000000</v>
      </c>
      <c r="BC527" s="82">
        <f t="shared" ref="BC527:BD527" si="1045">AE527+AG527+AI527+AK527+AM527+AO527+AQ527+AS527+AU527+AW527+AY527+BA527</f>
        <v>97750000</v>
      </c>
      <c r="BD527" s="82">
        <f t="shared" si="1045"/>
        <v>97750000</v>
      </c>
      <c r="BE527" s="83">
        <f t="shared" si="813"/>
        <v>0</v>
      </c>
      <c r="BF527" s="83">
        <f t="shared" si="814"/>
        <v>0</v>
      </c>
      <c r="BG527" s="14" t="str">
        <f ca="1">IFERROR(__xludf.DUMMYFUNCTION("REGEXEXTRACT(O521,""^\S+\s(.+)$"")"),"Prestación de servicios profesionales para la formulación e implementación de los lineamientos estadísticos sectoriales e institucionales orientados a la consolidación de planes y estrategias para el fortalecimiento y certificación de la información estad"&amp;"ística, así como el acompañamiento técnico y metodológico de las mesas estadísticas con participación de la UPME.")</f>
        <v>Prestación de servicios profesionales para la formulación e implementación de los lineamientos estadísticos sectoriales e institucionales orientados a la consolidación de planes y estrategias para el fortalecimiento y certificación de la información estadística, así como el acompañamiento técnico y metodológico de las mesas estadísticas con participación de la UPME.</v>
      </c>
      <c r="BH527" s="23">
        <v>96333333</v>
      </c>
      <c r="BI527" s="23"/>
      <c r="BJ527" s="23"/>
      <c r="BK527" s="23">
        <v>4250000</v>
      </c>
      <c r="BL527" s="23"/>
      <c r="BM527" s="23">
        <v>8500000</v>
      </c>
      <c r="BN527" s="23"/>
      <c r="BO527" s="23">
        <v>8500000</v>
      </c>
      <c r="BP527" s="23"/>
      <c r="BQ527" s="23">
        <v>8500000</v>
      </c>
      <c r="BR527" s="23"/>
      <c r="BS527" s="23">
        <v>8500000</v>
      </c>
      <c r="BT527" s="23">
        <v>1416667</v>
      </c>
      <c r="BU527" s="23">
        <v>8500000</v>
      </c>
      <c r="BV527" s="23"/>
      <c r="BW527" s="23">
        <v>8500000</v>
      </c>
      <c r="BX527" s="23"/>
      <c r="BY527" s="23">
        <v>8500000</v>
      </c>
      <c r="BZ527" s="23"/>
      <c r="CA527" s="23">
        <v>8500000</v>
      </c>
      <c r="CB527" s="23"/>
      <c r="CC527" s="23">
        <v>8500000</v>
      </c>
      <c r="CD527" s="23"/>
      <c r="CE527" s="23">
        <v>17000000</v>
      </c>
      <c r="CF527" s="28"/>
      <c r="CG527" s="28"/>
      <c r="CH527" s="25">
        <f t="shared" ref="CH527:CI527" si="1046">BH527+BJ527+BL527+BN527+BP527+BR527+BT527+BV527+BX527+BZ527+CB527+CD527+CF527</f>
        <v>97750000</v>
      </c>
      <c r="CI527" s="25">
        <f t="shared" si="1046"/>
        <v>97750000</v>
      </c>
      <c r="CJ527" s="26">
        <f t="shared" si="816"/>
        <v>0</v>
      </c>
      <c r="CK527" s="26">
        <f t="shared" si="817"/>
        <v>0</v>
      </c>
    </row>
    <row r="528" spans="1:89" ht="90" customHeight="1" x14ac:dyDescent="0.3">
      <c r="A528" s="13" t="s">
        <v>248</v>
      </c>
      <c r="B528" s="14" t="s">
        <v>37</v>
      </c>
      <c r="C528" s="15" t="s">
        <v>1380</v>
      </c>
      <c r="D528" s="14" t="s">
        <v>64</v>
      </c>
      <c r="E528" s="13" t="s">
        <v>250</v>
      </c>
      <c r="F528" s="13" t="s">
        <v>250</v>
      </c>
      <c r="G528" s="14">
        <v>68</v>
      </c>
      <c r="H528" s="13" t="s">
        <v>1423</v>
      </c>
      <c r="I528" s="15" t="s">
        <v>1421</v>
      </c>
      <c r="J528" s="14" t="s">
        <v>40</v>
      </c>
      <c r="K528" s="15" t="s">
        <v>70</v>
      </c>
      <c r="L528" s="14">
        <v>80111620</v>
      </c>
      <c r="M528" s="14" t="s">
        <v>39</v>
      </c>
      <c r="N528" s="14" t="s">
        <v>253</v>
      </c>
      <c r="O528" s="15" t="s">
        <v>1424</v>
      </c>
      <c r="P528" s="14" t="s">
        <v>255</v>
      </c>
      <c r="Q528" s="14" t="s">
        <v>255</v>
      </c>
      <c r="R528" s="14" t="s">
        <v>255</v>
      </c>
      <c r="S528" s="17">
        <v>11</v>
      </c>
      <c r="T528" s="14" t="s">
        <v>256</v>
      </c>
      <c r="U528" s="14" t="s">
        <v>257</v>
      </c>
      <c r="V528" s="14" t="s">
        <v>112</v>
      </c>
      <c r="W528" s="18">
        <v>48400000</v>
      </c>
      <c r="X528" s="18">
        <v>48400000</v>
      </c>
      <c r="Y528" s="19" t="s">
        <v>339</v>
      </c>
      <c r="Z528" s="19" t="s">
        <v>258</v>
      </c>
      <c r="AA528" s="14" t="s">
        <v>1384</v>
      </c>
      <c r="AB528" s="14" t="s">
        <v>1385</v>
      </c>
      <c r="AC528" s="14">
        <v>6012220601</v>
      </c>
      <c r="AD528" s="14" t="s">
        <v>1134</v>
      </c>
      <c r="AE528" s="82">
        <v>48400000</v>
      </c>
      <c r="AF528" s="82">
        <v>0</v>
      </c>
      <c r="AG528" s="82">
        <v>0</v>
      </c>
      <c r="AH528" s="82">
        <v>1100000</v>
      </c>
      <c r="AI528" s="82">
        <v>0</v>
      </c>
      <c r="AJ528" s="82">
        <v>4400000</v>
      </c>
      <c r="AK528" s="82">
        <v>0</v>
      </c>
      <c r="AL528" s="82">
        <v>4400000</v>
      </c>
      <c r="AM528" s="82">
        <v>0</v>
      </c>
      <c r="AN528" s="82">
        <v>4400000</v>
      </c>
      <c r="AO528" s="82">
        <v>0</v>
      </c>
      <c r="AP528" s="82">
        <v>4400000</v>
      </c>
      <c r="AQ528" s="82">
        <v>0</v>
      </c>
      <c r="AR528" s="82">
        <v>4400000</v>
      </c>
      <c r="AS528" s="82">
        <v>0</v>
      </c>
      <c r="AT528" s="82">
        <v>4400000</v>
      </c>
      <c r="AU528" s="82">
        <v>0</v>
      </c>
      <c r="AV528" s="82">
        <v>4400000</v>
      </c>
      <c r="AW528" s="82">
        <v>0</v>
      </c>
      <c r="AX528" s="82">
        <v>4400000</v>
      </c>
      <c r="AY528" s="82">
        <v>0</v>
      </c>
      <c r="AZ528" s="82">
        <v>4400000</v>
      </c>
      <c r="BA528" s="82">
        <v>0</v>
      </c>
      <c r="BB528" s="82">
        <v>7700000</v>
      </c>
      <c r="BC528" s="82">
        <f t="shared" ref="BC528:BD528" si="1047">AE528+AG528+AI528+AK528+AM528+AO528+AQ528+AS528+AU528+AW528+AY528+BA528</f>
        <v>48400000</v>
      </c>
      <c r="BD528" s="82">
        <f t="shared" si="1047"/>
        <v>48400000</v>
      </c>
      <c r="BE528" s="83">
        <f t="shared" si="813"/>
        <v>0</v>
      </c>
      <c r="BF528" s="83">
        <f t="shared" si="814"/>
        <v>0</v>
      </c>
      <c r="BG528" s="14" t="str">
        <f ca="1">IFERROR(__xludf.DUMMYFUNCTION("REGEXEXTRACT(O522,""^\S+\s(.+)$"")"),"Prestación de servicios profesionales orientados al fortalecimiento de la política MIPG de Gestión de Información Estadística, así como al mejoramiento continuo de registros administrativos y operaciones estadísticas.")</f>
        <v>Prestación de servicios profesionales orientados al fortalecimiento de la política MIPG de Gestión de Información Estadística, así como al mejoramiento continuo de registros administrativos y operaciones estadísticas.</v>
      </c>
      <c r="BH528" s="23">
        <v>48400000</v>
      </c>
      <c r="BI528" s="23"/>
      <c r="BJ528" s="23"/>
      <c r="BK528" s="23">
        <v>1100000</v>
      </c>
      <c r="BL528" s="23"/>
      <c r="BM528" s="23">
        <v>4400000</v>
      </c>
      <c r="BN528" s="23"/>
      <c r="BO528" s="23">
        <v>4400000</v>
      </c>
      <c r="BP528" s="23"/>
      <c r="BQ528" s="23">
        <v>4400000</v>
      </c>
      <c r="BR528" s="23"/>
      <c r="BS528" s="23">
        <v>4400000</v>
      </c>
      <c r="BT528" s="23"/>
      <c r="BU528" s="23">
        <v>4400000</v>
      </c>
      <c r="BV528" s="23"/>
      <c r="BW528" s="23">
        <v>4400000</v>
      </c>
      <c r="BX528" s="23"/>
      <c r="BY528" s="23">
        <v>4400000</v>
      </c>
      <c r="BZ528" s="23"/>
      <c r="CA528" s="23">
        <v>4400000</v>
      </c>
      <c r="CB528" s="23"/>
      <c r="CC528" s="23">
        <v>4400000</v>
      </c>
      <c r="CD528" s="23"/>
      <c r="CE528" s="23">
        <v>7700000</v>
      </c>
      <c r="CF528" s="28"/>
      <c r="CG528" s="28"/>
      <c r="CH528" s="25">
        <f t="shared" ref="CH528:CI528" si="1048">BH528+BJ528+BL528+BN528+BP528+BR528+BT528+BV528+BX528+BZ528+CB528+CD528+CF528</f>
        <v>48400000</v>
      </c>
      <c r="CI528" s="25">
        <f t="shared" si="1048"/>
        <v>48400000</v>
      </c>
      <c r="CJ528" s="26">
        <f t="shared" si="816"/>
        <v>0</v>
      </c>
      <c r="CK528" s="26">
        <f t="shared" si="817"/>
        <v>0</v>
      </c>
    </row>
    <row r="529" spans="1:89" ht="90" customHeight="1" x14ac:dyDescent="0.3">
      <c r="A529" s="13" t="s">
        <v>248</v>
      </c>
      <c r="B529" s="14" t="s">
        <v>37</v>
      </c>
      <c r="C529" s="15" t="s">
        <v>1380</v>
      </c>
      <c r="D529" s="14" t="s">
        <v>64</v>
      </c>
      <c r="E529" s="13" t="s">
        <v>250</v>
      </c>
      <c r="F529" s="13" t="s">
        <v>250</v>
      </c>
      <c r="G529" s="14">
        <v>68</v>
      </c>
      <c r="H529" s="13" t="s">
        <v>1425</v>
      </c>
      <c r="I529" s="15" t="s">
        <v>1421</v>
      </c>
      <c r="J529" s="14" t="s">
        <v>40</v>
      </c>
      <c r="K529" s="15" t="s">
        <v>70</v>
      </c>
      <c r="L529" s="14">
        <v>80111620</v>
      </c>
      <c r="M529" s="14" t="s">
        <v>39</v>
      </c>
      <c r="N529" s="14" t="s">
        <v>253</v>
      </c>
      <c r="O529" s="15" t="s">
        <v>1426</v>
      </c>
      <c r="P529" s="14" t="s">
        <v>255</v>
      </c>
      <c r="Q529" s="14" t="s">
        <v>255</v>
      </c>
      <c r="R529" s="14" t="s">
        <v>255</v>
      </c>
      <c r="S529" s="17">
        <v>6</v>
      </c>
      <c r="T529" s="14" t="s">
        <v>256</v>
      </c>
      <c r="U529" s="14" t="s">
        <v>257</v>
      </c>
      <c r="V529" s="14" t="s">
        <v>112</v>
      </c>
      <c r="W529" s="18">
        <v>40360560</v>
      </c>
      <c r="X529" s="18">
        <v>40360560</v>
      </c>
      <c r="Y529" s="19" t="s">
        <v>339</v>
      </c>
      <c r="Z529" s="19" t="s">
        <v>258</v>
      </c>
      <c r="AA529" s="14" t="s">
        <v>1384</v>
      </c>
      <c r="AB529" s="14" t="s">
        <v>1385</v>
      </c>
      <c r="AC529" s="14">
        <v>6012220601</v>
      </c>
      <c r="AD529" s="14" t="s">
        <v>1134</v>
      </c>
      <c r="AE529" s="82">
        <v>40360560</v>
      </c>
      <c r="AF529" s="82">
        <v>0</v>
      </c>
      <c r="AG529" s="82">
        <v>0</v>
      </c>
      <c r="AH529" s="82">
        <v>3363380</v>
      </c>
      <c r="AI529" s="82">
        <v>0</v>
      </c>
      <c r="AJ529" s="82">
        <v>6726760</v>
      </c>
      <c r="AK529" s="82">
        <v>0</v>
      </c>
      <c r="AL529" s="82">
        <v>6726760</v>
      </c>
      <c r="AM529" s="82">
        <v>0</v>
      </c>
      <c r="AN529" s="82">
        <v>6726760</v>
      </c>
      <c r="AO529" s="82">
        <v>0</v>
      </c>
      <c r="AP529" s="82">
        <v>6726760</v>
      </c>
      <c r="AQ529" s="82">
        <v>0</v>
      </c>
      <c r="AR529" s="82">
        <v>6726760</v>
      </c>
      <c r="AS529" s="82">
        <v>0</v>
      </c>
      <c r="AT529" s="82">
        <v>3363380</v>
      </c>
      <c r="AU529" s="82">
        <v>0</v>
      </c>
      <c r="AV529" s="82">
        <v>0</v>
      </c>
      <c r="AW529" s="82">
        <v>0</v>
      </c>
      <c r="AX529" s="82">
        <v>0</v>
      </c>
      <c r="AY529" s="82">
        <v>0</v>
      </c>
      <c r="AZ529" s="82">
        <v>0</v>
      </c>
      <c r="BA529" s="82">
        <v>0</v>
      </c>
      <c r="BB529" s="82">
        <v>0</v>
      </c>
      <c r="BC529" s="82">
        <f t="shared" ref="BC529:BD529" si="1049">AE529+AG529+AI529+AK529+AM529+AO529+AQ529+AS529+AU529+AW529+AY529+BA529</f>
        <v>40360560</v>
      </c>
      <c r="BD529" s="82">
        <f t="shared" si="1049"/>
        <v>40360560</v>
      </c>
      <c r="BE529" s="83">
        <f t="shared" si="813"/>
        <v>0</v>
      </c>
      <c r="BF529" s="83">
        <f t="shared" si="814"/>
        <v>0</v>
      </c>
      <c r="BG529" s="14" t="str">
        <f ca="1">IFERROR(__xludf.DUMMYFUNCTION("REGEXEXTRACT(O523,""^\S+\s(.+)$"")"),"Prestar los servicios profesionales en el proceso de gestión documental en la implementación del Plan Institucional de Archivos – PINAR y en la gestión de los recursos bibliográficos a través de la biblioteca digital de la UPME para vigencia 2026.")</f>
        <v>Prestar los servicios profesionales en el proceso de gestión documental en la implementación del Plan Institucional de Archivos – PINAR y en la gestión de los recursos bibliográficos a través de la biblioteca digital de la UPME para vigencia 2026.</v>
      </c>
      <c r="BH529" s="23">
        <v>40360560</v>
      </c>
      <c r="BI529" s="23"/>
      <c r="BJ529" s="23"/>
      <c r="BK529" s="23">
        <v>3363380</v>
      </c>
      <c r="BL529" s="23"/>
      <c r="BM529" s="23">
        <v>6726760</v>
      </c>
      <c r="BN529" s="23"/>
      <c r="BO529" s="23">
        <v>6726760</v>
      </c>
      <c r="BP529" s="23"/>
      <c r="BQ529" s="23">
        <v>6726760</v>
      </c>
      <c r="BR529" s="23"/>
      <c r="BS529" s="23">
        <v>6726760</v>
      </c>
      <c r="BT529" s="23"/>
      <c r="BU529" s="23">
        <v>6726760</v>
      </c>
      <c r="BV529" s="23"/>
      <c r="BW529" s="23">
        <v>3363380</v>
      </c>
      <c r="BX529" s="23"/>
      <c r="BY529" s="23"/>
      <c r="BZ529" s="23"/>
      <c r="CA529" s="23"/>
      <c r="CB529" s="23"/>
      <c r="CC529" s="23"/>
      <c r="CD529" s="23"/>
      <c r="CE529" s="23"/>
      <c r="CF529" s="28"/>
      <c r="CG529" s="28"/>
      <c r="CH529" s="25">
        <f t="shared" ref="CH529:CI529" si="1050">BH529+BJ529+BL529+BN529+BP529+BR529+BT529+BV529+BX529+BZ529+CB529+CD529+CF529</f>
        <v>40360560</v>
      </c>
      <c r="CI529" s="25">
        <f t="shared" si="1050"/>
        <v>40360560</v>
      </c>
      <c r="CJ529" s="26">
        <f t="shared" si="816"/>
        <v>0</v>
      </c>
      <c r="CK529" s="26">
        <f t="shared" si="817"/>
        <v>0</v>
      </c>
    </row>
    <row r="530" spans="1:89" ht="90" customHeight="1" x14ac:dyDescent="0.3">
      <c r="A530" s="13" t="s">
        <v>248</v>
      </c>
      <c r="B530" s="14" t="s">
        <v>37</v>
      </c>
      <c r="C530" s="15" t="s">
        <v>1380</v>
      </c>
      <c r="D530" s="14" t="s">
        <v>64</v>
      </c>
      <c r="E530" s="13" t="s">
        <v>250</v>
      </c>
      <c r="F530" s="13" t="s">
        <v>250</v>
      </c>
      <c r="G530" s="14">
        <v>22</v>
      </c>
      <c r="H530" s="13" t="s">
        <v>1427</v>
      </c>
      <c r="I530" s="15" t="s">
        <v>1421</v>
      </c>
      <c r="J530" s="14" t="s">
        <v>40</v>
      </c>
      <c r="K530" s="15" t="s">
        <v>70</v>
      </c>
      <c r="L530" s="14">
        <v>81112003</v>
      </c>
      <c r="M530" s="14" t="s">
        <v>39</v>
      </c>
      <c r="N530" s="14" t="s">
        <v>770</v>
      </c>
      <c r="O530" s="15" t="s">
        <v>1428</v>
      </c>
      <c r="P530" s="14" t="s">
        <v>280</v>
      </c>
      <c r="Q530" s="14" t="s">
        <v>281</v>
      </c>
      <c r="R530" s="14" t="s">
        <v>281</v>
      </c>
      <c r="S530" s="17">
        <v>12</v>
      </c>
      <c r="T530" s="14" t="s">
        <v>256</v>
      </c>
      <c r="U530" s="14" t="s">
        <v>282</v>
      </c>
      <c r="V530" s="14" t="s">
        <v>112</v>
      </c>
      <c r="W530" s="18">
        <v>3704440</v>
      </c>
      <c r="X530" s="18">
        <v>3704440</v>
      </c>
      <c r="Y530" s="19" t="s">
        <v>339</v>
      </c>
      <c r="Z530" s="19" t="s">
        <v>258</v>
      </c>
      <c r="AA530" s="14" t="s">
        <v>1384</v>
      </c>
      <c r="AB530" s="14" t="s">
        <v>1385</v>
      </c>
      <c r="AC530" s="14">
        <v>6012220601</v>
      </c>
      <c r="AD530" s="14" t="s">
        <v>1134</v>
      </c>
      <c r="AE530" s="82">
        <v>0</v>
      </c>
      <c r="AF530" s="82">
        <v>0</v>
      </c>
      <c r="AG530" s="82">
        <v>0</v>
      </c>
      <c r="AH530" s="82">
        <v>0</v>
      </c>
      <c r="AI530" s="82">
        <v>0</v>
      </c>
      <c r="AJ530" s="82">
        <v>0</v>
      </c>
      <c r="AK530" s="82">
        <v>3704440</v>
      </c>
      <c r="AL530" s="82">
        <v>0</v>
      </c>
      <c r="AM530" s="82">
        <v>0</v>
      </c>
      <c r="AN530" s="82">
        <v>3704440</v>
      </c>
      <c r="AO530" s="82">
        <v>0</v>
      </c>
      <c r="AP530" s="82">
        <v>0</v>
      </c>
      <c r="AQ530" s="82">
        <v>0</v>
      </c>
      <c r="AR530" s="82">
        <v>0</v>
      </c>
      <c r="AS530" s="82">
        <v>0</v>
      </c>
      <c r="AT530" s="82">
        <v>0</v>
      </c>
      <c r="AU530" s="82">
        <v>0</v>
      </c>
      <c r="AV530" s="82">
        <v>0</v>
      </c>
      <c r="AW530" s="82">
        <v>0</v>
      </c>
      <c r="AX530" s="82">
        <v>0</v>
      </c>
      <c r="AY530" s="82">
        <v>0</v>
      </c>
      <c r="AZ530" s="82">
        <v>0</v>
      </c>
      <c r="BA530" s="82">
        <v>0</v>
      </c>
      <c r="BB530" s="82">
        <v>0</v>
      </c>
      <c r="BC530" s="82">
        <f t="shared" ref="BC530:BD530" si="1051">AE530+AG530+AI530+AK530+AM530+AO530+AQ530+AS530+AU530+AW530+AY530+BA530</f>
        <v>3704440</v>
      </c>
      <c r="BD530" s="82">
        <f t="shared" si="1051"/>
        <v>3704440</v>
      </c>
      <c r="BE530" s="83">
        <f t="shared" si="813"/>
        <v>0</v>
      </c>
      <c r="BF530" s="83">
        <f t="shared" si="814"/>
        <v>0</v>
      </c>
      <c r="BG530" s="14" t="str">
        <f ca="1">IFERROR(__xludf.DUMMYFUNCTION("REGEXEXTRACT(O524,""^\S+\s(.+)$"")"),"Adquirir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30" s="23">
        <v>0</v>
      </c>
      <c r="BI530" s="23">
        <v>0</v>
      </c>
      <c r="BJ530" s="23">
        <v>0</v>
      </c>
      <c r="BK530" s="23">
        <v>0</v>
      </c>
      <c r="BL530" s="23">
        <v>0</v>
      </c>
      <c r="BM530" s="23">
        <v>0</v>
      </c>
      <c r="BN530" s="23">
        <v>0</v>
      </c>
      <c r="BO530" s="23">
        <v>0</v>
      </c>
      <c r="BP530" s="23">
        <v>3704440</v>
      </c>
      <c r="BQ530" s="23">
        <v>0</v>
      </c>
      <c r="BR530" s="23">
        <v>0</v>
      </c>
      <c r="BS530" s="23">
        <v>0</v>
      </c>
      <c r="BT530" s="23">
        <v>0</v>
      </c>
      <c r="BU530" s="23">
        <v>3704440</v>
      </c>
      <c r="BV530" s="23">
        <v>0</v>
      </c>
      <c r="BW530" s="23">
        <v>0</v>
      </c>
      <c r="BX530" s="23">
        <v>0</v>
      </c>
      <c r="BY530" s="23">
        <v>0</v>
      </c>
      <c r="BZ530" s="23">
        <v>0</v>
      </c>
      <c r="CA530" s="23">
        <v>0</v>
      </c>
      <c r="CB530" s="23">
        <v>0</v>
      </c>
      <c r="CC530" s="23">
        <v>0</v>
      </c>
      <c r="CD530" s="23">
        <v>0</v>
      </c>
      <c r="CE530" s="23">
        <v>0</v>
      </c>
      <c r="CF530" s="28"/>
      <c r="CG530" s="28"/>
      <c r="CH530" s="25">
        <f t="shared" ref="CH530:CI530" si="1052">BH530+BJ530+BL530+BN530+BP530+BR530+BT530+BV530+BX530+BZ530+CB530+CD530+CF530</f>
        <v>3704440</v>
      </c>
      <c r="CI530" s="25">
        <f t="shared" si="1052"/>
        <v>3704440</v>
      </c>
      <c r="CJ530" s="26">
        <f t="shared" si="816"/>
        <v>0</v>
      </c>
      <c r="CK530" s="26">
        <f t="shared" si="817"/>
        <v>0</v>
      </c>
    </row>
    <row r="531" spans="1:89" ht="90" customHeight="1" x14ac:dyDescent="0.3">
      <c r="A531" s="13" t="s">
        <v>248</v>
      </c>
      <c r="B531" s="14" t="s">
        <v>37</v>
      </c>
      <c r="C531" s="15" t="s">
        <v>1380</v>
      </c>
      <c r="D531" s="14" t="s">
        <v>64</v>
      </c>
      <c r="E531" s="13" t="s">
        <v>250</v>
      </c>
      <c r="F531" s="13" t="s">
        <v>250</v>
      </c>
      <c r="G531" s="14">
        <v>68</v>
      </c>
      <c r="H531" s="13" t="s">
        <v>1429</v>
      </c>
      <c r="I531" s="15" t="s">
        <v>1421</v>
      </c>
      <c r="J531" s="14" t="s">
        <v>43</v>
      </c>
      <c r="K531" s="15" t="s">
        <v>89</v>
      </c>
      <c r="L531" s="14">
        <v>80111620</v>
      </c>
      <c r="M531" s="14" t="s">
        <v>44</v>
      </c>
      <c r="N531" s="14" t="s">
        <v>253</v>
      </c>
      <c r="O531" s="15" t="s">
        <v>1430</v>
      </c>
      <c r="P531" s="14" t="s">
        <v>255</v>
      </c>
      <c r="Q531" s="14" t="s">
        <v>255</v>
      </c>
      <c r="R531" s="14" t="s">
        <v>255</v>
      </c>
      <c r="S531" s="17">
        <v>11.5</v>
      </c>
      <c r="T531" s="14" t="s">
        <v>256</v>
      </c>
      <c r="U531" s="14" t="s">
        <v>257</v>
      </c>
      <c r="V531" s="14" t="s">
        <v>112</v>
      </c>
      <c r="W531" s="18">
        <v>63250000</v>
      </c>
      <c r="X531" s="18">
        <v>63250000</v>
      </c>
      <c r="Y531" s="19" t="s">
        <v>339</v>
      </c>
      <c r="Z531" s="19" t="s">
        <v>258</v>
      </c>
      <c r="AA531" s="14" t="s">
        <v>1384</v>
      </c>
      <c r="AB531" s="14" t="s">
        <v>1385</v>
      </c>
      <c r="AC531" s="14">
        <v>6012220601</v>
      </c>
      <c r="AD531" s="14" t="s">
        <v>1134</v>
      </c>
      <c r="AE531" s="82">
        <v>63250000</v>
      </c>
      <c r="AF531" s="82">
        <v>0</v>
      </c>
      <c r="AG531" s="82">
        <v>0</v>
      </c>
      <c r="AH531" s="82">
        <v>2750000</v>
      </c>
      <c r="AI531" s="82">
        <v>0</v>
      </c>
      <c r="AJ531" s="82">
        <v>5500000</v>
      </c>
      <c r="AK531" s="82">
        <v>0</v>
      </c>
      <c r="AL531" s="82">
        <v>5500000</v>
      </c>
      <c r="AM531" s="82">
        <v>0</v>
      </c>
      <c r="AN531" s="82">
        <v>5500000</v>
      </c>
      <c r="AO531" s="82">
        <v>0</v>
      </c>
      <c r="AP531" s="82">
        <v>5500000</v>
      </c>
      <c r="AQ531" s="82">
        <v>0</v>
      </c>
      <c r="AR531" s="82">
        <v>5500000</v>
      </c>
      <c r="AS531" s="82">
        <v>0</v>
      </c>
      <c r="AT531" s="82">
        <v>5500000</v>
      </c>
      <c r="AU531" s="82">
        <v>0</v>
      </c>
      <c r="AV531" s="82">
        <v>5500000</v>
      </c>
      <c r="AW531" s="82">
        <v>0</v>
      </c>
      <c r="AX531" s="82">
        <v>5500000</v>
      </c>
      <c r="AY531" s="82">
        <v>0</v>
      </c>
      <c r="AZ531" s="82">
        <v>5500000</v>
      </c>
      <c r="BA531" s="82">
        <v>0</v>
      </c>
      <c r="BB531" s="82">
        <v>11000000</v>
      </c>
      <c r="BC531" s="82">
        <f t="shared" ref="BC531:BD531" si="1053">AE531+AG531+AI531+AK531+AM531+AO531+AQ531+AS531+AU531+AW531+AY531+BA531</f>
        <v>63250000</v>
      </c>
      <c r="BD531" s="82">
        <f t="shared" si="1053"/>
        <v>63250000</v>
      </c>
      <c r="BE531" s="83">
        <f t="shared" si="813"/>
        <v>0</v>
      </c>
      <c r="BF531" s="83">
        <f t="shared" si="814"/>
        <v>0</v>
      </c>
      <c r="BG531" s="14" t="str">
        <f ca="1">IFERROR(__xludf.DUMMYFUNCTION("REGEXEXTRACT(O525,""^\S+\s(.+)$"")"),"Prestación de servicios profesionales orientados a definir, estructurar y apoyar la implementación de modelos de analítica de datos e inteligencia artificial que permitan identificar patrones, tendencias y correlaciones significativas, utilizando herramie"&amp;"ntas estadísticas, de analítica y de visualización.")</f>
        <v>Prestación de servicios profesionales orientados a definir, estructurar y apoyar la implementación de modelos de analítica de datos e inteligencia artificial que permitan identificar patrones, tendencias y correlaciones significativas, utilizando herramientas estadísticas, de analítica y de visualización.</v>
      </c>
      <c r="BH531" s="23">
        <v>63250000</v>
      </c>
      <c r="BI531" s="23"/>
      <c r="BJ531" s="23"/>
      <c r="BK531" s="23">
        <v>2750000</v>
      </c>
      <c r="BL531" s="23"/>
      <c r="BM531" s="23">
        <v>5500000</v>
      </c>
      <c r="BN531" s="23"/>
      <c r="BO531" s="23">
        <v>5500000</v>
      </c>
      <c r="BP531" s="23"/>
      <c r="BQ531" s="23">
        <v>5500000</v>
      </c>
      <c r="BR531" s="23"/>
      <c r="BS531" s="23">
        <v>5500000</v>
      </c>
      <c r="BT531" s="23"/>
      <c r="BU531" s="23">
        <v>5500000</v>
      </c>
      <c r="BV531" s="23"/>
      <c r="BW531" s="23">
        <v>5500000</v>
      </c>
      <c r="BX531" s="23"/>
      <c r="BY531" s="23">
        <v>5500000</v>
      </c>
      <c r="BZ531" s="23"/>
      <c r="CA531" s="23">
        <v>5500000</v>
      </c>
      <c r="CB531" s="23"/>
      <c r="CC531" s="23">
        <v>5500000</v>
      </c>
      <c r="CD531" s="23"/>
      <c r="CE531" s="23">
        <v>11000000</v>
      </c>
      <c r="CF531" s="28"/>
      <c r="CG531" s="28"/>
      <c r="CH531" s="25">
        <f t="shared" ref="CH531:CI531" si="1054">BH531+BJ531+BL531+BN531+BP531+BR531+BT531+BV531+BX531+BZ531+CB531+CD531+CF531</f>
        <v>63250000</v>
      </c>
      <c r="CI531" s="25">
        <f t="shared" si="1054"/>
        <v>63250000</v>
      </c>
      <c r="CJ531" s="26">
        <f t="shared" si="816"/>
        <v>0</v>
      </c>
      <c r="CK531" s="26">
        <f t="shared" si="817"/>
        <v>0</v>
      </c>
    </row>
    <row r="532" spans="1:89" ht="90" customHeight="1" x14ac:dyDescent="0.3">
      <c r="A532" s="13" t="s">
        <v>248</v>
      </c>
      <c r="B532" s="14" t="s">
        <v>37</v>
      </c>
      <c r="C532" s="15" t="s">
        <v>1380</v>
      </c>
      <c r="D532" s="14" t="s">
        <v>64</v>
      </c>
      <c r="E532" s="13" t="s">
        <v>250</v>
      </c>
      <c r="F532" s="13" t="s">
        <v>250</v>
      </c>
      <c r="G532" s="14">
        <v>22</v>
      </c>
      <c r="H532" s="13" t="s">
        <v>1431</v>
      </c>
      <c r="I532" s="15" t="s">
        <v>1421</v>
      </c>
      <c r="J532" s="14" t="s">
        <v>43</v>
      </c>
      <c r="K532" s="15" t="s">
        <v>89</v>
      </c>
      <c r="L532" s="14">
        <v>81112003</v>
      </c>
      <c r="M532" s="14" t="s">
        <v>44</v>
      </c>
      <c r="N532" s="14" t="s">
        <v>770</v>
      </c>
      <c r="O532" s="15" t="s">
        <v>1432</v>
      </c>
      <c r="P532" s="14" t="s">
        <v>280</v>
      </c>
      <c r="Q532" s="14" t="s">
        <v>281</v>
      </c>
      <c r="R532" s="14" t="s">
        <v>281</v>
      </c>
      <c r="S532" s="17">
        <v>12</v>
      </c>
      <c r="T532" s="14" t="s">
        <v>256</v>
      </c>
      <c r="U532" s="14" t="s">
        <v>282</v>
      </c>
      <c r="V532" s="14" t="s">
        <v>112</v>
      </c>
      <c r="W532" s="18">
        <v>12637520</v>
      </c>
      <c r="X532" s="18">
        <v>12637520</v>
      </c>
      <c r="Y532" s="19" t="s">
        <v>339</v>
      </c>
      <c r="Z532" s="19" t="s">
        <v>258</v>
      </c>
      <c r="AA532" s="14" t="s">
        <v>1384</v>
      </c>
      <c r="AB532" s="14" t="s">
        <v>1385</v>
      </c>
      <c r="AC532" s="14">
        <v>6012220601</v>
      </c>
      <c r="AD532" s="14" t="s">
        <v>1134</v>
      </c>
      <c r="AE532" s="82">
        <v>0</v>
      </c>
      <c r="AF532" s="82">
        <v>0</v>
      </c>
      <c r="AG532" s="82">
        <v>0</v>
      </c>
      <c r="AH532" s="82">
        <v>0</v>
      </c>
      <c r="AI532" s="82">
        <v>0</v>
      </c>
      <c r="AJ532" s="82">
        <v>0</v>
      </c>
      <c r="AK532" s="82">
        <v>12637520</v>
      </c>
      <c r="AL532" s="82">
        <v>0</v>
      </c>
      <c r="AM532" s="82">
        <v>0</v>
      </c>
      <c r="AN532" s="82">
        <v>12637520</v>
      </c>
      <c r="AO532" s="82">
        <v>0</v>
      </c>
      <c r="AP532" s="82">
        <v>0</v>
      </c>
      <c r="AQ532" s="82">
        <v>0</v>
      </c>
      <c r="AR532" s="82">
        <v>0</v>
      </c>
      <c r="AS532" s="82">
        <v>0</v>
      </c>
      <c r="AT532" s="82">
        <v>0</v>
      </c>
      <c r="AU532" s="82">
        <v>0</v>
      </c>
      <c r="AV532" s="82">
        <v>0</v>
      </c>
      <c r="AW532" s="82">
        <v>0</v>
      </c>
      <c r="AX532" s="82">
        <v>0</v>
      </c>
      <c r="AY532" s="82">
        <v>0</v>
      </c>
      <c r="AZ532" s="82">
        <v>0</v>
      </c>
      <c r="BA532" s="82">
        <v>0</v>
      </c>
      <c r="BB532" s="82">
        <v>0</v>
      </c>
      <c r="BC532" s="82">
        <f t="shared" ref="BC532:BD532" si="1055">AE532+AG532+AI532+AK532+AM532+AO532+AQ532+AS532+AU532+AW532+AY532+BA532</f>
        <v>12637520</v>
      </c>
      <c r="BD532" s="82">
        <f t="shared" si="1055"/>
        <v>12637520</v>
      </c>
      <c r="BE532" s="83">
        <f t="shared" si="813"/>
        <v>0</v>
      </c>
      <c r="BF532" s="83">
        <f t="shared" si="814"/>
        <v>0</v>
      </c>
      <c r="BG532" s="14" t="str">
        <f ca="1">IFERROR(__xludf.DUMMYFUNCTION("REGEXEXTRACT(O526,""^\S+\s(.+)$"")"),"Adquirir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32" s="23">
        <v>0</v>
      </c>
      <c r="BI532" s="23">
        <v>0</v>
      </c>
      <c r="BJ532" s="23">
        <v>0</v>
      </c>
      <c r="BK532" s="23">
        <v>0</v>
      </c>
      <c r="BL532" s="23">
        <v>0</v>
      </c>
      <c r="BM532" s="23">
        <v>0</v>
      </c>
      <c r="BN532" s="23">
        <v>0</v>
      </c>
      <c r="BO532" s="23">
        <v>0</v>
      </c>
      <c r="BP532" s="23">
        <v>12637520</v>
      </c>
      <c r="BQ532" s="23">
        <v>0</v>
      </c>
      <c r="BR532" s="23">
        <v>0</v>
      </c>
      <c r="BS532" s="23">
        <v>0</v>
      </c>
      <c r="BT532" s="23">
        <v>0</v>
      </c>
      <c r="BU532" s="23">
        <v>12637520</v>
      </c>
      <c r="BV532" s="23">
        <v>0</v>
      </c>
      <c r="BW532" s="23">
        <v>0</v>
      </c>
      <c r="BX532" s="23">
        <v>0</v>
      </c>
      <c r="BY532" s="23">
        <v>0</v>
      </c>
      <c r="BZ532" s="23">
        <v>0</v>
      </c>
      <c r="CA532" s="23">
        <v>0</v>
      </c>
      <c r="CB532" s="23">
        <v>0</v>
      </c>
      <c r="CC532" s="23">
        <v>0</v>
      </c>
      <c r="CD532" s="23">
        <v>0</v>
      </c>
      <c r="CE532" s="23">
        <v>0</v>
      </c>
      <c r="CF532" s="28"/>
      <c r="CG532" s="28"/>
      <c r="CH532" s="25">
        <f t="shared" ref="CH532:CI532" si="1056">BH532+BJ532+BL532+BN532+BP532+BR532+BT532+BV532+BX532+BZ532+CB532+CD532+CF532</f>
        <v>12637520</v>
      </c>
      <c r="CI532" s="25">
        <f t="shared" si="1056"/>
        <v>12637520</v>
      </c>
      <c r="CJ532" s="26">
        <f t="shared" si="816"/>
        <v>0</v>
      </c>
      <c r="CK532" s="26">
        <f t="shared" si="817"/>
        <v>0</v>
      </c>
    </row>
    <row r="533" spans="1:89" ht="90" customHeight="1" x14ac:dyDescent="0.3">
      <c r="A533" s="13" t="s">
        <v>248</v>
      </c>
      <c r="B533" s="14" t="s">
        <v>37</v>
      </c>
      <c r="C533" s="15" t="s">
        <v>1380</v>
      </c>
      <c r="D533" s="14" t="s">
        <v>64</v>
      </c>
      <c r="E533" s="13" t="s">
        <v>250</v>
      </c>
      <c r="F533" s="13" t="s">
        <v>250</v>
      </c>
      <c r="G533" s="14">
        <v>22</v>
      </c>
      <c r="H533" s="13" t="s">
        <v>1433</v>
      </c>
      <c r="I533" s="15" t="s">
        <v>1421</v>
      </c>
      <c r="J533" s="14" t="s">
        <v>43</v>
      </c>
      <c r="K533" s="15" t="s">
        <v>90</v>
      </c>
      <c r="L533" s="14">
        <v>80111620</v>
      </c>
      <c r="M533" s="14" t="s">
        <v>44</v>
      </c>
      <c r="N533" s="14" t="s">
        <v>253</v>
      </c>
      <c r="O533" s="15" t="s">
        <v>1434</v>
      </c>
      <c r="P533" s="14" t="s">
        <v>255</v>
      </c>
      <c r="Q533" s="14" t="s">
        <v>255</v>
      </c>
      <c r="R533" s="14" t="s">
        <v>255</v>
      </c>
      <c r="S533" s="17">
        <v>11</v>
      </c>
      <c r="T533" s="14" t="s">
        <v>256</v>
      </c>
      <c r="U533" s="14" t="s">
        <v>257</v>
      </c>
      <c r="V533" s="14" t="s">
        <v>112</v>
      </c>
      <c r="W533" s="18">
        <v>25228165</v>
      </c>
      <c r="X533" s="18">
        <v>25228165</v>
      </c>
      <c r="Y533" s="19" t="s">
        <v>339</v>
      </c>
      <c r="Z533" s="19" t="s">
        <v>258</v>
      </c>
      <c r="AA533" s="14" t="s">
        <v>1384</v>
      </c>
      <c r="AB533" s="14" t="s">
        <v>1385</v>
      </c>
      <c r="AC533" s="14">
        <v>6012220601</v>
      </c>
      <c r="AD533" s="14" t="s">
        <v>1134</v>
      </c>
      <c r="AE533" s="82">
        <v>0</v>
      </c>
      <c r="AF533" s="82">
        <v>0</v>
      </c>
      <c r="AG533" s="82">
        <v>0</v>
      </c>
      <c r="AH533" s="82">
        <v>0</v>
      </c>
      <c r="AI533" s="82">
        <v>0</v>
      </c>
      <c r="AJ533" s="82">
        <v>0</v>
      </c>
      <c r="AK533" s="82">
        <v>0</v>
      </c>
      <c r="AL533" s="82">
        <v>0</v>
      </c>
      <c r="AM533" s="82">
        <v>0</v>
      </c>
      <c r="AN533" s="82">
        <v>0</v>
      </c>
      <c r="AO533" s="82">
        <v>0</v>
      </c>
      <c r="AP533" s="82">
        <v>0</v>
      </c>
      <c r="AQ533" s="82">
        <v>0</v>
      </c>
      <c r="AR533" s="82">
        <v>0</v>
      </c>
      <c r="AS533" s="82">
        <v>44000000</v>
      </c>
      <c r="AT533" s="82">
        <v>0</v>
      </c>
      <c r="AU533" s="82">
        <v>0</v>
      </c>
      <c r="AV533" s="82">
        <v>0</v>
      </c>
      <c r="AW533" s="82">
        <v>0</v>
      </c>
      <c r="AX533" s="82">
        <v>0</v>
      </c>
      <c r="AY533" s="82">
        <v>0</v>
      </c>
      <c r="AZ533" s="82">
        <v>0</v>
      </c>
      <c r="BA533" s="82">
        <v>0</v>
      </c>
      <c r="BB533" s="82">
        <v>44000000</v>
      </c>
      <c r="BC533" s="82">
        <f t="shared" ref="BC533:BD533" si="1057">AE533+AG533+AI533+AK533+AM533+AO533+AQ533+AS533+AU533+AW533+AY533+BA533</f>
        <v>44000000</v>
      </c>
      <c r="BD533" s="82">
        <f t="shared" si="1057"/>
        <v>44000000</v>
      </c>
      <c r="BE533" s="83">
        <f t="shared" si="813"/>
        <v>-18771835</v>
      </c>
      <c r="BF533" s="83">
        <f t="shared" si="814"/>
        <v>-18771835</v>
      </c>
      <c r="BG533" s="14" t="str">
        <f ca="1">IFERROR(__xludf.DUMMYFUNCTION("REGEXEXTRACT(O527,""^\S+\s(.+)$"")"),"Prestación de servicios profesionales orientados a definir, desarrollar e implementar productos de interés sectorial a partir de la utilización de analítica de datos, que permita contribuir en el fortalecimiento de los sistemas de información de este sect"&amp;"or.")</f>
        <v>Prestación de servicios profesionales orientados a definir, desarrollar e implementar productos de interés sectorial a partir de la utilización de analítica de datos, que permita contribuir en el fortalecimiento de los sistemas de información de este sector.</v>
      </c>
      <c r="BH533" s="23">
        <v>0</v>
      </c>
      <c r="BI533" s="23">
        <v>0</v>
      </c>
      <c r="BJ533" s="23">
        <v>0</v>
      </c>
      <c r="BK533" s="23">
        <v>0</v>
      </c>
      <c r="BL533" s="23">
        <v>0</v>
      </c>
      <c r="BM533" s="23">
        <v>0</v>
      </c>
      <c r="BN533" s="23">
        <v>0</v>
      </c>
      <c r="BO533" s="23">
        <v>0</v>
      </c>
      <c r="BP533" s="23">
        <v>0</v>
      </c>
      <c r="BQ533" s="23">
        <v>0</v>
      </c>
      <c r="BR533" s="23">
        <v>0</v>
      </c>
      <c r="BS533" s="23">
        <v>0</v>
      </c>
      <c r="BT533" s="23">
        <v>0</v>
      </c>
      <c r="BU533" s="23">
        <v>0</v>
      </c>
      <c r="BV533" s="23">
        <v>0</v>
      </c>
      <c r="BW533" s="23">
        <v>0</v>
      </c>
      <c r="BX533" s="23">
        <v>25228165</v>
      </c>
      <c r="BY533" s="23">
        <v>0</v>
      </c>
      <c r="BZ533" s="23">
        <v>0</v>
      </c>
      <c r="CA533" s="23">
        <v>0</v>
      </c>
      <c r="CB533" s="23">
        <v>0</v>
      </c>
      <c r="CC533" s="23">
        <v>25228165</v>
      </c>
      <c r="CD533" s="23">
        <v>0</v>
      </c>
      <c r="CE533" s="23">
        <v>0</v>
      </c>
      <c r="CF533" s="28"/>
      <c r="CG533" s="28"/>
      <c r="CH533" s="25">
        <f t="shared" ref="CH533:CI533" si="1058">BH533+BJ533+BL533+BN533+BP533+BR533+BT533+BV533+BX533+BZ533+CB533+CD533+CF533</f>
        <v>25228165</v>
      </c>
      <c r="CI533" s="25">
        <f t="shared" si="1058"/>
        <v>25228165</v>
      </c>
      <c r="CJ533" s="26">
        <f t="shared" si="816"/>
        <v>0</v>
      </c>
      <c r="CK533" s="26">
        <f t="shared" si="817"/>
        <v>0</v>
      </c>
    </row>
    <row r="534" spans="1:89" ht="90" customHeight="1" x14ac:dyDescent="0.3">
      <c r="A534" s="13" t="s">
        <v>248</v>
      </c>
      <c r="B534" s="14" t="s">
        <v>37</v>
      </c>
      <c r="C534" s="15" t="s">
        <v>1380</v>
      </c>
      <c r="D534" s="14" t="s">
        <v>64</v>
      </c>
      <c r="E534" s="13" t="s">
        <v>250</v>
      </c>
      <c r="F534" s="13" t="s">
        <v>250</v>
      </c>
      <c r="G534" s="14">
        <v>22</v>
      </c>
      <c r="H534" s="13" t="s">
        <v>1435</v>
      </c>
      <c r="I534" s="15" t="s">
        <v>1421</v>
      </c>
      <c r="J534" s="14" t="s">
        <v>43</v>
      </c>
      <c r="K534" s="15" t="s">
        <v>90</v>
      </c>
      <c r="L534" s="14">
        <v>80111620</v>
      </c>
      <c r="M534" s="14" t="s">
        <v>44</v>
      </c>
      <c r="N534" s="14" t="s">
        <v>253</v>
      </c>
      <c r="O534" s="15" t="s">
        <v>1436</v>
      </c>
      <c r="P534" s="14" t="s">
        <v>255</v>
      </c>
      <c r="Q534" s="14" t="s">
        <v>255</v>
      </c>
      <c r="R534" s="14" t="s">
        <v>255</v>
      </c>
      <c r="S534" s="17">
        <v>11</v>
      </c>
      <c r="T534" s="14" t="s">
        <v>256</v>
      </c>
      <c r="U534" s="14" t="s">
        <v>257</v>
      </c>
      <c r="V534" s="14" t="s">
        <v>112</v>
      </c>
      <c r="W534" s="18">
        <v>81500000</v>
      </c>
      <c r="X534" s="18">
        <v>81500000</v>
      </c>
      <c r="Y534" s="19" t="s">
        <v>339</v>
      </c>
      <c r="Z534" s="19" t="s">
        <v>258</v>
      </c>
      <c r="AA534" s="14" t="s">
        <v>1384</v>
      </c>
      <c r="AB534" s="14" t="s">
        <v>1385</v>
      </c>
      <c r="AC534" s="14">
        <v>6012220601</v>
      </c>
      <c r="AD534" s="14" t="s">
        <v>1134</v>
      </c>
      <c r="AE534" s="82">
        <v>0</v>
      </c>
      <c r="AF534" s="82">
        <v>0</v>
      </c>
      <c r="AG534" s="82">
        <v>82500000</v>
      </c>
      <c r="AH534" s="82">
        <v>0</v>
      </c>
      <c r="AI534" s="82">
        <v>0</v>
      </c>
      <c r="AJ534" s="82">
        <v>7500000</v>
      </c>
      <c r="AK534" s="82">
        <v>0</v>
      </c>
      <c r="AL534" s="82">
        <v>7500000</v>
      </c>
      <c r="AM534" s="82">
        <v>0</v>
      </c>
      <c r="AN534" s="82">
        <v>7500000</v>
      </c>
      <c r="AO534" s="82">
        <v>0</v>
      </c>
      <c r="AP534" s="82">
        <v>7500000</v>
      </c>
      <c r="AQ534" s="82">
        <v>0</v>
      </c>
      <c r="AR534" s="82">
        <v>7500000</v>
      </c>
      <c r="AS534" s="82">
        <v>0</v>
      </c>
      <c r="AT534" s="82">
        <v>7500000</v>
      </c>
      <c r="AU534" s="82">
        <v>0</v>
      </c>
      <c r="AV534" s="82">
        <v>7500000</v>
      </c>
      <c r="AW534" s="82">
        <v>0</v>
      </c>
      <c r="AX534" s="82">
        <v>7500000</v>
      </c>
      <c r="AY534" s="82">
        <v>0</v>
      </c>
      <c r="AZ534" s="82">
        <v>7500000</v>
      </c>
      <c r="BA534" s="82">
        <v>0</v>
      </c>
      <c r="BB534" s="82">
        <v>15000000</v>
      </c>
      <c r="BC534" s="82">
        <f t="shared" ref="BC534:BD534" si="1059">AE534+AG534+AI534+AK534+AM534+AO534+AQ534+AS534+AU534+AW534+AY534+BA534</f>
        <v>82500000</v>
      </c>
      <c r="BD534" s="82">
        <f t="shared" si="1059"/>
        <v>82500000</v>
      </c>
      <c r="BE534" s="83">
        <f t="shared" si="813"/>
        <v>-1000000</v>
      </c>
      <c r="BF534" s="83">
        <f t="shared" si="814"/>
        <v>-1000000</v>
      </c>
      <c r="BG534" s="14" t="str">
        <f ca="1">IFERROR(__xludf.DUMMYFUNCTION("REGEXEXTRACT(O528,""^\S+\s(.+)$"")"),"Prestación de servicios profesionales orientados a definir, desarrollar e implementar herramientas de analítica y visualización de datos de interés sectorial, con especial énfasis en las variables del sector hidrocarburos, así como a contribuir en el fort"&amp;"alecimiento de los sistemas de información de este sector.")</f>
        <v>Prestación de servicios profesionales orientados a definir, desarrollar e implementar herramientas de analítica y visualización de datos de interés sectorial, con especial énfasis en las variables del sector hidrocarburos, así como a contribuir en el fortalecimiento de los sistemas de información de este sector.</v>
      </c>
      <c r="BH534" s="23">
        <v>0</v>
      </c>
      <c r="BI534" s="23">
        <v>0</v>
      </c>
      <c r="BJ534" s="23">
        <v>81500000</v>
      </c>
      <c r="BK534" s="23">
        <v>0</v>
      </c>
      <c r="BL534" s="23">
        <v>0</v>
      </c>
      <c r="BM534" s="23">
        <v>7500000</v>
      </c>
      <c r="BN534" s="23">
        <v>0</v>
      </c>
      <c r="BO534" s="23">
        <v>7500000</v>
      </c>
      <c r="BP534" s="23">
        <v>0</v>
      </c>
      <c r="BQ534" s="23">
        <v>7500000</v>
      </c>
      <c r="BR534" s="23">
        <v>0</v>
      </c>
      <c r="BS534" s="23">
        <v>7500000</v>
      </c>
      <c r="BT534" s="23">
        <v>0</v>
      </c>
      <c r="BU534" s="23">
        <v>7500000</v>
      </c>
      <c r="BV534" s="23">
        <v>0</v>
      </c>
      <c r="BW534" s="23">
        <v>7500000</v>
      </c>
      <c r="BX534" s="23">
        <v>0</v>
      </c>
      <c r="BY534" s="23">
        <v>7500000</v>
      </c>
      <c r="BZ534" s="23">
        <v>0</v>
      </c>
      <c r="CA534" s="23">
        <v>7500000</v>
      </c>
      <c r="CB534" s="23">
        <v>0</v>
      </c>
      <c r="CC534" s="23">
        <v>7500000</v>
      </c>
      <c r="CD534" s="23">
        <v>0</v>
      </c>
      <c r="CE534" s="23">
        <v>14000000</v>
      </c>
      <c r="CF534" s="28"/>
      <c r="CG534" s="28"/>
      <c r="CH534" s="25">
        <f t="shared" ref="CH534:CI534" si="1060">BH534+BJ534+BL534+BN534+BP534+BR534+BT534+BV534+BX534+BZ534+CB534+CD534+CF534</f>
        <v>81500000</v>
      </c>
      <c r="CI534" s="25">
        <f t="shared" si="1060"/>
        <v>81500000</v>
      </c>
      <c r="CJ534" s="26">
        <f t="shared" si="816"/>
        <v>0</v>
      </c>
      <c r="CK534" s="26">
        <f t="shared" si="817"/>
        <v>0</v>
      </c>
    </row>
    <row r="535" spans="1:89" ht="90" customHeight="1" x14ac:dyDescent="0.3">
      <c r="A535" s="13" t="s">
        <v>248</v>
      </c>
      <c r="B535" s="14" t="s">
        <v>37</v>
      </c>
      <c r="C535" s="15" t="s">
        <v>1380</v>
      </c>
      <c r="D535" s="14" t="s">
        <v>64</v>
      </c>
      <c r="E535" s="13" t="s">
        <v>250</v>
      </c>
      <c r="F535" s="13" t="s">
        <v>250</v>
      </c>
      <c r="G535" s="14">
        <v>68</v>
      </c>
      <c r="H535" s="13" t="s">
        <v>1437</v>
      </c>
      <c r="I535" s="15" t="s">
        <v>1421</v>
      </c>
      <c r="J535" s="14" t="s">
        <v>43</v>
      </c>
      <c r="K535" s="15" t="s">
        <v>90</v>
      </c>
      <c r="L535" s="14">
        <v>80111620</v>
      </c>
      <c r="M535" s="14" t="s">
        <v>44</v>
      </c>
      <c r="N535" s="14" t="s">
        <v>253</v>
      </c>
      <c r="O535" s="15" t="s">
        <v>1438</v>
      </c>
      <c r="P535" s="14" t="s">
        <v>255</v>
      </c>
      <c r="Q535" s="14" t="s">
        <v>255</v>
      </c>
      <c r="R535" s="14" t="s">
        <v>255</v>
      </c>
      <c r="S535" s="17">
        <v>10.5</v>
      </c>
      <c r="T535" s="14" t="s">
        <v>256</v>
      </c>
      <c r="U535" s="14" t="s">
        <v>257</v>
      </c>
      <c r="V535" s="14" t="s">
        <v>112</v>
      </c>
      <c r="W535" s="18">
        <v>89250000</v>
      </c>
      <c r="X535" s="18">
        <v>89250000</v>
      </c>
      <c r="Y535" s="19" t="s">
        <v>339</v>
      </c>
      <c r="Z535" s="19" t="s">
        <v>258</v>
      </c>
      <c r="AA535" s="14" t="s">
        <v>1384</v>
      </c>
      <c r="AB535" s="14" t="s">
        <v>1385</v>
      </c>
      <c r="AC535" s="14">
        <v>6012220601</v>
      </c>
      <c r="AD535" s="14" t="s">
        <v>1134</v>
      </c>
      <c r="AE535" s="82">
        <v>0</v>
      </c>
      <c r="AF535" s="82">
        <v>0</v>
      </c>
      <c r="AG535" s="82">
        <v>89250000</v>
      </c>
      <c r="AH535" s="82">
        <v>0</v>
      </c>
      <c r="AI535" s="82">
        <v>0</v>
      </c>
      <c r="AJ535" s="82">
        <v>8500000</v>
      </c>
      <c r="AK535" s="82">
        <v>0</v>
      </c>
      <c r="AL535" s="82">
        <v>8500000</v>
      </c>
      <c r="AM535" s="82">
        <v>0</v>
      </c>
      <c r="AN535" s="82">
        <v>8500000</v>
      </c>
      <c r="AO535" s="82">
        <v>0</v>
      </c>
      <c r="AP535" s="82">
        <v>8500000</v>
      </c>
      <c r="AQ535" s="82">
        <v>0</v>
      </c>
      <c r="AR535" s="82">
        <v>8500000</v>
      </c>
      <c r="AS535" s="82">
        <v>0</v>
      </c>
      <c r="AT535" s="82">
        <v>8500000</v>
      </c>
      <c r="AU535" s="82">
        <v>0</v>
      </c>
      <c r="AV535" s="82">
        <v>8500000</v>
      </c>
      <c r="AW535" s="82">
        <v>0</v>
      </c>
      <c r="AX535" s="82">
        <v>8500000</v>
      </c>
      <c r="AY535" s="82">
        <v>0</v>
      </c>
      <c r="AZ535" s="82">
        <v>8500000</v>
      </c>
      <c r="BA535" s="82">
        <v>0</v>
      </c>
      <c r="BB535" s="82">
        <v>12750000</v>
      </c>
      <c r="BC535" s="82">
        <f t="shared" ref="BC535:BD535" si="1061">AE535+AG535+AI535+AK535+AM535+AO535+AQ535+AS535+AU535+AW535+AY535+BA535</f>
        <v>89250000</v>
      </c>
      <c r="BD535" s="82">
        <f t="shared" si="1061"/>
        <v>89250000</v>
      </c>
      <c r="BE535" s="83">
        <f t="shared" si="813"/>
        <v>0</v>
      </c>
      <c r="BF535" s="83">
        <f t="shared" si="814"/>
        <v>0</v>
      </c>
      <c r="BG535" s="14" t="str">
        <f ca="1">IFERROR(__xludf.DUMMYFUNCTION("REGEXEXTRACT(O529,""^\S+\s(.+)$"")"),"Prestación de servicios profesionales para el apoyo en la implementación efectiva de políticas y procedimientos adaptados para el cumplimiento del régimen de protección de datos personales")</f>
        <v>Prestación de servicios profesionales para el apoyo en la implementación efectiva de políticas y procedimientos adaptados para el cumplimiento del régimen de protección de datos personales</v>
      </c>
      <c r="BH535" s="23"/>
      <c r="BI535" s="23"/>
      <c r="BJ535" s="23">
        <v>89250000</v>
      </c>
      <c r="BK535" s="23"/>
      <c r="BL535" s="23"/>
      <c r="BM535" s="23">
        <v>8500000</v>
      </c>
      <c r="BN535" s="23"/>
      <c r="BO535" s="23">
        <v>8500000</v>
      </c>
      <c r="BP535" s="23"/>
      <c r="BQ535" s="23">
        <v>8500000</v>
      </c>
      <c r="BR535" s="23"/>
      <c r="BS535" s="23">
        <v>8500000</v>
      </c>
      <c r="BT535" s="23"/>
      <c r="BU535" s="23">
        <v>8500000</v>
      </c>
      <c r="BV535" s="23"/>
      <c r="BW535" s="23">
        <v>8500000</v>
      </c>
      <c r="BX535" s="23"/>
      <c r="BY535" s="23">
        <v>8500000</v>
      </c>
      <c r="BZ535" s="23"/>
      <c r="CA535" s="23">
        <v>8500000</v>
      </c>
      <c r="CB535" s="23"/>
      <c r="CC535" s="23">
        <v>8500000</v>
      </c>
      <c r="CD535" s="23"/>
      <c r="CE535" s="23">
        <v>12750000</v>
      </c>
      <c r="CF535" s="28"/>
      <c r="CG535" s="28"/>
      <c r="CH535" s="25">
        <f t="shared" ref="CH535:CI535" si="1062">BH535+BJ535+BL535+BN535+BP535+BR535+BT535+BV535+BX535+BZ535+CB535+CD535+CF535</f>
        <v>89250000</v>
      </c>
      <c r="CI535" s="25">
        <f t="shared" si="1062"/>
        <v>89250000</v>
      </c>
      <c r="CJ535" s="26">
        <f t="shared" si="816"/>
        <v>0</v>
      </c>
      <c r="CK535" s="26">
        <f t="shared" si="817"/>
        <v>0</v>
      </c>
    </row>
    <row r="536" spans="1:89" ht="90" customHeight="1" x14ac:dyDescent="0.3">
      <c r="A536" s="13" t="s">
        <v>248</v>
      </c>
      <c r="B536" s="14" t="s">
        <v>37</v>
      </c>
      <c r="C536" s="15" t="s">
        <v>1380</v>
      </c>
      <c r="D536" s="14" t="s">
        <v>64</v>
      </c>
      <c r="E536" s="13" t="s">
        <v>250</v>
      </c>
      <c r="F536" s="13" t="s">
        <v>250</v>
      </c>
      <c r="G536" s="14">
        <v>22</v>
      </c>
      <c r="H536" s="13" t="s">
        <v>1439</v>
      </c>
      <c r="I536" s="15" t="s">
        <v>1421</v>
      </c>
      <c r="J536" s="14" t="s">
        <v>43</v>
      </c>
      <c r="K536" s="15" t="s">
        <v>90</v>
      </c>
      <c r="L536" s="14">
        <v>80111620</v>
      </c>
      <c r="M536" s="14" t="s">
        <v>44</v>
      </c>
      <c r="N536" s="14" t="s">
        <v>253</v>
      </c>
      <c r="O536" s="15" t="s">
        <v>1440</v>
      </c>
      <c r="P536" s="14" t="s">
        <v>255</v>
      </c>
      <c r="Q536" s="14" t="s">
        <v>255</v>
      </c>
      <c r="R536" s="14" t="s">
        <v>255</v>
      </c>
      <c r="S536" s="17">
        <v>11.5</v>
      </c>
      <c r="T536" s="14" t="s">
        <v>256</v>
      </c>
      <c r="U536" s="14" t="s">
        <v>257</v>
      </c>
      <c r="V536" s="14" t="s">
        <v>112</v>
      </c>
      <c r="W536" s="18">
        <v>74120000</v>
      </c>
      <c r="X536" s="18">
        <v>74120000</v>
      </c>
      <c r="Y536" s="19" t="s">
        <v>339</v>
      </c>
      <c r="Z536" s="19" t="s">
        <v>258</v>
      </c>
      <c r="AA536" s="14" t="s">
        <v>1384</v>
      </c>
      <c r="AB536" s="14" t="s">
        <v>1385</v>
      </c>
      <c r="AC536" s="14">
        <v>6012220601</v>
      </c>
      <c r="AD536" s="14" t="s">
        <v>1134</v>
      </c>
      <c r="AE536" s="82">
        <v>0</v>
      </c>
      <c r="AF536" s="82">
        <v>0</v>
      </c>
      <c r="AG536" s="82">
        <v>78200000</v>
      </c>
      <c r="AH536" s="82">
        <v>0</v>
      </c>
      <c r="AI536" s="82">
        <v>0</v>
      </c>
      <c r="AJ536" s="82">
        <v>6800000</v>
      </c>
      <c r="AK536" s="82">
        <v>0</v>
      </c>
      <c r="AL536" s="82">
        <v>6800000</v>
      </c>
      <c r="AM536" s="82">
        <v>0</v>
      </c>
      <c r="AN536" s="82">
        <v>6800000</v>
      </c>
      <c r="AO536" s="82">
        <v>0</v>
      </c>
      <c r="AP536" s="82">
        <v>6800000</v>
      </c>
      <c r="AQ536" s="82">
        <v>0</v>
      </c>
      <c r="AR536" s="82">
        <v>6800000</v>
      </c>
      <c r="AS536" s="82">
        <v>0</v>
      </c>
      <c r="AT536" s="82">
        <v>6800000</v>
      </c>
      <c r="AU536" s="82">
        <v>0</v>
      </c>
      <c r="AV536" s="82">
        <v>6800000</v>
      </c>
      <c r="AW536" s="82">
        <v>0</v>
      </c>
      <c r="AX536" s="82">
        <v>6800000</v>
      </c>
      <c r="AY536" s="82">
        <v>0</v>
      </c>
      <c r="AZ536" s="82">
        <v>6800000</v>
      </c>
      <c r="BA536" s="82">
        <v>0</v>
      </c>
      <c r="BB536" s="82">
        <v>17000000</v>
      </c>
      <c r="BC536" s="82">
        <f t="shared" ref="BC536:BD536" si="1063">AE536+AG536+AI536+AK536+AM536+AO536+AQ536+AS536+AU536+AW536+AY536+BA536</f>
        <v>78200000</v>
      </c>
      <c r="BD536" s="82">
        <f t="shared" si="1063"/>
        <v>78200000</v>
      </c>
      <c r="BE536" s="83">
        <f t="shared" si="813"/>
        <v>-4080000</v>
      </c>
      <c r="BF536" s="83">
        <f t="shared" si="814"/>
        <v>-4080000</v>
      </c>
      <c r="BG536" s="14" t="str">
        <f ca="1">IFERROR(__xludf.DUMMYFUNCTION("REGEXEXTRACT(O530,""^\S+\s(.+)$"")"),"Prestación de servicios profesionales orientados a definir, estructurar, implementar y gestionar la carga y manejo de datos para el desarrollo de modelos de analítica de datos aplicados al sector minero energético, garantizando la identificación de patron"&amp;"es, tendencias y correlaciones significativas utilizando herramientas estadísticas, de analítica y de visualización.")</f>
        <v>Prestación de servicios profesionales orientados a definir, estructurar, implementar y gestionar la carga y manejo de datos para el desarrollo de modelos de analítica de datos aplicados al sector minero energético, garantizando la identificación de patrones, tendencias y correlaciones significativas utilizando herramientas estadísticas, de analítica y de visualización.</v>
      </c>
      <c r="BH536" s="23">
        <v>0</v>
      </c>
      <c r="BI536" s="23">
        <v>0</v>
      </c>
      <c r="BJ536" s="23">
        <v>74120000</v>
      </c>
      <c r="BK536" s="23">
        <v>0</v>
      </c>
      <c r="BL536" s="23">
        <v>0</v>
      </c>
      <c r="BM536" s="23">
        <v>6800000</v>
      </c>
      <c r="BN536" s="23">
        <v>0</v>
      </c>
      <c r="BO536" s="23">
        <v>6800000</v>
      </c>
      <c r="BP536" s="23">
        <v>0</v>
      </c>
      <c r="BQ536" s="23">
        <v>6800000</v>
      </c>
      <c r="BR536" s="23">
        <v>0</v>
      </c>
      <c r="BS536" s="23">
        <v>6800000</v>
      </c>
      <c r="BT536" s="23">
        <v>0</v>
      </c>
      <c r="BU536" s="23">
        <v>6800000</v>
      </c>
      <c r="BV536" s="23">
        <v>0</v>
      </c>
      <c r="BW536" s="23">
        <v>6800000</v>
      </c>
      <c r="BX536" s="23">
        <v>0</v>
      </c>
      <c r="BY536" s="23">
        <v>6800000</v>
      </c>
      <c r="BZ536" s="23">
        <v>0</v>
      </c>
      <c r="CA536" s="23">
        <v>6800000</v>
      </c>
      <c r="CB536" s="23">
        <v>0</v>
      </c>
      <c r="CC536" s="23">
        <v>6800000</v>
      </c>
      <c r="CD536" s="23">
        <v>0</v>
      </c>
      <c r="CE536" s="23">
        <v>12920000</v>
      </c>
      <c r="CF536" s="28"/>
      <c r="CG536" s="28"/>
      <c r="CH536" s="25">
        <f t="shared" ref="CH536:CI536" si="1064">BH536+BJ536+BL536+BN536+BP536+BR536+BT536+BV536+BX536+BZ536+CB536+CD536+CF536</f>
        <v>74120000</v>
      </c>
      <c r="CI536" s="25">
        <f t="shared" si="1064"/>
        <v>74120000</v>
      </c>
      <c r="CJ536" s="26">
        <f t="shared" si="816"/>
        <v>0</v>
      </c>
      <c r="CK536" s="26">
        <f t="shared" si="817"/>
        <v>0</v>
      </c>
    </row>
    <row r="537" spans="1:89" ht="90" customHeight="1" x14ac:dyDescent="0.3">
      <c r="A537" s="13" t="s">
        <v>248</v>
      </c>
      <c r="B537" s="14" t="s">
        <v>37</v>
      </c>
      <c r="C537" s="15" t="s">
        <v>1380</v>
      </c>
      <c r="D537" s="14" t="s">
        <v>64</v>
      </c>
      <c r="E537" s="13" t="s">
        <v>250</v>
      </c>
      <c r="F537" s="13" t="s">
        <v>250</v>
      </c>
      <c r="G537" s="14">
        <v>22</v>
      </c>
      <c r="H537" s="13" t="s">
        <v>1441</v>
      </c>
      <c r="I537" s="15" t="s">
        <v>1421</v>
      </c>
      <c r="J537" s="14" t="s">
        <v>43</v>
      </c>
      <c r="K537" s="15" t="s">
        <v>90</v>
      </c>
      <c r="L537" s="14">
        <v>80111620</v>
      </c>
      <c r="M537" s="14" t="s">
        <v>44</v>
      </c>
      <c r="N537" s="14" t="s">
        <v>253</v>
      </c>
      <c r="O537" s="15" t="s">
        <v>1442</v>
      </c>
      <c r="P537" s="14" t="s">
        <v>255</v>
      </c>
      <c r="Q537" s="14" t="s">
        <v>255</v>
      </c>
      <c r="R537" s="14" t="s">
        <v>255</v>
      </c>
      <c r="S537" s="17">
        <v>11</v>
      </c>
      <c r="T537" s="14" t="s">
        <v>256</v>
      </c>
      <c r="U537" s="14" t="s">
        <v>257</v>
      </c>
      <c r="V537" s="14" t="s">
        <v>112</v>
      </c>
      <c r="W537" s="18">
        <v>35154315</v>
      </c>
      <c r="X537" s="18">
        <v>35154315</v>
      </c>
      <c r="Y537" s="19" t="s">
        <v>339</v>
      </c>
      <c r="Z537" s="19" t="s">
        <v>258</v>
      </c>
      <c r="AA537" s="14" t="s">
        <v>1384</v>
      </c>
      <c r="AB537" s="14" t="s">
        <v>1385</v>
      </c>
      <c r="AC537" s="14">
        <v>6012220601</v>
      </c>
      <c r="AD537" s="14" t="s">
        <v>1134</v>
      </c>
      <c r="AE537" s="82">
        <v>0</v>
      </c>
      <c r="AF537" s="82">
        <v>0</v>
      </c>
      <c r="AG537" s="82">
        <v>36139950</v>
      </c>
      <c r="AH537" s="82">
        <v>0</v>
      </c>
      <c r="AI537" s="82">
        <v>0</v>
      </c>
      <c r="AJ537" s="82">
        <v>3285450</v>
      </c>
      <c r="AK537" s="82">
        <v>0</v>
      </c>
      <c r="AL537" s="82">
        <v>3285450</v>
      </c>
      <c r="AM537" s="82">
        <v>0</v>
      </c>
      <c r="AN537" s="82">
        <v>3285450</v>
      </c>
      <c r="AO537" s="82">
        <v>0</v>
      </c>
      <c r="AP537" s="82">
        <v>3285450</v>
      </c>
      <c r="AQ537" s="82">
        <v>0</v>
      </c>
      <c r="AR537" s="82">
        <v>3285450</v>
      </c>
      <c r="AS537" s="82">
        <v>2360050</v>
      </c>
      <c r="AT537" s="82">
        <v>3285450</v>
      </c>
      <c r="AU537" s="82">
        <v>0</v>
      </c>
      <c r="AV537" s="82">
        <v>3285450</v>
      </c>
      <c r="AW537" s="82">
        <v>0</v>
      </c>
      <c r="AX537" s="82">
        <v>3285450</v>
      </c>
      <c r="AY537" s="82">
        <v>0</v>
      </c>
      <c r="AZ537" s="82">
        <v>3285450</v>
      </c>
      <c r="BA537" s="82">
        <v>0</v>
      </c>
      <c r="BB537" s="82">
        <v>8930950</v>
      </c>
      <c r="BC537" s="82">
        <f t="shared" ref="BC537:BD537" si="1065">AE537+AG537+AI537+AK537+AM537+AO537+AQ537+AS537+AU537+AW537+AY537+BA537</f>
        <v>38500000</v>
      </c>
      <c r="BD537" s="82">
        <f t="shared" si="1065"/>
        <v>38500000</v>
      </c>
      <c r="BE537" s="83">
        <f t="shared" si="813"/>
        <v>-3345685</v>
      </c>
      <c r="BF537" s="83">
        <f t="shared" si="814"/>
        <v>-3345685</v>
      </c>
      <c r="BG537" s="14" t="str">
        <f ca="1">IFERROR(__xludf.DUMMYFUNCTION("REGEXEXTRACT(O531,""^\S+\s(.+)$"")"),"Prestación de servicios profesionales orientados a la realización de labores de analítica de datos para las principales variables del sector minero energético, garantizando calidad en los datos.")</f>
        <v>Prestación de servicios profesionales orientados a la realización de labores de analítica de datos para las principales variables del sector minero energético, garantizando calidad en los datos.</v>
      </c>
      <c r="BH537" s="23">
        <v>0</v>
      </c>
      <c r="BI537" s="23">
        <v>0</v>
      </c>
      <c r="BJ537" s="23">
        <v>35154315</v>
      </c>
      <c r="BK537" s="23">
        <v>0</v>
      </c>
      <c r="BL537" s="23">
        <v>0</v>
      </c>
      <c r="BM537" s="23">
        <v>3285450</v>
      </c>
      <c r="BN537" s="23">
        <v>0</v>
      </c>
      <c r="BO537" s="23">
        <v>3285450</v>
      </c>
      <c r="BP537" s="23">
        <v>0</v>
      </c>
      <c r="BQ537" s="23">
        <v>3285450</v>
      </c>
      <c r="BR537" s="23">
        <v>0</v>
      </c>
      <c r="BS537" s="23">
        <v>3285450</v>
      </c>
      <c r="BT537" s="23">
        <v>0</v>
      </c>
      <c r="BU537" s="23">
        <v>3285450</v>
      </c>
      <c r="BV537" s="23">
        <v>0</v>
      </c>
      <c r="BW537" s="23">
        <v>3285450</v>
      </c>
      <c r="BX537" s="23">
        <v>0</v>
      </c>
      <c r="BY537" s="23">
        <v>3285450</v>
      </c>
      <c r="BZ537" s="23">
        <v>0</v>
      </c>
      <c r="CA537" s="23">
        <v>3285450</v>
      </c>
      <c r="CB537" s="23">
        <v>0</v>
      </c>
      <c r="CC537" s="23">
        <v>3285450</v>
      </c>
      <c r="CD537" s="23">
        <v>0</v>
      </c>
      <c r="CE537" s="23">
        <v>5585265</v>
      </c>
      <c r="CF537" s="28"/>
      <c r="CG537" s="28"/>
      <c r="CH537" s="25">
        <f t="shared" ref="CH537:CI537" si="1066">BH537+BJ537+BL537+BN537+BP537+BR537+BT537+BV537+BX537+BZ537+CB537+CD537+CF537</f>
        <v>35154315</v>
      </c>
      <c r="CI537" s="25">
        <f t="shared" si="1066"/>
        <v>35154315</v>
      </c>
      <c r="CJ537" s="26">
        <f t="shared" si="816"/>
        <v>0</v>
      </c>
      <c r="CK537" s="26">
        <f t="shared" si="817"/>
        <v>0</v>
      </c>
    </row>
    <row r="538" spans="1:89" ht="90" customHeight="1" x14ac:dyDescent="0.3">
      <c r="A538" s="13" t="s">
        <v>248</v>
      </c>
      <c r="B538" s="14" t="s">
        <v>37</v>
      </c>
      <c r="C538" s="15" t="s">
        <v>1380</v>
      </c>
      <c r="D538" s="14" t="s">
        <v>64</v>
      </c>
      <c r="E538" s="13" t="s">
        <v>250</v>
      </c>
      <c r="F538" s="13" t="s">
        <v>250</v>
      </c>
      <c r="G538" s="14">
        <v>68</v>
      </c>
      <c r="H538" s="13" t="s">
        <v>1443</v>
      </c>
      <c r="I538" s="15" t="s">
        <v>1421</v>
      </c>
      <c r="J538" s="14" t="s">
        <v>43</v>
      </c>
      <c r="K538" s="15" t="s">
        <v>90</v>
      </c>
      <c r="L538" s="14">
        <v>80111620</v>
      </c>
      <c r="M538" s="14" t="s">
        <v>44</v>
      </c>
      <c r="N538" s="14" t="s">
        <v>253</v>
      </c>
      <c r="O538" s="15" t="s">
        <v>1444</v>
      </c>
      <c r="P538" s="14" t="s">
        <v>255</v>
      </c>
      <c r="Q538" s="14" t="s">
        <v>255</v>
      </c>
      <c r="R538" s="14" t="s">
        <v>255</v>
      </c>
      <c r="S538" s="17">
        <v>11</v>
      </c>
      <c r="T538" s="14" t="s">
        <v>256</v>
      </c>
      <c r="U538" s="14" t="s">
        <v>257</v>
      </c>
      <c r="V538" s="14" t="s">
        <v>112</v>
      </c>
      <c r="W538" s="18">
        <v>55000000</v>
      </c>
      <c r="X538" s="18">
        <v>55000000</v>
      </c>
      <c r="Y538" s="19" t="s">
        <v>339</v>
      </c>
      <c r="Z538" s="19" t="s">
        <v>258</v>
      </c>
      <c r="AA538" s="14" t="s">
        <v>1384</v>
      </c>
      <c r="AB538" s="14" t="s">
        <v>1385</v>
      </c>
      <c r="AC538" s="14">
        <v>6012220601</v>
      </c>
      <c r="AD538" s="14" t="s">
        <v>1134</v>
      </c>
      <c r="AE538" s="82">
        <v>0</v>
      </c>
      <c r="AF538" s="82">
        <v>0</v>
      </c>
      <c r="AG538" s="82">
        <v>0</v>
      </c>
      <c r="AH538" s="82">
        <v>0</v>
      </c>
      <c r="AI538" s="82">
        <v>0</v>
      </c>
      <c r="AJ538" s="82">
        <v>0</v>
      </c>
      <c r="AK538" s="82">
        <v>0</v>
      </c>
      <c r="AL538" s="82">
        <v>0</v>
      </c>
      <c r="AM538" s="82">
        <v>0</v>
      </c>
      <c r="AN538" s="82">
        <v>0</v>
      </c>
      <c r="AO538" s="82">
        <v>0</v>
      </c>
      <c r="AP538" s="82">
        <v>0</v>
      </c>
      <c r="AQ538" s="82">
        <v>0</v>
      </c>
      <c r="AR538" s="82">
        <v>0</v>
      </c>
      <c r="AS538" s="82">
        <v>55000000</v>
      </c>
      <c r="AT538" s="82">
        <v>0</v>
      </c>
      <c r="AU538" s="82">
        <v>0</v>
      </c>
      <c r="AV538" s="82">
        <v>0</v>
      </c>
      <c r="AW538" s="82">
        <v>0</v>
      </c>
      <c r="AX538" s="82">
        <v>0</v>
      </c>
      <c r="AY538" s="82">
        <v>0</v>
      </c>
      <c r="AZ538" s="82">
        <v>0</v>
      </c>
      <c r="BA538" s="82">
        <v>0</v>
      </c>
      <c r="BB538" s="82">
        <v>55000000</v>
      </c>
      <c r="BC538" s="82">
        <f t="shared" ref="BC538:BD538" si="1067">AE538+AG538+AI538+AK538+AM538+AO538+AQ538+AS538+AU538+AW538+AY538+BA538</f>
        <v>55000000</v>
      </c>
      <c r="BD538" s="82">
        <f t="shared" si="1067"/>
        <v>55000000</v>
      </c>
      <c r="BE538" s="83">
        <f t="shared" si="813"/>
        <v>0</v>
      </c>
      <c r="BF538" s="83">
        <f t="shared" si="814"/>
        <v>0</v>
      </c>
      <c r="BG538" s="14" t="str">
        <f ca="1">IFERROR(__xludf.DUMMYFUNCTION("REGEXEXTRACT(O532,""^\S+\s(.+)$"")"),"Prestación de servicios profesionales orientados a la realización de analítica de datos y modelos para las principales variables del sector minero energético, garantizando la identificación de patrones, tendencias y correlaciones significativas utilizando"&amp;" herramientas estadísticas, de analítica y de visualización.")</f>
        <v>Prestación de servicios profesionales orientados a la realización de analítica de datos y modelos para las principales variables del sector minero energético, garantizando la identificación de patrones, tendencias y correlaciones significativas utilizando herramientas estadísticas, de analítica y de visualización.</v>
      </c>
      <c r="BH538" s="23"/>
      <c r="BI538" s="23"/>
      <c r="BJ538" s="23"/>
      <c r="BK538" s="23"/>
      <c r="BL538" s="23"/>
      <c r="BM538" s="23"/>
      <c r="BN538" s="23"/>
      <c r="BO538" s="23"/>
      <c r="BP538" s="23"/>
      <c r="BQ538" s="23"/>
      <c r="BR538" s="23"/>
      <c r="BS538" s="23"/>
      <c r="BT538" s="23"/>
      <c r="BU538" s="23"/>
      <c r="BV538" s="23">
        <v>55000000</v>
      </c>
      <c r="BW538" s="23"/>
      <c r="BX538" s="23"/>
      <c r="BY538" s="23"/>
      <c r="BZ538" s="23"/>
      <c r="CA538" s="23"/>
      <c r="CB538" s="23"/>
      <c r="CC538" s="23"/>
      <c r="CD538" s="23"/>
      <c r="CE538" s="23">
        <v>55000000</v>
      </c>
      <c r="CF538" s="28"/>
      <c r="CG538" s="28"/>
      <c r="CH538" s="25">
        <f t="shared" ref="CH538:CI538" si="1068">BH538+BJ538+BL538+BN538+BP538+BR538+BT538+BV538+BX538+BZ538+CB538+CD538+CF538</f>
        <v>55000000</v>
      </c>
      <c r="CI538" s="25">
        <f t="shared" si="1068"/>
        <v>55000000</v>
      </c>
      <c r="CJ538" s="26">
        <f t="shared" si="816"/>
        <v>0</v>
      </c>
      <c r="CK538" s="26">
        <f t="shared" si="817"/>
        <v>0</v>
      </c>
    </row>
    <row r="539" spans="1:89" ht="90" customHeight="1" x14ac:dyDescent="0.3">
      <c r="A539" s="13" t="s">
        <v>248</v>
      </c>
      <c r="B539" s="14" t="s">
        <v>37</v>
      </c>
      <c r="C539" s="15" t="s">
        <v>1380</v>
      </c>
      <c r="D539" s="14" t="s">
        <v>64</v>
      </c>
      <c r="E539" s="13" t="s">
        <v>250</v>
      </c>
      <c r="F539" s="13" t="s">
        <v>250</v>
      </c>
      <c r="G539" s="14">
        <v>22</v>
      </c>
      <c r="H539" s="13" t="s">
        <v>1445</v>
      </c>
      <c r="I539" s="15" t="s">
        <v>1421</v>
      </c>
      <c r="J539" s="14" t="s">
        <v>43</v>
      </c>
      <c r="K539" s="15" t="s">
        <v>90</v>
      </c>
      <c r="L539" s="14">
        <v>80111620</v>
      </c>
      <c r="M539" s="14" t="s">
        <v>44</v>
      </c>
      <c r="N539" s="14" t="s">
        <v>253</v>
      </c>
      <c r="O539" s="15" t="s">
        <v>1446</v>
      </c>
      <c r="P539" s="14" t="s">
        <v>255</v>
      </c>
      <c r="Q539" s="14" t="s">
        <v>255</v>
      </c>
      <c r="R539" s="14" t="s">
        <v>255</v>
      </c>
      <c r="S539" s="17">
        <v>11</v>
      </c>
      <c r="T539" s="14" t="s">
        <v>256</v>
      </c>
      <c r="U539" s="14" t="s">
        <v>257</v>
      </c>
      <c r="V539" s="14" t="s">
        <v>112</v>
      </c>
      <c r="W539" s="18">
        <v>80000000</v>
      </c>
      <c r="X539" s="18">
        <v>80000000</v>
      </c>
      <c r="Y539" s="19" t="s">
        <v>339</v>
      </c>
      <c r="Z539" s="19" t="s">
        <v>258</v>
      </c>
      <c r="AA539" s="14" t="s">
        <v>1384</v>
      </c>
      <c r="AB539" s="14" t="s">
        <v>1385</v>
      </c>
      <c r="AC539" s="14">
        <v>6012220601</v>
      </c>
      <c r="AD539" s="14" t="s">
        <v>1134</v>
      </c>
      <c r="AE539" s="82">
        <v>80000000</v>
      </c>
      <c r="AF539" s="82">
        <v>0</v>
      </c>
      <c r="AG539" s="82">
        <v>0</v>
      </c>
      <c r="AH539" s="82">
        <v>500000</v>
      </c>
      <c r="AI539" s="82">
        <v>0</v>
      </c>
      <c r="AJ539" s="82">
        <v>7500000</v>
      </c>
      <c r="AK539" s="82">
        <v>0</v>
      </c>
      <c r="AL539" s="82">
        <v>7500000</v>
      </c>
      <c r="AM539" s="82">
        <v>0</v>
      </c>
      <c r="AN539" s="82">
        <v>7500000</v>
      </c>
      <c r="AO539" s="82">
        <v>0</v>
      </c>
      <c r="AP539" s="82">
        <v>7500000</v>
      </c>
      <c r="AQ539" s="82">
        <v>0</v>
      </c>
      <c r="AR539" s="82">
        <v>7500000</v>
      </c>
      <c r="AS539" s="82">
        <v>500000</v>
      </c>
      <c r="AT539" s="82">
        <v>7500000</v>
      </c>
      <c r="AU539" s="82">
        <v>0</v>
      </c>
      <c r="AV539" s="82">
        <v>7500000</v>
      </c>
      <c r="AW539" s="82">
        <v>0</v>
      </c>
      <c r="AX539" s="82">
        <v>7500000</v>
      </c>
      <c r="AY539" s="82">
        <v>0</v>
      </c>
      <c r="AZ539" s="82">
        <v>7500000</v>
      </c>
      <c r="BA539" s="82">
        <v>0</v>
      </c>
      <c r="BB539" s="82">
        <v>12500000</v>
      </c>
      <c r="BC539" s="82">
        <f t="shared" ref="BC539:BD539" si="1069">AE539+AG539+AI539+AK539+AM539+AO539+AQ539+AS539+AU539+AW539+AY539+BA539</f>
        <v>80500000</v>
      </c>
      <c r="BD539" s="82">
        <f t="shared" si="1069"/>
        <v>80500000</v>
      </c>
      <c r="BE539" s="83">
        <f t="shared" si="813"/>
        <v>-500000</v>
      </c>
      <c r="BF539" s="83">
        <f t="shared" si="814"/>
        <v>-500000</v>
      </c>
      <c r="BG539" s="14" t="str">
        <f ca="1">IFERROR(__xludf.DUMMYFUNCTION("REGEXEXTRACT(O533,""^\S+\s(.+)$"")"),"Prestación de servicios profesionales para diseñar, documentar y mantener la arquitectura de datos institucional, incluyendo modelos conceptuales, lógicos y físicos, así como la implementación de interoperabilidades y del Data Warehouse/Data Lake, asegura"&amp;"ndo la consistencia, integridad, trazabilidad y gobernanza de la información proveniente de fuentes sectoriales y corporativas.")</f>
        <v>Prestación de servicios profesionales para diseñar, documentar y mantener la arquitectura de datos institucional, incluyendo modelos conceptuales, lógicos y físicos, así como la implementación de interoperabilidades y del Data Warehouse/Data Lake, asegurando la consistencia, integridad, trazabilidad y gobernanza de la información proveniente de fuentes sectoriales y corporativas.</v>
      </c>
      <c r="BH539" s="23">
        <v>80000000</v>
      </c>
      <c r="BI539" s="23">
        <v>0</v>
      </c>
      <c r="BJ539" s="23">
        <v>0</v>
      </c>
      <c r="BK539" s="23">
        <v>500000</v>
      </c>
      <c r="BL539" s="23">
        <v>0</v>
      </c>
      <c r="BM539" s="23">
        <v>7500000</v>
      </c>
      <c r="BN539" s="23">
        <v>0</v>
      </c>
      <c r="BO539" s="23">
        <v>7500000</v>
      </c>
      <c r="BP539" s="23">
        <v>0</v>
      </c>
      <c r="BQ539" s="23">
        <v>7500000</v>
      </c>
      <c r="BR539" s="23">
        <v>0</v>
      </c>
      <c r="BS539" s="23">
        <v>7500000</v>
      </c>
      <c r="BT539" s="23">
        <v>0</v>
      </c>
      <c r="BU539" s="23">
        <v>7500000</v>
      </c>
      <c r="BV539" s="23">
        <v>0</v>
      </c>
      <c r="BW539" s="23">
        <v>7500000</v>
      </c>
      <c r="BX539" s="23">
        <v>0</v>
      </c>
      <c r="BY539" s="23">
        <v>7500000</v>
      </c>
      <c r="BZ539" s="23">
        <v>0</v>
      </c>
      <c r="CA539" s="23">
        <v>7500000</v>
      </c>
      <c r="CB539" s="23">
        <v>0</v>
      </c>
      <c r="CC539" s="23">
        <v>7500000</v>
      </c>
      <c r="CD539" s="23">
        <v>0</v>
      </c>
      <c r="CE539" s="23">
        <v>12000000</v>
      </c>
      <c r="CF539" s="28"/>
      <c r="CG539" s="28"/>
      <c r="CH539" s="25">
        <f t="shared" ref="CH539:CI539" si="1070">BH539+BJ539+BL539+BN539+BP539+BR539+BT539+BV539+BX539+BZ539+CB539+CD539+CF539</f>
        <v>80000000</v>
      </c>
      <c r="CI539" s="25">
        <f t="shared" si="1070"/>
        <v>80000000</v>
      </c>
      <c r="CJ539" s="26">
        <f t="shared" si="816"/>
        <v>0</v>
      </c>
      <c r="CK539" s="26">
        <f t="shared" si="817"/>
        <v>0</v>
      </c>
    </row>
    <row r="540" spans="1:89" ht="90" customHeight="1" x14ac:dyDescent="0.3">
      <c r="A540" s="13" t="s">
        <v>248</v>
      </c>
      <c r="B540" s="14" t="s">
        <v>37</v>
      </c>
      <c r="C540" s="15" t="s">
        <v>1380</v>
      </c>
      <c r="D540" s="14" t="s">
        <v>64</v>
      </c>
      <c r="E540" s="13" t="s">
        <v>250</v>
      </c>
      <c r="F540" s="13" t="s">
        <v>250</v>
      </c>
      <c r="G540" s="14">
        <v>6</v>
      </c>
      <c r="H540" s="13" t="s">
        <v>1447</v>
      </c>
      <c r="I540" s="15" t="s">
        <v>1421</v>
      </c>
      <c r="J540" s="14" t="s">
        <v>43</v>
      </c>
      <c r="K540" s="15" t="s">
        <v>90</v>
      </c>
      <c r="L540" s="14">
        <v>80111620</v>
      </c>
      <c r="M540" s="14" t="s">
        <v>44</v>
      </c>
      <c r="N540" s="14" t="s">
        <v>253</v>
      </c>
      <c r="O540" s="15" t="s">
        <v>1448</v>
      </c>
      <c r="P540" s="14" t="s">
        <v>255</v>
      </c>
      <c r="Q540" s="14" t="s">
        <v>255</v>
      </c>
      <c r="R540" s="14" t="s">
        <v>255</v>
      </c>
      <c r="S540" s="17">
        <v>11</v>
      </c>
      <c r="T540" s="14" t="s">
        <v>256</v>
      </c>
      <c r="U540" s="14" t="s">
        <v>257</v>
      </c>
      <c r="V540" s="14" t="s">
        <v>112</v>
      </c>
      <c r="W540" s="18">
        <v>55000000</v>
      </c>
      <c r="X540" s="18">
        <v>55000000</v>
      </c>
      <c r="Y540" s="19" t="s">
        <v>339</v>
      </c>
      <c r="Z540" s="19" t="s">
        <v>258</v>
      </c>
      <c r="AA540" s="14" t="s">
        <v>1384</v>
      </c>
      <c r="AB540" s="14" t="s">
        <v>1385</v>
      </c>
      <c r="AC540" s="14">
        <v>6012220601</v>
      </c>
      <c r="AD540" s="14" t="s">
        <v>1134</v>
      </c>
      <c r="AE540" s="82">
        <v>0</v>
      </c>
      <c r="AF540" s="82">
        <v>0</v>
      </c>
      <c r="AG540" s="82">
        <v>55000000</v>
      </c>
      <c r="AH540" s="82">
        <v>0</v>
      </c>
      <c r="AI540" s="82">
        <v>0</v>
      </c>
      <c r="AJ540" s="82">
        <v>9500000</v>
      </c>
      <c r="AK540" s="82">
        <v>0</v>
      </c>
      <c r="AL540" s="82">
        <v>9500000</v>
      </c>
      <c r="AM540" s="82">
        <v>0</v>
      </c>
      <c r="AN540" s="82">
        <v>9500000</v>
      </c>
      <c r="AO540" s="82">
        <v>0</v>
      </c>
      <c r="AP540" s="82">
        <v>9500000</v>
      </c>
      <c r="AQ540" s="82">
        <v>0</v>
      </c>
      <c r="AR540" s="82">
        <v>9500000</v>
      </c>
      <c r="AS540" s="82">
        <v>0</v>
      </c>
      <c r="AT540" s="82">
        <v>7500000</v>
      </c>
      <c r="AU540" s="82">
        <v>0</v>
      </c>
      <c r="AV540" s="82">
        <v>0</v>
      </c>
      <c r="AW540" s="82">
        <v>0</v>
      </c>
      <c r="AX540" s="82">
        <v>0</v>
      </c>
      <c r="AY540" s="82">
        <v>0</v>
      </c>
      <c r="AZ540" s="82">
        <v>0</v>
      </c>
      <c r="BA540" s="82">
        <v>0</v>
      </c>
      <c r="BB540" s="82">
        <v>0</v>
      </c>
      <c r="BC540" s="82">
        <f t="shared" ref="BC540:BD540" si="1071">AE540+AG540+AI540+AK540+AM540+AO540+AQ540+AS540+AU540+AW540+AY540+BA540</f>
        <v>55000000</v>
      </c>
      <c r="BD540" s="82">
        <f t="shared" si="1071"/>
        <v>55000000</v>
      </c>
      <c r="BE540" s="83">
        <f t="shared" si="813"/>
        <v>0</v>
      </c>
      <c r="BF540" s="83">
        <f t="shared" si="814"/>
        <v>0</v>
      </c>
      <c r="BG540" s="14" t="str">
        <f ca="1">IFERROR(__xludf.DUMMYFUNCTION("REGEXEXTRACT(O534,""^\S+\s(.+)$"")"),"Prestación de servicios profesionales para la recopilación, análisis, depuración y reporte de datos y planes minerenergéticos, con especial énfasis en variables hidrocarburíferas a nivel nacional e internacional.")</f>
        <v>Prestación de servicios profesionales para la recopilación, análisis, depuración y reporte de datos y planes minerenergéticos, con especial énfasis en variables hidrocarburíferas a nivel nacional e internacional.</v>
      </c>
      <c r="BH540" s="23"/>
      <c r="BI540" s="23"/>
      <c r="BJ540" s="23">
        <v>55000000</v>
      </c>
      <c r="BK540" s="23"/>
      <c r="BL540" s="23"/>
      <c r="BM540" s="23">
        <v>9500000</v>
      </c>
      <c r="BN540" s="23"/>
      <c r="BO540" s="23">
        <v>9500000</v>
      </c>
      <c r="BP540" s="23"/>
      <c r="BQ540" s="23">
        <v>9500000</v>
      </c>
      <c r="BR540" s="23"/>
      <c r="BS540" s="23">
        <v>9500000</v>
      </c>
      <c r="BT540" s="23"/>
      <c r="BU540" s="23">
        <v>9500000</v>
      </c>
      <c r="BV540" s="23"/>
      <c r="BW540" s="23">
        <v>7500000</v>
      </c>
      <c r="BX540" s="23"/>
      <c r="BY540" s="23"/>
      <c r="BZ540" s="23"/>
      <c r="CA540" s="23"/>
      <c r="CB540" s="23"/>
      <c r="CC540" s="23"/>
      <c r="CD540" s="23"/>
      <c r="CE540" s="23"/>
      <c r="CF540" s="28"/>
      <c r="CG540" s="28"/>
      <c r="CH540" s="25">
        <f t="shared" ref="CH540:CI540" si="1072">BH540+BJ540+BL540+BN540+BP540+BR540+BT540+BV540+BX540+BZ540+CB540+CD540+CF540</f>
        <v>55000000</v>
      </c>
      <c r="CI540" s="25">
        <f t="shared" si="1072"/>
        <v>55000000</v>
      </c>
      <c r="CJ540" s="26">
        <f t="shared" si="816"/>
        <v>0</v>
      </c>
      <c r="CK540" s="26">
        <f t="shared" si="817"/>
        <v>0</v>
      </c>
    </row>
    <row r="541" spans="1:89" ht="90" customHeight="1" x14ac:dyDescent="0.3">
      <c r="A541" s="13" t="s">
        <v>248</v>
      </c>
      <c r="B541" s="14" t="s">
        <v>37</v>
      </c>
      <c r="C541" s="15" t="s">
        <v>1380</v>
      </c>
      <c r="D541" s="14" t="s">
        <v>64</v>
      </c>
      <c r="E541" s="13" t="s">
        <v>250</v>
      </c>
      <c r="F541" s="13" t="s">
        <v>250</v>
      </c>
      <c r="G541" s="14">
        <v>68</v>
      </c>
      <c r="H541" s="13" t="s">
        <v>1449</v>
      </c>
      <c r="I541" s="15" t="s">
        <v>1421</v>
      </c>
      <c r="J541" s="14" t="s">
        <v>43</v>
      </c>
      <c r="K541" s="15" t="s">
        <v>90</v>
      </c>
      <c r="L541" s="14">
        <v>80111620</v>
      </c>
      <c r="M541" s="14" t="s">
        <v>44</v>
      </c>
      <c r="N541" s="14" t="s">
        <v>253</v>
      </c>
      <c r="O541" s="15" t="s">
        <v>1450</v>
      </c>
      <c r="P541" s="14" t="s">
        <v>255</v>
      </c>
      <c r="Q541" s="14" t="s">
        <v>255</v>
      </c>
      <c r="R541" s="14" t="s">
        <v>255</v>
      </c>
      <c r="S541" s="17">
        <v>11.5</v>
      </c>
      <c r="T541" s="14" t="s">
        <v>256</v>
      </c>
      <c r="U541" s="14" t="s">
        <v>257</v>
      </c>
      <c r="V541" s="14" t="s">
        <v>112</v>
      </c>
      <c r="W541" s="18">
        <v>92000000</v>
      </c>
      <c r="X541" s="18">
        <v>92000000</v>
      </c>
      <c r="Y541" s="19" t="s">
        <v>339</v>
      </c>
      <c r="Z541" s="19" t="s">
        <v>258</v>
      </c>
      <c r="AA541" s="14" t="s">
        <v>1384</v>
      </c>
      <c r="AB541" s="14" t="s">
        <v>1385</v>
      </c>
      <c r="AC541" s="14">
        <v>6012220601</v>
      </c>
      <c r="AD541" s="14" t="s">
        <v>1134</v>
      </c>
      <c r="AE541" s="82">
        <v>92000000</v>
      </c>
      <c r="AF541" s="82">
        <v>0</v>
      </c>
      <c r="AG541" s="82">
        <v>0</v>
      </c>
      <c r="AH541" s="82">
        <v>4000000</v>
      </c>
      <c r="AI541" s="82">
        <v>0</v>
      </c>
      <c r="AJ541" s="82">
        <v>8000000</v>
      </c>
      <c r="AK541" s="82">
        <v>0</v>
      </c>
      <c r="AL541" s="82">
        <v>8000000</v>
      </c>
      <c r="AM541" s="82">
        <v>0</v>
      </c>
      <c r="AN541" s="82">
        <v>8000000</v>
      </c>
      <c r="AO541" s="82">
        <v>0</v>
      </c>
      <c r="AP541" s="82">
        <v>8000000</v>
      </c>
      <c r="AQ541" s="82">
        <v>0</v>
      </c>
      <c r="AR541" s="82">
        <v>8000000</v>
      </c>
      <c r="AS541" s="82">
        <v>0</v>
      </c>
      <c r="AT541" s="82">
        <v>8000000</v>
      </c>
      <c r="AU541" s="82">
        <v>0</v>
      </c>
      <c r="AV541" s="82">
        <v>8000000</v>
      </c>
      <c r="AW541" s="82">
        <v>0</v>
      </c>
      <c r="AX541" s="82">
        <v>8000000</v>
      </c>
      <c r="AY541" s="82">
        <v>0</v>
      </c>
      <c r="AZ541" s="82">
        <v>8000000</v>
      </c>
      <c r="BA541" s="82">
        <v>0</v>
      </c>
      <c r="BB541" s="82">
        <v>16000000</v>
      </c>
      <c r="BC541" s="82">
        <f t="shared" ref="BC541:BD541" si="1073">AE541+AG541+AI541+AK541+AM541+AO541+AQ541+AS541+AU541+AW541+AY541+BA541</f>
        <v>92000000</v>
      </c>
      <c r="BD541" s="82">
        <f t="shared" si="1073"/>
        <v>92000000</v>
      </c>
      <c r="BE541" s="83">
        <f t="shared" si="813"/>
        <v>0</v>
      </c>
      <c r="BF541" s="83">
        <f t="shared" si="814"/>
        <v>0</v>
      </c>
      <c r="BG541" s="14" t="str">
        <f ca="1">IFERROR(__xludf.DUMMYFUNCTION("REGEXEXTRACT(O535,""^\S+\s(.+)$"")"),"Prestación de servicios profesionales para la gestión de procesos contractuales asociados al proyecto de inversión ejecutado por la Subdirección de Gestión de la Información, así como al ciclo de formulación, seguimiento y reporte de los instrumentos de p"&amp;"laneación institucionales.")</f>
        <v>Prestación de servicios profesionales para la gestión de procesos contractuales asociados al proyecto de inversión ejecutado por la Subdirección de Gestión de la Información, así como al ciclo de formulación, seguimiento y reporte de los instrumentos de planeación institucionales.</v>
      </c>
      <c r="BH541" s="23">
        <v>92000000</v>
      </c>
      <c r="BI541" s="23"/>
      <c r="BJ541" s="23"/>
      <c r="BK541" s="23">
        <v>4000000</v>
      </c>
      <c r="BL541" s="23"/>
      <c r="BM541" s="23">
        <v>8000000</v>
      </c>
      <c r="BN541" s="23"/>
      <c r="BO541" s="23">
        <v>8000000</v>
      </c>
      <c r="BP541" s="23"/>
      <c r="BQ541" s="23">
        <v>8000000</v>
      </c>
      <c r="BR541" s="23"/>
      <c r="BS541" s="23">
        <v>8000000</v>
      </c>
      <c r="BT541" s="23"/>
      <c r="BU541" s="23">
        <v>8000000</v>
      </c>
      <c r="BV541" s="23"/>
      <c r="BW541" s="23">
        <v>8000000</v>
      </c>
      <c r="BX541" s="23"/>
      <c r="BY541" s="23">
        <v>8000000</v>
      </c>
      <c r="BZ541" s="23"/>
      <c r="CA541" s="23">
        <v>8000000</v>
      </c>
      <c r="CB541" s="23"/>
      <c r="CC541" s="23">
        <v>8000000</v>
      </c>
      <c r="CD541" s="23"/>
      <c r="CE541" s="23">
        <v>16000000</v>
      </c>
      <c r="CF541" s="28"/>
      <c r="CG541" s="28"/>
      <c r="CH541" s="25">
        <f t="shared" ref="CH541:CI541" si="1074">BH541+BJ541+BL541+BN541+BP541+BR541+BT541+BV541+BX541+BZ541+CB541+CD541+CF541</f>
        <v>92000000</v>
      </c>
      <c r="CI541" s="25">
        <f t="shared" si="1074"/>
        <v>92000000</v>
      </c>
      <c r="CJ541" s="26">
        <f t="shared" si="816"/>
        <v>0</v>
      </c>
      <c r="CK541" s="26">
        <f t="shared" si="817"/>
        <v>0</v>
      </c>
    </row>
    <row r="542" spans="1:89" ht="90" customHeight="1" x14ac:dyDescent="0.3">
      <c r="A542" s="13" t="s">
        <v>248</v>
      </c>
      <c r="B542" s="14" t="s">
        <v>37</v>
      </c>
      <c r="C542" s="15" t="s">
        <v>1380</v>
      </c>
      <c r="D542" s="14" t="s">
        <v>64</v>
      </c>
      <c r="E542" s="13" t="s">
        <v>250</v>
      </c>
      <c r="F542" s="13" t="s">
        <v>250</v>
      </c>
      <c r="G542" s="14">
        <v>68</v>
      </c>
      <c r="H542" s="13" t="s">
        <v>1451</v>
      </c>
      <c r="I542" s="15" t="s">
        <v>1421</v>
      </c>
      <c r="J542" s="14" t="s">
        <v>43</v>
      </c>
      <c r="K542" s="15" t="s">
        <v>90</v>
      </c>
      <c r="L542" s="14">
        <v>80111620</v>
      </c>
      <c r="M542" s="14" t="s">
        <v>44</v>
      </c>
      <c r="N542" s="14" t="s">
        <v>253</v>
      </c>
      <c r="O542" s="15" t="s">
        <v>1452</v>
      </c>
      <c r="P542" s="14" t="s">
        <v>255</v>
      </c>
      <c r="Q542" s="14" t="s">
        <v>255</v>
      </c>
      <c r="R542" s="14" t="s">
        <v>255</v>
      </c>
      <c r="S542" s="17">
        <v>10</v>
      </c>
      <c r="T542" s="14" t="s">
        <v>256</v>
      </c>
      <c r="U542" s="14" t="s">
        <v>257</v>
      </c>
      <c r="V542" s="14" t="s">
        <v>112</v>
      </c>
      <c r="W542" s="18">
        <v>60000000</v>
      </c>
      <c r="X542" s="18">
        <v>60000000</v>
      </c>
      <c r="Y542" s="19" t="s">
        <v>339</v>
      </c>
      <c r="Z542" s="19" t="s">
        <v>258</v>
      </c>
      <c r="AA542" s="14" t="s">
        <v>1384</v>
      </c>
      <c r="AB542" s="14" t="s">
        <v>1385</v>
      </c>
      <c r="AC542" s="14">
        <v>6012220601</v>
      </c>
      <c r="AD542" s="14" t="s">
        <v>1134</v>
      </c>
      <c r="AE542" s="82">
        <v>60000000</v>
      </c>
      <c r="AF542" s="82">
        <v>0</v>
      </c>
      <c r="AG542" s="82">
        <v>0</v>
      </c>
      <c r="AH542" s="82">
        <v>600000</v>
      </c>
      <c r="AI542" s="82">
        <v>0</v>
      </c>
      <c r="AJ542" s="82">
        <v>6000000</v>
      </c>
      <c r="AK542" s="82">
        <v>0</v>
      </c>
      <c r="AL542" s="82">
        <v>6000000</v>
      </c>
      <c r="AM542" s="82">
        <v>0</v>
      </c>
      <c r="AN542" s="82">
        <v>6000000</v>
      </c>
      <c r="AO542" s="82">
        <v>0</v>
      </c>
      <c r="AP542" s="82">
        <v>6000000</v>
      </c>
      <c r="AQ542" s="82">
        <v>0</v>
      </c>
      <c r="AR542" s="82">
        <v>6000000</v>
      </c>
      <c r="AS542" s="82">
        <v>0</v>
      </c>
      <c r="AT542" s="82">
        <v>6000000</v>
      </c>
      <c r="AU542" s="82">
        <v>0</v>
      </c>
      <c r="AV542" s="82">
        <v>6000000</v>
      </c>
      <c r="AW542" s="82">
        <v>0</v>
      </c>
      <c r="AX542" s="82">
        <v>6000000</v>
      </c>
      <c r="AY542" s="82">
        <v>0</v>
      </c>
      <c r="AZ542" s="82">
        <v>6000000</v>
      </c>
      <c r="BA542" s="82">
        <v>0</v>
      </c>
      <c r="BB542" s="82">
        <v>5400000</v>
      </c>
      <c r="BC542" s="82">
        <f t="shared" ref="BC542:BD542" si="1075">AE542+AG542+AI542+AK542+AM542+AO542+AQ542+AS542+AU542+AW542+AY542+BA542</f>
        <v>60000000</v>
      </c>
      <c r="BD542" s="82">
        <f t="shared" si="1075"/>
        <v>60000000</v>
      </c>
      <c r="BE542" s="83">
        <f t="shared" si="813"/>
        <v>0</v>
      </c>
      <c r="BF542" s="83">
        <f t="shared" si="814"/>
        <v>0</v>
      </c>
      <c r="BG542" s="14" t="str">
        <f ca="1">IFERROR(__xludf.DUMMYFUNCTION("REGEXEXTRACT(O536,""^\S+\s(.+)$"")"),"Prestación de servicios profesionales para la proyección oportuna y eficiente de los actos administrativos y memorandos de la Subdirección de Gestión de la Información, así como para el apoyo en la gestión contractual y documental de la dependencia y el s"&amp;"eguimiento de metas institucionales.")</f>
        <v>Prestación de servicios profesionales para la proyección oportuna y eficiente de los actos administrativos y memorandos de la Subdirección de Gestión de la Información, así como para el apoyo en la gestión contractual y documental de la dependencia y el seguimiento de metas institucionales.</v>
      </c>
      <c r="BH542" s="23">
        <v>60000000</v>
      </c>
      <c r="BI542" s="23"/>
      <c r="BJ542" s="23"/>
      <c r="BK542" s="23">
        <v>600000</v>
      </c>
      <c r="BL542" s="23"/>
      <c r="BM542" s="23">
        <v>6000000</v>
      </c>
      <c r="BN542" s="23"/>
      <c r="BO542" s="23">
        <v>6000000</v>
      </c>
      <c r="BP542" s="23"/>
      <c r="BQ542" s="23">
        <v>6000000</v>
      </c>
      <c r="BR542" s="23"/>
      <c r="BS542" s="23">
        <v>6000000</v>
      </c>
      <c r="BT542" s="23"/>
      <c r="BU542" s="23">
        <v>6000000</v>
      </c>
      <c r="BV542" s="23"/>
      <c r="BW542" s="23">
        <v>6000000</v>
      </c>
      <c r="BX542" s="23"/>
      <c r="BY542" s="23">
        <v>6000000</v>
      </c>
      <c r="BZ542" s="23"/>
      <c r="CA542" s="23">
        <v>6000000</v>
      </c>
      <c r="CB542" s="23"/>
      <c r="CC542" s="23">
        <v>6000000</v>
      </c>
      <c r="CD542" s="23"/>
      <c r="CE542" s="23">
        <v>5400000</v>
      </c>
      <c r="CF542" s="28"/>
      <c r="CG542" s="28"/>
      <c r="CH542" s="25">
        <f t="shared" ref="CH542:CI542" si="1076">BH542+BJ542+BL542+BN542+BP542+BR542+BT542+BV542+BX542+BZ542+CB542+CD542+CF542</f>
        <v>60000000</v>
      </c>
      <c r="CI542" s="25">
        <f t="shared" si="1076"/>
        <v>60000000</v>
      </c>
      <c r="CJ542" s="26">
        <f t="shared" si="816"/>
        <v>0</v>
      </c>
      <c r="CK542" s="26">
        <f t="shared" si="817"/>
        <v>0</v>
      </c>
    </row>
    <row r="543" spans="1:89" ht="90" customHeight="1" x14ac:dyDescent="0.3">
      <c r="A543" s="13" t="s">
        <v>248</v>
      </c>
      <c r="B543" s="14" t="s">
        <v>37</v>
      </c>
      <c r="C543" s="15" t="s">
        <v>1380</v>
      </c>
      <c r="D543" s="14" t="s">
        <v>64</v>
      </c>
      <c r="E543" s="13" t="s">
        <v>250</v>
      </c>
      <c r="F543" s="13" t="s">
        <v>250</v>
      </c>
      <c r="G543" s="14">
        <v>22</v>
      </c>
      <c r="H543" s="13" t="s">
        <v>1453</v>
      </c>
      <c r="I543" s="15" t="s">
        <v>1421</v>
      </c>
      <c r="J543" s="14" t="s">
        <v>43</v>
      </c>
      <c r="K543" s="15" t="s">
        <v>90</v>
      </c>
      <c r="L543" s="14" t="s">
        <v>277</v>
      </c>
      <c r="M543" s="14" t="s">
        <v>44</v>
      </c>
      <c r="N543" s="14" t="s">
        <v>278</v>
      </c>
      <c r="O543" s="15" t="s">
        <v>1454</v>
      </c>
      <c r="P543" s="14" t="s">
        <v>280</v>
      </c>
      <c r="Q543" s="14" t="s">
        <v>280</v>
      </c>
      <c r="R543" s="14" t="s">
        <v>281</v>
      </c>
      <c r="S543" s="17">
        <v>12</v>
      </c>
      <c r="T543" s="14" t="s">
        <v>256</v>
      </c>
      <c r="U543" s="14" t="s">
        <v>1455</v>
      </c>
      <c r="V543" s="14" t="s">
        <v>112</v>
      </c>
      <c r="W543" s="18">
        <v>100000000</v>
      </c>
      <c r="X543" s="18">
        <v>100000000</v>
      </c>
      <c r="Y543" s="19" t="s">
        <v>339</v>
      </c>
      <c r="Z543" s="19" t="s">
        <v>258</v>
      </c>
      <c r="AA543" s="14" t="s">
        <v>1384</v>
      </c>
      <c r="AB543" s="14" t="s">
        <v>1385</v>
      </c>
      <c r="AC543" s="14">
        <v>6012220601</v>
      </c>
      <c r="AD543" s="14" t="s">
        <v>1134</v>
      </c>
      <c r="AE543" s="82">
        <v>0</v>
      </c>
      <c r="AF543" s="82">
        <v>0</v>
      </c>
      <c r="AG543" s="82">
        <v>0</v>
      </c>
      <c r="AH543" s="82">
        <v>0</v>
      </c>
      <c r="AI543" s="82">
        <v>0</v>
      </c>
      <c r="AJ543" s="82">
        <v>0</v>
      </c>
      <c r="AK543" s="82">
        <v>0</v>
      </c>
      <c r="AL543" s="82">
        <v>0</v>
      </c>
      <c r="AM543" s="82">
        <v>0</v>
      </c>
      <c r="AN543" s="82">
        <v>0</v>
      </c>
      <c r="AO543" s="82">
        <v>0</v>
      </c>
      <c r="AP543" s="82">
        <v>0</v>
      </c>
      <c r="AQ543" s="82">
        <v>70000000</v>
      </c>
      <c r="AR543" s="82">
        <v>0</v>
      </c>
      <c r="AS543" s="82">
        <v>0</v>
      </c>
      <c r="AT543" s="82">
        <v>0</v>
      </c>
      <c r="AU543" s="82">
        <v>0</v>
      </c>
      <c r="AV543" s="82">
        <v>0</v>
      </c>
      <c r="AW543" s="82">
        <v>0</v>
      </c>
      <c r="AX543" s="82">
        <v>0</v>
      </c>
      <c r="AY543" s="82">
        <v>0</v>
      </c>
      <c r="AZ543" s="82">
        <v>0</v>
      </c>
      <c r="BA543" s="82">
        <v>0</v>
      </c>
      <c r="BB543" s="82">
        <v>70000000</v>
      </c>
      <c r="BC543" s="82">
        <f t="shared" ref="BC543:BD543" si="1077">AE543+AG543+AI543+AK543+AM543+AO543+AQ543+AS543+AU543+AW543+AY543+BA543</f>
        <v>70000000</v>
      </c>
      <c r="BD543" s="82">
        <f t="shared" si="1077"/>
        <v>70000000</v>
      </c>
      <c r="BE543" s="83">
        <f t="shared" si="813"/>
        <v>30000000</v>
      </c>
      <c r="BF543" s="83">
        <f t="shared" si="814"/>
        <v>30000000</v>
      </c>
      <c r="BG543" s="14" t="str">
        <f ca="1">IFERROR(__xludf.DUMMYFUNCTION("REGEXEXTRACT(O537,""^\S+\s(.+)$"")"),"Adquirir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543" s="23">
        <v>0</v>
      </c>
      <c r="BI543" s="23">
        <v>0</v>
      </c>
      <c r="BJ543" s="23">
        <v>0</v>
      </c>
      <c r="BK543" s="23">
        <v>0</v>
      </c>
      <c r="BL543" s="23">
        <v>0</v>
      </c>
      <c r="BM543" s="23">
        <v>0</v>
      </c>
      <c r="BN543" s="23">
        <v>0</v>
      </c>
      <c r="BO543" s="23">
        <v>0</v>
      </c>
      <c r="BP543" s="23">
        <v>100000000</v>
      </c>
      <c r="BQ543" s="23">
        <v>0</v>
      </c>
      <c r="BR543" s="23">
        <v>0</v>
      </c>
      <c r="BS543" s="23">
        <v>100000000</v>
      </c>
      <c r="BT543" s="23">
        <v>0</v>
      </c>
      <c r="BU543" s="23">
        <v>0</v>
      </c>
      <c r="BV543" s="23">
        <v>0</v>
      </c>
      <c r="BW543" s="23">
        <v>0</v>
      </c>
      <c r="BX543" s="23">
        <v>0</v>
      </c>
      <c r="BY543" s="23">
        <v>0</v>
      </c>
      <c r="BZ543" s="23">
        <v>0</v>
      </c>
      <c r="CA543" s="23">
        <v>0</v>
      </c>
      <c r="CB543" s="23">
        <v>0</v>
      </c>
      <c r="CC543" s="23">
        <v>0</v>
      </c>
      <c r="CD543" s="23">
        <v>0</v>
      </c>
      <c r="CE543" s="23">
        <v>0</v>
      </c>
      <c r="CF543" s="28"/>
      <c r="CG543" s="28"/>
      <c r="CH543" s="25">
        <f t="shared" ref="CH543:CI543" si="1078">BH543+BJ543+BL543+BN543+BP543+BR543+BT543+BV543+BX543+BZ543+CB543+CD543+CF543</f>
        <v>100000000</v>
      </c>
      <c r="CI543" s="25">
        <f t="shared" si="1078"/>
        <v>100000000</v>
      </c>
      <c r="CJ543" s="26">
        <f t="shared" si="816"/>
        <v>0</v>
      </c>
      <c r="CK543" s="26">
        <f t="shared" si="817"/>
        <v>0</v>
      </c>
    </row>
    <row r="544" spans="1:89" ht="90" customHeight="1" x14ac:dyDescent="0.3">
      <c r="A544" s="13" t="s">
        <v>248</v>
      </c>
      <c r="B544" s="14" t="s">
        <v>37</v>
      </c>
      <c r="C544" s="15" t="s">
        <v>1380</v>
      </c>
      <c r="D544" s="14" t="s">
        <v>64</v>
      </c>
      <c r="E544" s="13" t="s">
        <v>250</v>
      </c>
      <c r="F544" s="13" t="s">
        <v>250</v>
      </c>
      <c r="G544" s="14">
        <v>22</v>
      </c>
      <c r="H544" s="13" t="s">
        <v>1456</v>
      </c>
      <c r="I544" s="15" t="s">
        <v>1421</v>
      </c>
      <c r="J544" s="14" t="s">
        <v>43</v>
      </c>
      <c r="K544" s="15" t="s">
        <v>90</v>
      </c>
      <c r="L544" s="14">
        <v>81112003</v>
      </c>
      <c r="M544" s="14" t="s">
        <v>44</v>
      </c>
      <c r="N544" s="14" t="s">
        <v>770</v>
      </c>
      <c r="O544" s="15" t="s">
        <v>1457</v>
      </c>
      <c r="P544" s="14" t="s">
        <v>280</v>
      </c>
      <c r="Q544" s="14" t="s">
        <v>281</v>
      </c>
      <c r="R544" s="14" t="s">
        <v>281</v>
      </c>
      <c r="S544" s="17">
        <v>12</v>
      </c>
      <c r="T544" s="14" t="s">
        <v>256</v>
      </c>
      <c r="U544" s="14" t="s">
        <v>282</v>
      </c>
      <c r="V544" s="14" t="s">
        <v>112</v>
      </c>
      <c r="W544" s="18">
        <v>4119272</v>
      </c>
      <c r="X544" s="18">
        <v>4119272</v>
      </c>
      <c r="Y544" s="19" t="s">
        <v>339</v>
      </c>
      <c r="Z544" s="19" t="s">
        <v>258</v>
      </c>
      <c r="AA544" s="14" t="s">
        <v>1384</v>
      </c>
      <c r="AB544" s="14" t="s">
        <v>1385</v>
      </c>
      <c r="AC544" s="14">
        <v>6012220601</v>
      </c>
      <c r="AD544" s="14" t="s">
        <v>1134</v>
      </c>
      <c r="AE544" s="82">
        <v>0</v>
      </c>
      <c r="AF544" s="82">
        <v>0</v>
      </c>
      <c r="AG544" s="82">
        <v>0</v>
      </c>
      <c r="AH544" s="82">
        <v>0</v>
      </c>
      <c r="AI544" s="82">
        <v>0</v>
      </c>
      <c r="AJ544" s="82">
        <v>0</v>
      </c>
      <c r="AK544" s="82">
        <v>4119272</v>
      </c>
      <c r="AL544" s="82">
        <v>0</v>
      </c>
      <c r="AM544" s="82">
        <v>0</v>
      </c>
      <c r="AN544" s="82">
        <v>4119272</v>
      </c>
      <c r="AO544" s="82">
        <v>0</v>
      </c>
      <c r="AP544" s="82">
        <v>0</v>
      </c>
      <c r="AQ544" s="82">
        <v>0</v>
      </c>
      <c r="AR544" s="82">
        <v>0</v>
      </c>
      <c r="AS544" s="82">
        <v>0</v>
      </c>
      <c r="AT544" s="82">
        <v>0</v>
      </c>
      <c r="AU544" s="82">
        <v>0</v>
      </c>
      <c r="AV544" s="82">
        <v>0</v>
      </c>
      <c r="AW544" s="82">
        <v>0</v>
      </c>
      <c r="AX544" s="82">
        <v>0</v>
      </c>
      <c r="AY544" s="82">
        <v>0</v>
      </c>
      <c r="AZ544" s="82">
        <v>0</v>
      </c>
      <c r="BA544" s="82">
        <v>0</v>
      </c>
      <c r="BB544" s="82">
        <v>0</v>
      </c>
      <c r="BC544" s="82">
        <f t="shared" ref="BC544:BD544" si="1079">AE544+AG544+AI544+AK544+AM544+AO544+AQ544+AS544+AU544+AW544+AY544+BA544</f>
        <v>4119272</v>
      </c>
      <c r="BD544" s="82">
        <f t="shared" si="1079"/>
        <v>4119272</v>
      </c>
      <c r="BE544" s="83">
        <f t="shared" si="813"/>
        <v>0</v>
      </c>
      <c r="BF544" s="83">
        <f t="shared" si="814"/>
        <v>0</v>
      </c>
      <c r="BG544" s="14" t="str">
        <f ca="1">IFERROR(__xludf.DUMMYFUNCTION("REGEXEXTRACT(O538,""^\S+\s(.+)$"")"),"Adquirir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44" s="23">
        <v>0</v>
      </c>
      <c r="BI544" s="23">
        <v>0</v>
      </c>
      <c r="BJ544" s="23">
        <v>0</v>
      </c>
      <c r="BK544" s="23">
        <v>0</v>
      </c>
      <c r="BL544" s="23">
        <v>0</v>
      </c>
      <c r="BM544" s="23">
        <v>0</v>
      </c>
      <c r="BN544" s="23">
        <v>0</v>
      </c>
      <c r="BO544" s="23">
        <v>0</v>
      </c>
      <c r="BP544" s="23">
        <v>4119272</v>
      </c>
      <c r="BQ544" s="23">
        <v>0</v>
      </c>
      <c r="BR544" s="23">
        <v>0</v>
      </c>
      <c r="BS544" s="23">
        <v>0</v>
      </c>
      <c r="BT544" s="23">
        <v>0</v>
      </c>
      <c r="BU544" s="23">
        <v>4119272</v>
      </c>
      <c r="BV544" s="23">
        <v>0</v>
      </c>
      <c r="BW544" s="23">
        <v>0</v>
      </c>
      <c r="BX544" s="23">
        <v>0</v>
      </c>
      <c r="BY544" s="23">
        <v>0</v>
      </c>
      <c r="BZ544" s="23">
        <v>0</v>
      </c>
      <c r="CA544" s="23">
        <v>0</v>
      </c>
      <c r="CB544" s="23">
        <v>0</v>
      </c>
      <c r="CC544" s="23">
        <v>0</v>
      </c>
      <c r="CD544" s="23">
        <v>0</v>
      </c>
      <c r="CE544" s="23">
        <v>0</v>
      </c>
      <c r="CF544" s="28"/>
      <c r="CG544" s="28"/>
      <c r="CH544" s="25">
        <f t="shared" ref="CH544:CI544" si="1080">BH544+BJ544+BL544+BN544+BP544+BR544+BT544+BV544+BX544+BZ544+CB544+CD544+CF544</f>
        <v>4119272</v>
      </c>
      <c r="CI544" s="25">
        <f t="shared" si="1080"/>
        <v>4119272</v>
      </c>
      <c r="CJ544" s="26">
        <f t="shared" si="816"/>
        <v>0</v>
      </c>
      <c r="CK544" s="26">
        <f t="shared" si="817"/>
        <v>0</v>
      </c>
    </row>
    <row r="545" spans="1:89" ht="90" customHeight="1" x14ac:dyDescent="0.3">
      <c r="A545" s="13" t="s">
        <v>248</v>
      </c>
      <c r="B545" s="14" t="s">
        <v>37</v>
      </c>
      <c r="C545" s="15" t="s">
        <v>1380</v>
      </c>
      <c r="D545" s="14" t="s">
        <v>64</v>
      </c>
      <c r="E545" s="13" t="s">
        <v>250</v>
      </c>
      <c r="F545" s="13" t="s">
        <v>250</v>
      </c>
      <c r="G545" s="14">
        <v>68</v>
      </c>
      <c r="H545" s="13" t="s">
        <v>1458</v>
      </c>
      <c r="I545" s="15" t="s">
        <v>1459</v>
      </c>
      <c r="J545" s="14" t="s">
        <v>47</v>
      </c>
      <c r="K545" s="15" t="s">
        <v>91</v>
      </c>
      <c r="L545" s="14">
        <v>80111620</v>
      </c>
      <c r="M545" s="14" t="s">
        <v>46</v>
      </c>
      <c r="N545" s="14" t="s">
        <v>253</v>
      </c>
      <c r="O545" s="15" t="s">
        <v>1460</v>
      </c>
      <c r="P545" s="14" t="s">
        <v>255</v>
      </c>
      <c r="Q545" s="14" t="s">
        <v>255</v>
      </c>
      <c r="R545" s="14" t="s">
        <v>255</v>
      </c>
      <c r="S545" s="17">
        <v>11.5</v>
      </c>
      <c r="T545" s="14" t="s">
        <v>256</v>
      </c>
      <c r="U545" s="14" t="s">
        <v>257</v>
      </c>
      <c r="V545" s="14" t="s">
        <v>112</v>
      </c>
      <c r="W545" s="18">
        <v>138000000</v>
      </c>
      <c r="X545" s="18">
        <v>138000000</v>
      </c>
      <c r="Y545" s="19" t="s">
        <v>339</v>
      </c>
      <c r="Z545" s="19" t="s">
        <v>258</v>
      </c>
      <c r="AA545" s="14" t="s">
        <v>1384</v>
      </c>
      <c r="AB545" s="14" t="s">
        <v>1385</v>
      </c>
      <c r="AC545" s="14">
        <v>6012220601</v>
      </c>
      <c r="AD545" s="14" t="s">
        <v>1134</v>
      </c>
      <c r="AE545" s="82">
        <v>120750000</v>
      </c>
      <c r="AF545" s="82">
        <v>0</v>
      </c>
      <c r="AG545" s="82">
        <v>0</v>
      </c>
      <c r="AH545" s="82">
        <v>0</v>
      </c>
      <c r="AI545" s="82">
        <v>0</v>
      </c>
      <c r="AJ545" s="82">
        <v>10500000</v>
      </c>
      <c r="AK545" s="82">
        <v>0</v>
      </c>
      <c r="AL545" s="82">
        <v>10500000</v>
      </c>
      <c r="AM545" s="82">
        <v>0</v>
      </c>
      <c r="AN545" s="82">
        <v>10500000</v>
      </c>
      <c r="AO545" s="82">
        <v>0</v>
      </c>
      <c r="AP545" s="82">
        <v>10500000</v>
      </c>
      <c r="AQ545" s="82">
        <v>0</v>
      </c>
      <c r="AR545" s="82">
        <v>10500000</v>
      </c>
      <c r="AS545" s="82">
        <v>17250000</v>
      </c>
      <c r="AT545" s="82">
        <v>10500000</v>
      </c>
      <c r="AU545" s="82">
        <v>0</v>
      </c>
      <c r="AV545" s="82">
        <v>10500000</v>
      </c>
      <c r="AW545" s="82">
        <v>0</v>
      </c>
      <c r="AX545" s="82">
        <v>10500000</v>
      </c>
      <c r="AY545" s="82">
        <v>0</v>
      </c>
      <c r="AZ545" s="82">
        <v>10500000</v>
      </c>
      <c r="BA545" s="82">
        <v>0</v>
      </c>
      <c r="BB545" s="82">
        <v>43500000</v>
      </c>
      <c r="BC545" s="82">
        <f t="shared" ref="BC545:BD545" si="1081">AE545+AG545+AI545+AK545+AM545+AO545+AQ545+AS545+AU545+AW545+AY545+BA545</f>
        <v>138000000</v>
      </c>
      <c r="BD545" s="82">
        <f t="shared" si="1081"/>
        <v>138000000</v>
      </c>
      <c r="BE545" s="83">
        <f t="shared" si="813"/>
        <v>0</v>
      </c>
      <c r="BF545" s="83">
        <f t="shared" si="814"/>
        <v>0</v>
      </c>
      <c r="BG545" s="14" t="str">
        <f ca="1">IFERROR(__xludf.DUMMYFUNCTION("REGEXEXTRACT(O539,""^\S+\s(.+)$"")"),"Prestación de servicios profesionales para el diseño, desarrollo e implementación de mejoras y requerimientos en los portales institucionales, la Intranet y las aplicaciones web de la UPME, asegurando la planeación, coordinación y articulación con las áre"&amp;"as internas y demás actores involucrados, con el fin de garantizar la coherencia técnica, visual y funcional de los sistemas digitales administrados por la Subdirección de Gestión de la Información.")</f>
        <v>Prestación de servicios profesionales para el diseño, desarrollo e implementación de mejoras y requerimientos en los portales institucionales, la Intranet y las aplicaciones web de la UPME, asegurando la planeación, coordinación y articulación con las áreas internas y demás actores involucrados, con el fin de garantizar la coherencia técnica, visual y funcional de los sistemas digitales administrados por la Subdirección de Gestión de la Información.</v>
      </c>
      <c r="BH545" s="23">
        <v>120750000</v>
      </c>
      <c r="BI545" s="23"/>
      <c r="BJ545" s="23"/>
      <c r="BK545" s="23"/>
      <c r="BL545" s="23"/>
      <c r="BM545" s="23">
        <v>10500000</v>
      </c>
      <c r="BN545" s="23"/>
      <c r="BO545" s="23">
        <v>10500000</v>
      </c>
      <c r="BP545" s="23"/>
      <c r="BQ545" s="23">
        <v>10500000</v>
      </c>
      <c r="BR545" s="23"/>
      <c r="BS545" s="23">
        <v>10500000</v>
      </c>
      <c r="BT545" s="23"/>
      <c r="BU545" s="23">
        <v>10500000</v>
      </c>
      <c r="BV545" s="23">
        <v>17250000</v>
      </c>
      <c r="BW545" s="23">
        <v>10500000</v>
      </c>
      <c r="BX545" s="23"/>
      <c r="BY545" s="23">
        <v>10500000</v>
      </c>
      <c r="BZ545" s="23"/>
      <c r="CA545" s="23">
        <v>10500000</v>
      </c>
      <c r="CB545" s="23"/>
      <c r="CC545" s="23">
        <v>10500000</v>
      </c>
      <c r="CD545" s="23"/>
      <c r="CE545" s="23">
        <v>43500000</v>
      </c>
      <c r="CF545" s="28"/>
      <c r="CG545" s="28"/>
      <c r="CH545" s="25">
        <f t="shared" ref="CH545:CI545" si="1082">BH545+BJ545+BL545+BN545+BP545+BR545+BT545+BV545+BX545+BZ545+CB545+CD545+CF545</f>
        <v>138000000</v>
      </c>
      <c r="CI545" s="25">
        <f t="shared" si="1082"/>
        <v>138000000</v>
      </c>
      <c r="CJ545" s="26">
        <f t="shared" si="816"/>
        <v>0</v>
      </c>
      <c r="CK545" s="26">
        <f t="shared" si="817"/>
        <v>0</v>
      </c>
    </row>
    <row r="546" spans="1:89" ht="90" customHeight="1" x14ac:dyDescent="0.3">
      <c r="A546" s="13" t="s">
        <v>248</v>
      </c>
      <c r="B546" s="14" t="s">
        <v>37</v>
      </c>
      <c r="C546" s="15" t="s">
        <v>1380</v>
      </c>
      <c r="D546" s="14" t="s">
        <v>64</v>
      </c>
      <c r="E546" s="13" t="s">
        <v>250</v>
      </c>
      <c r="F546" s="13" t="s">
        <v>250</v>
      </c>
      <c r="G546" s="14">
        <v>68</v>
      </c>
      <c r="H546" s="13" t="s">
        <v>1461</v>
      </c>
      <c r="I546" s="15" t="s">
        <v>1459</v>
      </c>
      <c r="J546" s="14" t="s">
        <v>47</v>
      </c>
      <c r="K546" s="15" t="s">
        <v>91</v>
      </c>
      <c r="L546" s="14">
        <v>80111620</v>
      </c>
      <c r="M546" s="14" t="s">
        <v>46</v>
      </c>
      <c r="N546" s="14" t="s">
        <v>253</v>
      </c>
      <c r="O546" s="15" t="s">
        <v>1462</v>
      </c>
      <c r="P546" s="14" t="s">
        <v>255</v>
      </c>
      <c r="Q546" s="14" t="s">
        <v>255</v>
      </c>
      <c r="R546" s="14" t="s">
        <v>255</v>
      </c>
      <c r="S546" s="17">
        <v>11</v>
      </c>
      <c r="T546" s="14" t="s">
        <v>256</v>
      </c>
      <c r="U546" s="14" t="s">
        <v>257</v>
      </c>
      <c r="V546" s="14" t="s">
        <v>112</v>
      </c>
      <c r="W546" s="18">
        <v>80850000</v>
      </c>
      <c r="X546" s="18">
        <v>80850000</v>
      </c>
      <c r="Y546" s="19" t="s">
        <v>339</v>
      </c>
      <c r="Z546" s="19" t="s">
        <v>258</v>
      </c>
      <c r="AA546" s="14" t="s">
        <v>1384</v>
      </c>
      <c r="AB546" s="14" t="s">
        <v>1385</v>
      </c>
      <c r="AC546" s="14">
        <v>6012220601</v>
      </c>
      <c r="AD546" s="14" t="s">
        <v>1134</v>
      </c>
      <c r="AE546" s="82">
        <v>80850000</v>
      </c>
      <c r="AF546" s="82">
        <v>0</v>
      </c>
      <c r="AG546" s="82">
        <v>0</v>
      </c>
      <c r="AH546" s="82">
        <v>1837500</v>
      </c>
      <c r="AI546" s="82">
        <v>0</v>
      </c>
      <c r="AJ546" s="82">
        <v>7350000</v>
      </c>
      <c r="AK546" s="82">
        <v>0</v>
      </c>
      <c r="AL546" s="82">
        <v>7350000</v>
      </c>
      <c r="AM546" s="82">
        <v>0</v>
      </c>
      <c r="AN546" s="82">
        <v>7350000</v>
      </c>
      <c r="AO546" s="82">
        <v>0</v>
      </c>
      <c r="AP546" s="82">
        <v>7350000</v>
      </c>
      <c r="AQ546" s="82">
        <v>0</v>
      </c>
      <c r="AR546" s="82">
        <v>7350000</v>
      </c>
      <c r="AS546" s="82">
        <v>0</v>
      </c>
      <c r="AT546" s="82">
        <v>7350000</v>
      </c>
      <c r="AU546" s="82">
        <v>0</v>
      </c>
      <c r="AV546" s="82">
        <v>7350000</v>
      </c>
      <c r="AW546" s="82">
        <v>0</v>
      </c>
      <c r="AX546" s="82">
        <v>7350000</v>
      </c>
      <c r="AY546" s="82">
        <v>0</v>
      </c>
      <c r="AZ546" s="82">
        <v>7350000</v>
      </c>
      <c r="BA546" s="82">
        <v>0</v>
      </c>
      <c r="BB546" s="82">
        <v>12862500</v>
      </c>
      <c r="BC546" s="82">
        <f t="shared" ref="BC546:BD546" si="1083">AE546+AG546+AI546+AK546+AM546+AO546+AQ546+AS546+AU546+AW546+AY546+BA546</f>
        <v>80850000</v>
      </c>
      <c r="BD546" s="82">
        <f t="shared" si="1083"/>
        <v>80850000</v>
      </c>
      <c r="BE546" s="83">
        <f t="shared" si="813"/>
        <v>0</v>
      </c>
      <c r="BF546" s="83">
        <f t="shared" si="814"/>
        <v>0</v>
      </c>
      <c r="BG546" s="14" t="str">
        <f ca="1">IFERROR(__xludf.DUMMYFUNCTION("REGEXEXTRACT(O540,""^\S+\s(.+)$"")"),"Prestación de servicios profesionales para el desarrollo, actualización, integración y mantenimiento de los portales institucionales, sistemas de información y aplicaciones web de la UPME, incorporando componentes de backend, servicios API y estructuras d"&amp;"e datos que fortalezcan su interoperabilidad, accesibilidad y sostenibilidad tecnológica, conforme a los lineamientos técnicos y normativos de la entidad.")</f>
        <v>Prestación de servicios profesionales para el desarrollo, actualización, integración y mantenimiento de los portales institucionales, sistemas de información y aplicaciones web de la UPME, incorporando componentes de backend, servicios API y estructuras de datos que fortalezcan su interoperabilidad, accesibilidad y sostenibilidad tecnológica, conforme a los lineamientos técnicos y normativos de la entidad.</v>
      </c>
      <c r="BH546" s="23">
        <v>80850000</v>
      </c>
      <c r="BI546" s="23"/>
      <c r="BJ546" s="23"/>
      <c r="BK546" s="23">
        <v>1837500</v>
      </c>
      <c r="BL546" s="23"/>
      <c r="BM546" s="23">
        <v>7350000</v>
      </c>
      <c r="BN546" s="23"/>
      <c r="BO546" s="23">
        <v>7350000</v>
      </c>
      <c r="BP546" s="23"/>
      <c r="BQ546" s="23">
        <v>7350000</v>
      </c>
      <c r="BR546" s="23"/>
      <c r="BS546" s="23">
        <v>7350000</v>
      </c>
      <c r="BT546" s="23"/>
      <c r="BU546" s="23">
        <v>7350000</v>
      </c>
      <c r="BV546" s="23"/>
      <c r="BW546" s="23">
        <v>7350000</v>
      </c>
      <c r="BX546" s="23"/>
      <c r="BY546" s="23">
        <v>7350000</v>
      </c>
      <c r="BZ546" s="23"/>
      <c r="CA546" s="23">
        <v>7350000</v>
      </c>
      <c r="CB546" s="23"/>
      <c r="CC546" s="23">
        <v>7350000</v>
      </c>
      <c r="CD546" s="23"/>
      <c r="CE546" s="23">
        <v>12862500</v>
      </c>
      <c r="CF546" s="28"/>
      <c r="CG546" s="28"/>
      <c r="CH546" s="25">
        <f t="shared" ref="CH546:CI546" si="1084">BH546+BJ546+BL546+BN546+BP546+BR546+BT546+BV546+BX546+BZ546+CB546+CD546+CF546</f>
        <v>80850000</v>
      </c>
      <c r="CI546" s="25">
        <f t="shared" si="1084"/>
        <v>80850000</v>
      </c>
      <c r="CJ546" s="26">
        <f t="shared" si="816"/>
        <v>0</v>
      </c>
      <c r="CK546" s="26">
        <f t="shared" si="817"/>
        <v>0</v>
      </c>
    </row>
    <row r="547" spans="1:89" ht="90" customHeight="1" x14ac:dyDescent="0.3">
      <c r="A547" s="13" t="s">
        <v>248</v>
      </c>
      <c r="B547" s="14" t="s">
        <v>37</v>
      </c>
      <c r="C547" s="15" t="s">
        <v>1380</v>
      </c>
      <c r="D547" s="14" t="s">
        <v>64</v>
      </c>
      <c r="E547" s="13" t="s">
        <v>250</v>
      </c>
      <c r="F547" s="13" t="s">
        <v>250</v>
      </c>
      <c r="G547" s="14">
        <v>22</v>
      </c>
      <c r="H547" s="13" t="s">
        <v>1463</v>
      </c>
      <c r="I547" s="15" t="s">
        <v>1459</v>
      </c>
      <c r="J547" s="14" t="s">
        <v>47</v>
      </c>
      <c r="K547" s="15" t="s">
        <v>91</v>
      </c>
      <c r="L547" s="14">
        <v>81112003</v>
      </c>
      <c r="M547" s="14" t="s">
        <v>46</v>
      </c>
      <c r="N547" s="14" t="s">
        <v>770</v>
      </c>
      <c r="O547" s="15" t="s">
        <v>1464</v>
      </c>
      <c r="P547" s="14" t="s">
        <v>280</v>
      </c>
      <c r="Q547" s="14" t="s">
        <v>281</v>
      </c>
      <c r="R547" s="14" t="s">
        <v>281</v>
      </c>
      <c r="S547" s="17">
        <v>12</v>
      </c>
      <c r="T547" s="14" t="s">
        <v>256</v>
      </c>
      <c r="U547" s="14" t="s">
        <v>282</v>
      </c>
      <c r="V547" s="14" t="s">
        <v>112</v>
      </c>
      <c r="W547" s="18">
        <v>16380041</v>
      </c>
      <c r="X547" s="18">
        <v>16380041</v>
      </c>
      <c r="Y547" s="19" t="s">
        <v>339</v>
      </c>
      <c r="Z547" s="19" t="s">
        <v>258</v>
      </c>
      <c r="AA547" s="14" t="s">
        <v>1384</v>
      </c>
      <c r="AB547" s="14" t="s">
        <v>1385</v>
      </c>
      <c r="AC547" s="14">
        <v>6012220601</v>
      </c>
      <c r="AD547" s="14" t="s">
        <v>1134</v>
      </c>
      <c r="AE547" s="82">
        <v>0</v>
      </c>
      <c r="AF547" s="82">
        <v>0</v>
      </c>
      <c r="AG547" s="82">
        <v>0</v>
      </c>
      <c r="AH547" s="82">
        <v>0</v>
      </c>
      <c r="AI547" s="82">
        <v>0</v>
      </c>
      <c r="AJ547" s="82">
        <v>0</v>
      </c>
      <c r="AK547" s="82">
        <v>16380041</v>
      </c>
      <c r="AL547" s="82">
        <v>0</v>
      </c>
      <c r="AM547" s="82">
        <v>0</v>
      </c>
      <c r="AN547" s="82">
        <v>16380041</v>
      </c>
      <c r="AO547" s="82">
        <v>0</v>
      </c>
      <c r="AP547" s="82">
        <v>0</v>
      </c>
      <c r="AQ547" s="82">
        <v>0</v>
      </c>
      <c r="AR547" s="82">
        <v>0</v>
      </c>
      <c r="AS547" s="82">
        <v>0</v>
      </c>
      <c r="AT547" s="82">
        <v>0</v>
      </c>
      <c r="AU547" s="82">
        <v>0</v>
      </c>
      <c r="AV547" s="82">
        <v>0</v>
      </c>
      <c r="AW547" s="82">
        <v>0</v>
      </c>
      <c r="AX547" s="82">
        <v>0</v>
      </c>
      <c r="AY547" s="82">
        <v>0</v>
      </c>
      <c r="AZ547" s="82">
        <v>0</v>
      </c>
      <c r="BA547" s="82">
        <v>0</v>
      </c>
      <c r="BB547" s="82">
        <v>0</v>
      </c>
      <c r="BC547" s="82">
        <f t="shared" ref="BC547:BD547" si="1085">AE547+AG547+AI547+AK547+AM547+AO547+AQ547+AS547+AU547+AW547+AY547+BA547</f>
        <v>16380041</v>
      </c>
      <c r="BD547" s="82">
        <f t="shared" si="1085"/>
        <v>16380041</v>
      </c>
      <c r="BE547" s="83">
        <f t="shared" si="813"/>
        <v>0</v>
      </c>
      <c r="BF547" s="83">
        <f t="shared" si="814"/>
        <v>0</v>
      </c>
      <c r="BG547" s="14" t="str">
        <f ca="1">IFERROR(__xludf.DUMMYFUNCTION("REGEXEXTRACT(O541,""^\S+\s(.+)$"")"),"Adquirir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47" s="23">
        <v>0</v>
      </c>
      <c r="BI547" s="23">
        <v>0</v>
      </c>
      <c r="BJ547" s="23">
        <v>0</v>
      </c>
      <c r="BK547" s="23">
        <v>0</v>
      </c>
      <c r="BL547" s="23">
        <v>0</v>
      </c>
      <c r="BM547" s="23">
        <v>0</v>
      </c>
      <c r="BN547" s="23">
        <v>0</v>
      </c>
      <c r="BO547" s="23">
        <v>0</v>
      </c>
      <c r="BP547" s="23">
        <v>16380041</v>
      </c>
      <c r="BQ547" s="23">
        <v>0</v>
      </c>
      <c r="BR547" s="23">
        <v>0</v>
      </c>
      <c r="BS547" s="23">
        <v>0</v>
      </c>
      <c r="BT547" s="23">
        <v>0</v>
      </c>
      <c r="BU547" s="23">
        <v>16380041</v>
      </c>
      <c r="BV547" s="23">
        <v>0</v>
      </c>
      <c r="BW547" s="23">
        <v>0</v>
      </c>
      <c r="BX547" s="23">
        <v>0</v>
      </c>
      <c r="BY547" s="23">
        <v>0</v>
      </c>
      <c r="BZ547" s="23">
        <v>0</v>
      </c>
      <c r="CA547" s="23">
        <v>0</v>
      </c>
      <c r="CB547" s="23">
        <v>0</v>
      </c>
      <c r="CC547" s="23">
        <v>0</v>
      </c>
      <c r="CD547" s="23">
        <v>0</v>
      </c>
      <c r="CE547" s="23">
        <v>0</v>
      </c>
      <c r="CF547" s="28"/>
      <c r="CG547" s="28"/>
      <c r="CH547" s="25">
        <f t="shared" ref="CH547:CI547" si="1086">BH547+BJ547+BL547+BN547+BP547+BR547+BT547+BV547+BX547+BZ547+CB547+CD547+CF547</f>
        <v>16380041</v>
      </c>
      <c r="CI547" s="25">
        <f t="shared" si="1086"/>
        <v>16380041</v>
      </c>
      <c r="CJ547" s="26">
        <f t="shared" si="816"/>
        <v>0</v>
      </c>
      <c r="CK547" s="26">
        <f t="shared" si="817"/>
        <v>0</v>
      </c>
    </row>
    <row r="548" spans="1:89" ht="90" customHeight="1" x14ac:dyDescent="0.3">
      <c r="A548" s="13" t="s">
        <v>248</v>
      </c>
      <c r="B548" s="14" t="s">
        <v>37</v>
      </c>
      <c r="C548" s="15" t="s">
        <v>1380</v>
      </c>
      <c r="D548" s="14" t="s">
        <v>64</v>
      </c>
      <c r="E548" s="13" t="s">
        <v>250</v>
      </c>
      <c r="F548" s="13" t="s">
        <v>250</v>
      </c>
      <c r="G548" s="14">
        <v>22</v>
      </c>
      <c r="H548" s="13" t="s">
        <v>1465</v>
      </c>
      <c r="I548" s="15" t="s">
        <v>1459</v>
      </c>
      <c r="J548" s="14" t="s">
        <v>47</v>
      </c>
      <c r="K548" s="15" t="s">
        <v>91</v>
      </c>
      <c r="L548" s="14">
        <v>81112003</v>
      </c>
      <c r="M548" s="14" t="s">
        <v>46</v>
      </c>
      <c r="N548" s="14" t="s">
        <v>770</v>
      </c>
      <c r="O548" s="15" t="s">
        <v>1466</v>
      </c>
      <c r="P548" s="14" t="s">
        <v>280</v>
      </c>
      <c r="Q548" s="14" t="s">
        <v>281</v>
      </c>
      <c r="R548" s="14" t="s">
        <v>281</v>
      </c>
      <c r="S548" s="17">
        <v>12</v>
      </c>
      <c r="T548" s="14" t="s">
        <v>256</v>
      </c>
      <c r="U548" s="14" t="s">
        <v>282</v>
      </c>
      <c r="V548" s="14" t="s">
        <v>113</v>
      </c>
      <c r="W548" s="18">
        <v>174384</v>
      </c>
      <c r="X548" s="18">
        <v>174384</v>
      </c>
      <c r="Y548" s="19" t="s">
        <v>339</v>
      </c>
      <c r="Z548" s="19" t="s">
        <v>258</v>
      </c>
      <c r="AA548" s="14" t="s">
        <v>1384</v>
      </c>
      <c r="AB548" s="14" t="s">
        <v>1385</v>
      </c>
      <c r="AC548" s="14">
        <v>6012220601</v>
      </c>
      <c r="AD548" s="14" t="s">
        <v>1134</v>
      </c>
      <c r="AE548" s="82">
        <v>0</v>
      </c>
      <c r="AF548" s="82">
        <v>0</v>
      </c>
      <c r="AG548" s="82">
        <v>0</v>
      </c>
      <c r="AH548" s="82">
        <v>0</v>
      </c>
      <c r="AI548" s="82">
        <v>0</v>
      </c>
      <c r="AJ548" s="82">
        <v>0</v>
      </c>
      <c r="AK548" s="82">
        <v>174384</v>
      </c>
      <c r="AL548" s="82">
        <v>0</v>
      </c>
      <c r="AM548" s="82">
        <v>0</v>
      </c>
      <c r="AN548" s="82">
        <v>174384</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f t="shared" ref="BC548:BD548" si="1087">AE548+AG548+AI548+AK548+AM548+AO548+AQ548+AS548+AU548+AW548+AY548+BA548</f>
        <v>174384</v>
      </c>
      <c r="BD548" s="82">
        <f t="shared" si="1087"/>
        <v>174384</v>
      </c>
      <c r="BE548" s="83">
        <f t="shared" si="813"/>
        <v>0</v>
      </c>
      <c r="BF548" s="83">
        <f t="shared" si="814"/>
        <v>0</v>
      </c>
      <c r="BG548" s="14" t="str">
        <f ca="1">IFERROR(__xludf.DUMMYFUNCTION("REGEXEXTRACT(O542,""^\S+\s(.+)$"")"),"Adquirir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48" s="23">
        <v>0</v>
      </c>
      <c r="BI548" s="23">
        <v>0</v>
      </c>
      <c r="BJ548" s="23">
        <v>0</v>
      </c>
      <c r="BK548" s="23">
        <v>0</v>
      </c>
      <c r="BL548" s="23">
        <v>0</v>
      </c>
      <c r="BM548" s="23">
        <v>0</v>
      </c>
      <c r="BN548" s="23">
        <v>0</v>
      </c>
      <c r="BO548" s="23">
        <v>0</v>
      </c>
      <c r="BP548" s="23">
        <v>174384</v>
      </c>
      <c r="BQ548" s="23">
        <v>0</v>
      </c>
      <c r="BR548" s="23">
        <v>0</v>
      </c>
      <c r="BS548" s="23">
        <v>0</v>
      </c>
      <c r="BT548" s="23">
        <v>0</v>
      </c>
      <c r="BU548" s="23">
        <v>174384</v>
      </c>
      <c r="BV548" s="23">
        <v>0</v>
      </c>
      <c r="BW548" s="23">
        <v>0</v>
      </c>
      <c r="BX548" s="23">
        <v>0</v>
      </c>
      <c r="BY548" s="23">
        <v>0</v>
      </c>
      <c r="BZ548" s="23">
        <v>0</v>
      </c>
      <c r="CA548" s="23">
        <v>0</v>
      </c>
      <c r="CB548" s="23">
        <v>0</v>
      </c>
      <c r="CC548" s="23">
        <v>0</v>
      </c>
      <c r="CD548" s="23">
        <v>0</v>
      </c>
      <c r="CE548" s="23">
        <v>0</v>
      </c>
      <c r="CF548" s="28"/>
      <c r="CG548" s="28"/>
      <c r="CH548" s="25">
        <f t="shared" ref="CH548:CI548" si="1088">BH548+BJ548+BL548+BN548+BP548+BR548+BT548+BV548+BX548+BZ548+CB548+CD548+CF548</f>
        <v>174384</v>
      </c>
      <c r="CI548" s="25">
        <f t="shared" si="1088"/>
        <v>174384</v>
      </c>
      <c r="CJ548" s="26">
        <f t="shared" si="816"/>
        <v>0</v>
      </c>
      <c r="CK548" s="26">
        <f t="shared" si="817"/>
        <v>0</v>
      </c>
    </row>
    <row r="549" spans="1:89" ht="90" customHeight="1" x14ac:dyDescent="0.3">
      <c r="A549" s="13" t="s">
        <v>248</v>
      </c>
      <c r="B549" s="14" t="s">
        <v>37</v>
      </c>
      <c r="C549" s="15" t="s">
        <v>1380</v>
      </c>
      <c r="D549" s="14" t="s">
        <v>64</v>
      </c>
      <c r="E549" s="13" t="s">
        <v>250</v>
      </c>
      <c r="F549" s="13" t="s">
        <v>250</v>
      </c>
      <c r="G549" s="14">
        <v>7</v>
      </c>
      <c r="H549" s="13" t="s">
        <v>1467</v>
      </c>
      <c r="I549" s="15" t="s">
        <v>1459</v>
      </c>
      <c r="J549" s="14" t="s">
        <v>47</v>
      </c>
      <c r="K549" s="15" t="s">
        <v>91</v>
      </c>
      <c r="L549" s="14">
        <v>80111620</v>
      </c>
      <c r="M549" s="14" t="s">
        <v>46</v>
      </c>
      <c r="N549" s="14" t="s">
        <v>253</v>
      </c>
      <c r="O549" s="15" t="s">
        <v>1468</v>
      </c>
      <c r="P549" s="14" t="s">
        <v>255</v>
      </c>
      <c r="Q549" s="14" t="s">
        <v>255</v>
      </c>
      <c r="R549" s="14" t="s">
        <v>255</v>
      </c>
      <c r="S549" s="17">
        <v>11</v>
      </c>
      <c r="T549" s="14" t="s">
        <v>256</v>
      </c>
      <c r="U549" s="14" t="s">
        <v>257</v>
      </c>
      <c r="V549" s="14" t="s">
        <v>113</v>
      </c>
      <c r="W549" s="18">
        <v>36750000</v>
      </c>
      <c r="X549" s="18">
        <v>36750000</v>
      </c>
      <c r="Y549" s="19" t="s">
        <v>339</v>
      </c>
      <c r="Z549" s="19" t="s">
        <v>258</v>
      </c>
      <c r="AA549" s="14" t="s">
        <v>1384</v>
      </c>
      <c r="AB549" s="14" t="s">
        <v>1385</v>
      </c>
      <c r="AC549" s="14">
        <v>6012220601</v>
      </c>
      <c r="AD549" s="14" t="s">
        <v>1134</v>
      </c>
      <c r="AE549" s="82">
        <v>0</v>
      </c>
      <c r="AF549" s="82">
        <v>0</v>
      </c>
      <c r="AG549" s="82">
        <v>28816667</v>
      </c>
      <c r="AH549" s="82">
        <v>0</v>
      </c>
      <c r="AI549" s="82">
        <v>0</v>
      </c>
      <c r="AJ549" s="82">
        <v>0</v>
      </c>
      <c r="AK549" s="82">
        <v>0</v>
      </c>
      <c r="AL549" s="82">
        <v>0</v>
      </c>
      <c r="AM549" s="82">
        <v>0</v>
      </c>
      <c r="AN549" s="82">
        <v>0</v>
      </c>
      <c r="AO549" s="82">
        <v>0</v>
      </c>
      <c r="AP549" s="82">
        <v>0</v>
      </c>
      <c r="AQ549" s="82">
        <v>0</v>
      </c>
      <c r="AR549" s="82">
        <v>0</v>
      </c>
      <c r="AS549" s="82">
        <v>7933333</v>
      </c>
      <c r="AT549" s="82">
        <v>0</v>
      </c>
      <c r="AU549" s="82">
        <v>0</v>
      </c>
      <c r="AV549" s="82">
        <v>8416667</v>
      </c>
      <c r="AW549" s="82">
        <v>0</v>
      </c>
      <c r="AX549" s="82">
        <v>13600000</v>
      </c>
      <c r="AY549" s="82">
        <v>0</v>
      </c>
      <c r="AZ549" s="82">
        <v>13600000</v>
      </c>
      <c r="BA549" s="82">
        <v>0</v>
      </c>
      <c r="BB549" s="82">
        <v>1133333</v>
      </c>
      <c r="BC549" s="82">
        <f t="shared" ref="BC549:BD549" si="1089">AE549+AG549+AI549+AK549+AM549+AO549+AQ549+AS549+AU549+AW549+AY549+BA549</f>
        <v>36750000</v>
      </c>
      <c r="BD549" s="82">
        <f t="shared" si="1089"/>
        <v>36750000</v>
      </c>
      <c r="BE549" s="83">
        <f t="shared" si="813"/>
        <v>0</v>
      </c>
      <c r="BF549" s="83">
        <f t="shared" si="814"/>
        <v>0</v>
      </c>
      <c r="BG549" s="14" t="str">
        <f ca="1">IFERROR(__xludf.DUMMYFUNCTION("REGEXEXTRACT(O543,""^\S+\s(.+)$"")")," Prestación de servicios profesionales especializados en la Subdirección de Gestión de la Información para el direccionamiento de planes, programas y proyectos institucionales asociados al ejercicio efectivo del rol como Lider de la Gestión Estratégica de"&amp;" la Información del Sector Minero-Energético")</f>
        <v xml:space="preserve">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v>
      </c>
      <c r="BH549" s="23"/>
      <c r="BI549" s="23"/>
      <c r="BJ549" s="23">
        <v>28816667</v>
      </c>
      <c r="BK549" s="23"/>
      <c r="BL549" s="23"/>
      <c r="BM549" s="23"/>
      <c r="BN549" s="23"/>
      <c r="BO549" s="23"/>
      <c r="BP549" s="23"/>
      <c r="BQ549" s="23"/>
      <c r="BR549" s="23"/>
      <c r="BS549" s="23"/>
      <c r="BT549" s="23"/>
      <c r="BU549" s="23"/>
      <c r="BV549" s="23">
        <v>7933333</v>
      </c>
      <c r="BW549" s="23"/>
      <c r="BX549" s="23"/>
      <c r="BY549" s="23">
        <v>8416667</v>
      </c>
      <c r="BZ549" s="23"/>
      <c r="CA549" s="23">
        <v>13600000</v>
      </c>
      <c r="CB549" s="23"/>
      <c r="CC549" s="23">
        <v>13600000</v>
      </c>
      <c r="CD549" s="23"/>
      <c r="CE549" s="23">
        <v>1133333</v>
      </c>
      <c r="CF549" s="28"/>
      <c r="CG549" s="28"/>
      <c r="CH549" s="25">
        <f t="shared" ref="CH549:CI549" si="1090">BH549+BJ549+BL549+BN549+BP549+BR549+BT549+BV549+BX549+BZ549+CB549+CD549+CF549</f>
        <v>36750000</v>
      </c>
      <c r="CI549" s="25">
        <f t="shared" si="1090"/>
        <v>36750000</v>
      </c>
      <c r="CJ549" s="26">
        <f t="shared" si="816"/>
        <v>0</v>
      </c>
      <c r="CK549" s="26">
        <f t="shared" si="817"/>
        <v>0</v>
      </c>
    </row>
    <row r="550" spans="1:89" ht="90" customHeight="1" x14ac:dyDescent="0.3">
      <c r="A550" s="13" t="s">
        <v>248</v>
      </c>
      <c r="B550" s="14" t="s">
        <v>37</v>
      </c>
      <c r="C550" s="15" t="s">
        <v>1380</v>
      </c>
      <c r="D550" s="14" t="s">
        <v>64</v>
      </c>
      <c r="E550" s="13" t="s">
        <v>250</v>
      </c>
      <c r="F550" s="13" t="s">
        <v>250</v>
      </c>
      <c r="G550" s="14">
        <v>68</v>
      </c>
      <c r="H550" s="13" t="s">
        <v>1469</v>
      </c>
      <c r="I550" s="15" t="s">
        <v>1459</v>
      </c>
      <c r="J550" s="14" t="s">
        <v>47</v>
      </c>
      <c r="K550" s="15" t="s">
        <v>91</v>
      </c>
      <c r="L550" s="14">
        <v>80111620</v>
      </c>
      <c r="M550" s="14" t="s">
        <v>46</v>
      </c>
      <c r="N550" s="14" t="s">
        <v>253</v>
      </c>
      <c r="O550" s="15" t="s">
        <v>1470</v>
      </c>
      <c r="P550" s="14" t="s">
        <v>255</v>
      </c>
      <c r="Q550" s="14" t="s">
        <v>255</v>
      </c>
      <c r="R550" s="14" t="s">
        <v>255</v>
      </c>
      <c r="S550" s="17">
        <v>8</v>
      </c>
      <c r="T550" s="14" t="s">
        <v>256</v>
      </c>
      <c r="U550" s="14" t="s">
        <v>257</v>
      </c>
      <c r="V550" s="14" t="s">
        <v>113</v>
      </c>
      <c r="W550" s="18">
        <v>58800000</v>
      </c>
      <c r="X550" s="18">
        <v>58800000</v>
      </c>
      <c r="Y550" s="19" t="s">
        <v>339</v>
      </c>
      <c r="Z550" s="19" t="s">
        <v>258</v>
      </c>
      <c r="AA550" s="14" t="s">
        <v>1384</v>
      </c>
      <c r="AB550" s="14" t="s">
        <v>1385</v>
      </c>
      <c r="AC550" s="14">
        <v>6012220601</v>
      </c>
      <c r="AD550" s="14" t="s">
        <v>1134</v>
      </c>
      <c r="AE550" s="82">
        <v>0</v>
      </c>
      <c r="AF550" s="82">
        <v>0</v>
      </c>
      <c r="AG550" s="82">
        <v>58800000</v>
      </c>
      <c r="AH550" s="82">
        <v>0</v>
      </c>
      <c r="AI550" s="82">
        <v>0</v>
      </c>
      <c r="AJ550" s="82">
        <v>7350000</v>
      </c>
      <c r="AK550" s="82">
        <v>0</v>
      </c>
      <c r="AL550" s="82">
        <v>7350000</v>
      </c>
      <c r="AM550" s="82">
        <v>0</v>
      </c>
      <c r="AN550" s="82">
        <v>7350000</v>
      </c>
      <c r="AO550" s="82">
        <v>0</v>
      </c>
      <c r="AP550" s="82">
        <v>7350000</v>
      </c>
      <c r="AQ550" s="82">
        <v>0</v>
      </c>
      <c r="AR550" s="82">
        <v>7350000</v>
      </c>
      <c r="AS550" s="82">
        <v>0</v>
      </c>
      <c r="AT550" s="82">
        <v>7350000</v>
      </c>
      <c r="AU550" s="82">
        <v>0</v>
      </c>
      <c r="AV550" s="82">
        <v>7350000</v>
      </c>
      <c r="AW550" s="82">
        <v>0</v>
      </c>
      <c r="AX550" s="82">
        <v>7350000</v>
      </c>
      <c r="AY550" s="82">
        <v>0</v>
      </c>
      <c r="AZ550" s="82">
        <v>0</v>
      </c>
      <c r="BA550" s="82">
        <v>0</v>
      </c>
      <c r="BB550" s="82">
        <v>0</v>
      </c>
      <c r="BC550" s="82">
        <f t="shared" ref="BC550:BD550" si="1091">AE550+AG550+AI550+AK550+AM550+AO550+AQ550+AS550+AU550+AW550+AY550+BA550</f>
        <v>58800000</v>
      </c>
      <c r="BD550" s="82">
        <f t="shared" si="1091"/>
        <v>58800000</v>
      </c>
      <c r="BE550" s="83">
        <f t="shared" si="813"/>
        <v>0</v>
      </c>
      <c r="BF550" s="83">
        <f t="shared" si="814"/>
        <v>0</v>
      </c>
      <c r="BG550" s="14" t="str">
        <f ca="1">IFERROR(__xludf.DUMMYFUNCTION("REGEXEXTRACT(O544,""^\S+\s(.+)$"")"),"Prestación de servicios profesionales para el diseño, desarrollo, mantenimiento y optimización de los portales institucionales, micrositios y sistemas de información administrados por la UPME, garantizando la calidad técnica, la interoperabilidad y la ade"&amp;"cuada experiencia de usuario, conforme a los estándares tecnológicos y lineamientos institucionales, incluyendo el aplicativo Centro de Monitoreo 6GW+.")</f>
        <v>Prestación de servicios profesionales para el diseño, desarrollo, mantenimiento y optimización de los portales institucionales, micrositios y sistemas de información administrados por la UPME, garantizando la calidad técnica, la interoperabilidad y la adecuada experiencia de usuario, conforme a los estándares tecnológicos y lineamientos institucionales, incluyendo el aplicativo Centro de Monitoreo 6GW+.</v>
      </c>
      <c r="BH550" s="23"/>
      <c r="BI550" s="23"/>
      <c r="BJ550" s="23">
        <v>58800000</v>
      </c>
      <c r="BK550" s="23"/>
      <c r="BL550" s="23"/>
      <c r="BM550" s="23">
        <v>7350000</v>
      </c>
      <c r="BN550" s="23"/>
      <c r="BO550" s="23">
        <v>7350000</v>
      </c>
      <c r="BP550" s="23"/>
      <c r="BQ550" s="23">
        <v>7350000</v>
      </c>
      <c r="BR550" s="23"/>
      <c r="BS550" s="23">
        <v>7350000</v>
      </c>
      <c r="BT550" s="23"/>
      <c r="BU550" s="23">
        <v>7350000</v>
      </c>
      <c r="BV550" s="23"/>
      <c r="BW550" s="23">
        <v>7350000</v>
      </c>
      <c r="BX550" s="23"/>
      <c r="BY550" s="23">
        <v>7350000</v>
      </c>
      <c r="BZ550" s="23"/>
      <c r="CA550" s="23">
        <v>7350000</v>
      </c>
      <c r="CB550" s="23"/>
      <c r="CC550" s="23"/>
      <c r="CD550" s="23"/>
      <c r="CE550" s="23"/>
      <c r="CF550" s="28"/>
      <c r="CG550" s="28"/>
      <c r="CH550" s="25">
        <f t="shared" ref="CH550:CI550" si="1092">BH550+BJ550+BL550+BN550+BP550+BR550+BT550+BV550+BX550+BZ550+CB550+CD550+CF550</f>
        <v>58800000</v>
      </c>
      <c r="CI550" s="25">
        <f t="shared" si="1092"/>
        <v>58800000</v>
      </c>
      <c r="CJ550" s="26">
        <f t="shared" si="816"/>
        <v>0</v>
      </c>
      <c r="CK550" s="26">
        <f t="shared" si="817"/>
        <v>0</v>
      </c>
    </row>
    <row r="551" spans="1:89" ht="90" customHeight="1" x14ac:dyDescent="0.3">
      <c r="A551" s="13" t="s">
        <v>248</v>
      </c>
      <c r="B551" s="14" t="s">
        <v>37</v>
      </c>
      <c r="C551" s="15" t="s">
        <v>1380</v>
      </c>
      <c r="D551" s="14" t="s">
        <v>64</v>
      </c>
      <c r="E551" s="13" t="s">
        <v>250</v>
      </c>
      <c r="F551" s="13" t="s">
        <v>250</v>
      </c>
      <c r="G551" s="14">
        <v>68</v>
      </c>
      <c r="H551" s="13" t="s">
        <v>1471</v>
      </c>
      <c r="I551" s="15" t="s">
        <v>1459</v>
      </c>
      <c r="J551" s="14" t="s">
        <v>47</v>
      </c>
      <c r="K551" s="15" t="s">
        <v>91</v>
      </c>
      <c r="L551" s="14">
        <v>80111620</v>
      </c>
      <c r="M551" s="14" t="s">
        <v>46</v>
      </c>
      <c r="N551" s="14" t="s">
        <v>253</v>
      </c>
      <c r="O551" s="15" t="s">
        <v>1472</v>
      </c>
      <c r="P551" s="14" t="s">
        <v>255</v>
      </c>
      <c r="Q551" s="14" t="s">
        <v>255</v>
      </c>
      <c r="R551" s="14" t="s">
        <v>255</v>
      </c>
      <c r="S551" s="17">
        <v>11.5</v>
      </c>
      <c r="T551" s="14" t="s">
        <v>256</v>
      </c>
      <c r="U551" s="14" t="s">
        <v>257</v>
      </c>
      <c r="V551" s="14" t="s">
        <v>113</v>
      </c>
      <c r="W551" s="18">
        <v>100050000</v>
      </c>
      <c r="X551" s="18">
        <v>100050000</v>
      </c>
      <c r="Y551" s="19" t="s">
        <v>339</v>
      </c>
      <c r="Z551" s="19" t="s">
        <v>258</v>
      </c>
      <c r="AA551" s="14" t="s">
        <v>1384</v>
      </c>
      <c r="AB551" s="14" t="s">
        <v>1385</v>
      </c>
      <c r="AC551" s="14">
        <v>6012220601</v>
      </c>
      <c r="AD551" s="14" t="s">
        <v>1134</v>
      </c>
      <c r="AE551" s="82">
        <v>100050000</v>
      </c>
      <c r="AF551" s="82">
        <v>0</v>
      </c>
      <c r="AG551" s="82">
        <v>0</v>
      </c>
      <c r="AH551" s="82">
        <v>4350000</v>
      </c>
      <c r="AI551" s="82">
        <v>0</v>
      </c>
      <c r="AJ551" s="82">
        <v>8700000</v>
      </c>
      <c r="AK551" s="82">
        <v>0</v>
      </c>
      <c r="AL551" s="82">
        <v>8700000</v>
      </c>
      <c r="AM551" s="82">
        <v>0</v>
      </c>
      <c r="AN551" s="82">
        <v>8700000</v>
      </c>
      <c r="AO551" s="82">
        <v>0</v>
      </c>
      <c r="AP551" s="82">
        <v>8700000</v>
      </c>
      <c r="AQ551" s="82">
        <v>0</v>
      </c>
      <c r="AR551" s="82">
        <v>8700000</v>
      </c>
      <c r="AS551" s="82">
        <v>0</v>
      </c>
      <c r="AT551" s="82">
        <v>8700000</v>
      </c>
      <c r="AU551" s="82">
        <v>0</v>
      </c>
      <c r="AV551" s="82">
        <v>8700000</v>
      </c>
      <c r="AW551" s="82">
        <v>0</v>
      </c>
      <c r="AX551" s="82">
        <v>8700000</v>
      </c>
      <c r="AY551" s="82">
        <v>0</v>
      </c>
      <c r="AZ551" s="82">
        <v>8700000</v>
      </c>
      <c r="BA551" s="82">
        <v>0</v>
      </c>
      <c r="BB551" s="82">
        <v>17400000</v>
      </c>
      <c r="BC551" s="82">
        <f t="shared" ref="BC551:BD551" si="1093">AE551+AG551+AI551+AK551+AM551+AO551+AQ551+AS551+AU551+AW551+AY551+BA551</f>
        <v>100050000</v>
      </c>
      <c r="BD551" s="82">
        <f t="shared" si="1093"/>
        <v>100050000</v>
      </c>
      <c r="BE551" s="83">
        <f t="shared" si="813"/>
        <v>0</v>
      </c>
      <c r="BF551" s="83">
        <f t="shared" si="814"/>
        <v>0</v>
      </c>
      <c r="BG551" s="14" t="str">
        <f ca="1">IFERROR(__xludf.DUMMYFUNCTION("REGEXEXTRACT(O545,""^\S+\s(.+)$"")"),"Prestación de servicios profesionales para la actualización, mantenimiento y desarrollo de visores geográficos, así como el fortalecimiento del Geoportal Sectorial, la implementación de dashboards considerando especialmente las variables que integren y an"&amp;"alicen información territorial, ambiental y variables de potencial interés para el sector minero energético.")</f>
        <v>Prestación de servicios profesionales para la actualización, mantenimiento y desarrollo de visores geográficos, así como el fortalecimiento del Geoportal Sectorial, la implementación de dashboards considerando especialmente las variables que integren y analicen información territorial, ambiental y variables de potencial interés para el sector minero energético.</v>
      </c>
      <c r="BH551" s="23">
        <v>100050000</v>
      </c>
      <c r="BI551" s="23"/>
      <c r="BJ551" s="23"/>
      <c r="BK551" s="23">
        <v>4350000</v>
      </c>
      <c r="BL551" s="23"/>
      <c r="BM551" s="23">
        <v>8700000</v>
      </c>
      <c r="BN551" s="23"/>
      <c r="BO551" s="23">
        <v>8700000</v>
      </c>
      <c r="BP551" s="23"/>
      <c r="BQ551" s="23">
        <v>8700000</v>
      </c>
      <c r="BR551" s="23"/>
      <c r="BS551" s="23">
        <v>8700000</v>
      </c>
      <c r="BT551" s="23"/>
      <c r="BU551" s="23">
        <v>8700000</v>
      </c>
      <c r="BV551" s="23"/>
      <c r="BW551" s="23">
        <v>8700000</v>
      </c>
      <c r="BX551" s="23"/>
      <c r="BY551" s="23">
        <v>8700000</v>
      </c>
      <c r="BZ551" s="23"/>
      <c r="CA551" s="23">
        <v>8700000</v>
      </c>
      <c r="CB551" s="23"/>
      <c r="CC551" s="23">
        <v>8700000</v>
      </c>
      <c r="CD551" s="23"/>
      <c r="CE551" s="23">
        <v>17400000</v>
      </c>
      <c r="CF551" s="28"/>
      <c r="CG551" s="28"/>
      <c r="CH551" s="25">
        <f t="shared" ref="CH551:CI551" si="1094">BH551+BJ551+BL551+BN551+BP551+BR551+BT551+BV551+BX551+BZ551+CB551+CD551+CF551</f>
        <v>100050000</v>
      </c>
      <c r="CI551" s="25">
        <f t="shared" si="1094"/>
        <v>100050000</v>
      </c>
      <c r="CJ551" s="26">
        <f t="shared" si="816"/>
        <v>0</v>
      </c>
      <c r="CK551" s="26">
        <f t="shared" si="817"/>
        <v>0</v>
      </c>
    </row>
    <row r="552" spans="1:89" ht="90" customHeight="1" x14ac:dyDescent="0.3">
      <c r="A552" s="13" t="s">
        <v>248</v>
      </c>
      <c r="B552" s="14" t="s">
        <v>37</v>
      </c>
      <c r="C552" s="15" t="s">
        <v>1380</v>
      </c>
      <c r="D552" s="14" t="s">
        <v>64</v>
      </c>
      <c r="E552" s="13" t="s">
        <v>250</v>
      </c>
      <c r="F552" s="13" t="s">
        <v>250</v>
      </c>
      <c r="G552" s="14">
        <v>68</v>
      </c>
      <c r="H552" s="13" t="s">
        <v>1473</v>
      </c>
      <c r="I552" s="15" t="s">
        <v>1459</v>
      </c>
      <c r="J552" s="14" t="s">
        <v>47</v>
      </c>
      <c r="K552" s="15" t="s">
        <v>91</v>
      </c>
      <c r="L552" s="14">
        <v>80111620</v>
      </c>
      <c r="M552" s="14" t="s">
        <v>46</v>
      </c>
      <c r="N552" s="14" t="s">
        <v>253</v>
      </c>
      <c r="O552" s="15" t="s">
        <v>1474</v>
      </c>
      <c r="P552" s="14" t="s">
        <v>255</v>
      </c>
      <c r="Q552" s="14" t="s">
        <v>255</v>
      </c>
      <c r="R552" s="14" t="s">
        <v>255</v>
      </c>
      <c r="S552" s="17">
        <v>11</v>
      </c>
      <c r="T552" s="14" t="s">
        <v>256</v>
      </c>
      <c r="U552" s="14" t="s">
        <v>257</v>
      </c>
      <c r="V552" s="14" t="s">
        <v>113</v>
      </c>
      <c r="W552" s="18">
        <v>25740000</v>
      </c>
      <c r="X552" s="18">
        <v>25740000</v>
      </c>
      <c r="Y552" s="19" t="s">
        <v>339</v>
      </c>
      <c r="Z552" s="19" t="s">
        <v>258</v>
      </c>
      <c r="AA552" s="14" t="s">
        <v>1384</v>
      </c>
      <c r="AB552" s="14" t="s">
        <v>1385</v>
      </c>
      <c r="AC552" s="14">
        <v>6012220601</v>
      </c>
      <c r="AD552" s="14" t="s">
        <v>1134</v>
      </c>
      <c r="AE552" s="82">
        <v>0</v>
      </c>
      <c r="AF552" s="82">
        <v>0</v>
      </c>
      <c r="AG552" s="82">
        <v>25740000</v>
      </c>
      <c r="AH552" s="82">
        <v>0</v>
      </c>
      <c r="AI552" s="82">
        <v>0</v>
      </c>
      <c r="AJ552" s="82">
        <v>2340000</v>
      </c>
      <c r="AK552" s="82">
        <v>0</v>
      </c>
      <c r="AL552" s="82">
        <v>2340000</v>
      </c>
      <c r="AM552" s="82">
        <v>0</v>
      </c>
      <c r="AN552" s="82">
        <v>2340000</v>
      </c>
      <c r="AO552" s="82">
        <v>0</v>
      </c>
      <c r="AP552" s="82">
        <v>2340000</v>
      </c>
      <c r="AQ552" s="82">
        <v>0</v>
      </c>
      <c r="AR552" s="82">
        <v>2340000</v>
      </c>
      <c r="AS552" s="82">
        <v>0</v>
      </c>
      <c r="AT552" s="82">
        <v>2340000</v>
      </c>
      <c r="AU552" s="82">
        <v>0</v>
      </c>
      <c r="AV552" s="82">
        <v>2340000</v>
      </c>
      <c r="AW552" s="82">
        <v>0</v>
      </c>
      <c r="AX552" s="82">
        <v>2340000</v>
      </c>
      <c r="AY552" s="82">
        <v>0</v>
      </c>
      <c r="AZ552" s="82">
        <v>2340000</v>
      </c>
      <c r="BA552" s="82">
        <v>0</v>
      </c>
      <c r="BB552" s="82">
        <v>4680000</v>
      </c>
      <c r="BC552" s="82">
        <f t="shared" ref="BC552:BD552" si="1095">AE552+AG552+AI552+AK552+AM552+AO552+AQ552+AS552+AU552+AW552+AY552+BA552</f>
        <v>25740000</v>
      </c>
      <c r="BD552" s="82">
        <f t="shared" si="1095"/>
        <v>25740000</v>
      </c>
      <c r="BE552" s="83">
        <f t="shared" si="813"/>
        <v>0</v>
      </c>
      <c r="BF552" s="83">
        <f t="shared" si="814"/>
        <v>0</v>
      </c>
      <c r="BG552" s="14" t="str">
        <f ca="1">IFERROR(__xludf.DUMMYFUNCTION("REGEXEXTRACT(O546,""^\S+\s(.+)$"")"),"Prestación de servicios de apoyo a la gestión para el análisis, integración y modelamiento de información geoespacial relacionada con la generación de energía a partir de fuentes no convencionales y renovables (FNCER), apoyando la planeación energética me"&amp;"diante la aplicación de herramientas de Sistemas de Información Geográfica (SIG), modelación territorial y análisis espacial.")</f>
        <v>Prestación de servicios de apoyo a la gestión para el análisis, integración y modelamiento de información geoespacial relacionada con la generación de energía a partir de fuentes no convencionales y renovables (FNCER), apoyando la planeación energética mediante la aplicación de herramientas de Sistemas de Información Geográfica (SIG), modelación territorial y análisis espacial.</v>
      </c>
      <c r="BH552" s="23"/>
      <c r="BI552" s="23"/>
      <c r="BJ552" s="23">
        <v>25740000</v>
      </c>
      <c r="BK552" s="23"/>
      <c r="BL552" s="23"/>
      <c r="BM552" s="23">
        <v>2340000</v>
      </c>
      <c r="BN552" s="23"/>
      <c r="BO552" s="23">
        <v>2340000</v>
      </c>
      <c r="BP552" s="23"/>
      <c r="BQ552" s="23">
        <v>2340000</v>
      </c>
      <c r="BR552" s="23"/>
      <c r="BS552" s="23">
        <v>2340000</v>
      </c>
      <c r="BT552" s="23"/>
      <c r="BU552" s="23">
        <v>2340000</v>
      </c>
      <c r="BV552" s="23"/>
      <c r="BW552" s="23">
        <v>2340000</v>
      </c>
      <c r="BX552" s="23"/>
      <c r="BY552" s="23">
        <v>2340000</v>
      </c>
      <c r="BZ552" s="23"/>
      <c r="CA552" s="23">
        <v>2340000</v>
      </c>
      <c r="CB552" s="23"/>
      <c r="CC552" s="23">
        <v>2340000</v>
      </c>
      <c r="CD552" s="23"/>
      <c r="CE552" s="23">
        <v>4680000</v>
      </c>
      <c r="CF552" s="28"/>
      <c r="CG552" s="28"/>
      <c r="CH552" s="25">
        <f t="shared" ref="CH552:CI552" si="1096">BH552+BJ552+BL552+BN552+BP552+BR552+BT552+BV552+BX552+BZ552+CB552+CD552+CF552</f>
        <v>25740000</v>
      </c>
      <c r="CI552" s="25">
        <f t="shared" si="1096"/>
        <v>25740000</v>
      </c>
      <c r="CJ552" s="26">
        <f t="shared" si="816"/>
        <v>0</v>
      </c>
      <c r="CK552" s="26">
        <f t="shared" si="817"/>
        <v>0</v>
      </c>
    </row>
    <row r="553" spans="1:89" ht="90" customHeight="1" x14ac:dyDescent="0.3">
      <c r="A553" s="13" t="s">
        <v>248</v>
      </c>
      <c r="B553" s="14" t="s">
        <v>37</v>
      </c>
      <c r="C553" s="15" t="s">
        <v>1380</v>
      </c>
      <c r="D553" s="14" t="s">
        <v>64</v>
      </c>
      <c r="E553" s="13" t="s">
        <v>250</v>
      </c>
      <c r="F553" s="13" t="s">
        <v>250</v>
      </c>
      <c r="G553" s="14">
        <v>68</v>
      </c>
      <c r="H553" s="13" t="s">
        <v>1475</v>
      </c>
      <c r="I553" s="15" t="s">
        <v>1459</v>
      </c>
      <c r="J553" s="14" t="s">
        <v>47</v>
      </c>
      <c r="K553" s="15" t="s">
        <v>91</v>
      </c>
      <c r="L553" s="14">
        <v>80111620</v>
      </c>
      <c r="M553" s="14" t="s">
        <v>46</v>
      </c>
      <c r="N553" s="14" t="s">
        <v>253</v>
      </c>
      <c r="O553" s="15" t="s">
        <v>1476</v>
      </c>
      <c r="P553" s="14" t="s">
        <v>255</v>
      </c>
      <c r="Q553" s="14" t="s">
        <v>255</v>
      </c>
      <c r="R553" s="14" t="s">
        <v>255</v>
      </c>
      <c r="S553" s="17">
        <v>9</v>
      </c>
      <c r="T553" s="14" t="s">
        <v>256</v>
      </c>
      <c r="U553" s="14" t="s">
        <v>257</v>
      </c>
      <c r="V553" s="14" t="s">
        <v>113</v>
      </c>
      <c r="W553" s="18">
        <v>63000000</v>
      </c>
      <c r="X553" s="18">
        <v>63000000</v>
      </c>
      <c r="Y553" s="19" t="s">
        <v>339</v>
      </c>
      <c r="Z553" s="19" t="s">
        <v>258</v>
      </c>
      <c r="AA553" s="14" t="s">
        <v>1384</v>
      </c>
      <c r="AB553" s="14" t="s">
        <v>1385</v>
      </c>
      <c r="AC553" s="14">
        <v>6012220601</v>
      </c>
      <c r="AD553" s="14" t="s">
        <v>1134</v>
      </c>
      <c r="AE553" s="82">
        <v>0</v>
      </c>
      <c r="AF553" s="82">
        <v>0</v>
      </c>
      <c r="AG553" s="82">
        <v>63000000</v>
      </c>
      <c r="AH553" s="82">
        <v>0</v>
      </c>
      <c r="AI553" s="82">
        <v>0</v>
      </c>
      <c r="AJ553" s="82">
        <v>7000000</v>
      </c>
      <c r="AK553" s="82">
        <v>0</v>
      </c>
      <c r="AL553" s="82">
        <v>7000000</v>
      </c>
      <c r="AM553" s="82">
        <v>0</v>
      </c>
      <c r="AN553" s="82">
        <v>7000000</v>
      </c>
      <c r="AO553" s="82">
        <v>0</v>
      </c>
      <c r="AP553" s="82">
        <v>7000000</v>
      </c>
      <c r="AQ553" s="82">
        <v>0</v>
      </c>
      <c r="AR553" s="82">
        <v>7000000</v>
      </c>
      <c r="AS553" s="82">
        <v>0</v>
      </c>
      <c r="AT553" s="82">
        <v>7000000</v>
      </c>
      <c r="AU553" s="82">
        <v>0</v>
      </c>
      <c r="AV553" s="82">
        <v>7000000</v>
      </c>
      <c r="AW553" s="82">
        <v>0</v>
      </c>
      <c r="AX553" s="82">
        <v>7000000</v>
      </c>
      <c r="AY553" s="82">
        <v>0</v>
      </c>
      <c r="AZ553" s="82">
        <v>7000000</v>
      </c>
      <c r="BA553" s="82">
        <v>0</v>
      </c>
      <c r="BB553" s="82">
        <v>0</v>
      </c>
      <c r="BC553" s="82">
        <f t="shared" ref="BC553:BD553" si="1097">AE553+AG553+AI553+AK553+AM553+AO553+AQ553+AS553+AU553+AW553+AY553+BA553</f>
        <v>63000000</v>
      </c>
      <c r="BD553" s="82">
        <f t="shared" si="1097"/>
        <v>63000000</v>
      </c>
      <c r="BE553" s="83">
        <f t="shared" si="813"/>
        <v>0</v>
      </c>
      <c r="BF553" s="83">
        <f t="shared" si="814"/>
        <v>0</v>
      </c>
      <c r="BG553" s="14" t="str">
        <f ca="1">IFERROR(__xludf.DUMMYFUNCTION("REGEXEXTRACT(O547,""^\S+\s(.+)$"")"),"Prestación de servicios profesionales para el diseño gráfico, la creación de interfaces de usuario (UI/UX), la estructuración y maquetación visual de los portales institucionales, micrositios, sistemas de información, la Intranet y demás aplicaciones web "&amp;"desarrolladas por la UPME, garantizando la coherencia visual, la accesibilidad y la aplicación de la línea gráfica institucional definida por la Subdirección de Gestión de la Información.")</f>
        <v>Prestación de servicios profesionales para el diseño gráfico, la creación de interfaces de usuario (UI/UX), la estructuración y maquetación visual de los portales institucionales, micrositios, sistemas de información, la Intranet y demás aplicaciones web desarrolladas por la UPME, garantizando la coherencia visual, la accesibilidad y la aplicación de la línea gráfica institucional definida por la Subdirección de Gestión de la Información.</v>
      </c>
      <c r="BH553" s="23"/>
      <c r="BI553" s="23"/>
      <c r="BJ553" s="23">
        <v>63000000</v>
      </c>
      <c r="BK553" s="23"/>
      <c r="BL553" s="23"/>
      <c r="BM553" s="23">
        <v>7000000</v>
      </c>
      <c r="BN553" s="23"/>
      <c r="BO553" s="23">
        <v>7000000</v>
      </c>
      <c r="BP553" s="23"/>
      <c r="BQ553" s="23">
        <v>7000000</v>
      </c>
      <c r="BR553" s="23"/>
      <c r="BS553" s="23">
        <v>7000000</v>
      </c>
      <c r="BT553" s="23"/>
      <c r="BU553" s="23">
        <v>7000000</v>
      </c>
      <c r="BV553" s="23"/>
      <c r="BW553" s="23">
        <v>7000000</v>
      </c>
      <c r="BX553" s="23"/>
      <c r="BY553" s="23">
        <v>7000000</v>
      </c>
      <c r="BZ553" s="23"/>
      <c r="CA553" s="23">
        <v>7000000</v>
      </c>
      <c r="CB553" s="23"/>
      <c r="CC553" s="23">
        <v>7000000</v>
      </c>
      <c r="CD553" s="23"/>
      <c r="CE553" s="23"/>
      <c r="CF553" s="28"/>
      <c r="CG553" s="28"/>
      <c r="CH553" s="25">
        <f t="shared" ref="CH553:CI553" si="1098">BH553+BJ553+BL553+BN553+BP553+BR553+BT553+BV553+BX553+BZ553+CB553+CD553+CF553</f>
        <v>63000000</v>
      </c>
      <c r="CI553" s="25">
        <f t="shared" si="1098"/>
        <v>63000000</v>
      </c>
      <c r="CJ553" s="26">
        <f t="shared" si="816"/>
        <v>0</v>
      </c>
      <c r="CK553" s="26">
        <f t="shared" si="817"/>
        <v>0</v>
      </c>
    </row>
    <row r="554" spans="1:89" ht="90" customHeight="1" x14ac:dyDescent="0.3">
      <c r="A554" s="13" t="s">
        <v>248</v>
      </c>
      <c r="B554" s="14" t="s">
        <v>37</v>
      </c>
      <c r="C554" s="15" t="s">
        <v>1380</v>
      </c>
      <c r="D554" s="14" t="s">
        <v>64</v>
      </c>
      <c r="E554" s="13" t="s">
        <v>250</v>
      </c>
      <c r="F554" s="13" t="s">
        <v>250</v>
      </c>
      <c r="G554" s="14">
        <v>68</v>
      </c>
      <c r="H554" s="13" t="s">
        <v>1477</v>
      </c>
      <c r="I554" s="15" t="s">
        <v>1459</v>
      </c>
      <c r="J554" s="14" t="s">
        <v>47</v>
      </c>
      <c r="K554" s="15" t="s">
        <v>91</v>
      </c>
      <c r="L554" s="14">
        <v>80111620</v>
      </c>
      <c r="M554" s="14" t="s">
        <v>46</v>
      </c>
      <c r="N554" s="14" t="s">
        <v>253</v>
      </c>
      <c r="O554" s="15" t="s">
        <v>1478</v>
      </c>
      <c r="P554" s="14" t="s">
        <v>255</v>
      </c>
      <c r="Q554" s="14" t="s">
        <v>255</v>
      </c>
      <c r="R554" s="14" t="s">
        <v>255</v>
      </c>
      <c r="S554" s="17">
        <v>11</v>
      </c>
      <c r="T554" s="14" t="s">
        <v>256</v>
      </c>
      <c r="U554" s="14" t="s">
        <v>257</v>
      </c>
      <c r="V554" s="14" t="s">
        <v>113</v>
      </c>
      <c r="W554" s="18">
        <v>5600000</v>
      </c>
      <c r="X554" s="18">
        <v>5600000</v>
      </c>
      <c r="Y554" s="19" t="s">
        <v>339</v>
      </c>
      <c r="Z554" s="19" t="s">
        <v>258</v>
      </c>
      <c r="AA554" s="14" t="s">
        <v>1384</v>
      </c>
      <c r="AB554" s="14" t="s">
        <v>1385</v>
      </c>
      <c r="AC554" s="14">
        <v>6012220601</v>
      </c>
      <c r="AD554" s="14" t="s">
        <v>1134</v>
      </c>
      <c r="AE554" s="82">
        <v>5600000</v>
      </c>
      <c r="AF554" s="82">
        <v>0</v>
      </c>
      <c r="AG554" s="82">
        <v>0</v>
      </c>
      <c r="AH554" s="82">
        <v>600000</v>
      </c>
      <c r="AI554" s="82">
        <v>0</v>
      </c>
      <c r="AJ554" s="82">
        <v>5000000</v>
      </c>
      <c r="AK554" s="82">
        <v>0</v>
      </c>
      <c r="AL554" s="82">
        <v>0</v>
      </c>
      <c r="AM554" s="82">
        <v>0</v>
      </c>
      <c r="AN554" s="82">
        <v>0</v>
      </c>
      <c r="AO554" s="82">
        <v>0</v>
      </c>
      <c r="AP554" s="82">
        <v>0</v>
      </c>
      <c r="AQ554" s="82">
        <v>0</v>
      </c>
      <c r="AR554" s="82">
        <v>0</v>
      </c>
      <c r="AS554" s="82">
        <v>0</v>
      </c>
      <c r="AT554" s="82">
        <v>0</v>
      </c>
      <c r="AU554" s="82">
        <v>0</v>
      </c>
      <c r="AV554" s="82">
        <v>0</v>
      </c>
      <c r="AW554" s="82">
        <v>0</v>
      </c>
      <c r="AX554" s="82">
        <v>0</v>
      </c>
      <c r="AY554" s="82">
        <v>0</v>
      </c>
      <c r="AZ554" s="82">
        <v>0</v>
      </c>
      <c r="BA554" s="82">
        <v>0</v>
      </c>
      <c r="BB554" s="82">
        <v>0</v>
      </c>
      <c r="BC554" s="82">
        <f t="shared" ref="BC554:BD554" si="1099">AE554+AG554+AI554+AK554+AM554+AO554+AQ554+AS554+AU554+AW554+AY554+BA554</f>
        <v>5600000</v>
      </c>
      <c r="BD554" s="82">
        <f t="shared" si="1099"/>
        <v>5600000</v>
      </c>
      <c r="BE554" s="83">
        <f t="shared" si="813"/>
        <v>0</v>
      </c>
      <c r="BF554" s="83">
        <f t="shared" si="814"/>
        <v>0</v>
      </c>
      <c r="BG554" s="14" t="str">
        <f ca="1">IFERROR(__xludf.DUMMYFUNCTION("REGEXEXTRACT(O548,""^\S+\s(.+)$"")"),"Prestación de servicios profesionales para el control de calidad, documentación y fortalecimiento del gobierno de datos geográficos y sectoriales de la UPME, mediante la verificación, normalización y documentación de la información geoespacial, la gestión"&amp;" de metadatos y el soporte a los lineamientos de interoperabilidad y gobernanza de datos definidos por la entidad.")</f>
        <v>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v>
      </c>
      <c r="BH554" s="23">
        <v>5600000</v>
      </c>
      <c r="BI554" s="23"/>
      <c r="BJ554" s="23"/>
      <c r="BK554" s="23">
        <v>600000</v>
      </c>
      <c r="BL554" s="23"/>
      <c r="BM554" s="23">
        <v>5000000</v>
      </c>
      <c r="BN554" s="23"/>
      <c r="BO554" s="23"/>
      <c r="BP554" s="23"/>
      <c r="BQ554" s="23"/>
      <c r="BR554" s="23"/>
      <c r="BS554" s="23"/>
      <c r="BT554" s="23"/>
      <c r="BU554" s="23"/>
      <c r="BV554" s="23"/>
      <c r="BW554" s="23"/>
      <c r="BX554" s="23"/>
      <c r="BY554" s="23"/>
      <c r="BZ554" s="23"/>
      <c r="CA554" s="23"/>
      <c r="CB554" s="23"/>
      <c r="CC554" s="23"/>
      <c r="CD554" s="23"/>
      <c r="CE554" s="23"/>
      <c r="CF554" s="28"/>
      <c r="CG554" s="28"/>
      <c r="CH554" s="25">
        <f t="shared" ref="CH554:CI554" si="1100">BH554+BJ554+BL554+BN554+BP554+BR554+BT554+BV554+BX554+BZ554+CB554+CD554+CF554</f>
        <v>5600000</v>
      </c>
      <c r="CI554" s="25">
        <f t="shared" si="1100"/>
        <v>5600000</v>
      </c>
      <c r="CJ554" s="26">
        <f t="shared" si="816"/>
        <v>0</v>
      </c>
      <c r="CK554" s="26">
        <f t="shared" si="817"/>
        <v>0</v>
      </c>
    </row>
    <row r="555" spans="1:89" ht="90" customHeight="1" x14ac:dyDescent="0.3">
      <c r="A555" s="13" t="s">
        <v>248</v>
      </c>
      <c r="B555" s="14" t="s">
        <v>37</v>
      </c>
      <c r="C555" s="15" t="s">
        <v>1380</v>
      </c>
      <c r="D555" s="14" t="s">
        <v>64</v>
      </c>
      <c r="E555" s="13" t="s">
        <v>250</v>
      </c>
      <c r="F555" s="13" t="s">
        <v>250</v>
      </c>
      <c r="G555" s="14">
        <v>68</v>
      </c>
      <c r="H555" s="13" t="s">
        <v>1479</v>
      </c>
      <c r="I555" s="15" t="s">
        <v>1459</v>
      </c>
      <c r="J555" s="14" t="s">
        <v>47</v>
      </c>
      <c r="K555" s="15" t="s">
        <v>90</v>
      </c>
      <c r="L555" s="14">
        <v>80111620</v>
      </c>
      <c r="M555" s="14" t="s">
        <v>46</v>
      </c>
      <c r="N555" s="14" t="s">
        <v>253</v>
      </c>
      <c r="O555" s="15" t="s">
        <v>1480</v>
      </c>
      <c r="P555" s="14" t="s">
        <v>255</v>
      </c>
      <c r="Q555" s="14" t="s">
        <v>255</v>
      </c>
      <c r="R555" s="14" t="s">
        <v>255</v>
      </c>
      <c r="S555" s="17">
        <v>11.5</v>
      </c>
      <c r="T555" s="14" t="s">
        <v>256</v>
      </c>
      <c r="U555" s="14" t="s">
        <v>257</v>
      </c>
      <c r="V555" s="14" t="s">
        <v>113</v>
      </c>
      <c r="W555" s="18">
        <v>96600000</v>
      </c>
      <c r="X555" s="18">
        <v>96600000</v>
      </c>
      <c r="Y555" s="19" t="s">
        <v>339</v>
      </c>
      <c r="Z555" s="19" t="s">
        <v>258</v>
      </c>
      <c r="AA555" s="14" t="s">
        <v>1384</v>
      </c>
      <c r="AB555" s="14" t="s">
        <v>1385</v>
      </c>
      <c r="AC555" s="14">
        <v>6012220601</v>
      </c>
      <c r="AD555" s="14" t="s">
        <v>1134</v>
      </c>
      <c r="AE555" s="82">
        <v>96600000</v>
      </c>
      <c r="AF555" s="82">
        <v>0</v>
      </c>
      <c r="AG555" s="82">
        <v>0</v>
      </c>
      <c r="AH555" s="82">
        <v>4200000</v>
      </c>
      <c r="AI555" s="82">
        <v>0</v>
      </c>
      <c r="AJ555" s="82">
        <v>8400000</v>
      </c>
      <c r="AK555" s="82">
        <v>0</v>
      </c>
      <c r="AL555" s="82">
        <v>8400000</v>
      </c>
      <c r="AM555" s="82">
        <v>0</v>
      </c>
      <c r="AN555" s="82">
        <v>8400000</v>
      </c>
      <c r="AO555" s="82">
        <v>0</v>
      </c>
      <c r="AP555" s="82">
        <v>8400000</v>
      </c>
      <c r="AQ555" s="82">
        <v>0</v>
      </c>
      <c r="AR555" s="82">
        <v>8400000</v>
      </c>
      <c r="AS555" s="82">
        <v>0</v>
      </c>
      <c r="AT555" s="82">
        <v>8400000</v>
      </c>
      <c r="AU555" s="82">
        <v>0</v>
      </c>
      <c r="AV555" s="82">
        <v>8400000</v>
      </c>
      <c r="AW555" s="82">
        <v>0</v>
      </c>
      <c r="AX555" s="82">
        <v>8400000</v>
      </c>
      <c r="AY555" s="82">
        <v>0</v>
      </c>
      <c r="AZ555" s="82">
        <v>8400000</v>
      </c>
      <c r="BA555" s="82">
        <v>0</v>
      </c>
      <c r="BB555" s="82">
        <v>16800000</v>
      </c>
      <c r="BC555" s="82">
        <f t="shared" ref="BC555:BD555" si="1101">AE555+AG555+AI555+AK555+AM555+AO555+AQ555+AS555+AU555+AW555+AY555+BA555</f>
        <v>96600000</v>
      </c>
      <c r="BD555" s="82">
        <f t="shared" si="1101"/>
        <v>96600000</v>
      </c>
      <c r="BE555" s="83">
        <f t="shared" si="813"/>
        <v>0</v>
      </c>
      <c r="BF555" s="83">
        <f t="shared" si="814"/>
        <v>0</v>
      </c>
      <c r="BG555" s="14" t="str">
        <f ca="1">IFERROR(__xludf.DUMMYFUNCTION("REGEXEXTRACT(O549,""^\S+\s(.+)$"")"),"Prestación de servicios profesionales para el diseño, estructuración y desarrollo visual de los portales institucionales, la Intranet y demás productos digitales de la UPME, aplicando principios de experiencia de usuario (UX/UI), accesibilidad y usabilida"&amp;"d, en coherencia con la identidad visual sectorial y los lineamientos técnicos definidos por la Subdirección de Gestión de la Información.")</f>
        <v>Prestación de servicios profesionales para el diseño, estructuración y desarrollo visual de los portales institucionales, la Intranet y demás productos digitales de la UPME, aplicando principios de experiencia de usuario (UX/UI), accesibilidad y usabilidad, en coherencia con la identidad visual sectorial y los lineamientos técnicos definidos por la Subdirección de Gestión de la Información.</v>
      </c>
      <c r="BH555" s="23">
        <v>96600000</v>
      </c>
      <c r="BI555" s="23"/>
      <c r="BJ555" s="23"/>
      <c r="BK555" s="23">
        <v>4200000</v>
      </c>
      <c r="BL555" s="23"/>
      <c r="BM555" s="23">
        <v>8400000</v>
      </c>
      <c r="BN555" s="23"/>
      <c r="BO555" s="23">
        <v>8400000</v>
      </c>
      <c r="BP555" s="23"/>
      <c r="BQ555" s="23">
        <v>8400000</v>
      </c>
      <c r="BR555" s="23"/>
      <c r="BS555" s="23">
        <v>8400000</v>
      </c>
      <c r="BT555" s="23"/>
      <c r="BU555" s="23">
        <v>8400000</v>
      </c>
      <c r="BV555" s="23"/>
      <c r="BW555" s="23">
        <v>8400000</v>
      </c>
      <c r="BX555" s="23"/>
      <c r="BY555" s="23">
        <v>8400000</v>
      </c>
      <c r="BZ555" s="23"/>
      <c r="CA555" s="23">
        <v>8400000</v>
      </c>
      <c r="CB555" s="23"/>
      <c r="CC555" s="23">
        <v>8400000</v>
      </c>
      <c r="CD555" s="23"/>
      <c r="CE555" s="23">
        <v>16800000</v>
      </c>
      <c r="CF555" s="28"/>
      <c r="CG555" s="28"/>
      <c r="CH555" s="25">
        <f t="shared" ref="CH555:CI555" si="1102">BH555+BJ555+BL555+BN555+BP555+BR555+BT555+BV555+BX555+BZ555+CB555+CD555+CF555</f>
        <v>96600000</v>
      </c>
      <c r="CI555" s="25">
        <f t="shared" si="1102"/>
        <v>96600000</v>
      </c>
      <c r="CJ555" s="26">
        <f t="shared" si="816"/>
        <v>0</v>
      </c>
      <c r="CK555" s="26">
        <f t="shared" si="817"/>
        <v>0</v>
      </c>
    </row>
    <row r="556" spans="1:89" ht="90" customHeight="1" x14ac:dyDescent="0.3">
      <c r="A556" s="13" t="s">
        <v>248</v>
      </c>
      <c r="B556" s="14" t="s">
        <v>37</v>
      </c>
      <c r="C556" s="15" t="s">
        <v>1380</v>
      </c>
      <c r="D556" s="14" t="s">
        <v>64</v>
      </c>
      <c r="E556" s="13" t="s">
        <v>250</v>
      </c>
      <c r="F556" s="13" t="s">
        <v>250</v>
      </c>
      <c r="G556" s="14">
        <v>68</v>
      </c>
      <c r="H556" s="13" t="s">
        <v>1481</v>
      </c>
      <c r="I556" s="15" t="s">
        <v>1459</v>
      </c>
      <c r="J556" s="14" t="s">
        <v>47</v>
      </c>
      <c r="K556" s="15" t="s">
        <v>90</v>
      </c>
      <c r="L556" s="14">
        <v>80111620</v>
      </c>
      <c r="M556" s="14" t="s">
        <v>46</v>
      </c>
      <c r="N556" s="14" t="s">
        <v>253</v>
      </c>
      <c r="O556" s="15" t="s">
        <v>1482</v>
      </c>
      <c r="P556" s="14" t="s">
        <v>255</v>
      </c>
      <c r="Q556" s="14" t="s">
        <v>255</v>
      </c>
      <c r="R556" s="14" t="s">
        <v>255</v>
      </c>
      <c r="S556" s="17">
        <v>11.5</v>
      </c>
      <c r="T556" s="14" t="s">
        <v>256</v>
      </c>
      <c r="U556" s="14" t="s">
        <v>257</v>
      </c>
      <c r="V556" s="14" t="s">
        <v>113</v>
      </c>
      <c r="W556" s="18">
        <v>57500000</v>
      </c>
      <c r="X556" s="18">
        <v>57500000</v>
      </c>
      <c r="Y556" s="19" t="s">
        <v>339</v>
      </c>
      <c r="Z556" s="19" t="s">
        <v>258</v>
      </c>
      <c r="AA556" s="14" t="s">
        <v>1384</v>
      </c>
      <c r="AB556" s="14" t="s">
        <v>1385</v>
      </c>
      <c r="AC556" s="14">
        <v>6012220601</v>
      </c>
      <c r="AD556" s="14" t="s">
        <v>1134</v>
      </c>
      <c r="AE556" s="82">
        <v>57500000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7500000</v>
      </c>
      <c r="AU556" s="82">
        <v>0</v>
      </c>
      <c r="AV556" s="82">
        <v>10000000</v>
      </c>
      <c r="AW556" s="82">
        <v>0</v>
      </c>
      <c r="AX556" s="82">
        <v>10000000</v>
      </c>
      <c r="AY556" s="82">
        <v>0</v>
      </c>
      <c r="AZ556" s="82">
        <v>10000000</v>
      </c>
      <c r="BA556" s="82">
        <v>0</v>
      </c>
      <c r="BB556" s="82">
        <v>20000000</v>
      </c>
      <c r="BC556" s="82">
        <f t="shared" ref="BC556:BD556" si="1103">AE556+AG556+AI556+AK556+AM556+AO556+AQ556+AS556+AU556+AW556+AY556+BA556</f>
        <v>57500000</v>
      </c>
      <c r="BD556" s="82">
        <f t="shared" si="1103"/>
        <v>57500000</v>
      </c>
      <c r="BE556" s="83">
        <f t="shared" si="813"/>
        <v>0</v>
      </c>
      <c r="BF556" s="83">
        <f t="shared" si="814"/>
        <v>0</v>
      </c>
      <c r="BG556" s="14" t="str">
        <f ca="1">IFERROR(__xludf.DUMMYFUNCTION("REGEXEXTRACT(O550,""^\S+\s(.+)$"")"),"Prestación de servicios profesionales para el diseño, desarrollo y fortalecimiento de la estrategia de comunicación y divulgación de los portales interactivos, sistemas de información, trámites e instrumentos de planeación asociados a las Subdirecciones d"&amp;"e Gestión de la Información y de Demanda.")</f>
        <v>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v>
      </c>
      <c r="BH556" s="23">
        <v>57500000</v>
      </c>
      <c r="BI556" s="23"/>
      <c r="BJ556" s="23"/>
      <c r="BK556" s="23"/>
      <c r="BL556" s="23"/>
      <c r="BM556" s="23"/>
      <c r="BN556" s="23"/>
      <c r="BO556" s="23"/>
      <c r="BP556" s="23"/>
      <c r="BQ556" s="23"/>
      <c r="BR556" s="23"/>
      <c r="BS556" s="23"/>
      <c r="BT556" s="23"/>
      <c r="BU556" s="23"/>
      <c r="BV556" s="23"/>
      <c r="BW556" s="23">
        <v>7500000</v>
      </c>
      <c r="BX556" s="23"/>
      <c r="BY556" s="23">
        <v>10000000</v>
      </c>
      <c r="BZ556" s="23"/>
      <c r="CA556" s="23">
        <v>10000000</v>
      </c>
      <c r="CB556" s="23"/>
      <c r="CC556" s="23">
        <v>10000000</v>
      </c>
      <c r="CD556" s="23"/>
      <c r="CE556" s="23">
        <v>20000000</v>
      </c>
      <c r="CF556" s="28"/>
      <c r="CG556" s="28"/>
      <c r="CH556" s="25">
        <f t="shared" ref="CH556:CI556" si="1104">BH556+BJ556+BL556+BN556+BP556+BR556+BT556+BV556+BX556+BZ556+CB556+CD556+CF556</f>
        <v>57500000</v>
      </c>
      <c r="CI556" s="25">
        <f t="shared" si="1104"/>
        <v>57500000</v>
      </c>
      <c r="CJ556" s="26">
        <f t="shared" si="816"/>
        <v>0</v>
      </c>
      <c r="CK556" s="26">
        <f t="shared" si="817"/>
        <v>0</v>
      </c>
    </row>
    <row r="557" spans="1:89" ht="90" customHeight="1" x14ac:dyDescent="0.3">
      <c r="A557" s="13" t="s">
        <v>248</v>
      </c>
      <c r="B557" s="14" t="s">
        <v>37</v>
      </c>
      <c r="C557" s="15" t="s">
        <v>1380</v>
      </c>
      <c r="D557" s="14" t="s">
        <v>64</v>
      </c>
      <c r="E557" s="13" t="s">
        <v>250</v>
      </c>
      <c r="F557" s="13" t="s">
        <v>250</v>
      </c>
      <c r="G557" s="14">
        <v>68</v>
      </c>
      <c r="H557" s="13" t="s">
        <v>1483</v>
      </c>
      <c r="I557" s="15" t="s">
        <v>1459</v>
      </c>
      <c r="J557" s="14" t="s">
        <v>47</v>
      </c>
      <c r="K557" s="15" t="s">
        <v>90</v>
      </c>
      <c r="L557" s="14">
        <v>80111620</v>
      </c>
      <c r="M557" s="14" t="s">
        <v>46</v>
      </c>
      <c r="N557" s="14" t="s">
        <v>253</v>
      </c>
      <c r="O557" s="15" t="s">
        <v>1484</v>
      </c>
      <c r="P557" s="14" t="s">
        <v>255</v>
      </c>
      <c r="Q557" s="14" t="s">
        <v>255</v>
      </c>
      <c r="R557" s="14" t="s">
        <v>255</v>
      </c>
      <c r="S557" s="17">
        <v>11.5</v>
      </c>
      <c r="T557" s="14" t="s">
        <v>256</v>
      </c>
      <c r="U557" s="14" t="s">
        <v>257</v>
      </c>
      <c r="V557" s="14" t="s">
        <v>113</v>
      </c>
      <c r="W557" s="18">
        <v>50600000</v>
      </c>
      <c r="X557" s="18">
        <v>50600000</v>
      </c>
      <c r="Y557" s="19" t="s">
        <v>339</v>
      </c>
      <c r="Z557" s="19" t="s">
        <v>258</v>
      </c>
      <c r="AA557" s="14" t="s">
        <v>1384</v>
      </c>
      <c r="AB557" s="14" t="s">
        <v>1385</v>
      </c>
      <c r="AC557" s="14">
        <v>6012220601</v>
      </c>
      <c r="AD557" s="14" t="s">
        <v>1134</v>
      </c>
      <c r="AE557" s="82">
        <v>50600000</v>
      </c>
      <c r="AF557" s="82">
        <v>0</v>
      </c>
      <c r="AG557" s="82">
        <v>0</v>
      </c>
      <c r="AH557" s="82">
        <v>2200000</v>
      </c>
      <c r="AI557" s="82">
        <v>0</v>
      </c>
      <c r="AJ557" s="82">
        <v>4400000</v>
      </c>
      <c r="AK557" s="82">
        <v>0</v>
      </c>
      <c r="AL557" s="82">
        <v>4400000</v>
      </c>
      <c r="AM557" s="82">
        <v>0</v>
      </c>
      <c r="AN557" s="82">
        <v>4400000</v>
      </c>
      <c r="AO557" s="82">
        <v>0</v>
      </c>
      <c r="AP557" s="82">
        <v>4400000</v>
      </c>
      <c r="AQ557" s="82">
        <v>0</v>
      </c>
      <c r="AR557" s="82">
        <v>4400000</v>
      </c>
      <c r="AS557" s="82">
        <v>0</v>
      </c>
      <c r="AT557" s="82">
        <v>4400000</v>
      </c>
      <c r="AU557" s="82">
        <v>0</v>
      </c>
      <c r="AV557" s="82">
        <v>4400000</v>
      </c>
      <c r="AW557" s="82">
        <v>0</v>
      </c>
      <c r="AX557" s="82">
        <v>4400000</v>
      </c>
      <c r="AY557" s="82">
        <v>0</v>
      </c>
      <c r="AZ557" s="82">
        <v>4400000</v>
      </c>
      <c r="BA557" s="82">
        <v>0</v>
      </c>
      <c r="BB557" s="82">
        <v>8800000</v>
      </c>
      <c r="BC557" s="82">
        <f t="shared" ref="BC557:BD557" si="1105">AE557+AG557+AI557+AK557+AM557+AO557+AQ557+AS557+AU557+AW557+AY557+BA557</f>
        <v>50600000</v>
      </c>
      <c r="BD557" s="82">
        <f t="shared" si="1105"/>
        <v>50600000</v>
      </c>
      <c r="BE557" s="83">
        <f t="shared" si="813"/>
        <v>0</v>
      </c>
      <c r="BF557" s="83">
        <f t="shared" si="814"/>
        <v>0</v>
      </c>
      <c r="BG557" s="14" t="str">
        <f ca="1">IFERROR(__xludf.DUMMYFUNCTION("REGEXEXTRACT(O551,""^\S+\s(.+)$"")"),"Prestación de servicios de apoyo técnico y funcional para la gestión, actualización, publicación y difusión de contenidos en los portales institucionales, micrositios e Intranet de la UPME, asegurando la accesibilidad de la información, la continuidad ope"&amp;"rativa y la aplicación de los lineamientos definidos por la Subdirección de Gestión de la Información.")</f>
        <v>Prestación de servicios de apoyo técnico y funcional para la gestión, actualización, publicación y difusión de contenidos en los portales institucionales, micrositios e Intranet de la UPME, asegurando la accesibilidad de la información, la continuidad operativa y la aplicación de los lineamientos definidos por la Subdirección de Gestión de la Información.</v>
      </c>
      <c r="BH557" s="23">
        <v>50600000</v>
      </c>
      <c r="BI557" s="23"/>
      <c r="BJ557" s="23"/>
      <c r="BK557" s="23">
        <v>2200000</v>
      </c>
      <c r="BL557" s="23"/>
      <c r="BM557" s="23">
        <v>4400000</v>
      </c>
      <c r="BN557" s="23"/>
      <c r="BO557" s="23">
        <v>4400000</v>
      </c>
      <c r="BP557" s="23"/>
      <c r="BQ557" s="23">
        <v>4400000</v>
      </c>
      <c r="BR557" s="23"/>
      <c r="BS557" s="23">
        <v>4400000</v>
      </c>
      <c r="BT557" s="23"/>
      <c r="BU557" s="23">
        <v>4400000</v>
      </c>
      <c r="BV557" s="23"/>
      <c r="BW557" s="23">
        <v>4400000</v>
      </c>
      <c r="BX557" s="23"/>
      <c r="BY557" s="23">
        <v>4400000</v>
      </c>
      <c r="BZ557" s="23"/>
      <c r="CA557" s="23">
        <v>4400000</v>
      </c>
      <c r="CB557" s="23"/>
      <c r="CC557" s="23">
        <v>4400000</v>
      </c>
      <c r="CD557" s="23"/>
      <c r="CE557" s="23">
        <v>8800000</v>
      </c>
      <c r="CF557" s="28"/>
      <c r="CG557" s="28"/>
      <c r="CH557" s="25">
        <f t="shared" ref="CH557:CI557" si="1106">BH557+BJ557+BL557+BN557+BP557+BR557+BT557+BV557+BX557+BZ557+CB557+CD557+CF557</f>
        <v>50600000</v>
      </c>
      <c r="CI557" s="25">
        <f t="shared" si="1106"/>
        <v>50600000</v>
      </c>
      <c r="CJ557" s="26">
        <f t="shared" si="816"/>
        <v>0</v>
      </c>
      <c r="CK557" s="26">
        <f t="shared" si="817"/>
        <v>0</v>
      </c>
    </row>
    <row r="558" spans="1:89" ht="90" customHeight="1" x14ac:dyDescent="0.3">
      <c r="A558" s="13" t="s">
        <v>248</v>
      </c>
      <c r="B558" s="14" t="s">
        <v>37</v>
      </c>
      <c r="C558" s="15" t="s">
        <v>1380</v>
      </c>
      <c r="D558" s="14" t="s">
        <v>64</v>
      </c>
      <c r="E558" s="13" t="s">
        <v>250</v>
      </c>
      <c r="F558" s="13" t="s">
        <v>250</v>
      </c>
      <c r="G558" s="14">
        <v>68</v>
      </c>
      <c r="H558" s="13" t="s">
        <v>1485</v>
      </c>
      <c r="I558" s="15" t="s">
        <v>1459</v>
      </c>
      <c r="J558" s="14" t="s">
        <v>47</v>
      </c>
      <c r="K558" s="15" t="s">
        <v>90</v>
      </c>
      <c r="L558" s="14">
        <v>80111620</v>
      </c>
      <c r="M558" s="14" t="s">
        <v>46</v>
      </c>
      <c r="N558" s="14" t="s">
        <v>253</v>
      </c>
      <c r="O558" s="15" t="s">
        <v>1486</v>
      </c>
      <c r="P558" s="14" t="s">
        <v>255</v>
      </c>
      <c r="Q558" s="14" t="s">
        <v>255</v>
      </c>
      <c r="R558" s="14" t="s">
        <v>255</v>
      </c>
      <c r="S558" s="17">
        <v>11</v>
      </c>
      <c r="T558" s="14" t="s">
        <v>256</v>
      </c>
      <c r="U558" s="14" t="s">
        <v>257</v>
      </c>
      <c r="V558" s="14" t="s">
        <v>113</v>
      </c>
      <c r="W558" s="18">
        <v>57750000</v>
      </c>
      <c r="X558" s="18">
        <v>57750000</v>
      </c>
      <c r="Y558" s="19" t="s">
        <v>339</v>
      </c>
      <c r="Z558" s="19" t="s">
        <v>258</v>
      </c>
      <c r="AA558" s="14" t="s">
        <v>1384</v>
      </c>
      <c r="AB558" s="14" t="s">
        <v>1385</v>
      </c>
      <c r="AC558" s="14">
        <v>6012220601</v>
      </c>
      <c r="AD558" s="14" t="s">
        <v>1134</v>
      </c>
      <c r="AE558" s="82">
        <v>57750000</v>
      </c>
      <c r="AF558" s="82">
        <v>0</v>
      </c>
      <c r="AG558" s="82">
        <v>0</v>
      </c>
      <c r="AH558" s="82">
        <v>1312500</v>
      </c>
      <c r="AI558" s="82">
        <v>0</v>
      </c>
      <c r="AJ558" s="82">
        <v>5250000</v>
      </c>
      <c r="AK558" s="82">
        <v>0</v>
      </c>
      <c r="AL558" s="82">
        <v>5250000</v>
      </c>
      <c r="AM558" s="82">
        <v>0</v>
      </c>
      <c r="AN558" s="82">
        <v>5250000</v>
      </c>
      <c r="AO558" s="82">
        <v>0</v>
      </c>
      <c r="AP558" s="82">
        <v>5250000</v>
      </c>
      <c r="AQ558" s="82">
        <v>0</v>
      </c>
      <c r="AR558" s="82">
        <v>5250000</v>
      </c>
      <c r="AS558" s="82">
        <v>0</v>
      </c>
      <c r="AT558" s="82">
        <v>5250000</v>
      </c>
      <c r="AU558" s="82">
        <v>0</v>
      </c>
      <c r="AV558" s="82">
        <v>5250000</v>
      </c>
      <c r="AW558" s="82">
        <v>0</v>
      </c>
      <c r="AX558" s="82">
        <v>5250000</v>
      </c>
      <c r="AY558" s="82">
        <v>0</v>
      </c>
      <c r="AZ558" s="82">
        <v>5250000</v>
      </c>
      <c r="BA558" s="82">
        <v>0</v>
      </c>
      <c r="BB558" s="82">
        <v>9187500</v>
      </c>
      <c r="BC558" s="82">
        <f t="shared" ref="BC558:BD558" si="1107">AE558+AG558+AI558+AK558+AM558+AO558+AQ558+AS558+AU558+AW558+AY558+BA558</f>
        <v>57750000</v>
      </c>
      <c r="BD558" s="82">
        <f t="shared" si="1107"/>
        <v>57750000</v>
      </c>
      <c r="BE558" s="83">
        <f t="shared" si="813"/>
        <v>0</v>
      </c>
      <c r="BF558" s="83">
        <f t="shared" si="814"/>
        <v>0</v>
      </c>
      <c r="BG558" s="14" t="str">
        <f ca="1">IFERROR(__xludf.DUMMYFUNCTION("REGEXEXTRACT(O552,""^\S+\s(.+)$"")"),"Prestación de servicios profesionales para el desarrollo, actualización, mantenimiento y mejora de las soluciones web, portales institucionales, aplicaciones y sistemas de información de la UPME, garantizando el cumplimiento de los estándares de accesibil"&amp;"idad, usabilidad y lineamientos técnicos definidos por la Subdirección de Gestión de la Información.")</f>
        <v>Prestación de servicios profesionales para el desarrollo, actualización, mantenimiento y mejora de las soluciones web, portales institucionales, aplicaciones y sistemas de información de la UPME, garantizando el cumplimiento de los estándares de accesibilidad, usabilidad y lineamientos técnicos definidos por la Subdirección de Gestión de la Información.</v>
      </c>
      <c r="BH558" s="23">
        <v>57750000</v>
      </c>
      <c r="BI558" s="23"/>
      <c r="BJ558" s="23"/>
      <c r="BK558" s="23">
        <v>1312500</v>
      </c>
      <c r="BL558" s="23"/>
      <c r="BM558" s="23">
        <v>5250000</v>
      </c>
      <c r="BN558" s="23"/>
      <c r="BO558" s="23">
        <v>5250000</v>
      </c>
      <c r="BP558" s="23"/>
      <c r="BQ558" s="23">
        <v>5250000</v>
      </c>
      <c r="BR558" s="23"/>
      <c r="BS558" s="23">
        <v>5250000</v>
      </c>
      <c r="BT558" s="23"/>
      <c r="BU558" s="23">
        <v>5250000</v>
      </c>
      <c r="BV558" s="23"/>
      <c r="BW558" s="23">
        <v>5250000</v>
      </c>
      <c r="BX558" s="23"/>
      <c r="BY558" s="23">
        <v>5250000</v>
      </c>
      <c r="BZ558" s="23"/>
      <c r="CA558" s="23">
        <v>5250000</v>
      </c>
      <c r="CB558" s="23"/>
      <c r="CC558" s="23">
        <v>5250000</v>
      </c>
      <c r="CD558" s="23"/>
      <c r="CE558" s="23">
        <v>9187500</v>
      </c>
      <c r="CF558" s="28"/>
      <c r="CG558" s="28"/>
      <c r="CH558" s="25">
        <f t="shared" ref="CH558:CI558" si="1108">BH558+BJ558+BL558+BN558+BP558+BR558+BT558+BV558+BX558+BZ558+CB558+CD558+CF558</f>
        <v>57750000</v>
      </c>
      <c r="CI558" s="25">
        <f t="shared" si="1108"/>
        <v>57750000</v>
      </c>
      <c r="CJ558" s="26">
        <f t="shared" si="816"/>
        <v>0</v>
      </c>
      <c r="CK558" s="26">
        <f t="shared" si="817"/>
        <v>0</v>
      </c>
    </row>
    <row r="559" spans="1:89" ht="90" customHeight="1" x14ac:dyDescent="0.3">
      <c r="A559" s="13" t="s">
        <v>248</v>
      </c>
      <c r="B559" s="14" t="s">
        <v>37</v>
      </c>
      <c r="C559" s="15" t="s">
        <v>1380</v>
      </c>
      <c r="D559" s="14" t="s">
        <v>64</v>
      </c>
      <c r="E559" s="13" t="s">
        <v>250</v>
      </c>
      <c r="F559" s="13" t="s">
        <v>250</v>
      </c>
      <c r="G559" s="14">
        <v>68</v>
      </c>
      <c r="H559" s="13" t="s">
        <v>1487</v>
      </c>
      <c r="I559" s="15" t="s">
        <v>1459</v>
      </c>
      <c r="J559" s="14" t="s">
        <v>47</v>
      </c>
      <c r="K559" s="15" t="s">
        <v>90</v>
      </c>
      <c r="L559" s="14">
        <v>81112103</v>
      </c>
      <c r="M559" s="14" t="s">
        <v>46</v>
      </c>
      <c r="N559" s="14" t="s">
        <v>770</v>
      </c>
      <c r="O559" s="15" t="s">
        <v>1488</v>
      </c>
      <c r="P559" s="14" t="s">
        <v>473</v>
      </c>
      <c r="Q559" s="14" t="s">
        <v>473</v>
      </c>
      <c r="R559" s="14" t="s">
        <v>468</v>
      </c>
      <c r="S559" s="17">
        <v>12</v>
      </c>
      <c r="T559" s="14" t="s">
        <v>256</v>
      </c>
      <c r="U559" s="14" t="s">
        <v>474</v>
      </c>
      <c r="V559" s="14" t="s">
        <v>113</v>
      </c>
      <c r="W559" s="18">
        <v>30000000</v>
      </c>
      <c r="X559" s="18">
        <v>30000000</v>
      </c>
      <c r="Y559" s="19" t="s">
        <v>339</v>
      </c>
      <c r="Z559" s="19" t="s">
        <v>258</v>
      </c>
      <c r="AA559" s="14" t="s">
        <v>1384</v>
      </c>
      <c r="AB559" s="14" t="s">
        <v>1385</v>
      </c>
      <c r="AC559" s="14">
        <v>6012220601</v>
      </c>
      <c r="AD559" s="14" t="s">
        <v>1134</v>
      </c>
      <c r="AE559" s="82">
        <v>0</v>
      </c>
      <c r="AF559" s="82">
        <v>0</v>
      </c>
      <c r="AG559" s="82">
        <v>0</v>
      </c>
      <c r="AH559" s="82">
        <v>0</v>
      </c>
      <c r="AI559" s="82">
        <v>0</v>
      </c>
      <c r="AJ559" s="82">
        <v>0</v>
      </c>
      <c r="AK559" s="82">
        <v>0</v>
      </c>
      <c r="AL559" s="82">
        <v>0</v>
      </c>
      <c r="AM559" s="82">
        <v>0</v>
      </c>
      <c r="AN559" s="82">
        <v>0</v>
      </c>
      <c r="AO559" s="82">
        <v>0</v>
      </c>
      <c r="AP559" s="82">
        <v>0</v>
      </c>
      <c r="AQ559" s="82">
        <v>0</v>
      </c>
      <c r="AR559" s="82">
        <v>0</v>
      </c>
      <c r="AS559" s="82">
        <v>0</v>
      </c>
      <c r="AT559" s="82">
        <v>0</v>
      </c>
      <c r="AU559" s="82">
        <v>0</v>
      </c>
      <c r="AV559" s="82">
        <v>0</v>
      </c>
      <c r="AW559" s="82">
        <v>0</v>
      </c>
      <c r="AX559" s="82">
        <v>0</v>
      </c>
      <c r="AY559" s="82">
        <v>30000000</v>
      </c>
      <c r="AZ559" s="82">
        <v>0</v>
      </c>
      <c r="BA559" s="82">
        <v>0</v>
      </c>
      <c r="BB559" s="82">
        <v>30000000</v>
      </c>
      <c r="BC559" s="82">
        <f t="shared" ref="BC559:BD559" si="1109">AE559+AG559+AI559+AK559+AM559+AO559+AQ559+AS559+AU559+AW559+AY559+BA559</f>
        <v>30000000</v>
      </c>
      <c r="BD559" s="82">
        <f t="shared" si="1109"/>
        <v>30000000</v>
      </c>
      <c r="BE559" s="83">
        <f t="shared" si="813"/>
        <v>0</v>
      </c>
      <c r="BF559" s="83">
        <f t="shared" si="814"/>
        <v>0</v>
      </c>
      <c r="BG559" s="14" t="str">
        <f ca="1">IFERROR(__xludf.DUMMYFUNCTION("REGEXEXTRACT(O553,""^\S+\s(.+)$"")"),"Adquirir el licenciamiento de un conjunto de herramientas digitales destinadas al diseño de interfaces gráficas, así como al desarrollo y la optimización en la gestión de contenidos web de la Unidad de Planeación Minero Energética (UPME).")</f>
        <v>Adquirir el licenciamiento de un conjunto de herramientas digitales destinadas al diseño de interfaces gráficas, así como al desarrollo y la optimización en la gestión de contenidos web de la Unidad de Planeación Minero Energética (UPME).</v>
      </c>
      <c r="BH559" s="23"/>
      <c r="BI559" s="23"/>
      <c r="BJ559" s="23"/>
      <c r="BK559" s="23"/>
      <c r="BL559" s="23"/>
      <c r="BM559" s="23"/>
      <c r="BN559" s="23"/>
      <c r="BO559" s="23"/>
      <c r="BP559" s="23"/>
      <c r="BQ559" s="23"/>
      <c r="BR559" s="23"/>
      <c r="BS559" s="23"/>
      <c r="BT559" s="23"/>
      <c r="BU559" s="23"/>
      <c r="BV559" s="23"/>
      <c r="BW559" s="23"/>
      <c r="BX559" s="23"/>
      <c r="BY559" s="23"/>
      <c r="BZ559" s="23"/>
      <c r="CA559" s="23"/>
      <c r="CB559" s="23">
        <v>30000000</v>
      </c>
      <c r="CC559" s="23"/>
      <c r="CD559" s="23"/>
      <c r="CE559" s="23">
        <v>30000000</v>
      </c>
      <c r="CF559" s="28"/>
      <c r="CG559" s="28"/>
      <c r="CH559" s="25">
        <f t="shared" ref="CH559:CI559" si="1110">BH559+BJ559+BL559+BN559+BP559+BR559+BT559+BV559+BX559+BZ559+CB559+CD559+CF559</f>
        <v>30000000</v>
      </c>
      <c r="CI559" s="25">
        <f t="shared" si="1110"/>
        <v>30000000</v>
      </c>
      <c r="CJ559" s="26">
        <f t="shared" si="816"/>
        <v>0</v>
      </c>
      <c r="CK559" s="26">
        <f t="shared" si="817"/>
        <v>0</v>
      </c>
    </row>
    <row r="560" spans="1:89" ht="90" customHeight="1" x14ac:dyDescent="0.3">
      <c r="A560" s="13" t="s">
        <v>248</v>
      </c>
      <c r="B560" s="14" t="s">
        <v>37</v>
      </c>
      <c r="C560" s="15" t="s">
        <v>1380</v>
      </c>
      <c r="D560" s="14" t="s">
        <v>64</v>
      </c>
      <c r="E560" s="13" t="s">
        <v>250</v>
      </c>
      <c r="F560" s="13" t="s">
        <v>250</v>
      </c>
      <c r="G560" s="14">
        <v>68</v>
      </c>
      <c r="H560" s="13" t="s">
        <v>1489</v>
      </c>
      <c r="I560" s="15" t="s">
        <v>1459</v>
      </c>
      <c r="J560" s="14" t="s">
        <v>47</v>
      </c>
      <c r="K560" s="15" t="s">
        <v>90</v>
      </c>
      <c r="L560" s="14">
        <v>80111620</v>
      </c>
      <c r="M560" s="14" t="s">
        <v>46</v>
      </c>
      <c r="N560" s="14" t="s">
        <v>253</v>
      </c>
      <c r="O560" s="15" t="s">
        <v>1490</v>
      </c>
      <c r="P560" s="14" t="s">
        <v>255</v>
      </c>
      <c r="Q560" s="14" t="s">
        <v>255</v>
      </c>
      <c r="R560" s="14" t="s">
        <v>255</v>
      </c>
      <c r="S560" s="17">
        <v>11</v>
      </c>
      <c r="T560" s="14" t="s">
        <v>256</v>
      </c>
      <c r="U560" s="14" t="s">
        <v>257</v>
      </c>
      <c r="V560" s="14" t="s">
        <v>113</v>
      </c>
      <c r="W560" s="18">
        <v>53350000</v>
      </c>
      <c r="X560" s="18">
        <v>53350000</v>
      </c>
      <c r="Y560" s="19" t="s">
        <v>339</v>
      </c>
      <c r="Z560" s="19" t="s">
        <v>258</v>
      </c>
      <c r="AA560" s="14" t="s">
        <v>1384</v>
      </c>
      <c r="AB560" s="14" t="s">
        <v>1385</v>
      </c>
      <c r="AC560" s="14">
        <v>6012220601</v>
      </c>
      <c r="AD560" s="14" t="s">
        <v>1134</v>
      </c>
      <c r="AE560" s="82">
        <v>0</v>
      </c>
      <c r="AF560" s="82">
        <v>0</v>
      </c>
      <c r="AG560" s="82">
        <v>53350000</v>
      </c>
      <c r="AH560" s="82">
        <v>0</v>
      </c>
      <c r="AI560" s="82">
        <v>0</v>
      </c>
      <c r="AJ560" s="82">
        <v>4850000</v>
      </c>
      <c r="AK560" s="82">
        <v>0</v>
      </c>
      <c r="AL560" s="82">
        <v>4850000</v>
      </c>
      <c r="AM560" s="82">
        <v>0</v>
      </c>
      <c r="AN560" s="82">
        <v>4850000</v>
      </c>
      <c r="AO560" s="82">
        <v>0</v>
      </c>
      <c r="AP560" s="82">
        <v>4850000</v>
      </c>
      <c r="AQ560" s="82">
        <v>0</v>
      </c>
      <c r="AR560" s="82">
        <v>4850000</v>
      </c>
      <c r="AS560" s="82">
        <v>0</v>
      </c>
      <c r="AT560" s="82">
        <v>4850000</v>
      </c>
      <c r="AU560" s="82">
        <v>0</v>
      </c>
      <c r="AV560" s="82">
        <v>4850000</v>
      </c>
      <c r="AW560" s="82">
        <v>0</v>
      </c>
      <c r="AX560" s="82">
        <v>4850000</v>
      </c>
      <c r="AY560" s="82">
        <v>0</v>
      </c>
      <c r="AZ560" s="82">
        <v>4850000</v>
      </c>
      <c r="BA560" s="82">
        <v>0</v>
      </c>
      <c r="BB560" s="82">
        <v>9700000</v>
      </c>
      <c r="BC560" s="82">
        <f t="shared" ref="BC560:BD560" si="1111">AE560+AG560+AI560+AK560+AM560+AO560+AQ560+AS560+AU560+AW560+AY560+BA560</f>
        <v>53350000</v>
      </c>
      <c r="BD560" s="82">
        <f t="shared" si="1111"/>
        <v>53350000</v>
      </c>
      <c r="BE560" s="83">
        <f t="shared" si="813"/>
        <v>0</v>
      </c>
      <c r="BF560" s="83">
        <f t="shared" si="814"/>
        <v>0</v>
      </c>
      <c r="BG560" s="14" t="str">
        <f ca="1">IFERROR(__xludf.DUMMYFUNCTION("REGEXEXTRACT(O554,""^\S+\s(.+)$"")"),"Prestación de servicios profesionales para apoyar en la identificación, caracterización técnica y metodológica de nuevos registros administrativos con potencial estadístico, así como el acompañamiento en la implementación de las fases del proceso estadíst"&amp;"ico para el diseño y puesta en marcha de nuevas operaciones estadísticas de la UPME")</f>
        <v>Prestación de servicios profesionales para apoyar en la identificación, caracterización técnica y metodológica de nuevos registros administrativos con potencial estadístico, así como el acompañamiento en la implementación de las fases del proceso estadístico para el diseño y puesta en marcha de nuevas operaciones estadísticas de la UPME</v>
      </c>
      <c r="BH560" s="23"/>
      <c r="BI560" s="23"/>
      <c r="BJ560" s="23">
        <v>53350000</v>
      </c>
      <c r="BK560" s="23"/>
      <c r="BL560" s="23"/>
      <c r="BM560" s="23">
        <v>4850000</v>
      </c>
      <c r="BN560" s="23"/>
      <c r="BO560" s="23">
        <v>4850000</v>
      </c>
      <c r="BP560" s="23"/>
      <c r="BQ560" s="23">
        <v>4850000</v>
      </c>
      <c r="BR560" s="23"/>
      <c r="BS560" s="23">
        <v>4850000</v>
      </c>
      <c r="BT560" s="23"/>
      <c r="BU560" s="23">
        <v>4850000</v>
      </c>
      <c r="BV560" s="23"/>
      <c r="BW560" s="23">
        <v>4850000</v>
      </c>
      <c r="BX560" s="23"/>
      <c r="BY560" s="23">
        <v>4850000</v>
      </c>
      <c r="BZ560" s="23"/>
      <c r="CA560" s="23">
        <v>4850000</v>
      </c>
      <c r="CB560" s="23"/>
      <c r="CC560" s="23">
        <v>4850000</v>
      </c>
      <c r="CD560" s="23"/>
      <c r="CE560" s="23">
        <v>9700000</v>
      </c>
      <c r="CF560" s="28"/>
      <c r="CG560" s="28"/>
      <c r="CH560" s="25">
        <f t="shared" ref="CH560:CI560" si="1112">BH560+BJ560+BL560+BN560+BP560+BR560+BT560+BV560+BX560+BZ560+CB560+CD560+CF560</f>
        <v>53350000</v>
      </c>
      <c r="CI560" s="25">
        <f t="shared" si="1112"/>
        <v>53350000</v>
      </c>
      <c r="CJ560" s="26">
        <f t="shared" si="816"/>
        <v>0</v>
      </c>
      <c r="CK560" s="26">
        <f t="shared" si="817"/>
        <v>0</v>
      </c>
    </row>
    <row r="561" spans="1:89" ht="90" customHeight="1" x14ac:dyDescent="0.3">
      <c r="A561" s="13" t="s">
        <v>248</v>
      </c>
      <c r="B561" s="14" t="s">
        <v>37</v>
      </c>
      <c r="C561" s="15" t="s">
        <v>1380</v>
      </c>
      <c r="D561" s="14" t="s">
        <v>64</v>
      </c>
      <c r="E561" s="13" t="s">
        <v>250</v>
      </c>
      <c r="F561" s="13" t="s">
        <v>250</v>
      </c>
      <c r="G561" s="14">
        <v>68</v>
      </c>
      <c r="H561" s="13" t="s">
        <v>1491</v>
      </c>
      <c r="I561" s="15" t="s">
        <v>1459</v>
      </c>
      <c r="J561" s="14" t="s">
        <v>47</v>
      </c>
      <c r="K561" s="15" t="s">
        <v>90</v>
      </c>
      <c r="L561" s="14">
        <v>80111620</v>
      </c>
      <c r="M561" s="14" t="s">
        <v>46</v>
      </c>
      <c r="N561" s="14" t="s">
        <v>253</v>
      </c>
      <c r="O561" s="15" t="s">
        <v>1492</v>
      </c>
      <c r="P561" s="14" t="s">
        <v>255</v>
      </c>
      <c r="Q561" s="14" t="s">
        <v>255</v>
      </c>
      <c r="R561" s="14" t="s">
        <v>255</v>
      </c>
      <c r="S561" s="17">
        <v>11</v>
      </c>
      <c r="T561" s="14" t="s">
        <v>256</v>
      </c>
      <c r="U561" s="14" t="s">
        <v>257</v>
      </c>
      <c r="V561" s="14" t="s">
        <v>113</v>
      </c>
      <c r="W561" s="18">
        <v>95700000</v>
      </c>
      <c r="X561" s="18">
        <v>95700000</v>
      </c>
      <c r="Y561" s="19" t="s">
        <v>339</v>
      </c>
      <c r="Z561" s="19" t="s">
        <v>258</v>
      </c>
      <c r="AA561" s="14" t="s">
        <v>1384</v>
      </c>
      <c r="AB561" s="14" t="s">
        <v>1385</v>
      </c>
      <c r="AC561" s="14">
        <v>6012220601</v>
      </c>
      <c r="AD561" s="14" t="s">
        <v>1134</v>
      </c>
      <c r="AE561" s="82">
        <v>95700000</v>
      </c>
      <c r="AF561" s="82">
        <v>0</v>
      </c>
      <c r="AG561" s="82">
        <v>0</v>
      </c>
      <c r="AH561" s="82">
        <v>2175000</v>
      </c>
      <c r="AI561" s="82">
        <v>0</v>
      </c>
      <c r="AJ561" s="82">
        <v>8700000</v>
      </c>
      <c r="AK561" s="82">
        <v>0</v>
      </c>
      <c r="AL561" s="82">
        <v>8700000</v>
      </c>
      <c r="AM561" s="82">
        <v>0</v>
      </c>
      <c r="AN561" s="82">
        <v>8700000</v>
      </c>
      <c r="AO561" s="82">
        <v>0</v>
      </c>
      <c r="AP561" s="82">
        <v>8700000</v>
      </c>
      <c r="AQ561" s="82">
        <v>0</v>
      </c>
      <c r="AR561" s="82">
        <v>8700000</v>
      </c>
      <c r="AS561" s="82">
        <v>0</v>
      </c>
      <c r="AT561" s="82">
        <v>8700000</v>
      </c>
      <c r="AU561" s="82">
        <v>0</v>
      </c>
      <c r="AV561" s="82">
        <v>8700000</v>
      </c>
      <c r="AW561" s="82">
        <v>0</v>
      </c>
      <c r="AX561" s="82">
        <v>8700000</v>
      </c>
      <c r="AY561" s="82">
        <v>0</v>
      </c>
      <c r="AZ561" s="82">
        <v>8700000</v>
      </c>
      <c r="BA561" s="82">
        <v>0</v>
      </c>
      <c r="BB561" s="82">
        <v>15225000</v>
      </c>
      <c r="BC561" s="82">
        <f t="shared" ref="BC561:BD561" si="1113">AE561+AG561+AI561+AK561+AM561+AO561+AQ561+AS561+AU561+AW561+AY561+BA561</f>
        <v>95700000</v>
      </c>
      <c r="BD561" s="82">
        <f t="shared" si="1113"/>
        <v>95700000</v>
      </c>
      <c r="BE561" s="83">
        <f t="shared" si="813"/>
        <v>0</v>
      </c>
      <c r="BF561" s="83">
        <f t="shared" si="814"/>
        <v>0</v>
      </c>
      <c r="BG561" s="14" t="str">
        <f ca="1">IFERROR(__xludf.DUMMYFUNCTION("REGEXEXTRACT(O555,""^\S+\s(.+)$"")"),"Prestación de servicios profesionales para el mantenimiento, administración, optimización y aseguramiento de la calidad de la Base de Datos Geográfica Corporativa (EGDBUPME), garantizando la integridad, interoperabilidad, seguridad y disponibilidad de la "&amp;"información geoespacial que soporta los productos y servicios del Geoportal Sectorial y demás sistemas geográficos institucionales de la UPME.")</f>
        <v>Prestación de servicios profesionales para el mantenimiento, administración, optimización y aseguramiento de la calidad de la Base de Datos Geográfica Corporativa (EGDBUPME), garantizando la integridad, interoperabilidad, seguridad y disponibilidad de la información geoespacial que soporta los productos y servicios del Geoportal Sectorial y demás sistemas geográficos institucionales de la UPME.</v>
      </c>
      <c r="BH561" s="23">
        <v>95700000</v>
      </c>
      <c r="BI561" s="23"/>
      <c r="BJ561" s="23"/>
      <c r="BK561" s="23">
        <v>2175000</v>
      </c>
      <c r="BL561" s="23"/>
      <c r="BM561" s="23">
        <v>8700000</v>
      </c>
      <c r="BN561" s="23"/>
      <c r="BO561" s="23">
        <v>8700000</v>
      </c>
      <c r="BP561" s="23"/>
      <c r="BQ561" s="23">
        <v>8700000</v>
      </c>
      <c r="BR561" s="23"/>
      <c r="BS561" s="23">
        <v>8700000</v>
      </c>
      <c r="BT561" s="23"/>
      <c r="BU561" s="23">
        <v>8700000</v>
      </c>
      <c r="BV561" s="23"/>
      <c r="BW561" s="23">
        <v>8700000</v>
      </c>
      <c r="BX561" s="23"/>
      <c r="BY561" s="23">
        <v>8700000</v>
      </c>
      <c r="BZ561" s="23"/>
      <c r="CA561" s="23">
        <v>8700000</v>
      </c>
      <c r="CB561" s="23"/>
      <c r="CC561" s="23">
        <v>8700000</v>
      </c>
      <c r="CD561" s="23"/>
      <c r="CE561" s="23">
        <v>15225000</v>
      </c>
      <c r="CF561" s="28"/>
      <c r="CG561" s="28"/>
      <c r="CH561" s="25">
        <f t="shared" ref="CH561:CI561" si="1114">BH561+BJ561+BL561+BN561+BP561+BR561+BT561+BV561+BX561+BZ561+CB561+CD561+CF561</f>
        <v>95700000</v>
      </c>
      <c r="CI561" s="25">
        <f t="shared" si="1114"/>
        <v>95700000</v>
      </c>
      <c r="CJ561" s="26">
        <f t="shared" si="816"/>
        <v>0</v>
      </c>
      <c r="CK561" s="26">
        <f t="shared" si="817"/>
        <v>0</v>
      </c>
    </row>
    <row r="562" spans="1:89" ht="90" customHeight="1" x14ac:dyDescent="0.3">
      <c r="A562" s="13" t="s">
        <v>248</v>
      </c>
      <c r="B562" s="14" t="s">
        <v>37</v>
      </c>
      <c r="C562" s="15" t="s">
        <v>1380</v>
      </c>
      <c r="D562" s="14" t="s">
        <v>64</v>
      </c>
      <c r="E562" s="13" t="s">
        <v>250</v>
      </c>
      <c r="F562" s="13" t="s">
        <v>250</v>
      </c>
      <c r="G562" s="14">
        <v>1</v>
      </c>
      <c r="H562" s="13" t="s">
        <v>1493</v>
      </c>
      <c r="I562" s="15" t="s">
        <v>1459</v>
      </c>
      <c r="J562" s="14" t="s">
        <v>47</v>
      </c>
      <c r="K562" s="15" t="s">
        <v>90</v>
      </c>
      <c r="L562" s="14">
        <v>80111620</v>
      </c>
      <c r="M562" s="14" t="s">
        <v>46</v>
      </c>
      <c r="N562" s="14" t="s">
        <v>253</v>
      </c>
      <c r="O562" s="15" t="s">
        <v>1494</v>
      </c>
      <c r="P562" s="14" t="s">
        <v>255</v>
      </c>
      <c r="Q562" s="14" t="s">
        <v>255</v>
      </c>
      <c r="R562" s="14" t="s">
        <v>255</v>
      </c>
      <c r="S562" s="17">
        <v>11</v>
      </c>
      <c r="T562" s="14" t="s">
        <v>256</v>
      </c>
      <c r="U562" s="14" t="s">
        <v>257</v>
      </c>
      <c r="V562" s="14" t="s">
        <v>113</v>
      </c>
      <c r="W562" s="18">
        <v>72600000</v>
      </c>
      <c r="X562" s="18">
        <v>72600000</v>
      </c>
      <c r="Y562" s="19" t="s">
        <v>339</v>
      </c>
      <c r="Z562" s="19" t="s">
        <v>258</v>
      </c>
      <c r="AA562" s="14" t="s">
        <v>1384</v>
      </c>
      <c r="AB562" s="14" t="s">
        <v>1385</v>
      </c>
      <c r="AC562" s="14">
        <v>6012220601</v>
      </c>
      <c r="AD562" s="14" t="s">
        <v>1134</v>
      </c>
      <c r="AE562" s="82">
        <v>0</v>
      </c>
      <c r="AF562" s="82">
        <v>0</v>
      </c>
      <c r="AG562" s="82">
        <v>72600000</v>
      </c>
      <c r="AH562" s="82">
        <v>0</v>
      </c>
      <c r="AI562" s="82">
        <v>0</v>
      </c>
      <c r="AJ562" s="82">
        <v>6600000</v>
      </c>
      <c r="AK562" s="82">
        <v>0</v>
      </c>
      <c r="AL562" s="82">
        <v>6600000</v>
      </c>
      <c r="AM562" s="82">
        <v>0</v>
      </c>
      <c r="AN562" s="82">
        <v>6600000</v>
      </c>
      <c r="AO562" s="82">
        <v>0</v>
      </c>
      <c r="AP562" s="82">
        <v>6600000</v>
      </c>
      <c r="AQ562" s="82">
        <v>0</v>
      </c>
      <c r="AR562" s="82">
        <v>6600000</v>
      </c>
      <c r="AS562" s="82">
        <v>0</v>
      </c>
      <c r="AT562" s="82">
        <v>6600000</v>
      </c>
      <c r="AU562" s="82">
        <v>0</v>
      </c>
      <c r="AV562" s="82">
        <v>6600000</v>
      </c>
      <c r="AW562" s="82">
        <v>0</v>
      </c>
      <c r="AX562" s="82">
        <v>6600000</v>
      </c>
      <c r="AY562" s="82">
        <v>0</v>
      </c>
      <c r="AZ562" s="82">
        <v>6600000</v>
      </c>
      <c r="BA562" s="82">
        <v>0</v>
      </c>
      <c r="BB562" s="82">
        <v>13200000</v>
      </c>
      <c r="BC562" s="82">
        <f t="shared" ref="BC562:BD562" si="1115">AE562+AG562+AI562+AK562+AM562+AO562+AQ562+AS562+AU562+AW562+AY562+BA562</f>
        <v>72600000</v>
      </c>
      <c r="BD562" s="82">
        <f t="shared" si="1115"/>
        <v>72600000</v>
      </c>
      <c r="BE562" s="83">
        <f t="shared" si="813"/>
        <v>0</v>
      </c>
      <c r="BF562" s="83">
        <f t="shared" si="814"/>
        <v>0</v>
      </c>
      <c r="BG562" s="14" t="str">
        <f ca="1">IFERROR(__xludf.DUMMYFUNCTION("REGEXEXTRACT(O556,""^\S+\s(.+)$"")"),"Prestación de servicios profesionales para al análisis y validación de la información territorial y normativa (POT, POMCA, áreas protegidas, catastro multipropósito y demás instrumentos de ordenamiento), integrándose a los análisis SIG de la UPME para gar"&amp;"antizar consistencia técnica y territorial en los estudios y proyectos del sector minero-energético.")</f>
        <v>Prestación de servicios profesionales para al análisis y validación de la información territorial y normativa (POT, POMCA, áreas protegidas, catastro multipropósito y demás instrumentos de ordenamiento), integrándose a los análisis SIG de la UPME para garantizar consistencia técnica y territorial en los estudios y proyectos del sector minero-energético.</v>
      </c>
      <c r="BH562" s="23"/>
      <c r="BI562" s="23"/>
      <c r="BJ562" s="23">
        <v>72600000</v>
      </c>
      <c r="BK562" s="23"/>
      <c r="BL562" s="23"/>
      <c r="BM562" s="23">
        <v>6600000</v>
      </c>
      <c r="BN562" s="23"/>
      <c r="BO562" s="23">
        <v>6600000</v>
      </c>
      <c r="BP562" s="23"/>
      <c r="BQ562" s="23">
        <v>6600000</v>
      </c>
      <c r="BR562" s="23"/>
      <c r="BS562" s="23">
        <v>6600000</v>
      </c>
      <c r="BT562" s="23"/>
      <c r="BU562" s="23">
        <v>6600000</v>
      </c>
      <c r="BV562" s="23"/>
      <c r="BW562" s="23">
        <v>6600000</v>
      </c>
      <c r="BX562" s="23"/>
      <c r="BY562" s="23">
        <v>6600000</v>
      </c>
      <c r="BZ562" s="23"/>
      <c r="CA562" s="23">
        <v>6600000</v>
      </c>
      <c r="CB562" s="23"/>
      <c r="CC562" s="23">
        <v>6600000</v>
      </c>
      <c r="CD562" s="23"/>
      <c r="CE562" s="23">
        <v>13200000</v>
      </c>
      <c r="CF562" s="28"/>
      <c r="CG562" s="28"/>
      <c r="CH562" s="25">
        <f t="shared" ref="CH562:CI562" si="1116">BH562+BJ562+BL562+BN562+BP562+BR562+BT562+BV562+BX562+BZ562+CB562+CD562+CF562</f>
        <v>72600000</v>
      </c>
      <c r="CI562" s="25">
        <f t="shared" si="1116"/>
        <v>72600000</v>
      </c>
      <c r="CJ562" s="26">
        <f t="shared" si="816"/>
        <v>0</v>
      </c>
      <c r="CK562" s="26">
        <f t="shared" si="817"/>
        <v>0</v>
      </c>
    </row>
    <row r="563" spans="1:89" ht="90" customHeight="1" x14ac:dyDescent="0.3">
      <c r="A563" s="13" t="s">
        <v>248</v>
      </c>
      <c r="B563" s="14" t="s">
        <v>37</v>
      </c>
      <c r="C563" s="15" t="s">
        <v>1380</v>
      </c>
      <c r="D563" s="14" t="s">
        <v>64</v>
      </c>
      <c r="E563" s="13" t="s">
        <v>250</v>
      </c>
      <c r="F563" s="13" t="s">
        <v>250</v>
      </c>
      <c r="G563" s="14">
        <v>68</v>
      </c>
      <c r="H563" s="13" t="s">
        <v>1495</v>
      </c>
      <c r="I563" s="15" t="s">
        <v>1459</v>
      </c>
      <c r="J563" s="14" t="s">
        <v>47</v>
      </c>
      <c r="K563" s="15" t="s">
        <v>90</v>
      </c>
      <c r="L563" s="14">
        <v>43232605</v>
      </c>
      <c r="M563" s="14" t="s">
        <v>46</v>
      </c>
      <c r="N563" s="14" t="s">
        <v>770</v>
      </c>
      <c r="O563" s="15" t="s">
        <v>1496</v>
      </c>
      <c r="P563" s="14" t="s">
        <v>477</v>
      </c>
      <c r="Q563" s="14" t="s">
        <v>477</v>
      </c>
      <c r="R563" s="14" t="s">
        <v>477</v>
      </c>
      <c r="S563" s="17">
        <v>12</v>
      </c>
      <c r="T563" s="14" t="s">
        <v>256</v>
      </c>
      <c r="U563" s="14" t="s">
        <v>282</v>
      </c>
      <c r="V563" s="14" t="s">
        <v>113</v>
      </c>
      <c r="W563" s="18">
        <v>50000000</v>
      </c>
      <c r="X563" s="18">
        <v>50000000</v>
      </c>
      <c r="Y563" s="19" t="s">
        <v>339</v>
      </c>
      <c r="Z563" s="19" t="s">
        <v>258</v>
      </c>
      <c r="AA563" s="14" t="s">
        <v>1384</v>
      </c>
      <c r="AB563" s="14" t="s">
        <v>1385</v>
      </c>
      <c r="AC563" s="14">
        <v>6012220601</v>
      </c>
      <c r="AD563" s="14" t="s">
        <v>1134</v>
      </c>
      <c r="AE563" s="82">
        <v>0</v>
      </c>
      <c r="AF563" s="82">
        <v>0</v>
      </c>
      <c r="AG563" s="82">
        <v>0</v>
      </c>
      <c r="AH563" s="82">
        <v>0</v>
      </c>
      <c r="AI563" s="82">
        <v>0</v>
      </c>
      <c r="AJ563" s="82">
        <v>0</v>
      </c>
      <c r="AK563" s="82">
        <v>0</v>
      </c>
      <c r="AL563" s="82">
        <v>0</v>
      </c>
      <c r="AM563" s="82">
        <v>0</v>
      </c>
      <c r="AN563" s="82">
        <v>0</v>
      </c>
      <c r="AO563" s="82">
        <v>0</v>
      </c>
      <c r="AP563" s="82">
        <v>0</v>
      </c>
      <c r="AQ563" s="82">
        <v>50000000</v>
      </c>
      <c r="AR563" s="82">
        <v>0</v>
      </c>
      <c r="AS563" s="82">
        <v>0</v>
      </c>
      <c r="AT563" s="82">
        <v>0</v>
      </c>
      <c r="AU563" s="82">
        <v>0</v>
      </c>
      <c r="AV563" s="82">
        <v>0</v>
      </c>
      <c r="AW563" s="82">
        <v>0</v>
      </c>
      <c r="AX563" s="82">
        <v>0</v>
      </c>
      <c r="AY563" s="82">
        <v>0</v>
      </c>
      <c r="AZ563" s="82">
        <v>0</v>
      </c>
      <c r="BA563" s="82">
        <v>0</v>
      </c>
      <c r="BB563" s="82">
        <v>50000000</v>
      </c>
      <c r="BC563" s="82">
        <f t="shared" ref="BC563:BD563" si="1117">AE563+AG563+AI563+AK563+AM563+AO563+AQ563+AS563+AU563+AW563+AY563+BA563</f>
        <v>50000000</v>
      </c>
      <c r="BD563" s="82">
        <f t="shared" si="1117"/>
        <v>50000000</v>
      </c>
      <c r="BE563" s="83">
        <f t="shared" si="813"/>
        <v>0</v>
      </c>
      <c r="BF563" s="83">
        <f t="shared" si="814"/>
        <v>0</v>
      </c>
      <c r="BG563" s="14" t="str">
        <f ca="1">IFERROR(__xludf.DUMMYFUNCTION("REGEXEXTRACT(O557,""^\S+\s(.+)$"")"),"Actualizar y renovar el licenciamiento ESRI.")</f>
        <v>Actualizar y renovar el licenciamiento ESRI.</v>
      </c>
      <c r="BH563" s="23"/>
      <c r="BI563" s="23"/>
      <c r="BJ563" s="23"/>
      <c r="BK563" s="23"/>
      <c r="BL563" s="23"/>
      <c r="BM563" s="23"/>
      <c r="BN563" s="23"/>
      <c r="BO563" s="23"/>
      <c r="BP563" s="23"/>
      <c r="BQ563" s="23"/>
      <c r="BR563" s="23"/>
      <c r="BS563" s="23"/>
      <c r="BT563" s="23">
        <v>50000000</v>
      </c>
      <c r="BU563" s="23"/>
      <c r="BV563" s="23"/>
      <c r="BW563" s="23"/>
      <c r="BX563" s="23"/>
      <c r="BY563" s="23"/>
      <c r="BZ563" s="23"/>
      <c r="CA563" s="23"/>
      <c r="CB563" s="23"/>
      <c r="CC563" s="23"/>
      <c r="CD563" s="23"/>
      <c r="CE563" s="23">
        <v>50000000</v>
      </c>
      <c r="CF563" s="28"/>
      <c r="CG563" s="28"/>
      <c r="CH563" s="25">
        <f t="shared" ref="CH563:CI563" si="1118">BH563+BJ563+BL563+BN563+BP563+BR563+BT563+BV563+BX563+BZ563+CB563+CD563+CF563</f>
        <v>50000000</v>
      </c>
      <c r="CI563" s="25">
        <f t="shared" si="1118"/>
        <v>50000000</v>
      </c>
      <c r="CJ563" s="26">
        <f t="shared" si="816"/>
        <v>0</v>
      </c>
      <c r="CK563" s="26">
        <f t="shared" si="817"/>
        <v>0</v>
      </c>
    </row>
    <row r="564" spans="1:89" ht="90" customHeight="1" x14ac:dyDescent="0.3">
      <c r="A564" s="13" t="s">
        <v>248</v>
      </c>
      <c r="B564" s="14" t="s">
        <v>37</v>
      </c>
      <c r="C564" s="15" t="s">
        <v>1380</v>
      </c>
      <c r="D564" s="14" t="s">
        <v>64</v>
      </c>
      <c r="E564" s="13" t="s">
        <v>250</v>
      </c>
      <c r="F564" s="13" t="s">
        <v>250</v>
      </c>
      <c r="G564" s="14">
        <v>2</v>
      </c>
      <c r="H564" s="13" t="s">
        <v>1497</v>
      </c>
      <c r="I564" s="15" t="s">
        <v>1459</v>
      </c>
      <c r="J564" s="14" t="s">
        <v>47</v>
      </c>
      <c r="K564" s="15" t="s">
        <v>90</v>
      </c>
      <c r="L564" s="14">
        <v>80111620</v>
      </c>
      <c r="M564" s="14" t="s">
        <v>46</v>
      </c>
      <c r="N564" s="14" t="s">
        <v>253</v>
      </c>
      <c r="O564" s="15" t="s">
        <v>1498</v>
      </c>
      <c r="P564" s="14" t="s">
        <v>255</v>
      </c>
      <c r="Q564" s="14" t="s">
        <v>255</v>
      </c>
      <c r="R564" s="14" t="s">
        <v>255</v>
      </c>
      <c r="S564" s="17">
        <v>11</v>
      </c>
      <c r="T564" s="14" t="s">
        <v>256</v>
      </c>
      <c r="U564" s="14" t="s">
        <v>257</v>
      </c>
      <c r="V564" s="14" t="s">
        <v>113</v>
      </c>
      <c r="W564" s="18">
        <v>15702144</v>
      </c>
      <c r="X564" s="18">
        <v>15702144</v>
      </c>
      <c r="Y564" s="19" t="s">
        <v>339</v>
      </c>
      <c r="Z564" s="19" t="s">
        <v>258</v>
      </c>
      <c r="AA564" s="14" t="s">
        <v>1384</v>
      </c>
      <c r="AB564" s="14" t="s">
        <v>1385</v>
      </c>
      <c r="AC564" s="14">
        <v>6012220601</v>
      </c>
      <c r="AD564" s="14" t="s">
        <v>1134</v>
      </c>
      <c r="AE564" s="82">
        <v>15702144</v>
      </c>
      <c r="AF564" s="82">
        <v>0</v>
      </c>
      <c r="AG564" s="82">
        <v>0</v>
      </c>
      <c r="AH564" s="82">
        <v>0</v>
      </c>
      <c r="AI564" s="82">
        <v>0</v>
      </c>
      <c r="AJ564" s="82">
        <v>0</v>
      </c>
      <c r="AK564" s="82">
        <v>0</v>
      </c>
      <c r="AL564" s="82">
        <v>0</v>
      </c>
      <c r="AM564" s="82">
        <v>0</v>
      </c>
      <c r="AN564" s="82">
        <v>0</v>
      </c>
      <c r="AO564" s="82">
        <v>0</v>
      </c>
      <c r="AP564" s="82">
        <v>0</v>
      </c>
      <c r="AQ564" s="82">
        <v>0</v>
      </c>
      <c r="AR564" s="82">
        <v>0</v>
      </c>
      <c r="AS564" s="82">
        <v>0</v>
      </c>
      <c r="AT564" s="82">
        <v>0</v>
      </c>
      <c r="AU564" s="82">
        <v>0</v>
      </c>
      <c r="AV564" s="82">
        <v>0</v>
      </c>
      <c r="AW564" s="82">
        <v>0</v>
      </c>
      <c r="AX564" s="82">
        <v>1035477</v>
      </c>
      <c r="AY564" s="82">
        <v>0</v>
      </c>
      <c r="AZ564" s="82">
        <v>5000000</v>
      </c>
      <c r="BA564" s="82">
        <v>0</v>
      </c>
      <c r="BB564" s="82">
        <v>9666667</v>
      </c>
      <c r="BC564" s="82">
        <f t="shared" ref="BC564:BD564" si="1119">AE564+AG564+AI564+AK564+AM564+AO564+AQ564+AS564+AU564+AW564+AY564+BA564</f>
        <v>15702144</v>
      </c>
      <c r="BD564" s="82">
        <f t="shared" si="1119"/>
        <v>15702144</v>
      </c>
      <c r="BE564" s="83">
        <f t="shared" si="813"/>
        <v>0</v>
      </c>
      <c r="BF564" s="83">
        <f t="shared" si="814"/>
        <v>0</v>
      </c>
      <c r="BG564" s="14" t="str">
        <f ca="1">IFERROR(__xludf.DUMMYFUNCTION("REGEXEXTRACT(O558,""^\S+\s(.+)$"")"),"Prestación de servicios de apoyo a la gestión para la recolección y procesamiento de material audiovisual requerido para los sistemas de información y las comunicaciones institucionales")</f>
        <v>Prestación de servicios de apoyo a la gestión para la recolección y procesamiento de material audiovisual requerido para los sistemas de información y las comunicaciones institucionales</v>
      </c>
      <c r="BH564" s="23">
        <v>15702144</v>
      </c>
      <c r="BI564" s="23"/>
      <c r="BJ564" s="23"/>
      <c r="BK564" s="23"/>
      <c r="BL564" s="23"/>
      <c r="BM564" s="23"/>
      <c r="BN564" s="23"/>
      <c r="BO564" s="23"/>
      <c r="BP564" s="23"/>
      <c r="BQ564" s="23"/>
      <c r="BR564" s="23"/>
      <c r="BS564" s="23"/>
      <c r="BT564" s="23"/>
      <c r="BU564" s="23"/>
      <c r="BV564" s="23"/>
      <c r="BW564" s="23"/>
      <c r="BX564" s="23"/>
      <c r="BY564" s="23"/>
      <c r="BZ564" s="23"/>
      <c r="CA564" s="23">
        <v>1035477</v>
      </c>
      <c r="CB564" s="23"/>
      <c r="CC564" s="23">
        <v>5000000</v>
      </c>
      <c r="CD564" s="23"/>
      <c r="CE564" s="23">
        <v>9666667</v>
      </c>
      <c r="CF564" s="28"/>
      <c r="CG564" s="28"/>
      <c r="CH564" s="25">
        <f t="shared" ref="CH564:CI564" si="1120">BH564+BJ564+BL564+BN564+BP564+BR564+BT564+BV564+BX564+BZ564+CB564+CD564+CF564</f>
        <v>15702144</v>
      </c>
      <c r="CI564" s="25">
        <f t="shared" si="1120"/>
        <v>15702144</v>
      </c>
      <c r="CJ564" s="26">
        <f t="shared" si="816"/>
        <v>0</v>
      </c>
      <c r="CK564" s="26">
        <f t="shared" si="817"/>
        <v>0</v>
      </c>
    </row>
    <row r="565" spans="1:89" ht="90" customHeight="1" x14ac:dyDescent="0.3">
      <c r="A565" s="13" t="s">
        <v>248</v>
      </c>
      <c r="B565" s="14" t="s">
        <v>37</v>
      </c>
      <c r="C565" s="15" t="s">
        <v>1380</v>
      </c>
      <c r="D565" s="14" t="s">
        <v>64</v>
      </c>
      <c r="E565" s="13" t="s">
        <v>250</v>
      </c>
      <c r="F565" s="13" t="s">
        <v>250</v>
      </c>
      <c r="G565" s="14">
        <v>22</v>
      </c>
      <c r="H565" s="13" t="s">
        <v>1499</v>
      </c>
      <c r="I565" s="15" t="s">
        <v>1459</v>
      </c>
      <c r="J565" s="14" t="s">
        <v>47</v>
      </c>
      <c r="K565" s="15" t="s">
        <v>90</v>
      </c>
      <c r="L565" s="14">
        <v>81112003</v>
      </c>
      <c r="M565" s="14" t="s">
        <v>46</v>
      </c>
      <c r="N565" s="14" t="s">
        <v>770</v>
      </c>
      <c r="O565" s="15" t="s">
        <v>1500</v>
      </c>
      <c r="P565" s="14" t="s">
        <v>280</v>
      </c>
      <c r="Q565" s="14" t="s">
        <v>281</v>
      </c>
      <c r="R565" s="14" t="s">
        <v>281</v>
      </c>
      <c r="S565" s="17">
        <v>12</v>
      </c>
      <c r="T565" s="14" t="s">
        <v>256</v>
      </c>
      <c r="U565" s="14" t="s">
        <v>282</v>
      </c>
      <c r="V565" s="14" t="s">
        <v>113</v>
      </c>
      <c r="W565" s="18">
        <v>73467716</v>
      </c>
      <c r="X565" s="18">
        <v>73467716</v>
      </c>
      <c r="Y565" s="19" t="s">
        <v>339</v>
      </c>
      <c r="Z565" s="19" t="s">
        <v>258</v>
      </c>
      <c r="AA565" s="14" t="s">
        <v>1384</v>
      </c>
      <c r="AB565" s="14" t="s">
        <v>1385</v>
      </c>
      <c r="AC565" s="14">
        <v>6012220601</v>
      </c>
      <c r="AD565" s="14" t="s">
        <v>1134</v>
      </c>
      <c r="AE565" s="82">
        <v>0</v>
      </c>
      <c r="AF565" s="82">
        <v>0</v>
      </c>
      <c r="AG565" s="82">
        <v>0</v>
      </c>
      <c r="AH565" s="82">
        <v>0</v>
      </c>
      <c r="AI565" s="82">
        <v>0</v>
      </c>
      <c r="AJ565" s="82">
        <v>0</v>
      </c>
      <c r="AK565" s="82">
        <v>73467716</v>
      </c>
      <c r="AL565" s="82">
        <v>0</v>
      </c>
      <c r="AM565" s="82">
        <v>0</v>
      </c>
      <c r="AN565" s="82">
        <v>73467716</v>
      </c>
      <c r="AO565" s="82">
        <v>0</v>
      </c>
      <c r="AP565" s="82">
        <v>0</v>
      </c>
      <c r="AQ565" s="82">
        <v>0</v>
      </c>
      <c r="AR565" s="82">
        <v>0</v>
      </c>
      <c r="AS565" s="82">
        <v>0</v>
      </c>
      <c r="AT565" s="82">
        <v>0</v>
      </c>
      <c r="AU565" s="82">
        <v>0</v>
      </c>
      <c r="AV565" s="82">
        <v>0</v>
      </c>
      <c r="AW565" s="82">
        <v>0</v>
      </c>
      <c r="AX565" s="82">
        <v>0</v>
      </c>
      <c r="AY565" s="82">
        <v>0</v>
      </c>
      <c r="AZ565" s="82">
        <v>0</v>
      </c>
      <c r="BA565" s="82">
        <v>0</v>
      </c>
      <c r="BB565" s="82">
        <v>0</v>
      </c>
      <c r="BC565" s="82">
        <f t="shared" ref="BC565:BD565" si="1121">AE565+AG565+AI565+AK565+AM565+AO565+AQ565+AS565+AU565+AW565+AY565+BA565</f>
        <v>73467716</v>
      </c>
      <c r="BD565" s="82">
        <f t="shared" si="1121"/>
        <v>73467716</v>
      </c>
      <c r="BE565" s="83">
        <f t="shared" si="813"/>
        <v>0</v>
      </c>
      <c r="BF565" s="83">
        <f t="shared" si="814"/>
        <v>0</v>
      </c>
      <c r="BG565" s="14" t="str">
        <f ca="1">IFERROR(__xludf.DUMMYFUNCTION("REGEXEXTRACT(O559,""^\S+\s(.+)$"")"),"Adquirir servicios en la nube para la implementación de un lago de datos institucional que permita la consolidación, integración, centralización, acceso y exposición de la información de la UPME, incluyendo la asociada a electromovilidad.")</f>
        <v>Adquirir servicios en la nube para la implementación de un lago de datos institucional que permita la consolidación, integración, centralización, acceso y exposición de la información de la UPME, incluyendo la asociada a electromovilidad.</v>
      </c>
      <c r="BH565" s="23">
        <v>0</v>
      </c>
      <c r="BI565" s="23">
        <v>0</v>
      </c>
      <c r="BJ565" s="23">
        <v>0</v>
      </c>
      <c r="BK565" s="23">
        <v>0</v>
      </c>
      <c r="BL565" s="23">
        <v>0</v>
      </c>
      <c r="BM565" s="23">
        <v>0</v>
      </c>
      <c r="BN565" s="23">
        <v>0</v>
      </c>
      <c r="BO565" s="23">
        <v>0</v>
      </c>
      <c r="BP565" s="23">
        <v>73467716</v>
      </c>
      <c r="BQ565" s="23">
        <v>0</v>
      </c>
      <c r="BR565" s="23">
        <v>0</v>
      </c>
      <c r="BS565" s="23">
        <v>0</v>
      </c>
      <c r="BT565" s="23">
        <v>0</v>
      </c>
      <c r="BU565" s="23">
        <v>73467716</v>
      </c>
      <c r="BV565" s="23">
        <v>0</v>
      </c>
      <c r="BW565" s="23">
        <v>0</v>
      </c>
      <c r="BX565" s="23">
        <v>0</v>
      </c>
      <c r="BY565" s="23">
        <v>0</v>
      </c>
      <c r="BZ565" s="23">
        <v>0</v>
      </c>
      <c r="CA565" s="23">
        <v>0</v>
      </c>
      <c r="CB565" s="23">
        <v>0</v>
      </c>
      <c r="CC565" s="23">
        <v>0</v>
      </c>
      <c r="CD565" s="23">
        <v>0</v>
      </c>
      <c r="CE565" s="23">
        <v>0</v>
      </c>
      <c r="CF565" s="28"/>
      <c r="CG565" s="28"/>
      <c r="CH565" s="25">
        <f t="shared" ref="CH565:CI565" si="1122">BH565+BJ565+BL565+BN565+BP565+BR565+BT565+BV565+BX565+BZ565+CB565+CD565+CF565</f>
        <v>73467716</v>
      </c>
      <c r="CI565" s="25">
        <f t="shared" si="1122"/>
        <v>73467716</v>
      </c>
      <c r="CJ565" s="26">
        <f t="shared" si="816"/>
        <v>0</v>
      </c>
      <c r="CK565" s="26">
        <f t="shared" si="817"/>
        <v>0</v>
      </c>
    </row>
    <row r="566" spans="1:89" ht="90" customHeight="1" x14ac:dyDescent="0.3">
      <c r="A566" s="13" t="s">
        <v>248</v>
      </c>
      <c r="B566" s="14" t="s">
        <v>37</v>
      </c>
      <c r="C566" s="15" t="s">
        <v>1380</v>
      </c>
      <c r="D566" s="14" t="s">
        <v>64</v>
      </c>
      <c r="E566" s="13" t="s">
        <v>250</v>
      </c>
      <c r="F566" s="13" t="s">
        <v>250</v>
      </c>
      <c r="G566" s="14">
        <v>68</v>
      </c>
      <c r="H566" s="13" t="s">
        <v>1501</v>
      </c>
      <c r="I566" s="15" t="s">
        <v>1459</v>
      </c>
      <c r="J566" s="14" t="s">
        <v>47</v>
      </c>
      <c r="K566" s="15" t="s">
        <v>90</v>
      </c>
      <c r="L566" s="14">
        <v>80111620</v>
      </c>
      <c r="M566" s="14" t="s">
        <v>46</v>
      </c>
      <c r="N566" s="14" t="s">
        <v>253</v>
      </c>
      <c r="O566" s="15" t="s">
        <v>1502</v>
      </c>
      <c r="P566" s="14" t="s">
        <v>255</v>
      </c>
      <c r="Q566" s="14" t="s">
        <v>255</v>
      </c>
      <c r="R566" s="14" t="s">
        <v>255</v>
      </c>
      <c r="S566" s="17">
        <v>6</v>
      </c>
      <c r="T566" s="14" t="s">
        <v>256</v>
      </c>
      <c r="U566" s="14" t="s">
        <v>257</v>
      </c>
      <c r="V566" s="14" t="s">
        <v>113</v>
      </c>
      <c r="W566" s="18">
        <v>27422400</v>
      </c>
      <c r="X566" s="18">
        <v>27422400</v>
      </c>
      <c r="Y566" s="19" t="s">
        <v>339</v>
      </c>
      <c r="Z566" s="19" t="s">
        <v>258</v>
      </c>
      <c r="AA566" s="14" t="s">
        <v>1384</v>
      </c>
      <c r="AB566" s="14" t="s">
        <v>1385</v>
      </c>
      <c r="AC566" s="14">
        <v>6012220601</v>
      </c>
      <c r="AD566" s="14" t="s">
        <v>1134</v>
      </c>
      <c r="AE566" s="82">
        <v>27422400</v>
      </c>
      <c r="AF566" s="82">
        <v>0</v>
      </c>
      <c r="AG566" s="82">
        <v>0</v>
      </c>
      <c r="AH566" s="82">
        <v>422400</v>
      </c>
      <c r="AI566" s="82">
        <v>0</v>
      </c>
      <c r="AJ566" s="82">
        <v>3250000</v>
      </c>
      <c r="AK566" s="82">
        <v>0</v>
      </c>
      <c r="AL566" s="82">
        <v>5000000</v>
      </c>
      <c r="AM566" s="82">
        <v>0</v>
      </c>
      <c r="AN566" s="82">
        <v>5000000</v>
      </c>
      <c r="AO566" s="82">
        <v>0</v>
      </c>
      <c r="AP566" s="82">
        <v>5000000</v>
      </c>
      <c r="AQ566" s="82">
        <v>0</v>
      </c>
      <c r="AR566" s="82">
        <v>5000000</v>
      </c>
      <c r="AS566" s="82">
        <v>0</v>
      </c>
      <c r="AT566" s="82">
        <v>3750000</v>
      </c>
      <c r="AU566" s="82">
        <v>0</v>
      </c>
      <c r="AV566" s="82">
        <v>0</v>
      </c>
      <c r="AW566" s="82">
        <v>0</v>
      </c>
      <c r="AX566" s="82">
        <v>0</v>
      </c>
      <c r="AY566" s="82">
        <v>0</v>
      </c>
      <c r="AZ566" s="82">
        <v>0</v>
      </c>
      <c r="BA566" s="82">
        <v>0</v>
      </c>
      <c r="BB566" s="82">
        <v>0</v>
      </c>
      <c r="BC566" s="82">
        <f t="shared" ref="BC566:BD566" si="1123">AE566+AG566+AI566+AK566+AM566+AO566+AQ566+AS566+AU566+AW566+AY566+BA566</f>
        <v>27422400</v>
      </c>
      <c r="BD566" s="82">
        <f t="shared" si="1123"/>
        <v>27422400</v>
      </c>
      <c r="BE566" s="83">
        <f t="shared" si="813"/>
        <v>0</v>
      </c>
      <c r="BF566" s="83">
        <f t="shared" si="814"/>
        <v>0</v>
      </c>
      <c r="BG566" s="14" t="str">
        <f ca="1">IFERROR(__xludf.DUMMYFUNCTION("REGEXEXTRACT(O560,""^\S+\s(.+)$"")"),"Prestar servicios profesionales para la gestión de las fases contractuales de la entidad, con especial énfasis en los asuntos relativos a la Subdirección de Gestión de la Información, en asocio con el GIT de Gestión Contractual.")</f>
        <v>Prestar servicios profesionales para la gestión de las fases contractuales de la entidad, con especial énfasis en los asuntos relativos a la Subdirección de Gestión de la Información, en asocio con el GIT de Gestión Contractual.</v>
      </c>
      <c r="BH566" s="23">
        <v>27422400</v>
      </c>
      <c r="BI566" s="23"/>
      <c r="BJ566" s="23"/>
      <c r="BK566" s="23">
        <v>422400</v>
      </c>
      <c r="BL566" s="23"/>
      <c r="BM566" s="23">
        <v>3250000</v>
      </c>
      <c r="BN566" s="23"/>
      <c r="BO566" s="23">
        <v>5000000</v>
      </c>
      <c r="BP566" s="23"/>
      <c r="BQ566" s="23">
        <v>5000000</v>
      </c>
      <c r="BR566" s="23"/>
      <c r="BS566" s="23">
        <v>5000000</v>
      </c>
      <c r="BT566" s="23"/>
      <c r="BU566" s="23">
        <v>5000000</v>
      </c>
      <c r="BV566" s="23"/>
      <c r="BW566" s="23">
        <v>3750000</v>
      </c>
      <c r="BX566" s="23"/>
      <c r="BY566" s="23"/>
      <c r="BZ566" s="23"/>
      <c r="CA566" s="23"/>
      <c r="CB566" s="23"/>
      <c r="CC566" s="23"/>
      <c r="CD566" s="23"/>
      <c r="CE566" s="23"/>
      <c r="CF566" s="28"/>
      <c r="CG566" s="28"/>
      <c r="CH566" s="25">
        <f t="shared" ref="CH566:CI566" si="1124">BH566+BJ566+BL566+BN566+BP566+BR566+BT566+BV566+BX566+BZ566+CB566+CD566+CF566</f>
        <v>27422400</v>
      </c>
      <c r="CI566" s="25">
        <f t="shared" si="1124"/>
        <v>27422400</v>
      </c>
      <c r="CJ566" s="26">
        <f t="shared" si="816"/>
        <v>0</v>
      </c>
      <c r="CK566" s="26">
        <f t="shared" si="817"/>
        <v>0</v>
      </c>
    </row>
    <row r="567" spans="1:89" ht="90" customHeight="1" x14ac:dyDescent="0.3">
      <c r="A567" s="13" t="s">
        <v>248</v>
      </c>
      <c r="B567" s="14" t="s">
        <v>37</v>
      </c>
      <c r="C567" s="15" t="s">
        <v>1380</v>
      </c>
      <c r="D567" s="14" t="s">
        <v>64</v>
      </c>
      <c r="E567" s="13" t="s">
        <v>250</v>
      </c>
      <c r="F567" s="13" t="s">
        <v>250</v>
      </c>
      <c r="G567" s="14">
        <v>68</v>
      </c>
      <c r="H567" s="13" t="s">
        <v>1503</v>
      </c>
      <c r="I567" s="15" t="s">
        <v>1459</v>
      </c>
      <c r="J567" s="14" t="s">
        <v>47</v>
      </c>
      <c r="K567" s="15" t="s">
        <v>90</v>
      </c>
      <c r="L567" s="14">
        <v>80111620</v>
      </c>
      <c r="M567" s="14" t="s">
        <v>46</v>
      </c>
      <c r="N567" s="14" t="s">
        <v>253</v>
      </c>
      <c r="O567" s="15" t="s">
        <v>1504</v>
      </c>
      <c r="P567" s="14" t="s">
        <v>255</v>
      </c>
      <c r="Q567" s="14" t="s">
        <v>255</v>
      </c>
      <c r="R567" s="14" t="s">
        <v>255</v>
      </c>
      <c r="S567" s="17">
        <v>11.5</v>
      </c>
      <c r="T567" s="14" t="s">
        <v>256</v>
      </c>
      <c r="U567" s="14" t="s">
        <v>257</v>
      </c>
      <c r="V567" s="14" t="s">
        <v>113</v>
      </c>
      <c r="W567" s="18">
        <v>77357740</v>
      </c>
      <c r="X567" s="18">
        <v>77357740</v>
      </c>
      <c r="Y567" s="19" t="s">
        <v>339</v>
      </c>
      <c r="Z567" s="19" t="s">
        <v>258</v>
      </c>
      <c r="AA567" s="14" t="s">
        <v>1384</v>
      </c>
      <c r="AB567" s="14" t="s">
        <v>1385</v>
      </c>
      <c r="AC567" s="14">
        <v>6012220601</v>
      </c>
      <c r="AD567" s="14" t="s">
        <v>1134</v>
      </c>
      <c r="AE567" s="82">
        <v>77357740</v>
      </c>
      <c r="AF567" s="82">
        <v>0</v>
      </c>
      <c r="AG567" s="82">
        <v>0</v>
      </c>
      <c r="AH567" s="82">
        <v>3363380</v>
      </c>
      <c r="AI567" s="82">
        <v>0</v>
      </c>
      <c r="AJ567" s="82">
        <v>6726760</v>
      </c>
      <c r="AK567" s="82">
        <v>0</v>
      </c>
      <c r="AL567" s="82">
        <v>6726760</v>
      </c>
      <c r="AM567" s="82">
        <v>0</v>
      </c>
      <c r="AN567" s="82">
        <v>6726760</v>
      </c>
      <c r="AO567" s="82">
        <v>0</v>
      </c>
      <c r="AP567" s="82">
        <v>6726760</v>
      </c>
      <c r="AQ567" s="82">
        <v>0</v>
      </c>
      <c r="AR567" s="82">
        <v>6726760</v>
      </c>
      <c r="AS567" s="82">
        <v>0</v>
      </c>
      <c r="AT567" s="82">
        <v>6726760</v>
      </c>
      <c r="AU567" s="82">
        <v>0</v>
      </c>
      <c r="AV567" s="82">
        <v>6726760</v>
      </c>
      <c r="AW567" s="82">
        <v>0</v>
      </c>
      <c r="AX567" s="82">
        <v>6726760</v>
      </c>
      <c r="AY567" s="82">
        <v>0</v>
      </c>
      <c r="AZ567" s="82">
        <v>6726760</v>
      </c>
      <c r="BA567" s="82">
        <v>0</v>
      </c>
      <c r="BB567" s="82">
        <v>13453520</v>
      </c>
      <c r="BC567" s="82">
        <f t="shared" ref="BC567:BD567" si="1125">AE567+AG567+AI567+AK567+AM567+AO567+AQ567+AS567+AU567+AW567+AY567+BA567</f>
        <v>77357740</v>
      </c>
      <c r="BD567" s="82">
        <f t="shared" si="1125"/>
        <v>77357740</v>
      </c>
      <c r="BE567" s="83">
        <f t="shared" si="813"/>
        <v>0</v>
      </c>
      <c r="BF567" s="83">
        <f t="shared" si="814"/>
        <v>0</v>
      </c>
      <c r="BG567" s="14" t="str">
        <f ca="1">IFERROR(__xludf.DUMMYFUNCTION("REGEXEXTRACT(O561,""^\S+\s(.+)$"")"),"Prestación de servicios profesionales para la gestión contractual de la entidad garantizando el cumplimiento de las disposiciones legales e institucionales.")</f>
        <v>Prestación de servicios profesionales para la gestión contractual de la entidad garantizando el cumplimiento de las disposiciones legales e institucionales.</v>
      </c>
      <c r="BH567" s="23">
        <v>77357740</v>
      </c>
      <c r="BI567" s="23"/>
      <c r="BJ567" s="23"/>
      <c r="BK567" s="23">
        <v>3363380</v>
      </c>
      <c r="BL567" s="23"/>
      <c r="BM567" s="23">
        <v>6726760</v>
      </c>
      <c r="BN567" s="23"/>
      <c r="BO567" s="23">
        <v>6726760</v>
      </c>
      <c r="BP567" s="23"/>
      <c r="BQ567" s="23">
        <v>6726760</v>
      </c>
      <c r="BR567" s="23"/>
      <c r="BS567" s="23">
        <v>6726760</v>
      </c>
      <c r="BT567" s="23"/>
      <c r="BU567" s="23">
        <v>6726760</v>
      </c>
      <c r="BV567" s="23"/>
      <c r="BW567" s="23">
        <v>6726760</v>
      </c>
      <c r="BX567" s="23"/>
      <c r="BY567" s="23">
        <v>6726760</v>
      </c>
      <c r="BZ567" s="23"/>
      <c r="CA567" s="23">
        <v>6726760</v>
      </c>
      <c r="CB567" s="23"/>
      <c r="CC567" s="23">
        <v>6726760</v>
      </c>
      <c r="CD567" s="23"/>
      <c r="CE567" s="23">
        <v>13453520</v>
      </c>
      <c r="CF567" s="28"/>
      <c r="CG567" s="28"/>
      <c r="CH567" s="25">
        <f t="shared" ref="CH567:CI567" si="1126">BH567+BJ567+BL567+BN567+BP567+BR567+BT567+BV567+BX567+BZ567+CB567+CD567+CF567</f>
        <v>77357740</v>
      </c>
      <c r="CI567" s="25">
        <f t="shared" si="1126"/>
        <v>77357740</v>
      </c>
      <c r="CJ567" s="26">
        <f t="shared" si="816"/>
        <v>0</v>
      </c>
      <c r="CK567" s="26">
        <f t="shared" si="817"/>
        <v>0</v>
      </c>
    </row>
    <row r="568" spans="1:89" ht="90" customHeight="1" x14ac:dyDescent="0.3">
      <c r="A568" s="13" t="s">
        <v>248</v>
      </c>
      <c r="B568" s="14" t="s">
        <v>37</v>
      </c>
      <c r="C568" s="15" t="s">
        <v>1380</v>
      </c>
      <c r="D568" s="14" t="s">
        <v>64</v>
      </c>
      <c r="E568" s="13" t="s">
        <v>250</v>
      </c>
      <c r="F568" s="13" t="s">
        <v>250</v>
      </c>
      <c r="G568" s="14">
        <v>7</v>
      </c>
      <c r="H568" s="13" t="s">
        <v>1505</v>
      </c>
      <c r="I568" s="15" t="s">
        <v>1459</v>
      </c>
      <c r="J568" s="14" t="s">
        <v>41</v>
      </c>
      <c r="K568" s="15" t="s">
        <v>88</v>
      </c>
      <c r="L568" s="14">
        <v>80111620</v>
      </c>
      <c r="M568" s="14" t="s">
        <v>42</v>
      </c>
      <c r="N568" s="14" t="s">
        <v>253</v>
      </c>
      <c r="O568" s="15" t="s">
        <v>1506</v>
      </c>
      <c r="P568" s="14" t="s">
        <v>255</v>
      </c>
      <c r="Q568" s="14" t="s">
        <v>255</v>
      </c>
      <c r="R568" s="14" t="s">
        <v>255</v>
      </c>
      <c r="S568" s="17">
        <v>11</v>
      </c>
      <c r="T568" s="14" t="s">
        <v>256</v>
      </c>
      <c r="U568" s="14" t="s">
        <v>257</v>
      </c>
      <c r="V568" s="14" t="s">
        <v>113</v>
      </c>
      <c r="W568" s="18">
        <v>88000000</v>
      </c>
      <c r="X568" s="18">
        <v>88000000</v>
      </c>
      <c r="Y568" s="19" t="s">
        <v>339</v>
      </c>
      <c r="Z568" s="19" t="s">
        <v>258</v>
      </c>
      <c r="AA568" s="14" t="s">
        <v>1384</v>
      </c>
      <c r="AB568" s="14" t="s">
        <v>1385</v>
      </c>
      <c r="AC568" s="14">
        <v>6012220601</v>
      </c>
      <c r="AD568" s="14" t="s">
        <v>1134</v>
      </c>
      <c r="AE568" s="82">
        <v>0</v>
      </c>
      <c r="AF568" s="82">
        <v>0</v>
      </c>
      <c r="AG568" s="82">
        <v>88000000</v>
      </c>
      <c r="AH568" s="82">
        <v>0</v>
      </c>
      <c r="AI568" s="82">
        <v>0</v>
      </c>
      <c r="AJ568" s="82">
        <v>8000000</v>
      </c>
      <c r="AK568" s="82">
        <v>0</v>
      </c>
      <c r="AL568" s="82">
        <v>8000000</v>
      </c>
      <c r="AM568" s="82">
        <v>0</v>
      </c>
      <c r="AN568" s="82">
        <v>8000000</v>
      </c>
      <c r="AO568" s="82">
        <v>0</v>
      </c>
      <c r="AP568" s="82">
        <v>8000000</v>
      </c>
      <c r="AQ568" s="82">
        <v>0</v>
      </c>
      <c r="AR568" s="82">
        <v>8000000</v>
      </c>
      <c r="AS568" s="82">
        <v>0</v>
      </c>
      <c r="AT568" s="82">
        <v>8000000</v>
      </c>
      <c r="AU568" s="82">
        <v>0</v>
      </c>
      <c r="AV568" s="82">
        <v>8000000</v>
      </c>
      <c r="AW568" s="82">
        <v>0</v>
      </c>
      <c r="AX568" s="82">
        <v>8000000</v>
      </c>
      <c r="AY568" s="82">
        <v>0</v>
      </c>
      <c r="AZ568" s="82">
        <v>8000000</v>
      </c>
      <c r="BA568" s="82">
        <v>0</v>
      </c>
      <c r="BB568" s="82">
        <v>16000000</v>
      </c>
      <c r="BC568" s="82">
        <f t="shared" ref="BC568:BD568" si="1127">AE568+AG568+AI568+AK568+AM568+AO568+AQ568+AS568+AU568+AW568+AY568+BA568</f>
        <v>88000000</v>
      </c>
      <c r="BD568" s="82">
        <f t="shared" si="1127"/>
        <v>88000000</v>
      </c>
      <c r="BE568" s="83">
        <f t="shared" si="813"/>
        <v>0</v>
      </c>
      <c r="BF568" s="83">
        <f t="shared" si="814"/>
        <v>0</v>
      </c>
      <c r="BG568" s="14" t="str">
        <f ca="1">IFERROR(__xludf.DUMMYFUNCTION("REGEXEXTRACT(O562,""^\S+\s(.+)$"")"),"Prestación de servicios profesionales en marketing para la gestión administrativa integral del equipo de comunicaciones de la UPME, asegurando la operatividad, trazabilidad y calidad de sus procesos internos y acciones de comunicación, en cumplimiento de "&amp;"los lineamientos institucionales.")</f>
        <v>Prestación de servicios profesionales en marketing para la gestión administrativa integral del equipo de comunicaciones de la UPME, asegurando la operatividad, trazabilidad y calidad de sus procesos internos y acciones de comunicación, en cumplimiento de los lineamientos institucionales.</v>
      </c>
      <c r="BH568" s="23"/>
      <c r="BI568" s="23"/>
      <c r="BJ568" s="23">
        <v>88000000</v>
      </c>
      <c r="BK568" s="23"/>
      <c r="BL568" s="23"/>
      <c r="BM568" s="23">
        <v>8000000</v>
      </c>
      <c r="BN568" s="23"/>
      <c r="BO568" s="23">
        <v>8000000</v>
      </c>
      <c r="BP568" s="23"/>
      <c r="BQ568" s="23">
        <v>8000000</v>
      </c>
      <c r="BR568" s="23"/>
      <c r="BS568" s="23">
        <v>8000000</v>
      </c>
      <c r="BT568" s="23"/>
      <c r="BU568" s="23">
        <v>8000000</v>
      </c>
      <c r="BV568" s="23"/>
      <c r="BW568" s="23">
        <v>8000000</v>
      </c>
      <c r="BX568" s="23"/>
      <c r="BY568" s="23">
        <v>8000000</v>
      </c>
      <c r="BZ568" s="23"/>
      <c r="CA568" s="23">
        <v>8000000</v>
      </c>
      <c r="CB568" s="23"/>
      <c r="CC568" s="23">
        <v>8000000</v>
      </c>
      <c r="CD568" s="23"/>
      <c r="CE568" s="23">
        <v>16000000</v>
      </c>
      <c r="CF568" s="28"/>
      <c r="CG568" s="28"/>
      <c r="CH568" s="25">
        <f t="shared" ref="CH568:CI568" si="1128">BH568+BJ568+BL568+BN568+BP568+BR568+BT568+BV568+BX568+BZ568+CB568+CD568+CF568</f>
        <v>88000000</v>
      </c>
      <c r="CI568" s="25">
        <f t="shared" si="1128"/>
        <v>88000000</v>
      </c>
      <c r="CJ568" s="26">
        <f t="shared" si="816"/>
        <v>0</v>
      </c>
      <c r="CK568" s="26">
        <f t="shared" si="817"/>
        <v>0</v>
      </c>
    </row>
    <row r="569" spans="1:89" ht="90" customHeight="1" x14ac:dyDescent="0.3">
      <c r="A569" s="13" t="s">
        <v>248</v>
      </c>
      <c r="B569" s="14" t="s">
        <v>37</v>
      </c>
      <c r="C569" s="15" t="s">
        <v>1380</v>
      </c>
      <c r="D569" s="14" t="s">
        <v>64</v>
      </c>
      <c r="E569" s="13" t="s">
        <v>250</v>
      </c>
      <c r="F569" s="13" t="s">
        <v>250</v>
      </c>
      <c r="G569" s="14">
        <v>6</v>
      </c>
      <c r="H569" s="13" t="s">
        <v>1507</v>
      </c>
      <c r="I569" s="15" t="s">
        <v>1459</v>
      </c>
      <c r="J569" s="14" t="s">
        <v>41</v>
      </c>
      <c r="K569" s="15" t="s">
        <v>88</v>
      </c>
      <c r="L569" s="14">
        <v>80111620</v>
      </c>
      <c r="M569" s="14" t="s">
        <v>42</v>
      </c>
      <c r="N569" s="14" t="s">
        <v>253</v>
      </c>
      <c r="O569" s="15" t="s">
        <v>1508</v>
      </c>
      <c r="P569" s="14" t="s">
        <v>255</v>
      </c>
      <c r="Q569" s="14" t="s">
        <v>255</v>
      </c>
      <c r="R569" s="14" t="s">
        <v>255</v>
      </c>
      <c r="S569" s="17">
        <v>11</v>
      </c>
      <c r="T569" s="14" t="s">
        <v>256</v>
      </c>
      <c r="U569" s="14" t="s">
        <v>257</v>
      </c>
      <c r="V569" s="14" t="s">
        <v>113</v>
      </c>
      <c r="W569" s="18">
        <v>61486200</v>
      </c>
      <c r="X569" s="18">
        <v>61486200</v>
      </c>
      <c r="Y569" s="19" t="s">
        <v>339</v>
      </c>
      <c r="Z569" s="19" t="s">
        <v>258</v>
      </c>
      <c r="AA569" s="14" t="s">
        <v>1384</v>
      </c>
      <c r="AB569" s="14" t="s">
        <v>1385</v>
      </c>
      <c r="AC569" s="14">
        <v>6012220601</v>
      </c>
      <c r="AD569" s="14" t="s">
        <v>1134</v>
      </c>
      <c r="AE569" s="82">
        <v>0</v>
      </c>
      <c r="AF569" s="82">
        <v>0</v>
      </c>
      <c r="AG569" s="82">
        <v>51083333</v>
      </c>
      <c r="AH569" s="82">
        <v>0</v>
      </c>
      <c r="AI569" s="82">
        <v>0</v>
      </c>
      <c r="AJ569" s="82">
        <v>0</v>
      </c>
      <c r="AK569" s="82">
        <v>0</v>
      </c>
      <c r="AL569" s="82">
        <v>0</v>
      </c>
      <c r="AM569" s="82">
        <v>0</v>
      </c>
      <c r="AN569" s="82">
        <v>0</v>
      </c>
      <c r="AO569" s="82">
        <v>0</v>
      </c>
      <c r="AP569" s="82">
        <v>0</v>
      </c>
      <c r="AQ569" s="82">
        <v>0</v>
      </c>
      <c r="AR569" s="82">
        <v>0</v>
      </c>
      <c r="AS569" s="82">
        <v>10402867</v>
      </c>
      <c r="AT569" s="82">
        <v>2000000</v>
      </c>
      <c r="AU569" s="82">
        <v>0</v>
      </c>
      <c r="AV569" s="82">
        <v>9500000</v>
      </c>
      <c r="AW569" s="82">
        <v>0</v>
      </c>
      <c r="AX569" s="82">
        <v>9500000</v>
      </c>
      <c r="AY569" s="82">
        <v>0</v>
      </c>
      <c r="AZ569" s="82">
        <v>9500000</v>
      </c>
      <c r="BA569" s="82">
        <v>0</v>
      </c>
      <c r="BB569" s="82">
        <v>30986200</v>
      </c>
      <c r="BC569" s="82">
        <f t="shared" ref="BC569:BD569" si="1129">AE569+AG569+AI569+AK569+AM569+AO569+AQ569+AS569+AU569+AW569+AY569+BA569</f>
        <v>61486200</v>
      </c>
      <c r="BD569" s="82">
        <f t="shared" si="1129"/>
        <v>61486200</v>
      </c>
      <c r="BE569" s="83">
        <f t="shared" si="813"/>
        <v>0</v>
      </c>
      <c r="BF569" s="83">
        <f t="shared" si="814"/>
        <v>0</v>
      </c>
      <c r="BG569" s="14" t="str">
        <f ca="1">IFERROR(__xludf.DUMMYFUNCTION("REGEXEXTRACT(O563,""^\S+\s(.+)$"")"),"Prestación de servicios profesionales para la recopilación, análisis, depuración y reporte de datos y planes minerenergéticos, con especial énfasis en variables hidrocarburíferas a nivel nacional e internacional.")</f>
        <v>Prestación de servicios profesionales para la recopilación, análisis, depuración y reporte de datos y planes minerenergéticos, con especial énfasis en variables hidrocarburíferas a nivel nacional e internacional.</v>
      </c>
      <c r="BH569" s="23"/>
      <c r="BI569" s="23"/>
      <c r="BJ569" s="23">
        <v>51083333</v>
      </c>
      <c r="BK569" s="23"/>
      <c r="BL569" s="23"/>
      <c r="BM569" s="23"/>
      <c r="BN569" s="23"/>
      <c r="BO569" s="23"/>
      <c r="BP569" s="23"/>
      <c r="BQ569" s="23"/>
      <c r="BR569" s="23"/>
      <c r="BS569" s="23"/>
      <c r="BT569" s="23"/>
      <c r="BU569" s="23"/>
      <c r="BV569" s="23">
        <v>10402867</v>
      </c>
      <c r="BW569" s="23">
        <v>2000000</v>
      </c>
      <c r="BX569" s="23"/>
      <c r="BY569" s="23">
        <v>9500000</v>
      </c>
      <c r="BZ569" s="23"/>
      <c r="CA569" s="23">
        <v>9500000</v>
      </c>
      <c r="CB569" s="23"/>
      <c r="CC569" s="23">
        <v>9500000</v>
      </c>
      <c r="CD569" s="23"/>
      <c r="CE569" s="23">
        <v>30986200</v>
      </c>
      <c r="CF569" s="28"/>
      <c r="CG569" s="28"/>
      <c r="CH569" s="25">
        <f t="shared" ref="CH569:CI569" si="1130">BH569+BJ569+BL569+BN569+BP569+BR569+BT569+BV569+BX569+BZ569+CB569+CD569+CF569</f>
        <v>61486200</v>
      </c>
      <c r="CI569" s="25">
        <f t="shared" si="1130"/>
        <v>61486200</v>
      </c>
      <c r="CJ569" s="26">
        <f t="shared" si="816"/>
        <v>0</v>
      </c>
      <c r="CK569" s="26">
        <f t="shared" si="817"/>
        <v>0</v>
      </c>
    </row>
    <row r="570" spans="1:89" ht="90" customHeight="1" x14ac:dyDescent="0.3">
      <c r="A570" s="13" t="s">
        <v>248</v>
      </c>
      <c r="B570" s="14" t="s">
        <v>37</v>
      </c>
      <c r="C570" s="15" t="s">
        <v>1380</v>
      </c>
      <c r="D570" s="14" t="s">
        <v>64</v>
      </c>
      <c r="E570" s="13" t="s">
        <v>250</v>
      </c>
      <c r="F570" s="13" t="s">
        <v>250</v>
      </c>
      <c r="G570" s="14">
        <v>68</v>
      </c>
      <c r="H570" s="13" t="s">
        <v>1509</v>
      </c>
      <c r="I570" s="15" t="s">
        <v>1459</v>
      </c>
      <c r="J570" s="14" t="s">
        <v>41</v>
      </c>
      <c r="K570" s="15" t="s">
        <v>88</v>
      </c>
      <c r="L570" s="14">
        <v>80111620</v>
      </c>
      <c r="M570" s="14" t="s">
        <v>42</v>
      </c>
      <c r="N570" s="14" t="s">
        <v>253</v>
      </c>
      <c r="O570" s="15" t="s">
        <v>1510</v>
      </c>
      <c r="P570" s="14" t="s">
        <v>255</v>
      </c>
      <c r="Q570" s="14" t="s">
        <v>255</v>
      </c>
      <c r="R570" s="14" t="s">
        <v>255</v>
      </c>
      <c r="S570" s="17">
        <v>11</v>
      </c>
      <c r="T570" s="14" t="s">
        <v>256</v>
      </c>
      <c r="U570" s="14" t="s">
        <v>257</v>
      </c>
      <c r="V570" s="14" t="s">
        <v>113</v>
      </c>
      <c r="W570" s="18">
        <v>61486200</v>
      </c>
      <c r="X570" s="18">
        <v>61486200</v>
      </c>
      <c r="Y570" s="19" t="s">
        <v>339</v>
      </c>
      <c r="Z570" s="19" t="s">
        <v>258</v>
      </c>
      <c r="AA570" s="14" t="s">
        <v>1384</v>
      </c>
      <c r="AB570" s="14" t="s">
        <v>1385</v>
      </c>
      <c r="AC570" s="14">
        <v>6012220601</v>
      </c>
      <c r="AD570" s="14" t="s">
        <v>1134</v>
      </c>
      <c r="AE570" s="82">
        <v>0</v>
      </c>
      <c r="AF570" s="82">
        <v>0</v>
      </c>
      <c r="AG570" s="82">
        <v>37500000</v>
      </c>
      <c r="AH570" s="82">
        <v>0</v>
      </c>
      <c r="AI570" s="82">
        <v>0</v>
      </c>
      <c r="AJ570" s="82">
        <v>5000000</v>
      </c>
      <c r="AK570" s="82">
        <v>0</v>
      </c>
      <c r="AL570" s="82">
        <v>5000000</v>
      </c>
      <c r="AM570" s="82">
        <v>0</v>
      </c>
      <c r="AN570" s="82">
        <v>5000000</v>
      </c>
      <c r="AO570" s="82">
        <v>0</v>
      </c>
      <c r="AP570" s="82">
        <v>5000000</v>
      </c>
      <c r="AQ570" s="82">
        <v>0</v>
      </c>
      <c r="AR570" s="82">
        <v>5000000</v>
      </c>
      <c r="AS570" s="82">
        <v>23986200</v>
      </c>
      <c r="AT570" s="82">
        <v>5000000</v>
      </c>
      <c r="AU570" s="82">
        <v>0</v>
      </c>
      <c r="AV570" s="82">
        <v>5000000</v>
      </c>
      <c r="AW570" s="82">
        <v>0</v>
      </c>
      <c r="AX570" s="82">
        <v>5000000</v>
      </c>
      <c r="AY570" s="82">
        <v>0</v>
      </c>
      <c r="AZ570" s="82">
        <v>5000000</v>
      </c>
      <c r="BA570" s="82">
        <v>0</v>
      </c>
      <c r="BB570" s="82">
        <v>16486200</v>
      </c>
      <c r="BC570" s="82">
        <f t="shared" ref="BC570:BD570" si="1131">AE570+AG570+AI570+AK570+AM570+AO570+AQ570+AS570+AU570+AW570+AY570+BA570</f>
        <v>61486200</v>
      </c>
      <c r="BD570" s="82">
        <f t="shared" si="1131"/>
        <v>61486200</v>
      </c>
      <c r="BE570" s="83">
        <f t="shared" si="813"/>
        <v>0</v>
      </c>
      <c r="BF570" s="83">
        <f t="shared" si="814"/>
        <v>0</v>
      </c>
      <c r="BG570" s="14" t="str">
        <f ca="1">IFERROR(__xludf.DUMMYFUNCTION("REGEXEXTRACT(O564,""^\S+\s(.+)$"")"),"Prestación de servicios de apoyo a la gestión para la recolección, procesamiento y creación de productos audiovisuales para los diferentes canales de comunicación institucionales.")</f>
        <v>Prestación de servicios de apoyo a la gestión para la recolección, procesamiento y creación de productos audiovisuales para los diferentes canales de comunicación institucionales.</v>
      </c>
      <c r="BH570" s="23"/>
      <c r="BI570" s="23"/>
      <c r="BJ570" s="23">
        <v>37500000</v>
      </c>
      <c r="BK570" s="23"/>
      <c r="BL570" s="23"/>
      <c r="BM570" s="23">
        <v>5000000</v>
      </c>
      <c r="BN570" s="23"/>
      <c r="BO570" s="23">
        <v>5000000</v>
      </c>
      <c r="BP570" s="23"/>
      <c r="BQ570" s="23">
        <v>5000000</v>
      </c>
      <c r="BR570" s="23"/>
      <c r="BS570" s="23">
        <v>5000000</v>
      </c>
      <c r="BT570" s="23"/>
      <c r="BU570" s="23">
        <v>5000000</v>
      </c>
      <c r="BV570" s="23">
        <v>23986200</v>
      </c>
      <c r="BW570" s="23">
        <v>5000000</v>
      </c>
      <c r="BX570" s="23"/>
      <c r="BY570" s="23">
        <v>5000000</v>
      </c>
      <c r="BZ570" s="23"/>
      <c r="CA570" s="23">
        <v>5000000</v>
      </c>
      <c r="CB570" s="23"/>
      <c r="CC570" s="23">
        <v>5000000</v>
      </c>
      <c r="CD570" s="23"/>
      <c r="CE570" s="23">
        <v>16486200</v>
      </c>
      <c r="CF570" s="28"/>
      <c r="CG570" s="28"/>
      <c r="CH570" s="25">
        <f t="shared" ref="CH570:CI570" si="1132">BH570+BJ570+BL570+BN570+BP570+BR570+BT570+BV570+BX570+BZ570+CB570+CD570+CF570</f>
        <v>61486200</v>
      </c>
      <c r="CI570" s="25">
        <f t="shared" si="1132"/>
        <v>61486200</v>
      </c>
      <c r="CJ570" s="26">
        <f t="shared" si="816"/>
        <v>0</v>
      </c>
      <c r="CK570" s="26">
        <f t="shared" si="817"/>
        <v>0</v>
      </c>
    </row>
    <row r="571" spans="1:89" ht="90" customHeight="1" x14ac:dyDescent="0.3">
      <c r="A571" s="13" t="s">
        <v>248</v>
      </c>
      <c r="B571" s="14" t="s">
        <v>37</v>
      </c>
      <c r="C571" s="15" t="s">
        <v>1380</v>
      </c>
      <c r="D571" s="14" t="s">
        <v>64</v>
      </c>
      <c r="E571" s="13" t="s">
        <v>250</v>
      </c>
      <c r="F571" s="13" t="s">
        <v>250</v>
      </c>
      <c r="G571" s="29" t="s">
        <v>335</v>
      </c>
      <c r="H571" s="13" t="s">
        <v>1511</v>
      </c>
      <c r="I571" s="15" t="s">
        <v>1459</v>
      </c>
      <c r="J571" s="14" t="s">
        <v>41</v>
      </c>
      <c r="K571" s="15" t="s">
        <v>88</v>
      </c>
      <c r="L571" s="14">
        <v>78111502</v>
      </c>
      <c r="M571" s="14" t="s">
        <v>42</v>
      </c>
      <c r="N571" s="14" t="s">
        <v>337</v>
      </c>
      <c r="O571" s="15" t="s">
        <v>1512</v>
      </c>
      <c r="P571" s="14" t="s">
        <v>255</v>
      </c>
      <c r="Q571" s="14" t="s">
        <v>255</v>
      </c>
      <c r="R571" s="14" t="s">
        <v>255</v>
      </c>
      <c r="S571" s="17">
        <v>11</v>
      </c>
      <c r="T571" s="14" t="s">
        <v>256</v>
      </c>
      <c r="U571" s="14" t="s">
        <v>286</v>
      </c>
      <c r="V571" s="14" t="s">
        <v>113</v>
      </c>
      <c r="W571" s="18">
        <v>60878356</v>
      </c>
      <c r="X571" s="18">
        <v>60878356</v>
      </c>
      <c r="Y571" s="19" t="s">
        <v>339</v>
      </c>
      <c r="Z571" s="19" t="s">
        <v>258</v>
      </c>
      <c r="AA571" s="14" t="s">
        <v>1384</v>
      </c>
      <c r="AB571" s="14" t="s">
        <v>1385</v>
      </c>
      <c r="AC571" s="14">
        <v>6012220601</v>
      </c>
      <c r="AD571" s="14" t="s">
        <v>1134</v>
      </c>
      <c r="AE571" s="82">
        <v>60878356</v>
      </c>
      <c r="AF571" s="82">
        <v>0</v>
      </c>
      <c r="AG571" s="82">
        <v>0</v>
      </c>
      <c r="AH571" s="82">
        <v>0</v>
      </c>
      <c r="AI571" s="82">
        <v>0</v>
      </c>
      <c r="AJ571" s="82">
        <v>0</v>
      </c>
      <c r="AK571" s="82">
        <v>0</v>
      </c>
      <c r="AL571" s="82">
        <v>0</v>
      </c>
      <c r="AM571" s="82">
        <v>0</v>
      </c>
      <c r="AN571" s="82">
        <v>0</v>
      </c>
      <c r="AO571" s="82">
        <v>0</v>
      </c>
      <c r="AP571" s="82">
        <v>0</v>
      </c>
      <c r="AQ571" s="82">
        <v>0</v>
      </c>
      <c r="AR571" s="82">
        <v>30439178</v>
      </c>
      <c r="AS571" s="82">
        <v>0</v>
      </c>
      <c r="AT571" s="82">
        <v>0</v>
      </c>
      <c r="AU571" s="82">
        <v>0</v>
      </c>
      <c r="AV571" s="82">
        <v>0</v>
      </c>
      <c r="AW571" s="82">
        <v>0</v>
      </c>
      <c r="AX571" s="82">
        <v>0</v>
      </c>
      <c r="AY571" s="82">
        <v>0</v>
      </c>
      <c r="AZ571" s="82">
        <v>0</v>
      </c>
      <c r="BA571" s="82">
        <v>0</v>
      </c>
      <c r="BB571" s="82">
        <v>30439178</v>
      </c>
      <c r="BC571" s="82">
        <f t="shared" ref="BC571:BD571" si="1133">AE571+AG571+AI571+AK571+AM571+AO571+AQ571+AS571+AU571+AW571+AY571+BA571</f>
        <v>60878356</v>
      </c>
      <c r="BD571" s="82">
        <f t="shared" si="1133"/>
        <v>60878356</v>
      </c>
      <c r="BE571" s="83">
        <f t="shared" si="813"/>
        <v>0</v>
      </c>
      <c r="BF571" s="83">
        <f t="shared" si="814"/>
        <v>0</v>
      </c>
      <c r="BG571" s="14" t="str">
        <f ca="1">IFERROR(__xludf.DUMMYFUNCTION("REGEXEXTRACT(O565,""^\S+\s(.+)$"")"),"Adquirir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571" s="23">
        <v>60878356</v>
      </c>
      <c r="BI571" s="23"/>
      <c r="BJ571" s="23"/>
      <c r="BK571" s="23"/>
      <c r="BL571" s="23"/>
      <c r="BM571" s="23"/>
      <c r="BN571" s="23"/>
      <c r="BO571" s="23"/>
      <c r="BP571" s="23"/>
      <c r="BQ571" s="23"/>
      <c r="BR571" s="23"/>
      <c r="BS571" s="23"/>
      <c r="BT571" s="23"/>
      <c r="BU571" s="23">
        <v>30439178</v>
      </c>
      <c r="BV571" s="23"/>
      <c r="BW571" s="23"/>
      <c r="BX571" s="23"/>
      <c r="BY571" s="23"/>
      <c r="BZ571" s="23"/>
      <c r="CA571" s="23"/>
      <c r="CB571" s="23"/>
      <c r="CC571" s="23"/>
      <c r="CD571" s="23"/>
      <c r="CE571" s="23">
        <v>30439178</v>
      </c>
      <c r="CF571" s="28"/>
      <c r="CG571" s="28"/>
      <c r="CH571" s="25">
        <f t="shared" ref="CH571:CI571" si="1134">BH571+BJ571+BL571+BN571+BP571+BR571+BT571+BV571+BX571+BZ571+CB571+CD571+CF571</f>
        <v>60878356</v>
      </c>
      <c r="CI571" s="25">
        <f t="shared" si="1134"/>
        <v>60878356</v>
      </c>
      <c r="CJ571" s="26">
        <f t="shared" si="816"/>
        <v>0</v>
      </c>
      <c r="CK571" s="26">
        <f t="shared" si="817"/>
        <v>0</v>
      </c>
    </row>
    <row r="572" spans="1:89" ht="90" customHeight="1" x14ac:dyDescent="0.3">
      <c r="A572" s="13" t="s">
        <v>248</v>
      </c>
      <c r="B572" s="14" t="s">
        <v>37</v>
      </c>
      <c r="C572" s="15" t="s">
        <v>1380</v>
      </c>
      <c r="D572" s="14" t="s">
        <v>64</v>
      </c>
      <c r="E572" s="13" t="s">
        <v>339</v>
      </c>
      <c r="F572" s="13" t="s">
        <v>250</v>
      </c>
      <c r="G572" s="14">
        <v>68</v>
      </c>
      <c r="H572" s="13" t="s">
        <v>1513</v>
      </c>
      <c r="I572" s="15" t="s">
        <v>1459</v>
      </c>
      <c r="J572" s="14" t="s">
        <v>41</v>
      </c>
      <c r="K572" s="15" t="s">
        <v>88</v>
      </c>
      <c r="L572" s="14" t="s">
        <v>258</v>
      </c>
      <c r="M572" s="14" t="s">
        <v>42</v>
      </c>
      <c r="N572" s="14" t="s">
        <v>341</v>
      </c>
      <c r="O572" s="15" t="s">
        <v>1514</v>
      </c>
      <c r="P572" s="14" t="s">
        <v>258</v>
      </c>
      <c r="Q572" s="14" t="s">
        <v>258</v>
      </c>
      <c r="R572" s="14" t="s">
        <v>258</v>
      </c>
      <c r="S572" s="17" t="s">
        <v>258</v>
      </c>
      <c r="T572" s="14" t="s">
        <v>258</v>
      </c>
      <c r="U572" s="14" t="s">
        <v>258</v>
      </c>
      <c r="V572" s="14" t="s">
        <v>113</v>
      </c>
      <c r="W572" s="18">
        <v>31441840</v>
      </c>
      <c r="X572" s="18">
        <v>31441840</v>
      </c>
      <c r="Y572" s="19" t="s">
        <v>339</v>
      </c>
      <c r="Z572" s="19" t="s">
        <v>258</v>
      </c>
      <c r="AA572" s="14" t="s">
        <v>1384</v>
      </c>
      <c r="AB572" s="14" t="s">
        <v>1385</v>
      </c>
      <c r="AC572" s="14">
        <v>6012220601</v>
      </c>
      <c r="AD572" s="14" t="s">
        <v>1134</v>
      </c>
      <c r="AE572" s="82">
        <v>0</v>
      </c>
      <c r="AF572" s="82">
        <v>0</v>
      </c>
      <c r="AG572" s="82">
        <v>0</v>
      </c>
      <c r="AH572" s="82">
        <v>0</v>
      </c>
      <c r="AI572" s="82">
        <v>3144184</v>
      </c>
      <c r="AJ572" s="82">
        <v>3144184</v>
      </c>
      <c r="AK572" s="82">
        <v>3144184</v>
      </c>
      <c r="AL572" s="82">
        <v>3144184</v>
      </c>
      <c r="AM572" s="82">
        <v>3144184</v>
      </c>
      <c r="AN572" s="82">
        <v>3144184</v>
      </c>
      <c r="AO572" s="82">
        <v>3144184</v>
      </c>
      <c r="AP572" s="82">
        <v>3144184</v>
      </c>
      <c r="AQ572" s="82">
        <v>3144184</v>
      </c>
      <c r="AR572" s="82">
        <v>3144184</v>
      </c>
      <c r="AS572" s="82">
        <v>3144184</v>
      </c>
      <c r="AT572" s="82">
        <v>3144184</v>
      </c>
      <c r="AU572" s="82">
        <v>3144184</v>
      </c>
      <c r="AV572" s="82">
        <v>3144184</v>
      </c>
      <c r="AW572" s="82">
        <v>3144184</v>
      </c>
      <c r="AX572" s="82">
        <v>3144184</v>
      </c>
      <c r="AY572" s="82">
        <v>3144184</v>
      </c>
      <c r="AZ572" s="82">
        <v>3144184</v>
      </c>
      <c r="BA572" s="82">
        <v>3144184</v>
      </c>
      <c r="BB572" s="82">
        <v>3144184</v>
      </c>
      <c r="BC572" s="82">
        <f t="shared" ref="BC572:BD572" si="1135">AE572+AG572+AI572+AK572+AM572+AO572+AQ572+AS572+AU572+AW572+AY572+BA572</f>
        <v>31441840</v>
      </c>
      <c r="BD572" s="82">
        <f t="shared" si="1135"/>
        <v>31441840</v>
      </c>
      <c r="BE572" s="83">
        <f t="shared" si="813"/>
        <v>0</v>
      </c>
      <c r="BF572" s="83">
        <f t="shared" si="814"/>
        <v>0</v>
      </c>
      <c r="BG572" s="14" t="str">
        <f ca="1">IFERROR(__xludf.DUMMYFUNCTION("REGEXEXTRACT(O566,""^\S+\s(.+)$"")"),"Viáticos o gastos de desplazamiento")</f>
        <v>Viáticos o gastos de desplazamiento</v>
      </c>
      <c r="BH572" s="23"/>
      <c r="BI572" s="23"/>
      <c r="BJ572" s="23"/>
      <c r="BK572" s="23"/>
      <c r="BL572" s="23">
        <v>3144184</v>
      </c>
      <c r="BM572" s="23">
        <v>3144184</v>
      </c>
      <c r="BN572" s="23">
        <v>3144184</v>
      </c>
      <c r="BO572" s="23">
        <v>3144184</v>
      </c>
      <c r="BP572" s="23">
        <v>3144184</v>
      </c>
      <c r="BQ572" s="23">
        <v>3144184</v>
      </c>
      <c r="BR572" s="23">
        <v>3144184</v>
      </c>
      <c r="BS572" s="23">
        <v>3144184</v>
      </c>
      <c r="BT572" s="23">
        <v>3144184</v>
      </c>
      <c r="BU572" s="23">
        <v>3144184</v>
      </c>
      <c r="BV572" s="23">
        <v>3144184</v>
      </c>
      <c r="BW572" s="23">
        <v>3144184</v>
      </c>
      <c r="BX572" s="23">
        <v>3144184</v>
      </c>
      <c r="BY572" s="23">
        <v>3144184</v>
      </c>
      <c r="BZ572" s="23">
        <v>3144184</v>
      </c>
      <c r="CA572" s="23">
        <v>3144184</v>
      </c>
      <c r="CB572" s="23">
        <v>3144184</v>
      </c>
      <c r="CC572" s="23">
        <v>3144184</v>
      </c>
      <c r="CD572" s="23">
        <v>3144184</v>
      </c>
      <c r="CE572" s="23">
        <v>3144184</v>
      </c>
      <c r="CF572" s="28"/>
      <c r="CG572" s="28"/>
      <c r="CH572" s="25">
        <f t="shared" ref="CH572:CI572" si="1136">BH572+BJ572+BL572+BN572+BP572+BR572+BT572+BV572+BX572+BZ572+CB572+CD572+CF572</f>
        <v>31441840</v>
      </c>
      <c r="CI572" s="25">
        <f t="shared" si="1136"/>
        <v>31441840</v>
      </c>
      <c r="CJ572" s="26">
        <f t="shared" si="816"/>
        <v>0</v>
      </c>
      <c r="CK572" s="26">
        <f t="shared" si="817"/>
        <v>0</v>
      </c>
    </row>
    <row r="573" spans="1:89" ht="90" customHeight="1" x14ac:dyDescent="0.3">
      <c r="A573" s="13" t="s">
        <v>248</v>
      </c>
      <c r="B573" s="14" t="s">
        <v>37</v>
      </c>
      <c r="C573" s="15" t="s">
        <v>1380</v>
      </c>
      <c r="D573" s="14" t="s">
        <v>64</v>
      </c>
      <c r="E573" s="13" t="s">
        <v>250</v>
      </c>
      <c r="F573" s="13" t="s">
        <v>250</v>
      </c>
      <c r="G573" s="29" t="s">
        <v>1515</v>
      </c>
      <c r="H573" s="13" t="s">
        <v>1516</v>
      </c>
      <c r="I573" s="15" t="s">
        <v>1459</v>
      </c>
      <c r="J573" s="14" t="s">
        <v>41</v>
      </c>
      <c r="K573" s="15" t="s">
        <v>88</v>
      </c>
      <c r="L573" s="14">
        <v>80141607</v>
      </c>
      <c r="M573" s="14" t="s">
        <v>42</v>
      </c>
      <c r="N573" s="14" t="s">
        <v>284</v>
      </c>
      <c r="O573" s="15" t="s">
        <v>1517</v>
      </c>
      <c r="P573" s="14" t="s">
        <v>255</v>
      </c>
      <c r="Q573" s="14" t="s">
        <v>255</v>
      </c>
      <c r="R573" s="14" t="s">
        <v>255</v>
      </c>
      <c r="S573" s="17">
        <v>11</v>
      </c>
      <c r="T573" s="14" t="s">
        <v>256</v>
      </c>
      <c r="U573" s="14" t="s">
        <v>286</v>
      </c>
      <c r="V573" s="14" t="s">
        <v>113</v>
      </c>
      <c r="W573" s="18">
        <v>40000000</v>
      </c>
      <c r="X573" s="18">
        <v>40000000</v>
      </c>
      <c r="Y573" s="19" t="s">
        <v>339</v>
      </c>
      <c r="Z573" s="19" t="s">
        <v>258</v>
      </c>
      <c r="AA573" s="14" t="s">
        <v>1384</v>
      </c>
      <c r="AB573" s="14" t="s">
        <v>1385</v>
      </c>
      <c r="AC573" s="14">
        <v>6012220601</v>
      </c>
      <c r="AD573" s="14" t="s">
        <v>1134</v>
      </c>
      <c r="AE573" s="82">
        <v>40000000</v>
      </c>
      <c r="AF573" s="82">
        <v>0</v>
      </c>
      <c r="AG573" s="82">
        <v>0</v>
      </c>
      <c r="AH573" s="82">
        <v>0</v>
      </c>
      <c r="AI573" s="82">
        <v>0</v>
      </c>
      <c r="AJ573" s="82">
        <v>0</v>
      </c>
      <c r="AK573" s="82">
        <v>0</v>
      </c>
      <c r="AL573" s="82">
        <v>0</v>
      </c>
      <c r="AM573" s="82">
        <v>0</v>
      </c>
      <c r="AN573" s="82">
        <v>0</v>
      </c>
      <c r="AO573" s="82">
        <v>0</v>
      </c>
      <c r="AP573" s="82">
        <v>0</v>
      </c>
      <c r="AQ573" s="82">
        <v>0</v>
      </c>
      <c r="AR573" s="82">
        <v>0</v>
      </c>
      <c r="AS573" s="82">
        <v>0</v>
      </c>
      <c r="AT573" s="82">
        <v>0</v>
      </c>
      <c r="AU573" s="82">
        <v>0</v>
      </c>
      <c r="AV573" s="82">
        <v>0</v>
      </c>
      <c r="AW573" s="82">
        <v>0</v>
      </c>
      <c r="AX573" s="82">
        <v>0</v>
      </c>
      <c r="AY573" s="82">
        <v>0</v>
      </c>
      <c r="AZ573" s="82">
        <v>0</v>
      </c>
      <c r="BA573" s="82">
        <v>0</v>
      </c>
      <c r="BB573" s="82">
        <v>40000000</v>
      </c>
      <c r="BC573" s="82">
        <f t="shared" ref="BC573:BD573" si="1137">AE573+AG573+AI573+AK573+AM573+AO573+AQ573+AS573+AU573+AW573+AY573+BA573</f>
        <v>40000000</v>
      </c>
      <c r="BD573" s="82">
        <f t="shared" si="1137"/>
        <v>40000000</v>
      </c>
      <c r="BE573" s="83">
        <f t="shared" si="813"/>
        <v>0</v>
      </c>
      <c r="BF573" s="83">
        <f t="shared" si="814"/>
        <v>0</v>
      </c>
      <c r="BG573" s="14" t="str">
        <f ca="1">IFERROR(__xludf.DUMMYFUNCTION("REGEXEXTRACT(O567,""^\S+\s(.+)$"")"),"Prestación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573" s="23">
        <v>40000000</v>
      </c>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v>40000000</v>
      </c>
      <c r="CF573" s="28"/>
      <c r="CG573" s="28"/>
      <c r="CH573" s="25">
        <f t="shared" ref="CH573:CI573" si="1138">BH573+BJ573+BL573+BN573+BP573+BR573+BT573+BV573+BX573+BZ573+CB573+CD573+CF573</f>
        <v>40000000</v>
      </c>
      <c r="CI573" s="25">
        <f t="shared" si="1138"/>
        <v>40000000</v>
      </c>
      <c r="CJ573" s="26">
        <f t="shared" si="816"/>
        <v>0</v>
      </c>
      <c r="CK573" s="26">
        <f t="shared" si="817"/>
        <v>0</v>
      </c>
    </row>
    <row r="574" spans="1:89" ht="90" customHeight="1" x14ac:dyDescent="0.3">
      <c r="A574" s="13" t="s">
        <v>248</v>
      </c>
      <c r="B574" s="14" t="s">
        <v>37</v>
      </c>
      <c r="C574" s="15" t="s">
        <v>1380</v>
      </c>
      <c r="D574" s="14" t="s">
        <v>64</v>
      </c>
      <c r="E574" s="13" t="s">
        <v>250</v>
      </c>
      <c r="F574" s="13" t="s">
        <v>250</v>
      </c>
      <c r="G574" s="14">
        <v>68</v>
      </c>
      <c r="H574" s="13" t="s">
        <v>1518</v>
      </c>
      <c r="I574" s="15" t="s">
        <v>1459</v>
      </c>
      <c r="J574" s="14" t="s">
        <v>41</v>
      </c>
      <c r="K574" s="15" t="s">
        <v>88</v>
      </c>
      <c r="L574" s="14">
        <v>80111620</v>
      </c>
      <c r="M574" s="14" t="s">
        <v>42</v>
      </c>
      <c r="N574" s="14" t="s">
        <v>253</v>
      </c>
      <c r="O574" s="15" t="s">
        <v>1519</v>
      </c>
      <c r="P574" s="14" t="s">
        <v>255</v>
      </c>
      <c r="Q574" s="14" t="s">
        <v>255</v>
      </c>
      <c r="R574" s="14" t="s">
        <v>255</v>
      </c>
      <c r="S574" s="17">
        <v>6</v>
      </c>
      <c r="T574" s="14" t="s">
        <v>256</v>
      </c>
      <c r="U574" s="14" t="s">
        <v>257</v>
      </c>
      <c r="V574" s="14" t="s">
        <v>113</v>
      </c>
      <c r="W574" s="18">
        <v>45000000</v>
      </c>
      <c r="X574" s="18">
        <v>45000000</v>
      </c>
      <c r="Y574" s="19" t="s">
        <v>339</v>
      </c>
      <c r="Z574" s="19" t="s">
        <v>258</v>
      </c>
      <c r="AA574" s="14" t="s">
        <v>1384</v>
      </c>
      <c r="AB574" s="14" t="s">
        <v>1385</v>
      </c>
      <c r="AC574" s="14">
        <v>6012220601</v>
      </c>
      <c r="AD574" s="14" t="s">
        <v>1134</v>
      </c>
      <c r="AE574" s="82">
        <v>45000000</v>
      </c>
      <c r="AF574" s="82">
        <v>0</v>
      </c>
      <c r="AG574" s="82">
        <v>0</v>
      </c>
      <c r="AH574" s="82">
        <v>3750000</v>
      </c>
      <c r="AI574" s="82">
        <v>0</v>
      </c>
      <c r="AJ574" s="82">
        <v>7500000</v>
      </c>
      <c r="AK574" s="82">
        <v>0</v>
      </c>
      <c r="AL574" s="82">
        <v>7500000</v>
      </c>
      <c r="AM574" s="82">
        <v>0</v>
      </c>
      <c r="AN574" s="82">
        <v>7500000</v>
      </c>
      <c r="AO574" s="82">
        <v>0</v>
      </c>
      <c r="AP574" s="82">
        <v>7500000</v>
      </c>
      <c r="AQ574" s="82">
        <v>0</v>
      </c>
      <c r="AR574" s="82">
        <v>7500000</v>
      </c>
      <c r="AS574" s="82">
        <v>0</v>
      </c>
      <c r="AT574" s="82">
        <v>3750000</v>
      </c>
      <c r="AU574" s="82">
        <v>0</v>
      </c>
      <c r="AV574" s="82">
        <v>0</v>
      </c>
      <c r="AW574" s="82">
        <v>0</v>
      </c>
      <c r="AX574" s="82">
        <v>0</v>
      </c>
      <c r="AY574" s="82">
        <v>0</v>
      </c>
      <c r="AZ574" s="82">
        <v>0</v>
      </c>
      <c r="BA574" s="82">
        <v>0</v>
      </c>
      <c r="BB574" s="82">
        <v>0</v>
      </c>
      <c r="BC574" s="82">
        <f t="shared" ref="BC574:BD574" si="1139">AE574+AG574+AI574+AK574+AM574+AO574+AQ574+AS574+AU574+AW574+AY574+BA574</f>
        <v>45000000</v>
      </c>
      <c r="BD574" s="82">
        <f t="shared" si="1139"/>
        <v>45000000</v>
      </c>
      <c r="BE574" s="83">
        <f t="shared" si="813"/>
        <v>0</v>
      </c>
      <c r="BF574" s="83">
        <f t="shared" si="814"/>
        <v>0</v>
      </c>
      <c r="BG574" s="14" t="str">
        <f ca="1">IFERROR(__xludf.DUMMYFUNCTION("REGEXEXTRACT(O568,""^\S+\s(.+)$"")"),"Prestación de servicios profesionales con autonomía técnica y administrativa, para el acompañamiento jurídico especializado en la gestión contractual de la Subdirección de Gestión de la Información y de la entidad, en coordinación con el Git de Gestión Co"&amp;"ntractual.")</f>
        <v>Prestación de servicios profesionales con autonomía técnica y administrativa, para el acompañamiento jurídico especializado en la gestión contractual de la Subdirección de Gestión de la Información y de la entidad, en coordinación con el Git de Gestión Contractual.</v>
      </c>
      <c r="BH574" s="23">
        <v>45000000</v>
      </c>
      <c r="BI574" s="23"/>
      <c r="BJ574" s="23"/>
      <c r="BK574" s="23">
        <v>3750000</v>
      </c>
      <c r="BL574" s="23"/>
      <c r="BM574" s="23">
        <v>7500000</v>
      </c>
      <c r="BN574" s="23"/>
      <c r="BO574" s="23">
        <v>7500000</v>
      </c>
      <c r="BP574" s="23"/>
      <c r="BQ574" s="23">
        <v>7500000</v>
      </c>
      <c r="BR574" s="23"/>
      <c r="BS574" s="23">
        <v>7500000</v>
      </c>
      <c r="BT574" s="23"/>
      <c r="BU574" s="23">
        <v>7500000</v>
      </c>
      <c r="BV574" s="23"/>
      <c r="BW574" s="23">
        <v>3750000</v>
      </c>
      <c r="BX574" s="23"/>
      <c r="BY574" s="23"/>
      <c r="BZ574" s="23"/>
      <c r="CA574" s="23"/>
      <c r="CB574" s="23"/>
      <c r="CC574" s="23"/>
      <c r="CD574" s="23"/>
      <c r="CE574" s="23"/>
      <c r="CF574" s="28"/>
      <c r="CG574" s="28"/>
      <c r="CH574" s="25">
        <f t="shared" ref="CH574:CI574" si="1140">BH574+BJ574+BL574+BN574+BP574+BR574+BT574+BV574+BX574+BZ574+CB574+CD574+CF574</f>
        <v>45000000</v>
      </c>
      <c r="CI574" s="25">
        <f t="shared" si="1140"/>
        <v>45000000</v>
      </c>
      <c r="CJ574" s="26">
        <f t="shared" si="816"/>
        <v>0</v>
      </c>
      <c r="CK574" s="26">
        <f t="shared" si="817"/>
        <v>0</v>
      </c>
    </row>
    <row r="575" spans="1:89" ht="90" customHeight="1" x14ac:dyDescent="0.3">
      <c r="A575" s="13" t="s">
        <v>248</v>
      </c>
      <c r="B575" s="14" t="s">
        <v>37</v>
      </c>
      <c r="C575" s="15" t="s">
        <v>1380</v>
      </c>
      <c r="D575" s="14" t="s">
        <v>64</v>
      </c>
      <c r="E575" s="13" t="s">
        <v>250</v>
      </c>
      <c r="F575" s="13" t="s">
        <v>250</v>
      </c>
      <c r="G575" s="14">
        <v>6</v>
      </c>
      <c r="H575" s="13" t="s">
        <v>1520</v>
      </c>
      <c r="I575" s="15" t="s">
        <v>1459</v>
      </c>
      <c r="J575" s="14" t="s">
        <v>41</v>
      </c>
      <c r="K575" s="15" t="s">
        <v>87</v>
      </c>
      <c r="L575" s="14">
        <v>80111620</v>
      </c>
      <c r="M575" s="14" t="s">
        <v>42</v>
      </c>
      <c r="N575" s="14" t="s">
        <v>253</v>
      </c>
      <c r="O575" s="15" t="s">
        <v>1521</v>
      </c>
      <c r="P575" s="14" t="s">
        <v>255</v>
      </c>
      <c r="Q575" s="14" t="s">
        <v>255</v>
      </c>
      <c r="R575" s="14" t="s">
        <v>255</v>
      </c>
      <c r="S575" s="17">
        <v>11</v>
      </c>
      <c r="T575" s="14" t="s">
        <v>256</v>
      </c>
      <c r="U575" s="14" t="s">
        <v>257</v>
      </c>
      <c r="V575" s="14" t="s">
        <v>113</v>
      </c>
      <c r="W575" s="18">
        <v>46500300</v>
      </c>
      <c r="X575" s="18">
        <v>46500300</v>
      </c>
      <c r="Y575" s="19" t="s">
        <v>339</v>
      </c>
      <c r="Z575" s="19" t="s">
        <v>258</v>
      </c>
      <c r="AA575" s="14" t="s">
        <v>1384</v>
      </c>
      <c r="AB575" s="14" t="s">
        <v>1385</v>
      </c>
      <c r="AC575" s="14">
        <v>6012220601</v>
      </c>
      <c r="AD575" s="14" t="s">
        <v>1134</v>
      </c>
      <c r="AE575" s="82">
        <v>0</v>
      </c>
      <c r="AF575" s="82">
        <v>0</v>
      </c>
      <c r="AG575" s="82">
        <v>0</v>
      </c>
      <c r="AH575" s="82">
        <v>0</v>
      </c>
      <c r="AI575" s="82">
        <v>0</v>
      </c>
      <c r="AJ575" s="82">
        <v>0</v>
      </c>
      <c r="AK575" s="82">
        <v>0</v>
      </c>
      <c r="AL575" s="82">
        <v>0</v>
      </c>
      <c r="AM575" s="82">
        <v>0</v>
      </c>
      <c r="AN575" s="82">
        <v>0</v>
      </c>
      <c r="AO575" s="82">
        <v>0</v>
      </c>
      <c r="AP575" s="82">
        <v>0</v>
      </c>
      <c r="AQ575" s="82">
        <v>0</v>
      </c>
      <c r="AR575" s="82">
        <v>0</v>
      </c>
      <c r="AS575" s="82">
        <v>46500300</v>
      </c>
      <c r="AT575" s="82">
        <v>0</v>
      </c>
      <c r="AU575" s="82">
        <v>0</v>
      </c>
      <c r="AV575" s="82">
        <v>0</v>
      </c>
      <c r="AW575" s="82">
        <v>0</v>
      </c>
      <c r="AX575" s="82">
        <v>0</v>
      </c>
      <c r="AY575" s="82">
        <v>0</v>
      </c>
      <c r="AZ575" s="82">
        <v>0</v>
      </c>
      <c r="BA575" s="82">
        <v>0</v>
      </c>
      <c r="BB575" s="82">
        <v>46500300</v>
      </c>
      <c r="BC575" s="82">
        <f t="shared" ref="BC575:BD575" si="1141">AE575+AG575+AI575+AK575+AM575+AO575+AQ575+AS575+AU575+AW575+AY575+BA575</f>
        <v>46500300</v>
      </c>
      <c r="BD575" s="82">
        <f t="shared" si="1141"/>
        <v>46500300</v>
      </c>
      <c r="BE575" s="83">
        <f t="shared" si="813"/>
        <v>0</v>
      </c>
      <c r="BF575" s="83">
        <f t="shared" si="814"/>
        <v>0</v>
      </c>
      <c r="BG575" s="14" t="str">
        <f ca="1">IFERROR(__xludf.DUMMYFUNCTION("REGEXEXTRACT(O569,""^\S+\s(.+)$"")"),"Prestación de servicios profesionales de estructuración gráfica de documentos, diseño digital, presentaciones de diversa índole que sean requeridos por el área de comunicaciones.")</f>
        <v>Prestación de servicios profesionales de estructuración gráfica de documentos, diseño digital, presentaciones de diversa índole que sean requeridos por el área de comunicaciones.</v>
      </c>
      <c r="BH575" s="23"/>
      <c r="BI575" s="23"/>
      <c r="BJ575" s="23"/>
      <c r="BK575" s="23"/>
      <c r="BL575" s="23"/>
      <c r="BM575" s="23"/>
      <c r="BN575" s="23"/>
      <c r="BO575" s="23"/>
      <c r="BP575" s="23"/>
      <c r="BQ575" s="23"/>
      <c r="BR575" s="23"/>
      <c r="BS575" s="23"/>
      <c r="BT575" s="23"/>
      <c r="BU575" s="23"/>
      <c r="BV575" s="23">
        <v>46500300</v>
      </c>
      <c r="BW575" s="23"/>
      <c r="BX575" s="23"/>
      <c r="BY575" s="23"/>
      <c r="BZ575" s="23"/>
      <c r="CA575" s="23"/>
      <c r="CB575" s="23"/>
      <c r="CC575" s="23"/>
      <c r="CD575" s="23"/>
      <c r="CE575" s="23">
        <v>46500300</v>
      </c>
      <c r="CF575" s="28"/>
      <c r="CG575" s="28"/>
      <c r="CH575" s="25">
        <f t="shared" ref="CH575:CI575" si="1142">BH575+BJ575+BL575+BN575+BP575+BR575+BT575+BV575+BX575+BZ575+CB575+CD575+CF575</f>
        <v>46500300</v>
      </c>
      <c r="CI575" s="25">
        <f t="shared" si="1142"/>
        <v>46500300</v>
      </c>
      <c r="CJ575" s="26">
        <f t="shared" si="816"/>
        <v>0</v>
      </c>
      <c r="CK575" s="26">
        <f t="shared" si="817"/>
        <v>0</v>
      </c>
    </row>
    <row r="576" spans="1:89" ht="90" customHeight="1" x14ac:dyDescent="0.3">
      <c r="A576" s="13" t="s">
        <v>248</v>
      </c>
      <c r="B576" s="14" t="s">
        <v>37</v>
      </c>
      <c r="C576" s="15" t="s">
        <v>1380</v>
      </c>
      <c r="D576" s="14" t="s">
        <v>64</v>
      </c>
      <c r="E576" s="13" t="s">
        <v>250</v>
      </c>
      <c r="F576" s="13" t="s">
        <v>250</v>
      </c>
      <c r="G576" s="14">
        <v>6</v>
      </c>
      <c r="H576" s="13" t="s">
        <v>1522</v>
      </c>
      <c r="I576" s="15" t="s">
        <v>1459</v>
      </c>
      <c r="J576" s="14" t="s">
        <v>41</v>
      </c>
      <c r="K576" s="15" t="s">
        <v>87</v>
      </c>
      <c r="L576" s="14">
        <v>80111620</v>
      </c>
      <c r="M576" s="14" t="s">
        <v>42</v>
      </c>
      <c r="N576" s="14" t="s">
        <v>253</v>
      </c>
      <c r="O576" s="15" t="s">
        <v>1523</v>
      </c>
      <c r="P576" s="14" t="s">
        <v>255</v>
      </c>
      <c r="Q576" s="14" t="s">
        <v>255</v>
      </c>
      <c r="R576" s="14" t="s">
        <v>255</v>
      </c>
      <c r="S576" s="17">
        <v>11</v>
      </c>
      <c r="T576" s="14" t="s">
        <v>256</v>
      </c>
      <c r="U576" s="14" t="s">
        <v>257</v>
      </c>
      <c r="V576" s="14" t="s">
        <v>113</v>
      </c>
      <c r="W576" s="18">
        <v>149600000</v>
      </c>
      <c r="X576" s="18">
        <v>149600000</v>
      </c>
      <c r="Y576" s="19" t="s">
        <v>339</v>
      </c>
      <c r="Z576" s="19" t="s">
        <v>258</v>
      </c>
      <c r="AA576" s="14" t="s">
        <v>1384</v>
      </c>
      <c r="AB576" s="14" t="s">
        <v>1385</v>
      </c>
      <c r="AC576" s="14">
        <v>6012220601</v>
      </c>
      <c r="AD576" s="14" t="s">
        <v>1134</v>
      </c>
      <c r="AE576" s="82">
        <v>0</v>
      </c>
      <c r="AF576" s="82">
        <v>0</v>
      </c>
      <c r="AG576" s="82">
        <v>129200000</v>
      </c>
      <c r="AH576" s="82">
        <v>0</v>
      </c>
      <c r="AI576" s="82">
        <v>0</v>
      </c>
      <c r="AJ576" s="82">
        <v>13600000</v>
      </c>
      <c r="AK576" s="82">
        <v>0</v>
      </c>
      <c r="AL576" s="82">
        <v>13600000</v>
      </c>
      <c r="AM576" s="82">
        <v>0</v>
      </c>
      <c r="AN576" s="82">
        <v>13600000</v>
      </c>
      <c r="AO576" s="82">
        <v>0</v>
      </c>
      <c r="AP576" s="82">
        <v>13600000</v>
      </c>
      <c r="AQ576" s="82">
        <v>0</v>
      </c>
      <c r="AR576" s="82">
        <v>13600000</v>
      </c>
      <c r="AS576" s="82">
        <v>20400000</v>
      </c>
      <c r="AT576" s="82">
        <v>13600000</v>
      </c>
      <c r="AU576" s="82">
        <v>0</v>
      </c>
      <c r="AV576" s="82">
        <v>13600000</v>
      </c>
      <c r="AW576" s="82">
        <v>0</v>
      </c>
      <c r="AX576" s="82">
        <v>13600000</v>
      </c>
      <c r="AY576" s="82">
        <v>0</v>
      </c>
      <c r="AZ576" s="82">
        <v>13600000</v>
      </c>
      <c r="BA576" s="82">
        <v>0</v>
      </c>
      <c r="BB576" s="82">
        <v>27200000</v>
      </c>
      <c r="BC576" s="82">
        <f t="shared" ref="BC576:BD576" si="1143">AE576+AG576+AI576+AK576+AM576+AO576+AQ576+AS576+AU576+AW576+AY576+BA576</f>
        <v>149600000</v>
      </c>
      <c r="BD576" s="82">
        <f t="shared" si="1143"/>
        <v>149600000</v>
      </c>
      <c r="BE576" s="83">
        <f t="shared" si="813"/>
        <v>0</v>
      </c>
      <c r="BF576" s="83">
        <f t="shared" si="814"/>
        <v>0</v>
      </c>
      <c r="BG576" s="14" t="str">
        <f ca="1">IFERROR(__xludf.DUMMYFUNCTION("REGEXEXTRACT(O570,""^\S+\s(.+)$"")"),"Prestación de servicios profesionales para la contribución técnica y metodológica en el desarrollo e implementación de estrategias y programas asociados a la transición energética justa.")</f>
        <v>Prestación de servicios profesionales para la contribución técnica y metodológica en el desarrollo e implementación de estrategias y programas asociados a la transición energética justa.</v>
      </c>
      <c r="BH576" s="23"/>
      <c r="BI576" s="23"/>
      <c r="BJ576" s="23">
        <v>129200000</v>
      </c>
      <c r="BK576" s="23"/>
      <c r="BL576" s="23"/>
      <c r="BM576" s="23">
        <v>13600000</v>
      </c>
      <c r="BN576" s="23"/>
      <c r="BO576" s="23">
        <v>13600000</v>
      </c>
      <c r="BP576" s="23"/>
      <c r="BQ576" s="23">
        <v>13600000</v>
      </c>
      <c r="BR576" s="23"/>
      <c r="BS576" s="23">
        <v>13600000</v>
      </c>
      <c r="BT576" s="23"/>
      <c r="BU576" s="23">
        <v>13600000</v>
      </c>
      <c r="BV576" s="23">
        <v>20400000</v>
      </c>
      <c r="BW576" s="23">
        <v>13600000</v>
      </c>
      <c r="BX576" s="23"/>
      <c r="BY576" s="23">
        <v>13600000</v>
      </c>
      <c r="BZ576" s="23"/>
      <c r="CA576" s="23">
        <v>13600000</v>
      </c>
      <c r="CB576" s="23"/>
      <c r="CC576" s="23">
        <v>13600000</v>
      </c>
      <c r="CD576" s="23"/>
      <c r="CE576" s="23">
        <v>27200000</v>
      </c>
      <c r="CF576" s="28"/>
      <c r="CG576" s="28"/>
      <c r="CH576" s="25">
        <f t="shared" ref="CH576:CI576" si="1144">BH576+BJ576+BL576+BN576+BP576+BR576+BT576+BV576+BX576+BZ576+CB576+CD576+CF576</f>
        <v>149600000</v>
      </c>
      <c r="CI576" s="25">
        <f t="shared" si="1144"/>
        <v>149600000</v>
      </c>
      <c r="CJ576" s="26">
        <f t="shared" si="816"/>
        <v>0</v>
      </c>
      <c r="CK576" s="26">
        <f t="shared" si="817"/>
        <v>0</v>
      </c>
    </row>
    <row r="577" spans="1:89" ht="90" customHeight="1" x14ac:dyDescent="0.3">
      <c r="A577" s="13" t="s">
        <v>248</v>
      </c>
      <c r="B577" s="14" t="s">
        <v>37</v>
      </c>
      <c r="C577" s="15" t="s">
        <v>1380</v>
      </c>
      <c r="D577" s="14" t="s">
        <v>64</v>
      </c>
      <c r="E577" s="13" t="s">
        <v>250</v>
      </c>
      <c r="F577" s="13" t="s">
        <v>250</v>
      </c>
      <c r="G577" s="14">
        <v>7</v>
      </c>
      <c r="H577" s="13" t="s">
        <v>1524</v>
      </c>
      <c r="I577" s="15" t="s">
        <v>1459</v>
      </c>
      <c r="J577" s="14" t="s">
        <v>41</v>
      </c>
      <c r="K577" s="15" t="s">
        <v>87</v>
      </c>
      <c r="L577" s="14">
        <v>80111620</v>
      </c>
      <c r="M577" s="14" t="s">
        <v>42</v>
      </c>
      <c r="N577" s="14" t="s">
        <v>253</v>
      </c>
      <c r="O577" s="15" t="s">
        <v>1525</v>
      </c>
      <c r="P577" s="14" t="s">
        <v>255</v>
      </c>
      <c r="Q577" s="14" t="s">
        <v>255</v>
      </c>
      <c r="R577" s="14" t="s">
        <v>255</v>
      </c>
      <c r="S577" s="17">
        <v>11</v>
      </c>
      <c r="T577" s="14" t="s">
        <v>256</v>
      </c>
      <c r="U577" s="14" t="s">
        <v>257</v>
      </c>
      <c r="V577" s="14" t="s">
        <v>113</v>
      </c>
      <c r="W577" s="18">
        <v>100383333</v>
      </c>
      <c r="X577" s="18">
        <v>100383333</v>
      </c>
      <c r="Y577" s="19" t="s">
        <v>339</v>
      </c>
      <c r="Z577" s="19" t="s">
        <v>258</v>
      </c>
      <c r="AA577" s="14" t="s">
        <v>1384</v>
      </c>
      <c r="AB577" s="14" t="s">
        <v>1385</v>
      </c>
      <c r="AC577" s="14">
        <v>6012220601</v>
      </c>
      <c r="AD577" s="14" t="s">
        <v>1134</v>
      </c>
      <c r="AE577" s="82">
        <v>0</v>
      </c>
      <c r="AF577" s="82">
        <v>0</v>
      </c>
      <c r="AG577" s="82">
        <v>100383333</v>
      </c>
      <c r="AH577" s="82">
        <v>0</v>
      </c>
      <c r="AI577" s="82">
        <v>0</v>
      </c>
      <c r="AJ577" s="82">
        <v>13600000</v>
      </c>
      <c r="AK577" s="82">
        <v>0</v>
      </c>
      <c r="AL577" s="82">
        <v>13600000</v>
      </c>
      <c r="AM577" s="82">
        <v>0</v>
      </c>
      <c r="AN577" s="82">
        <v>13600000</v>
      </c>
      <c r="AO577" s="82">
        <v>0</v>
      </c>
      <c r="AP577" s="82">
        <v>13600000</v>
      </c>
      <c r="AQ577" s="82">
        <v>0</v>
      </c>
      <c r="AR577" s="82">
        <v>13600000</v>
      </c>
      <c r="AS577" s="82">
        <v>0</v>
      </c>
      <c r="AT577" s="82">
        <v>13600000</v>
      </c>
      <c r="AU577" s="82">
        <v>0</v>
      </c>
      <c r="AV577" s="82">
        <v>5183333</v>
      </c>
      <c r="AW577" s="82">
        <v>0</v>
      </c>
      <c r="AX577" s="82">
        <v>0</v>
      </c>
      <c r="AY577" s="82">
        <v>0</v>
      </c>
      <c r="AZ577" s="82">
        <v>0</v>
      </c>
      <c r="BA577" s="82">
        <v>0</v>
      </c>
      <c r="BB577" s="82">
        <v>13600000</v>
      </c>
      <c r="BC577" s="82">
        <f t="shared" ref="BC577:BD577" si="1145">AE577+AG577+AI577+AK577+AM577+AO577+AQ577+AS577+AU577+AW577+AY577+BA577</f>
        <v>100383333</v>
      </c>
      <c r="BD577" s="82">
        <f t="shared" si="1145"/>
        <v>100383333</v>
      </c>
      <c r="BE577" s="83">
        <f t="shared" si="813"/>
        <v>0</v>
      </c>
      <c r="BF577" s="83">
        <f t="shared" si="814"/>
        <v>0</v>
      </c>
      <c r="BG577" s="14" t="str">
        <f ca="1">IFERROR(__xludf.DUMMYFUNCTION("REGEXEXTRACT(O571,""^\S+\s(.+)$"")"),"Prestación de servicios profesionales especializados en la Subdirección de Gestión de la Información para el direccionamiento de planes, programas y proyectos institucionales asociados al ejercicio efectivo del rol como Lider de la Gestión Estratégica de "&amp;"la Información del Sector Minero-Energético")</f>
        <v>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v>
      </c>
      <c r="BH577" s="23"/>
      <c r="BI577" s="23"/>
      <c r="BJ577" s="23">
        <v>100383333</v>
      </c>
      <c r="BK577" s="23"/>
      <c r="BL577" s="23"/>
      <c r="BM577" s="23">
        <v>13600000</v>
      </c>
      <c r="BN577" s="23"/>
      <c r="BO577" s="23">
        <v>13600000</v>
      </c>
      <c r="BP577" s="23"/>
      <c r="BQ577" s="23">
        <v>13600000</v>
      </c>
      <c r="BR577" s="23"/>
      <c r="BS577" s="23">
        <v>13600000</v>
      </c>
      <c r="BT577" s="23"/>
      <c r="BU577" s="23">
        <v>13600000</v>
      </c>
      <c r="BV577" s="23"/>
      <c r="BW577" s="23">
        <v>13600000</v>
      </c>
      <c r="BX577" s="23"/>
      <c r="BY577" s="23">
        <v>5183333</v>
      </c>
      <c r="BZ577" s="23"/>
      <c r="CA577" s="23"/>
      <c r="CB577" s="23"/>
      <c r="CC577" s="23"/>
      <c r="CD577" s="23"/>
      <c r="CE577" s="23">
        <v>13600000</v>
      </c>
      <c r="CF577" s="28"/>
      <c r="CG577" s="28"/>
      <c r="CH577" s="25">
        <f t="shared" ref="CH577:CI577" si="1146">BH577+BJ577+BL577+BN577+BP577+BR577+BT577+BV577+BX577+BZ577+CB577+CD577+CF577</f>
        <v>100383333</v>
      </c>
      <c r="CI577" s="25">
        <f t="shared" si="1146"/>
        <v>100383333</v>
      </c>
      <c r="CJ577" s="26">
        <f t="shared" si="816"/>
        <v>0</v>
      </c>
      <c r="CK577" s="26">
        <f t="shared" si="817"/>
        <v>0</v>
      </c>
    </row>
    <row r="578" spans="1:89" ht="90" customHeight="1" x14ac:dyDescent="0.3">
      <c r="A578" s="13" t="s">
        <v>248</v>
      </c>
      <c r="B578" s="14" t="s">
        <v>37</v>
      </c>
      <c r="C578" s="15" t="s">
        <v>1380</v>
      </c>
      <c r="D578" s="14" t="s">
        <v>64</v>
      </c>
      <c r="E578" s="13" t="s">
        <v>250</v>
      </c>
      <c r="F578" s="13" t="s">
        <v>250</v>
      </c>
      <c r="G578" s="14">
        <v>68</v>
      </c>
      <c r="H578" s="13" t="s">
        <v>1526</v>
      </c>
      <c r="I578" s="15" t="s">
        <v>1459</v>
      </c>
      <c r="J578" s="14" t="s">
        <v>41</v>
      </c>
      <c r="K578" s="15" t="s">
        <v>87</v>
      </c>
      <c r="L578" s="14">
        <v>80111620</v>
      </c>
      <c r="M578" s="14" t="s">
        <v>42</v>
      </c>
      <c r="N578" s="14" t="s">
        <v>253</v>
      </c>
      <c r="O578" s="15" t="s">
        <v>1527</v>
      </c>
      <c r="P578" s="14" t="s">
        <v>255</v>
      </c>
      <c r="Q578" s="14" t="s">
        <v>255</v>
      </c>
      <c r="R578" s="14" t="s">
        <v>255</v>
      </c>
      <c r="S578" s="17">
        <v>11.5</v>
      </c>
      <c r="T578" s="14" t="s">
        <v>256</v>
      </c>
      <c r="U578" s="14" t="s">
        <v>257</v>
      </c>
      <c r="V578" s="14" t="s">
        <v>113</v>
      </c>
      <c r="W578" s="18">
        <v>6312922</v>
      </c>
      <c r="X578" s="18">
        <v>6312922</v>
      </c>
      <c r="Y578" s="19" t="s">
        <v>339</v>
      </c>
      <c r="Z578" s="19" t="s">
        <v>258</v>
      </c>
      <c r="AA578" s="14" t="s">
        <v>1384</v>
      </c>
      <c r="AB578" s="14" t="s">
        <v>1385</v>
      </c>
      <c r="AC578" s="14">
        <v>6012220601</v>
      </c>
      <c r="AD578" s="14" t="s">
        <v>1134</v>
      </c>
      <c r="AE578" s="82">
        <v>0</v>
      </c>
      <c r="AF578" s="82">
        <v>0</v>
      </c>
      <c r="AG578" s="82">
        <v>6312922</v>
      </c>
      <c r="AH578" s="82">
        <v>0</v>
      </c>
      <c r="AI578" s="82">
        <v>0</v>
      </c>
      <c r="AJ578" s="82">
        <v>0</v>
      </c>
      <c r="AK578" s="82">
        <v>0</v>
      </c>
      <c r="AL578" s="82">
        <v>0</v>
      </c>
      <c r="AM578" s="82">
        <v>0</v>
      </c>
      <c r="AN578" s="82">
        <v>0</v>
      </c>
      <c r="AO578" s="82">
        <v>0</v>
      </c>
      <c r="AP578" s="82">
        <v>3371320</v>
      </c>
      <c r="AQ578" s="82">
        <v>0</v>
      </c>
      <c r="AR578" s="82">
        <v>2941602</v>
      </c>
      <c r="AS578" s="82">
        <v>0</v>
      </c>
      <c r="AT578" s="82">
        <v>0</v>
      </c>
      <c r="AU578" s="82">
        <v>0</v>
      </c>
      <c r="AV578" s="82">
        <v>0</v>
      </c>
      <c r="AW578" s="82">
        <v>0</v>
      </c>
      <c r="AX578" s="82">
        <v>0</v>
      </c>
      <c r="AY578" s="82">
        <v>0</v>
      </c>
      <c r="AZ578" s="82">
        <v>0</v>
      </c>
      <c r="BA578" s="82">
        <v>0</v>
      </c>
      <c r="BB578" s="82">
        <v>0</v>
      </c>
      <c r="BC578" s="82">
        <f t="shared" ref="BC578:BD578" si="1147">AE578+AG578+AI578+AK578+AM578+AO578+AQ578+AS578+AU578+AW578+AY578+BA578</f>
        <v>6312922</v>
      </c>
      <c r="BD578" s="82">
        <f t="shared" si="1147"/>
        <v>6312922</v>
      </c>
      <c r="BE578" s="83">
        <f t="shared" si="813"/>
        <v>0</v>
      </c>
      <c r="BF578" s="83">
        <f t="shared" si="814"/>
        <v>0</v>
      </c>
      <c r="BG578" s="14" t="str">
        <f ca="1">IFERROR(__xludf.DUMMYFUNCTION("REGEXEXTRACT(O572,""^\S+\s(.+)$"")"),"Prestar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578" s="23"/>
      <c r="BI578" s="23"/>
      <c r="BJ578" s="23">
        <v>6312922</v>
      </c>
      <c r="BK578" s="23"/>
      <c r="BL578" s="23"/>
      <c r="BM578" s="23"/>
      <c r="BN578" s="23"/>
      <c r="BO578" s="23"/>
      <c r="BP578" s="23"/>
      <c r="BQ578" s="23"/>
      <c r="BR578" s="23"/>
      <c r="BS578" s="23">
        <v>3371320</v>
      </c>
      <c r="BT578" s="23"/>
      <c r="BU578" s="23">
        <v>2941602</v>
      </c>
      <c r="BV578" s="23"/>
      <c r="BW578" s="23"/>
      <c r="BX578" s="23"/>
      <c r="BY578" s="23"/>
      <c r="BZ578" s="23"/>
      <c r="CA578" s="23"/>
      <c r="CB578" s="23"/>
      <c r="CC578" s="23"/>
      <c r="CD578" s="23"/>
      <c r="CE578" s="23"/>
      <c r="CF578" s="28"/>
      <c r="CG578" s="28"/>
      <c r="CH578" s="25">
        <f t="shared" ref="CH578:CI578" si="1148">BH578+BJ578+BL578+BN578+BP578+BR578+BT578+BV578+BX578+BZ578+CB578+CD578+CF578</f>
        <v>6312922</v>
      </c>
      <c r="CI578" s="25">
        <f t="shared" si="1148"/>
        <v>6312922</v>
      </c>
      <c r="CJ578" s="26">
        <f t="shared" si="816"/>
        <v>0</v>
      </c>
      <c r="CK578" s="26">
        <f t="shared" si="817"/>
        <v>0</v>
      </c>
    </row>
    <row r="579" spans="1:89" ht="90" customHeight="1" x14ac:dyDescent="0.3">
      <c r="A579" s="13" t="s">
        <v>248</v>
      </c>
      <c r="B579" s="14" t="s">
        <v>37</v>
      </c>
      <c r="C579" s="15" t="s">
        <v>1380</v>
      </c>
      <c r="D579" s="14" t="s">
        <v>64</v>
      </c>
      <c r="E579" s="13" t="s">
        <v>250</v>
      </c>
      <c r="F579" s="13" t="s">
        <v>250</v>
      </c>
      <c r="G579" s="14">
        <v>23</v>
      </c>
      <c r="H579" s="13" t="s">
        <v>1528</v>
      </c>
      <c r="I579" s="15" t="s">
        <v>1459</v>
      </c>
      <c r="J579" s="14" t="s">
        <v>41</v>
      </c>
      <c r="K579" s="15" t="s">
        <v>87</v>
      </c>
      <c r="L579" s="14">
        <v>80111620</v>
      </c>
      <c r="M579" s="14" t="s">
        <v>42</v>
      </c>
      <c r="N579" s="14" t="s">
        <v>253</v>
      </c>
      <c r="O579" s="15" t="s">
        <v>1529</v>
      </c>
      <c r="P579" s="14" t="s">
        <v>255</v>
      </c>
      <c r="Q579" s="14" t="s">
        <v>255</v>
      </c>
      <c r="R579" s="14" t="s">
        <v>255</v>
      </c>
      <c r="S579" s="17">
        <v>11.5</v>
      </c>
      <c r="T579" s="14" t="s">
        <v>256</v>
      </c>
      <c r="U579" s="14" t="s">
        <v>257</v>
      </c>
      <c r="V579" s="14" t="s">
        <v>113</v>
      </c>
      <c r="W579" s="18">
        <v>6312922</v>
      </c>
      <c r="X579" s="18">
        <v>6312922</v>
      </c>
      <c r="Y579" s="19" t="s">
        <v>339</v>
      </c>
      <c r="Z579" s="19" t="s">
        <v>258</v>
      </c>
      <c r="AA579" s="14" t="s">
        <v>1384</v>
      </c>
      <c r="AB579" s="14" t="s">
        <v>1385</v>
      </c>
      <c r="AC579" s="14">
        <v>6012220601</v>
      </c>
      <c r="AD579" s="14" t="s">
        <v>1134</v>
      </c>
      <c r="AE579" s="82">
        <v>0</v>
      </c>
      <c r="AF579" s="82">
        <v>0</v>
      </c>
      <c r="AG579" s="82">
        <v>0</v>
      </c>
      <c r="AH579" s="82">
        <v>0</v>
      </c>
      <c r="AI579" s="82">
        <v>0</v>
      </c>
      <c r="AJ579" s="82">
        <v>0</v>
      </c>
      <c r="AK579" s="82">
        <v>0</v>
      </c>
      <c r="AL579" s="82">
        <v>0</v>
      </c>
      <c r="AM579" s="82">
        <v>0</v>
      </c>
      <c r="AN579" s="82">
        <v>0</v>
      </c>
      <c r="AO579" s="82">
        <v>0</v>
      </c>
      <c r="AP579" s="82">
        <v>0</v>
      </c>
      <c r="AQ579" s="82">
        <v>6312922</v>
      </c>
      <c r="AR579" s="82">
        <v>0</v>
      </c>
      <c r="AS579" s="82">
        <v>0</v>
      </c>
      <c r="AT579" s="82">
        <v>0</v>
      </c>
      <c r="AU579" s="82">
        <v>0</v>
      </c>
      <c r="AV579" s="82">
        <v>0</v>
      </c>
      <c r="AW579" s="82">
        <v>0</v>
      </c>
      <c r="AX579" s="82">
        <v>2000000</v>
      </c>
      <c r="AY579" s="82">
        <v>0</v>
      </c>
      <c r="AZ579" s="82">
        <v>2000000</v>
      </c>
      <c r="BA579" s="82">
        <v>0</v>
      </c>
      <c r="BB579" s="82">
        <v>2312922</v>
      </c>
      <c r="BC579" s="82">
        <f t="shared" ref="BC579:BD579" si="1149">AE579+AG579+AI579+AK579+AM579+AO579+AQ579+AS579+AU579+AW579+AY579+BA579</f>
        <v>6312922</v>
      </c>
      <c r="BD579" s="82">
        <f t="shared" si="1149"/>
        <v>6312922</v>
      </c>
      <c r="BE579" s="83">
        <f t="shared" si="813"/>
        <v>0</v>
      </c>
      <c r="BF579" s="83">
        <f t="shared" si="814"/>
        <v>0</v>
      </c>
      <c r="BG579" s="14" t="str">
        <f ca="1">IFERROR(__xludf.DUMMYFUNCTION("REGEXEXTRACT(O573,""^\S+\s(.+)$"")"),"Prestar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579" s="23"/>
      <c r="BI579" s="23"/>
      <c r="BJ579" s="23"/>
      <c r="BK579" s="23"/>
      <c r="BL579" s="23"/>
      <c r="BM579" s="23"/>
      <c r="BN579" s="23"/>
      <c r="BO579" s="23"/>
      <c r="BP579" s="23"/>
      <c r="BQ579" s="23"/>
      <c r="BR579" s="23"/>
      <c r="BS579" s="23"/>
      <c r="BT579" s="23">
        <v>6312922</v>
      </c>
      <c r="BU579" s="23"/>
      <c r="BV579" s="23"/>
      <c r="BW579" s="23"/>
      <c r="BX579" s="23"/>
      <c r="BY579" s="23"/>
      <c r="BZ579" s="23"/>
      <c r="CA579" s="23">
        <v>2000000</v>
      </c>
      <c r="CB579" s="23"/>
      <c r="CC579" s="23">
        <v>2000000</v>
      </c>
      <c r="CD579" s="23"/>
      <c r="CE579" s="23">
        <v>2312922</v>
      </c>
      <c r="CF579" s="28"/>
      <c r="CG579" s="28"/>
      <c r="CH579" s="25">
        <f t="shared" ref="CH579:CI579" si="1150">BH579+BJ579+BL579+BN579+BP579+BR579+BT579+BV579+BX579+BZ579+CB579+CD579+CF579</f>
        <v>6312922</v>
      </c>
      <c r="CI579" s="25">
        <f t="shared" si="1150"/>
        <v>6312922</v>
      </c>
      <c r="CJ579" s="26">
        <f t="shared" si="816"/>
        <v>0</v>
      </c>
      <c r="CK579" s="26">
        <f t="shared" si="817"/>
        <v>0</v>
      </c>
    </row>
    <row r="580" spans="1:89" ht="90" customHeight="1" x14ac:dyDescent="0.3">
      <c r="A580" s="13" t="s">
        <v>248</v>
      </c>
      <c r="B580" s="14" t="s">
        <v>37</v>
      </c>
      <c r="C580" s="15" t="s">
        <v>1380</v>
      </c>
      <c r="D580" s="14" t="s">
        <v>64</v>
      </c>
      <c r="E580" s="13" t="s">
        <v>250</v>
      </c>
      <c r="F580" s="13" t="s">
        <v>250</v>
      </c>
      <c r="G580" s="14">
        <v>23</v>
      </c>
      <c r="H580" s="13" t="s">
        <v>1530</v>
      </c>
      <c r="I580" s="15" t="s">
        <v>1459</v>
      </c>
      <c r="J580" s="14" t="s">
        <v>41</v>
      </c>
      <c r="K580" s="15" t="s">
        <v>87</v>
      </c>
      <c r="L580" s="14">
        <v>80111620</v>
      </c>
      <c r="M580" s="14" t="s">
        <v>42</v>
      </c>
      <c r="N580" s="14" t="s">
        <v>253</v>
      </c>
      <c r="O580" s="15" t="s">
        <v>1531</v>
      </c>
      <c r="P580" s="14" t="s">
        <v>255</v>
      </c>
      <c r="Q580" s="14" t="s">
        <v>255</v>
      </c>
      <c r="R580" s="14" t="s">
        <v>255</v>
      </c>
      <c r="S580" s="17">
        <v>11.5</v>
      </c>
      <c r="T580" s="14" t="s">
        <v>256</v>
      </c>
      <c r="U580" s="14" t="s">
        <v>257</v>
      </c>
      <c r="V580" s="14" t="s">
        <v>113</v>
      </c>
      <c r="W580" s="18">
        <v>6312923</v>
      </c>
      <c r="X580" s="18">
        <v>6312923</v>
      </c>
      <c r="Y580" s="19" t="s">
        <v>339</v>
      </c>
      <c r="Z580" s="19" t="s">
        <v>258</v>
      </c>
      <c r="AA580" s="14" t="s">
        <v>1384</v>
      </c>
      <c r="AB580" s="14" t="s">
        <v>1385</v>
      </c>
      <c r="AC580" s="14">
        <v>6012220601</v>
      </c>
      <c r="AD580" s="14" t="s">
        <v>1134</v>
      </c>
      <c r="AE580" s="82">
        <v>0</v>
      </c>
      <c r="AF580" s="82">
        <v>0</v>
      </c>
      <c r="AG580" s="82">
        <v>0</v>
      </c>
      <c r="AH580" s="82">
        <v>0</v>
      </c>
      <c r="AI580" s="82">
        <v>0</v>
      </c>
      <c r="AJ580" s="82">
        <v>0</v>
      </c>
      <c r="AK580" s="82">
        <v>0</v>
      </c>
      <c r="AL580" s="82">
        <v>0</v>
      </c>
      <c r="AM580" s="82">
        <v>0</v>
      </c>
      <c r="AN580" s="82">
        <v>0</v>
      </c>
      <c r="AO580" s="82">
        <v>0</v>
      </c>
      <c r="AP580" s="82">
        <v>0</v>
      </c>
      <c r="AQ580" s="82">
        <v>6312923</v>
      </c>
      <c r="AR580" s="82">
        <v>0</v>
      </c>
      <c r="AS580" s="82">
        <v>0</v>
      </c>
      <c r="AT580" s="82">
        <v>0</v>
      </c>
      <c r="AU580" s="82">
        <v>0</v>
      </c>
      <c r="AV580" s="82">
        <v>0</v>
      </c>
      <c r="AW580" s="82">
        <v>0</v>
      </c>
      <c r="AX580" s="82">
        <v>2000000</v>
      </c>
      <c r="AY580" s="82">
        <v>0</v>
      </c>
      <c r="AZ580" s="82">
        <v>2000000</v>
      </c>
      <c r="BA580" s="82">
        <v>0</v>
      </c>
      <c r="BB580" s="82">
        <v>2312923</v>
      </c>
      <c r="BC580" s="82">
        <f t="shared" ref="BC580:BD580" si="1151">AE580+AG580+AI580+AK580+AM580+AO580+AQ580+AS580+AU580+AW580+AY580+BA580</f>
        <v>6312923</v>
      </c>
      <c r="BD580" s="82">
        <f t="shared" si="1151"/>
        <v>6312923</v>
      </c>
      <c r="BE580" s="83">
        <f t="shared" si="813"/>
        <v>0</v>
      </c>
      <c r="BF580" s="83">
        <f t="shared" si="814"/>
        <v>0</v>
      </c>
      <c r="BG580" s="14" t="str">
        <f ca="1">IFERROR(__xludf.DUMMYFUNCTION("REGEXEXTRACT(O574,""^\S+\s(.+)$"")"),"Prestar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580" s="23"/>
      <c r="BI580" s="23"/>
      <c r="BJ580" s="23"/>
      <c r="BK580" s="23"/>
      <c r="BL580" s="23"/>
      <c r="BM580" s="23"/>
      <c r="BN580" s="23"/>
      <c r="BO580" s="23"/>
      <c r="BP580" s="23"/>
      <c r="BQ580" s="23"/>
      <c r="BR580" s="23"/>
      <c r="BS580" s="23"/>
      <c r="BT580" s="23">
        <v>6312923</v>
      </c>
      <c r="BU580" s="23"/>
      <c r="BV580" s="23"/>
      <c r="BW580" s="23"/>
      <c r="BX580" s="23"/>
      <c r="BY580" s="23"/>
      <c r="BZ580" s="23"/>
      <c r="CA580" s="23">
        <v>2000000</v>
      </c>
      <c r="CB580" s="23"/>
      <c r="CC580" s="23">
        <v>2000000</v>
      </c>
      <c r="CD580" s="23"/>
      <c r="CE580" s="23">
        <v>2312923</v>
      </c>
      <c r="CF580" s="28"/>
      <c r="CG580" s="28"/>
      <c r="CH580" s="25">
        <f t="shared" ref="CH580:CI580" si="1152">BH580+BJ580+BL580+BN580+BP580+BR580+BT580+BV580+BX580+BZ580+CB580+CD580+CF580</f>
        <v>6312923</v>
      </c>
      <c r="CI580" s="25">
        <f t="shared" si="1152"/>
        <v>6312923</v>
      </c>
      <c r="CJ580" s="26">
        <f t="shared" si="816"/>
        <v>0</v>
      </c>
      <c r="CK580" s="26">
        <f t="shared" si="817"/>
        <v>0</v>
      </c>
    </row>
    <row r="581" spans="1:89" ht="90" customHeight="1" x14ac:dyDescent="0.3">
      <c r="A581" s="13" t="s">
        <v>248</v>
      </c>
      <c r="B581" s="14" t="s">
        <v>37</v>
      </c>
      <c r="C581" s="15" t="s">
        <v>1380</v>
      </c>
      <c r="D581" s="14" t="s">
        <v>64</v>
      </c>
      <c r="E581" s="13" t="s">
        <v>250</v>
      </c>
      <c r="F581" s="13" t="s">
        <v>250</v>
      </c>
      <c r="G581" s="14">
        <v>68</v>
      </c>
      <c r="H581" s="13" t="s">
        <v>1532</v>
      </c>
      <c r="I581" s="15" t="s">
        <v>1459</v>
      </c>
      <c r="J581" s="14" t="s">
        <v>41</v>
      </c>
      <c r="K581" s="15" t="s">
        <v>87</v>
      </c>
      <c r="L581" s="14">
        <v>80111620</v>
      </c>
      <c r="M581" s="14" t="s">
        <v>42</v>
      </c>
      <c r="N581" s="14" t="s">
        <v>253</v>
      </c>
      <c r="O581" s="15" t="s">
        <v>1533</v>
      </c>
      <c r="P581" s="14" t="s">
        <v>255</v>
      </c>
      <c r="Q581" s="14" t="s">
        <v>255</v>
      </c>
      <c r="R581" s="14" t="s">
        <v>255</v>
      </c>
      <c r="S581" s="17">
        <v>6</v>
      </c>
      <c r="T581" s="14" t="s">
        <v>256</v>
      </c>
      <c r="U581" s="14" t="s">
        <v>257</v>
      </c>
      <c r="V581" s="14" t="s">
        <v>113</v>
      </c>
      <c r="W581" s="18">
        <v>2577600</v>
      </c>
      <c r="X581" s="18">
        <v>2577600</v>
      </c>
      <c r="Y581" s="19" t="s">
        <v>339</v>
      </c>
      <c r="Z581" s="19" t="s">
        <v>258</v>
      </c>
      <c r="AA581" s="14" t="s">
        <v>1384</v>
      </c>
      <c r="AB581" s="14" t="s">
        <v>1385</v>
      </c>
      <c r="AC581" s="14">
        <v>6012220601</v>
      </c>
      <c r="AD581" s="14" t="s">
        <v>1134</v>
      </c>
      <c r="AE581" s="82">
        <v>2577600</v>
      </c>
      <c r="AF581" s="82">
        <v>0</v>
      </c>
      <c r="AG581" s="82">
        <v>0</v>
      </c>
      <c r="AH581" s="82">
        <v>827600</v>
      </c>
      <c r="AI581" s="82">
        <v>0</v>
      </c>
      <c r="AJ581" s="82">
        <v>1750000</v>
      </c>
      <c r="AK581" s="82">
        <v>0</v>
      </c>
      <c r="AL581" s="82">
        <v>0</v>
      </c>
      <c r="AM581" s="82">
        <v>0</v>
      </c>
      <c r="AN581" s="82">
        <v>0</v>
      </c>
      <c r="AO581" s="82">
        <v>0</v>
      </c>
      <c r="AP581" s="82">
        <v>0</v>
      </c>
      <c r="AQ581" s="82">
        <v>0</v>
      </c>
      <c r="AR581" s="82">
        <v>0</v>
      </c>
      <c r="AS581" s="82">
        <v>0</v>
      </c>
      <c r="AT581" s="82">
        <v>0</v>
      </c>
      <c r="AU581" s="82">
        <v>0</v>
      </c>
      <c r="AV581" s="82">
        <v>0</v>
      </c>
      <c r="AW581" s="82">
        <v>0</v>
      </c>
      <c r="AX581" s="82">
        <v>0</v>
      </c>
      <c r="AY581" s="82">
        <v>0</v>
      </c>
      <c r="AZ581" s="82">
        <v>0</v>
      </c>
      <c r="BA581" s="82">
        <v>0</v>
      </c>
      <c r="BB581" s="82">
        <v>0</v>
      </c>
      <c r="BC581" s="82">
        <f t="shared" ref="BC581:BD581" si="1153">AE581+AG581+AI581+AK581+AM581+AO581+AQ581+AS581+AU581+AW581+AY581+BA581</f>
        <v>2577600</v>
      </c>
      <c r="BD581" s="82">
        <f t="shared" si="1153"/>
        <v>2577600</v>
      </c>
      <c r="BE581" s="83">
        <f t="shared" si="813"/>
        <v>0</v>
      </c>
      <c r="BF581" s="83">
        <f t="shared" si="814"/>
        <v>0</v>
      </c>
      <c r="BG581" s="14" t="str">
        <f ca="1">IFERROR(__xludf.DUMMYFUNCTION("REGEXEXTRACT(O575,""^\S+\s(.+)$"")"),"Prestar servicios profesionales para la gestión de las fases contractuales de la entidad, con especial énfasis en los asuntos relativos a la Subdirección de Gestión de la Información, en asocio con el GIT de Gestión Contractual.")</f>
        <v>Prestar servicios profesionales para la gestión de las fases contractuales de la entidad, con especial énfasis en los asuntos relativos a la Subdirección de Gestión de la Información, en asocio con el GIT de Gestión Contractual.</v>
      </c>
      <c r="BH581" s="23">
        <v>2577600</v>
      </c>
      <c r="BI581" s="23"/>
      <c r="BJ581" s="23"/>
      <c r="BK581" s="23">
        <v>827600</v>
      </c>
      <c r="BL581" s="23"/>
      <c r="BM581" s="23">
        <v>1750000</v>
      </c>
      <c r="BN581" s="23"/>
      <c r="BO581" s="23"/>
      <c r="BP581" s="23"/>
      <c r="BQ581" s="23"/>
      <c r="BR581" s="23"/>
      <c r="BS581" s="23"/>
      <c r="BT581" s="23"/>
      <c r="BU581" s="23"/>
      <c r="BV581" s="23"/>
      <c r="BW581" s="23"/>
      <c r="BX581" s="23"/>
      <c r="BY581" s="23"/>
      <c r="BZ581" s="23"/>
      <c r="CA581" s="23"/>
      <c r="CB581" s="23"/>
      <c r="CC581" s="23"/>
      <c r="CD581" s="23"/>
      <c r="CE581" s="23"/>
      <c r="CF581" s="28"/>
      <c r="CG581" s="28"/>
      <c r="CH581" s="25">
        <f t="shared" ref="CH581:CI581" si="1154">BH581+BJ581+BL581+BN581+BP581+BR581+BT581+BV581+BX581+BZ581+CB581+CD581+CF581</f>
        <v>2577600</v>
      </c>
      <c r="CI581" s="25">
        <f t="shared" si="1154"/>
        <v>2577600</v>
      </c>
      <c r="CJ581" s="26">
        <f t="shared" si="816"/>
        <v>0</v>
      </c>
      <c r="CK581" s="26">
        <f t="shared" si="817"/>
        <v>0</v>
      </c>
    </row>
    <row r="582" spans="1:89" ht="90" customHeight="1" x14ac:dyDescent="0.3">
      <c r="A582" s="13" t="s">
        <v>248</v>
      </c>
      <c r="B582" s="14" t="s">
        <v>37</v>
      </c>
      <c r="C582" s="15" t="s">
        <v>1380</v>
      </c>
      <c r="D582" s="14" t="s">
        <v>64</v>
      </c>
      <c r="E582" s="13" t="s">
        <v>250</v>
      </c>
      <c r="F582" s="13" t="s">
        <v>250</v>
      </c>
      <c r="G582" s="14">
        <v>23</v>
      </c>
      <c r="H582" s="13" t="s">
        <v>1534</v>
      </c>
      <c r="I582" s="15" t="s">
        <v>1382</v>
      </c>
      <c r="J582" s="14" t="s">
        <v>38</v>
      </c>
      <c r="K582" s="15" t="s">
        <v>71</v>
      </c>
      <c r="L582" s="14">
        <v>80111620</v>
      </c>
      <c r="M582" s="14" t="s">
        <v>39</v>
      </c>
      <c r="N582" s="14" t="s">
        <v>253</v>
      </c>
      <c r="O582" s="15" t="s">
        <v>1535</v>
      </c>
      <c r="P582" s="14" t="s">
        <v>255</v>
      </c>
      <c r="Q582" s="14" t="s">
        <v>255</v>
      </c>
      <c r="R582" s="14" t="s">
        <v>255</v>
      </c>
      <c r="S582" s="17">
        <v>10</v>
      </c>
      <c r="T582" s="14" t="s">
        <v>256</v>
      </c>
      <c r="U582" s="14" t="s">
        <v>257</v>
      </c>
      <c r="V582" s="14" t="s">
        <v>112</v>
      </c>
      <c r="W582" s="18">
        <v>30000000</v>
      </c>
      <c r="X582" s="18">
        <v>30000000</v>
      </c>
      <c r="Y582" s="19" t="s">
        <v>339</v>
      </c>
      <c r="Z582" s="19" t="s">
        <v>258</v>
      </c>
      <c r="AA582" s="14" t="s">
        <v>1384</v>
      </c>
      <c r="AB582" s="14" t="s">
        <v>1385</v>
      </c>
      <c r="AC582" s="14">
        <v>6012220601</v>
      </c>
      <c r="AD582" s="14" t="s">
        <v>1134</v>
      </c>
      <c r="AE582" s="82">
        <v>0</v>
      </c>
      <c r="AF582" s="82">
        <v>0</v>
      </c>
      <c r="AG582" s="82">
        <v>30000000</v>
      </c>
      <c r="AH582" s="82">
        <v>0</v>
      </c>
      <c r="AI582" s="82">
        <v>0</v>
      </c>
      <c r="AJ582" s="82">
        <v>3000000</v>
      </c>
      <c r="AK582" s="82">
        <v>0</v>
      </c>
      <c r="AL582" s="82">
        <v>3000000</v>
      </c>
      <c r="AM582" s="82">
        <v>0</v>
      </c>
      <c r="AN582" s="82">
        <v>3000000</v>
      </c>
      <c r="AO582" s="82">
        <v>0</v>
      </c>
      <c r="AP582" s="82">
        <v>3000000</v>
      </c>
      <c r="AQ582" s="82">
        <v>0</v>
      </c>
      <c r="AR582" s="82">
        <v>3000000</v>
      </c>
      <c r="AS582" s="82">
        <v>0</v>
      </c>
      <c r="AT582" s="82">
        <v>3000000</v>
      </c>
      <c r="AU582" s="82">
        <v>0</v>
      </c>
      <c r="AV582" s="82">
        <v>3000000</v>
      </c>
      <c r="AW582" s="82">
        <v>0</v>
      </c>
      <c r="AX582" s="82">
        <v>3000000</v>
      </c>
      <c r="AY582" s="82">
        <v>0</v>
      </c>
      <c r="AZ582" s="82">
        <v>3000000</v>
      </c>
      <c r="BA582" s="82">
        <v>0</v>
      </c>
      <c r="BB582" s="82">
        <v>3000000</v>
      </c>
      <c r="BC582" s="82">
        <f t="shared" ref="BC582:BD582" si="1155">AE582+AG582+AI582+AK582+AM582+AO582+AQ582+AS582+AU582+AW582+AY582+BA582</f>
        <v>30000000</v>
      </c>
      <c r="BD582" s="82">
        <f t="shared" si="1155"/>
        <v>30000000</v>
      </c>
      <c r="BE582" s="83">
        <f t="shared" si="813"/>
        <v>0</v>
      </c>
      <c r="BF582" s="83">
        <f t="shared" si="814"/>
        <v>0</v>
      </c>
      <c r="BG582" s="14" t="str">
        <f ca="1">IFERROR(__xludf.DUMMYFUNCTION("REGEXEXTRACT(O576,""^\S+\s(.+)$"")"),"Prestación de servicios de apoyo a la gestión orientados a la estructuración y organización documental de la Subdirección de Gestión de la Información")</f>
        <v>Prestación de servicios de apoyo a la gestión orientados a la estructuración y organización documental de la Subdirección de Gestión de la Información</v>
      </c>
      <c r="BH582" s="23"/>
      <c r="BI582" s="23"/>
      <c r="BJ582" s="23">
        <v>30000000</v>
      </c>
      <c r="BK582" s="23"/>
      <c r="BL582" s="23"/>
      <c r="BM582" s="23">
        <v>3000000</v>
      </c>
      <c r="BN582" s="23"/>
      <c r="BO582" s="23">
        <v>3000000</v>
      </c>
      <c r="BP582" s="23"/>
      <c r="BQ582" s="23">
        <v>3000000</v>
      </c>
      <c r="BR582" s="23"/>
      <c r="BS582" s="23">
        <v>3000000</v>
      </c>
      <c r="BT582" s="23"/>
      <c r="BU582" s="23">
        <v>3000000</v>
      </c>
      <c r="BV582" s="23"/>
      <c r="BW582" s="23">
        <v>3000000</v>
      </c>
      <c r="BX582" s="23"/>
      <c r="BY582" s="23">
        <v>3000000</v>
      </c>
      <c r="BZ582" s="23"/>
      <c r="CA582" s="23">
        <v>3000000</v>
      </c>
      <c r="CB582" s="23"/>
      <c r="CC582" s="23">
        <v>3000000</v>
      </c>
      <c r="CD582" s="23"/>
      <c r="CE582" s="23">
        <v>3000000</v>
      </c>
      <c r="CF582" s="28"/>
      <c r="CG582" s="28"/>
      <c r="CH582" s="25">
        <f t="shared" ref="CH582:CI582" si="1156">BH582+BJ582+BL582+BN582+BP582+BR582+BT582+BV582+BX582+BZ582+CB582+CD582+CF582</f>
        <v>30000000</v>
      </c>
      <c r="CI582" s="25">
        <f t="shared" si="1156"/>
        <v>30000000</v>
      </c>
      <c r="CJ582" s="26">
        <f t="shared" si="816"/>
        <v>0</v>
      </c>
      <c r="CK582" s="26">
        <f t="shared" si="817"/>
        <v>0</v>
      </c>
    </row>
    <row r="583" spans="1:89" ht="90" customHeight="1" x14ac:dyDescent="0.3">
      <c r="A583" s="13" t="s">
        <v>248</v>
      </c>
      <c r="B583" s="14" t="s">
        <v>37</v>
      </c>
      <c r="C583" s="15" t="s">
        <v>1380</v>
      </c>
      <c r="D583" s="14" t="s">
        <v>64</v>
      </c>
      <c r="E583" s="13" t="s">
        <v>250</v>
      </c>
      <c r="F583" s="13" t="s">
        <v>250</v>
      </c>
      <c r="G583" s="14">
        <v>23</v>
      </c>
      <c r="H583" s="13" t="s">
        <v>1536</v>
      </c>
      <c r="I583" s="15" t="s">
        <v>1382</v>
      </c>
      <c r="J583" s="14" t="s">
        <v>38</v>
      </c>
      <c r="K583" s="15" t="s">
        <v>71</v>
      </c>
      <c r="L583" s="14">
        <v>80111620</v>
      </c>
      <c r="M583" s="14" t="s">
        <v>39</v>
      </c>
      <c r="N583" s="14" t="s">
        <v>253</v>
      </c>
      <c r="O583" s="15" t="s">
        <v>1537</v>
      </c>
      <c r="P583" s="14" t="s">
        <v>255</v>
      </c>
      <c r="Q583" s="14" t="s">
        <v>255</v>
      </c>
      <c r="R583" s="14" t="s">
        <v>255</v>
      </c>
      <c r="S583" s="17">
        <v>11.5</v>
      </c>
      <c r="T583" s="14" t="s">
        <v>256</v>
      </c>
      <c r="U583" s="14" t="s">
        <v>257</v>
      </c>
      <c r="V583" s="14" t="s">
        <v>112</v>
      </c>
      <c r="W583" s="18">
        <v>44850000</v>
      </c>
      <c r="X583" s="18">
        <v>44850000</v>
      </c>
      <c r="Y583" s="19" t="s">
        <v>339</v>
      </c>
      <c r="Z583" s="19" t="s">
        <v>258</v>
      </c>
      <c r="AA583" s="14" t="s">
        <v>1384</v>
      </c>
      <c r="AB583" s="14" t="s">
        <v>1385</v>
      </c>
      <c r="AC583" s="14">
        <v>6012220601</v>
      </c>
      <c r="AD583" s="14" t="s">
        <v>1134</v>
      </c>
      <c r="AE583" s="82">
        <v>0</v>
      </c>
      <c r="AF583" s="82">
        <v>0</v>
      </c>
      <c r="AG583" s="82">
        <v>44850000</v>
      </c>
      <c r="AH583" s="82">
        <v>0</v>
      </c>
      <c r="AI583" s="82">
        <v>0</v>
      </c>
      <c r="AJ583" s="82">
        <v>3900000</v>
      </c>
      <c r="AK583" s="82">
        <v>0</v>
      </c>
      <c r="AL583" s="82">
        <v>3900000</v>
      </c>
      <c r="AM583" s="82">
        <v>0</v>
      </c>
      <c r="AN583" s="82">
        <v>3900000</v>
      </c>
      <c r="AO583" s="82">
        <v>0</v>
      </c>
      <c r="AP583" s="82">
        <v>3900000</v>
      </c>
      <c r="AQ583" s="82">
        <v>0</v>
      </c>
      <c r="AR583" s="82">
        <v>3900000</v>
      </c>
      <c r="AS583" s="82">
        <v>0</v>
      </c>
      <c r="AT583" s="82">
        <v>3900000</v>
      </c>
      <c r="AU583" s="82">
        <v>0</v>
      </c>
      <c r="AV583" s="82">
        <v>3900000</v>
      </c>
      <c r="AW583" s="82">
        <v>0</v>
      </c>
      <c r="AX583" s="82">
        <v>3900000</v>
      </c>
      <c r="AY583" s="82">
        <v>0</v>
      </c>
      <c r="AZ583" s="82">
        <v>3900000</v>
      </c>
      <c r="BA583" s="82">
        <v>0</v>
      </c>
      <c r="BB583" s="82">
        <v>9750000</v>
      </c>
      <c r="BC583" s="82">
        <f t="shared" ref="BC583:BD583" si="1157">AE583+AG583+AI583+AK583+AM583+AO583+AQ583+AS583+AU583+AW583+AY583+BA583</f>
        <v>44850000</v>
      </c>
      <c r="BD583" s="82">
        <f t="shared" si="1157"/>
        <v>44850000</v>
      </c>
      <c r="BE583" s="83">
        <f t="shared" si="813"/>
        <v>0</v>
      </c>
      <c r="BF583" s="83">
        <f t="shared" si="814"/>
        <v>0</v>
      </c>
      <c r="BG583" s="14" t="str">
        <f ca="1">IFERROR(__xludf.DUMMYFUNCTION("REGEXEXTRACT(O577,""^\S+\s(.+)$"")"),"Prestar apoyo a la consolidación, actualización y revisión de los inventarios y bienes de la UPME la Modernización de Procesos de la Entidad.")</f>
        <v>Prestar apoyo a la consolidación, actualización y revisión de los inventarios y bienes de la UPME la Modernización de Procesos de la Entidad.</v>
      </c>
      <c r="BH583" s="23"/>
      <c r="BI583" s="23"/>
      <c r="BJ583" s="23">
        <v>44850000</v>
      </c>
      <c r="BK583" s="23"/>
      <c r="BL583" s="23"/>
      <c r="BM583" s="23">
        <v>3900000</v>
      </c>
      <c r="BN583" s="23"/>
      <c r="BO583" s="23">
        <v>3900000</v>
      </c>
      <c r="BP583" s="23"/>
      <c r="BQ583" s="23">
        <v>3900000</v>
      </c>
      <c r="BR583" s="23"/>
      <c r="BS583" s="23">
        <v>3900000</v>
      </c>
      <c r="BT583" s="23"/>
      <c r="BU583" s="23">
        <v>3900000</v>
      </c>
      <c r="BV583" s="23"/>
      <c r="BW583" s="23">
        <v>3900000</v>
      </c>
      <c r="BX583" s="23"/>
      <c r="BY583" s="23">
        <v>3900000</v>
      </c>
      <c r="BZ583" s="23"/>
      <c r="CA583" s="23">
        <v>3900000</v>
      </c>
      <c r="CB583" s="23"/>
      <c r="CC583" s="23">
        <v>3900000</v>
      </c>
      <c r="CD583" s="23"/>
      <c r="CE583" s="23">
        <v>9750000</v>
      </c>
      <c r="CF583" s="28"/>
      <c r="CG583" s="28"/>
      <c r="CH583" s="25">
        <f t="shared" ref="CH583:CI583" si="1158">BH583+BJ583+BL583+BN583+BP583+BR583+BT583+BV583+BX583+BZ583+CB583+CD583+CF583</f>
        <v>44850000</v>
      </c>
      <c r="CI583" s="25">
        <f t="shared" si="1158"/>
        <v>44850000</v>
      </c>
      <c r="CJ583" s="26">
        <f t="shared" si="816"/>
        <v>0</v>
      </c>
      <c r="CK583" s="26">
        <f t="shared" si="817"/>
        <v>0</v>
      </c>
    </row>
    <row r="584" spans="1:89" ht="90" customHeight="1" x14ac:dyDescent="0.3">
      <c r="A584" s="13" t="s">
        <v>248</v>
      </c>
      <c r="B584" s="14" t="s">
        <v>37</v>
      </c>
      <c r="C584" s="15" t="s">
        <v>1380</v>
      </c>
      <c r="D584" s="14" t="s">
        <v>64</v>
      </c>
      <c r="E584" s="13" t="s">
        <v>250</v>
      </c>
      <c r="F584" s="13" t="s">
        <v>250</v>
      </c>
      <c r="G584" s="14">
        <v>23</v>
      </c>
      <c r="H584" s="13" t="s">
        <v>1538</v>
      </c>
      <c r="I584" s="15" t="s">
        <v>1382</v>
      </c>
      <c r="J584" s="14" t="s">
        <v>38</v>
      </c>
      <c r="K584" s="15" t="s">
        <v>71</v>
      </c>
      <c r="L584" s="14">
        <v>80111620</v>
      </c>
      <c r="M584" s="14" t="s">
        <v>39</v>
      </c>
      <c r="N584" s="14" t="s">
        <v>253</v>
      </c>
      <c r="O584" s="15" t="s">
        <v>1539</v>
      </c>
      <c r="P584" s="14" t="s">
        <v>255</v>
      </c>
      <c r="Q584" s="14" t="s">
        <v>255</v>
      </c>
      <c r="R584" s="14" t="s">
        <v>255</v>
      </c>
      <c r="S584" s="17">
        <v>11.5</v>
      </c>
      <c r="T584" s="14" t="s">
        <v>256</v>
      </c>
      <c r="U584" s="14" t="s">
        <v>257</v>
      </c>
      <c r="V584" s="14" t="s">
        <v>112</v>
      </c>
      <c r="W584" s="18">
        <v>30147856</v>
      </c>
      <c r="X584" s="18">
        <v>30147856</v>
      </c>
      <c r="Y584" s="19" t="s">
        <v>339</v>
      </c>
      <c r="Z584" s="19" t="s">
        <v>258</v>
      </c>
      <c r="AA584" s="14" t="s">
        <v>1384</v>
      </c>
      <c r="AB584" s="14" t="s">
        <v>1385</v>
      </c>
      <c r="AC584" s="14">
        <v>6012220601</v>
      </c>
      <c r="AD584" s="14" t="s">
        <v>1134</v>
      </c>
      <c r="AE584" s="82">
        <v>28300156</v>
      </c>
      <c r="AF584" s="82">
        <v>0</v>
      </c>
      <c r="AG584" s="82">
        <v>0</v>
      </c>
      <c r="AH584" s="82">
        <v>0</v>
      </c>
      <c r="AI584" s="82">
        <v>0</v>
      </c>
      <c r="AJ584" s="82">
        <v>0</v>
      </c>
      <c r="AK584" s="82">
        <v>0</v>
      </c>
      <c r="AL584" s="82">
        <v>0</v>
      </c>
      <c r="AM584" s="82">
        <v>0</v>
      </c>
      <c r="AN584" s="82">
        <v>3046156</v>
      </c>
      <c r="AO584" s="82">
        <v>0</v>
      </c>
      <c r="AP584" s="82">
        <v>3900000</v>
      </c>
      <c r="AQ584" s="82">
        <v>1847700</v>
      </c>
      <c r="AR584" s="82">
        <v>3900000</v>
      </c>
      <c r="AS584" s="82">
        <v>0</v>
      </c>
      <c r="AT584" s="82">
        <v>3900000</v>
      </c>
      <c r="AU584" s="82">
        <v>0</v>
      </c>
      <c r="AV584" s="82">
        <v>3900000</v>
      </c>
      <c r="AW584" s="82">
        <v>0</v>
      </c>
      <c r="AX584" s="82">
        <v>3900000</v>
      </c>
      <c r="AY584" s="82">
        <v>0</v>
      </c>
      <c r="AZ584" s="82">
        <v>3900000</v>
      </c>
      <c r="BA584" s="82">
        <v>0</v>
      </c>
      <c r="BB584" s="82">
        <v>3701700</v>
      </c>
      <c r="BC584" s="82">
        <f t="shared" ref="BC584:BD584" si="1159">AE584+AG584+AI584+AK584+AM584+AO584+AQ584+AS584+AU584+AW584+AY584+BA584</f>
        <v>30147856</v>
      </c>
      <c r="BD584" s="82">
        <f t="shared" si="1159"/>
        <v>30147856</v>
      </c>
      <c r="BE584" s="83">
        <f t="shared" si="813"/>
        <v>0</v>
      </c>
      <c r="BF584" s="83">
        <f t="shared" si="814"/>
        <v>0</v>
      </c>
      <c r="BG584" s="14" t="str">
        <f ca="1">IFERROR(__xludf.DUMMYFUNCTION("REGEXEXTRACT(O578,""^\S+\s(.+)$"")"),"Prestar servicios profesionales en psicología para apoyar los procesos de provisión y selección de personal de la entidad, de conformidad con los lineamientos institucionales y la normatividad vigente.")</f>
        <v>Prestar servicios profesionales en psicología para apoyar los procesos de provisión y selección de personal de la entidad, de conformidad con los lineamientos institucionales y la normatividad vigente.</v>
      </c>
      <c r="BH584" s="23">
        <v>28300156</v>
      </c>
      <c r="BI584" s="23"/>
      <c r="BJ584" s="23"/>
      <c r="BK584" s="23"/>
      <c r="BL584" s="23"/>
      <c r="BM584" s="23"/>
      <c r="BN584" s="23"/>
      <c r="BO584" s="23"/>
      <c r="BP584" s="23"/>
      <c r="BQ584" s="23">
        <v>3046156</v>
      </c>
      <c r="BR584" s="23"/>
      <c r="BS584" s="23">
        <v>3900000</v>
      </c>
      <c r="BT584" s="23">
        <v>1847700</v>
      </c>
      <c r="BU584" s="23">
        <v>3900000</v>
      </c>
      <c r="BV584" s="23"/>
      <c r="BW584" s="23">
        <v>3900000</v>
      </c>
      <c r="BX584" s="23"/>
      <c r="BY584" s="23">
        <v>3900000</v>
      </c>
      <c r="BZ584" s="23"/>
      <c r="CA584" s="23">
        <v>3900000</v>
      </c>
      <c r="CB584" s="23"/>
      <c r="CC584" s="23">
        <v>3900000</v>
      </c>
      <c r="CD584" s="23"/>
      <c r="CE584" s="23">
        <v>3701700</v>
      </c>
      <c r="CF584" s="28"/>
      <c r="CG584" s="28"/>
      <c r="CH584" s="25">
        <f t="shared" ref="CH584:CI584" si="1160">BH584+BJ584+BL584+BN584+BP584+BR584+BT584+BV584+BX584+BZ584+CB584+CD584+CF584</f>
        <v>30147856</v>
      </c>
      <c r="CI584" s="25">
        <f t="shared" si="1160"/>
        <v>30147856</v>
      </c>
      <c r="CJ584" s="26">
        <f t="shared" si="816"/>
        <v>0</v>
      </c>
      <c r="CK584" s="26">
        <f t="shared" si="817"/>
        <v>0</v>
      </c>
    </row>
    <row r="585" spans="1:89" ht="90" customHeight="1" x14ac:dyDescent="0.3">
      <c r="A585" s="13" t="s">
        <v>248</v>
      </c>
      <c r="B585" s="14" t="s">
        <v>37</v>
      </c>
      <c r="C585" s="15" t="s">
        <v>1380</v>
      </c>
      <c r="D585" s="14" t="s">
        <v>64</v>
      </c>
      <c r="E585" s="13" t="s">
        <v>250</v>
      </c>
      <c r="F585" s="13" t="s">
        <v>250</v>
      </c>
      <c r="G585" s="14">
        <v>68</v>
      </c>
      <c r="H585" s="13" t="s">
        <v>1540</v>
      </c>
      <c r="I585" s="15" t="s">
        <v>1459</v>
      </c>
      <c r="J585" s="14" t="s">
        <v>41</v>
      </c>
      <c r="K585" s="15" t="s">
        <v>88</v>
      </c>
      <c r="L585" s="14">
        <v>80111620</v>
      </c>
      <c r="M585" s="14" t="s">
        <v>42</v>
      </c>
      <c r="N585" s="14" t="s">
        <v>253</v>
      </c>
      <c r="O585" s="15" t="s">
        <v>1541</v>
      </c>
      <c r="P585" s="14" t="s">
        <v>255</v>
      </c>
      <c r="Q585" s="14" t="s">
        <v>255</v>
      </c>
      <c r="R585" s="14" t="s">
        <v>255</v>
      </c>
      <c r="S585" s="17">
        <v>11.5</v>
      </c>
      <c r="T585" s="14" t="s">
        <v>256</v>
      </c>
      <c r="U585" s="14" t="s">
        <v>257</v>
      </c>
      <c r="V585" s="14" t="s">
        <v>113</v>
      </c>
      <c r="W585" s="18">
        <v>12349244</v>
      </c>
      <c r="X585" s="18">
        <v>12349244</v>
      </c>
      <c r="Y585" s="19" t="s">
        <v>339</v>
      </c>
      <c r="Z585" s="19" t="s">
        <v>258</v>
      </c>
      <c r="AA585" s="14" t="s">
        <v>1384</v>
      </c>
      <c r="AB585" s="14" t="s">
        <v>1385</v>
      </c>
      <c r="AC585" s="14">
        <v>6012220601</v>
      </c>
      <c r="AD585" s="14" t="s">
        <v>1134</v>
      </c>
      <c r="AE585" s="82">
        <v>12349244</v>
      </c>
      <c r="AF585" s="82">
        <v>0</v>
      </c>
      <c r="AG585" s="82">
        <v>0</v>
      </c>
      <c r="AH585" s="82">
        <v>3695400</v>
      </c>
      <c r="AI585" s="82">
        <v>0</v>
      </c>
      <c r="AJ585" s="82">
        <v>3900000</v>
      </c>
      <c r="AK585" s="82">
        <v>0</v>
      </c>
      <c r="AL585" s="82">
        <v>3900000</v>
      </c>
      <c r="AM585" s="82">
        <v>0</v>
      </c>
      <c r="AN585" s="82">
        <v>853844</v>
      </c>
      <c r="AO585" s="82">
        <v>0</v>
      </c>
      <c r="AP585" s="82">
        <v>0</v>
      </c>
      <c r="AQ585" s="82">
        <v>0</v>
      </c>
      <c r="AR585" s="82">
        <v>0</v>
      </c>
      <c r="AS585" s="82">
        <v>0</v>
      </c>
      <c r="AT585" s="82">
        <v>0</v>
      </c>
      <c r="AU585" s="82">
        <v>0</v>
      </c>
      <c r="AV585" s="82">
        <v>0</v>
      </c>
      <c r="AW585" s="82">
        <v>0</v>
      </c>
      <c r="AX585" s="82">
        <v>0</v>
      </c>
      <c r="AY585" s="82">
        <v>0</v>
      </c>
      <c r="AZ585" s="82">
        <v>0</v>
      </c>
      <c r="BA585" s="82">
        <v>0</v>
      </c>
      <c r="BB585" s="82">
        <v>0</v>
      </c>
      <c r="BC585" s="82">
        <f t="shared" ref="BC585:BD585" si="1161">AE585+AG585+AI585+AK585+AM585+AO585+AQ585+AS585+AU585+AW585+AY585+BA585</f>
        <v>12349244</v>
      </c>
      <c r="BD585" s="82">
        <f t="shared" si="1161"/>
        <v>12349244</v>
      </c>
      <c r="BE585" s="83">
        <f t="shared" si="813"/>
        <v>0</v>
      </c>
      <c r="BF585" s="83">
        <f t="shared" si="814"/>
        <v>0</v>
      </c>
      <c r="BG585" s="14" t="str">
        <f ca="1">IFERROR(__xludf.DUMMYFUNCTION("REGEXEXTRACT(O579,""^\S+\s(.+)$"")"),"Prestar servicios profesionales en psicología para apoyar los procesos de provisión y selección de personal de la entidad, de conformidad con los lineamientos institucionales y la normatividad vigente.")</f>
        <v>Prestar servicios profesionales en psicología para apoyar los procesos de provisión y selección de personal de la entidad, de conformidad con los lineamientos institucionales y la normatividad vigente.</v>
      </c>
      <c r="BH585" s="23">
        <v>12349244</v>
      </c>
      <c r="BI585" s="23"/>
      <c r="BJ585" s="23"/>
      <c r="BK585" s="23">
        <v>3695400</v>
      </c>
      <c r="BL585" s="23"/>
      <c r="BM585" s="23">
        <v>3900000</v>
      </c>
      <c r="BN585" s="23"/>
      <c r="BO585" s="23">
        <v>3900000</v>
      </c>
      <c r="BP585" s="23"/>
      <c r="BQ585" s="23">
        <v>853844</v>
      </c>
      <c r="BR585" s="23"/>
      <c r="BS585" s="23"/>
      <c r="BT585" s="23"/>
      <c r="BU585" s="23"/>
      <c r="BV585" s="23"/>
      <c r="BW585" s="23"/>
      <c r="BX585" s="23"/>
      <c r="BY585" s="23"/>
      <c r="BZ585" s="23"/>
      <c r="CA585" s="23"/>
      <c r="CB585" s="23"/>
      <c r="CC585" s="23"/>
      <c r="CD585" s="23"/>
      <c r="CE585" s="23"/>
      <c r="CF585" s="28"/>
      <c r="CG585" s="28"/>
      <c r="CH585" s="25">
        <f t="shared" ref="CH585:CI585" si="1162">BH585+BJ585+BL585+BN585+BP585+BR585+BT585+BV585+BX585+BZ585+CB585+CD585+CF585</f>
        <v>12349244</v>
      </c>
      <c r="CI585" s="25">
        <f t="shared" si="1162"/>
        <v>12349244</v>
      </c>
      <c r="CJ585" s="26">
        <f t="shared" si="816"/>
        <v>0</v>
      </c>
      <c r="CK585" s="26">
        <f t="shared" si="817"/>
        <v>0</v>
      </c>
    </row>
    <row r="586" spans="1:89" ht="90" customHeight="1" x14ac:dyDescent="0.3">
      <c r="A586" s="13" t="s">
        <v>248</v>
      </c>
      <c r="B586" s="14" t="s">
        <v>37</v>
      </c>
      <c r="C586" s="15" t="s">
        <v>1380</v>
      </c>
      <c r="D586" s="14" t="s">
        <v>64</v>
      </c>
      <c r="E586" s="13" t="s">
        <v>250</v>
      </c>
      <c r="F586" s="13" t="s">
        <v>250</v>
      </c>
      <c r="G586" s="14">
        <v>68</v>
      </c>
      <c r="H586" s="13" t="s">
        <v>1542</v>
      </c>
      <c r="I586" s="15" t="s">
        <v>1459</v>
      </c>
      <c r="J586" s="14" t="s">
        <v>47</v>
      </c>
      <c r="K586" s="15" t="s">
        <v>90</v>
      </c>
      <c r="L586" s="14">
        <v>80111620</v>
      </c>
      <c r="M586" s="14" t="s">
        <v>46</v>
      </c>
      <c r="N586" s="14" t="s">
        <v>253</v>
      </c>
      <c r="O586" s="15" t="s">
        <v>1543</v>
      </c>
      <c r="P586" s="14" t="s">
        <v>255</v>
      </c>
      <c r="Q586" s="14" t="s">
        <v>255</v>
      </c>
      <c r="R586" s="14" t="s">
        <v>255</v>
      </c>
      <c r="S586" s="17">
        <v>10</v>
      </c>
      <c r="T586" s="14" t="s">
        <v>256</v>
      </c>
      <c r="U586" s="14" t="s">
        <v>257</v>
      </c>
      <c r="V586" s="14" t="s">
        <v>113</v>
      </c>
      <c r="W586" s="18">
        <v>55000000</v>
      </c>
      <c r="X586" s="18">
        <v>55000000</v>
      </c>
      <c r="Y586" s="19" t="s">
        <v>339</v>
      </c>
      <c r="Z586" s="19" t="s">
        <v>258</v>
      </c>
      <c r="AA586" s="14" t="s">
        <v>1384</v>
      </c>
      <c r="AB586" s="14" t="s">
        <v>1385</v>
      </c>
      <c r="AC586" s="14">
        <v>6012220601</v>
      </c>
      <c r="AD586" s="14" t="s">
        <v>1134</v>
      </c>
      <c r="AE586" s="82">
        <v>0</v>
      </c>
      <c r="AF586" s="82">
        <v>0</v>
      </c>
      <c r="AG586" s="82">
        <v>55000000</v>
      </c>
      <c r="AH586" s="82">
        <v>0</v>
      </c>
      <c r="AI586" s="82">
        <v>0</v>
      </c>
      <c r="AJ586" s="82">
        <v>5500000</v>
      </c>
      <c r="AK586" s="82">
        <v>0</v>
      </c>
      <c r="AL586" s="82">
        <v>5500000</v>
      </c>
      <c r="AM586" s="82">
        <v>0</v>
      </c>
      <c r="AN586" s="82">
        <v>5500000</v>
      </c>
      <c r="AO586" s="82">
        <v>0</v>
      </c>
      <c r="AP586" s="82">
        <v>5500000</v>
      </c>
      <c r="AQ586" s="82">
        <v>0</v>
      </c>
      <c r="AR586" s="82">
        <v>5500000</v>
      </c>
      <c r="AS586" s="82">
        <v>0</v>
      </c>
      <c r="AT586" s="82">
        <v>5500000</v>
      </c>
      <c r="AU586" s="82">
        <v>0</v>
      </c>
      <c r="AV586" s="82">
        <v>5500000</v>
      </c>
      <c r="AW586" s="82">
        <v>0</v>
      </c>
      <c r="AX586" s="82">
        <v>5500000</v>
      </c>
      <c r="AY586" s="82">
        <v>0</v>
      </c>
      <c r="AZ586" s="82">
        <v>5500000</v>
      </c>
      <c r="BA586" s="82">
        <v>0</v>
      </c>
      <c r="BB586" s="82">
        <v>5500000</v>
      </c>
      <c r="BC586" s="82">
        <f t="shared" ref="BC586:BD586" si="1163">AE586+AG586+AI586+AK586+AM586+AO586+AQ586+AS586+AU586+AW586+AY586+BA586</f>
        <v>55000000</v>
      </c>
      <c r="BD586" s="82">
        <f t="shared" si="1163"/>
        <v>55000000</v>
      </c>
      <c r="BE586" s="83">
        <f t="shared" si="813"/>
        <v>0</v>
      </c>
      <c r="BF586" s="83">
        <f t="shared" si="814"/>
        <v>0</v>
      </c>
      <c r="BG586" s="14" t="str">
        <f ca="1">IFERROR(__xludf.DUMMYFUNCTION("REGEXEXTRACT(O580,""^\S+\s(.+)$"")"),"Prestación de servicios profesionales para contribuir en la estructuración, planificación, seguimiento y control de los proyectos, iniciativas y líneas estratégicas y de tecnologías de la información asociadas a la Subdirección de Gestión de la Informació"&amp;"n, mediante la aplicación de metodologías y buenas prácticas de dirección de proyectos.")</f>
        <v>Prestación de servicios profesionales para contribuir en la estructuración, planificación, seguimiento y control de los proyectos, iniciativas y líneas estratégicas y de tecnologías de la información asociadas a la Subdirección de Gestión de la Información, mediante la aplicación de metodologías y buenas prácticas de dirección de proyectos.</v>
      </c>
      <c r="BH586" s="23"/>
      <c r="BI586" s="23"/>
      <c r="BJ586" s="23">
        <v>55000000</v>
      </c>
      <c r="BK586" s="23"/>
      <c r="BL586" s="23"/>
      <c r="BM586" s="23">
        <v>5500000</v>
      </c>
      <c r="BN586" s="23"/>
      <c r="BO586" s="23">
        <v>5500000</v>
      </c>
      <c r="BP586" s="23"/>
      <c r="BQ586" s="23">
        <v>5500000</v>
      </c>
      <c r="BR586" s="23"/>
      <c r="BS586" s="23">
        <v>5500000</v>
      </c>
      <c r="BT586" s="23"/>
      <c r="BU586" s="23">
        <v>5500000</v>
      </c>
      <c r="BV586" s="23"/>
      <c r="BW586" s="23">
        <v>5500000</v>
      </c>
      <c r="BX586" s="23"/>
      <c r="BY586" s="23">
        <v>5500000</v>
      </c>
      <c r="BZ586" s="23"/>
      <c r="CA586" s="23">
        <v>5500000</v>
      </c>
      <c r="CB586" s="23"/>
      <c r="CC586" s="23">
        <v>5500000</v>
      </c>
      <c r="CD586" s="23"/>
      <c r="CE586" s="23">
        <v>5500000</v>
      </c>
      <c r="CF586" s="28"/>
      <c r="CG586" s="28"/>
      <c r="CH586" s="25">
        <f t="shared" ref="CH586:CI586" si="1164">BH586+BJ586+BL586+BN586+BP586+BR586+BT586+BV586+BX586+BZ586+CB586+CD586+CF586</f>
        <v>55000000</v>
      </c>
      <c r="CI586" s="25">
        <f t="shared" si="1164"/>
        <v>55000000</v>
      </c>
      <c r="CJ586" s="26">
        <f t="shared" si="816"/>
        <v>0</v>
      </c>
      <c r="CK586" s="26">
        <f t="shared" si="817"/>
        <v>0</v>
      </c>
    </row>
    <row r="587" spans="1:89" ht="90" customHeight="1" x14ac:dyDescent="0.3">
      <c r="A587" s="13" t="s">
        <v>248</v>
      </c>
      <c r="B587" s="14" t="s">
        <v>37</v>
      </c>
      <c r="C587" s="15" t="s">
        <v>1380</v>
      </c>
      <c r="D587" s="14" t="s">
        <v>64</v>
      </c>
      <c r="E587" s="13" t="s">
        <v>250</v>
      </c>
      <c r="F587" s="13" t="s">
        <v>250</v>
      </c>
      <c r="G587" s="14">
        <v>68</v>
      </c>
      <c r="H587" s="13" t="s">
        <v>1544</v>
      </c>
      <c r="I587" s="15" t="s">
        <v>1421</v>
      </c>
      <c r="J587" s="14" t="s">
        <v>40</v>
      </c>
      <c r="K587" s="15" t="s">
        <v>70</v>
      </c>
      <c r="L587" s="14">
        <v>80111620</v>
      </c>
      <c r="M587" s="14" t="s">
        <v>39</v>
      </c>
      <c r="N587" s="14" t="s">
        <v>253</v>
      </c>
      <c r="O587" s="15" t="s">
        <v>1545</v>
      </c>
      <c r="P587" s="14" t="s">
        <v>255</v>
      </c>
      <c r="Q587" s="14" t="s">
        <v>255</v>
      </c>
      <c r="R587" s="14" t="s">
        <v>255</v>
      </c>
      <c r="S587" s="17">
        <v>11</v>
      </c>
      <c r="T587" s="14" t="s">
        <v>256</v>
      </c>
      <c r="U587" s="14" t="s">
        <v>257</v>
      </c>
      <c r="V587" s="14" t="s">
        <v>112</v>
      </c>
      <c r="W587" s="18">
        <v>49400000</v>
      </c>
      <c r="X587" s="18">
        <v>49400000</v>
      </c>
      <c r="Y587" s="19" t="s">
        <v>339</v>
      </c>
      <c r="Z587" s="19" t="s">
        <v>258</v>
      </c>
      <c r="AA587" s="14" t="s">
        <v>1384</v>
      </c>
      <c r="AB587" s="14" t="s">
        <v>1385</v>
      </c>
      <c r="AC587" s="14">
        <v>6012220601</v>
      </c>
      <c r="AD587" s="14" t="s">
        <v>1134</v>
      </c>
      <c r="AE587" s="82">
        <v>49400000</v>
      </c>
      <c r="AF587" s="82">
        <v>0</v>
      </c>
      <c r="AG587" s="82">
        <v>0</v>
      </c>
      <c r="AH587" s="82">
        <v>0</v>
      </c>
      <c r="AI587" s="82">
        <v>0</v>
      </c>
      <c r="AJ587" s="82">
        <v>0</v>
      </c>
      <c r="AK587" s="82">
        <v>0</v>
      </c>
      <c r="AL587" s="82">
        <v>5000000</v>
      </c>
      <c r="AM587" s="82">
        <v>0</v>
      </c>
      <c r="AN587" s="82">
        <v>5000000</v>
      </c>
      <c r="AO587" s="82">
        <v>0</v>
      </c>
      <c r="AP587" s="82">
        <v>5000000</v>
      </c>
      <c r="AQ587" s="82">
        <v>0</v>
      </c>
      <c r="AR587" s="82">
        <v>5000000</v>
      </c>
      <c r="AS587" s="82">
        <v>0</v>
      </c>
      <c r="AT587" s="82">
        <v>5000000</v>
      </c>
      <c r="AU587" s="82">
        <v>0</v>
      </c>
      <c r="AV587" s="82">
        <v>5000000</v>
      </c>
      <c r="AW587" s="82">
        <v>0</v>
      </c>
      <c r="AX587" s="82">
        <v>5000000</v>
      </c>
      <c r="AY587" s="82">
        <v>0</v>
      </c>
      <c r="AZ587" s="82">
        <v>5000000</v>
      </c>
      <c r="BA587" s="82">
        <v>0</v>
      </c>
      <c r="BB587" s="82">
        <v>9400000</v>
      </c>
      <c r="BC587" s="82">
        <f t="shared" ref="BC587:BD587" si="1165">AE587+AG587+AI587+AK587+AM587+AO587+AQ587+AS587+AU587+AW587+AY587+BA587</f>
        <v>49400000</v>
      </c>
      <c r="BD587" s="82">
        <f t="shared" si="1165"/>
        <v>49400000</v>
      </c>
      <c r="BE587" s="83">
        <f t="shared" si="813"/>
        <v>0</v>
      </c>
      <c r="BF587" s="83">
        <f t="shared" si="814"/>
        <v>0</v>
      </c>
      <c r="BG587" s="14" t="str">
        <f ca="1">IFERROR(__xludf.DUMMYFUNCTION("REGEXEXTRACT(O581,""^\S+\s(.+)$"")"),"Prestación de servicios profesionales para el control de calidad, documentación y fortalecimiento del gobierno de datos geográficos y sectoriales de la UPME, mediante la verificación, normalización y documentación de la información geoespacial, la gestión"&amp;" de metadatos y el soporte a los lineamientos de interoperabilidad y gobernanza de datos definidos por la entidad.")</f>
        <v>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v>
      </c>
      <c r="BH587" s="23">
        <v>49400000</v>
      </c>
      <c r="BI587" s="23"/>
      <c r="BJ587" s="23"/>
      <c r="BK587" s="23"/>
      <c r="BL587" s="23"/>
      <c r="BM587" s="23"/>
      <c r="BN587" s="23"/>
      <c r="BO587" s="23">
        <v>5000000</v>
      </c>
      <c r="BP587" s="23"/>
      <c r="BQ587" s="23">
        <v>5000000</v>
      </c>
      <c r="BR587" s="23"/>
      <c r="BS587" s="23">
        <v>5000000</v>
      </c>
      <c r="BT587" s="23"/>
      <c r="BU587" s="23">
        <v>5000000</v>
      </c>
      <c r="BV587" s="23"/>
      <c r="BW587" s="23">
        <v>5000000</v>
      </c>
      <c r="BX587" s="23"/>
      <c r="BY587" s="23">
        <v>5000000</v>
      </c>
      <c r="BZ587" s="23"/>
      <c r="CA587" s="23">
        <v>5000000</v>
      </c>
      <c r="CB587" s="23"/>
      <c r="CC587" s="23">
        <v>5000000</v>
      </c>
      <c r="CD587" s="23"/>
      <c r="CE587" s="23">
        <v>9400000</v>
      </c>
      <c r="CF587" s="28"/>
      <c r="CG587" s="28"/>
      <c r="CH587" s="25">
        <f t="shared" ref="CH587:CI587" si="1166">BH587+BJ587+BL587+BN587+BP587+BR587+BT587+BV587+BX587+BZ587+CB587+CD587+CF587</f>
        <v>49400000</v>
      </c>
      <c r="CI587" s="25">
        <f t="shared" si="1166"/>
        <v>49400000</v>
      </c>
      <c r="CJ587" s="26">
        <f t="shared" si="816"/>
        <v>0</v>
      </c>
      <c r="CK587" s="26">
        <f t="shared" si="817"/>
        <v>0</v>
      </c>
    </row>
    <row r="588" spans="1:89" ht="90" customHeight="1" x14ac:dyDescent="0.3">
      <c r="A588" s="13" t="s">
        <v>248</v>
      </c>
      <c r="B588" s="14" t="s">
        <v>37</v>
      </c>
      <c r="C588" s="15" t="s">
        <v>1380</v>
      </c>
      <c r="D588" s="14" t="s">
        <v>64</v>
      </c>
      <c r="E588" s="13" t="s">
        <v>250</v>
      </c>
      <c r="F588" s="13" t="s">
        <v>250</v>
      </c>
      <c r="G588" s="14">
        <v>22</v>
      </c>
      <c r="H588" s="13" t="s">
        <v>1546</v>
      </c>
      <c r="I588" s="15" t="s">
        <v>1421</v>
      </c>
      <c r="J588" s="14" t="s">
        <v>43</v>
      </c>
      <c r="K588" s="15" t="s">
        <v>90</v>
      </c>
      <c r="L588" s="14">
        <v>80111620</v>
      </c>
      <c r="M588" s="14" t="s">
        <v>44</v>
      </c>
      <c r="N588" s="14" t="s">
        <v>253</v>
      </c>
      <c r="O588" s="34" t="s">
        <v>1547</v>
      </c>
      <c r="P588" s="14" t="s">
        <v>255</v>
      </c>
      <c r="Q588" s="14" t="s">
        <v>255</v>
      </c>
      <c r="R588" s="14" t="s">
        <v>255</v>
      </c>
      <c r="S588" s="17">
        <v>11.5</v>
      </c>
      <c r="T588" s="14" t="s">
        <v>256</v>
      </c>
      <c r="U588" s="14" t="s">
        <v>257</v>
      </c>
      <c r="V588" s="14" t="s">
        <v>112</v>
      </c>
      <c r="W588" s="18">
        <v>30697520</v>
      </c>
      <c r="X588" s="18">
        <v>30697520</v>
      </c>
      <c r="Y588" s="19" t="s">
        <v>339</v>
      </c>
      <c r="Z588" s="19" t="s">
        <v>258</v>
      </c>
      <c r="AA588" s="14" t="s">
        <v>1384</v>
      </c>
      <c r="AB588" s="14" t="s">
        <v>1385</v>
      </c>
      <c r="AC588" s="14">
        <v>6012220601</v>
      </c>
      <c r="AD588" s="14" t="s">
        <v>1134</v>
      </c>
      <c r="AE588" s="82">
        <v>0</v>
      </c>
      <c r="AF588" s="82">
        <v>0</v>
      </c>
      <c r="AG588" s="82">
        <v>33000000</v>
      </c>
      <c r="AH588" s="82">
        <v>0</v>
      </c>
      <c r="AI588" s="82">
        <v>0</v>
      </c>
      <c r="AJ588" s="82">
        <v>3000000</v>
      </c>
      <c r="AK588" s="82">
        <v>0</v>
      </c>
      <c r="AL588" s="82">
        <v>3000000</v>
      </c>
      <c r="AM588" s="82">
        <v>0</v>
      </c>
      <c r="AN588" s="82">
        <v>3000000</v>
      </c>
      <c r="AO588" s="82">
        <v>0</v>
      </c>
      <c r="AP588" s="82">
        <v>3000000</v>
      </c>
      <c r="AQ588" s="82">
        <v>0</v>
      </c>
      <c r="AR588" s="82">
        <v>3000000</v>
      </c>
      <c r="AS588" s="82">
        <v>0</v>
      </c>
      <c r="AT588" s="82">
        <v>3000000</v>
      </c>
      <c r="AU588" s="82">
        <v>0</v>
      </c>
      <c r="AV588" s="82">
        <v>3000000</v>
      </c>
      <c r="AW588" s="82">
        <v>0</v>
      </c>
      <c r="AX588" s="82">
        <v>3000000</v>
      </c>
      <c r="AY588" s="82">
        <v>0</v>
      </c>
      <c r="AZ588" s="82">
        <v>3000000</v>
      </c>
      <c r="BA588" s="82">
        <v>0</v>
      </c>
      <c r="BB588" s="82">
        <v>6000000</v>
      </c>
      <c r="BC588" s="82">
        <f t="shared" ref="BC588:BD588" si="1167">AE588+AG588+AI588+AK588+AM588+AO588+AQ588+AS588+AU588+AW588+AY588+BA588</f>
        <v>33000000</v>
      </c>
      <c r="BD588" s="82">
        <f t="shared" si="1167"/>
        <v>33000000</v>
      </c>
      <c r="BE588" s="83">
        <f t="shared" si="813"/>
        <v>-2302480</v>
      </c>
      <c r="BF588" s="83">
        <f t="shared" si="814"/>
        <v>-2302480</v>
      </c>
      <c r="BG588" s="14" t="str">
        <f ca="1">IFERROR(__xludf.DUMMYFUNCTION("REGEXEXTRACT(O582,""^\S+\s(.+)$"")"),"Prestación de servicios de apoyo a la gestión para la exploración, limpieza y análisis de datos institucionales y sectoriales")</f>
        <v>Prestación de servicios de apoyo a la gestión para la exploración, limpieza y análisis de datos institucionales y sectoriales</v>
      </c>
      <c r="BH588" s="23">
        <v>0</v>
      </c>
      <c r="BI588" s="23">
        <v>0</v>
      </c>
      <c r="BJ588" s="23">
        <v>30697520</v>
      </c>
      <c r="BK588" s="23">
        <v>0</v>
      </c>
      <c r="BL588" s="23">
        <v>0</v>
      </c>
      <c r="BM588" s="23">
        <v>3000000</v>
      </c>
      <c r="BN588" s="23">
        <v>0</v>
      </c>
      <c r="BO588" s="23">
        <v>3000000</v>
      </c>
      <c r="BP588" s="23">
        <v>0</v>
      </c>
      <c r="BQ588" s="23">
        <v>3000000</v>
      </c>
      <c r="BR588" s="23">
        <v>0</v>
      </c>
      <c r="BS588" s="23">
        <v>3000000</v>
      </c>
      <c r="BT588" s="23">
        <v>0</v>
      </c>
      <c r="BU588" s="23">
        <v>3000000</v>
      </c>
      <c r="BV588" s="23">
        <v>0</v>
      </c>
      <c r="BW588" s="23">
        <v>3000000</v>
      </c>
      <c r="BX588" s="23">
        <v>0</v>
      </c>
      <c r="BY588" s="23">
        <v>3000000</v>
      </c>
      <c r="BZ588" s="23">
        <v>0</v>
      </c>
      <c r="CA588" s="23">
        <v>3000000</v>
      </c>
      <c r="CB588" s="23">
        <v>0</v>
      </c>
      <c r="CC588" s="23">
        <v>3000000</v>
      </c>
      <c r="CD588" s="23">
        <v>0</v>
      </c>
      <c r="CE588" s="23">
        <v>3697520</v>
      </c>
      <c r="CF588" s="28"/>
      <c r="CG588" s="28"/>
      <c r="CH588" s="25">
        <f t="shared" ref="CH588:CI588" si="1168">BH588+BJ588+BL588+BN588+BP588+BR588+BT588+BV588+BX588+BZ588+CB588+CD588+CF588</f>
        <v>30697520</v>
      </c>
      <c r="CI588" s="25">
        <f t="shared" si="1168"/>
        <v>30697520</v>
      </c>
      <c r="CJ588" s="26">
        <f t="shared" si="816"/>
        <v>0</v>
      </c>
      <c r="CK588" s="26">
        <f t="shared" si="817"/>
        <v>0</v>
      </c>
    </row>
    <row r="589" spans="1:89" ht="90" customHeight="1" x14ac:dyDescent="0.3">
      <c r="A589" s="13" t="s">
        <v>248</v>
      </c>
      <c r="B589" s="14" t="s">
        <v>37</v>
      </c>
      <c r="C589" s="15" t="s">
        <v>1380</v>
      </c>
      <c r="D589" s="14" t="s">
        <v>64</v>
      </c>
      <c r="E589" s="13" t="s">
        <v>250</v>
      </c>
      <c r="F589" s="13" t="s">
        <v>250</v>
      </c>
      <c r="G589" s="14">
        <v>9</v>
      </c>
      <c r="H589" s="13" t="s">
        <v>1548</v>
      </c>
      <c r="I589" s="15" t="s">
        <v>1382</v>
      </c>
      <c r="J589" s="14" t="s">
        <v>45</v>
      </c>
      <c r="K589" s="15" t="s">
        <v>90</v>
      </c>
      <c r="L589" s="14">
        <v>80111620</v>
      </c>
      <c r="M589" s="14" t="s">
        <v>46</v>
      </c>
      <c r="N589" s="14" t="s">
        <v>253</v>
      </c>
      <c r="O589" s="34" t="s">
        <v>1549</v>
      </c>
      <c r="P589" s="14" t="s">
        <v>255</v>
      </c>
      <c r="Q589" s="14" t="s">
        <v>255</v>
      </c>
      <c r="R589" s="14" t="s">
        <v>255</v>
      </c>
      <c r="S589" s="17">
        <v>10.5</v>
      </c>
      <c r="T589" s="14" t="s">
        <v>256</v>
      </c>
      <c r="U589" s="14" t="s">
        <v>257</v>
      </c>
      <c r="V589" s="14" t="s">
        <v>112</v>
      </c>
      <c r="W589" s="18">
        <v>33000000</v>
      </c>
      <c r="X589" s="18">
        <v>33000000</v>
      </c>
      <c r="Y589" s="19" t="s">
        <v>339</v>
      </c>
      <c r="Z589" s="19" t="s">
        <v>258</v>
      </c>
      <c r="AA589" s="14" t="s">
        <v>1384</v>
      </c>
      <c r="AB589" s="14" t="s">
        <v>1385</v>
      </c>
      <c r="AC589" s="14">
        <v>6012220601</v>
      </c>
      <c r="AD589" s="14" t="s">
        <v>1134</v>
      </c>
      <c r="AE589" s="82">
        <v>0</v>
      </c>
      <c r="AF589" s="82">
        <v>0</v>
      </c>
      <c r="AG589" s="82">
        <v>0</v>
      </c>
      <c r="AH589" s="82">
        <v>0</v>
      </c>
      <c r="AI589" s="82">
        <v>0</v>
      </c>
      <c r="AJ589" s="82">
        <v>0</v>
      </c>
      <c r="AK589" s="82">
        <v>0</v>
      </c>
      <c r="AL589" s="82">
        <v>0</v>
      </c>
      <c r="AM589" s="82">
        <v>0</v>
      </c>
      <c r="AN589" s="82">
        <v>0</v>
      </c>
      <c r="AO589" s="82">
        <v>0</v>
      </c>
      <c r="AP589" s="82">
        <v>0</v>
      </c>
      <c r="AQ589" s="82">
        <v>0</v>
      </c>
      <c r="AR589" s="82">
        <v>0</v>
      </c>
      <c r="AS589" s="82">
        <v>33000000</v>
      </c>
      <c r="AT589" s="82">
        <v>0</v>
      </c>
      <c r="AU589" s="82">
        <v>0</v>
      </c>
      <c r="AV589" s="82">
        <v>0</v>
      </c>
      <c r="AW589" s="82">
        <v>0</v>
      </c>
      <c r="AX589" s="82">
        <v>0</v>
      </c>
      <c r="AY589" s="82">
        <v>0</v>
      </c>
      <c r="AZ589" s="82">
        <v>0</v>
      </c>
      <c r="BA589" s="82">
        <v>0</v>
      </c>
      <c r="BB589" s="82">
        <v>33000000</v>
      </c>
      <c r="BC589" s="82">
        <f t="shared" ref="BC589:BD589" si="1169">AE589+AG589+AI589+AK589+AM589+AO589+AQ589+AS589+AU589+AW589+AY589+BA589</f>
        <v>33000000</v>
      </c>
      <c r="BD589" s="82">
        <f t="shared" si="1169"/>
        <v>33000000</v>
      </c>
      <c r="BE589" s="83">
        <f t="shared" si="813"/>
        <v>0</v>
      </c>
      <c r="BF589" s="83">
        <f t="shared" si="814"/>
        <v>0</v>
      </c>
      <c r="BG589" s="14" t="str">
        <f ca="1">IFERROR(__xludf.DUMMYFUNCTION("REGEXEXTRACT(O583,""^\S+\s(.+)$"")"),"Prestación de servicios profesionales para apoyar la proyección de actos administrativos y el cumplimiento de responsabilidades jurídico administrativas a cargo de la Subdirección de Gestión de la Información.")</f>
        <v>Prestación de servicios profesionales para apoyar la proyección de actos administrativos y el cumplimiento de responsabilidades jurídico administrativas a cargo de la Subdirección de Gestión de la Información.</v>
      </c>
      <c r="BH589" s="23"/>
      <c r="BI589" s="23"/>
      <c r="BJ589" s="23"/>
      <c r="BK589" s="23"/>
      <c r="BL589" s="23"/>
      <c r="BM589" s="23"/>
      <c r="BN589" s="23"/>
      <c r="BO589" s="23"/>
      <c r="BP589" s="23"/>
      <c r="BQ589" s="23"/>
      <c r="BR589" s="23"/>
      <c r="BS589" s="23"/>
      <c r="BT589" s="23"/>
      <c r="BU589" s="23"/>
      <c r="BV589" s="23">
        <v>33000000</v>
      </c>
      <c r="BW589" s="23"/>
      <c r="BX589" s="23"/>
      <c r="BY589" s="23"/>
      <c r="BZ589" s="23"/>
      <c r="CA589" s="23"/>
      <c r="CB589" s="23"/>
      <c r="CC589" s="23"/>
      <c r="CD589" s="23"/>
      <c r="CE589" s="23">
        <v>33000000</v>
      </c>
      <c r="CF589" s="28"/>
      <c r="CG589" s="28"/>
      <c r="CH589" s="25">
        <f t="shared" ref="CH589:CI589" si="1170">BH589+BJ589+BL589+BN589+BP589+BR589+BT589+BV589+BX589+BZ589+CB589+CD589+CF589</f>
        <v>33000000</v>
      </c>
      <c r="CI589" s="25">
        <f t="shared" si="1170"/>
        <v>33000000</v>
      </c>
      <c r="CJ589" s="26">
        <f t="shared" si="816"/>
        <v>0</v>
      </c>
      <c r="CK589" s="26">
        <f t="shared" si="817"/>
        <v>0</v>
      </c>
    </row>
    <row r="590" spans="1:89" ht="90" customHeight="1" x14ac:dyDescent="0.3">
      <c r="A590" s="13" t="s">
        <v>248</v>
      </c>
      <c r="B590" s="14" t="s">
        <v>48</v>
      </c>
      <c r="C590" s="15" t="s">
        <v>1550</v>
      </c>
      <c r="D590" s="14" t="s">
        <v>65</v>
      </c>
      <c r="E590" s="13" t="s">
        <v>250</v>
      </c>
      <c r="F590" s="13" t="s">
        <v>250</v>
      </c>
      <c r="G590" s="14">
        <v>8</v>
      </c>
      <c r="H590" s="13" t="s">
        <v>1551</v>
      </c>
      <c r="I590" s="15" t="s">
        <v>1552</v>
      </c>
      <c r="J590" s="14" t="s">
        <v>51</v>
      </c>
      <c r="K590" s="15" t="s">
        <v>74</v>
      </c>
      <c r="L590" s="14">
        <v>93151509</v>
      </c>
      <c r="M590" s="14" t="s">
        <v>52</v>
      </c>
      <c r="N590" s="14" t="s">
        <v>767</v>
      </c>
      <c r="O590" s="15" t="s">
        <v>1553</v>
      </c>
      <c r="P590" s="14" t="s">
        <v>1312</v>
      </c>
      <c r="Q590" s="14" t="s">
        <v>473</v>
      </c>
      <c r="R590" s="14" t="s">
        <v>468</v>
      </c>
      <c r="S590" s="17">
        <v>12</v>
      </c>
      <c r="T590" s="14" t="s">
        <v>256</v>
      </c>
      <c r="U590" s="14" t="s">
        <v>1313</v>
      </c>
      <c r="V590" s="14" t="s">
        <v>112</v>
      </c>
      <c r="W590" s="18">
        <v>133781464</v>
      </c>
      <c r="X590" s="18">
        <v>133781464</v>
      </c>
      <c r="Y590" s="19" t="s">
        <v>339</v>
      </c>
      <c r="Z590" s="19" t="s">
        <v>258</v>
      </c>
      <c r="AA590" s="14" t="s">
        <v>1554</v>
      </c>
      <c r="AB590" s="14" t="s">
        <v>1555</v>
      </c>
      <c r="AC590" s="14">
        <v>6012220601</v>
      </c>
      <c r="AD590" s="14" t="s">
        <v>1556</v>
      </c>
      <c r="AE590" s="82">
        <v>0</v>
      </c>
      <c r="AF590" s="82">
        <v>0</v>
      </c>
      <c r="AG590" s="82">
        <v>0</v>
      </c>
      <c r="AH590" s="82">
        <v>0</v>
      </c>
      <c r="AI590" s="82">
        <v>0</v>
      </c>
      <c r="AJ590" s="82">
        <v>0</v>
      </c>
      <c r="AK590" s="82">
        <v>0</v>
      </c>
      <c r="AL590" s="82">
        <v>0</v>
      </c>
      <c r="AM590" s="82">
        <v>0</v>
      </c>
      <c r="AN590" s="82">
        <v>0</v>
      </c>
      <c r="AO590" s="82">
        <v>0</v>
      </c>
      <c r="AP590" s="82">
        <v>0</v>
      </c>
      <c r="AQ590" s="82">
        <v>0</v>
      </c>
      <c r="AR590" s="82">
        <v>0</v>
      </c>
      <c r="AS590" s="82">
        <v>0</v>
      </c>
      <c r="AT590" s="82">
        <v>0</v>
      </c>
      <c r="AU590" s="82">
        <v>0</v>
      </c>
      <c r="AV590" s="82">
        <v>0</v>
      </c>
      <c r="AW590" s="82">
        <v>0</v>
      </c>
      <c r="AX590" s="82">
        <v>0</v>
      </c>
      <c r="AY590" s="82">
        <v>133781464</v>
      </c>
      <c r="AZ590" s="82">
        <v>0</v>
      </c>
      <c r="BA590" s="82">
        <v>0</v>
      </c>
      <c r="BB590" s="82">
        <v>133781464</v>
      </c>
      <c r="BC590" s="82">
        <f t="shared" ref="BC590:BD590" si="1171">AE590+AG590+AI590+AK590+AM590+AO590+AQ590+AS590+AU590+AW590+AY590+BA590</f>
        <v>133781464</v>
      </c>
      <c r="BD590" s="82">
        <f t="shared" si="1171"/>
        <v>133781464</v>
      </c>
      <c r="BE590" s="83">
        <f t="shared" si="813"/>
        <v>0</v>
      </c>
      <c r="BF590" s="83">
        <f t="shared" si="814"/>
        <v>0</v>
      </c>
      <c r="BG590" s="14" t="str">
        <f ca="1">IFERROR(__xludf.DUMMYFUNCTION("REGEXEXTRACT(O584,""^\S+\s(.+)$"")"),"Realizar la renovación de la suscripción online de S&amp;P Global Commodity Insights.")</f>
        <v>Realizar la renovación de la suscripción online de S&amp;P Global Commodity Insights.</v>
      </c>
      <c r="BH590" s="23"/>
      <c r="BI590" s="23"/>
      <c r="BJ590" s="23"/>
      <c r="BK590" s="23"/>
      <c r="BL590" s="23"/>
      <c r="BM590" s="23"/>
      <c r="BN590" s="23"/>
      <c r="BO590" s="23"/>
      <c r="BP590" s="23"/>
      <c r="BQ590" s="23"/>
      <c r="BR590" s="23"/>
      <c r="BS590" s="23"/>
      <c r="BT590" s="23"/>
      <c r="BU590" s="23"/>
      <c r="BV590" s="23"/>
      <c r="BW590" s="23"/>
      <c r="BX590" s="23"/>
      <c r="BY590" s="23"/>
      <c r="BZ590" s="23"/>
      <c r="CA590" s="23"/>
      <c r="CB590" s="23">
        <v>133781464</v>
      </c>
      <c r="CC590" s="23"/>
      <c r="CD590" s="23"/>
      <c r="CE590" s="23">
        <v>133781464</v>
      </c>
      <c r="CF590" s="28"/>
      <c r="CG590" s="28"/>
      <c r="CH590" s="25">
        <f t="shared" ref="CH590:CI590" si="1172">BH590+BJ590+BL590+BN590+BP590+BR590+BT590+BV590+BX590+BZ590+CB590+CD590+CF590</f>
        <v>133781464</v>
      </c>
      <c r="CI590" s="25">
        <f t="shared" si="1172"/>
        <v>133781464</v>
      </c>
      <c r="CJ590" s="26">
        <f t="shared" si="816"/>
        <v>0</v>
      </c>
      <c r="CK590" s="26">
        <f t="shared" si="817"/>
        <v>0</v>
      </c>
    </row>
    <row r="591" spans="1:89" ht="90" customHeight="1" x14ac:dyDescent="0.3">
      <c r="A591" s="13" t="s">
        <v>248</v>
      </c>
      <c r="B591" s="14" t="s">
        <v>48</v>
      </c>
      <c r="C591" s="15" t="s">
        <v>1550</v>
      </c>
      <c r="D591" s="14" t="s">
        <v>65</v>
      </c>
      <c r="E591" s="13" t="s">
        <v>250</v>
      </c>
      <c r="F591" s="13" t="s">
        <v>250</v>
      </c>
      <c r="G591" s="14">
        <v>21</v>
      </c>
      <c r="H591" s="13" t="s">
        <v>1557</v>
      </c>
      <c r="I591" s="15" t="s">
        <v>1552</v>
      </c>
      <c r="J591" s="14" t="s">
        <v>51</v>
      </c>
      <c r="K591" s="15" t="s">
        <v>74</v>
      </c>
      <c r="L591" s="14">
        <v>80111620</v>
      </c>
      <c r="M591" s="14" t="s">
        <v>52</v>
      </c>
      <c r="N591" s="14" t="s">
        <v>253</v>
      </c>
      <c r="O591" s="15" t="s">
        <v>1558</v>
      </c>
      <c r="P591" s="14" t="s">
        <v>255</v>
      </c>
      <c r="Q591" s="14" t="s">
        <v>255</v>
      </c>
      <c r="R591" s="14" t="s">
        <v>255</v>
      </c>
      <c r="S591" s="17">
        <v>11.7</v>
      </c>
      <c r="T591" s="14" t="s">
        <v>256</v>
      </c>
      <c r="U591" s="14" t="s">
        <v>257</v>
      </c>
      <c r="V591" s="14" t="s">
        <v>112</v>
      </c>
      <c r="W591" s="18">
        <v>111469661</v>
      </c>
      <c r="X591" s="18">
        <v>111469661</v>
      </c>
      <c r="Y591" s="19" t="s">
        <v>339</v>
      </c>
      <c r="Z591" s="19" t="s">
        <v>258</v>
      </c>
      <c r="AA591" s="14" t="s">
        <v>1554</v>
      </c>
      <c r="AB591" s="14" t="s">
        <v>1555</v>
      </c>
      <c r="AC591" s="14">
        <v>6012220601</v>
      </c>
      <c r="AD591" s="14" t="s">
        <v>1556</v>
      </c>
      <c r="AE591" s="82">
        <v>111469661</v>
      </c>
      <c r="AF591" s="82">
        <v>0</v>
      </c>
      <c r="AG591" s="82">
        <v>0</v>
      </c>
      <c r="AH591" s="82">
        <v>4846507</v>
      </c>
      <c r="AI591" s="82">
        <v>0</v>
      </c>
      <c r="AJ591" s="82">
        <v>9693014</v>
      </c>
      <c r="AK591" s="82">
        <v>0</v>
      </c>
      <c r="AL591" s="82">
        <v>9693014</v>
      </c>
      <c r="AM591" s="82">
        <v>0</v>
      </c>
      <c r="AN591" s="82">
        <v>9693014</v>
      </c>
      <c r="AO591" s="82">
        <v>0</v>
      </c>
      <c r="AP591" s="82">
        <v>9693014</v>
      </c>
      <c r="AQ591" s="82">
        <v>1938603</v>
      </c>
      <c r="AR591" s="82">
        <v>9693014</v>
      </c>
      <c r="AS591" s="82">
        <v>0</v>
      </c>
      <c r="AT591" s="82">
        <v>9693014</v>
      </c>
      <c r="AU591" s="82">
        <v>0</v>
      </c>
      <c r="AV591" s="82">
        <v>9693014</v>
      </c>
      <c r="AW591" s="82">
        <v>0</v>
      </c>
      <c r="AX591" s="82">
        <v>9693014</v>
      </c>
      <c r="AY591" s="82">
        <v>0</v>
      </c>
      <c r="AZ591" s="82">
        <v>9693014</v>
      </c>
      <c r="BA591" s="82">
        <v>0</v>
      </c>
      <c r="BB591" s="82">
        <v>21324631</v>
      </c>
      <c r="BC591" s="82">
        <f t="shared" ref="BC591:BD591" si="1173">AE591+AG591+AI591+AK591+AM591+AO591+AQ591+AS591+AU591+AW591+AY591+BA591</f>
        <v>113408264</v>
      </c>
      <c r="BD591" s="82">
        <f t="shared" si="1173"/>
        <v>113408264</v>
      </c>
      <c r="BE591" s="83">
        <f t="shared" si="813"/>
        <v>-1938603</v>
      </c>
      <c r="BF591" s="83">
        <f t="shared" si="814"/>
        <v>-1938603</v>
      </c>
      <c r="BG591" s="14" t="str">
        <f ca="1">IFERROR(__xludf.DUMMYFUNCTION("REGEXEXTRACT(O585,""^\S+\s(.+)$"")"),"Prestar los servicios profesionales para realizar el seguimiento y control de las actividades de planeación estratégica, procesos contractuales, ejecución presupuestal y ejecución del proyecto de inversión para el cumplimiento de las metas y objetivos de "&amp;"la Subdirección de Hidrocarburos; así como realizar acompañamiento en las diferentes actividades del sistema de gestión.")</f>
        <v>Prestar los servicios profesionales para realizar el seguimiento y control de las actividades de planeación estratégica, procesos contractuales, ejecución presupuestal y ejecución del proyecto de inversión para el cumplimiento de las metas y objetivos de la Subdirección de Hidrocarburos; así como realizar acompañamiento en las diferentes actividades del sistema de gestión.</v>
      </c>
      <c r="CF591" s="28"/>
      <c r="CG591" s="28"/>
      <c r="CH591" s="25">
        <f t="shared" ref="CH591:CI591" si="1174">BH592+BJ592+BL592+BN592+BP592+BR592+BT592+BV592+BX592+BZ592+CB592+CD592+CF591</f>
        <v>111469661</v>
      </c>
      <c r="CI591" s="25">
        <f t="shared" si="1174"/>
        <v>111469661</v>
      </c>
      <c r="CJ591" s="26">
        <f t="shared" si="816"/>
        <v>0</v>
      </c>
      <c r="CK591" s="26">
        <f t="shared" si="817"/>
        <v>0</v>
      </c>
    </row>
    <row r="592" spans="1:89" ht="90" customHeight="1" x14ac:dyDescent="0.3">
      <c r="A592" s="13" t="s">
        <v>248</v>
      </c>
      <c r="B592" s="14" t="s">
        <v>48</v>
      </c>
      <c r="C592" s="15" t="s">
        <v>1550</v>
      </c>
      <c r="D592" s="14" t="s">
        <v>65</v>
      </c>
      <c r="E592" s="13" t="s">
        <v>250</v>
      </c>
      <c r="F592" s="13" t="s">
        <v>250</v>
      </c>
      <c r="G592" s="14">
        <v>21</v>
      </c>
      <c r="H592" s="13" t="s">
        <v>1559</v>
      </c>
      <c r="I592" s="15" t="s">
        <v>1552</v>
      </c>
      <c r="J592" s="14" t="s">
        <v>51</v>
      </c>
      <c r="K592" s="15" t="s">
        <v>74</v>
      </c>
      <c r="L592" s="14">
        <v>80111620</v>
      </c>
      <c r="M592" s="14" t="s">
        <v>52</v>
      </c>
      <c r="N592" s="14" t="s">
        <v>253</v>
      </c>
      <c r="O592" s="15" t="s">
        <v>1560</v>
      </c>
      <c r="P592" s="14" t="s">
        <v>255</v>
      </c>
      <c r="Q592" s="14" t="s">
        <v>255</v>
      </c>
      <c r="R592" s="14" t="s">
        <v>255</v>
      </c>
      <c r="S592" s="17">
        <v>11.7</v>
      </c>
      <c r="T592" s="14" t="s">
        <v>256</v>
      </c>
      <c r="U592" s="14" t="s">
        <v>257</v>
      </c>
      <c r="V592" s="14" t="s">
        <v>112</v>
      </c>
      <c r="W592" s="18">
        <v>109207958</v>
      </c>
      <c r="X592" s="18">
        <v>109207958</v>
      </c>
      <c r="Y592" s="19" t="s">
        <v>339</v>
      </c>
      <c r="Z592" s="19" t="s">
        <v>258</v>
      </c>
      <c r="AA592" s="14" t="s">
        <v>1554</v>
      </c>
      <c r="AB592" s="14" t="s">
        <v>1555</v>
      </c>
      <c r="AC592" s="14">
        <v>6012220601</v>
      </c>
      <c r="AD592" s="14" t="s">
        <v>1556</v>
      </c>
      <c r="AE592" s="82">
        <v>111469661</v>
      </c>
      <c r="AF592" s="82">
        <v>0</v>
      </c>
      <c r="AG592" s="82">
        <v>0</v>
      </c>
      <c r="AH592" s="82">
        <v>2584804</v>
      </c>
      <c r="AI592" s="82">
        <v>0</v>
      </c>
      <c r="AJ592" s="82">
        <v>9693014</v>
      </c>
      <c r="AK592" s="82">
        <v>0</v>
      </c>
      <c r="AL592" s="82">
        <v>9693014</v>
      </c>
      <c r="AM592" s="82">
        <v>0</v>
      </c>
      <c r="AN592" s="82">
        <v>9693014</v>
      </c>
      <c r="AO592" s="82">
        <v>0</v>
      </c>
      <c r="AP592" s="82">
        <v>9693014</v>
      </c>
      <c r="AQ592" s="82">
        <v>0</v>
      </c>
      <c r="AR592" s="82">
        <v>9693014</v>
      </c>
      <c r="AS592" s="82">
        <v>1938602</v>
      </c>
      <c r="AT592" s="82">
        <v>9693014</v>
      </c>
      <c r="AU592" s="82">
        <v>0</v>
      </c>
      <c r="AV592" s="82">
        <v>9693014</v>
      </c>
      <c r="AW592" s="82">
        <v>0</v>
      </c>
      <c r="AX592" s="82">
        <v>9693014</v>
      </c>
      <c r="AY592" s="82">
        <v>0</v>
      </c>
      <c r="AZ592" s="82">
        <v>9693014</v>
      </c>
      <c r="BA592" s="82">
        <v>0</v>
      </c>
      <c r="BB592" s="82">
        <v>23586333</v>
      </c>
      <c r="BC592" s="82">
        <f t="shared" ref="BC592:BD592" si="1175">AE592+AG592+AI592+AK592+AM592+AO592+AQ592+AS592+AU592+AW592+AY592+BA592</f>
        <v>113408263</v>
      </c>
      <c r="BD592" s="82">
        <f t="shared" si="1175"/>
        <v>113408263</v>
      </c>
      <c r="BE592" s="83">
        <f t="shared" si="813"/>
        <v>-4200305</v>
      </c>
      <c r="BF592" s="83">
        <f t="shared" si="814"/>
        <v>-4200305</v>
      </c>
      <c r="BG592" s="14" t="str">
        <f ca="1">IFERROR(__xludf.DUMMYFUNCTION("REGEXEXTRACT(O586,""^\S+\s(.+)$"")"),"Prestar servicios profesionales para brindar apoyo jurídico a la Subdirección de Hidrocarburos en la ejecución y seguimiento de la política pública correspondiente al sector.")</f>
        <v>Prestar servicios profesionales para brindar apoyo jurídico a la Subdirección de Hidrocarburos en la ejecución y seguimiento de la política pública correspondiente al sector.</v>
      </c>
      <c r="BH592" s="23">
        <v>111469661</v>
      </c>
      <c r="BI592" s="23"/>
      <c r="BJ592" s="23"/>
      <c r="BK592" s="23">
        <v>4846507</v>
      </c>
      <c r="BL592" s="23"/>
      <c r="BM592" s="23">
        <v>9693014</v>
      </c>
      <c r="BN592" s="23"/>
      <c r="BO592" s="23">
        <v>9693014</v>
      </c>
      <c r="BP592" s="23"/>
      <c r="BQ592" s="23">
        <v>9693014</v>
      </c>
      <c r="BR592" s="23"/>
      <c r="BS592" s="23">
        <v>9693014</v>
      </c>
      <c r="BT592" s="23"/>
      <c r="BU592" s="23">
        <v>9693014</v>
      </c>
      <c r="BV592" s="23"/>
      <c r="BW592" s="23">
        <v>9693014</v>
      </c>
      <c r="BX592" s="23"/>
      <c r="BY592" s="23">
        <v>9693014</v>
      </c>
      <c r="BZ592" s="23"/>
      <c r="CA592" s="23">
        <v>9693014</v>
      </c>
      <c r="CB592" s="23"/>
      <c r="CC592" s="23">
        <v>9693014</v>
      </c>
      <c r="CD592" s="23"/>
      <c r="CE592" s="23">
        <v>19386028</v>
      </c>
      <c r="CF592" s="28"/>
      <c r="CG592" s="28"/>
      <c r="CH592" s="25">
        <f t="shared" ref="CH592:CI592" si="1176">BH593+BJ593+BL593+BN593+BP593+BR593+BT593+BV593+BX593+BZ593+CB593+CD593+CF592</f>
        <v>109207958</v>
      </c>
      <c r="CI592" s="25">
        <f t="shared" si="1176"/>
        <v>109207958</v>
      </c>
      <c r="CJ592" s="26">
        <f t="shared" si="816"/>
        <v>0</v>
      </c>
      <c r="CK592" s="26">
        <f t="shared" si="817"/>
        <v>0</v>
      </c>
    </row>
    <row r="593" spans="1:89" ht="90" customHeight="1" x14ac:dyDescent="0.3">
      <c r="A593" s="13" t="s">
        <v>248</v>
      </c>
      <c r="B593" s="14" t="s">
        <v>48</v>
      </c>
      <c r="C593" s="15" t="s">
        <v>1550</v>
      </c>
      <c r="D593" s="14" t="s">
        <v>65</v>
      </c>
      <c r="E593" s="13" t="s">
        <v>250</v>
      </c>
      <c r="F593" s="13" t="s">
        <v>250</v>
      </c>
      <c r="G593" s="14">
        <v>21</v>
      </c>
      <c r="H593" s="13" t="s">
        <v>1561</v>
      </c>
      <c r="I593" s="15" t="s">
        <v>1552</v>
      </c>
      <c r="J593" s="14" t="s">
        <v>51</v>
      </c>
      <c r="K593" s="15" t="s">
        <v>74</v>
      </c>
      <c r="L593" s="14">
        <v>80111620</v>
      </c>
      <c r="M593" s="14" t="s">
        <v>52</v>
      </c>
      <c r="N593" s="14" t="s">
        <v>253</v>
      </c>
      <c r="O593" s="15" t="s">
        <v>1562</v>
      </c>
      <c r="P593" s="14" t="s">
        <v>255</v>
      </c>
      <c r="Q593" s="14" t="s">
        <v>255</v>
      </c>
      <c r="R593" s="14" t="s">
        <v>255</v>
      </c>
      <c r="S593" s="17">
        <v>11.7</v>
      </c>
      <c r="T593" s="14" t="s">
        <v>256</v>
      </c>
      <c r="U593" s="14" t="s">
        <v>257</v>
      </c>
      <c r="V593" s="14" t="s">
        <v>112</v>
      </c>
      <c r="W593" s="18">
        <v>93342000</v>
      </c>
      <c r="X593" s="18">
        <v>93342000</v>
      </c>
      <c r="Y593" s="19" t="s">
        <v>339</v>
      </c>
      <c r="Z593" s="19" t="s">
        <v>258</v>
      </c>
      <c r="AA593" s="14" t="s">
        <v>1554</v>
      </c>
      <c r="AB593" s="14" t="s">
        <v>1555</v>
      </c>
      <c r="AC593" s="14">
        <v>6012220601</v>
      </c>
      <c r="AD593" s="14" t="s">
        <v>1556</v>
      </c>
      <c r="AE593" s="82">
        <v>94470000</v>
      </c>
      <c r="AF593" s="82">
        <v>0</v>
      </c>
      <c r="AG593" s="82">
        <v>0</v>
      </c>
      <c r="AH593" s="82">
        <v>0</v>
      </c>
      <c r="AI593" s="82">
        <v>0</v>
      </c>
      <c r="AJ593" s="82">
        <v>7332000</v>
      </c>
      <c r="AK593" s="82">
        <v>0</v>
      </c>
      <c r="AL593" s="82">
        <v>8460000</v>
      </c>
      <c r="AM593" s="82">
        <v>0</v>
      </c>
      <c r="AN593" s="82">
        <v>8460000</v>
      </c>
      <c r="AO593" s="82">
        <v>0</v>
      </c>
      <c r="AP593" s="82">
        <v>8460000</v>
      </c>
      <c r="AQ593" s="82">
        <v>0</v>
      </c>
      <c r="AR593" s="82">
        <v>8460000</v>
      </c>
      <c r="AS593" s="82">
        <v>4512000</v>
      </c>
      <c r="AT593" s="82">
        <v>8460000</v>
      </c>
      <c r="AU593" s="82">
        <v>0</v>
      </c>
      <c r="AV593" s="82">
        <v>8460000</v>
      </c>
      <c r="AW593" s="82">
        <v>0</v>
      </c>
      <c r="AX593" s="82">
        <v>8460000</v>
      </c>
      <c r="AY593" s="82">
        <v>0</v>
      </c>
      <c r="AZ593" s="82">
        <v>8460000</v>
      </c>
      <c r="BA593" s="82">
        <v>0</v>
      </c>
      <c r="BB593" s="82">
        <v>23970000</v>
      </c>
      <c r="BC593" s="82">
        <f t="shared" ref="BC593:BD593" si="1177">AE593+AG593+AI593+AK593+AM593+AO593+AQ593+AS593+AU593+AW593+AY593+BA593</f>
        <v>98982000</v>
      </c>
      <c r="BD593" s="82">
        <f t="shared" si="1177"/>
        <v>98982000</v>
      </c>
      <c r="BE593" s="83">
        <f t="shared" si="813"/>
        <v>-5640000</v>
      </c>
      <c r="BF593" s="83">
        <f t="shared" si="814"/>
        <v>-5640000</v>
      </c>
      <c r="BG593" s="14" t="str">
        <f ca="1">IFERROR(__xludf.DUMMYFUNCTION("REGEXEXTRACT(O587,""^\S+\s(.+)$"")"),"Prestar servicios profesionales de asesoría jurídica en temas asociados a los procesos abiertos y competitivos que adelante la Subdirección de Hidrocarburos.")</f>
        <v>Prestar servicios profesionales de asesoría jurídica en temas asociados a los procesos abiertos y competitivos que adelante la Subdirección de Hidrocarburos.</v>
      </c>
      <c r="BH593" s="23">
        <v>109207958</v>
      </c>
      <c r="BI593" s="23"/>
      <c r="BJ593" s="23"/>
      <c r="BK593" s="23">
        <v>2584804</v>
      </c>
      <c r="BL593" s="23"/>
      <c r="BM593" s="23">
        <v>9693014</v>
      </c>
      <c r="BN593" s="23"/>
      <c r="BO593" s="23">
        <v>9693014</v>
      </c>
      <c r="BP593" s="23"/>
      <c r="BQ593" s="23">
        <v>9693014</v>
      </c>
      <c r="BR593" s="23"/>
      <c r="BS593" s="23">
        <v>9693014</v>
      </c>
      <c r="BT593" s="23"/>
      <c r="BU593" s="23">
        <v>9693014</v>
      </c>
      <c r="BV593" s="23"/>
      <c r="BW593" s="23">
        <v>9693014</v>
      </c>
      <c r="BX593" s="23"/>
      <c r="BY593" s="23">
        <v>9693014</v>
      </c>
      <c r="BZ593" s="23"/>
      <c r="CA593" s="23">
        <v>9693014</v>
      </c>
      <c r="CB593" s="23"/>
      <c r="CC593" s="23">
        <v>9693014</v>
      </c>
      <c r="CD593" s="23"/>
      <c r="CE593" s="23">
        <v>19386028</v>
      </c>
      <c r="CF593" s="28"/>
      <c r="CG593" s="28"/>
      <c r="CH593" s="25">
        <f t="shared" ref="CH593:CI593" si="1178">BH594+BJ594+BL594+BN594+BP594+BR594+BT594+BV594+BX594+BZ594+CB594+CD594+CF593</f>
        <v>93342000</v>
      </c>
      <c r="CI593" s="25">
        <f t="shared" si="1178"/>
        <v>93342000</v>
      </c>
      <c r="CJ593" s="26">
        <f t="shared" si="816"/>
        <v>0</v>
      </c>
      <c r="CK593" s="26">
        <f t="shared" si="817"/>
        <v>0</v>
      </c>
    </row>
    <row r="594" spans="1:89" ht="90" customHeight="1" x14ac:dyDescent="0.3">
      <c r="A594" s="13" t="s">
        <v>248</v>
      </c>
      <c r="B594" s="14" t="s">
        <v>48</v>
      </c>
      <c r="C594" s="15" t="s">
        <v>1550</v>
      </c>
      <c r="D594" s="14" t="s">
        <v>65</v>
      </c>
      <c r="E594" s="13" t="s">
        <v>250</v>
      </c>
      <c r="F594" s="13" t="s">
        <v>250</v>
      </c>
      <c r="G594" s="14">
        <v>21</v>
      </c>
      <c r="H594" s="13" t="s">
        <v>1563</v>
      </c>
      <c r="I594" s="15" t="s">
        <v>1552</v>
      </c>
      <c r="J594" s="14" t="s">
        <v>51</v>
      </c>
      <c r="K594" s="15" t="s">
        <v>74</v>
      </c>
      <c r="L594" s="14">
        <v>80111620</v>
      </c>
      <c r="M594" s="14" t="s">
        <v>52</v>
      </c>
      <c r="N594" s="14" t="s">
        <v>253</v>
      </c>
      <c r="O594" s="15" t="s">
        <v>1564</v>
      </c>
      <c r="P594" s="14" t="s">
        <v>255</v>
      </c>
      <c r="Q594" s="14" t="s">
        <v>255</v>
      </c>
      <c r="R594" s="14" t="s">
        <v>255</v>
      </c>
      <c r="S594" s="17">
        <v>11.7</v>
      </c>
      <c r="T594" s="14" t="s">
        <v>256</v>
      </c>
      <c r="U594" s="14" t="s">
        <v>257</v>
      </c>
      <c r="V594" s="14" t="s">
        <v>112</v>
      </c>
      <c r="W594" s="18">
        <v>102920000</v>
      </c>
      <c r="X594" s="18">
        <v>102920000</v>
      </c>
      <c r="Y594" s="19" t="s">
        <v>339</v>
      </c>
      <c r="Z594" s="19" t="s">
        <v>258</v>
      </c>
      <c r="AA594" s="14" t="s">
        <v>1554</v>
      </c>
      <c r="AB594" s="14" t="s">
        <v>1555</v>
      </c>
      <c r="AC594" s="14">
        <v>6012220601</v>
      </c>
      <c r="AD594" s="14" t="s">
        <v>1556</v>
      </c>
      <c r="AE594" s="82">
        <v>104780000</v>
      </c>
      <c r="AF594" s="82">
        <v>0</v>
      </c>
      <c r="AG594" s="82">
        <v>0</v>
      </c>
      <c r="AH594" s="82">
        <v>0</v>
      </c>
      <c r="AI594" s="82">
        <v>0</v>
      </c>
      <c r="AJ594" s="82">
        <v>8060000</v>
      </c>
      <c r="AK594" s="82">
        <v>0</v>
      </c>
      <c r="AL594" s="82">
        <v>9300000</v>
      </c>
      <c r="AM594" s="82">
        <v>0</v>
      </c>
      <c r="AN594" s="82">
        <v>9300000</v>
      </c>
      <c r="AO594" s="82">
        <v>0</v>
      </c>
      <c r="AP594" s="82">
        <v>9300000</v>
      </c>
      <c r="AQ594" s="82">
        <v>0</v>
      </c>
      <c r="AR594" s="82">
        <v>9300000</v>
      </c>
      <c r="AS594" s="82">
        <v>4030000</v>
      </c>
      <c r="AT594" s="82">
        <v>9300000</v>
      </c>
      <c r="AU594" s="82">
        <v>0</v>
      </c>
      <c r="AV594" s="82">
        <v>9300000</v>
      </c>
      <c r="AW594" s="82">
        <v>0</v>
      </c>
      <c r="AX594" s="82">
        <v>9300000</v>
      </c>
      <c r="AY594" s="82">
        <v>0</v>
      </c>
      <c r="AZ594" s="82">
        <v>9300000</v>
      </c>
      <c r="BA594" s="82">
        <v>0</v>
      </c>
      <c r="BB594" s="82">
        <v>26350000</v>
      </c>
      <c r="BC594" s="82">
        <f t="shared" ref="BC594:BD594" si="1179">AE594+AG594+AI594+AK594+AM594+AO594+AQ594+AS594+AU594+AW594+AY594+BA594</f>
        <v>108810000</v>
      </c>
      <c r="BD594" s="82">
        <f t="shared" si="1179"/>
        <v>108810000</v>
      </c>
      <c r="BE594" s="83">
        <f t="shared" si="813"/>
        <v>-5890000</v>
      </c>
      <c r="BF594" s="83">
        <f t="shared" si="814"/>
        <v>-5890000</v>
      </c>
      <c r="BG594" s="14" t="str">
        <f ca="1">IFERROR(__xludf.DUMMYFUNCTION("REGEXEXTRACT(O588,""^\S+\s(.+)$"")"),"Prestar servicios profesionales para apoyar la elaboración, desarrollo, análisis de información y demás actividades relacionadas con el Plan Indicativo de Combustibles Líquidos a cargo de la Subdirección de Hidrocarburos")</f>
        <v>Prestar servicios profesionales para apoyar la elaboración, desarrollo, análisis de información y demás actividades relacionadas con el Plan Indicativo de Combustibles Líquidos a cargo de la Subdirección de Hidrocarburos</v>
      </c>
      <c r="BH594" s="23">
        <v>93342000</v>
      </c>
      <c r="BI594" s="23"/>
      <c r="BJ594" s="23"/>
      <c r="BK594" s="23"/>
      <c r="BL594" s="23"/>
      <c r="BM594" s="23">
        <v>7332000</v>
      </c>
      <c r="BN594" s="23"/>
      <c r="BO594" s="23">
        <v>8460000</v>
      </c>
      <c r="BP594" s="23"/>
      <c r="BQ594" s="23">
        <v>8460000</v>
      </c>
      <c r="BR594" s="23"/>
      <c r="BS594" s="23">
        <v>8460000</v>
      </c>
      <c r="BT594" s="23"/>
      <c r="BU594" s="23">
        <v>8460000</v>
      </c>
      <c r="BV594" s="23"/>
      <c r="BW594" s="23">
        <v>8460000</v>
      </c>
      <c r="BX594" s="23"/>
      <c r="BY594" s="23">
        <v>8460000</v>
      </c>
      <c r="BZ594" s="23"/>
      <c r="CA594" s="23">
        <v>9870000</v>
      </c>
      <c r="CB594" s="23"/>
      <c r="CC594" s="23">
        <v>8460000</v>
      </c>
      <c r="CD594" s="23"/>
      <c r="CE594" s="23">
        <v>16920000</v>
      </c>
      <c r="CF594" s="28"/>
      <c r="CG594" s="28"/>
      <c r="CH594" s="25">
        <f t="shared" ref="CH594:CI594" si="1180">BH595+BJ595+BL595+BN595+BP595+BR595+BT595+BV595+BX595+BZ595+CB595+CD595+CF594</f>
        <v>102920000</v>
      </c>
      <c r="CI594" s="25">
        <f t="shared" si="1180"/>
        <v>102920000</v>
      </c>
      <c r="CJ594" s="26">
        <f t="shared" si="816"/>
        <v>0</v>
      </c>
      <c r="CK594" s="26">
        <f t="shared" si="817"/>
        <v>0</v>
      </c>
    </row>
    <row r="595" spans="1:89" ht="90" customHeight="1" x14ac:dyDescent="0.3">
      <c r="A595" s="13" t="s">
        <v>248</v>
      </c>
      <c r="B595" s="14" t="s">
        <v>48</v>
      </c>
      <c r="C595" s="15" t="s">
        <v>1550</v>
      </c>
      <c r="D595" s="14" t="s">
        <v>65</v>
      </c>
      <c r="E595" s="13" t="s">
        <v>250</v>
      </c>
      <c r="F595" s="13" t="s">
        <v>250</v>
      </c>
      <c r="G595" s="14">
        <v>21</v>
      </c>
      <c r="H595" s="13" t="s">
        <v>1565</v>
      </c>
      <c r="I595" s="15" t="s">
        <v>1552</v>
      </c>
      <c r="J595" s="14" t="s">
        <v>51</v>
      </c>
      <c r="K595" s="15" t="s">
        <v>74</v>
      </c>
      <c r="L595" s="14">
        <v>80111620</v>
      </c>
      <c r="M595" s="14" t="s">
        <v>52</v>
      </c>
      <c r="N595" s="14" t="s">
        <v>253</v>
      </c>
      <c r="O595" s="15" t="s">
        <v>1566</v>
      </c>
      <c r="P595" s="14" t="s">
        <v>255</v>
      </c>
      <c r="Q595" s="14" t="s">
        <v>255</v>
      </c>
      <c r="R595" s="14" t="s">
        <v>255</v>
      </c>
      <c r="S595" s="17">
        <v>11.7</v>
      </c>
      <c r="T595" s="14" t="s">
        <v>256</v>
      </c>
      <c r="U595" s="14" t="s">
        <v>257</v>
      </c>
      <c r="V595" s="14" t="s">
        <v>112</v>
      </c>
      <c r="W595" s="18">
        <v>17966667</v>
      </c>
      <c r="X595" s="18">
        <v>17966667</v>
      </c>
      <c r="Y595" s="19" t="s">
        <v>339</v>
      </c>
      <c r="Z595" s="19" t="s">
        <v>258</v>
      </c>
      <c r="AA595" s="14" t="s">
        <v>1554</v>
      </c>
      <c r="AB595" s="14" t="s">
        <v>1555</v>
      </c>
      <c r="AC595" s="14">
        <v>6012220601</v>
      </c>
      <c r="AD595" s="14" t="s">
        <v>1556</v>
      </c>
      <c r="AE595" s="82">
        <v>88550000</v>
      </c>
      <c r="AF595" s="82">
        <v>0</v>
      </c>
      <c r="AG595" s="82">
        <v>0</v>
      </c>
      <c r="AH595" s="82">
        <v>2566667</v>
      </c>
      <c r="AI595" s="82">
        <v>0</v>
      </c>
      <c r="AJ595" s="82">
        <v>7700000</v>
      </c>
      <c r="AK595" s="82">
        <v>0</v>
      </c>
      <c r="AL595" s="82">
        <v>7700000</v>
      </c>
      <c r="AM595" s="82">
        <v>0</v>
      </c>
      <c r="AN595" s="82">
        <v>7700000</v>
      </c>
      <c r="AO595" s="82">
        <v>0</v>
      </c>
      <c r="AP595" s="82">
        <v>7700000</v>
      </c>
      <c r="AQ595" s="82">
        <v>0</v>
      </c>
      <c r="AR595" s="82">
        <v>7700000</v>
      </c>
      <c r="AS595" s="82">
        <v>1540000</v>
      </c>
      <c r="AT595" s="82">
        <v>7700000</v>
      </c>
      <c r="AU595" s="82">
        <v>0</v>
      </c>
      <c r="AV595" s="82">
        <v>7700000</v>
      </c>
      <c r="AW595" s="82">
        <v>0</v>
      </c>
      <c r="AX595" s="82">
        <v>7700000</v>
      </c>
      <c r="AY595" s="82">
        <v>0</v>
      </c>
      <c r="AZ595" s="82">
        <v>7700000</v>
      </c>
      <c r="BA595" s="82">
        <v>0</v>
      </c>
      <c r="BB595" s="82">
        <v>18223333</v>
      </c>
      <c r="BC595" s="82">
        <f t="shared" ref="BC595:BD595" si="1181">AE595+AG595+AI595+AK595+AM595+AO595+AQ595+AS595+AU595+AW595+AY595+BA595</f>
        <v>90090000</v>
      </c>
      <c r="BD595" s="82">
        <f t="shared" si="1181"/>
        <v>90090000</v>
      </c>
      <c r="BE595" s="83">
        <f t="shared" si="813"/>
        <v>-72123333</v>
      </c>
      <c r="BF595" s="83">
        <f t="shared" si="814"/>
        <v>-72123333</v>
      </c>
      <c r="BG595" s="14" t="str">
        <f ca="1">IFERROR(__xludf.DUMMYFUNCTION("REGEXEXTRACT(O589,""^\S+\s(.+)$"")"),"Prestar los servicios profesionales para apoyar la estructuración, seguimiento, ejecución y control de los procesos abiertos y competitivos que adelante la Subdirección de Hidrocarburos.")</f>
        <v>Prestar los servicios profesionales para apoyar la estructuración, seguimiento, ejecución y control de los procesos abiertos y competitivos que adelante la Subdirección de Hidrocarburos.</v>
      </c>
      <c r="BH595" s="23">
        <v>102920000</v>
      </c>
      <c r="BI595" s="23"/>
      <c r="BJ595" s="23"/>
      <c r="BK595" s="23"/>
      <c r="BL595" s="23"/>
      <c r="BM595" s="23">
        <v>8060000</v>
      </c>
      <c r="BN595" s="23"/>
      <c r="BO595" s="23">
        <v>9300000</v>
      </c>
      <c r="BP595" s="23"/>
      <c r="BQ595" s="23">
        <v>9300000</v>
      </c>
      <c r="BR595" s="23"/>
      <c r="BS595" s="23">
        <v>9300000</v>
      </c>
      <c r="BT595" s="23"/>
      <c r="BU595" s="23">
        <v>9300000</v>
      </c>
      <c r="BV595" s="23"/>
      <c r="BW595" s="23">
        <v>9300000</v>
      </c>
      <c r="BX595" s="23"/>
      <c r="BY595" s="23">
        <v>9300000</v>
      </c>
      <c r="BZ595" s="23"/>
      <c r="CA595" s="23">
        <v>11160000</v>
      </c>
      <c r="CB595" s="23"/>
      <c r="CC595" s="23">
        <v>9300000</v>
      </c>
      <c r="CD595" s="23"/>
      <c r="CE595" s="23">
        <v>18600000</v>
      </c>
      <c r="CF595" s="28"/>
      <c r="CG595" s="28"/>
      <c r="CH595" s="25">
        <f t="shared" ref="CH595:CI595" si="1182">BH596+BJ596+BL596+BN596+BP596+BR596+BT596+BV596+BX596+BZ596+CB596+CD596+CF595</f>
        <v>17966667</v>
      </c>
      <c r="CI595" s="25">
        <f t="shared" si="1182"/>
        <v>17966667</v>
      </c>
      <c r="CJ595" s="26">
        <f t="shared" si="816"/>
        <v>0</v>
      </c>
      <c r="CK595" s="26">
        <f t="shared" si="817"/>
        <v>0</v>
      </c>
    </row>
    <row r="596" spans="1:89" ht="90" customHeight="1" x14ac:dyDescent="0.3">
      <c r="A596" s="13" t="s">
        <v>248</v>
      </c>
      <c r="B596" s="14" t="s">
        <v>48</v>
      </c>
      <c r="C596" s="15" t="s">
        <v>1550</v>
      </c>
      <c r="D596" s="14" t="s">
        <v>65</v>
      </c>
      <c r="E596" s="13" t="s">
        <v>250</v>
      </c>
      <c r="F596" s="13" t="s">
        <v>250</v>
      </c>
      <c r="G596" s="14">
        <v>21</v>
      </c>
      <c r="H596" s="13" t="s">
        <v>1567</v>
      </c>
      <c r="I596" s="15" t="s">
        <v>1552</v>
      </c>
      <c r="J596" s="14" t="s">
        <v>51</v>
      </c>
      <c r="K596" s="15" t="s">
        <v>74</v>
      </c>
      <c r="L596" s="14">
        <v>80111620</v>
      </c>
      <c r="M596" s="14" t="s">
        <v>52</v>
      </c>
      <c r="N596" s="14" t="s">
        <v>253</v>
      </c>
      <c r="O596" s="15" t="s">
        <v>1568</v>
      </c>
      <c r="P596" s="14" t="s">
        <v>255</v>
      </c>
      <c r="Q596" s="14" t="s">
        <v>255</v>
      </c>
      <c r="R596" s="14" t="s">
        <v>255</v>
      </c>
      <c r="S596" s="17">
        <v>11.7</v>
      </c>
      <c r="T596" s="14" t="s">
        <v>256</v>
      </c>
      <c r="U596" s="14" t="s">
        <v>257</v>
      </c>
      <c r="V596" s="14" t="s">
        <v>112</v>
      </c>
      <c r="W596" s="18">
        <v>86933333</v>
      </c>
      <c r="X596" s="18">
        <v>86933333</v>
      </c>
      <c r="Y596" s="19" t="s">
        <v>339</v>
      </c>
      <c r="Z596" s="19" t="s">
        <v>258</v>
      </c>
      <c r="AA596" s="14" t="s">
        <v>1554</v>
      </c>
      <c r="AB596" s="14" t="s">
        <v>1555</v>
      </c>
      <c r="AC596" s="14">
        <v>6012220601</v>
      </c>
      <c r="AD596" s="14" t="s">
        <v>1556</v>
      </c>
      <c r="AE596" s="82">
        <v>0</v>
      </c>
      <c r="AF596" s="82">
        <v>0</v>
      </c>
      <c r="AG596" s="82">
        <v>88000000</v>
      </c>
      <c r="AH596" s="82">
        <v>0</v>
      </c>
      <c r="AI596" s="82">
        <v>0</v>
      </c>
      <c r="AJ596" s="82">
        <v>6933333</v>
      </c>
      <c r="AK596" s="82">
        <v>0</v>
      </c>
      <c r="AL596" s="82">
        <v>8000000</v>
      </c>
      <c r="AM596" s="82">
        <v>0</v>
      </c>
      <c r="AN596" s="82">
        <v>8000000</v>
      </c>
      <c r="AO596" s="82">
        <v>0</v>
      </c>
      <c r="AP596" s="82">
        <v>8000000</v>
      </c>
      <c r="AQ596" s="82">
        <v>0</v>
      </c>
      <c r="AR596" s="82">
        <v>8000000</v>
      </c>
      <c r="AS596" s="82">
        <v>0</v>
      </c>
      <c r="AT596" s="82">
        <v>8000000</v>
      </c>
      <c r="AU596" s="82">
        <v>0</v>
      </c>
      <c r="AV596" s="82">
        <v>8000000</v>
      </c>
      <c r="AW596" s="82">
        <v>0</v>
      </c>
      <c r="AX596" s="82">
        <v>8000000</v>
      </c>
      <c r="AY596" s="82">
        <v>0</v>
      </c>
      <c r="AZ596" s="82">
        <v>8000000</v>
      </c>
      <c r="BA596" s="82">
        <v>0</v>
      </c>
      <c r="BB596" s="82">
        <v>17066667</v>
      </c>
      <c r="BC596" s="82">
        <f t="shared" ref="BC596:BD596" si="1183">AE596+AG596+AI596+AK596+AM596+AO596+AQ596+AS596+AU596+AW596+AY596+BA596</f>
        <v>88000000</v>
      </c>
      <c r="BD596" s="82">
        <f t="shared" si="1183"/>
        <v>88000000</v>
      </c>
      <c r="BE596" s="83">
        <f t="shared" si="813"/>
        <v>-1066667</v>
      </c>
      <c r="BF596" s="83">
        <f t="shared" si="814"/>
        <v>-1066667</v>
      </c>
      <c r="BG596" s="14" t="str">
        <f ca="1">IFERROR(__xludf.DUMMYFUNCTION("REGEXEXTRACT(O590,""^\S+\s(.+)$"")"),"Prestar servicios profesionales para apoyar la estructuración y desarrollo de lineamientos técnicos relacionados con procesos de selección y/o evaluación de proyectos de infraestructura que contribuyan al cumplimiento de los objetivos de la Subdirección d"&amp;"e Hidrocarburos y del sector.")</f>
        <v>Prestar servicios profesionales para apoyar la estructuración y desarrollo de lineamientos técnicos relacionados con procesos de selección y/o evaluación de proyectos de infraestructura que contribuyan al cumplimiento de los objetivos de la Subdirección de Hidrocarburos y del sector.</v>
      </c>
      <c r="BH596" s="23">
        <v>17966667</v>
      </c>
      <c r="BI596" s="23"/>
      <c r="BJ596" s="23"/>
      <c r="BK596" s="23">
        <v>2566667</v>
      </c>
      <c r="BL596" s="23"/>
      <c r="BM596" s="23">
        <v>7700000</v>
      </c>
      <c r="BN596" s="23"/>
      <c r="BO596" s="23">
        <v>7700000</v>
      </c>
      <c r="BP596" s="23"/>
      <c r="BQ596" s="23"/>
      <c r="BR596" s="23"/>
      <c r="BS596" s="23"/>
      <c r="BT596" s="23"/>
      <c r="BU596" s="23"/>
      <c r="BV596" s="23"/>
      <c r="BW596" s="23"/>
      <c r="BX596" s="23"/>
      <c r="BY596" s="23"/>
      <c r="BZ596" s="23"/>
      <c r="CA596" s="23"/>
      <c r="CB596" s="23"/>
      <c r="CC596" s="23"/>
      <c r="CD596" s="23"/>
      <c r="CE596" s="23"/>
      <c r="CF596" s="28"/>
      <c r="CG596" s="28"/>
      <c r="CH596" s="25">
        <f t="shared" ref="CH596:CI596" si="1184">BH597+BJ597+BL597+BN597+BP597+BR597+BT597+BV597+BX597+BZ597+CB597+CD597+CF596</f>
        <v>154212100</v>
      </c>
      <c r="CI596" s="25">
        <f t="shared" si="1184"/>
        <v>154212100</v>
      </c>
      <c r="CJ596" s="26">
        <f t="shared" si="816"/>
        <v>-67278767</v>
      </c>
      <c r="CK596" s="26">
        <f t="shared" si="817"/>
        <v>-67278767</v>
      </c>
    </row>
    <row r="597" spans="1:89" ht="90" customHeight="1" x14ac:dyDescent="0.3">
      <c r="A597" s="13" t="s">
        <v>248</v>
      </c>
      <c r="B597" s="14" t="s">
        <v>48</v>
      </c>
      <c r="C597" s="15" t="s">
        <v>1550</v>
      </c>
      <c r="D597" s="14" t="s">
        <v>65</v>
      </c>
      <c r="E597" s="13" t="s">
        <v>250</v>
      </c>
      <c r="F597" s="13" t="s">
        <v>250</v>
      </c>
      <c r="G597" s="14">
        <v>21</v>
      </c>
      <c r="H597" s="13" t="s">
        <v>1569</v>
      </c>
      <c r="I597" s="15" t="s">
        <v>1552</v>
      </c>
      <c r="J597" s="14" t="s">
        <v>51</v>
      </c>
      <c r="K597" s="15" t="s">
        <v>74</v>
      </c>
      <c r="L597" s="14">
        <v>80111620</v>
      </c>
      <c r="M597" s="14" t="s">
        <v>52</v>
      </c>
      <c r="N597" s="14" t="s">
        <v>253</v>
      </c>
      <c r="O597" s="15" t="s">
        <v>1570</v>
      </c>
      <c r="P597" s="14" t="s">
        <v>255</v>
      </c>
      <c r="Q597" s="14" t="s">
        <v>255</v>
      </c>
      <c r="R597" s="14" t="s">
        <v>255</v>
      </c>
      <c r="S597" s="17">
        <v>11.7</v>
      </c>
      <c r="T597" s="14" t="s">
        <v>256</v>
      </c>
      <c r="U597" s="14" t="s">
        <v>257</v>
      </c>
      <c r="V597" s="14" t="s">
        <v>112</v>
      </c>
      <c r="W597" s="18">
        <v>154212100</v>
      </c>
      <c r="X597" s="18">
        <v>154212100</v>
      </c>
      <c r="Y597" s="19" t="s">
        <v>339</v>
      </c>
      <c r="Z597" s="19" t="s">
        <v>258</v>
      </c>
      <c r="AA597" s="14" t="s">
        <v>1554</v>
      </c>
      <c r="AB597" s="14" t="s">
        <v>1555</v>
      </c>
      <c r="AC597" s="14">
        <v>6012220601</v>
      </c>
      <c r="AD597" s="14" t="s">
        <v>1556</v>
      </c>
      <c r="AE597" s="82">
        <v>154212100</v>
      </c>
      <c r="AF597" s="82">
        <v>0</v>
      </c>
      <c r="AG597" s="82">
        <v>0</v>
      </c>
      <c r="AH597" s="82">
        <v>4535650</v>
      </c>
      <c r="AI597" s="82">
        <v>0</v>
      </c>
      <c r="AJ597" s="82">
        <v>13606950</v>
      </c>
      <c r="AK597" s="82">
        <v>0</v>
      </c>
      <c r="AL597" s="82">
        <v>13606950</v>
      </c>
      <c r="AM597" s="82">
        <v>0</v>
      </c>
      <c r="AN597" s="82">
        <v>13606950</v>
      </c>
      <c r="AO597" s="82">
        <v>0</v>
      </c>
      <c r="AP597" s="82">
        <v>13606950</v>
      </c>
      <c r="AQ597" s="82">
        <v>0</v>
      </c>
      <c r="AR597" s="82">
        <v>13606950</v>
      </c>
      <c r="AS597" s="82">
        <v>4989215</v>
      </c>
      <c r="AT597" s="82">
        <v>13606950</v>
      </c>
      <c r="AU597" s="82">
        <v>0</v>
      </c>
      <c r="AV597" s="82">
        <v>13606950</v>
      </c>
      <c r="AW597" s="82">
        <v>0</v>
      </c>
      <c r="AX597" s="82">
        <v>13606950</v>
      </c>
      <c r="AY597" s="82">
        <v>0</v>
      </c>
      <c r="AZ597" s="82">
        <v>13606950</v>
      </c>
      <c r="BA597" s="82">
        <v>0</v>
      </c>
      <c r="BB597" s="82">
        <v>32203115</v>
      </c>
      <c r="BC597" s="82">
        <f t="shared" ref="BC597:BD597" si="1185">AE597+AG597+AI597+AK597+AM597+AO597+AQ597+AS597+AU597+AW597+AY597+BA597</f>
        <v>159201315</v>
      </c>
      <c r="BD597" s="82">
        <f t="shared" si="1185"/>
        <v>159201315</v>
      </c>
      <c r="BE597" s="83">
        <f t="shared" si="813"/>
        <v>-4989215</v>
      </c>
      <c r="BF597" s="83">
        <f t="shared" si="814"/>
        <v>-4989215</v>
      </c>
      <c r="BG597" s="14" t="str">
        <f ca="1">IFERROR(__xludf.DUMMYFUNCTION("REGEXEXTRACT(O591,""^\S+\s(.+)$"")"),"Prestar servicios profesionales de asesoría en la elaboración, estructuración y desarrollo de planes, así como acompañar la definición y desarrollo de lineamientos técnicos relacionados con los temas que requieran la Dirección General y la Subdirección de"&amp;" Hidrocarburos.")</f>
        <v>Prestar servicios profesionales de asesoría en la elaboración, estructuración y desarrollo de planes, así como acompañar la definición y desarrollo de lineamientos técnicos relacionados con los temas que requieran la Dirección General y la Subdirección de Hidrocarburos.</v>
      </c>
      <c r="BH597" s="23">
        <v>154212100</v>
      </c>
      <c r="BI597" s="23"/>
      <c r="BJ597" s="23"/>
      <c r="BK597" s="23">
        <v>4535650</v>
      </c>
      <c r="BL597" s="23"/>
      <c r="BM597" s="23">
        <v>13606950</v>
      </c>
      <c r="BN597" s="23"/>
      <c r="BO597" s="23">
        <v>13606950</v>
      </c>
      <c r="BP597" s="23"/>
      <c r="BQ597" s="23">
        <v>13606950</v>
      </c>
      <c r="BR597" s="23"/>
      <c r="BS597" s="23">
        <v>13606950</v>
      </c>
      <c r="BT597" s="23"/>
      <c r="BU597" s="23">
        <v>13606950</v>
      </c>
      <c r="BV597" s="23"/>
      <c r="BW597" s="23">
        <v>13606950</v>
      </c>
      <c r="BX597" s="23"/>
      <c r="BY597" s="23">
        <v>13606950</v>
      </c>
      <c r="BZ597" s="23"/>
      <c r="CA597" s="23">
        <v>13606950</v>
      </c>
      <c r="CB597" s="23"/>
      <c r="CC597" s="23">
        <v>13606950</v>
      </c>
      <c r="CD597" s="23"/>
      <c r="CE597" s="23">
        <v>27213900</v>
      </c>
      <c r="CF597" s="28"/>
      <c r="CG597" s="28"/>
      <c r="CH597" s="25" t="e">
        <f t="shared" ref="CH597:CI597" si="1186">#REF!+#REF!+#REF!+#REF!+#REF!+#REF!+#REF!+#REF!+#REF!+#REF!+#REF!+#REF!+CF597</f>
        <v>#REF!</v>
      </c>
      <c r="CI597" s="25" t="e">
        <f t="shared" si="1186"/>
        <v>#REF!</v>
      </c>
      <c r="CJ597" s="26" t="e">
        <f t="shared" si="816"/>
        <v>#REF!</v>
      </c>
      <c r="CK597" s="26" t="e">
        <f t="shared" si="817"/>
        <v>#REF!</v>
      </c>
    </row>
    <row r="598" spans="1:89" ht="90" customHeight="1" x14ac:dyDescent="0.3">
      <c r="A598" s="13" t="s">
        <v>248</v>
      </c>
      <c r="B598" s="14" t="s">
        <v>48</v>
      </c>
      <c r="C598" s="15" t="s">
        <v>1550</v>
      </c>
      <c r="D598" s="14" t="s">
        <v>65</v>
      </c>
      <c r="E598" s="13" t="s">
        <v>250</v>
      </c>
      <c r="F598" s="13" t="s">
        <v>250</v>
      </c>
      <c r="G598" s="14">
        <v>8</v>
      </c>
      <c r="H598" s="13" t="s">
        <v>1571</v>
      </c>
      <c r="I598" s="15" t="s">
        <v>1552</v>
      </c>
      <c r="J598" s="14" t="s">
        <v>51</v>
      </c>
      <c r="K598" s="15" t="s">
        <v>74</v>
      </c>
      <c r="L598" s="14">
        <v>80111620</v>
      </c>
      <c r="M598" s="14" t="s">
        <v>52</v>
      </c>
      <c r="N598" s="14" t="s">
        <v>253</v>
      </c>
      <c r="O598" s="15" t="s">
        <v>1572</v>
      </c>
      <c r="P598" s="14" t="s">
        <v>255</v>
      </c>
      <c r="Q598" s="14" t="s">
        <v>255</v>
      </c>
      <c r="R598" s="14" t="s">
        <v>255</v>
      </c>
      <c r="S598" s="17">
        <v>11.7</v>
      </c>
      <c r="T598" s="14" t="s">
        <v>256</v>
      </c>
      <c r="U598" s="14" t="s">
        <v>257</v>
      </c>
      <c r="V598" s="14" t="s">
        <v>112</v>
      </c>
      <c r="W598" s="18">
        <v>55486200</v>
      </c>
      <c r="X598" s="18">
        <v>55486200</v>
      </c>
      <c r="Y598" s="19" t="s">
        <v>339</v>
      </c>
      <c r="Z598" s="19" t="s">
        <v>258</v>
      </c>
      <c r="AA598" s="14" t="s">
        <v>1554</v>
      </c>
      <c r="AB598" s="14" t="s">
        <v>1555</v>
      </c>
      <c r="AC598" s="14">
        <v>6012220601</v>
      </c>
      <c r="AD598" s="14" t="s">
        <v>1556</v>
      </c>
      <c r="AE598" s="82">
        <v>55486200</v>
      </c>
      <c r="AF598" s="82">
        <v>0</v>
      </c>
      <c r="AG598" s="82">
        <v>0</v>
      </c>
      <c r="AH598" s="82">
        <v>0</v>
      </c>
      <c r="AI598" s="82">
        <v>0</v>
      </c>
      <c r="AJ598" s="82">
        <v>4371640</v>
      </c>
      <c r="AK598" s="82">
        <v>0</v>
      </c>
      <c r="AL598" s="82">
        <v>5044200</v>
      </c>
      <c r="AM598" s="82">
        <v>0</v>
      </c>
      <c r="AN598" s="82">
        <v>5044200</v>
      </c>
      <c r="AO598" s="82">
        <v>0</v>
      </c>
      <c r="AP598" s="82">
        <v>5044200</v>
      </c>
      <c r="AQ598" s="82">
        <v>0</v>
      </c>
      <c r="AR598" s="82">
        <v>5044200</v>
      </c>
      <c r="AS598" s="82">
        <v>0</v>
      </c>
      <c r="AT598" s="82">
        <v>5044200</v>
      </c>
      <c r="AU598" s="82">
        <v>0</v>
      </c>
      <c r="AV598" s="82">
        <v>5044200</v>
      </c>
      <c r="AW598" s="82">
        <v>0</v>
      </c>
      <c r="AX598" s="82">
        <v>5044200</v>
      </c>
      <c r="AY598" s="82">
        <v>0</v>
      </c>
      <c r="AZ598" s="82">
        <v>5044200</v>
      </c>
      <c r="BA598" s="82">
        <v>0</v>
      </c>
      <c r="BB598" s="82">
        <v>10760960</v>
      </c>
      <c r="BC598" s="82">
        <f t="shared" ref="BC598:BD598" si="1187">AE598+AG598+AI598+AK598+AM598+AO598+AQ598+AS598+AU598+AW598+AY598+BA598</f>
        <v>55486200</v>
      </c>
      <c r="BD598" s="82">
        <f t="shared" si="1187"/>
        <v>55486200</v>
      </c>
      <c r="BE598" s="83">
        <f t="shared" si="813"/>
        <v>0</v>
      </c>
      <c r="BF598" s="83">
        <f t="shared" si="814"/>
        <v>0</v>
      </c>
      <c r="BG598" s="14" t="str">
        <f ca="1">IFERROR(__xludf.DUMMYFUNCTION("REGEXEXTRACT(O592,""^\S+\s(.+)$"")"),"Prestar servicios de apoyo a la gestión para el desarrollo de actividades administrativas y de gestión estratégica  institucional que le sean asignadas, de conformidad con las necesidades de la Subdirección de Hidrocarburos.")</f>
        <v>Prestar servicios de apoyo a la gestión para el desarrollo de actividades administrativas y de gestión estratégica  institucional que le sean asignadas, de conformidad con las necesidades de la Subdirección de Hidrocarburos.</v>
      </c>
      <c r="BH598" s="23">
        <v>55486200</v>
      </c>
      <c r="BI598" s="23"/>
      <c r="BJ598" s="23"/>
      <c r="BK598" s="23"/>
      <c r="BL598" s="23"/>
      <c r="BM598" s="23">
        <v>4371640</v>
      </c>
      <c r="BN598" s="23"/>
      <c r="BO598" s="23">
        <v>5044200</v>
      </c>
      <c r="BP598" s="23"/>
      <c r="BQ598" s="23">
        <v>5044200</v>
      </c>
      <c r="BR598" s="23"/>
      <c r="BS598" s="23">
        <v>5044200</v>
      </c>
      <c r="BT598" s="23"/>
      <c r="BU598" s="23">
        <v>5044200</v>
      </c>
      <c r="BV598" s="23"/>
      <c r="BW598" s="23">
        <v>5044200</v>
      </c>
      <c r="BX598" s="23"/>
      <c r="BY598" s="23">
        <v>5044200</v>
      </c>
      <c r="BZ598" s="23"/>
      <c r="CA598" s="23">
        <v>5044200</v>
      </c>
      <c r="CB598" s="23"/>
      <c r="CC598" s="23">
        <v>5044200</v>
      </c>
      <c r="CD598" s="23"/>
      <c r="CE598" s="23">
        <v>10760960</v>
      </c>
      <c r="CF598" s="28"/>
      <c r="CG598" s="28"/>
      <c r="CH598" s="25">
        <f t="shared" ref="CH598:CI598" si="1188">BH598+BJ598+BL598+BN598+BP598+BR598+BT598+BV598+BX598+BZ598+CB598+CD598+CF598</f>
        <v>55486200</v>
      </c>
      <c r="CI598" s="25">
        <f t="shared" si="1188"/>
        <v>55486200</v>
      </c>
      <c r="CJ598" s="26">
        <f t="shared" si="816"/>
        <v>0</v>
      </c>
      <c r="CK598" s="26">
        <f t="shared" si="817"/>
        <v>0</v>
      </c>
    </row>
    <row r="599" spans="1:89" ht="90" customHeight="1" x14ac:dyDescent="0.3">
      <c r="A599" s="13" t="s">
        <v>248</v>
      </c>
      <c r="B599" s="14" t="s">
        <v>48</v>
      </c>
      <c r="C599" s="15" t="s">
        <v>1550</v>
      </c>
      <c r="D599" s="14" t="s">
        <v>65</v>
      </c>
      <c r="E599" s="13" t="s">
        <v>250</v>
      </c>
      <c r="F599" s="13" t="s">
        <v>250</v>
      </c>
      <c r="G599" s="14">
        <v>21</v>
      </c>
      <c r="H599" s="13" t="s">
        <v>1573</v>
      </c>
      <c r="I599" s="15" t="s">
        <v>1552</v>
      </c>
      <c r="J599" s="14" t="s">
        <v>51</v>
      </c>
      <c r="K599" s="15" t="s">
        <v>74</v>
      </c>
      <c r="L599" s="14">
        <v>80111620</v>
      </c>
      <c r="M599" s="14" t="s">
        <v>52</v>
      </c>
      <c r="N599" s="14" t="s">
        <v>253</v>
      </c>
      <c r="O599" s="15" t="s">
        <v>1574</v>
      </c>
      <c r="P599" s="14" t="s">
        <v>255</v>
      </c>
      <c r="Q599" s="14" t="s">
        <v>255</v>
      </c>
      <c r="R599" s="14" t="s">
        <v>255</v>
      </c>
      <c r="S599" s="17">
        <v>11.5</v>
      </c>
      <c r="T599" s="14" t="s">
        <v>256</v>
      </c>
      <c r="U599" s="14" t="s">
        <v>257</v>
      </c>
      <c r="V599" s="14" t="s">
        <v>112</v>
      </c>
      <c r="W599" s="18">
        <v>103400000</v>
      </c>
      <c r="X599" s="18">
        <v>103400000</v>
      </c>
      <c r="Y599" s="19" t="s">
        <v>339</v>
      </c>
      <c r="Z599" s="19" t="s">
        <v>258</v>
      </c>
      <c r="AA599" s="14" t="s">
        <v>1554</v>
      </c>
      <c r="AB599" s="14" t="s">
        <v>1555</v>
      </c>
      <c r="AC599" s="14">
        <v>6012220601</v>
      </c>
      <c r="AD599" s="14" t="s">
        <v>1556</v>
      </c>
      <c r="AE599" s="82">
        <v>103400000</v>
      </c>
      <c r="AF599" s="82">
        <v>0</v>
      </c>
      <c r="AG599" s="82">
        <v>0</v>
      </c>
      <c r="AH599" s="82">
        <v>0</v>
      </c>
      <c r="AI599" s="82">
        <v>0</v>
      </c>
      <c r="AJ599" s="82">
        <v>9000000</v>
      </c>
      <c r="AK599" s="82">
        <v>0</v>
      </c>
      <c r="AL599" s="82">
        <v>9000000</v>
      </c>
      <c r="AM599" s="82">
        <v>0</v>
      </c>
      <c r="AN599" s="82">
        <v>9000000</v>
      </c>
      <c r="AO599" s="82">
        <v>0</v>
      </c>
      <c r="AP599" s="82">
        <v>9000000</v>
      </c>
      <c r="AQ599" s="82">
        <v>0</v>
      </c>
      <c r="AR599" s="82">
        <v>9000000</v>
      </c>
      <c r="AS599" s="82">
        <v>100000</v>
      </c>
      <c r="AT599" s="82">
        <v>9000000</v>
      </c>
      <c r="AU599" s="82">
        <v>0</v>
      </c>
      <c r="AV599" s="82">
        <v>9000000</v>
      </c>
      <c r="AW599" s="82">
        <v>0</v>
      </c>
      <c r="AX599" s="82">
        <v>9000000</v>
      </c>
      <c r="AY599" s="82">
        <v>0</v>
      </c>
      <c r="AZ599" s="82">
        <v>9000000</v>
      </c>
      <c r="BA599" s="82">
        <v>0</v>
      </c>
      <c r="BB599" s="82">
        <v>22500000</v>
      </c>
      <c r="BC599" s="82">
        <f t="shared" ref="BC599:BD599" si="1189">AE599+AG599+AI599+AK599+AM599+AO599+AQ599+AS599+AU599+AW599+AY599+BA599</f>
        <v>103500000</v>
      </c>
      <c r="BD599" s="82">
        <f t="shared" si="1189"/>
        <v>103500000</v>
      </c>
      <c r="BE599" s="83">
        <f t="shared" si="813"/>
        <v>-100000</v>
      </c>
      <c r="BF599" s="83">
        <f t="shared" si="814"/>
        <v>-100000</v>
      </c>
      <c r="BG599" s="14" t="str">
        <f ca="1">IFERROR(__xludf.DUMMYFUNCTION("REGEXEXTRACT(O593,""^\S+\s(.+)$"")"),"Prestar servicios profesionales de apoyo jurídico en la gestión de los temas asociados a las convocatorias y planes a cargo de la Subdirección de Hidrocarburos.")</f>
        <v>Prestar servicios profesionales de apoyo jurídico en la gestión de los temas asociados a las convocatorias y planes a cargo de la Subdirección de Hidrocarburos.</v>
      </c>
      <c r="BH599" s="23">
        <v>103400000</v>
      </c>
      <c r="BI599" s="23"/>
      <c r="BJ599" s="23"/>
      <c r="BK599" s="23"/>
      <c r="BL599" s="23"/>
      <c r="BM599" s="23">
        <v>9713333</v>
      </c>
      <c r="BN599" s="23"/>
      <c r="BO599" s="23">
        <v>9400000</v>
      </c>
      <c r="BP599" s="23"/>
      <c r="BQ599" s="23">
        <v>9400000</v>
      </c>
      <c r="BR599" s="23"/>
      <c r="BS599" s="23">
        <v>9400000</v>
      </c>
      <c r="BT599" s="23"/>
      <c r="BU599" s="23">
        <v>9400000</v>
      </c>
      <c r="BV599" s="23"/>
      <c r="BW599" s="23">
        <v>9400000</v>
      </c>
      <c r="BX599" s="23"/>
      <c r="BY599" s="23">
        <v>9400000</v>
      </c>
      <c r="BZ599" s="23"/>
      <c r="CA599" s="23">
        <v>9400000</v>
      </c>
      <c r="CB599" s="23"/>
      <c r="CC599" s="23">
        <v>9400000</v>
      </c>
      <c r="CD599" s="23"/>
      <c r="CE599" s="23">
        <v>18486667</v>
      </c>
      <c r="CF599" s="28"/>
      <c r="CG599" s="28"/>
      <c r="CH599" s="25">
        <f t="shared" ref="CH599:CI599" si="1190">BH599+BJ599+BL599+BN599+BP599+BR599+BT599+BV599+BX599+BZ599+CB599+CD599+CF599</f>
        <v>103400000</v>
      </c>
      <c r="CI599" s="25">
        <f t="shared" si="1190"/>
        <v>103400000</v>
      </c>
      <c r="CJ599" s="26">
        <f t="shared" si="816"/>
        <v>0</v>
      </c>
      <c r="CK599" s="26">
        <f t="shared" si="817"/>
        <v>0</v>
      </c>
    </row>
    <row r="600" spans="1:89" ht="90" customHeight="1" x14ac:dyDescent="0.3">
      <c r="A600" s="13" t="s">
        <v>248</v>
      </c>
      <c r="B600" s="14" t="s">
        <v>48</v>
      </c>
      <c r="C600" s="15" t="s">
        <v>1550</v>
      </c>
      <c r="D600" s="14" t="s">
        <v>65</v>
      </c>
      <c r="E600" s="13" t="s">
        <v>250</v>
      </c>
      <c r="F600" s="13" t="s">
        <v>250</v>
      </c>
      <c r="G600" s="14">
        <v>21</v>
      </c>
      <c r="H600" s="13" t="s">
        <v>1575</v>
      </c>
      <c r="I600" s="15" t="s">
        <v>1552</v>
      </c>
      <c r="J600" s="14" t="s">
        <v>51</v>
      </c>
      <c r="K600" s="15" t="s">
        <v>74</v>
      </c>
      <c r="L600" s="14">
        <v>80111620</v>
      </c>
      <c r="M600" s="14" t="s">
        <v>52</v>
      </c>
      <c r="N600" s="14" t="s">
        <v>253</v>
      </c>
      <c r="O600" s="15" t="s">
        <v>1576</v>
      </c>
      <c r="P600" s="14" t="s">
        <v>255</v>
      </c>
      <c r="Q600" s="14" t="s">
        <v>255</v>
      </c>
      <c r="R600" s="14" t="s">
        <v>255</v>
      </c>
      <c r="S600" s="17">
        <v>11.5</v>
      </c>
      <c r="T600" s="14" t="s">
        <v>256</v>
      </c>
      <c r="U600" s="14" t="s">
        <v>257</v>
      </c>
      <c r="V600" s="14" t="s">
        <v>112</v>
      </c>
      <c r="W600" s="18">
        <v>82500000</v>
      </c>
      <c r="X600" s="18">
        <v>82500000</v>
      </c>
      <c r="Y600" s="19" t="s">
        <v>339</v>
      </c>
      <c r="Z600" s="19" t="s">
        <v>258</v>
      </c>
      <c r="AA600" s="14" t="s">
        <v>1554</v>
      </c>
      <c r="AB600" s="14" t="s">
        <v>1555</v>
      </c>
      <c r="AC600" s="14">
        <v>6012220601</v>
      </c>
      <c r="AD600" s="14" t="s">
        <v>1556</v>
      </c>
      <c r="AE600" s="82">
        <v>82500000</v>
      </c>
      <c r="AF600" s="82">
        <v>0</v>
      </c>
      <c r="AG600" s="82">
        <v>0</v>
      </c>
      <c r="AH600" s="82">
        <v>0</v>
      </c>
      <c r="AI600" s="82">
        <v>0</v>
      </c>
      <c r="AJ600" s="82">
        <v>7500000</v>
      </c>
      <c r="AK600" s="82">
        <v>0</v>
      </c>
      <c r="AL600" s="82">
        <v>7500000</v>
      </c>
      <c r="AM600" s="82">
        <v>0</v>
      </c>
      <c r="AN600" s="82">
        <v>7500000</v>
      </c>
      <c r="AO600" s="82">
        <v>0</v>
      </c>
      <c r="AP600" s="82">
        <v>7500000</v>
      </c>
      <c r="AQ600" s="82">
        <v>0</v>
      </c>
      <c r="AR600" s="82">
        <v>7500000</v>
      </c>
      <c r="AS600" s="82">
        <v>3750000</v>
      </c>
      <c r="AT600" s="82">
        <v>7500000</v>
      </c>
      <c r="AU600" s="82">
        <v>0</v>
      </c>
      <c r="AV600" s="82">
        <v>7500000</v>
      </c>
      <c r="AW600" s="82">
        <v>0</v>
      </c>
      <c r="AX600" s="82">
        <v>7500000</v>
      </c>
      <c r="AY600" s="82">
        <v>0</v>
      </c>
      <c r="AZ600" s="82">
        <v>7500000</v>
      </c>
      <c r="BA600" s="82">
        <v>0</v>
      </c>
      <c r="BB600" s="82">
        <v>18750000</v>
      </c>
      <c r="BC600" s="82">
        <f t="shared" ref="BC600:BD600" si="1191">AE600+AG600+AI600+AK600+AM600+AO600+AQ600+AS600+AU600+AW600+AY600+BA600</f>
        <v>86250000</v>
      </c>
      <c r="BD600" s="82">
        <f t="shared" si="1191"/>
        <v>86250000</v>
      </c>
      <c r="BE600" s="83">
        <f t="shared" si="813"/>
        <v>-3750000</v>
      </c>
      <c r="BF600" s="83">
        <f t="shared" si="814"/>
        <v>-3750000</v>
      </c>
      <c r="BG600" s="14" t="str">
        <f ca="1">IFERROR(__xludf.DUMMYFUNCTION("REGEXEXTRACT(O594,""^\S+\s(.+)$"")"),"Prestar servicios profesionales para apoyar el análisis y elaboración de metodologías para la proyección de precios de los energéticos en el contexto de las políticas energéticas a cargo de la Subdirección de Hidrocarburos.")</f>
        <v>Prestar servicios profesionales para apoyar el análisis y elaboración de metodologías para la proyección de precios de los energéticos en el contexto de las políticas energéticas a cargo de la Subdirección de Hidrocarburos.</v>
      </c>
      <c r="BH600" s="23">
        <v>82500000</v>
      </c>
      <c r="BI600" s="23"/>
      <c r="BJ600" s="23"/>
      <c r="BK600" s="23"/>
      <c r="BL600" s="23"/>
      <c r="BM600" s="23">
        <v>7750000</v>
      </c>
      <c r="BN600" s="23"/>
      <c r="BO600" s="23">
        <v>7500000</v>
      </c>
      <c r="BP600" s="23"/>
      <c r="BQ600" s="23">
        <v>7500000</v>
      </c>
      <c r="BR600" s="23"/>
      <c r="BS600" s="23">
        <v>7500000</v>
      </c>
      <c r="BT600" s="23"/>
      <c r="BU600" s="23">
        <v>7500000</v>
      </c>
      <c r="BV600" s="23"/>
      <c r="BW600" s="23">
        <v>7500000</v>
      </c>
      <c r="BX600" s="23"/>
      <c r="BY600" s="23">
        <v>7500000</v>
      </c>
      <c r="BZ600" s="23"/>
      <c r="CA600" s="23">
        <v>7500000</v>
      </c>
      <c r="CB600" s="23"/>
      <c r="CC600" s="23">
        <v>7500000</v>
      </c>
      <c r="CD600" s="23"/>
      <c r="CE600" s="23">
        <v>14750000</v>
      </c>
      <c r="CF600" s="28"/>
      <c r="CG600" s="28"/>
      <c r="CH600" s="25">
        <f t="shared" ref="CH600:CI600" si="1192">BH600+BJ600+BL600+BN600+BP600+BR600+BT600+BV600+BX600+BZ600+CB600+CD600+CF600</f>
        <v>82500000</v>
      </c>
      <c r="CI600" s="25">
        <f t="shared" si="1192"/>
        <v>82500000</v>
      </c>
      <c r="CJ600" s="26">
        <f t="shared" si="816"/>
        <v>0</v>
      </c>
      <c r="CK600" s="26">
        <f t="shared" si="817"/>
        <v>0</v>
      </c>
    </row>
    <row r="601" spans="1:89" ht="90" customHeight="1" x14ac:dyDescent="0.3">
      <c r="A601" s="13" t="s">
        <v>248</v>
      </c>
      <c r="B601" s="14" t="s">
        <v>48</v>
      </c>
      <c r="C601" s="15" t="s">
        <v>1550</v>
      </c>
      <c r="D601" s="14" t="s">
        <v>65</v>
      </c>
      <c r="E601" s="13" t="s">
        <v>250</v>
      </c>
      <c r="F601" s="13" t="s">
        <v>250</v>
      </c>
      <c r="G601" s="14">
        <v>21</v>
      </c>
      <c r="H601" s="13" t="s">
        <v>1577</v>
      </c>
      <c r="I601" s="15" t="s">
        <v>1552</v>
      </c>
      <c r="J601" s="14" t="s">
        <v>51</v>
      </c>
      <c r="K601" s="15" t="s">
        <v>74</v>
      </c>
      <c r="L601" s="14">
        <v>80111620</v>
      </c>
      <c r="M601" s="14" t="s">
        <v>52</v>
      </c>
      <c r="N601" s="14" t="s">
        <v>253</v>
      </c>
      <c r="O601" s="15" t="s">
        <v>1578</v>
      </c>
      <c r="P601" s="14" t="s">
        <v>255</v>
      </c>
      <c r="Q601" s="14" t="s">
        <v>255</v>
      </c>
      <c r="R601" s="14" t="s">
        <v>255</v>
      </c>
      <c r="S601" s="17">
        <v>11.5</v>
      </c>
      <c r="T601" s="14" t="s">
        <v>256</v>
      </c>
      <c r="U601" s="14" t="s">
        <v>257</v>
      </c>
      <c r="V601" s="14" t="s">
        <v>112</v>
      </c>
      <c r="W601" s="18">
        <v>48408920</v>
      </c>
      <c r="X601" s="18">
        <v>48408920</v>
      </c>
      <c r="Y601" s="19" t="s">
        <v>339</v>
      </c>
      <c r="Z601" s="19" t="s">
        <v>258</v>
      </c>
      <c r="AA601" s="14" t="s">
        <v>1554</v>
      </c>
      <c r="AB601" s="14" t="s">
        <v>1555</v>
      </c>
      <c r="AC601" s="14">
        <v>6012220601</v>
      </c>
      <c r="AD601" s="14" t="s">
        <v>1556</v>
      </c>
      <c r="AE601" s="82">
        <v>49575400</v>
      </c>
      <c r="AF601" s="82">
        <v>0</v>
      </c>
      <c r="AG601" s="82">
        <v>0</v>
      </c>
      <c r="AH601" s="82">
        <v>0</v>
      </c>
      <c r="AI601" s="82">
        <v>0</v>
      </c>
      <c r="AJ601" s="82">
        <v>4374300</v>
      </c>
      <c r="AK601" s="82">
        <v>0</v>
      </c>
      <c r="AL601" s="82">
        <v>4374300</v>
      </c>
      <c r="AM601" s="82">
        <v>0</v>
      </c>
      <c r="AN601" s="82">
        <v>4374300</v>
      </c>
      <c r="AO601" s="82">
        <v>0</v>
      </c>
      <c r="AP601" s="82">
        <v>4374300</v>
      </c>
      <c r="AQ601" s="82">
        <v>0</v>
      </c>
      <c r="AR601" s="82">
        <v>4374300</v>
      </c>
      <c r="AS601" s="82">
        <v>729050</v>
      </c>
      <c r="AT601" s="82">
        <v>4374300</v>
      </c>
      <c r="AU601" s="82">
        <v>0</v>
      </c>
      <c r="AV601" s="82">
        <v>4374300</v>
      </c>
      <c r="AW601" s="82">
        <v>0</v>
      </c>
      <c r="AX601" s="82">
        <v>4374300</v>
      </c>
      <c r="AY601" s="82">
        <v>0</v>
      </c>
      <c r="AZ601" s="82">
        <v>4374300</v>
      </c>
      <c r="BA601" s="82">
        <v>0</v>
      </c>
      <c r="BB601" s="82">
        <v>10935750</v>
      </c>
      <c r="BC601" s="82">
        <f t="shared" ref="BC601:BD601" si="1193">AE601+AG601+AI601+AK601+AM601+AO601+AQ601+AS601+AU601+AW601+AY601+BA601</f>
        <v>50304450</v>
      </c>
      <c r="BD601" s="82">
        <f t="shared" si="1193"/>
        <v>50304450</v>
      </c>
      <c r="BE601" s="83">
        <f t="shared" si="813"/>
        <v>-1895530</v>
      </c>
      <c r="BF601" s="83">
        <f t="shared" si="814"/>
        <v>-1895530</v>
      </c>
      <c r="BG601" s="14" t="str">
        <f ca="1">IFERROR(__xludf.DUMMYFUNCTION("REGEXEXTRACT(O595,""^\S+\s(.+)$"")"),"Prestar los servicios profesionales para realizar el mantenimiento de la documentación, seguimiento y control de las herramientas de gestión, así como el acompañamiento de la gestión administrativa y de los convenios supervisados por la Subdirección de Hi"&amp;"drocarburos.")</f>
        <v>Prestar los servicios profesionales para realizar el mantenimiento de la documentación, seguimiento y control de las herramientas de gestión, así como el acompañamiento de la gestión administrativa y de los convenios supervisados por la Subdirección de Hidrocarburos.</v>
      </c>
      <c r="BH601" s="23">
        <v>48408920</v>
      </c>
      <c r="BI601" s="23"/>
      <c r="BJ601" s="23"/>
      <c r="BK601" s="23">
        <v>291620</v>
      </c>
      <c r="BL601" s="23"/>
      <c r="BM601" s="23">
        <v>4374300</v>
      </c>
      <c r="BN601" s="23"/>
      <c r="BO601" s="23">
        <v>4374300</v>
      </c>
      <c r="BP601" s="23"/>
      <c r="BQ601" s="23">
        <v>4374300</v>
      </c>
      <c r="BR601" s="23"/>
      <c r="BS601" s="23">
        <v>4374300</v>
      </c>
      <c r="BT601" s="23"/>
      <c r="BU601" s="23">
        <v>4374300</v>
      </c>
      <c r="BV601" s="23"/>
      <c r="BW601" s="23">
        <v>4374300</v>
      </c>
      <c r="BX601" s="23"/>
      <c r="BY601" s="23">
        <v>4374300</v>
      </c>
      <c r="BZ601" s="23"/>
      <c r="CA601" s="23">
        <v>4374300</v>
      </c>
      <c r="CB601" s="23"/>
      <c r="CC601" s="23">
        <v>4374300</v>
      </c>
      <c r="CD601" s="23"/>
      <c r="CE601" s="23">
        <v>8748600</v>
      </c>
      <c r="CF601" s="28"/>
      <c r="CG601" s="28"/>
      <c r="CH601" s="25">
        <f t="shared" ref="CH601:CI601" si="1194">BH601+BJ601+BL601+BN601+BP601+BR601+BT601+BV601+BX601+BZ601+CB601+CD601+CF601</f>
        <v>48408920</v>
      </c>
      <c r="CI601" s="25">
        <f t="shared" si="1194"/>
        <v>48408920</v>
      </c>
      <c r="CJ601" s="26">
        <f t="shared" si="816"/>
        <v>0</v>
      </c>
      <c r="CK601" s="26">
        <f t="shared" si="817"/>
        <v>0</v>
      </c>
    </row>
    <row r="602" spans="1:89" ht="90" customHeight="1" x14ac:dyDescent="0.3">
      <c r="A602" s="13" t="s">
        <v>248</v>
      </c>
      <c r="B602" s="14" t="s">
        <v>48</v>
      </c>
      <c r="C602" s="15" t="s">
        <v>1550</v>
      </c>
      <c r="D602" s="14" t="s">
        <v>65</v>
      </c>
      <c r="E602" s="13" t="s">
        <v>250</v>
      </c>
      <c r="F602" s="13" t="s">
        <v>250</v>
      </c>
      <c r="G602" s="14">
        <v>21</v>
      </c>
      <c r="H602" s="13" t="s">
        <v>1579</v>
      </c>
      <c r="I602" s="15" t="s">
        <v>1552</v>
      </c>
      <c r="J602" s="14" t="s">
        <v>51</v>
      </c>
      <c r="K602" s="15" t="s">
        <v>74</v>
      </c>
      <c r="L602" s="14">
        <v>80111620</v>
      </c>
      <c r="M602" s="14" t="s">
        <v>52</v>
      </c>
      <c r="N602" s="14" t="s">
        <v>253</v>
      </c>
      <c r="O602" s="15" t="s">
        <v>1580</v>
      </c>
      <c r="P602" s="14" t="s">
        <v>255</v>
      </c>
      <c r="Q602" s="14" t="s">
        <v>255</v>
      </c>
      <c r="R602" s="14" t="s">
        <v>255</v>
      </c>
      <c r="S602" s="17">
        <v>11.5</v>
      </c>
      <c r="T602" s="14" t="s">
        <v>256</v>
      </c>
      <c r="U602" s="14" t="s">
        <v>257</v>
      </c>
      <c r="V602" s="14" t="s">
        <v>112</v>
      </c>
      <c r="W602" s="18">
        <v>93060000</v>
      </c>
      <c r="X602" s="18">
        <v>93060000</v>
      </c>
      <c r="Y602" s="19" t="s">
        <v>339</v>
      </c>
      <c r="Z602" s="19" t="s">
        <v>258</v>
      </c>
      <c r="AA602" s="14" t="s">
        <v>1554</v>
      </c>
      <c r="AB602" s="14" t="s">
        <v>1555</v>
      </c>
      <c r="AC602" s="14">
        <v>6012220601</v>
      </c>
      <c r="AD602" s="14" t="s">
        <v>1556</v>
      </c>
      <c r="AE602" s="82">
        <v>93060000</v>
      </c>
      <c r="AF602" s="82">
        <v>0</v>
      </c>
      <c r="AG602" s="82">
        <v>0</v>
      </c>
      <c r="AH602" s="82">
        <v>0</v>
      </c>
      <c r="AI602" s="82">
        <v>0</v>
      </c>
      <c r="AJ602" s="82">
        <v>7332000</v>
      </c>
      <c r="AK602" s="82">
        <v>0</v>
      </c>
      <c r="AL602" s="82">
        <v>8460000</v>
      </c>
      <c r="AM602" s="82">
        <v>0</v>
      </c>
      <c r="AN602" s="82">
        <v>8460000</v>
      </c>
      <c r="AO602" s="82">
        <v>0</v>
      </c>
      <c r="AP602" s="82">
        <v>8460000</v>
      </c>
      <c r="AQ602" s="82">
        <v>0</v>
      </c>
      <c r="AR602" s="82">
        <v>8460000</v>
      </c>
      <c r="AS602" s="82">
        <v>4230000</v>
      </c>
      <c r="AT602" s="82">
        <v>8460000</v>
      </c>
      <c r="AU602" s="82">
        <v>0</v>
      </c>
      <c r="AV602" s="82">
        <v>8460000</v>
      </c>
      <c r="AW602" s="82">
        <v>0</v>
      </c>
      <c r="AX602" s="82">
        <v>8460000</v>
      </c>
      <c r="AY602" s="82">
        <v>0</v>
      </c>
      <c r="AZ602" s="82">
        <v>8460000</v>
      </c>
      <c r="BA602" s="82">
        <v>0</v>
      </c>
      <c r="BB602" s="82">
        <v>22278000</v>
      </c>
      <c r="BC602" s="82">
        <f t="shared" ref="BC602:BD602" si="1195">AE602+AG602+AI602+AK602+AM602+AO602+AQ602+AS602+AU602+AW602+AY602+BA602</f>
        <v>97290000</v>
      </c>
      <c r="BD602" s="82">
        <f t="shared" si="1195"/>
        <v>97290000</v>
      </c>
      <c r="BE602" s="83">
        <f t="shared" si="813"/>
        <v>-4230000</v>
      </c>
      <c r="BF602" s="83">
        <f t="shared" si="814"/>
        <v>-4230000</v>
      </c>
      <c r="BG602" s="14" t="str">
        <f ca="1">IFERROR(__xludf.DUMMYFUNCTION("REGEXEXTRACT(O596,""^\S+\s(.+)$"")"),"Prestar servicios profesionales de apoyo jurídico, elaboración de actos administrativos y acompañamiento jurídico en los distintos procesos y actividades técnicas que adelanta la subdirección de hidrocarburos")</f>
        <v>Prestar servicios profesionales de apoyo jurídico, elaboración de actos administrativos y acompañamiento jurídico en los distintos procesos y actividades técnicas que adelanta la subdirección de hidrocarburos</v>
      </c>
      <c r="BH602" s="23">
        <v>93060000</v>
      </c>
      <c r="BI602" s="23"/>
      <c r="BJ602" s="23"/>
      <c r="BK602" s="23"/>
      <c r="BL602" s="23"/>
      <c r="BM602" s="23">
        <v>8460000</v>
      </c>
      <c r="BN602" s="23"/>
      <c r="BO602" s="23">
        <v>8460000</v>
      </c>
      <c r="BP602" s="23"/>
      <c r="BQ602" s="23">
        <v>8460000</v>
      </c>
      <c r="BR602" s="23"/>
      <c r="BS602" s="23">
        <v>8460000</v>
      </c>
      <c r="BT602" s="23"/>
      <c r="BU602" s="23">
        <v>8460000</v>
      </c>
      <c r="BV602" s="23"/>
      <c r="BW602" s="23">
        <v>8460000</v>
      </c>
      <c r="BX602" s="23"/>
      <c r="BY602" s="23">
        <v>8460000</v>
      </c>
      <c r="BZ602" s="23"/>
      <c r="CA602" s="23">
        <v>8460000</v>
      </c>
      <c r="CB602" s="23"/>
      <c r="CC602" s="23">
        <v>8460000</v>
      </c>
      <c r="CD602" s="23"/>
      <c r="CE602" s="23">
        <v>16920000</v>
      </c>
      <c r="CF602" s="28"/>
      <c r="CG602" s="28"/>
      <c r="CH602" s="25">
        <f t="shared" ref="CH602:CI602" si="1196">BH602+BJ602+BL602+BN602+BP602+BR602+BT602+BV602+BX602+BZ602+CB602+CD602+CF602</f>
        <v>93060000</v>
      </c>
      <c r="CI602" s="25">
        <f t="shared" si="1196"/>
        <v>93060000</v>
      </c>
      <c r="CJ602" s="26">
        <f t="shared" si="816"/>
        <v>0</v>
      </c>
      <c r="CK602" s="26">
        <f t="shared" si="817"/>
        <v>0</v>
      </c>
    </row>
    <row r="603" spans="1:89" ht="90" customHeight="1" x14ac:dyDescent="0.3">
      <c r="A603" s="13" t="s">
        <v>248</v>
      </c>
      <c r="B603" s="14" t="s">
        <v>48</v>
      </c>
      <c r="C603" s="15" t="s">
        <v>1550</v>
      </c>
      <c r="D603" s="14" t="s">
        <v>65</v>
      </c>
      <c r="E603" s="13" t="s">
        <v>250</v>
      </c>
      <c r="F603" s="13" t="s">
        <v>250</v>
      </c>
      <c r="G603" s="14">
        <v>21</v>
      </c>
      <c r="H603" s="13" t="s">
        <v>1581</v>
      </c>
      <c r="I603" s="15" t="s">
        <v>1552</v>
      </c>
      <c r="J603" s="14" t="s">
        <v>51</v>
      </c>
      <c r="K603" s="15" t="s">
        <v>74</v>
      </c>
      <c r="L603" s="14">
        <v>80111620</v>
      </c>
      <c r="M603" s="14" t="s">
        <v>52</v>
      </c>
      <c r="N603" s="14" t="s">
        <v>253</v>
      </c>
      <c r="O603" s="15" t="s">
        <v>1582</v>
      </c>
      <c r="P603" s="14" t="s">
        <v>255</v>
      </c>
      <c r="Q603" s="14" t="s">
        <v>255</v>
      </c>
      <c r="R603" s="14" t="s">
        <v>255</v>
      </c>
      <c r="S603" s="17">
        <v>11.5</v>
      </c>
      <c r="T603" s="14" t="s">
        <v>256</v>
      </c>
      <c r="U603" s="14" t="s">
        <v>257</v>
      </c>
      <c r="V603" s="14" t="s">
        <v>112</v>
      </c>
      <c r="W603" s="18">
        <v>106623154</v>
      </c>
      <c r="X603" s="18">
        <v>106623154</v>
      </c>
      <c r="Y603" s="19" t="s">
        <v>339</v>
      </c>
      <c r="Z603" s="19" t="s">
        <v>258</v>
      </c>
      <c r="AA603" s="14" t="s">
        <v>1554</v>
      </c>
      <c r="AB603" s="14" t="s">
        <v>1555</v>
      </c>
      <c r="AC603" s="14">
        <v>6012220601</v>
      </c>
      <c r="AD603" s="14" t="s">
        <v>1556</v>
      </c>
      <c r="AE603" s="82">
        <v>106623154</v>
      </c>
      <c r="AF603" s="82">
        <v>0</v>
      </c>
      <c r="AG603" s="82">
        <v>0</v>
      </c>
      <c r="AH603" s="82">
        <v>0</v>
      </c>
      <c r="AI603" s="82">
        <v>0</v>
      </c>
      <c r="AJ603" s="82">
        <v>9693014</v>
      </c>
      <c r="AK603" s="82">
        <v>0</v>
      </c>
      <c r="AL603" s="82">
        <v>9693014</v>
      </c>
      <c r="AM603" s="82">
        <v>0</v>
      </c>
      <c r="AN603" s="82">
        <v>9693014</v>
      </c>
      <c r="AO603" s="82">
        <v>0</v>
      </c>
      <c r="AP603" s="82">
        <v>9693014</v>
      </c>
      <c r="AQ603" s="82">
        <v>0</v>
      </c>
      <c r="AR603" s="82">
        <v>9693014</v>
      </c>
      <c r="AS603" s="82">
        <v>4846507</v>
      </c>
      <c r="AT603" s="82">
        <v>9693014</v>
      </c>
      <c r="AU603" s="82">
        <v>0</v>
      </c>
      <c r="AV603" s="82">
        <v>9693014</v>
      </c>
      <c r="AW603" s="82">
        <v>0</v>
      </c>
      <c r="AX603" s="82">
        <v>9693014</v>
      </c>
      <c r="AY603" s="82">
        <v>0</v>
      </c>
      <c r="AZ603" s="82">
        <v>9693014</v>
      </c>
      <c r="BA603" s="82">
        <v>0</v>
      </c>
      <c r="BB603" s="82">
        <v>24232535</v>
      </c>
      <c r="BC603" s="82">
        <f t="shared" ref="BC603:BD603" si="1197">AE603+AG603+AI603+AK603+AM603+AO603+AQ603+AS603+AU603+AW603+AY603+BA603</f>
        <v>111469661</v>
      </c>
      <c r="BD603" s="82">
        <f t="shared" si="1197"/>
        <v>111469661</v>
      </c>
      <c r="BE603" s="83">
        <f t="shared" si="813"/>
        <v>-4846507</v>
      </c>
      <c r="BF603" s="83">
        <f t="shared" si="814"/>
        <v>-4846507</v>
      </c>
      <c r="BG603" s="14" t="str">
        <f ca="1">IFERROR(__xludf.DUMMYFUNCTION("REGEXEXTRACT(O597,""^\S+\s(.+)$"")"),"Prestar servicios profesionales para apoyar el diseño, desarrollo e implementación de modelos avanzados de simulación, para la integración e interoperabilidad de los planes de abastecimiento y confiabilidad de la Subdirección de Hidrocarburos.")</f>
        <v>Prestar servicios profesionales para apoyar el diseño, desarrollo e implementación de modelos avanzados de simulación, para la integración e interoperabilidad de los planes de abastecimiento y confiabilidad de la Subdirección de Hidrocarburos.</v>
      </c>
      <c r="BH603" s="23">
        <v>106623154</v>
      </c>
      <c r="BI603" s="23"/>
      <c r="BJ603" s="23"/>
      <c r="BK603" s="23"/>
      <c r="BL603" s="23"/>
      <c r="BM603" s="23">
        <v>9693014</v>
      </c>
      <c r="BN603" s="23"/>
      <c r="BO603" s="23">
        <v>9693014</v>
      </c>
      <c r="BP603" s="23"/>
      <c r="BQ603" s="23">
        <v>9693014</v>
      </c>
      <c r="BR603" s="23"/>
      <c r="BS603" s="23">
        <v>9693014</v>
      </c>
      <c r="BT603" s="23"/>
      <c r="BU603" s="23">
        <v>9693014</v>
      </c>
      <c r="BV603" s="23"/>
      <c r="BW603" s="23">
        <v>9693014</v>
      </c>
      <c r="BX603" s="23"/>
      <c r="BY603" s="23">
        <v>9693014</v>
      </c>
      <c r="BZ603" s="23"/>
      <c r="CA603" s="23">
        <v>9693014</v>
      </c>
      <c r="CB603" s="23"/>
      <c r="CC603" s="23">
        <v>9693014</v>
      </c>
      <c r="CD603" s="23"/>
      <c r="CE603" s="23">
        <v>19386028</v>
      </c>
      <c r="CF603" s="28"/>
      <c r="CG603" s="28"/>
      <c r="CH603" s="25">
        <f t="shared" ref="CH603:CI603" si="1198">BH603+BJ603+BL603+BN603+BP603+BR603+BT603+BV603+BX603+BZ603+CB603+CD603+CF603</f>
        <v>106623154</v>
      </c>
      <c r="CI603" s="25">
        <f t="shared" si="1198"/>
        <v>106623154</v>
      </c>
      <c r="CJ603" s="26">
        <f t="shared" si="816"/>
        <v>0</v>
      </c>
      <c r="CK603" s="26">
        <f t="shared" si="817"/>
        <v>0</v>
      </c>
    </row>
    <row r="604" spans="1:89" ht="90" customHeight="1" x14ac:dyDescent="0.3">
      <c r="A604" s="13" t="s">
        <v>248</v>
      </c>
      <c r="B604" s="14" t="s">
        <v>48</v>
      </c>
      <c r="C604" s="15" t="s">
        <v>1550</v>
      </c>
      <c r="D604" s="14" t="s">
        <v>65</v>
      </c>
      <c r="E604" s="13" t="s">
        <v>250</v>
      </c>
      <c r="F604" s="13" t="s">
        <v>250</v>
      </c>
      <c r="G604" s="14">
        <v>68</v>
      </c>
      <c r="H604" s="13" t="s">
        <v>1583</v>
      </c>
      <c r="I604" s="15" t="s">
        <v>1552</v>
      </c>
      <c r="J604" s="14" t="s">
        <v>51</v>
      </c>
      <c r="K604" s="15" t="s">
        <v>77</v>
      </c>
      <c r="L604" s="14">
        <v>80111620</v>
      </c>
      <c r="M604" s="14" t="s">
        <v>52</v>
      </c>
      <c r="N604" s="14" t="s">
        <v>253</v>
      </c>
      <c r="O604" s="15" t="s">
        <v>1584</v>
      </c>
      <c r="P604" s="14" t="s">
        <v>255</v>
      </c>
      <c r="Q604" s="14" t="s">
        <v>255</v>
      </c>
      <c r="R604" s="14" t="s">
        <v>255</v>
      </c>
      <c r="S604" s="17">
        <v>11.5</v>
      </c>
      <c r="T604" s="14" t="s">
        <v>256</v>
      </c>
      <c r="U604" s="14" t="s">
        <v>257</v>
      </c>
      <c r="V604" s="14" t="s">
        <v>112</v>
      </c>
      <c r="W604" s="18">
        <v>89700000</v>
      </c>
      <c r="X604" s="18">
        <v>89700000</v>
      </c>
      <c r="Y604" s="19" t="s">
        <v>339</v>
      </c>
      <c r="Z604" s="19" t="s">
        <v>258</v>
      </c>
      <c r="AA604" s="14" t="s">
        <v>1554</v>
      </c>
      <c r="AB604" s="14" t="s">
        <v>1555</v>
      </c>
      <c r="AC604" s="14">
        <v>6012220601</v>
      </c>
      <c r="AD604" s="14" t="s">
        <v>1556</v>
      </c>
      <c r="AE604" s="82">
        <v>85800000</v>
      </c>
      <c r="AF604" s="82">
        <v>0</v>
      </c>
      <c r="AG604" s="82">
        <v>0</v>
      </c>
      <c r="AH604" s="82">
        <v>0</v>
      </c>
      <c r="AI604" s="82">
        <v>0</v>
      </c>
      <c r="AJ604" s="82">
        <v>7800000</v>
      </c>
      <c r="AK604" s="82">
        <v>0</v>
      </c>
      <c r="AL604" s="82">
        <v>7800000</v>
      </c>
      <c r="AM604" s="82">
        <v>0</v>
      </c>
      <c r="AN604" s="82">
        <v>7800000</v>
      </c>
      <c r="AO604" s="82">
        <v>0</v>
      </c>
      <c r="AP604" s="82">
        <v>7800000</v>
      </c>
      <c r="AQ604" s="82">
        <v>0</v>
      </c>
      <c r="AR604" s="82">
        <v>7800000</v>
      </c>
      <c r="AS604" s="82">
        <v>3900000</v>
      </c>
      <c r="AT604" s="82">
        <v>7800000</v>
      </c>
      <c r="AU604" s="82">
        <v>0</v>
      </c>
      <c r="AV604" s="82">
        <v>7800000</v>
      </c>
      <c r="AW604" s="82">
        <v>0</v>
      </c>
      <c r="AX604" s="82">
        <v>7800000</v>
      </c>
      <c r="AY604" s="82">
        <v>0</v>
      </c>
      <c r="AZ604" s="82">
        <v>7800000</v>
      </c>
      <c r="BA604" s="82">
        <v>0</v>
      </c>
      <c r="BB604" s="82">
        <v>19500000</v>
      </c>
      <c r="BC604" s="82">
        <f t="shared" ref="BC604:BD604" si="1199">AE604+AG604+AI604+AK604+AM604+AO604+AQ604+AS604+AU604+AW604+AY604+BA604</f>
        <v>89700000</v>
      </c>
      <c r="BD604" s="82">
        <f t="shared" si="1199"/>
        <v>89700000</v>
      </c>
      <c r="BE604" s="83">
        <f t="shared" si="813"/>
        <v>0</v>
      </c>
      <c r="BF604" s="83">
        <f t="shared" si="814"/>
        <v>0</v>
      </c>
      <c r="BG604" s="14" t="str">
        <f ca="1">IFERROR(__xludf.DUMMYFUNCTION("REGEXEXTRACT(O598,""^\S+\s(.+)$"")"),"Prestar servicios profesionales para apoyar el análisis económico y de costos de infraestuctura, así como las demás actividades relacionadas con la elaboración y desarrollo de los Planes de abastecimiento y confiabilidad a cargo de la Subdirección de Hidr"&amp;"ocarburos")</f>
        <v>Prestar servicios profesionales para apoyar el análisis económico y de costos de infraestuctura, así como las demás actividades relacionadas con la elaboración y desarrollo de los Planes de abastecimiento y confiabilidad a cargo de la Subdirección de Hidrocarburos</v>
      </c>
      <c r="BH604" s="23">
        <v>85800000</v>
      </c>
      <c r="BI604" s="23"/>
      <c r="BJ604" s="23"/>
      <c r="BK604" s="23"/>
      <c r="BL604" s="23"/>
      <c r="BM604" s="23">
        <v>7800000</v>
      </c>
      <c r="BN604" s="23"/>
      <c r="BO604" s="23">
        <v>7800000</v>
      </c>
      <c r="BP604" s="23"/>
      <c r="BQ604" s="23">
        <v>7800000</v>
      </c>
      <c r="BR604" s="23"/>
      <c r="BS604" s="23">
        <v>7800000</v>
      </c>
      <c r="BT604" s="23"/>
      <c r="BU604" s="23">
        <v>7800000</v>
      </c>
      <c r="BV604" s="23">
        <v>3900000</v>
      </c>
      <c r="BW604" s="23">
        <v>7800000</v>
      </c>
      <c r="BX604" s="23"/>
      <c r="BY604" s="23">
        <v>7800000</v>
      </c>
      <c r="BZ604" s="23"/>
      <c r="CA604" s="23">
        <v>7800000</v>
      </c>
      <c r="CB604" s="23"/>
      <c r="CC604" s="23">
        <v>7800000</v>
      </c>
      <c r="CD604" s="23"/>
      <c r="CE604" s="23">
        <v>19500000</v>
      </c>
      <c r="CF604" s="28"/>
      <c r="CG604" s="28"/>
      <c r="CH604" s="25">
        <f t="shared" ref="CH604:CI604" si="1200">BH604+BJ604+BL604+BN604+BP604+BR604+BT604+BV604+BX604+BZ604+CB604+CD604+CF604</f>
        <v>89700000</v>
      </c>
      <c r="CI604" s="25">
        <f t="shared" si="1200"/>
        <v>89700000</v>
      </c>
      <c r="CJ604" s="26">
        <f t="shared" si="816"/>
        <v>0</v>
      </c>
      <c r="CK604" s="26">
        <f t="shared" si="817"/>
        <v>0</v>
      </c>
    </row>
    <row r="605" spans="1:89" ht="90" customHeight="1" x14ac:dyDescent="0.3">
      <c r="A605" s="13" t="s">
        <v>248</v>
      </c>
      <c r="B605" s="14" t="s">
        <v>48</v>
      </c>
      <c r="C605" s="15" t="s">
        <v>1550</v>
      </c>
      <c r="D605" s="14" t="s">
        <v>65</v>
      </c>
      <c r="E605" s="13" t="s">
        <v>250</v>
      </c>
      <c r="F605" s="13" t="s">
        <v>250</v>
      </c>
      <c r="G605" s="14">
        <v>23</v>
      </c>
      <c r="H605" s="13" t="s">
        <v>1585</v>
      </c>
      <c r="I605" s="15" t="s">
        <v>1552</v>
      </c>
      <c r="J605" s="14" t="s">
        <v>51</v>
      </c>
      <c r="K605" s="15" t="s">
        <v>77</v>
      </c>
      <c r="L605" s="14">
        <v>80111620</v>
      </c>
      <c r="M605" s="14" t="s">
        <v>52</v>
      </c>
      <c r="N605" s="14" t="s">
        <v>253</v>
      </c>
      <c r="O605" s="15" t="s">
        <v>1586</v>
      </c>
      <c r="P605" s="14" t="s">
        <v>255</v>
      </c>
      <c r="Q605" s="14" t="s">
        <v>255</v>
      </c>
      <c r="R605" s="14" t="s">
        <v>255</v>
      </c>
      <c r="S605" s="17">
        <v>11.5</v>
      </c>
      <c r="T605" s="14" t="s">
        <v>256</v>
      </c>
      <c r="U605" s="14" t="s">
        <v>257</v>
      </c>
      <c r="V605" s="14" t="s">
        <v>112</v>
      </c>
      <c r="W605" s="18">
        <v>138000000</v>
      </c>
      <c r="X605" s="18">
        <v>138000000</v>
      </c>
      <c r="Y605" s="19" t="s">
        <v>339</v>
      </c>
      <c r="Z605" s="19" t="s">
        <v>258</v>
      </c>
      <c r="AA605" s="14" t="s">
        <v>1554</v>
      </c>
      <c r="AB605" s="14" t="s">
        <v>1555</v>
      </c>
      <c r="AC605" s="14">
        <v>6012220601</v>
      </c>
      <c r="AD605" s="14" t="s">
        <v>1556</v>
      </c>
      <c r="AE605" s="82">
        <v>0</v>
      </c>
      <c r="AF605" s="82">
        <v>0</v>
      </c>
      <c r="AG605" s="82">
        <v>136000000</v>
      </c>
      <c r="AH605" s="82">
        <v>0</v>
      </c>
      <c r="AI605" s="82">
        <v>0</v>
      </c>
      <c r="AJ605" s="82">
        <v>12000000</v>
      </c>
      <c r="AK605" s="82">
        <v>0</v>
      </c>
      <c r="AL605" s="82">
        <v>12000000</v>
      </c>
      <c r="AM605" s="82">
        <v>0</v>
      </c>
      <c r="AN605" s="82">
        <v>12000000</v>
      </c>
      <c r="AO605" s="82">
        <v>0</v>
      </c>
      <c r="AP605" s="82">
        <v>12000000</v>
      </c>
      <c r="AQ605" s="82">
        <v>0</v>
      </c>
      <c r="AR605" s="82">
        <v>12000000</v>
      </c>
      <c r="AS605" s="82">
        <v>2000000</v>
      </c>
      <c r="AT605" s="82">
        <v>12000000</v>
      </c>
      <c r="AU605" s="82">
        <v>0</v>
      </c>
      <c r="AV605" s="82">
        <v>12000000</v>
      </c>
      <c r="AW605" s="82">
        <v>0</v>
      </c>
      <c r="AX605" s="82">
        <v>12000000</v>
      </c>
      <c r="AY605" s="82">
        <v>0</v>
      </c>
      <c r="AZ605" s="82">
        <v>12000000</v>
      </c>
      <c r="BA605" s="82">
        <v>0</v>
      </c>
      <c r="BB605" s="82">
        <v>30000000</v>
      </c>
      <c r="BC605" s="82">
        <f t="shared" ref="BC605:BD605" si="1201">AE605+AG605+AI605+AK605+AM605+AO605+AQ605+AS605+AU605+AW605+AY605+BA605</f>
        <v>138000000</v>
      </c>
      <c r="BD605" s="82">
        <f t="shared" si="1201"/>
        <v>138000000</v>
      </c>
      <c r="BE605" s="83">
        <f t="shared" si="813"/>
        <v>0</v>
      </c>
      <c r="BF605" s="83">
        <f t="shared" si="814"/>
        <v>0</v>
      </c>
      <c r="BG605" s="14" t="str">
        <f ca="1">IFERROR(__xludf.DUMMYFUNCTION("REGEXEXTRACT(O599,""^\S+\s(.+)$"")"),"Prestar servicios profesionales de asesoría orientados a la elaboración, estructuración y desarrollo estratégico de planes, así como a la evaluación de proyectos de infraestructura y al análisis regulatorio en los temas que requieran la Dirección General "&amp;"y la Subdirección de Hidrocarburos.")</f>
        <v>Prestar servicios profesionales de asesoría orientados a la elaboración, estructuración y desarrollo estratégico de planes, así como a la evaluación de proyectos de infraestructura y al análisis regulatorio en los temas que requieran la Dirección General y la Subdirección de Hidrocarburos.</v>
      </c>
      <c r="BH605" s="23"/>
      <c r="BI605" s="23"/>
      <c r="BJ605" s="23">
        <v>136000000</v>
      </c>
      <c r="BK605" s="23"/>
      <c r="BL605" s="23"/>
      <c r="BM605" s="23">
        <v>12000000</v>
      </c>
      <c r="BN605" s="23"/>
      <c r="BO605" s="23">
        <v>12000000</v>
      </c>
      <c r="BP605" s="23"/>
      <c r="BQ605" s="23">
        <v>12000000</v>
      </c>
      <c r="BR605" s="23"/>
      <c r="BS605" s="23">
        <v>12000000</v>
      </c>
      <c r="BT605" s="23"/>
      <c r="BU605" s="23">
        <v>12000000</v>
      </c>
      <c r="BV605" s="23">
        <v>2000000</v>
      </c>
      <c r="BW605" s="23">
        <v>12000000</v>
      </c>
      <c r="BX605" s="23"/>
      <c r="BY605" s="23">
        <v>12000000</v>
      </c>
      <c r="BZ605" s="23"/>
      <c r="CA605" s="23">
        <v>12000000</v>
      </c>
      <c r="CB605" s="23"/>
      <c r="CC605" s="23">
        <v>12000000</v>
      </c>
      <c r="CD605" s="23"/>
      <c r="CE605" s="23">
        <v>30000000</v>
      </c>
      <c r="CF605" s="28"/>
      <c r="CG605" s="28"/>
      <c r="CH605" s="25">
        <f t="shared" ref="CH605:CI605" si="1202">BH605+BJ605+BL605+BN605+BP605+BR605+BT605+BV605+BX605+BZ605+CB605+CD605+CF605</f>
        <v>138000000</v>
      </c>
      <c r="CI605" s="25">
        <f t="shared" si="1202"/>
        <v>138000000</v>
      </c>
      <c r="CJ605" s="26">
        <f t="shared" si="816"/>
        <v>0</v>
      </c>
      <c r="CK605" s="26">
        <f t="shared" si="817"/>
        <v>0</v>
      </c>
    </row>
    <row r="606" spans="1:89" ht="90" customHeight="1" x14ac:dyDescent="0.3">
      <c r="A606" s="13" t="s">
        <v>248</v>
      </c>
      <c r="B606" s="14" t="s">
        <v>48</v>
      </c>
      <c r="C606" s="15" t="s">
        <v>1550</v>
      </c>
      <c r="D606" s="14" t="s">
        <v>65</v>
      </c>
      <c r="E606" s="13" t="s">
        <v>250</v>
      </c>
      <c r="F606" s="13" t="s">
        <v>250</v>
      </c>
      <c r="G606" s="14">
        <v>68</v>
      </c>
      <c r="H606" s="13" t="s">
        <v>1587</v>
      </c>
      <c r="I606" s="15" t="s">
        <v>1552</v>
      </c>
      <c r="J606" s="14" t="s">
        <v>51</v>
      </c>
      <c r="K606" s="15" t="s">
        <v>77</v>
      </c>
      <c r="L606" s="14">
        <v>80111620</v>
      </c>
      <c r="M606" s="14" t="s">
        <v>52</v>
      </c>
      <c r="N606" s="14" t="s">
        <v>253</v>
      </c>
      <c r="O606" s="15" t="s">
        <v>1588</v>
      </c>
      <c r="P606" s="14" t="s">
        <v>255</v>
      </c>
      <c r="Q606" s="14" t="s">
        <v>255</v>
      </c>
      <c r="R606" s="14" t="s">
        <v>255</v>
      </c>
      <c r="S606" s="17">
        <v>11.5</v>
      </c>
      <c r="T606" s="14" t="s">
        <v>256</v>
      </c>
      <c r="U606" s="14" t="s">
        <v>257</v>
      </c>
      <c r="V606" s="14" t="s">
        <v>112</v>
      </c>
      <c r="W606" s="18">
        <v>80500000</v>
      </c>
      <c r="X606" s="18">
        <v>80500000</v>
      </c>
      <c r="Y606" s="19" t="s">
        <v>339</v>
      </c>
      <c r="Z606" s="19" t="s">
        <v>258</v>
      </c>
      <c r="AA606" s="14" t="s">
        <v>1554</v>
      </c>
      <c r="AB606" s="14" t="s">
        <v>1555</v>
      </c>
      <c r="AC606" s="14">
        <v>6012220601</v>
      </c>
      <c r="AD606" s="14" t="s">
        <v>1556</v>
      </c>
      <c r="AE606" s="82">
        <v>0</v>
      </c>
      <c r="AF606" s="82">
        <v>0</v>
      </c>
      <c r="AG606" s="82">
        <v>78166667</v>
      </c>
      <c r="AH606" s="82">
        <v>0</v>
      </c>
      <c r="AI606" s="82">
        <v>0</v>
      </c>
      <c r="AJ606" s="82">
        <v>7000000</v>
      </c>
      <c r="AK606" s="82">
        <v>0</v>
      </c>
      <c r="AL606" s="82">
        <v>7000000</v>
      </c>
      <c r="AM606" s="82">
        <v>0</v>
      </c>
      <c r="AN606" s="82">
        <v>7000000</v>
      </c>
      <c r="AO606" s="82">
        <v>0</v>
      </c>
      <c r="AP606" s="82">
        <v>7000000</v>
      </c>
      <c r="AQ606" s="82">
        <v>0</v>
      </c>
      <c r="AR606" s="82">
        <v>7000000</v>
      </c>
      <c r="AS606" s="82">
        <v>2333333</v>
      </c>
      <c r="AT606" s="82">
        <v>7000000</v>
      </c>
      <c r="AU606" s="82">
        <v>0</v>
      </c>
      <c r="AV606" s="82">
        <v>7000000</v>
      </c>
      <c r="AW606" s="82">
        <v>0</v>
      </c>
      <c r="AX606" s="82">
        <v>7000000</v>
      </c>
      <c r="AY606" s="82">
        <v>0</v>
      </c>
      <c r="AZ606" s="82">
        <v>7000000</v>
      </c>
      <c r="BA606" s="82">
        <v>0</v>
      </c>
      <c r="BB606" s="82">
        <v>17500000</v>
      </c>
      <c r="BC606" s="82">
        <f t="shared" ref="BC606:BD606" si="1203">AE606+AG606+AI606+AK606+AM606+AO606+AQ606+AS606+AU606+AW606+AY606+BA606</f>
        <v>80500000</v>
      </c>
      <c r="BD606" s="82">
        <f t="shared" si="1203"/>
        <v>80500000</v>
      </c>
      <c r="BE606" s="83">
        <f t="shared" si="813"/>
        <v>0</v>
      </c>
      <c r="BF606" s="83">
        <f t="shared" si="814"/>
        <v>0</v>
      </c>
      <c r="BG606" s="14" t="str">
        <f ca="1">IFERROR(__xludf.DUMMYFUNCTION("REGEXEXTRACT(O600,""^\S+\s(.+)$"")"),"Prestar servicios profesionales para apoyar la elaboración, desarrollo, análisis de información y demás actividades relacionadas con el Plan Nacional de Sustitución de Leña a cargo de la Subdireccion de Hidrocarburos.")</f>
        <v>Prestar servicios profesionales para apoyar la elaboración, desarrollo, análisis de información y demás actividades relacionadas con el Plan Nacional de Sustitución de Leña a cargo de la Subdireccion de Hidrocarburos.</v>
      </c>
      <c r="BH606" s="23"/>
      <c r="BI606" s="23"/>
      <c r="BJ606" s="23">
        <v>78166667</v>
      </c>
      <c r="BK606" s="23"/>
      <c r="BL606" s="23"/>
      <c r="BM606" s="23">
        <v>7000000</v>
      </c>
      <c r="BN606" s="23"/>
      <c r="BO606" s="23">
        <v>7000000</v>
      </c>
      <c r="BP606" s="23"/>
      <c r="BQ606" s="23">
        <v>7000000</v>
      </c>
      <c r="BR606" s="23"/>
      <c r="BS606" s="23">
        <v>7000000</v>
      </c>
      <c r="BT606" s="23"/>
      <c r="BU606" s="23">
        <v>7000000</v>
      </c>
      <c r="BV606" s="23">
        <v>2333333</v>
      </c>
      <c r="BW606" s="23">
        <v>7000000</v>
      </c>
      <c r="BX606" s="23"/>
      <c r="BY606" s="23">
        <v>7000000</v>
      </c>
      <c r="BZ606" s="23"/>
      <c r="CA606" s="23">
        <v>7000000</v>
      </c>
      <c r="CB606" s="23"/>
      <c r="CC606" s="23">
        <v>7000000</v>
      </c>
      <c r="CD606" s="23"/>
      <c r="CE606" s="23">
        <v>17500000</v>
      </c>
      <c r="CF606" s="28"/>
      <c r="CG606" s="28"/>
      <c r="CH606" s="25">
        <f t="shared" ref="CH606:CI606" si="1204">BH606+BJ606+BL606+BN606+BP606+BR606+BT606+BV606+BX606+BZ606+CB606+CD606+CF606</f>
        <v>80500000</v>
      </c>
      <c r="CI606" s="25">
        <f t="shared" si="1204"/>
        <v>80500000</v>
      </c>
      <c r="CJ606" s="26">
        <f t="shared" si="816"/>
        <v>0</v>
      </c>
      <c r="CK606" s="26">
        <f t="shared" si="817"/>
        <v>0</v>
      </c>
    </row>
    <row r="607" spans="1:89" ht="90" customHeight="1" x14ac:dyDescent="0.3">
      <c r="A607" s="13" t="s">
        <v>248</v>
      </c>
      <c r="B607" s="14" t="s">
        <v>48</v>
      </c>
      <c r="C607" s="15" t="s">
        <v>1550</v>
      </c>
      <c r="D607" s="14" t="s">
        <v>65</v>
      </c>
      <c r="E607" s="13" t="s">
        <v>250</v>
      </c>
      <c r="F607" s="13" t="s">
        <v>250</v>
      </c>
      <c r="G607" s="14">
        <v>68</v>
      </c>
      <c r="H607" s="13" t="s">
        <v>1589</v>
      </c>
      <c r="I607" s="15" t="s">
        <v>1552</v>
      </c>
      <c r="J607" s="14" t="s">
        <v>51</v>
      </c>
      <c r="K607" s="15" t="s">
        <v>77</v>
      </c>
      <c r="L607" s="14">
        <v>80111620</v>
      </c>
      <c r="M607" s="14" t="s">
        <v>52</v>
      </c>
      <c r="N607" s="14" t="s">
        <v>253</v>
      </c>
      <c r="O607" s="15" t="s">
        <v>1590</v>
      </c>
      <c r="P607" s="14" t="s">
        <v>255</v>
      </c>
      <c r="Q607" s="14" t="s">
        <v>255</v>
      </c>
      <c r="R607" s="14" t="s">
        <v>255</v>
      </c>
      <c r="S607" s="17">
        <v>11</v>
      </c>
      <c r="T607" s="14" t="s">
        <v>256</v>
      </c>
      <c r="U607" s="14" t="s">
        <v>257</v>
      </c>
      <c r="V607" s="14" t="s">
        <v>112</v>
      </c>
      <c r="W607" s="18">
        <v>77000000</v>
      </c>
      <c r="X607" s="18">
        <v>77000000</v>
      </c>
      <c r="Y607" s="19" t="s">
        <v>339</v>
      </c>
      <c r="Z607" s="19" t="s">
        <v>258</v>
      </c>
      <c r="AA607" s="14" t="s">
        <v>1554</v>
      </c>
      <c r="AB607" s="14" t="s">
        <v>1555</v>
      </c>
      <c r="AC607" s="14">
        <v>6012220601</v>
      </c>
      <c r="AD607" s="14" t="s">
        <v>1556</v>
      </c>
      <c r="AE607" s="82">
        <v>77000000</v>
      </c>
      <c r="AF607" s="82">
        <v>0</v>
      </c>
      <c r="AG607" s="82">
        <v>0</v>
      </c>
      <c r="AH607" s="82">
        <v>0</v>
      </c>
      <c r="AI607" s="82">
        <v>0</v>
      </c>
      <c r="AJ607" s="82">
        <v>7000000</v>
      </c>
      <c r="AK607" s="82">
        <v>0</v>
      </c>
      <c r="AL607" s="82">
        <v>7000000</v>
      </c>
      <c r="AM607" s="82">
        <v>0</v>
      </c>
      <c r="AN607" s="82">
        <v>7000000</v>
      </c>
      <c r="AO607" s="82">
        <v>0</v>
      </c>
      <c r="AP607" s="82">
        <v>7000000</v>
      </c>
      <c r="AQ607" s="82">
        <v>0</v>
      </c>
      <c r="AR607" s="82">
        <v>7000000</v>
      </c>
      <c r="AS607" s="82">
        <v>0</v>
      </c>
      <c r="AT607" s="82">
        <v>7000000</v>
      </c>
      <c r="AU607" s="82">
        <v>0</v>
      </c>
      <c r="AV607" s="82">
        <v>7000000</v>
      </c>
      <c r="AW607" s="82">
        <v>0</v>
      </c>
      <c r="AX607" s="82">
        <v>7000000</v>
      </c>
      <c r="AY607" s="82">
        <v>0</v>
      </c>
      <c r="AZ607" s="82">
        <v>7000000</v>
      </c>
      <c r="BA607" s="82">
        <v>0</v>
      </c>
      <c r="BB607" s="82">
        <v>14000000</v>
      </c>
      <c r="BC607" s="82">
        <f t="shared" ref="BC607:BD607" si="1205">AE607+AG607+AI607+AK607+AM607+AO607+AQ607+AS607+AU607+AW607+AY607+BA607</f>
        <v>77000000</v>
      </c>
      <c r="BD607" s="82">
        <f t="shared" si="1205"/>
        <v>77000000</v>
      </c>
      <c r="BE607" s="83">
        <f t="shared" si="813"/>
        <v>0</v>
      </c>
      <c r="BF607" s="83">
        <f t="shared" si="814"/>
        <v>0</v>
      </c>
      <c r="BG607" s="14" t="str">
        <f ca="1">IFERROR(__xludf.DUMMYFUNCTION("REGEXEXTRACT(O601,""^\S+\s(.+)$"")"),"Prestar servicios profesionales para apoyar la elaboración, desarrollo, análisis de información y demás actividades relacionadas con el Plan Indicativo de Bioenergía con el enfoque territorial a cargo de la Subdireccion de Hidrocarburos.")</f>
        <v>Prestar servicios profesionales para apoyar la elaboración, desarrollo, análisis de información y demás actividades relacionadas con el Plan Indicativo de Bioenergía con el enfoque territorial a cargo de la Subdireccion de Hidrocarburos.</v>
      </c>
      <c r="BH607" s="23">
        <v>77000000</v>
      </c>
      <c r="BI607" s="23"/>
      <c r="BJ607" s="23"/>
      <c r="BK607" s="23"/>
      <c r="BL607" s="23"/>
      <c r="BM607" s="23">
        <v>7000000</v>
      </c>
      <c r="BN607" s="23"/>
      <c r="BO607" s="23">
        <v>7000000</v>
      </c>
      <c r="BP607" s="23"/>
      <c r="BQ607" s="23">
        <v>7000000</v>
      </c>
      <c r="BR607" s="23"/>
      <c r="BS607" s="23">
        <v>7000000</v>
      </c>
      <c r="BT607" s="23"/>
      <c r="BU607" s="23">
        <v>7000000</v>
      </c>
      <c r="BV607" s="23"/>
      <c r="BW607" s="23">
        <v>7000000</v>
      </c>
      <c r="BX607" s="23"/>
      <c r="BY607" s="23">
        <v>7000000</v>
      </c>
      <c r="BZ607" s="23"/>
      <c r="CA607" s="23">
        <v>7000000</v>
      </c>
      <c r="CB607" s="23"/>
      <c r="CC607" s="23">
        <v>7000000</v>
      </c>
      <c r="CD607" s="23"/>
      <c r="CE607" s="23">
        <v>14000000</v>
      </c>
      <c r="CF607" s="28"/>
      <c r="CG607" s="28"/>
      <c r="CH607" s="25">
        <f t="shared" ref="CH607:CI607" si="1206">BH607+BJ607+BL607+BN607+BP607+BR607+BT607+BV607+BX607+BZ607+CB607+CD607+CF607</f>
        <v>77000000</v>
      </c>
      <c r="CI607" s="25">
        <f t="shared" si="1206"/>
        <v>77000000</v>
      </c>
      <c r="CJ607" s="26">
        <f t="shared" si="816"/>
        <v>0</v>
      </c>
      <c r="CK607" s="26">
        <f t="shared" si="817"/>
        <v>0</v>
      </c>
    </row>
    <row r="608" spans="1:89" ht="90" customHeight="1" x14ac:dyDescent="0.3">
      <c r="A608" s="13" t="s">
        <v>248</v>
      </c>
      <c r="B608" s="14" t="s">
        <v>48</v>
      </c>
      <c r="C608" s="15" t="s">
        <v>1550</v>
      </c>
      <c r="D608" s="14" t="s">
        <v>65</v>
      </c>
      <c r="E608" s="13" t="s">
        <v>250</v>
      </c>
      <c r="F608" s="13" t="s">
        <v>250</v>
      </c>
      <c r="G608" s="14">
        <v>2</v>
      </c>
      <c r="H608" s="13" t="s">
        <v>1591</v>
      </c>
      <c r="I608" s="15" t="s">
        <v>1552</v>
      </c>
      <c r="J608" s="14" t="s">
        <v>51</v>
      </c>
      <c r="K608" s="15" t="s">
        <v>77</v>
      </c>
      <c r="L608" s="14">
        <v>80111620</v>
      </c>
      <c r="M608" s="14" t="s">
        <v>52</v>
      </c>
      <c r="N608" s="14" t="s">
        <v>253</v>
      </c>
      <c r="O608" s="15" t="s">
        <v>1592</v>
      </c>
      <c r="P608" s="14" t="s">
        <v>255</v>
      </c>
      <c r="Q608" s="14" t="s">
        <v>255</v>
      </c>
      <c r="R608" s="14" t="s">
        <v>255</v>
      </c>
      <c r="S608" s="17">
        <v>11</v>
      </c>
      <c r="T608" s="14" t="s">
        <v>256</v>
      </c>
      <c r="U608" s="14" t="s">
        <v>257</v>
      </c>
      <c r="V608" s="14" t="s">
        <v>112</v>
      </c>
      <c r="W608" s="18">
        <v>132000000</v>
      </c>
      <c r="X608" s="18">
        <v>132000000</v>
      </c>
      <c r="Y608" s="19" t="s">
        <v>339</v>
      </c>
      <c r="Z608" s="19" t="s">
        <v>258</v>
      </c>
      <c r="AA608" s="14" t="s">
        <v>1554</v>
      </c>
      <c r="AB608" s="14" t="s">
        <v>1555</v>
      </c>
      <c r="AC608" s="14">
        <v>6012220601</v>
      </c>
      <c r="AD608" s="14" t="s">
        <v>1556</v>
      </c>
      <c r="AE608" s="82">
        <v>132000000</v>
      </c>
      <c r="AF608" s="82">
        <v>0</v>
      </c>
      <c r="AG608" s="82">
        <v>0</v>
      </c>
      <c r="AH608" s="82">
        <v>0</v>
      </c>
      <c r="AI608" s="82">
        <v>0</v>
      </c>
      <c r="AJ608" s="82">
        <v>12000000</v>
      </c>
      <c r="AK608" s="82">
        <v>0</v>
      </c>
      <c r="AL608" s="82">
        <v>12000000</v>
      </c>
      <c r="AM608" s="82">
        <v>0</v>
      </c>
      <c r="AN608" s="82">
        <v>12000000</v>
      </c>
      <c r="AO608" s="82">
        <v>0</v>
      </c>
      <c r="AP608" s="82">
        <v>12000000</v>
      </c>
      <c r="AQ608" s="82">
        <v>0</v>
      </c>
      <c r="AR608" s="82">
        <v>12000000</v>
      </c>
      <c r="AS608" s="82">
        <v>0</v>
      </c>
      <c r="AT608" s="82">
        <v>12000000</v>
      </c>
      <c r="AU608" s="82">
        <v>0</v>
      </c>
      <c r="AV608" s="82">
        <v>12000000</v>
      </c>
      <c r="AW608" s="82">
        <v>0</v>
      </c>
      <c r="AX608" s="82">
        <v>12000000</v>
      </c>
      <c r="AY608" s="82">
        <v>0</v>
      </c>
      <c r="AZ608" s="82">
        <v>12000000</v>
      </c>
      <c r="BA608" s="82">
        <v>0</v>
      </c>
      <c r="BB608" s="82">
        <v>24000000</v>
      </c>
      <c r="BC608" s="82">
        <f t="shared" ref="BC608:BD608" si="1207">AE608+AG608+AI608+AK608+AM608+AO608+AQ608+AS608+AU608+AW608+AY608+BA608</f>
        <v>132000000</v>
      </c>
      <c r="BD608" s="82">
        <f t="shared" si="1207"/>
        <v>132000000</v>
      </c>
      <c r="BE608" s="83">
        <f t="shared" si="813"/>
        <v>0</v>
      </c>
      <c r="BF608" s="83">
        <f t="shared" si="814"/>
        <v>0</v>
      </c>
      <c r="BG608" s="14" t="str">
        <f ca="1">IFERROR(__xludf.DUMMYFUNCTION("REGEXEXTRACT(O602,""^\S+\s(.+)$"")"),"Prestar servicios profesionales de asesoría en materia económica y financiera, orientados a la elaboración, análisis y seguimiento de planes, así como al desarrollo y aplicación de lineamientos técnicos en los temas que requieran la Dirección General y la"&amp;" Subdirección de Hidrocarburos.")</f>
        <v>Prestar servicios profesionales de asesoría en materia económica y financiera, orientados a la elaboración, análisis y seguimiento de planes, así como al desarrollo y aplicación de lineamientos técnicos en los temas que requieran la Dirección General y la Subdirección de Hidrocarburos.</v>
      </c>
      <c r="BH608" s="23">
        <v>132000000</v>
      </c>
      <c r="BI608" s="23"/>
      <c r="BJ608" s="23"/>
      <c r="BK608" s="23"/>
      <c r="BL608" s="23"/>
      <c r="BM608" s="23">
        <v>12000000</v>
      </c>
      <c r="BN608" s="23"/>
      <c r="BO608" s="23">
        <v>12000000</v>
      </c>
      <c r="BP608" s="23"/>
      <c r="BQ608" s="23">
        <v>12000000</v>
      </c>
      <c r="BR608" s="23"/>
      <c r="BS608" s="23">
        <v>12000000</v>
      </c>
      <c r="BT608" s="23"/>
      <c r="BU608" s="23">
        <v>12000000</v>
      </c>
      <c r="BV608" s="23"/>
      <c r="BW608" s="23">
        <v>12000000</v>
      </c>
      <c r="BX608" s="23"/>
      <c r="BY608" s="23">
        <v>12000000</v>
      </c>
      <c r="BZ608" s="23"/>
      <c r="CA608" s="23">
        <v>12000000</v>
      </c>
      <c r="CB608" s="23"/>
      <c r="CC608" s="23">
        <v>12000000</v>
      </c>
      <c r="CD608" s="23"/>
      <c r="CE608" s="23">
        <v>24000000</v>
      </c>
      <c r="CF608" s="28"/>
      <c r="CG608" s="28"/>
      <c r="CH608" s="25">
        <f t="shared" ref="CH608:CI608" si="1208">BH608+BJ608+BL608+BN608+BP608+BR608+BT608+BV608+BX608+BZ608+CB608+CD608+CF608</f>
        <v>132000000</v>
      </c>
      <c r="CI608" s="25">
        <f t="shared" si="1208"/>
        <v>132000000</v>
      </c>
      <c r="CJ608" s="26">
        <f t="shared" si="816"/>
        <v>0</v>
      </c>
      <c r="CK608" s="26">
        <f t="shared" si="817"/>
        <v>0</v>
      </c>
    </row>
    <row r="609" spans="1:89" ht="90" customHeight="1" x14ac:dyDescent="0.3">
      <c r="A609" s="13" t="s">
        <v>248</v>
      </c>
      <c r="B609" s="14" t="s">
        <v>48</v>
      </c>
      <c r="C609" s="15" t="s">
        <v>1550</v>
      </c>
      <c r="D609" s="14" t="s">
        <v>65</v>
      </c>
      <c r="E609" s="13" t="s">
        <v>250</v>
      </c>
      <c r="F609" s="13" t="s">
        <v>250</v>
      </c>
      <c r="G609" s="14">
        <v>68</v>
      </c>
      <c r="H609" s="13" t="s">
        <v>1593</v>
      </c>
      <c r="I609" s="15" t="s">
        <v>1552</v>
      </c>
      <c r="J609" s="14" t="s">
        <v>51</v>
      </c>
      <c r="K609" s="15" t="s">
        <v>77</v>
      </c>
      <c r="L609" s="14">
        <v>80111620</v>
      </c>
      <c r="M609" s="14" t="s">
        <v>52</v>
      </c>
      <c r="N609" s="14" t="s">
        <v>253</v>
      </c>
      <c r="O609" s="15" t="s">
        <v>1594</v>
      </c>
      <c r="P609" s="14" t="s">
        <v>255</v>
      </c>
      <c r="Q609" s="14" t="s">
        <v>255</v>
      </c>
      <c r="R609" s="14" t="s">
        <v>255</v>
      </c>
      <c r="S609" s="17">
        <v>11</v>
      </c>
      <c r="T609" s="14" t="s">
        <v>256</v>
      </c>
      <c r="U609" s="14" t="s">
        <v>257</v>
      </c>
      <c r="V609" s="14" t="s">
        <v>112</v>
      </c>
      <c r="W609" s="18">
        <v>106623154</v>
      </c>
      <c r="X609" s="18">
        <v>106623154</v>
      </c>
      <c r="Y609" s="19" t="s">
        <v>339</v>
      </c>
      <c r="Z609" s="19" t="s">
        <v>258</v>
      </c>
      <c r="AA609" s="14" t="s">
        <v>1554</v>
      </c>
      <c r="AB609" s="14" t="s">
        <v>1555</v>
      </c>
      <c r="AC609" s="14">
        <v>6012220601</v>
      </c>
      <c r="AD609" s="14" t="s">
        <v>1556</v>
      </c>
      <c r="AE609" s="82">
        <v>106623154</v>
      </c>
      <c r="AF609" s="82">
        <v>0</v>
      </c>
      <c r="AG609" s="82">
        <v>0</v>
      </c>
      <c r="AH609" s="82">
        <v>0</v>
      </c>
      <c r="AI609" s="82">
        <v>0</v>
      </c>
      <c r="AJ609" s="82">
        <v>7332000</v>
      </c>
      <c r="AK609" s="82">
        <v>0</v>
      </c>
      <c r="AL609" s="82">
        <v>8460000</v>
      </c>
      <c r="AM609" s="82">
        <v>0</v>
      </c>
      <c r="AN609" s="82">
        <v>8460000</v>
      </c>
      <c r="AO609" s="82">
        <v>0</v>
      </c>
      <c r="AP609" s="82">
        <v>8460000</v>
      </c>
      <c r="AQ609" s="82">
        <v>0</v>
      </c>
      <c r="AR609" s="82">
        <v>8460000</v>
      </c>
      <c r="AS609" s="82">
        <v>0</v>
      </c>
      <c r="AT609" s="82">
        <v>8460000</v>
      </c>
      <c r="AU609" s="82">
        <v>0</v>
      </c>
      <c r="AV609" s="82">
        <v>8460000</v>
      </c>
      <c r="AW609" s="82">
        <v>0</v>
      </c>
      <c r="AX609" s="82">
        <v>8460000</v>
      </c>
      <c r="AY609" s="82">
        <v>0</v>
      </c>
      <c r="AZ609" s="82">
        <v>8460000</v>
      </c>
      <c r="BA609" s="82">
        <v>0</v>
      </c>
      <c r="BB609" s="82">
        <v>31611154</v>
      </c>
      <c r="BC609" s="82">
        <f t="shared" ref="BC609:BD609" si="1209">AE609+AG609+AI609+AK609+AM609+AO609+AQ609+AS609+AU609+AW609+AY609+BA609</f>
        <v>106623154</v>
      </c>
      <c r="BD609" s="82">
        <f t="shared" si="1209"/>
        <v>106623154</v>
      </c>
      <c r="BE609" s="83">
        <f t="shared" si="813"/>
        <v>0</v>
      </c>
      <c r="BF609" s="83">
        <f t="shared" si="814"/>
        <v>0</v>
      </c>
      <c r="BG609" s="14" t="str">
        <f ca="1">IFERROR(__xludf.DUMMYFUNCTION("REGEXEXTRACT(O603,""^\S+\s(.+)$"")"),"Prestar servicios profesionales para brindar apoyo jurídico en la ejecución y seguimiento de procesos de convocatorias públicas y demás actividades a cargo de la Subdirección de Hidrocarburos.")</f>
        <v>Prestar servicios profesionales para brindar apoyo jurídico en la ejecución y seguimiento de procesos de convocatorias públicas y demás actividades a cargo de la Subdirección de Hidrocarburos.</v>
      </c>
      <c r="BH609" s="23">
        <v>106623154</v>
      </c>
      <c r="BI609" s="23"/>
      <c r="BJ609" s="23"/>
      <c r="BK609" s="23"/>
      <c r="BL609" s="23"/>
      <c r="BM609" s="23">
        <v>7332000</v>
      </c>
      <c r="BN609" s="23"/>
      <c r="BO609" s="23">
        <v>8460000</v>
      </c>
      <c r="BP609" s="23"/>
      <c r="BQ609" s="23">
        <v>8460000</v>
      </c>
      <c r="BR609" s="23"/>
      <c r="BS609" s="23">
        <v>8460000</v>
      </c>
      <c r="BT609" s="23"/>
      <c r="BU609" s="23">
        <v>8460000</v>
      </c>
      <c r="BV609" s="23"/>
      <c r="BW609" s="23">
        <v>8460000</v>
      </c>
      <c r="BX609" s="23"/>
      <c r="BY609" s="23">
        <v>8460000</v>
      </c>
      <c r="BZ609" s="23"/>
      <c r="CA609" s="23">
        <v>8460000</v>
      </c>
      <c r="CB609" s="23"/>
      <c r="CC609" s="23">
        <v>8460000</v>
      </c>
      <c r="CD609" s="23"/>
      <c r="CE609" s="23">
        <v>31611154</v>
      </c>
      <c r="CF609" s="28"/>
      <c r="CG609" s="28"/>
      <c r="CH609" s="25">
        <f t="shared" ref="CH609:CI609" si="1210">BH609+BJ609+BL609+BN609+BP609+BR609+BT609+BV609+BX609+BZ609+CB609+CD609+CF609</f>
        <v>106623154</v>
      </c>
      <c r="CI609" s="25">
        <f t="shared" si="1210"/>
        <v>106623154</v>
      </c>
      <c r="CJ609" s="26">
        <f t="shared" si="816"/>
        <v>0</v>
      </c>
      <c r="CK609" s="26">
        <f t="shared" si="817"/>
        <v>0</v>
      </c>
    </row>
    <row r="610" spans="1:89" ht="90" customHeight="1" x14ac:dyDescent="0.3">
      <c r="A610" s="13" t="s">
        <v>248</v>
      </c>
      <c r="B610" s="14" t="s">
        <v>48</v>
      </c>
      <c r="C610" s="15" t="s">
        <v>1550</v>
      </c>
      <c r="D610" s="14" t="s">
        <v>65</v>
      </c>
      <c r="E610" s="13" t="s">
        <v>250</v>
      </c>
      <c r="F610" s="13" t="s">
        <v>250</v>
      </c>
      <c r="G610" s="14">
        <v>2</v>
      </c>
      <c r="H610" s="13" t="s">
        <v>1595</v>
      </c>
      <c r="I610" s="15" t="s">
        <v>1552</v>
      </c>
      <c r="J610" s="14" t="s">
        <v>51</v>
      </c>
      <c r="K610" s="15" t="s">
        <v>77</v>
      </c>
      <c r="L610" s="14">
        <v>80111620</v>
      </c>
      <c r="M610" s="14" t="s">
        <v>52</v>
      </c>
      <c r="N610" s="14" t="s">
        <v>253</v>
      </c>
      <c r="O610" s="15" t="s">
        <v>1596</v>
      </c>
      <c r="P610" s="14" t="s">
        <v>255</v>
      </c>
      <c r="Q610" s="14" t="s">
        <v>255</v>
      </c>
      <c r="R610" s="14" t="s">
        <v>255</v>
      </c>
      <c r="S610" s="17">
        <v>11</v>
      </c>
      <c r="T610" s="14" t="s">
        <v>256</v>
      </c>
      <c r="U610" s="14" t="s">
        <v>257</v>
      </c>
      <c r="V610" s="14" t="s">
        <v>112</v>
      </c>
      <c r="W610" s="18">
        <v>102300000</v>
      </c>
      <c r="X610" s="18">
        <v>102300000</v>
      </c>
      <c r="Y610" s="19" t="s">
        <v>339</v>
      </c>
      <c r="Z610" s="19" t="s">
        <v>258</v>
      </c>
      <c r="AA610" s="14" t="s">
        <v>1554</v>
      </c>
      <c r="AB610" s="14" t="s">
        <v>1555</v>
      </c>
      <c r="AC610" s="14">
        <v>6012220601</v>
      </c>
      <c r="AD610" s="14" t="s">
        <v>1556</v>
      </c>
      <c r="AE610" s="82">
        <v>102300000</v>
      </c>
      <c r="AF610" s="82">
        <v>0</v>
      </c>
      <c r="AG610" s="82">
        <v>0</v>
      </c>
      <c r="AH610" s="82">
        <v>0</v>
      </c>
      <c r="AI610" s="82">
        <v>0</v>
      </c>
      <c r="AJ610" s="82">
        <v>8060000</v>
      </c>
      <c r="AK610" s="82">
        <v>0</v>
      </c>
      <c r="AL610" s="82">
        <v>9300000</v>
      </c>
      <c r="AM610" s="82">
        <v>0</v>
      </c>
      <c r="AN610" s="82">
        <v>9300000</v>
      </c>
      <c r="AO610" s="82">
        <v>0</v>
      </c>
      <c r="AP610" s="82">
        <v>9300000</v>
      </c>
      <c r="AQ610" s="82">
        <v>0</v>
      </c>
      <c r="AR610" s="82">
        <v>9300000</v>
      </c>
      <c r="AS610" s="82">
        <v>0</v>
      </c>
      <c r="AT610" s="82">
        <v>9300000</v>
      </c>
      <c r="AU610" s="82">
        <v>0</v>
      </c>
      <c r="AV610" s="82">
        <v>9300000</v>
      </c>
      <c r="AW610" s="82">
        <v>0</v>
      </c>
      <c r="AX610" s="82">
        <v>9300000</v>
      </c>
      <c r="AY610" s="82">
        <v>0</v>
      </c>
      <c r="AZ610" s="82">
        <v>9300000</v>
      </c>
      <c r="BA610" s="82">
        <v>0</v>
      </c>
      <c r="BB610" s="82">
        <v>19840000</v>
      </c>
      <c r="BC610" s="82">
        <f t="shared" ref="BC610:BD610" si="1211">AE610+AG610+AI610+AK610+AM610+AO610+AQ610+AS610+AU610+AW610+AY610+BA610</f>
        <v>102300000</v>
      </c>
      <c r="BD610" s="82">
        <f t="shared" si="1211"/>
        <v>102300000</v>
      </c>
      <c r="BE610" s="83">
        <f t="shared" si="813"/>
        <v>0</v>
      </c>
      <c r="BF610" s="83">
        <f t="shared" si="814"/>
        <v>0</v>
      </c>
      <c r="BG610" s="14" t="str">
        <f ca="1">IFERROR(__xludf.DUMMYFUNCTION("REGEXEXTRACT(O604,""^\S+\s(.+)$"")"),"Prestar servicios profesionales para apoyar la elaboración, desarrollo, análisis de información y demás actividades relacionadas con el Plan Indicativo de GLP a cargo de la Subdirección de Hidrocarburos")</f>
        <v>Prestar servicios profesionales para apoyar la elaboración, desarrollo, análisis de información y demás actividades relacionadas con el Plan Indicativo de GLP a cargo de la Subdirección de Hidrocarburos</v>
      </c>
      <c r="BH610" s="23">
        <v>102300000</v>
      </c>
      <c r="BI610" s="23"/>
      <c r="BJ610" s="23"/>
      <c r="BK610" s="23"/>
      <c r="BL610" s="23"/>
      <c r="BM610" s="23">
        <v>8060000</v>
      </c>
      <c r="BN610" s="23"/>
      <c r="BO610" s="23">
        <v>9300000</v>
      </c>
      <c r="BP610" s="23"/>
      <c r="BQ610" s="23">
        <v>9300000</v>
      </c>
      <c r="BR610" s="23"/>
      <c r="BS610" s="23">
        <v>9300000</v>
      </c>
      <c r="BT610" s="23"/>
      <c r="BU610" s="23">
        <v>9300000</v>
      </c>
      <c r="BV610" s="23"/>
      <c r="BW610" s="23">
        <v>9300000</v>
      </c>
      <c r="BX610" s="23"/>
      <c r="BY610" s="23">
        <v>9300000</v>
      </c>
      <c r="BZ610" s="23"/>
      <c r="CA610" s="23">
        <v>9300000</v>
      </c>
      <c r="CB610" s="23"/>
      <c r="CC610" s="23">
        <v>9300000</v>
      </c>
      <c r="CD610" s="23"/>
      <c r="CE610" s="23">
        <v>19840000</v>
      </c>
      <c r="CF610" s="28"/>
      <c r="CG610" s="28"/>
      <c r="CH610" s="25">
        <f t="shared" ref="CH610:CI610" si="1212">BH610+BJ610+BL610+BN610+BP610+BR610+BT610+BV610+BX610+BZ610+CB610+CD610+CF610</f>
        <v>102300000</v>
      </c>
      <c r="CI610" s="25">
        <f t="shared" si="1212"/>
        <v>102300000</v>
      </c>
      <c r="CJ610" s="26">
        <f t="shared" si="816"/>
        <v>0</v>
      </c>
      <c r="CK610" s="26">
        <f t="shared" si="817"/>
        <v>0</v>
      </c>
    </row>
    <row r="611" spans="1:89" ht="90" customHeight="1" x14ac:dyDescent="0.3">
      <c r="A611" s="13" t="s">
        <v>248</v>
      </c>
      <c r="B611" s="14" t="s">
        <v>48</v>
      </c>
      <c r="C611" s="15" t="s">
        <v>1550</v>
      </c>
      <c r="D611" s="14" t="s">
        <v>65</v>
      </c>
      <c r="E611" s="13" t="s">
        <v>250</v>
      </c>
      <c r="F611" s="13" t="s">
        <v>250</v>
      </c>
      <c r="G611" s="14">
        <v>23</v>
      </c>
      <c r="H611" s="13" t="s">
        <v>1597</v>
      </c>
      <c r="I611" s="15" t="s">
        <v>1552</v>
      </c>
      <c r="J611" s="14" t="s">
        <v>51</v>
      </c>
      <c r="K611" s="15" t="s">
        <v>77</v>
      </c>
      <c r="L611" s="14">
        <v>80111620</v>
      </c>
      <c r="M611" s="14" t="s">
        <v>52</v>
      </c>
      <c r="N611" s="14" t="s">
        <v>253</v>
      </c>
      <c r="O611" s="15" t="s">
        <v>1598</v>
      </c>
      <c r="P611" s="14" t="s">
        <v>255</v>
      </c>
      <c r="Q611" s="14" t="s">
        <v>255</v>
      </c>
      <c r="R611" s="14" t="s">
        <v>255</v>
      </c>
      <c r="S611" s="17">
        <v>11</v>
      </c>
      <c r="T611" s="14" t="s">
        <v>256</v>
      </c>
      <c r="U611" s="14" t="s">
        <v>257</v>
      </c>
      <c r="V611" s="14" t="s">
        <v>112</v>
      </c>
      <c r="W611" s="18">
        <v>102300000</v>
      </c>
      <c r="X611" s="18">
        <v>102300000</v>
      </c>
      <c r="Y611" s="19" t="s">
        <v>339</v>
      </c>
      <c r="Z611" s="19" t="s">
        <v>258</v>
      </c>
      <c r="AA611" s="14" t="s">
        <v>1554</v>
      </c>
      <c r="AB611" s="14" t="s">
        <v>1555</v>
      </c>
      <c r="AC611" s="14">
        <v>6012220601</v>
      </c>
      <c r="AD611" s="14" t="s">
        <v>1556</v>
      </c>
      <c r="AE611" s="82">
        <v>0</v>
      </c>
      <c r="AF611" s="82">
        <v>0</v>
      </c>
      <c r="AG611" s="82">
        <v>102300000</v>
      </c>
      <c r="AH611" s="82">
        <v>0</v>
      </c>
      <c r="AI611" s="82">
        <v>0</v>
      </c>
      <c r="AJ611" s="82">
        <v>8060000</v>
      </c>
      <c r="AK611" s="82">
        <v>0</v>
      </c>
      <c r="AL611" s="82">
        <v>9300000</v>
      </c>
      <c r="AM611" s="82">
        <v>0</v>
      </c>
      <c r="AN611" s="82">
        <v>9300000</v>
      </c>
      <c r="AO611" s="82">
        <v>0</v>
      </c>
      <c r="AP611" s="82">
        <v>9300000</v>
      </c>
      <c r="AQ611" s="82">
        <v>0</v>
      </c>
      <c r="AR611" s="82">
        <v>9300000</v>
      </c>
      <c r="AS611" s="82">
        <v>0</v>
      </c>
      <c r="AT611" s="82">
        <v>9300000</v>
      </c>
      <c r="AU611" s="82">
        <v>0</v>
      </c>
      <c r="AV611" s="82">
        <v>9300000</v>
      </c>
      <c r="AW611" s="82">
        <v>0</v>
      </c>
      <c r="AX611" s="82">
        <v>9300000</v>
      </c>
      <c r="AY611" s="82">
        <v>0</v>
      </c>
      <c r="AZ611" s="82">
        <v>9300000</v>
      </c>
      <c r="BA611" s="82">
        <v>0</v>
      </c>
      <c r="BB611" s="82">
        <v>19840000</v>
      </c>
      <c r="BC611" s="82">
        <f t="shared" ref="BC611:BD611" si="1213">AE611+AG611+AI611+AK611+AM611+AO611+AQ611+AS611+AU611+AW611+AY611+BA611</f>
        <v>102300000</v>
      </c>
      <c r="BD611" s="82">
        <f t="shared" si="1213"/>
        <v>102300000</v>
      </c>
      <c r="BE611" s="83">
        <f t="shared" si="813"/>
        <v>0</v>
      </c>
      <c r="BF611" s="83">
        <f t="shared" si="814"/>
        <v>0</v>
      </c>
      <c r="BG611" s="14" t="str">
        <f ca="1">IFERROR(__xludf.DUMMYFUNCTION("REGEXEXTRACT(O605,""^\S+\s(.+)$"")"),"Prestar servicios profesionales para apoyar la elaboración, desarrollo, análisis de información y demás actividades relacionadas con el Estudio Técnico para el Plan de Abastecimiento de Gas Natural a cargo de la Subdirección de Hidrocarburos")</f>
        <v>Prestar servicios profesionales para apoyar la elaboración, desarrollo, análisis de información y demás actividades relacionadas con el Estudio Técnico para el Plan de Abastecimiento de Gas Natural a cargo de la Subdirección de Hidrocarburos</v>
      </c>
      <c r="BH611" s="23"/>
      <c r="BI611" s="23"/>
      <c r="BJ611" s="23">
        <v>102300000</v>
      </c>
      <c r="BK611" s="23"/>
      <c r="BL611" s="23"/>
      <c r="BM611" s="23">
        <v>8060000</v>
      </c>
      <c r="BN611" s="23"/>
      <c r="BO611" s="23">
        <v>9300000</v>
      </c>
      <c r="BP611" s="23"/>
      <c r="BQ611" s="23">
        <v>9300000</v>
      </c>
      <c r="BR611" s="23"/>
      <c r="BS611" s="23">
        <v>9300000</v>
      </c>
      <c r="BT611" s="23"/>
      <c r="BU611" s="23">
        <v>9300000</v>
      </c>
      <c r="BV611" s="23"/>
      <c r="BW611" s="23">
        <v>9300000</v>
      </c>
      <c r="BX611" s="23"/>
      <c r="BY611" s="23">
        <v>9300000</v>
      </c>
      <c r="BZ611" s="23"/>
      <c r="CA611" s="23">
        <v>9300000</v>
      </c>
      <c r="CB611" s="23"/>
      <c r="CC611" s="23">
        <v>9300000</v>
      </c>
      <c r="CD611" s="23"/>
      <c r="CE611" s="23">
        <v>19840000</v>
      </c>
      <c r="CF611" s="28"/>
      <c r="CG611" s="28"/>
      <c r="CH611" s="25">
        <f t="shared" ref="CH611:CI611" si="1214">BH611+BJ611+BL611+BN611+BP611+BR611+BT611+BV611+BX611+BZ611+CB611+CD611+CF611</f>
        <v>102300000</v>
      </c>
      <c r="CI611" s="25">
        <f t="shared" si="1214"/>
        <v>102300000</v>
      </c>
      <c r="CJ611" s="26">
        <f t="shared" si="816"/>
        <v>0</v>
      </c>
      <c r="CK611" s="26">
        <f t="shared" si="817"/>
        <v>0</v>
      </c>
    </row>
    <row r="612" spans="1:89" ht="90" customHeight="1" x14ac:dyDescent="0.3">
      <c r="A612" s="13" t="s">
        <v>248</v>
      </c>
      <c r="B612" s="14" t="s">
        <v>48</v>
      </c>
      <c r="C612" s="15" t="s">
        <v>1550</v>
      </c>
      <c r="D612" s="14" t="s">
        <v>65</v>
      </c>
      <c r="E612" s="13" t="s">
        <v>250</v>
      </c>
      <c r="F612" s="13" t="s">
        <v>250</v>
      </c>
      <c r="G612" s="14">
        <v>23</v>
      </c>
      <c r="H612" s="13" t="s">
        <v>1599</v>
      </c>
      <c r="I612" s="15" t="s">
        <v>1552</v>
      </c>
      <c r="J612" s="14" t="s">
        <v>51</v>
      </c>
      <c r="K612" s="15" t="s">
        <v>77</v>
      </c>
      <c r="L612" s="14">
        <v>80111620</v>
      </c>
      <c r="M612" s="14" t="s">
        <v>52</v>
      </c>
      <c r="N612" s="14" t="s">
        <v>253</v>
      </c>
      <c r="O612" s="15" t="s">
        <v>1600</v>
      </c>
      <c r="P612" s="14" t="s">
        <v>255</v>
      </c>
      <c r="Q612" s="14" t="s">
        <v>255</v>
      </c>
      <c r="R612" s="14" t="s">
        <v>255</v>
      </c>
      <c r="S612" s="17">
        <v>11</v>
      </c>
      <c r="T612" s="14" t="s">
        <v>256</v>
      </c>
      <c r="U612" s="14" t="s">
        <v>257</v>
      </c>
      <c r="V612" s="14" t="s">
        <v>112</v>
      </c>
      <c r="W612" s="18">
        <v>102300000</v>
      </c>
      <c r="X612" s="18">
        <v>102300000</v>
      </c>
      <c r="Y612" s="19" t="s">
        <v>339</v>
      </c>
      <c r="Z612" s="19" t="s">
        <v>258</v>
      </c>
      <c r="AA612" s="14" t="s">
        <v>1554</v>
      </c>
      <c r="AB612" s="14" t="s">
        <v>1555</v>
      </c>
      <c r="AC612" s="14">
        <v>6012220601</v>
      </c>
      <c r="AD612" s="14" t="s">
        <v>1556</v>
      </c>
      <c r="AE612" s="82">
        <v>102300000</v>
      </c>
      <c r="AF612" s="82">
        <v>0</v>
      </c>
      <c r="AG612" s="82">
        <v>0</v>
      </c>
      <c r="AH612" s="82">
        <v>0</v>
      </c>
      <c r="AI612" s="82">
        <v>0</v>
      </c>
      <c r="AJ612" s="82">
        <v>8060000</v>
      </c>
      <c r="AK612" s="82">
        <v>0</v>
      </c>
      <c r="AL612" s="82">
        <v>9300000</v>
      </c>
      <c r="AM612" s="82">
        <v>0</v>
      </c>
      <c r="AN612" s="82">
        <v>9300000</v>
      </c>
      <c r="AO612" s="82">
        <v>0</v>
      </c>
      <c r="AP612" s="82">
        <v>9300000</v>
      </c>
      <c r="AQ612" s="82">
        <v>0</v>
      </c>
      <c r="AR612" s="82">
        <v>9300000</v>
      </c>
      <c r="AS612" s="82">
        <v>0</v>
      </c>
      <c r="AT612" s="82">
        <v>9300000</v>
      </c>
      <c r="AU612" s="82">
        <v>0</v>
      </c>
      <c r="AV612" s="82">
        <v>9300000</v>
      </c>
      <c r="AW612" s="82">
        <v>0</v>
      </c>
      <c r="AX612" s="82">
        <v>9300000</v>
      </c>
      <c r="AY612" s="82">
        <v>0</v>
      </c>
      <c r="AZ612" s="82">
        <v>9300000</v>
      </c>
      <c r="BA612" s="82">
        <v>0</v>
      </c>
      <c r="BB612" s="82">
        <v>19840000</v>
      </c>
      <c r="BC612" s="82">
        <f t="shared" ref="BC612:BD612" si="1215">AE612+AG612+AI612+AK612+AM612+AO612+AQ612+AS612+AU612+AW612+AY612+BA612</f>
        <v>102300000</v>
      </c>
      <c r="BD612" s="82">
        <f t="shared" si="1215"/>
        <v>102300000</v>
      </c>
      <c r="BE612" s="83">
        <f t="shared" si="813"/>
        <v>0</v>
      </c>
      <c r="BF612" s="83">
        <f t="shared" si="814"/>
        <v>0</v>
      </c>
      <c r="BG612" s="14" t="str">
        <f ca="1">IFERROR(__xludf.DUMMYFUNCTION("REGEXEXTRACT(O606,""^\S+\s(.+)$"")"),"Prestar servicios profesionales para apoyar el seguimiento y control de los procesos de selección y la evaluación de proyectos de infraestructura, así como, la elaboración de documentos técnicos de la Subdirección de Hidrocarburos")</f>
        <v>Prestar servicios profesionales para apoyar el seguimiento y control de los procesos de selección y la evaluación de proyectos de infraestructura, así como, la elaboración de documentos técnicos de la Subdirección de Hidrocarburos</v>
      </c>
      <c r="BH612" s="23">
        <v>102300000</v>
      </c>
      <c r="BI612" s="23"/>
      <c r="BJ612" s="23"/>
      <c r="BK612" s="23"/>
      <c r="BL612" s="23"/>
      <c r="BM612" s="23">
        <v>8060000</v>
      </c>
      <c r="BN612" s="23"/>
      <c r="BO612" s="23">
        <v>9300000</v>
      </c>
      <c r="BP612" s="23"/>
      <c r="BQ612" s="23">
        <v>9300000</v>
      </c>
      <c r="BR612" s="23"/>
      <c r="BS612" s="23">
        <v>9300000</v>
      </c>
      <c r="BT612" s="23"/>
      <c r="BU612" s="23">
        <v>9300000</v>
      </c>
      <c r="BV612" s="23"/>
      <c r="BW612" s="23">
        <v>9300000</v>
      </c>
      <c r="BX612" s="23"/>
      <c r="BY612" s="23">
        <v>9300000</v>
      </c>
      <c r="BZ612" s="23"/>
      <c r="CA612" s="23">
        <v>9300000</v>
      </c>
      <c r="CB612" s="23"/>
      <c r="CC612" s="23">
        <v>9300000</v>
      </c>
      <c r="CD612" s="23"/>
      <c r="CE612" s="23">
        <v>19840000</v>
      </c>
      <c r="CF612" s="28"/>
      <c r="CG612" s="28"/>
      <c r="CH612" s="25">
        <f t="shared" ref="CH612:CI612" si="1216">BH612+BJ612+BL612+BN612+BP612+BR612+BT612+BV612+BX612+BZ612+CB612+CD612+CF612</f>
        <v>102300000</v>
      </c>
      <c r="CI612" s="25">
        <f t="shared" si="1216"/>
        <v>102300000</v>
      </c>
      <c r="CJ612" s="26">
        <f t="shared" si="816"/>
        <v>0</v>
      </c>
      <c r="CK612" s="26">
        <f t="shared" si="817"/>
        <v>0</v>
      </c>
    </row>
    <row r="613" spans="1:89" ht="90" customHeight="1" x14ac:dyDescent="0.3">
      <c r="A613" s="13" t="s">
        <v>248</v>
      </c>
      <c r="B613" s="14" t="s">
        <v>48</v>
      </c>
      <c r="C613" s="15" t="s">
        <v>1550</v>
      </c>
      <c r="D613" s="14" t="s">
        <v>65</v>
      </c>
      <c r="E613" s="13" t="s">
        <v>250</v>
      </c>
      <c r="F613" s="13" t="s">
        <v>250</v>
      </c>
      <c r="G613" s="14">
        <v>23</v>
      </c>
      <c r="H613" s="13" t="s">
        <v>1601</v>
      </c>
      <c r="I613" s="15" t="s">
        <v>1552</v>
      </c>
      <c r="J613" s="14" t="s">
        <v>51</v>
      </c>
      <c r="K613" s="15" t="s">
        <v>77</v>
      </c>
      <c r="L613" s="14">
        <v>80111620</v>
      </c>
      <c r="M613" s="14" t="s">
        <v>52</v>
      </c>
      <c r="N613" s="14" t="s">
        <v>253</v>
      </c>
      <c r="O613" s="15" t="s">
        <v>1602</v>
      </c>
      <c r="P613" s="14" t="s">
        <v>255</v>
      </c>
      <c r="Q613" s="14" t="s">
        <v>255</v>
      </c>
      <c r="R613" s="14" t="s">
        <v>255</v>
      </c>
      <c r="S613" s="17">
        <v>11</v>
      </c>
      <c r="T613" s="14" t="s">
        <v>256</v>
      </c>
      <c r="U613" s="14" t="s">
        <v>257</v>
      </c>
      <c r="V613" s="14" t="s">
        <v>112</v>
      </c>
      <c r="W613" s="18">
        <v>99000000</v>
      </c>
      <c r="X613" s="18">
        <v>99000000</v>
      </c>
      <c r="Y613" s="19" t="s">
        <v>339</v>
      </c>
      <c r="Z613" s="19" t="s">
        <v>258</v>
      </c>
      <c r="AA613" s="14" t="s">
        <v>1554</v>
      </c>
      <c r="AB613" s="14" t="s">
        <v>1555</v>
      </c>
      <c r="AC613" s="14">
        <v>6012220601</v>
      </c>
      <c r="AD613" s="14" t="s">
        <v>1556</v>
      </c>
      <c r="AE613" s="82">
        <v>0</v>
      </c>
      <c r="AF613" s="82">
        <v>0</v>
      </c>
      <c r="AG613" s="82">
        <v>85800000</v>
      </c>
      <c r="AH613" s="82">
        <v>0</v>
      </c>
      <c r="AI613" s="82">
        <v>0</v>
      </c>
      <c r="AJ613" s="82">
        <v>9000000</v>
      </c>
      <c r="AK613" s="82">
        <v>0</v>
      </c>
      <c r="AL613" s="82">
        <v>9000000</v>
      </c>
      <c r="AM613" s="82">
        <v>0</v>
      </c>
      <c r="AN613" s="82">
        <v>9000000</v>
      </c>
      <c r="AO613" s="82">
        <v>0</v>
      </c>
      <c r="AP613" s="82">
        <v>9000000</v>
      </c>
      <c r="AQ613" s="82">
        <v>0</v>
      </c>
      <c r="AR613" s="82">
        <v>9000000</v>
      </c>
      <c r="AS613" s="82">
        <v>13200000</v>
      </c>
      <c r="AT613" s="82">
        <v>9000000</v>
      </c>
      <c r="AU613" s="82">
        <v>0</v>
      </c>
      <c r="AV613" s="82">
        <v>9000000</v>
      </c>
      <c r="AW613" s="82">
        <v>0</v>
      </c>
      <c r="AX613" s="82">
        <v>9000000</v>
      </c>
      <c r="AY613" s="82">
        <v>0</v>
      </c>
      <c r="AZ613" s="82">
        <v>9000000</v>
      </c>
      <c r="BA613" s="82">
        <v>0</v>
      </c>
      <c r="BB613" s="82">
        <v>18000000</v>
      </c>
      <c r="BC613" s="82">
        <f t="shared" ref="BC613:BD613" si="1217">AE613+AG613+AI613+AK613+AM613+AO613+AQ613+AS613+AU613+AW613+AY613+BA613</f>
        <v>99000000</v>
      </c>
      <c r="BD613" s="82">
        <f t="shared" si="1217"/>
        <v>99000000</v>
      </c>
      <c r="BE613" s="83">
        <f t="shared" si="813"/>
        <v>0</v>
      </c>
      <c r="BF613" s="83">
        <f t="shared" si="814"/>
        <v>0</v>
      </c>
      <c r="BG613" s="14" t="str">
        <f ca="1">IFERROR(__xludf.DUMMYFUNCTION("REGEXEXTRACT(O607,""^\S+\s(.+)$"")"),"Prestar los servicios profesionales para apoyar la preparación y divulgación de documentos de planeación, participar en la aplicación de las metodologías de evaluación, análisis económicos, tarifarios y de los requisitos regulatorios aplicables a la Subdi"&amp;"rección de Hidrocarburos.")</f>
        <v>Prestar los servicios profesionales para apoyar la preparación y divulgación de documentos de planeación, participar en la aplicación de las metodologías de evaluación, análisis económicos, tarifarios y de los requisitos regulatorios aplicables a la Subdirección de Hidrocarburos.</v>
      </c>
      <c r="BH613" s="23"/>
      <c r="BI613" s="23"/>
      <c r="BJ613" s="23">
        <v>85800000</v>
      </c>
      <c r="BK613" s="23"/>
      <c r="BL613" s="23"/>
      <c r="BM613" s="23">
        <v>9000000</v>
      </c>
      <c r="BN613" s="23"/>
      <c r="BO613" s="23">
        <v>9000000</v>
      </c>
      <c r="BP613" s="23"/>
      <c r="BQ613" s="23">
        <v>9000000</v>
      </c>
      <c r="BR613" s="23"/>
      <c r="BS613" s="23">
        <v>9000000</v>
      </c>
      <c r="BT613" s="23"/>
      <c r="BU613" s="23">
        <v>9000000</v>
      </c>
      <c r="BV613" s="23">
        <v>13200000</v>
      </c>
      <c r="BW613" s="23">
        <v>9000000</v>
      </c>
      <c r="BX613" s="23"/>
      <c r="BY613" s="23">
        <v>9000000</v>
      </c>
      <c r="BZ613" s="23"/>
      <c r="CA613" s="23">
        <v>9000000</v>
      </c>
      <c r="CB613" s="23"/>
      <c r="CC613" s="23">
        <v>9000000</v>
      </c>
      <c r="CD613" s="23"/>
      <c r="CE613" s="23">
        <v>18000000</v>
      </c>
      <c r="CF613" s="28"/>
      <c r="CG613" s="28"/>
      <c r="CH613" s="25">
        <f t="shared" ref="CH613:CI613" si="1218">BH613+BJ613+BL613+BN613+BP613+BR613+BT613+BV613+BX613+BZ613+CB613+CD613+CF613</f>
        <v>99000000</v>
      </c>
      <c r="CI613" s="25">
        <f t="shared" si="1218"/>
        <v>99000000</v>
      </c>
      <c r="CJ613" s="26">
        <f t="shared" si="816"/>
        <v>0</v>
      </c>
      <c r="CK613" s="26">
        <f t="shared" si="817"/>
        <v>0</v>
      </c>
    </row>
    <row r="614" spans="1:89" ht="90" customHeight="1" x14ac:dyDescent="0.3">
      <c r="A614" s="13" t="s">
        <v>248</v>
      </c>
      <c r="B614" s="14" t="s">
        <v>48</v>
      </c>
      <c r="C614" s="15" t="s">
        <v>1550</v>
      </c>
      <c r="D614" s="14" t="s">
        <v>65</v>
      </c>
      <c r="E614" s="13" t="s">
        <v>250</v>
      </c>
      <c r="F614" s="13" t="s">
        <v>250</v>
      </c>
      <c r="G614" s="14">
        <v>2</v>
      </c>
      <c r="H614" s="13" t="s">
        <v>1603</v>
      </c>
      <c r="I614" s="15" t="s">
        <v>1552</v>
      </c>
      <c r="J614" s="14" t="s">
        <v>51</v>
      </c>
      <c r="K614" s="15" t="s">
        <v>77</v>
      </c>
      <c r="L614" s="14">
        <v>80111620</v>
      </c>
      <c r="M614" s="14" t="s">
        <v>52</v>
      </c>
      <c r="N614" s="14" t="s">
        <v>253</v>
      </c>
      <c r="O614" s="15" t="s">
        <v>1604</v>
      </c>
      <c r="P614" s="14" t="s">
        <v>255</v>
      </c>
      <c r="Q614" s="14" t="s">
        <v>255</v>
      </c>
      <c r="R614" s="14" t="s">
        <v>255</v>
      </c>
      <c r="S614" s="17">
        <v>11</v>
      </c>
      <c r="T614" s="14" t="s">
        <v>256</v>
      </c>
      <c r="U614" s="14" t="s">
        <v>257</v>
      </c>
      <c r="V614" s="14" t="s">
        <v>112</v>
      </c>
      <c r="W614" s="18">
        <v>102300000</v>
      </c>
      <c r="X614" s="18">
        <v>102300000</v>
      </c>
      <c r="Y614" s="19" t="s">
        <v>339</v>
      </c>
      <c r="Z614" s="19" t="s">
        <v>258</v>
      </c>
      <c r="AA614" s="14" t="s">
        <v>1554</v>
      </c>
      <c r="AB614" s="14" t="s">
        <v>1555</v>
      </c>
      <c r="AC614" s="14">
        <v>6012220601</v>
      </c>
      <c r="AD614" s="14" t="s">
        <v>1556</v>
      </c>
      <c r="AE614" s="82">
        <v>0</v>
      </c>
      <c r="AF614" s="82">
        <v>0</v>
      </c>
      <c r="AG614" s="82">
        <v>102300000</v>
      </c>
      <c r="AH614" s="82">
        <v>0</v>
      </c>
      <c r="AI614" s="82">
        <v>0</v>
      </c>
      <c r="AJ614" s="82">
        <v>8060000</v>
      </c>
      <c r="AK614" s="82">
        <v>0</v>
      </c>
      <c r="AL614" s="82">
        <v>9300000</v>
      </c>
      <c r="AM614" s="82">
        <v>0</v>
      </c>
      <c r="AN614" s="82">
        <v>9300000</v>
      </c>
      <c r="AO614" s="82">
        <v>0</v>
      </c>
      <c r="AP614" s="82">
        <v>9300000</v>
      </c>
      <c r="AQ614" s="82">
        <v>0</v>
      </c>
      <c r="AR614" s="82">
        <v>9300000</v>
      </c>
      <c r="AS614" s="82">
        <v>0</v>
      </c>
      <c r="AT614" s="82">
        <v>9300000</v>
      </c>
      <c r="AU614" s="82">
        <v>0</v>
      </c>
      <c r="AV614" s="82">
        <v>9300000</v>
      </c>
      <c r="AW614" s="82">
        <v>0</v>
      </c>
      <c r="AX614" s="82">
        <v>9300000</v>
      </c>
      <c r="AY614" s="82">
        <v>0</v>
      </c>
      <c r="AZ614" s="82">
        <v>9300000</v>
      </c>
      <c r="BA614" s="82">
        <v>0</v>
      </c>
      <c r="BB614" s="82">
        <v>19840000</v>
      </c>
      <c r="BC614" s="82">
        <f t="shared" ref="BC614:BD614" si="1219">AE614+AG614+AI614+AK614+AM614+AO614+AQ614+AS614+AU614+AW614+AY614+BA614</f>
        <v>102300000</v>
      </c>
      <c r="BD614" s="82">
        <f t="shared" si="1219"/>
        <v>102300000</v>
      </c>
      <c r="BE614" s="83">
        <f t="shared" si="813"/>
        <v>0</v>
      </c>
      <c r="BF614" s="83">
        <f t="shared" si="814"/>
        <v>0</v>
      </c>
      <c r="BG614" s="14" t="str">
        <f ca="1">IFERROR(__xludf.DUMMYFUNCTION("REGEXEXTRACT(O608,""^\S+\s(.+)$"")"),"Prestar servicios profesionales para apoyar la estructuración, evaluación y desarrollo de lineamientos técnicos de proyectos de infraestructura de hidrocarburos, en el marco de los procesos de convocatorias públicas y demás actividades a cargo de la Subdi"&amp;"rección de Hidrocarburos")</f>
        <v>Prestar servicios profesionales para apoyar la estructuración, evaluación y desarrollo de lineamientos técnicos de proyectos de infraestructura de hidrocarburos, en el marco de los procesos de convocatorias públicas y demás actividades a cargo de la Subdirección de Hidrocarburos</v>
      </c>
      <c r="BH614" s="23"/>
      <c r="BI614" s="23"/>
      <c r="BJ614" s="23">
        <v>102300000</v>
      </c>
      <c r="BK614" s="23"/>
      <c r="BL614" s="23"/>
      <c r="BM614" s="23">
        <v>8060000</v>
      </c>
      <c r="BN614" s="23"/>
      <c r="BO614" s="23">
        <v>9300000</v>
      </c>
      <c r="BP614" s="23"/>
      <c r="BQ614" s="23">
        <v>9300000</v>
      </c>
      <c r="BR614" s="23"/>
      <c r="BS614" s="23">
        <v>9300000</v>
      </c>
      <c r="BT614" s="23"/>
      <c r="BU614" s="23">
        <v>9300000</v>
      </c>
      <c r="BV614" s="23"/>
      <c r="BW614" s="23">
        <v>9300000</v>
      </c>
      <c r="BX614" s="23"/>
      <c r="BY614" s="23">
        <v>9300000</v>
      </c>
      <c r="BZ614" s="23"/>
      <c r="CA614" s="23">
        <v>9300000</v>
      </c>
      <c r="CB614" s="23"/>
      <c r="CC614" s="23">
        <v>9300000</v>
      </c>
      <c r="CD614" s="23"/>
      <c r="CE614" s="23">
        <v>19840000</v>
      </c>
      <c r="CF614" s="28"/>
      <c r="CG614" s="28"/>
      <c r="CH614" s="25">
        <f t="shared" ref="CH614:CI614" si="1220">BH614+BJ614+BL614+BN614+BP614+BR614+BT614+BV614+BX614+BZ614+CB614+CD614+CF614</f>
        <v>102300000</v>
      </c>
      <c r="CI614" s="25">
        <f t="shared" si="1220"/>
        <v>102300000</v>
      </c>
      <c r="CJ614" s="26">
        <f t="shared" si="816"/>
        <v>0</v>
      </c>
      <c r="CK614" s="26">
        <f t="shared" si="817"/>
        <v>0</v>
      </c>
    </row>
    <row r="615" spans="1:89" ht="90" customHeight="1" x14ac:dyDescent="0.3">
      <c r="A615" s="13" t="s">
        <v>248</v>
      </c>
      <c r="B615" s="14" t="s">
        <v>48</v>
      </c>
      <c r="C615" s="15" t="s">
        <v>1550</v>
      </c>
      <c r="D615" s="14" t="s">
        <v>65</v>
      </c>
      <c r="E615" s="13" t="s">
        <v>250</v>
      </c>
      <c r="F615" s="13" t="s">
        <v>250</v>
      </c>
      <c r="G615" s="14">
        <v>2</v>
      </c>
      <c r="H615" s="13" t="s">
        <v>1605</v>
      </c>
      <c r="I615" s="15" t="s">
        <v>1552</v>
      </c>
      <c r="J615" s="14" t="s">
        <v>51</v>
      </c>
      <c r="K615" s="15" t="s">
        <v>77</v>
      </c>
      <c r="L615" s="14">
        <v>80111620</v>
      </c>
      <c r="M615" s="14" t="s">
        <v>52</v>
      </c>
      <c r="N615" s="14" t="s">
        <v>253</v>
      </c>
      <c r="O615" s="15" t="s">
        <v>1606</v>
      </c>
      <c r="P615" s="14" t="s">
        <v>255</v>
      </c>
      <c r="Q615" s="14" t="s">
        <v>255</v>
      </c>
      <c r="R615" s="14" t="s">
        <v>255</v>
      </c>
      <c r="S615" s="17">
        <v>11</v>
      </c>
      <c r="T615" s="14" t="s">
        <v>256</v>
      </c>
      <c r="U615" s="14" t="s">
        <v>257</v>
      </c>
      <c r="V615" s="14" t="s">
        <v>112</v>
      </c>
      <c r="W615" s="18">
        <v>102300000</v>
      </c>
      <c r="X615" s="18">
        <v>102300000</v>
      </c>
      <c r="Y615" s="19" t="s">
        <v>339</v>
      </c>
      <c r="Z615" s="19" t="s">
        <v>258</v>
      </c>
      <c r="AA615" s="14" t="s">
        <v>1554</v>
      </c>
      <c r="AB615" s="14" t="s">
        <v>1555</v>
      </c>
      <c r="AC615" s="14">
        <v>6012220601</v>
      </c>
      <c r="AD615" s="14" t="s">
        <v>1556</v>
      </c>
      <c r="AE615" s="82">
        <v>102300000</v>
      </c>
      <c r="AF615" s="82">
        <v>0</v>
      </c>
      <c r="AG615" s="82">
        <v>0</v>
      </c>
      <c r="AH615" s="82">
        <v>0</v>
      </c>
      <c r="AI615" s="82">
        <v>0</v>
      </c>
      <c r="AJ615" s="82">
        <v>8060000</v>
      </c>
      <c r="AK615" s="82">
        <v>0</v>
      </c>
      <c r="AL615" s="82">
        <v>9300000</v>
      </c>
      <c r="AM615" s="82">
        <v>0</v>
      </c>
      <c r="AN615" s="82">
        <v>9300000</v>
      </c>
      <c r="AO615" s="82">
        <v>0</v>
      </c>
      <c r="AP615" s="82">
        <v>9300000</v>
      </c>
      <c r="AQ615" s="82">
        <v>0</v>
      </c>
      <c r="AR615" s="82">
        <v>9300000</v>
      </c>
      <c r="AS615" s="82">
        <v>0</v>
      </c>
      <c r="AT615" s="82">
        <v>9300000</v>
      </c>
      <c r="AU615" s="82">
        <v>0</v>
      </c>
      <c r="AV615" s="82">
        <v>9300000</v>
      </c>
      <c r="AW615" s="82">
        <v>0</v>
      </c>
      <c r="AX615" s="82">
        <v>9300000</v>
      </c>
      <c r="AY615" s="82">
        <v>0</v>
      </c>
      <c r="AZ615" s="82">
        <v>9300000</v>
      </c>
      <c r="BA615" s="82">
        <v>0</v>
      </c>
      <c r="BB615" s="82">
        <v>19840000</v>
      </c>
      <c r="BC615" s="82">
        <f t="shared" ref="BC615:BD615" si="1221">AE615+AG615+AI615+AK615+AM615+AO615+AQ615+AS615+AU615+AW615+AY615+BA615</f>
        <v>102300000</v>
      </c>
      <c r="BD615" s="82">
        <f t="shared" si="1221"/>
        <v>102300000</v>
      </c>
      <c r="BE615" s="83">
        <f t="shared" si="813"/>
        <v>0</v>
      </c>
      <c r="BF615" s="83">
        <f t="shared" si="814"/>
        <v>0</v>
      </c>
      <c r="BG615" s="14" t="str">
        <f ca="1">IFERROR(__xludf.DUMMYFUNCTION("REGEXEXTRACT(O609,""^\S+\s(.+)$"")"),"Prestar servicios profesionales para apoyar el diseño, evaluación y análisis de los proyectos de infraestructura de hidrocarburos, así como en la  aplicación de metodologías para la gestión de información técnica en los procesos que adelante la Subdirecci"&amp;"ón de Hidrocarburos.")</f>
        <v>Prestar servicios profesionales para apoyar el diseño, evaluación y análisis de los proyectos de infraestructura de hidrocarburos, así como en la  aplicación de metodologías para la gestión de información técnica en los procesos que adelante la Subdirección de Hidrocarburos.</v>
      </c>
      <c r="BH615" s="23">
        <v>102300000</v>
      </c>
      <c r="BI615" s="23"/>
      <c r="BJ615" s="23"/>
      <c r="BK615" s="23"/>
      <c r="BL615" s="23"/>
      <c r="BM615" s="23">
        <v>8060000</v>
      </c>
      <c r="BN615" s="23"/>
      <c r="BO615" s="23">
        <v>9300000</v>
      </c>
      <c r="BP615" s="23"/>
      <c r="BQ615" s="23">
        <v>9300000</v>
      </c>
      <c r="BR615" s="23"/>
      <c r="BS615" s="23">
        <v>9300000</v>
      </c>
      <c r="BT615" s="23"/>
      <c r="BU615" s="23">
        <v>9300000</v>
      </c>
      <c r="BV615" s="23"/>
      <c r="BW615" s="23">
        <v>9300000</v>
      </c>
      <c r="BX615" s="23"/>
      <c r="BY615" s="23">
        <v>9300000</v>
      </c>
      <c r="BZ615" s="23"/>
      <c r="CA615" s="23">
        <v>9300000</v>
      </c>
      <c r="CB615" s="23"/>
      <c r="CC615" s="23">
        <v>9300000</v>
      </c>
      <c r="CD615" s="23"/>
      <c r="CE615" s="23">
        <v>19840000</v>
      </c>
      <c r="CF615" s="28"/>
      <c r="CG615" s="28"/>
      <c r="CH615" s="25">
        <f t="shared" ref="CH615:CI615" si="1222">BH615+BJ615+BL615+BN615+BP615+BR615+BT615+BV615+BX615+BZ615+CB615+CD615+CF615</f>
        <v>102300000</v>
      </c>
      <c r="CI615" s="25">
        <f t="shared" si="1222"/>
        <v>102300000</v>
      </c>
      <c r="CJ615" s="26">
        <f t="shared" si="816"/>
        <v>0</v>
      </c>
      <c r="CK615" s="26">
        <f t="shared" si="817"/>
        <v>0</v>
      </c>
    </row>
    <row r="616" spans="1:89" ht="90" customHeight="1" x14ac:dyDescent="0.3">
      <c r="A616" s="13" t="s">
        <v>248</v>
      </c>
      <c r="B616" s="14" t="s">
        <v>48</v>
      </c>
      <c r="C616" s="15" t="s">
        <v>1550</v>
      </c>
      <c r="D616" s="14" t="s">
        <v>65</v>
      </c>
      <c r="E616" s="13" t="s">
        <v>250</v>
      </c>
      <c r="F616" s="13" t="s">
        <v>250</v>
      </c>
      <c r="G616" s="14">
        <v>68</v>
      </c>
      <c r="H616" s="13" t="s">
        <v>1607</v>
      </c>
      <c r="I616" s="15" t="s">
        <v>1552</v>
      </c>
      <c r="J616" s="14" t="s">
        <v>51</v>
      </c>
      <c r="K616" s="15" t="s">
        <v>77</v>
      </c>
      <c r="L616" s="14">
        <v>80111620</v>
      </c>
      <c r="M616" s="14" t="s">
        <v>52</v>
      </c>
      <c r="N616" s="14" t="s">
        <v>253</v>
      </c>
      <c r="O616" s="15" t="s">
        <v>1608</v>
      </c>
      <c r="P616" s="14" t="s">
        <v>255</v>
      </c>
      <c r="Q616" s="14" t="s">
        <v>255</v>
      </c>
      <c r="R616" s="14" t="s">
        <v>255</v>
      </c>
      <c r="S616" s="17">
        <v>11</v>
      </c>
      <c r="T616" s="14" t="s">
        <v>256</v>
      </c>
      <c r="U616" s="14" t="s">
        <v>257</v>
      </c>
      <c r="V616" s="14" t="s">
        <v>112</v>
      </c>
      <c r="W616" s="18">
        <v>36139950</v>
      </c>
      <c r="X616" s="18">
        <v>36139950</v>
      </c>
      <c r="Y616" s="19" t="s">
        <v>339</v>
      </c>
      <c r="Z616" s="19" t="s">
        <v>258</v>
      </c>
      <c r="AA616" s="14" t="s">
        <v>1554</v>
      </c>
      <c r="AB616" s="14" t="s">
        <v>1555</v>
      </c>
      <c r="AC616" s="14">
        <v>6012220601</v>
      </c>
      <c r="AD616" s="14" t="s">
        <v>1556</v>
      </c>
      <c r="AE616" s="82">
        <v>36139950</v>
      </c>
      <c r="AF616" s="82">
        <v>0</v>
      </c>
      <c r="AG616" s="82">
        <v>0</v>
      </c>
      <c r="AH616" s="82">
        <v>0</v>
      </c>
      <c r="AI616" s="82">
        <v>0</v>
      </c>
      <c r="AJ616" s="82">
        <v>3285450</v>
      </c>
      <c r="AK616" s="82">
        <v>0</v>
      </c>
      <c r="AL616" s="82">
        <v>3285450</v>
      </c>
      <c r="AM616" s="82">
        <v>0</v>
      </c>
      <c r="AN616" s="82">
        <v>3285450</v>
      </c>
      <c r="AO616" s="82">
        <v>0</v>
      </c>
      <c r="AP616" s="82">
        <v>3285450</v>
      </c>
      <c r="AQ616" s="82">
        <v>0</v>
      </c>
      <c r="AR616" s="82">
        <v>3285450</v>
      </c>
      <c r="AS616" s="82">
        <v>0</v>
      </c>
      <c r="AT616" s="82">
        <v>3285450</v>
      </c>
      <c r="AU616" s="82">
        <v>0</v>
      </c>
      <c r="AV616" s="82">
        <v>3285450</v>
      </c>
      <c r="AW616" s="82">
        <v>0</v>
      </c>
      <c r="AX616" s="82">
        <v>3285450</v>
      </c>
      <c r="AY616" s="82">
        <v>0</v>
      </c>
      <c r="AZ616" s="82">
        <v>3285450</v>
      </c>
      <c r="BA616" s="82">
        <v>0</v>
      </c>
      <c r="BB616" s="82">
        <v>6570900</v>
      </c>
      <c r="BC616" s="82">
        <f t="shared" ref="BC616:BD616" si="1223">AE616+AG616+AI616+AK616+AM616+AO616+AQ616+AS616+AU616+AW616+AY616+BA616</f>
        <v>36139950</v>
      </c>
      <c r="BD616" s="82">
        <f t="shared" si="1223"/>
        <v>36139950</v>
      </c>
      <c r="BE616" s="83">
        <f t="shared" si="813"/>
        <v>0</v>
      </c>
      <c r="BF616" s="83">
        <f t="shared" si="814"/>
        <v>0</v>
      </c>
      <c r="BG616" s="14" t="str">
        <f ca="1">IFERROR(__xludf.DUMMYFUNCTION("REGEXEXTRACT(O610,""^\S+\s(.+)$"")"),"Prestar servicios profesionales para apoyar la ejecución de las diferentes actividades relacionadas con el Plan Nacional de Sustitución de Leña y procesos a cargo de la Subdirección de Hidrocarburos.")</f>
        <v>Prestar servicios profesionales para apoyar la ejecución de las diferentes actividades relacionadas con el Plan Nacional de Sustitución de Leña y procesos a cargo de la Subdirección de Hidrocarburos.</v>
      </c>
      <c r="BH616" s="23">
        <v>36139950</v>
      </c>
      <c r="BI616" s="23"/>
      <c r="BJ616" s="23"/>
      <c r="BK616" s="23"/>
      <c r="BL616" s="23"/>
      <c r="BM616" s="23">
        <v>3285450</v>
      </c>
      <c r="BN616" s="23"/>
      <c r="BO616" s="23">
        <v>3285450</v>
      </c>
      <c r="BP616" s="23"/>
      <c r="BQ616" s="23">
        <v>3285450</v>
      </c>
      <c r="BR616" s="23"/>
      <c r="BS616" s="23">
        <v>3285450</v>
      </c>
      <c r="BT616" s="23"/>
      <c r="BU616" s="23">
        <v>3285450</v>
      </c>
      <c r="BV616" s="23"/>
      <c r="BW616" s="23">
        <v>3285450</v>
      </c>
      <c r="BX616" s="23"/>
      <c r="BY616" s="23">
        <v>3285450</v>
      </c>
      <c r="BZ616" s="23"/>
      <c r="CA616" s="23">
        <v>3285450</v>
      </c>
      <c r="CB616" s="23"/>
      <c r="CC616" s="23">
        <v>3285450</v>
      </c>
      <c r="CD616" s="23"/>
      <c r="CE616" s="23">
        <v>6570900</v>
      </c>
      <c r="CF616" s="28"/>
      <c r="CG616" s="28"/>
      <c r="CH616" s="25">
        <f t="shared" ref="CH616:CI616" si="1224">BH616+BJ616+BL616+BN616+BP616+BR616+BT616+BV616+BX616+BZ616+CB616+CD616+CF616</f>
        <v>36139950</v>
      </c>
      <c r="CI616" s="25">
        <f t="shared" si="1224"/>
        <v>36139950</v>
      </c>
      <c r="CJ616" s="26">
        <f t="shared" si="816"/>
        <v>0</v>
      </c>
      <c r="CK616" s="26">
        <f t="shared" si="817"/>
        <v>0</v>
      </c>
    </row>
    <row r="617" spans="1:89" ht="90" customHeight="1" x14ac:dyDescent="0.3">
      <c r="A617" s="13" t="s">
        <v>248</v>
      </c>
      <c r="B617" s="14" t="s">
        <v>48</v>
      </c>
      <c r="C617" s="15" t="s">
        <v>1550</v>
      </c>
      <c r="D617" s="14" t="s">
        <v>65</v>
      </c>
      <c r="E617" s="13" t="s">
        <v>250</v>
      </c>
      <c r="F617" s="13" t="s">
        <v>250</v>
      </c>
      <c r="G617" s="14">
        <v>23</v>
      </c>
      <c r="H617" s="13" t="s">
        <v>1609</v>
      </c>
      <c r="I617" s="15" t="s">
        <v>1552</v>
      </c>
      <c r="J617" s="14" t="s">
        <v>51</v>
      </c>
      <c r="K617" s="15" t="s">
        <v>77</v>
      </c>
      <c r="L617" s="14">
        <v>80111620</v>
      </c>
      <c r="M617" s="14" t="s">
        <v>52</v>
      </c>
      <c r="N617" s="14" t="s">
        <v>253</v>
      </c>
      <c r="O617" s="15" t="s">
        <v>1610</v>
      </c>
      <c r="P617" s="14" t="s">
        <v>255</v>
      </c>
      <c r="Q617" s="14" t="s">
        <v>255</v>
      </c>
      <c r="R617" s="14" t="s">
        <v>255</v>
      </c>
      <c r="S617" s="17">
        <v>11</v>
      </c>
      <c r="T617" s="14" t="s">
        <v>256</v>
      </c>
      <c r="U617" s="14" t="s">
        <v>257</v>
      </c>
      <c r="V617" s="14" t="s">
        <v>112</v>
      </c>
      <c r="W617" s="18">
        <v>36139950</v>
      </c>
      <c r="X617" s="18">
        <v>36139950</v>
      </c>
      <c r="Y617" s="19" t="s">
        <v>339</v>
      </c>
      <c r="Z617" s="19" t="s">
        <v>258</v>
      </c>
      <c r="AA617" s="14" t="s">
        <v>1554</v>
      </c>
      <c r="AB617" s="14" t="s">
        <v>1555</v>
      </c>
      <c r="AC617" s="14">
        <v>6012220601</v>
      </c>
      <c r="AD617" s="14" t="s">
        <v>1556</v>
      </c>
      <c r="AE617" s="82">
        <v>0</v>
      </c>
      <c r="AF617" s="82">
        <v>0</v>
      </c>
      <c r="AG617" s="82">
        <v>36139950</v>
      </c>
      <c r="AH617" s="82">
        <v>0</v>
      </c>
      <c r="AI617" s="82">
        <v>0</v>
      </c>
      <c r="AJ617" s="82">
        <v>3285450</v>
      </c>
      <c r="AK617" s="82">
        <v>0</v>
      </c>
      <c r="AL617" s="82">
        <v>3285450</v>
      </c>
      <c r="AM617" s="82">
        <v>0</v>
      </c>
      <c r="AN617" s="82">
        <v>3285450</v>
      </c>
      <c r="AO617" s="82">
        <v>0</v>
      </c>
      <c r="AP617" s="82">
        <v>3285450</v>
      </c>
      <c r="AQ617" s="82">
        <v>0</v>
      </c>
      <c r="AR617" s="82">
        <v>3285450</v>
      </c>
      <c r="AS617" s="82">
        <v>0</v>
      </c>
      <c r="AT617" s="82">
        <v>3285450</v>
      </c>
      <c r="AU617" s="82">
        <v>0</v>
      </c>
      <c r="AV617" s="82">
        <v>3285450</v>
      </c>
      <c r="AW617" s="82">
        <v>0</v>
      </c>
      <c r="AX617" s="82">
        <v>3285450</v>
      </c>
      <c r="AY617" s="82">
        <v>0</v>
      </c>
      <c r="AZ617" s="82">
        <v>3285450</v>
      </c>
      <c r="BA617" s="82">
        <v>0</v>
      </c>
      <c r="BB617" s="82">
        <v>6570900</v>
      </c>
      <c r="BC617" s="82">
        <f t="shared" ref="BC617:BD617" si="1225">AE617+AG617+AI617+AK617+AM617+AO617+AQ617+AS617+AU617+AW617+AY617+BA617</f>
        <v>36139950</v>
      </c>
      <c r="BD617" s="82">
        <f t="shared" si="1225"/>
        <v>36139950</v>
      </c>
      <c r="BE617" s="83">
        <f t="shared" si="813"/>
        <v>0</v>
      </c>
      <c r="BF617" s="83">
        <f t="shared" si="814"/>
        <v>0</v>
      </c>
      <c r="BG617" s="14" t="str">
        <f ca="1">IFERROR(__xludf.DUMMYFUNCTION("REGEXEXTRACT(O611,""^\S+\s(.+)$"")"),"Prestar servicios profesionales para apoyar la ejecución de las diferentes actividades relacionadas con el Estudio Técnico para el Plan de Abastecimiento de Gas Natural y procesos a cargo de la Subdirección de Hidrocarburos.")</f>
        <v>Prestar servicios profesionales para apoyar la ejecución de las diferentes actividades relacionadas con el Estudio Técnico para el Plan de Abastecimiento de Gas Natural y procesos a cargo de la Subdirección de Hidrocarburos.</v>
      </c>
      <c r="BH617" s="23"/>
      <c r="BI617" s="23"/>
      <c r="BJ617" s="23">
        <v>36139950</v>
      </c>
      <c r="BK617" s="23"/>
      <c r="BL617" s="23"/>
      <c r="BM617" s="23">
        <v>3285450</v>
      </c>
      <c r="BN617" s="23"/>
      <c r="BO617" s="23">
        <v>3285450</v>
      </c>
      <c r="BP617" s="23"/>
      <c r="BQ617" s="23">
        <v>3285450</v>
      </c>
      <c r="BR617" s="23"/>
      <c r="BS617" s="23">
        <v>3285450</v>
      </c>
      <c r="BT617" s="23"/>
      <c r="BU617" s="23">
        <v>3285450</v>
      </c>
      <c r="BV617" s="23"/>
      <c r="BW617" s="23">
        <v>3285450</v>
      </c>
      <c r="BX617" s="23"/>
      <c r="BY617" s="23">
        <v>3285450</v>
      </c>
      <c r="BZ617" s="23"/>
      <c r="CA617" s="23">
        <v>3285450</v>
      </c>
      <c r="CB617" s="23"/>
      <c r="CC617" s="23">
        <v>3285450</v>
      </c>
      <c r="CD617" s="23"/>
      <c r="CE617" s="23">
        <v>6570900</v>
      </c>
      <c r="CF617" s="28"/>
      <c r="CG617" s="28"/>
      <c r="CH617" s="25">
        <f t="shared" ref="CH617:CI617" si="1226">BH617+BJ617+BL617+BN617+BP617+BR617+BT617+BV617+BX617+BZ617+CB617+CD617+CF617</f>
        <v>36139950</v>
      </c>
      <c r="CI617" s="25">
        <f t="shared" si="1226"/>
        <v>36139950</v>
      </c>
      <c r="CJ617" s="26">
        <f t="shared" si="816"/>
        <v>0</v>
      </c>
      <c r="CK617" s="26">
        <f t="shared" si="817"/>
        <v>0</v>
      </c>
    </row>
    <row r="618" spans="1:89" ht="90" customHeight="1" x14ac:dyDescent="0.3">
      <c r="A618" s="13" t="s">
        <v>248</v>
      </c>
      <c r="B618" s="14" t="s">
        <v>48</v>
      </c>
      <c r="C618" s="15" t="s">
        <v>1550</v>
      </c>
      <c r="D618" s="14" t="s">
        <v>65</v>
      </c>
      <c r="E618" s="13" t="s">
        <v>250</v>
      </c>
      <c r="F618" s="13" t="s">
        <v>250</v>
      </c>
      <c r="G618" s="14">
        <v>23</v>
      </c>
      <c r="H618" s="13" t="s">
        <v>1611</v>
      </c>
      <c r="I618" s="15" t="s">
        <v>1552</v>
      </c>
      <c r="J618" s="14" t="s">
        <v>51</v>
      </c>
      <c r="K618" s="15" t="s">
        <v>77</v>
      </c>
      <c r="L618" s="14">
        <v>80111620</v>
      </c>
      <c r="M618" s="14" t="s">
        <v>52</v>
      </c>
      <c r="N618" s="14" t="s">
        <v>253</v>
      </c>
      <c r="O618" s="15" t="s">
        <v>1612</v>
      </c>
      <c r="P618" s="14" t="s">
        <v>255</v>
      </c>
      <c r="Q618" s="14" t="s">
        <v>255</v>
      </c>
      <c r="R618" s="14" t="s">
        <v>255</v>
      </c>
      <c r="S618" s="17">
        <v>11</v>
      </c>
      <c r="T618" s="14" t="s">
        <v>256</v>
      </c>
      <c r="U618" s="14" t="s">
        <v>257</v>
      </c>
      <c r="V618" s="14" t="s">
        <v>112</v>
      </c>
      <c r="W618" s="18">
        <v>36139950</v>
      </c>
      <c r="X618" s="18">
        <v>36139950</v>
      </c>
      <c r="Y618" s="19" t="s">
        <v>339</v>
      </c>
      <c r="Z618" s="19" t="s">
        <v>258</v>
      </c>
      <c r="AA618" s="14" t="s">
        <v>1554</v>
      </c>
      <c r="AB618" s="14" t="s">
        <v>1555</v>
      </c>
      <c r="AC618" s="14">
        <v>6012220601</v>
      </c>
      <c r="AD618" s="14" t="s">
        <v>1556</v>
      </c>
      <c r="AE618" s="82">
        <v>0</v>
      </c>
      <c r="AF618" s="82">
        <v>0</v>
      </c>
      <c r="AG618" s="82">
        <v>36139950</v>
      </c>
      <c r="AH618" s="82">
        <v>0</v>
      </c>
      <c r="AI618" s="82">
        <v>0</v>
      </c>
      <c r="AJ618" s="82">
        <v>3285450</v>
      </c>
      <c r="AK618" s="82">
        <v>0</v>
      </c>
      <c r="AL618" s="82">
        <v>3285450</v>
      </c>
      <c r="AM618" s="82">
        <v>0</v>
      </c>
      <c r="AN618" s="82">
        <v>3285450</v>
      </c>
      <c r="AO618" s="82">
        <v>0</v>
      </c>
      <c r="AP618" s="82">
        <v>3285450</v>
      </c>
      <c r="AQ618" s="82">
        <v>0</v>
      </c>
      <c r="AR618" s="82">
        <v>3285450</v>
      </c>
      <c r="AS618" s="82">
        <v>0</v>
      </c>
      <c r="AT618" s="82">
        <v>3285450</v>
      </c>
      <c r="AU618" s="82">
        <v>0</v>
      </c>
      <c r="AV618" s="82">
        <v>3285450</v>
      </c>
      <c r="AW618" s="82">
        <v>0</v>
      </c>
      <c r="AX618" s="82">
        <v>3285450</v>
      </c>
      <c r="AY618" s="82">
        <v>0</v>
      </c>
      <c r="AZ618" s="82">
        <v>3285450</v>
      </c>
      <c r="BA618" s="82">
        <v>0</v>
      </c>
      <c r="BB618" s="82">
        <v>6570900</v>
      </c>
      <c r="BC618" s="82">
        <f t="shared" ref="BC618:BD618" si="1227">AE618+AG618+AI618+AK618+AM618+AO618+AQ618+AS618+AU618+AW618+AY618+BA618</f>
        <v>36139950</v>
      </c>
      <c r="BD618" s="82">
        <f t="shared" si="1227"/>
        <v>36139950</v>
      </c>
      <c r="BE618" s="83">
        <f t="shared" si="813"/>
        <v>0</v>
      </c>
      <c r="BF618" s="83">
        <f t="shared" si="814"/>
        <v>0</v>
      </c>
      <c r="BG618" s="14" t="str">
        <f ca="1">IFERROR(__xludf.DUMMYFUNCTION("REGEXEXTRACT(O612,""^\S+\s(.+)$"")"),"Prestar servicios profesionales para apoyar las actividades relacionadas con el desarrollo de modelos y simulación en el marco de los planes indicativos a cargo de la Subdirección de Hidrocarburos, así como de su ejercicio misional.")</f>
        <v>Prestar servicios profesionales para apoyar las actividades relacionadas con el desarrollo de modelos y simulación en el marco de los planes indicativos a cargo de la Subdirección de Hidrocarburos, así como de su ejercicio misional.</v>
      </c>
      <c r="BH618" s="23"/>
      <c r="BI618" s="23"/>
      <c r="BJ618" s="23">
        <v>36139950</v>
      </c>
      <c r="BK618" s="23"/>
      <c r="BL618" s="23"/>
      <c r="BM618" s="23">
        <v>3285450</v>
      </c>
      <c r="BN618" s="23"/>
      <c r="BO618" s="23">
        <v>3285450</v>
      </c>
      <c r="BP618" s="23"/>
      <c r="BQ618" s="23">
        <v>3285450</v>
      </c>
      <c r="BR618" s="23"/>
      <c r="BS618" s="23">
        <v>3285450</v>
      </c>
      <c r="BT618" s="23"/>
      <c r="BU618" s="23">
        <v>3285450</v>
      </c>
      <c r="BV618" s="23"/>
      <c r="BW618" s="23">
        <v>3285450</v>
      </c>
      <c r="BX618" s="23"/>
      <c r="BY618" s="23">
        <v>3285450</v>
      </c>
      <c r="BZ618" s="23"/>
      <c r="CA618" s="23">
        <v>3285450</v>
      </c>
      <c r="CB618" s="23"/>
      <c r="CC618" s="23">
        <v>3285450</v>
      </c>
      <c r="CD618" s="23"/>
      <c r="CE618" s="23">
        <v>6570900</v>
      </c>
      <c r="CF618" s="28"/>
      <c r="CG618" s="28"/>
      <c r="CH618" s="25">
        <f t="shared" ref="CH618:CI618" si="1228">BH618+BJ618+BL618+BN618+BP618+BR618+BT618+BV618+BX618+BZ618+CB618+CD618+CF618</f>
        <v>36139950</v>
      </c>
      <c r="CI618" s="25">
        <f t="shared" si="1228"/>
        <v>36139950</v>
      </c>
      <c r="CJ618" s="26">
        <f t="shared" si="816"/>
        <v>0</v>
      </c>
      <c r="CK618" s="26">
        <f t="shared" si="817"/>
        <v>0</v>
      </c>
    </row>
    <row r="619" spans="1:89" ht="90" customHeight="1" x14ac:dyDescent="0.3">
      <c r="A619" s="13" t="s">
        <v>248</v>
      </c>
      <c r="B619" s="14" t="s">
        <v>48</v>
      </c>
      <c r="C619" s="15" t="s">
        <v>1550</v>
      </c>
      <c r="D619" s="14" t="s">
        <v>65</v>
      </c>
      <c r="E619" s="13" t="s">
        <v>250</v>
      </c>
      <c r="F619" s="13" t="s">
        <v>250</v>
      </c>
      <c r="G619" s="14">
        <v>23</v>
      </c>
      <c r="H619" s="13" t="s">
        <v>1613</v>
      </c>
      <c r="I619" s="15" t="s">
        <v>1552</v>
      </c>
      <c r="J619" s="14" t="s">
        <v>51</v>
      </c>
      <c r="K619" s="15" t="s">
        <v>77</v>
      </c>
      <c r="L619" s="14">
        <v>80111620</v>
      </c>
      <c r="M619" s="14" t="s">
        <v>52</v>
      </c>
      <c r="N619" s="14" t="s">
        <v>253</v>
      </c>
      <c r="O619" s="15" t="s">
        <v>1614</v>
      </c>
      <c r="P619" s="14" t="s">
        <v>255</v>
      </c>
      <c r="Q619" s="14" t="s">
        <v>255</v>
      </c>
      <c r="R619" s="14" t="s">
        <v>255</v>
      </c>
      <c r="S619" s="17">
        <v>11</v>
      </c>
      <c r="T619" s="14" t="s">
        <v>256</v>
      </c>
      <c r="U619" s="14" t="s">
        <v>257</v>
      </c>
      <c r="V619" s="14" t="s">
        <v>112</v>
      </c>
      <c r="W619" s="18">
        <v>36139950</v>
      </c>
      <c r="X619" s="18">
        <v>36139950</v>
      </c>
      <c r="Y619" s="19" t="s">
        <v>339</v>
      </c>
      <c r="Z619" s="19" t="s">
        <v>258</v>
      </c>
      <c r="AA619" s="14" t="s">
        <v>1554</v>
      </c>
      <c r="AB619" s="14" t="s">
        <v>1555</v>
      </c>
      <c r="AC619" s="14">
        <v>6012220601</v>
      </c>
      <c r="AD619" s="14" t="s">
        <v>1556</v>
      </c>
      <c r="AE619" s="82">
        <v>0</v>
      </c>
      <c r="AF619" s="82">
        <v>0</v>
      </c>
      <c r="AG619" s="82">
        <v>36139950</v>
      </c>
      <c r="AH619" s="82">
        <v>0</v>
      </c>
      <c r="AI619" s="82">
        <v>0</v>
      </c>
      <c r="AJ619" s="82">
        <v>3285450</v>
      </c>
      <c r="AK619" s="82">
        <v>0</v>
      </c>
      <c r="AL619" s="82">
        <v>3285450</v>
      </c>
      <c r="AM619" s="82">
        <v>0</v>
      </c>
      <c r="AN619" s="82">
        <v>3285450</v>
      </c>
      <c r="AO619" s="82">
        <v>0</v>
      </c>
      <c r="AP619" s="82">
        <v>3285450</v>
      </c>
      <c r="AQ619" s="82">
        <v>0</v>
      </c>
      <c r="AR619" s="82">
        <v>3285450</v>
      </c>
      <c r="AS619" s="82">
        <v>0</v>
      </c>
      <c r="AT619" s="82">
        <v>3285450</v>
      </c>
      <c r="AU619" s="82">
        <v>0</v>
      </c>
      <c r="AV619" s="82">
        <v>3285450</v>
      </c>
      <c r="AW619" s="82">
        <v>0</v>
      </c>
      <c r="AX619" s="82">
        <v>3285450</v>
      </c>
      <c r="AY619" s="82">
        <v>0</v>
      </c>
      <c r="AZ619" s="82">
        <v>3285450</v>
      </c>
      <c r="BA619" s="82">
        <v>0</v>
      </c>
      <c r="BB619" s="82">
        <v>6570900</v>
      </c>
      <c r="BC619" s="82">
        <f t="shared" ref="BC619:BD619" si="1229">AE619+AG619+AI619+AK619+AM619+AO619+AQ619+AS619+AU619+AW619+AY619+BA619</f>
        <v>36139950</v>
      </c>
      <c r="BD619" s="82">
        <f t="shared" si="1229"/>
        <v>36139950</v>
      </c>
      <c r="BE619" s="83">
        <f t="shared" si="813"/>
        <v>0</v>
      </c>
      <c r="BF619" s="83">
        <f t="shared" si="814"/>
        <v>0</v>
      </c>
      <c r="BG619" s="14" t="str">
        <f ca="1">IFERROR(__xludf.DUMMYFUNCTION("REGEXEXTRACT(O613,""^\S+\s(.+)$"")"),"Prestar servicios profesionales para apoyar las actividades relacionadas con la incorporación del componente transición energética y sostenibilidad en el marco de los planes indicativos cargo de la Subdirección de Hidrocarburos, así como de su ejercicio m"&amp;"isional.")</f>
        <v>Prestar servicios profesionales para apoyar las actividades relacionadas con la incorporación del componente transición energética y sostenibilidad en el marco de los planes indicativos cargo de la Subdirección de Hidrocarburos, así como de su ejercicio misional.</v>
      </c>
      <c r="BH619" s="23"/>
      <c r="BI619" s="23"/>
      <c r="BJ619" s="23">
        <v>36139950</v>
      </c>
      <c r="BK619" s="23"/>
      <c r="BL619" s="23"/>
      <c r="BM619" s="23">
        <v>3285450</v>
      </c>
      <c r="BN619" s="23"/>
      <c r="BO619" s="23">
        <v>3285450</v>
      </c>
      <c r="BP619" s="23"/>
      <c r="BQ619" s="23">
        <v>3285450</v>
      </c>
      <c r="BR619" s="23"/>
      <c r="BS619" s="23">
        <v>3285450</v>
      </c>
      <c r="BT619" s="23"/>
      <c r="BU619" s="23">
        <v>3285450</v>
      </c>
      <c r="BV619" s="23"/>
      <c r="BW619" s="23">
        <v>3285450</v>
      </c>
      <c r="BX619" s="23"/>
      <c r="BY619" s="23">
        <v>3285450</v>
      </c>
      <c r="BZ619" s="23"/>
      <c r="CA619" s="23">
        <v>3285450</v>
      </c>
      <c r="CB619" s="23"/>
      <c r="CC619" s="23">
        <v>3285450</v>
      </c>
      <c r="CD619" s="23"/>
      <c r="CE619" s="23">
        <v>6570900</v>
      </c>
      <c r="CF619" s="28"/>
      <c r="CG619" s="28"/>
      <c r="CH619" s="25">
        <f t="shared" ref="CH619:CI619" si="1230">BH619+BJ619+BL619+BN619+BP619+BR619+BT619+BV619+BX619+BZ619+CB619+CD619+CF619</f>
        <v>36139950</v>
      </c>
      <c r="CI619" s="25">
        <f t="shared" si="1230"/>
        <v>36139950</v>
      </c>
      <c r="CJ619" s="26">
        <f t="shared" si="816"/>
        <v>0</v>
      </c>
      <c r="CK619" s="26">
        <f t="shared" si="817"/>
        <v>0</v>
      </c>
    </row>
    <row r="620" spans="1:89" ht="90" customHeight="1" x14ac:dyDescent="0.3">
      <c r="A620" s="13" t="s">
        <v>248</v>
      </c>
      <c r="B620" s="14" t="s">
        <v>48</v>
      </c>
      <c r="C620" s="15" t="s">
        <v>1550</v>
      </c>
      <c r="D620" s="14" t="s">
        <v>65</v>
      </c>
      <c r="E620" s="13" t="s">
        <v>250</v>
      </c>
      <c r="F620" s="13" t="s">
        <v>250</v>
      </c>
      <c r="G620" s="14">
        <v>68</v>
      </c>
      <c r="H620" s="13" t="s">
        <v>1615</v>
      </c>
      <c r="I620" s="15" t="s">
        <v>1616</v>
      </c>
      <c r="J620" s="14" t="s">
        <v>49</v>
      </c>
      <c r="K620" s="15" t="s">
        <v>70</v>
      </c>
      <c r="L620" s="14">
        <v>80111620</v>
      </c>
      <c r="M620" s="14" t="s">
        <v>50</v>
      </c>
      <c r="N620" s="14" t="s">
        <v>253</v>
      </c>
      <c r="O620" s="15" t="s">
        <v>1617</v>
      </c>
      <c r="P620" s="14" t="s">
        <v>255</v>
      </c>
      <c r="Q620" s="14" t="s">
        <v>255</v>
      </c>
      <c r="R620" s="14" t="s">
        <v>255</v>
      </c>
      <c r="S620" s="17">
        <v>11</v>
      </c>
      <c r="T620" s="14" t="s">
        <v>256</v>
      </c>
      <c r="U620" s="14" t="s">
        <v>257</v>
      </c>
      <c r="V620" s="14" t="s">
        <v>113</v>
      </c>
      <c r="W620" s="18">
        <v>63800000</v>
      </c>
      <c r="X620" s="18">
        <v>63800000</v>
      </c>
      <c r="Y620" s="19" t="s">
        <v>339</v>
      </c>
      <c r="Z620" s="19" t="s">
        <v>258</v>
      </c>
      <c r="AA620" s="14" t="s">
        <v>1554</v>
      </c>
      <c r="AB620" s="14" t="s">
        <v>1555</v>
      </c>
      <c r="AC620" s="14">
        <v>6012220601</v>
      </c>
      <c r="AD620" s="14" t="s">
        <v>1556</v>
      </c>
      <c r="AE620" s="82">
        <v>0</v>
      </c>
      <c r="AF620" s="82">
        <v>0</v>
      </c>
      <c r="AG620" s="82">
        <v>63213150</v>
      </c>
      <c r="AH620" s="82">
        <v>0</v>
      </c>
      <c r="AI620" s="82">
        <v>0</v>
      </c>
      <c r="AJ620" s="82">
        <v>5800000</v>
      </c>
      <c r="AK620" s="82">
        <v>0</v>
      </c>
      <c r="AL620" s="82">
        <v>5800000</v>
      </c>
      <c r="AM620" s="82">
        <v>0</v>
      </c>
      <c r="AN620" s="82">
        <v>5800000</v>
      </c>
      <c r="AO620" s="82">
        <v>0</v>
      </c>
      <c r="AP620" s="82">
        <v>5800000</v>
      </c>
      <c r="AQ620" s="82">
        <v>0</v>
      </c>
      <c r="AR620" s="82">
        <v>5800000</v>
      </c>
      <c r="AS620" s="82">
        <v>586850</v>
      </c>
      <c r="AT620" s="82">
        <v>5800000</v>
      </c>
      <c r="AU620" s="82">
        <v>0</v>
      </c>
      <c r="AV620" s="82">
        <v>5800000</v>
      </c>
      <c r="AW620" s="82">
        <v>0</v>
      </c>
      <c r="AX620" s="82">
        <v>5800000</v>
      </c>
      <c r="AY620" s="82">
        <v>0</v>
      </c>
      <c r="AZ620" s="82">
        <v>5800000</v>
      </c>
      <c r="BA620" s="82">
        <v>0</v>
      </c>
      <c r="BB620" s="82">
        <v>11600000</v>
      </c>
      <c r="BC620" s="82">
        <f t="shared" ref="BC620:BD620" si="1231">AE620+AG620+AI620+AK620+AM620+AO620+AQ620+AS620+AU620+AW620+AY620+BA620</f>
        <v>63800000</v>
      </c>
      <c r="BD620" s="82">
        <f t="shared" si="1231"/>
        <v>63800000</v>
      </c>
      <c r="BE620" s="83">
        <f t="shared" si="813"/>
        <v>0</v>
      </c>
      <c r="BF620" s="83">
        <f t="shared" si="814"/>
        <v>0</v>
      </c>
      <c r="BG620" s="14" t="str">
        <f ca="1">IFERROR(__xludf.DUMMYFUNCTION("REGEXEXTRACT(O614,""^\S+\s(.+)$"")"),"Prestar servicios profesionales para apoyar las actividades relacionadas con la gestión de la información en el marco de los planes indicativos a cargo de la Subdirección de Hidrocarburos, así como de su ejercicio misional.")</f>
        <v>Prestar servicios profesionales para apoyar las actividades relacionadas con la gestión de la información en el marco de los planes indicativos a cargo de la Subdirección de Hidrocarburos, así como de su ejercicio misional.</v>
      </c>
      <c r="BH620" s="23"/>
      <c r="BI620" s="23"/>
      <c r="BJ620" s="23">
        <v>63213150</v>
      </c>
      <c r="BK620" s="23"/>
      <c r="BL620" s="23"/>
      <c r="BM620" s="23">
        <v>5800000</v>
      </c>
      <c r="BN620" s="23"/>
      <c r="BO620" s="23">
        <v>5800000</v>
      </c>
      <c r="BP620" s="23"/>
      <c r="BQ620" s="23">
        <v>5800000</v>
      </c>
      <c r="BR620" s="23"/>
      <c r="BS620" s="23">
        <v>5800000</v>
      </c>
      <c r="BT620" s="23"/>
      <c r="BU620" s="23">
        <v>5800000</v>
      </c>
      <c r="BV620" s="23">
        <v>586850</v>
      </c>
      <c r="BW620" s="23">
        <v>5800000</v>
      </c>
      <c r="BX620" s="23"/>
      <c r="BY620" s="23">
        <v>5800000</v>
      </c>
      <c r="BZ620" s="23"/>
      <c r="CA620" s="23">
        <v>5800000</v>
      </c>
      <c r="CB620" s="23"/>
      <c r="CC620" s="23">
        <v>5800000</v>
      </c>
      <c r="CD620" s="23"/>
      <c r="CE620" s="23">
        <v>11600000</v>
      </c>
      <c r="CF620" s="28"/>
      <c r="CG620" s="28"/>
      <c r="CH620" s="25">
        <f t="shared" ref="CH620:CI620" si="1232">BH620+BJ620+BL620+BN620+BP620+BR620+BT620+BV620+BX620+BZ620+CB620+CD620+CF620</f>
        <v>63800000</v>
      </c>
      <c r="CI620" s="25">
        <f t="shared" si="1232"/>
        <v>63800000</v>
      </c>
      <c r="CJ620" s="26">
        <f t="shared" si="816"/>
        <v>0</v>
      </c>
      <c r="CK620" s="26">
        <f t="shared" si="817"/>
        <v>0</v>
      </c>
    </row>
    <row r="621" spans="1:89" ht="90" customHeight="1" x14ac:dyDescent="0.3">
      <c r="A621" s="13" t="s">
        <v>248</v>
      </c>
      <c r="B621" s="14" t="s">
        <v>48</v>
      </c>
      <c r="C621" s="15" t="s">
        <v>1550</v>
      </c>
      <c r="D621" s="14" t="s">
        <v>65</v>
      </c>
      <c r="E621" s="13" t="s">
        <v>250</v>
      </c>
      <c r="F621" s="13" t="s">
        <v>250</v>
      </c>
      <c r="G621" s="14">
        <v>68</v>
      </c>
      <c r="H621" s="13" t="s">
        <v>1618</v>
      </c>
      <c r="I621" s="15" t="s">
        <v>1616</v>
      </c>
      <c r="J621" s="14" t="s">
        <v>49</v>
      </c>
      <c r="K621" s="15" t="s">
        <v>70</v>
      </c>
      <c r="L621" s="14">
        <v>80111620</v>
      </c>
      <c r="M621" s="14" t="s">
        <v>50</v>
      </c>
      <c r="N621" s="14" t="s">
        <v>253</v>
      </c>
      <c r="O621" s="15" t="s">
        <v>1619</v>
      </c>
      <c r="P621" s="14" t="s">
        <v>255</v>
      </c>
      <c r="Q621" s="14" t="s">
        <v>255</v>
      </c>
      <c r="R621" s="14" t="s">
        <v>255</v>
      </c>
      <c r="S621" s="17">
        <v>11</v>
      </c>
      <c r="T621" s="14" t="s">
        <v>256</v>
      </c>
      <c r="U621" s="14" t="s">
        <v>257</v>
      </c>
      <c r="V621" s="14" t="s">
        <v>113</v>
      </c>
      <c r="W621" s="18">
        <v>36139950</v>
      </c>
      <c r="X621" s="18">
        <v>36139950</v>
      </c>
      <c r="Y621" s="19" t="s">
        <v>339</v>
      </c>
      <c r="Z621" s="19" t="s">
        <v>258</v>
      </c>
      <c r="AA621" s="14" t="s">
        <v>1554</v>
      </c>
      <c r="AB621" s="14" t="s">
        <v>1555</v>
      </c>
      <c r="AC621" s="14">
        <v>6012220601</v>
      </c>
      <c r="AD621" s="14" t="s">
        <v>1556</v>
      </c>
      <c r="AE621" s="82">
        <v>0</v>
      </c>
      <c r="AF621" s="82">
        <v>0</v>
      </c>
      <c r="AG621" s="82">
        <v>36139950</v>
      </c>
      <c r="AH621" s="82">
        <v>0</v>
      </c>
      <c r="AI621" s="82">
        <v>0</v>
      </c>
      <c r="AJ621" s="82">
        <v>3285450</v>
      </c>
      <c r="AK621" s="82">
        <v>0</v>
      </c>
      <c r="AL621" s="82">
        <v>3285450</v>
      </c>
      <c r="AM621" s="82">
        <v>0</v>
      </c>
      <c r="AN621" s="82">
        <v>3285450</v>
      </c>
      <c r="AO621" s="82">
        <v>0</v>
      </c>
      <c r="AP621" s="82">
        <v>3285450</v>
      </c>
      <c r="AQ621" s="82">
        <v>0</v>
      </c>
      <c r="AR621" s="82">
        <v>3285450</v>
      </c>
      <c r="AS621" s="82">
        <v>0</v>
      </c>
      <c r="AT621" s="82">
        <v>3285450</v>
      </c>
      <c r="AU621" s="82">
        <v>0</v>
      </c>
      <c r="AV621" s="82">
        <v>3285450</v>
      </c>
      <c r="AW621" s="82">
        <v>0</v>
      </c>
      <c r="AX621" s="82">
        <v>3285450</v>
      </c>
      <c r="AY621" s="82">
        <v>0</v>
      </c>
      <c r="AZ621" s="82">
        <v>3285450</v>
      </c>
      <c r="BA621" s="82">
        <v>0</v>
      </c>
      <c r="BB621" s="82">
        <v>6570900</v>
      </c>
      <c r="BC621" s="82">
        <f t="shared" ref="BC621:BD621" si="1233">AE621+AG621+AI621+AK621+AM621+AO621+AQ621+AS621+AU621+AW621+AY621+BA621</f>
        <v>36139950</v>
      </c>
      <c r="BD621" s="82">
        <f t="shared" si="1233"/>
        <v>36139950</v>
      </c>
      <c r="BE621" s="83">
        <f t="shared" si="813"/>
        <v>0</v>
      </c>
      <c r="BF621" s="83">
        <f t="shared" si="814"/>
        <v>0</v>
      </c>
      <c r="BG621" s="14" t="str">
        <f ca="1">IFERROR(__xludf.DUMMYFUNCTION("REGEXEXTRACT(O615,""^\S+\s(.+)$"")"),"Prestar servicios profesionales para apoyar la ejecución de las actividades relacionadas con los procesos de convocatorias públicas, así como la elaboración de documentos técnicos y asistencia a la gestión de la Subdirección de Hidrocarburos.")</f>
        <v>Prestar servicios profesionales para apoyar la ejecución de las actividades relacionadas con los procesos de convocatorias públicas, así como la elaboración de documentos técnicos y asistencia a la gestión de la Subdirección de Hidrocarburos.</v>
      </c>
      <c r="BH621" s="23"/>
      <c r="BI621" s="23"/>
      <c r="BJ621" s="23">
        <v>36139950</v>
      </c>
      <c r="BK621" s="23"/>
      <c r="BL621" s="23"/>
      <c r="BM621" s="23">
        <v>3285450</v>
      </c>
      <c r="BN621" s="23"/>
      <c r="BO621" s="23">
        <v>3285450</v>
      </c>
      <c r="BP621" s="23"/>
      <c r="BQ621" s="23">
        <v>3285450</v>
      </c>
      <c r="BR621" s="23"/>
      <c r="BS621" s="23">
        <v>3285450</v>
      </c>
      <c r="BT621" s="23"/>
      <c r="BU621" s="23">
        <v>3285450</v>
      </c>
      <c r="BV621" s="23"/>
      <c r="BW621" s="23">
        <v>3285450</v>
      </c>
      <c r="BX621" s="23"/>
      <c r="BY621" s="23">
        <v>3285450</v>
      </c>
      <c r="BZ621" s="23"/>
      <c r="CA621" s="23">
        <v>3285450</v>
      </c>
      <c r="CB621" s="23"/>
      <c r="CC621" s="23">
        <v>3285450</v>
      </c>
      <c r="CD621" s="23"/>
      <c r="CE621" s="23">
        <v>6570900</v>
      </c>
      <c r="CF621" s="28"/>
      <c r="CG621" s="28"/>
      <c r="CH621" s="25">
        <f t="shared" ref="CH621:CI621" si="1234">BH621+BJ621+BL621+BN621+BP621+BR621+BT621+BV621+BX621+BZ621+CB621+CD621+CF621</f>
        <v>36139950</v>
      </c>
      <c r="CI621" s="25">
        <f t="shared" si="1234"/>
        <v>36139950</v>
      </c>
      <c r="CJ621" s="26">
        <f t="shared" si="816"/>
        <v>0</v>
      </c>
      <c r="CK621" s="26">
        <f t="shared" si="817"/>
        <v>0</v>
      </c>
    </row>
    <row r="622" spans="1:89" ht="90" customHeight="1" x14ac:dyDescent="0.3">
      <c r="A622" s="13" t="s">
        <v>248</v>
      </c>
      <c r="B622" s="14" t="s">
        <v>48</v>
      </c>
      <c r="C622" s="15" t="s">
        <v>1550</v>
      </c>
      <c r="D622" s="14" t="s">
        <v>65</v>
      </c>
      <c r="E622" s="13" t="s">
        <v>250</v>
      </c>
      <c r="F622" s="13" t="s">
        <v>250</v>
      </c>
      <c r="G622" s="14">
        <v>68</v>
      </c>
      <c r="H622" s="13" t="s">
        <v>1620</v>
      </c>
      <c r="I622" s="15" t="s">
        <v>1616</v>
      </c>
      <c r="J622" s="14" t="s">
        <v>49</v>
      </c>
      <c r="K622" s="15" t="s">
        <v>70</v>
      </c>
      <c r="L622" s="14">
        <v>80111620</v>
      </c>
      <c r="M622" s="14" t="s">
        <v>50</v>
      </c>
      <c r="N622" s="14" t="s">
        <v>253</v>
      </c>
      <c r="O622" s="15" t="s">
        <v>1621</v>
      </c>
      <c r="P622" s="14" t="s">
        <v>255</v>
      </c>
      <c r="Q622" s="14" t="s">
        <v>255</v>
      </c>
      <c r="R622" s="14" t="s">
        <v>255</v>
      </c>
      <c r="S622" s="17">
        <v>11</v>
      </c>
      <c r="T622" s="14" t="s">
        <v>256</v>
      </c>
      <c r="U622" s="14" t="s">
        <v>257</v>
      </c>
      <c r="V622" s="14" t="s">
        <v>113</v>
      </c>
      <c r="W622" s="18">
        <v>36139950</v>
      </c>
      <c r="X622" s="18">
        <v>36139950</v>
      </c>
      <c r="Y622" s="19" t="s">
        <v>339</v>
      </c>
      <c r="Z622" s="19" t="s">
        <v>258</v>
      </c>
      <c r="AA622" s="14" t="s">
        <v>1554</v>
      </c>
      <c r="AB622" s="14" t="s">
        <v>1555</v>
      </c>
      <c r="AC622" s="14">
        <v>6012220601</v>
      </c>
      <c r="AD622" s="14" t="s">
        <v>1556</v>
      </c>
      <c r="AE622" s="82">
        <v>0</v>
      </c>
      <c r="AF622" s="82">
        <v>0</v>
      </c>
      <c r="AG622" s="82">
        <v>36139950</v>
      </c>
      <c r="AH622" s="82">
        <v>0</v>
      </c>
      <c r="AI622" s="82">
        <v>0</v>
      </c>
      <c r="AJ622" s="82">
        <v>3285450</v>
      </c>
      <c r="AK622" s="82">
        <v>0</v>
      </c>
      <c r="AL622" s="82">
        <v>3285450</v>
      </c>
      <c r="AM622" s="82">
        <v>0</v>
      </c>
      <c r="AN622" s="82">
        <v>3285450</v>
      </c>
      <c r="AO622" s="82">
        <v>0</v>
      </c>
      <c r="AP622" s="82">
        <v>3285450</v>
      </c>
      <c r="AQ622" s="82">
        <v>0</v>
      </c>
      <c r="AR622" s="82">
        <v>3285450</v>
      </c>
      <c r="AS622" s="82">
        <v>0</v>
      </c>
      <c r="AT622" s="82">
        <v>3285450</v>
      </c>
      <c r="AU622" s="82">
        <v>0</v>
      </c>
      <c r="AV622" s="82">
        <v>3285450</v>
      </c>
      <c r="AW622" s="82">
        <v>0</v>
      </c>
      <c r="AX622" s="82">
        <v>3285450</v>
      </c>
      <c r="AY622" s="82">
        <v>0</v>
      </c>
      <c r="AZ622" s="82">
        <v>3285450</v>
      </c>
      <c r="BA622" s="82">
        <v>0</v>
      </c>
      <c r="BB622" s="82">
        <v>6570900</v>
      </c>
      <c r="BC622" s="82">
        <f t="shared" ref="BC622:BD622" si="1235">AE622+AG622+AI622+AK622+AM622+AO622+AQ622+AS622+AU622+AW622+AY622+BA622</f>
        <v>36139950</v>
      </c>
      <c r="BD622" s="82">
        <f t="shared" si="1235"/>
        <v>36139950</v>
      </c>
      <c r="BE622" s="83">
        <f t="shared" si="813"/>
        <v>0</v>
      </c>
      <c r="BF622" s="83">
        <f t="shared" si="814"/>
        <v>0</v>
      </c>
      <c r="BG622" s="14" t="str">
        <f ca="1">IFERROR(__xludf.DUMMYFUNCTION("REGEXEXTRACT(O616,""^\S+\s(.+)$"")"),"Prestar servicios profesionales para apoyar la ejecución de las diferentes actividades relacionadas con el Plan Indicativo de Abastecimiento de Combustibles Líquidos y procesos a cargo de la Subdirección de Hidrocarburos.")</f>
        <v>Prestar servicios profesionales para apoyar la ejecución de las diferentes actividades relacionadas con el Plan Indicativo de Abastecimiento de Combustibles Líquidos y procesos a cargo de la Subdirección de Hidrocarburos.</v>
      </c>
      <c r="BH622" s="23"/>
      <c r="BI622" s="23"/>
      <c r="BJ622" s="23">
        <v>36139950</v>
      </c>
      <c r="BK622" s="23"/>
      <c r="BL622" s="23"/>
      <c r="BM622" s="23">
        <v>3285450</v>
      </c>
      <c r="BN622" s="23"/>
      <c r="BO622" s="23">
        <v>3285450</v>
      </c>
      <c r="BP622" s="23"/>
      <c r="BQ622" s="23">
        <v>3285450</v>
      </c>
      <c r="BR622" s="23"/>
      <c r="BS622" s="23">
        <v>3285450</v>
      </c>
      <c r="BT622" s="23"/>
      <c r="BU622" s="23">
        <v>3285450</v>
      </c>
      <c r="BV622" s="23"/>
      <c r="BW622" s="23">
        <v>3285450</v>
      </c>
      <c r="BX622" s="23"/>
      <c r="BY622" s="23">
        <v>3285450</v>
      </c>
      <c r="BZ622" s="23"/>
      <c r="CA622" s="23">
        <v>3285450</v>
      </c>
      <c r="CB622" s="23"/>
      <c r="CC622" s="23">
        <v>3285450</v>
      </c>
      <c r="CD622" s="23"/>
      <c r="CE622" s="23">
        <v>6570900</v>
      </c>
      <c r="CF622" s="28"/>
      <c r="CG622" s="28"/>
      <c r="CH622" s="25">
        <f t="shared" ref="CH622:CI622" si="1236">BH622+BJ622+BL622+BN622+BP622+BR622+BT622+BV622+BX622+BZ622+CB622+CD622+CF622</f>
        <v>36139950</v>
      </c>
      <c r="CI622" s="25">
        <f t="shared" si="1236"/>
        <v>36139950</v>
      </c>
      <c r="CJ622" s="26">
        <f t="shared" si="816"/>
        <v>0</v>
      </c>
      <c r="CK622" s="26">
        <f t="shared" si="817"/>
        <v>0</v>
      </c>
    </row>
    <row r="623" spans="1:89" ht="90" customHeight="1" x14ac:dyDescent="0.3">
      <c r="A623" s="13" t="s">
        <v>248</v>
      </c>
      <c r="B623" s="14" t="s">
        <v>48</v>
      </c>
      <c r="C623" s="15" t="s">
        <v>1550</v>
      </c>
      <c r="D623" s="14" t="s">
        <v>65</v>
      </c>
      <c r="E623" s="13" t="s">
        <v>250</v>
      </c>
      <c r="F623" s="13" t="s">
        <v>250</v>
      </c>
      <c r="G623" s="14">
        <v>23</v>
      </c>
      <c r="H623" s="13" t="s">
        <v>1622</v>
      </c>
      <c r="I623" s="15" t="s">
        <v>1616</v>
      </c>
      <c r="J623" s="14" t="s">
        <v>49</v>
      </c>
      <c r="K623" s="15" t="s">
        <v>70</v>
      </c>
      <c r="L623" s="14">
        <v>80111620</v>
      </c>
      <c r="M623" s="14" t="s">
        <v>50</v>
      </c>
      <c r="N623" s="14" t="s">
        <v>253</v>
      </c>
      <c r="O623" s="15" t="s">
        <v>1623</v>
      </c>
      <c r="P623" s="14" t="s">
        <v>255</v>
      </c>
      <c r="Q623" s="14" t="s">
        <v>255</v>
      </c>
      <c r="R623" s="14" t="s">
        <v>255</v>
      </c>
      <c r="S623" s="17">
        <v>11</v>
      </c>
      <c r="T623" s="14" t="s">
        <v>256</v>
      </c>
      <c r="U623" s="14" t="s">
        <v>257</v>
      </c>
      <c r="V623" s="14" t="s">
        <v>113</v>
      </c>
      <c r="W623" s="18">
        <v>55000000</v>
      </c>
      <c r="X623" s="18">
        <v>55000000</v>
      </c>
      <c r="Y623" s="19" t="s">
        <v>339</v>
      </c>
      <c r="Z623" s="19" t="s">
        <v>258</v>
      </c>
      <c r="AA623" s="14" t="s">
        <v>1554</v>
      </c>
      <c r="AB623" s="14" t="s">
        <v>1555</v>
      </c>
      <c r="AC623" s="14">
        <v>6012220601</v>
      </c>
      <c r="AD623" s="14" t="s">
        <v>1556</v>
      </c>
      <c r="AE623" s="82">
        <v>0</v>
      </c>
      <c r="AF623" s="82">
        <v>0</v>
      </c>
      <c r="AG623" s="82">
        <v>0</v>
      </c>
      <c r="AH623" s="82">
        <v>0</v>
      </c>
      <c r="AI623" s="82">
        <v>0</v>
      </c>
      <c r="AJ623" s="82">
        <v>0</v>
      </c>
      <c r="AK623" s="82">
        <v>0</v>
      </c>
      <c r="AL623" s="82">
        <v>0</v>
      </c>
      <c r="AM623" s="82">
        <v>0</v>
      </c>
      <c r="AN623" s="82">
        <v>0</v>
      </c>
      <c r="AO623" s="82">
        <v>0</v>
      </c>
      <c r="AP623" s="82">
        <v>0</v>
      </c>
      <c r="AQ623" s="82">
        <v>55000000</v>
      </c>
      <c r="AR623" s="82">
        <v>0</v>
      </c>
      <c r="AS623" s="82">
        <v>0</v>
      </c>
      <c r="AT623" s="82">
        <v>10000000</v>
      </c>
      <c r="AU623" s="82">
        <v>0</v>
      </c>
      <c r="AV623" s="82">
        <v>0</v>
      </c>
      <c r="AW623" s="82">
        <v>0</v>
      </c>
      <c r="AX623" s="82">
        <v>10000000</v>
      </c>
      <c r="AY623" s="82">
        <v>0</v>
      </c>
      <c r="AZ623" s="82">
        <v>35000000</v>
      </c>
      <c r="BA623" s="82">
        <v>0</v>
      </c>
      <c r="BB623" s="82">
        <v>0</v>
      </c>
      <c r="BC623" s="82">
        <f t="shared" ref="BC623:BD623" si="1237">AE623+AG623+AI623+AK623+AM623+AO623+AQ623+AS623+AU623+AW623+AY623+BA623</f>
        <v>55000000</v>
      </c>
      <c r="BD623" s="82">
        <f t="shared" si="1237"/>
        <v>55000000</v>
      </c>
      <c r="BE623" s="83">
        <f t="shared" si="813"/>
        <v>0</v>
      </c>
      <c r="BF623" s="83">
        <f t="shared" si="814"/>
        <v>0</v>
      </c>
      <c r="BG623" s="14" t="str">
        <f ca="1">IFERROR(__xludf.DUMMYFUNCTION("REGEXEXTRACT(O617,""^\S+\s(.+)$"")"),"Prestar servicios profesionales para la gestión jurídica en la verificación y cumplimiento de requisitos legales y expedición de actos administrativos, en especial, lo relacionado con el sector hidrocarburos.")</f>
        <v>Prestar servicios profesionales para la gestión jurídica en la verificación y cumplimiento de requisitos legales y expedición de actos administrativos, en especial, lo relacionado con el sector hidrocarburos.</v>
      </c>
      <c r="BH623" s="23"/>
      <c r="BI623" s="23"/>
      <c r="BJ623" s="23"/>
      <c r="BK623" s="23"/>
      <c r="BL623" s="23"/>
      <c r="BM623" s="23"/>
      <c r="BN623" s="23"/>
      <c r="BO623" s="23"/>
      <c r="BP623" s="23"/>
      <c r="BQ623" s="23"/>
      <c r="BR623" s="23"/>
      <c r="BS623" s="23"/>
      <c r="BT623" s="23">
        <v>55000000</v>
      </c>
      <c r="BU623" s="23"/>
      <c r="BV623" s="23"/>
      <c r="BW623" s="23">
        <v>10000000</v>
      </c>
      <c r="BX623" s="23"/>
      <c r="BY623" s="23"/>
      <c r="BZ623" s="23"/>
      <c r="CA623" s="23">
        <v>10000000</v>
      </c>
      <c r="CB623" s="23"/>
      <c r="CC623" s="23">
        <v>35000000</v>
      </c>
      <c r="CD623" s="23"/>
      <c r="CE623" s="23"/>
      <c r="CF623" s="28"/>
      <c r="CG623" s="28"/>
      <c r="CH623" s="25">
        <f t="shared" ref="CH623:CI623" si="1238">BH623+BJ623+BL623+BN623+BP623+BR623+BT623+BV623+BX623+BZ623+CB623+CD623+CF623</f>
        <v>55000000</v>
      </c>
      <c r="CI623" s="25">
        <f t="shared" si="1238"/>
        <v>55000000</v>
      </c>
      <c r="CJ623" s="26">
        <f t="shared" si="816"/>
        <v>0</v>
      </c>
      <c r="CK623" s="26">
        <f t="shared" si="817"/>
        <v>0</v>
      </c>
    </row>
    <row r="624" spans="1:89" ht="90" customHeight="1" x14ac:dyDescent="0.3">
      <c r="A624" s="13" t="s">
        <v>248</v>
      </c>
      <c r="B624" s="14" t="s">
        <v>48</v>
      </c>
      <c r="C624" s="15" t="s">
        <v>1550</v>
      </c>
      <c r="D624" s="14" t="s">
        <v>65</v>
      </c>
      <c r="E624" s="13" t="s">
        <v>250</v>
      </c>
      <c r="F624" s="13" t="s">
        <v>250</v>
      </c>
      <c r="G624" s="14">
        <v>68</v>
      </c>
      <c r="H624" s="13" t="s">
        <v>1624</v>
      </c>
      <c r="I624" s="15" t="s">
        <v>1616</v>
      </c>
      <c r="J624" s="14" t="s">
        <v>49</v>
      </c>
      <c r="K624" s="15" t="s">
        <v>70</v>
      </c>
      <c r="L624" s="14">
        <v>80111620</v>
      </c>
      <c r="M624" s="14" t="s">
        <v>50</v>
      </c>
      <c r="N624" s="14" t="s">
        <v>253</v>
      </c>
      <c r="O624" s="15" t="s">
        <v>1625</v>
      </c>
      <c r="P624" s="14" t="s">
        <v>255</v>
      </c>
      <c r="Q624" s="14" t="s">
        <v>255</v>
      </c>
      <c r="R624" s="14" t="s">
        <v>255</v>
      </c>
      <c r="S624" s="17">
        <v>11</v>
      </c>
      <c r="T624" s="14" t="s">
        <v>256</v>
      </c>
      <c r="U624" s="14" t="s">
        <v>257</v>
      </c>
      <c r="V624" s="14" t="s">
        <v>112</v>
      </c>
      <c r="W624" s="18">
        <v>21344400</v>
      </c>
      <c r="X624" s="18">
        <v>21344400</v>
      </c>
      <c r="Y624" s="19" t="s">
        <v>339</v>
      </c>
      <c r="Z624" s="19" t="s">
        <v>258</v>
      </c>
      <c r="AA624" s="14" t="s">
        <v>1554</v>
      </c>
      <c r="AB624" s="14" t="s">
        <v>1555</v>
      </c>
      <c r="AC624" s="14">
        <v>6012220601</v>
      </c>
      <c r="AD624" s="14" t="s">
        <v>1556</v>
      </c>
      <c r="AE624" s="82">
        <v>0</v>
      </c>
      <c r="AF624" s="82">
        <v>0</v>
      </c>
      <c r="AG624" s="82">
        <v>21016800</v>
      </c>
      <c r="AH624" s="82">
        <v>0</v>
      </c>
      <c r="AI624" s="82">
        <v>0</v>
      </c>
      <c r="AJ624" s="82">
        <v>2023840</v>
      </c>
      <c r="AK624" s="82">
        <v>0</v>
      </c>
      <c r="AL624" s="82">
        <v>2335200</v>
      </c>
      <c r="AM624" s="82">
        <v>0</v>
      </c>
      <c r="AN624" s="82">
        <v>2335200</v>
      </c>
      <c r="AO624" s="82">
        <v>0</v>
      </c>
      <c r="AP624" s="82">
        <v>2335200</v>
      </c>
      <c r="AQ624" s="82">
        <v>0</v>
      </c>
      <c r="AR624" s="82">
        <v>2335200</v>
      </c>
      <c r="AS624" s="82">
        <v>327600</v>
      </c>
      <c r="AT624" s="82">
        <v>2335200</v>
      </c>
      <c r="AU624" s="82">
        <v>0</v>
      </c>
      <c r="AV624" s="82">
        <v>2335200</v>
      </c>
      <c r="AW624" s="82">
        <v>0</v>
      </c>
      <c r="AX624" s="82">
        <v>2335200</v>
      </c>
      <c r="AY624" s="82">
        <v>0</v>
      </c>
      <c r="AZ624" s="82">
        <v>2335200</v>
      </c>
      <c r="BA624" s="82">
        <v>0</v>
      </c>
      <c r="BB624" s="82">
        <v>638960</v>
      </c>
      <c r="BC624" s="82">
        <f t="shared" ref="BC624:BD624" si="1239">AE624+AG624+AI624+AK624+AM624+AO624+AQ624+AS624+AU624+AW624+AY624+BA624</f>
        <v>21344400</v>
      </c>
      <c r="BD624" s="82">
        <f t="shared" si="1239"/>
        <v>21344400</v>
      </c>
      <c r="BE624" s="83">
        <f t="shared" si="813"/>
        <v>0</v>
      </c>
      <c r="BF624" s="83">
        <f t="shared" si="814"/>
        <v>0</v>
      </c>
      <c r="BG624" s="14" t="str">
        <f ca="1">IFERROR(__xludf.DUMMYFUNCTION("REGEXEXTRACT(O618,""^\S+\s(.+)$"")"),"Prestar servicios de apoyo a la gestión para el desarrollo de actividades administrativas, operativas y de gestión institucional que le sean asignadas, de conformidad con las necesidades de la Subdirección de Hidrocarburos.")</f>
        <v>Prestar servicios de apoyo a la gestión para el desarrollo de actividades administrativas, operativas y de gestión institucional que le sean asignadas, de conformidad con las necesidades de la Subdirección de Hidrocarburos.</v>
      </c>
      <c r="BH624" s="23"/>
      <c r="BI624" s="23"/>
      <c r="BJ624" s="23">
        <v>21016800</v>
      </c>
      <c r="BK624" s="23"/>
      <c r="BL624" s="23"/>
      <c r="BM624" s="23">
        <v>2023840</v>
      </c>
      <c r="BN624" s="23"/>
      <c r="BO624" s="23">
        <v>2335200</v>
      </c>
      <c r="BP624" s="23"/>
      <c r="BQ624" s="23">
        <v>2335200</v>
      </c>
      <c r="BR624" s="23"/>
      <c r="BS624" s="23">
        <v>2335200</v>
      </c>
      <c r="BT624" s="23"/>
      <c r="BU624" s="23">
        <v>2335200</v>
      </c>
      <c r="BV624" s="23">
        <v>327600</v>
      </c>
      <c r="BW624" s="23">
        <v>2335200</v>
      </c>
      <c r="BX624" s="23"/>
      <c r="BY624" s="23">
        <v>2335200</v>
      </c>
      <c r="BZ624" s="23"/>
      <c r="CA624" s="23">
        <v>2335200</v>
      </c>
      <c r="CB624" s="23"/>
      <c r="CC624" s="23">
        <v>2335200</v>
      </c>
      <c r="CD624" s="23"/>
      <c r="CE624" s="23">
        <v>638960</v>
      </c>
      <c r="CF624" s="28"/>
      <c r="CG624" s="28"/>
      <c r="CH624" s="25">
        <f t="shared" ref="CH624:CI624" si="1240">BH624+BJ624+BL624+BN624+BP624+BR624+BT624+BV624+BX624+BZ624+CB624+CD624+CF624</f>
        <v>21344400</v>
      </c>
      <c r="CI624" s="25">
        <f t="shared" si="1240"/>
        <v>21344400</v>
      </c>
      <c r="CJ624" s="26">
        <f t="shared" si="816"/>
        <v>0</v>
      </c>
      <c r="CK624" s="26">
        <f t="shared" si="817"/>
        <v>0</v>
      </c>
    </row>
    <row r="625" spans="1:89" ht="90" customHeight="1" x14ac:dyDescent="0.3">
      <c r="A625" s="13" t="s">
        <v>248</v>
      </c>
      <c r="B625" s="14" t="s">
        <v>48</v>
      </c>
      <c r="C625" s="15" t="s">
        <v>1550</v>
      </c>
      <c r="D625" s="14" t="s">
        <v>65</v>
      </c>
      <c r="E625" s="13" t="s">
        <v>250</v>
      </c>
      <c r="F625" s="13" t="s">
        <v>250</v>
      </c>
      <c r="G625" s="14">
        <v>68</v>
      </c>
      <c r="H625" s="13" t="s">
        <v>1626</v>
      </c>
      <c r="I625" s="15" t="s">
        <v>1616</v>
      </c>
      <c r="J625" s="14" t="s">
        <v>49</v>
      </c>
      <c r="K625" s="15" t="s">
        <v>70</v>
      </c>
      <c r="L625" s="14">
        <v>80111620</v>
      </c>
      <c r="M625" s="14" t="s">
        <v>50</v>
      </c>
      <c r="N625" s="14" t="s">
        <v>253</v>
      </c>
      <c r="O625" s="15" t="s">
        <v>1627</v>
      </c>
      <c r="P625" s="14" t="s">
        <v>255</v>
      </c>
      <c r="Q625" s="14" t="s">
        <v>255</v>
      </c>
      <c r="R625" s="14" t="s">
        <v>255</v>
      </c>
      <c r="S625" s="17">
        <v>11</v>
      </c>
      <c r="T625" s="14" t="s">
        <v>256</v>
      </c>
      <c r="U625" s="14" t="s">
        <v>257</v>
      </c>
      <c r="V625" s="14" t="s">
        <v>113</v>
      </c>
      <c r="W625" s="18">
        <v>55000000</v>
      </c>
      <c r="X625" s="18">
        <v>55000000</v>
      </c>
      <c r="Y625" s="19" t="s">
        <v>339</v>
      </c>
      <c r="Z625" s="19" t="s">
        <v>258</v>
      </c>
      <c r="AA625" s="14" t="s">
        <v>1554</v>
      </c>
      <c r="AB625" s="14" t="s">
        <v>1555</v>
      </c>
      <c r="AC625" s="14">
        <v>6012220601</v>
      </c>
      <c r="AD625" s="14" t="s">
        <v>1556</v>
      </c>
      <c r="AE625" s="82">
        <v>55000000</v>
      </c>
      <c r="AF625" s="82">
        <v>0</v>
      </c>
      <c r="AG625" s="82">
        <v>0</v>
      </c>
      <c r="AH625" s="82">
        <v>0</v>
      </c>
      <c r="AI625" s="82">
        <v>0</v>
      </c>
      <c r="AJ625" s="82">
        <v>5000000</v>
      </c>
      <c r="AK625" s="82">
        <v>0</v>
      </c>
      <c r="AL625" s="82">
        <v>5000000</v>
      </c>
      <c r="AM625" s="82">
        <v>0</v>
      </c>
      <c r="AN625" s="82">
        <v>5000000</v>
      </c>
      <c r="AO625" s="82">
        <v>0</v>
      </c>
      <c r="AP625" s="82">
        <v>5000000</v>
      </c>
      <c r="AQ625" s="82">
        <v>0</v>
      </c>
      <c r="AR625" s="82">
        <v>5000000</v>
      </c>
      <c r="AS625" s="82">
        <v>0</v>
      </c>
      <c r="AT625" s="82">
        <v>5000000</v>
      </c>
      <c r="AU625" s="82">
        <v>0</v>
      </c>
      <c r="AV625" s="82">
        <v>5000000</v>
      </c>
      <c r="AW625" s="82">
        <v>0</v>
      </c>
      <c r="AX625" s="82">
        <v>5000000</v>
      </c>
      <c r="AY625" s="82">
        <v>0</v>
      </c>
      <c r="AZ625" s="82">
        <v>5000000</v>
      </c>
      <c r="BA625" s="82">
        <v>0</v>
      </c>
      <c r="BB625" s="82">
        <v>10000000</v>
      </c>
      <c r="BC625" s="82">
        <f t="shared" ref="BC625:BD625" si="1241">AE625+AG625+AI625+AK625+AM625+AO625+AQ625+AS625+AU625+AW625+AY625+BA625</f>
        <v>55000000</v>
      </c>
      <c r="BD625" s="82">
        <f t="shared" si="1241"/>
        <v>55000000</v>
      </c>
      <c r="BE625" s="83">
        <f t="shared" si="813"/>
        <v>0</v>
      </c>
      <c r="BF625" s="83">
        <f t="shared" si="814"/>
        <v>0</v>
      </c>
      <c r="BG625" s="14" t="str">
        <f ca="1">IFERROR(__xludf.DUMMYFUNCTION("REGEXEXTRACT(O619,""^\S+\s(.+)$"")"),"Prestar servicios profesionales para la elaboración, trámite y gestión de actuaciones administrativas, la verificación y cumplimiento de requisitos legales y demás actividades que se requieran de conformidad con las necesidades del sector de hidrocarburos"&amp;".")</f>
        <v>Prestar servicios profesionales para la elaboración, trámite y gestión de actuaciones administrativas, la verificación y cumplimiento de requisitos legales y demás actividades que se requieran de conformidad con las necesidades del sector de hidrocarburos.</v>
      </c>
      <c r="BH625" s="23">
        <v>55000000</v>
      </c>
      <c r="BI625" s="23"/>
      <c r="BJ625" s="23"/>
      <c r="BK625" s="23"/>
      <c r="BL625" s="23"/>
      <c r="BM625" s="23">
        <v>5000000</v>
      </c>
      <c r="BN625" s="23"/>
      <c r="BO625" s="23">
        <v>5000000</v>
      </c>
      <c r="BP625" s="23"/>
      <c r="BQ625" s="23">
        <v>5000000</v>
      </c>
      <c r="BR625" s="23"/>
      <c r="BS625" s="23">
        <v>5000000</v>
      </c>
      <c r="BT625" s="23"/>
      <c r="BU625" s="23">
        <v>5000000</v>
      </c>
      <c r="BV625" s="23"/>
      <c r="BW625" s="23">
        <v>5000000</v>
      </c>
      <c r="BX625" s="23"/>
      <c r="BY625" s="23">
        <v>5000000</v>
      </c>
      <c r="BZ625" s="23"/>
      <c r="CA625" s="23">
        <v>5000000</v>
      </c>
      <c r="CB625" s="23"/>
      <c r="CC625" s="23">
        <v>5000000</v>
      </c>
      <c r="CD625" s="23"/>
      <c r="CE625" s="23">
        <v>10000000</v>
      </c>
      <c r="CF625" s="28"/>
      <c r="CG625" s="28"/>
      <c r="CH625" s="25">
        <f t="shared" ref="CH625:CI625" si="1242">BH625+BJ625+BL625+BN625+BP625+BR625+BT625+BV625+BX625+BZ625+CB625+CD625+CF625</f>
        <v>55000000</v>
      </c>
      <c r="CI625" s="25">
        <f t="shared" si="1242"/>
        <v>55000000</v>
      </c>
      <c r="CJ625" s="26">
        <f t="shared" si="816"/>
        <v>0</v>
      </c>
      <c r="CK625" s="26">
        <f t="shared" si="817"/>
        <v>0</v>
      </c>
    </row>
    <row r="626" spans="1:89" ht="90" customHeight="1" x14ac:dyDescent="0.3">
      <c r="A626" s="13" t="s">
        <v>248</v>
      </c>
      <c r="B626" s="14" t="s">
        <v>48</v>
      </c>
      <c r="C626" s="15" t="s">
        <v>1550</v>
      </c>
      <c r="D626" s="14" t="s">
        <v>65</v>
      </c>
      <c r="E626" s="13" t="s">
        <v>250</v>
      </c>
      <c r="F626" s="13" t="s">
        <v>250</v>
      </c>
      <c r="G626" s="14">
        <v>23</v>
      </c>
      <c r="H626" s="13" t="s">
        <v>1628</v>
      </c>
      <c r="I626" s="15" t="s">
        <v>1616</v>
      </c>
      <c r="J626" s="14" t="s">
        <v>49</v>
      </c>
      <c r="K626" s="15" t="s">
        <v>70</v>
      </c>
      <c r="L626" s="14">
        <v>80111620</v>
      </c>
      <c r="M626" s="14" t="s">
        <v>50</v>
      </c>
      <c r="N626" s="14" t="s">
        <v>253</v>
      </c>
      <c r="O626" s="15" t="s">
        <v>1629</v>
      </c>
      <c r="P626" s="14" t="s">
        <v>255</v>
      </c>
      <c r="Q626" s="14" t="s">
        <v>255</v>
      </c>
      <c r="R626" s="14" t="s">
        <v>255</v>
      </c>
      <c r="S626" s="17">
        <v>11</v>
      </c>
      <c r="T626" s="14" t="s">
        <v>256</v>
      </c>
      <c r="U626" s="14" t="s">
        <v>257</v>
      </c>
      <c r="V626" s="14" t="s">
        <v>113</v>
      </c>
      <c r="W626" s="18">
        <v>81034800</v>
      </c>
      <c r="X626" s="18">
        <v>81034800</v>
      </c>
      <c r="Y626" s="19" t="s">
        <v>339</v>
      </c>
      <c r="Z626" s="19" t="s">
        <v>258</v>
      </c>
      <c r="AA626" s="14" t="s">
        <v>1554</v>
      </c>
      <c r="AB626" s="14" t="s">
        <v>1555</v>
      </c>
      <c r="AC626" s="14">
        <v>6012220601</v>
      </c>
      <c r="AD626" s="14" t="s">
        <v>1556</v>
      </c>
      <c r="AE626" s="82">
        <v>0</v>
      </c>
      <c r="AF626" s="82">
        <v>0</v>
      </c>
      <c r="AG626" s="82">
        <v>81034800</v>
      </c>
      <c r="AH626" s="82">
        <v>0</v>
      </c>
      <c r="AI626" s="82">
        <v>0</v>
      </c>
      <c r="AJ626" s="82">
        <v>7366800</v>
      </c>
      <c r="AK626" s="82">
        <v>0</v>
      </c>
      <c r="AL626" s="82">
        <v>7366800</v>
      </c>
      <c r="AM626" s="82">
        <v>0</v>
      </c>
      <c r="AN626" s="82">
        <v>7366800</v>
      </c>
      <c r="AO626" s="82">
        <v>0</v>
      </c>
      <c r="AP626" s="82">
        <v>7366800</v>
      </c>
      <c r="AQ626" s="82">
        <v>0</v>
      </c>
      <c r="AR626" s="82">
        <v>7366800</v>
      </c>
      <c r="AS626" s="82">
        <v>0</v>
      </c>
      <c r="AT626" s="82">
        <v>7366800</v>
      </c>
      <c r="AU626" s="82">
        <v>0</v>
      </c>
      <c r="AV626" s="82">
        <v>7366800</v>
      </c>
      <c r="AW626" s="82">
        <v>0</v>
      </c>
      <c r="AX626" s="82">
        <v>7366800</v>
      </c>
      <c r="AY626" s="82">
        <v>0</v>
      </c>
      <c r="AZ626" s="82">
        <v>7366800</v>
      </c>
      <c r="BA626" s="82">
        <v>0</v>
      </c>
      <c r="BB626" s="82">
        <v>14733600</v>
      </c>
      <c r="BC626" s="82">
        <f t="shared" ref="BC626:BD626" si="1243">AE626+AG626+AI626+AK626+AM626+AO626+AQ626+AS626+AU626+AW626+AY626+BA626</f>
        <v>81034800</v>
      </c>
      <c r="BD626" s="82">
        <f t="shared" si="1243"/>
        <v>81034800</v>
      </c>
      <c r="BE626" s="83">
        <f t="shared" si="813"/>
        <v>0</v>
      </c>
      <c r="BF626" s="83">
        <f t="shared" si="814"/>
        <v>0</v>
      </c>
      <c r="BG626" s="14" t="str">
        <f ca="1">IFERROR(__xludf.DUMMYFUNCTION("REGEXEXTRACT(O620,""^\S+\s(.+)$"")"),"Prestar servicios profesionales para apoyar la ejecución de las actividades relacionadas con los procesos de convocatorias públicas, así como la elaboración de documentos técnicos y asistencia a la gestión de los diferentes planes y proyectos a cargo de l"&amp;"a Subdirección de Hidrocarburos.")</f>
        <v>Prestar servicios profesionales para apoyar la ejecución de las actividades relacionadas con los procesos de convocatorias públicas, así como la elaboración de documentos técnicos y asistencia a la gestión de los diferentes planes y proyectos a cargo de la Subdirección de Hidrocarburos.</v>
      </c>
      <c r="BH626" s="23"/>
      <c r="BI626" s="23"/>
      <c r="BJ626" s="23">
        <v>81034800</v>
      </c>
      <c r="BK626" s="23"/>
      <c r="BL626" s="23"/>
      <c r="BM626" s="23">
        <v>7366800</v>
      </c>
      <c r="BN626" s="23"/>
      <c r="BO626" s="23">
        <v>7366800</v>
      </c>
      <c r="BP626" s="23"/>
      <c r="BQ626" s="23">
        <v>7366800</v>
      </c>
      <c r="BR626" s="23"/>
      <c r="BS626" s="23">
        <v>7366800</v>
      </c>
      <c r="BT626" s="23"/>
      <c r="BU626" s="23">
        <v>7366800</v>
      </c>
      <c r="BV626" s="23"/>
      <c r="BW626" s="23">
        <v>7366800</v>
      </c>
      <c r="BX626" s="23"/>
      <c r="BY626" s="23">
        <v>7366800</v>
      </c>
      <c r="BZ626" s="23"/>
      <c r="CA626" s="23">
        <v>7366800</v>
      </c>
      <c r="CB626" s="23"/>
      <c r="CC626" s="23">
        <v>7366800</v>
      </c>
      <c r="CD626" s="23"/>
      <c r="CE626" s="23">
        <v>14733600</v>
      </c>
      <c r="CF626" s="28"/>
      <c r="CG626" s="28"/>
      <c r="CH626" s="25">
        <f t="shared" ref="CH626:CI626" si="1244">BH626+BJ626+BL626+BN626+BP626+BR626+BT626+BV626+BX626+BZ626+CB626+CD626+CF626</f>
        <v>81034800</v>
      </c>
      <c r="CI626" s="25">
        <f t="shared" si="1244"/>
        <v>81034800</v>
      </c>
      <c r="CJ626" s="26">
        <f t="shared" si="816"/>
        <v>0</v>
      </c>
      <c r="CK626" s="26">
        <f t="shared" si="817"/>
        <v>0</v>
      </c>
    </row>
    <row r="627" spans="1:89" ht="90" customHeight="1" x14ac:dyDescent="0.3">
      <c r="A627" s="13" t="s">
        <v>248</v>
      </c>
      <c r="B627" s="14" t="s">
        <v>48</v>
      </c>
      <c r="C627" s="15" t="s">
        <v>1550</v>
      </c>
      <c r="D627" s="14" t="s">
        <v>65</v>
      </c>
      <c r="E627" s="13" t="s">
        <v>250</v>
      </c>
      <c r="F627" s="13" t="s">
        <v>250</v>
      </c>
      <c r="G627" s="29" t="s">
        <v>335</v>
      </c>
      <c r="H627" s="13" t="s">
        <v>1630</v>
      </c>
      <c r="I627" s="15" t="s">
        <v>1552</v>
      </c>
      <c r="J627" s="14" t="s">
        <v>51</v>
      </c>
      <c r="K627" s="15" t="s">
        <v>74</v>
      </c>
      <c r="L627" s="14">
        <v>78111502</v>
      </c>
      <c r="M627" s="14" t="s">
        <v>52</v>
      </c>
      <c r="N627" s="14" t="s">
        <v>337</v>
      </c>
      <c r="O627" s="15" t="s">
        <v>1631</v>
      </c>
      <c r="P627" s="14" t="s">
        <v>255</v>
      </c>
      <c r="Q627" s="14" t="s">
        <v>255</v>
      </c>
      <c r="R627" s="14" t="s">
        <v>255</v>
      </c>
      <c r="S627" s="17">
        <v>11</v>
      </c>
      <c r="T627" s="14" t="s">
        <v>256</v>
      </c>
      <c r="U627" s="14" t="s">
        <v>286</v>
      </c>
      <c r="V627" s="14" t="s">
        <v>113</v>
      </c>
      <c r="W627" s="18">
        <v>25527771</v>
      </c>
      <c r="X627" s="18">
        <v>25527771</v>
      </c>
      <c r="Y627" s="19" t="s">
        <v>339</v>
      </c>
      <c r="Z627" s="19" t="s">
        <v>258</v>
      </c>
      <c r="AA627" s="14" t="s">
        <v>1554</v>
      </c>
      <c r="AB627" s="14" t="s">
        <v>1555</v>
      </c>
      <c r="AC627" s="14">
        <v>6012220601</v>
      </c>
      <c r="AD627" s="14" t="s">
        <v>1556</v>
      </c>
      <c r="AE627" s="82">
        <v>0</v>
      </c>
      <c r="AF627" s="82">
        <v>0</v>
      </c>
      <c r="AG627" s="82">
        <v>0</v>
      </c>
      <c r="AH627" s="82">
        <v>0</v>
      </c>
      <c r="AI627" s="82">
        <v>0</v>
      </c>
      <c r="AJ627" s="82">
        <v>0</v>
      </c>
      <c r="AK627" s="82">
        <v>0</v>
      </c>
      <c r="AL627" s="82">
        <v>0</v>
      </c>
      <c r="AM627" s="82">
        <v>0</v>
      </c>
      <c r="AN627" s="82">
        <v>0</v>
      </c>
      <c r="AO627" s="82">
        <v>0</v>
      </c>
      <c r="AP627" s="82">
        <v>0</v>
      </c>
      <c r="AQ627" s="82">
        <v>0</v>
      </c>
      <c r="AR627" s="82">
        <v>0</v>
      </c>
      <c r="AS627" s="82">
        <v>0</v>
      </c>
      <c r="AT627" s="82">
        <v>0</v>
      </c>
      <c r="AU627" s="82">
        <v>25527771</v>
      </c>
      <c r="AV627" s="82">
        <v>0</v>
      </c>
      <c r="AW627" s="82">
        <v>0</v>
      </c>
      <c r="AX627" s="82">
        <v>2000000</v>
      </c>
      <c r="AY627" s="82">
        <v>0</v>
      </c>
      <c r="AZ627" s="82">
        <v>11527771</v>
      </c>
      <c r="BA627" s="82">
        <v>0</v>
      </c>
      <c r="BB627" s="82">
        <v>12000000</v>
      </c>
      <c r="BC627" s="82">
        <f t="shared" ref="BC627:BD627" si="1245">AE627+AG627+AI627+AK627+AM627+AO627+AQ627+AS627+AU627+AW627+AY627+BA627</f>
        <v>25527771</v>
      </c>
      <c r="BD627" s="82">
        <f t="shared" si="1245"/>
        <v>25527771</v>
      </c>
      <c r="BE627" s="83">
        <f t="shared" si="813"/>
        <v>0</v>
      </c>
      <c r="BF627" s="83">
        <f t="shared" si="814"/>
        <v>0</v>
      </c>
      <c r="BG627" s="14" t="str">
        <f ca="1">IFERROR(__xludf.DUMMYFUNCTION("REGEXEXTRACT(O621,""^\S+\s(.+)$"")"),"Adquirir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27" s="23"/>
      <c r="BI627" s="23"/>
      <c r="BJ627" s="23"/>
      <c r="BK627" s="23"/>
      <c r="BL627" s="23"/>
      <c r="BM627" s="23"/>
      <c r="BN627" s="23"/>
      <c r="BO627" s="23"/>
      <c r="BP627" s="23"/>
      <c r="BQ627" s="23"/>
      <c r="BR627" s="23"/>
      <c r="BS627" s="23"/>
      <c r="BT627" s="23"/>
      <c r="BU627" s="23"/>
      <c r="BV627" s="23"/>
      <c r="BW627" s="23"/>
      <c r="BX627" s="23">
        <v>25527771</v>
      </c>
      <c r="BY627" s="23"/>
      <c r="BZ627" s="23"/>
      <c r="CA627" s="23">
        <v>2000000</v>
      </c>
      <c r="CB627" s="23"/>
      <c r="CC627" s="23">
        <v>11527771</v>
      </c>
      <c r="CD627" s="23"/>
      <c r="CE627" s="23">
        <v>12000000</v>
      </c>
      <c r="CF627" s="28"/>
      <c r="CG627" s="28"/>
      <c r="CH627" s="25">
        <f t="shared" ref="CH627:CI627" si="1246">BH627+BJ627+BL627+BN627+BP627+BR627+BT627+BV627+BX627+BZ627+CB627+CD627+CF627</f>
        <v>25527771</v>
      </c>
      <c r="CI627" s="25">
        <f t="shared" si="1246"/>
        <v>25527771</v>
      </c>
      <c r="CJ627" s="26">
        <f t="shared" si="816"/>
        <v>0</v>
      </c>
      <c r="CK627" s="26">
        <f t="shared" si="817"/>
        <v>0</v>
      </c>
    </row>
    <row r="628" spans="1:89" ht="90" customHeight="1" x14ac:dyDescent="0.3">
      <c r="A628" s="13" t="s">
        <v>248</v>
      </c>
      <c r="B628" s="14" t="s">
        <v>48</v>
      </c>
      <c r="C628" s="15" t="s">
        <v>1550</v>
      </c>
      <c r="D628" s="14" t="s">
        <v>65</v>
      </c>
      <c r="E628" s="13" t="s">
        <v>250</v>
      </c>
      <c r="F628" s="13" t="s">
        <v>250</v>
      </c>
      <c r="G628" s="29" t="s">
        <v>335</v>
      </c>
      <c r="H628" s="13" t="s">
        <v>1632</v>
      </c>
      <c r="I628" s="15" t="s">
        <v>1552</v>
      </c>
      <c r="J628" s="14" t="s">
        <v>51</v>
      </c>
      <c r="K628" s="15" t="s">
        <v>77</v>
      </c>
      <c r="L628" s="14">
        <v>78111502</v>
      </c>
      <c r="M628" s="14" t="s">
        <v>52</v>
      </c>
      <c r="N628" s="14" t="s">
        <v>337</v>
      </c>
      <c r="O628" s="15" t="s">
        <v>1633</v>
      </c>
      <c r="P628" s="14" t="s">
        <v>255</v>
      </c>
      <c r="Q628" s="14" t="s">
        <v>255</v>
      </c>
      <c r="R628" s="14" t="s">
        <v>255</v>
      </c>
      <c r="S628" s="17">
        <v>11</v>
      </c>
      <c r="T628" s="14" t="s">
        <v>256</v>
      </c>
      <c r="U628" s="14" t="s">
        <v>286</v>
      </c>
      <c r="V628" s="14" t="s">
        <v>113</v>
      </c>
      <c r="W628" s="18">
        <v>2273520</v>
      </c>
      <c r="X628" s="18">
        <v>2273520</v>
      </c>
      <c r="Y628" s="19" t="s">
        <v>339</v>
      </c>
      <c r="Z628" s="19" t="s">
        <v>258</v>
      </c>
      <c r="AA628" s="14" t="s">
        <v>1554</v>
      </c>
      <c r="AB628" s="14" t="s">
        <v>1555</v>
      </c>
      <c r="AC628" s="14">
        <v>6012220601</v>
      </c>
      <c r="AD628" s="14" t="s">
        <v>1556</v>
      </c>
      <c r="AE628" s="82">
        <v>2273520</v>
      </c>
      <c r="AF628" s="82">
        <v>0</v>
      </c>
      <c r="AG628" s="82">
        <v>0</v>
      </c>
      <c r="AH628" s="82">
        <v>0</v>
      </c>
      <c r="AI628" s="82">
        <v>0</v>
      </c>
      <c r="AJ628" s="82">
        <v>0</v>
      </c>
      <c r="AK628" s="82">
        <v>0</v>
      </c>
      <c r="AL628" s="82">
        <v>0</v>
      </c>
      <c r="AM628" s="82">
        <v>0</v>
      </c>
      <c r="AN628" s="82">
        <v>0</v>
      </c>
      <c r="AO628" s="82">
        <v>0</v>
      </c>
      <c r="AP628" s="82">
        <v>0</v>
      </c>
      <c r="AQ628" s="82">
        <v>0</v>
      </c>
      <c r="AR628" s="82">
        <v>0</v>
      </c>
      <c r="AS628" s="82">
        <v>0</v>
      </c>
      <c r="AT628" s="82">
        <v>0</v>
      </c>
      <c r="AU628" s="82">
        <v>0</v>
      </c>
      <c r="AV628" s="82">
        <v>0</v>
      </c>
      <c r="AW628" s="82">
        <v>0</v>
      </c>
      <c r="AX628" s="82">
        <v>0</v>
      </c>
      <c r="AY628" s="82">
        <v>0</v>
      </c>
      <c r="AZ628" s="82">
        <v>2273520</v>
      </c>
      <c r="BA628" s="82">
        <v>0</v>
      </c>
      <c r="BB628" s="82">
        <v>0</v>
      </c>
      <c r="BC628" s="82">
        <f t="shared" ref="BC628:BD628" si="1247">AE628+AG628+AI628+AK628+AM628+AO628+AQ628+AS628+AU628+AW628+AY628+BA628</f>
        <v>2273520</v>
      </c>
      <c r="BD628" s="82">
        <f t="shared" si="1247"/>
        <v>2273520</v>
      </c>
      <c r="BE628" s="83">
        <f t="shared" si="813"/>
        <v>0</v>
      </c>
      <c r="BF628" s="83">
        <f t="shared" si="814"/>
        <v>0</v>
      </c>
      <c r="BG628" s="14" t="str">
        <f ca="1">IFERROR(__xludf.DUMMYFUNCTION("REGEXEXTRACT(O622,""^\S+\s(.+)$"")"),"Adquirir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28" s="23">
        <v>2273520</v>
      </c>
      <c r="BI628" s="23"/>
      <c r="BJ628" s="23"/>
      <c r="BK628" s="23"/>
      <c r="BL628" s="23"/>
      <c r="BM628" s="23"/>
      <c r="BN628" s="23"/>
      <c r="BO628" s="23"/>
      <c r="BP628" s="23"/>
      <c r="BQ628" s="23"/>
      <c r="BR628" s="23"/>
      <c r="BS628" s="23"/>
      <c r="BT628" s="23"/>
      <c r="BU628" s="23"/>
      <c r="BV628" s="23"/>
      <c r="BW628" s="23"/>
      <c r="BX628" s="23"/>
      <c r="BY628" s="23"/>
      <c r="BZ628" s="23"/>
      <c r="CA628" s="23"/>
      <c r="CB628" s="23"/>
      <c r="CC628" s="23">
        <v>2273520</v>
      </c>
      <c r="CD628" s="23"/>
      <c r="CE628" s="23"/>
      <c r="CF628" s="28"/>
      <c r="CG628" s="28"/>
      <c r="CH628" s="25">
        <f t="shared" ref="CH628:CI628" si="1248">BH628+BJ628+BL628+BN628+BP628+BR628+BT628+BV628+BX628+BZ628+CB628+CD628+CF628</f>
        <v>2273520</v>
      </c>
      <c r="CI628" s="25">
        <f t="shared" si="1248"/>
        <v>2273520</v>
      </c>
      <c r="CJ628" s="26">
        <f t="shared" si="816"/>
        <v>0</v>
      </c>
      <c r="CK628" s="26">
        <f t="shared" si="817"/>
        <v>0</v>
      </c>
    </row>
    <row r="629" spans="1:89" ht="90" customHeight="1" x14ac:dyDescent="0.3">
      <c r="A629" s="13" t="s">
        <v>248</v>
      </c>
      <c r="B629" s="14" t="s">
        <v>48</v>
      </c>
      <c r="C629" s="15" t="s">
        <v>1550</v>
      </c>
      <c r="D629" s="14" t="s">
        <v>65</v>
      </c>
      <c r="E629" s="13" t="s">
        <v>250</v>
      </c>
      <c r="F629" s="13" t="s">
        <v>250</v>
      </c>
      <c r="G629" s="14">
        <v>68</v>
      </c>
      <c r="H629" s="13" t="s">
        <v>1634</v>
      </c>
      <c r="I629" s="15" t="s">
        <v>1552</v>
      </c>
      <c r="J629" s="14" t="s">
        <v>51</v>
      </c>
      <c r="K629" s="15" t="s">
        <v>74</v>
      </c>
      <c r="L629" s="14">
        <v>93151509</v>
      </c>
      <c r="M629" s="14" t="s">
        <v>52</v>
      </c>
      <c r="N629" s="14" t="s">
        <v>770</v>
      </c>
      <c r="O629" s="15" t="s">
        <v>1635</v>
      </c>
      <c r="P629" s="14" t="s">
        <v>1312</v>
      </c>
      <c r="Q629" s="14" t="s">
        <v>473</v>
      </c>
      <c r="R629" s="14" t="s">
        <v>468</v>
      </c>
      <c r="S629" s="17">
        <v>12</v>
      </c>
      <c r="T629" s="14" t="s">
        <v>256</v>
      </c>
      <c r="U629" s="14" t="s">
        <v>621</v>
      </c>
      <c r="V629" s="14" t="s">
        <v>113</v>
      </c>
      <c r="W629" s="18">
        <v>45248539</v>
      </c>
      <c r="X629" s="18">
        <v>45248539</v>
      </c>
      <c r="Y629" s="19" t="s">
        <v>339</v>
      </c>
      <c r="Z629" s="19" t="s">
        <v>258</v>
      </c>
      <c r="AA629" s="14" t="s">
        <v>1554</v>
      </c>
      <c r="AB629" s="14" t="s">
        <v>1555</v>
      </c>
      <c r="AC629" s="14">
        <v>6012220601</v>
      </c>
      <c r="AD629" s="14" t="s">
        <v>1556</v>
      </c>
      <c r="AE629" s="82">
        <v>0</v>
      </c>
      <c r="AF629" s="82">
        <v>0</v>
      </c>
      <c r="AG629" s="82">
        <v>0</v>
      </c>
      <c r="AH629" s="82">
        <v>0</v>
      </c>
      <c r="AI629" s="82">
        <v>0</v>
      </c>
      <c r="AJ629" s="82">
        <v>0</v>
      </c>
      <c r="AK629" s="82">
        <v>0</v>
      </c>
      <c r="AL629" s="82">
        <v>0</v>
      </c>
      <c r="AM629" s="82">
        <v>0</v>
      </c>
      <c r="AN629" s="82">
        <v>0</v>
      </c>
      <c r="AO629" s="82">
        <v>0</v>
      </c>
      <c r="AP629" s="82">
        <v>0</v>
      </c>
      <c r="AQ629" s="82">
        <v>0</v>
      </c>
      <c r="AR629" s="82">
        <v>0</v>
      </c>
      <c r="AS629" s="82">
        <v>0</v>
      </c>
      <c r="AT629" s="82">
        <v>0</v>
      </c>
      <c r="AU629" s="82">
        <v>0</v>
      </c>
      <c r="AV629" s="82">
        <v>0</v>
      </c>
      <c r="AW629" s="82">
        <v>0</v>
      </c>
      <c r="AX629" s="82">
        <v>0</v>
      </c>
      <c r="AY629" s="82">
        <v>45248539</v>
      </c>
      <c r="AZ629" s="82">
        <v>0</v>
      </c>
      <c r="BA629" s="82">
        <v>0</v>
      </c>
      <c r="BB629" s="82">
        <v>45248539</v>
      </c>
      <c r="BC629" s="82">
        <f t="shared" ref="BC629:BD629" si="1249">AE629+AG629+AI629+AK629+AM629+AO629+AQ629+AS629+AU629+AW629+AY629+BA629</f>
        <v>45248539</v>
      </c>
      <c r="BD629" s="82">
        <f t="shared" si="1249"/>
        <v>45248539</v>
      </c>
      <c r="BE629" s="83">
        <f t="shared" si="813"/>
        <v>0</v>
      </c>
      <c r="BF629" s="83">
        <f t="shared" si="814"/>
        <v>0</v>
      </c>
      <c r="BG629" s="14" t="str">
        <f ca="1">IFERROR(__xludf.DUMMYFUNCTION("REGEXEXTRACT(O623,""^\S+\s(.+)$"")"),"Renovar y prestar mantenimiento de Licencias MATLAB")</f>
        <v>Renovar y prestar mantenimiento de Licencias MATLAB</v>
      </c>
      <c r="BH629" s="23"/>
      <c r="BI629" s="23"/>
      <c r="BJ629" s="23"/>
      <c r="BK629" s="23"/>
      <c r="BL629" s="23"/>
      <c r="BM629" s="23"/>
      <c r="BN629" s="23"/>
      <c r="BO629" s="23"/>
      <c r="BP629" s="23"/>
      <c r="BQ629" s="23"/>
      <c r="BR629" s="23"/>
      <c r="BS629" s="23"/>
      <c r="BT629" s="23"/>
      <c r="BU629" s="23"/>
      <c r="BV629" s="23"/>
      <c r="BW629" s="23"/>
      <c r="BX629" s="23"/>
      <c r="BY629" s="23"/>
      <c r="BZ629" s="23"/>
      <c r="CA629" s="23"/>
      <c r="CB629" s="23">
        <v>45248539</v>
      </c>
      <c r="CC629" s="23"/>
      <c r="CD629" s="23"/>
      <c r="CE629" s="23">
        <v>45248539</v>
      </c>
      <c r="CF629" s="28"/>
      <c r="CG629" s="28"/>
      <c r="CH629" s="25">
        <f t="shared" ref="CH629:CI629" si="1250">BH629+BJ629+BL629+BN629+BP629+BR629+BT629+BV629+BX629+BZ629+CB629+CD629+CF629</f>
        <v>45248539</v>
      </c>
      <c r="CI629" s="25">
        <f t="shared" si="1250"/>
        <v>45248539</v>
      </c>
      <c r="CJ629" s="26">
        <f t="shared" si="816"/>
        <v>0</v>
      </c>
      <c r="CK629" s="26">
        <f t="shared" si="817"/>
        <v>0</v>
      </c>
    </row>
    <row r="630" spans="1:89" ht="90" customHeight="1" x14ac:dyDescent="0.3">
      <c r="A630" s="13" t="s">
        <v>248</v>
      </c>
      <c r="B630" s="14" t="s">
        <v>48</v>
      </c>
      <c r="C630" s="15" t="s">
        <v>1550</v>
      </c>
      <c r="D630" s="14" t="s">
        <v>65</v>
      </c>
      <c r="E630" s="13" t="s">
        <v>250</v>
      </c>
      <c r="F630" s="13" t="s">
        <v>250</v>
      </c>
      <c r="G630" s="14">
        <v>23</v>
      </c>
      <c r="H630" s="13" t="s">
        <v>1636</v>
      </c>
      <c r="I630" s="15" t="s">
        <v>1616</v>
      </c>
      <c r="J630" s="14" t="s">
        <v>49</v>
      </c>
      <c r="K630" s="15" t="s">
        <v>70</v>
      </c>
      <c r="L630" s="14" t="s">
        <v>1637</v>
      </c>
      <c r="M630" s="14" t="s">
        <v>50</v>
      </c>
      <c r="N630" s="14" t="s">
        <v>278</v>
      </c>
      <c r="O630" s="15" t="s">
        <v>1638</v>
      </c>
      <c r="P630" s="14" t="s">
        <v>549</v>
      </c>
      <c r="Q630" s="14" t="s">
        <v>549</v>
      </c>
      <c r="R630" s="14" t="s">
        <v>280</v>
      </c>
      <c r="S630" s="17">
        <v>12</v>
      </c>
      <c r="T630" s="14" t="s">
        <v>256</v>
      </c>
      <c r="U630" s="14" t="s">
        <v>621</v>
      </c>
      <c r="V630" s="14" t="s">
        <v>113</v>
      </c>
      <c r="W630" s="18">
        <v>36864000</v>
      </c>
      <c r="X630" s="18">
        <v>36864000</v>
      </c>
      <c r="Y630" s="19" t="s">
        <v>339</v>
      </c>
      <c r="Z630" s="19" t="s">
        <v>258</v>
      </c>
      <c r="AA630" s="14" t="s">
        <v>1554</v>
      </c>
      <c r="AB630" s="14" t="s">
        <v>1555</v>
      </c>
      <c r="AC630" s="14">
        <v>6012220601</v>
      </c>
      <c r="AD630" s="14" t="s">
        <v>1556</v>
      </c>
      <c r="AE630" s="82">
        <v>0</v>
      </c>
      <c r="AF630" s="82">
        <v>0</v>
      </c>
      <c r="AG630" s="82">
        <v>0</v>
      </c>
      <c r="AH630" s="82">
        <v>0</v>
      </c>
      <c r="AI630" s="82">
        <v>0</v>
      </c>
      <c r="AJ630" s="82">
        <v>0</v>
      </c>
      <c r="AK630" s="82">
        <v>0</v>
      </c>
      <c r="AL630" s="82">
        <v>0</v>
      </c>
      <c r="AM630" s="82">
        <v>0</v>
      </c>
      <c r="AN630" s="82">
        <v>0</v>
      </c>
      <c r="AO630" s="82">
        <v>0</v>
      </c>
      <c r="AP630" s="82">
        <v>0</v>
      </c>
      <c r="AQ630" s="82">
        <v>0</v>
      </c>
      <c r="AR630" s="82">
        <v>0</v>
      </c>
      <c r="AS630" s="82">
        <v>0</v>
      </c>
      <c r="AT630" s="82">
        <v>0</v>
      </c>
      <c r="AU630" s="82">
        <v>0</v>
      </c>
      <c r="AV630" s="82">
        <v>0</v>
      </c>
      <c r="AW630" s="82">
        <v>0</v>
      </c>
      <c r="AX630" s="82">
        <v>0</v>
      </c>
      <c r="AY630" s="82">
        <v>36864000</v>
      </c>
      <c r="AZ630" s="82">
        <v>0</v>
      </c>
      <c r="BA630" s="82">
        <v>0</v>
      </c>
      <c r="BB630" s="82">
        <v>36864000</v>
      </c>
      <c r="BC630" s="82">
        <f t="shared" ref="BC630:BD630" si="1251">AE630+AG630+AI630+AK630+AM630+AO630+AQ630+AS630+AU630+AW630+AY630+BA630</f>
        <v>36864000</v>
      </c>
      <c r="BD630" s="82">
        <f t="shared" si="1251"/>
        <v>36864000</v>
      </c>
      <c r="BE630" s="83">
        <f t="shared" si="813"/>
        <v>0</v>
      </c>
      <c r="BF630" s="83">
        <f t="shared" si="814"/>
        <v>0</v>
      </c>
      <c r="BG630" s="14" t="str">
        <f ca="1">IFERROR(__xludf.DUMMYFUNCTION("REGEXEXTRACT(O624,""^\S+\s(.+)$"")"),"Adquirir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30" s="23"/>
      <c r="BI630" s="23"/>
      <c r="BJ630" s="23"/>
      <c r="BK630" s="23"/>
      <c r="BL630" s="23"/>
      <c r="BM630" s="23"/>
      <c r="BN630" s="23"/>
      <c r="BO630" s="23"/>
      <c r="BP630" s="23"/>
      <c r="BQ630" s="23"/>
      <c r="BR630" s="23"/>
      <c r="BS630" s="23"/>
      <c r="BT630" s="23"/>
      <c r="BU630" s="23"/>
      <c r="BV630" s="23"/>
      <c r="BW630" s="23"/>
      <c r="BX630" s="23"/>
      <c r="BY630" s="23"/>
      <c r="BZ630" s="23"/>
      <c r="CA630" s="23"/>
      <c r="CB630" s="23">
        <v>36864000</v>
      </c>
      <c r="CC630" s="23"/>
      <c r="CD630" s="23"/>
      <c r="CE630" s="23">
        <v>36864000</v>
      </c>
      <c r="CF630" s="28"/>
      <c r="CG630" s="28"/>
      <c r="CH630" s="25">
        <f t="shared" ref="CH630:CI630" si="1252">BH630+BJ630+BL630+BN630+BP630+BR630+BT630+BV630+BX630+BZ630+CB630+CD630+CF630</f>
        <v>36864000</v>
      </c>
      <c r="CI630" s="25">
        <f t="shared" si="1252"/>
        <v>36864000</v>
      </c>
      <c r="CJ630" s="26">
        <f t="shared" si="816"/>
        <v>0</v>
      </c>
      <c r="CK630" s="26">
        <f t="shared" si="817"/>
        <v>0</v>
      </c>
    </row>
    <row r="631" spans="1:89" ht="90" customHeight="1" x14ac:dyDescent="0.3">
      <c r="A631" s="13" t="s">
        <v>248</v>
      </c>
      <c r="B631" s="14" t="s">
        <v>48</v>
      </c>
      <c r="C631" s="15" t="s">
        <v>1550</v>
      </c>
      <c r="D631" s="14" t="s">
        <v>65</v>
      </c>
      <c r="E631" s="13" t="s">
        <v>250</v>
      </c>
      <c r="F631" s="13" t="s">
        <v>250</v>
      </c>
      <c r="G631" s="29" t="s">
        <v>335</v>
      </c>
      <c r="H631" s="13" t="s">
        <v>1639</v>
      </c>
      <c r="I631" s="15" t="s">
        <v>1616</v>
      </c>
      <c r="J631" s="14" t="s">
        <v>49</v>
      </c>
      <c r="K631" s="15" t="s">
        <v>70</v>
      </c>
      <c r="L631" s="14">
        <v>78111502</v>
      </c>
      <c r="M631" s="14" t="s">
        <v>50</v>
      </c>
      <c r="N631" s="14" t="s">
        <v>337</v>
      </c>
      <c r="O631" s="15" t="s">
        <v>1640</v>
      </c>
      <c r="P631" s="14" t="s">
        <v>255</v>
      </c>
      <c r="Q631" s="14" t="s">
        <v>255</v>
      </c>
      <c r="R631" s="14" t="s">
        <v>255</v>
      </c>
      <c r="S631" s="17">
        <v>11</v>
      </c>
      <c r="T631" s="14" t="s">
        <v>256</v>
      </c>
      <c r="U631" s="14" t="s">
        <v>286</v>
      </c>
      <c r="V631" s="14" t="s">
        <v>113</v>
      </c>
      <c r="W631" s="18">
        <v>7165024</v>
      </c>
      <c r="X631" s="18">
        <v>7165024</v>
      </c>
      <c r="Y631" s="19" t="s">
        <v>339</v>
      </c>
      <c r="Z631" s="19" t="s">
        <v>258</v>
      </c>
      <c r="AA631" s="14" t="s">
        <v>1554</v>
      </c>
      <c r="AB631" s="14" t="s">
        <v>1555</v>
      </c>
      <c r="AC631" s="14">
        <v>6012220601</v>
      </c>
      <c r="AD631" s="14" t="s">
        <v>1556</v>
      </c>
      <c r="AE631" s="82">
        <v>7165024</v>
      </c>
      <c r="AF631" s="82">
        <v>0</v>
      </c>
      <c r="AG631" s="82">
        <v>0</v>
      </c>
      <c r="AH631" s="82">
        <v>0</v>
      </c>
      <c r="AI631" s="82">
        <v>0</v>
      </c>
      <c r="AJ631" s="82">
        <v>0</v>
      </c>
      <c r="AK631" s="82">
        <v>0</v>
      </c>
      <c r="AL631" s="82">
        <v>0</v>
      </c>
      <c r="AM631" s="82">
        <v>0</v>
      </c>
      <c r="AN631" s="82">
        <v>0</v>
      </c>
      <c r="AO631" s="82">
        <v>0</v>
      </c>
      <c r="AP631" s="82">
        <v>0</v>
      </c>
      <c r="AQ631" s="82">
        <v>0</v>
      </c>
      <c r="AR631" s="82">
        <v>0</v>
      </c>
      <c r="AS631" s="82">
        <v>0</v>
      </c>
      <c r="AT631" s="82">
        <v>0</v>
      </c>
      <c r="AU631" s="82">
        <v>0</v>
      </c>
      <c r="AV631" s="82">
        <v>0</v>
      </c>
      <c r="AW631" s="82">
        <v>0</v>
      </c>
      <c r="AX631" s="82">
        <v>7165024</v>
      </c>
      <c r="AY631" s="82">
        <v>0</v>
      </c>
      <c r="AZ631" s="82">
        <v>0</v>
      </c>
      <c r="BA631" s="82">
        <v>0</v>
      </c>
      <c r="BB631" s="82">
        <v>0</v>
      </c>
      <c r="BC631" s="82">
        <f t="shared" ref="BC631:BD631" si="1253">AE631+AG631+AI631+AK631+AM631+AO631+AQ631+AS631+AU631+AW631+AY631+BA631</f>
        <v>7165024</v>
      </c>
      <c r="BD631" s="82">
        <f t="shared" si="1253"/>
        <v>7165024</v>
      </c>
      <c r="BE631" s="83">
        <f t="shared" si="813"/>
        <v>0</v>
      </c>
      <c r="BF631" s="83">
        <f t="shared" si="814"/>
        <v>0</v>
      </c>
      <c r="BG631" s="14" t="str">
        <f ca="1">IFERROR(__xludf.DUMMYFUNCTION("REGEXEXTRACT(O625,""^\S+\s(.+)$"")"),"Adquirir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31" s="23">
        <v>7165024</v>
      </c>
      <c r="BI631" s="23"/>
      <c r="BJ631" s="23"/>
      <c r="BK631" s="23"/>
      <c r="BL631" s="23"/>
      <c r="BM631" s="23"/>
      <c r="BN631" s="23"/>
      <c r="BO631" s="23"/>
      <c r="BP631" s="23"/>
      <c r="BQ631" s="23"/>
      <c r="BR631" s="23"/>
      <c r="BS631" s="23"/>
      <c r="BT631" s="23"/>
      <c r="BU631" s="23"/>
      <c r="BV631" s="23"/>
      <c r="BW631" s="23"/>
      <c r="BX631" s="23"/>
      <c r="BY631" s="23"/>
      <c r="BZ631" s="23"/>
      <c r="CA631" s="23">
        <v>7165024</v>
      </c>
      <c r="CB631" s="23"/>
      <c r="CC631" s="23"/>
      <c r="CD631" s="23"/>
      <c r="CE631" s="23"/>
      <c r="CF631" s="28"/>
      <c r="CG631" s="28"/>
      <c r="CH631" s="25">
        <f t="shared" ref="CH631:CI631" si="1254">BH631+BJ631+BL631+BN631+BP631+BR631+BT631+BV631+BX631+BZ631+CB631+CD631+CF631</f>
        <v>7165024</v>
      </c>
      <c r="CI631" s="25">
        <f t="shared" si="1254"/>
        <v>7165024</v>
      </c>
      <c r="CJ631" s="26">
        <f t="shared" si="816"/>
        <v>0</v>
      </c>
      <c r="CK631" s="26">
        <f t="shared" si="817"/>
        <v>0</v>
      </c>
    </row>
    <row r="632" spans="1:89" ht="90" customHeight="1" x14ac:dyDescent="0.3">
      <c r="A632" s="13" t="s">
        <v>248</v>
      </c>
      <c r="B632" s="14" t="s">
        <v>48</v>
      </c>
      <c r="C632" s="15" t="s">
        <v>1550</v>
      </c>
      <c r="D632" s="14" t="s">
        <v>65</v>
      </c>
      <c r="E632" s="13" t="s">
        <v>339</v>
      </c>
      <c r="F632" s="13" t="s">
        <v>250</v>
      </c>
      <c r="G632" s="14">
        <v>68</v>
      </c>
      <c r="H632" s="13" t="s">
        <v>1641</v>
      </c>
      <c r="I632" s="15" t="s">
        <v>1552</v>
      </c>
      <c r="J632" s="14" t="s">
        <v>51</v>
      </c>
      <c r="K632" s="15" t="s">
        <v>73</v>
      </c>
      <c r="L632" s="14" t="s">
        <v>258</v>
      </c>
      <c r="M632" s="14" t="s">
        <v>52</v>
      </c>
      <c r="N632" s="14" t="s">
        <v>341</v>
      </c>
      <c r="O632" s="15" t="s">
        <v>1642</v>
      </c>
      <c r="P632" s="14" t="s">
        <v>258</v>
      </c>
      <c r="Q632" s="14" t="s">
        <v>258</v>
      </c>
      <c r="R632" s="14" t="s">
        <v>258</v>
      </c>
      <c r="S632" s="17" t="s">
        <v>258</v>
      </c>
      <c r="T632" s="14" t="s">
        <v>258</v>
      </c>
      <c r="U632" s="14" t="s">
        <v>258</v>
      </c>
      <c r="V632" s="14" t="s">
        <v>113</v>
      </c>
      <c r="W632" s="18">
        <v>10720000</v>
      </c>
      <c r="X632" s="18">
        <v>10720000</v>
      </c>
      <c r="Y632" s="19" t="s">
        <v>339</v>
      </c>
      <c r="Z632" s="19" t="s">
        <v>258</v>
      </c>
      <c r="AA632" s="14" t="s">
        <v>1554</v>
      </c>
      <c r="AB632" s="14" t="s">
        <v>1555</v>
      </c>
      <c r="AC632" s="14">
        <v>6012220601</v>
      </c>
      <c r="AD632" s="14" t="s">
        <v>1556</v>
      </c>
      <c r="AE632" s="82">
        <v>0</v>
      </c>
      <c r="AF632" s="82">
        <v>0</v>
      </c>
      <c r="AG632" s="82">
        <v>0</v>
      </c>
      <c r="AH632" s="82">
        <v>0</v>
      </c>
      <c r="AI632" s="82">
        <v>1072000</v>
      </c>
      <c r="AJ632" s="82">
        <v>1072000</v>
      </c>
      <c r="AK632" s="82">
        <v>1072000</v>
      </c>
      <c r="AL632" s="82">
        <v>1072000</v>
      </c>
      <c r="AM632" s="82">
        <v>1072000</v>
      </c>
      <c r="AN632" s="82">
        <v>1072000</v>
      </c>
      <c r="AO632" s="82">
        <v>1072000</v>
      </c>
      <c r="AP632" s="82">
        <v>1072000</v>
      </c>
      <c r="AQ632" s="82">
        <v>1072000</v>
      </c>
      <c r="AR632" s="82">
        <v>1072000</v>
      </c>
      <c r="AS632" s="82">
        <v>1072000</v>
      </c>
      <c r="AT632" s="82">
        <v>1072000</v>
      </c>
      <c r="AU632" s="82">
        <v>1072000</v>
      </c>
      <c r="AV632" s="82">
        <v>1072000</v>
      </c>
      <c r="AW632" s="82">
        <v>1072000</v>
      </c>
      <c r="AX632" s="82">
        <v>1072000</v>
      </c>
      <c r="AY632" s="82">
        <v>1072000</v>
      </c>
      <c r="AZ632" s="82">
        <v>1072000</v>
      </c>
      <c r="BA632" s="82">
        <v>1072000</v>
      </c>
      <c r="BB632" s="82">
        <v>1072000</v>
      </c>
      <c r="BC632" s="82">
        <f t="shared" ref="BC632:BD632" si="1255">AE632+AG632+AI632+AK632+AM632+AO632+AQ632+AS632+AU632+AW632+AY632+BA632</f>
        <v>10720000</v>
      </c>
      <c r="BD632" s="82">
        <f t="shared" si="1255"/>
        <v>10720000</v>
      </c>
      <c r="BE632" s="83">
        <f t="shared" si="813"/>
        <v>0</v>
      </c>
      <c r="BF632" s="83">
        <f t="shared" si="814"/>
        <v>0</v>
      </c>
      <c r="BG632" s="14" t="str">
        <f ca="1">IFERROR(__xludf.DUMMYFUNCTION("REGEXEXTRACT(O626,""^\S+\s(.+)$"")"),"Viáticos o gastos de desplazamiento")</f>
        <v>Viáticos o gastos de desplazamiento</v>
      </c>
      <c r="BH632" s="23"/>
      <c r="BI632" s="23"/>
      <c r="BJ632" s="23"/>
      <c r="BK632" s="23"/>
      <c r="BL632" s="23">
        <v>1072000</v>
      </c>
      <c r="BM632" s="23">
        <v>1072000</v>
      </c>
      <c r="BN632" s="23">
        <v>1072000</v>
      </c>
      <c r="BO632" s="23">
        <v>1072000</v>
      </c>
      <c r="BP632" s="23">
        <v>1072000</v>
      </c>
      <c r="BQ632" s="23">
        <v>1072000</v>
      </c>
      <c r="BR632" s="23">
        <v>1072000</v>
      </c>
      <c r="BS632" s="23">
        <v>1072000</v>
      </c>
      <c r="BT632" s="23">
        <v>1072000</v>
      </c>
      <c r="BU632" s="23">
        <v>1072000</v>
      </c>
      <c r="BV632" s="23">
        <v>1072000</v>
      </c>
      <c r="BW632" s="23">
        <v>1072000</v>
      </c>
      <c r="BX632" s="23">
        <v>1072000</v>
      </c>
      <c r="BY632" s="23">
        <v>1072000</v>
      </c>
      <c r="BZ632" s="23">
        <v>1072000</v>
      </c>
      <c r="CA632" s="23">
        <v>1072000</v>
      </c>
      <c r="CB632" s="23">
        <v>1072000</v>
      </c>
      <c r="CC632" s="23">
        <v>1072000</v>
      </c>
      <c r="CD632" s="23">
        <v>1072000</v>
      </c>
      <c r="CE632" s="23">
        <v>1072000</v>
      </c>
      <c r="CF632" s="28"/>
      <c r="CG632" s="28"/>
      <c r="CH632" s="25">
        <f t="shared" ref="CH632:CI632" si="1256">BH632+BJ632+BL632+BN632+BP632+BR632+BT632+BV632+BX632+BZ632+CB632+CD632+CF632</f>
        <v>10720000</v>
      </c>
      <c r="CI632" s="25">
        <f t="shared" si="1256"/>
        <v>10720000</v>
      </c>
      <c r="CJ632" s="26">
        <f t="shared" si="816"/>
        <v>0</v>
      </c>
      <c r="CK632" s="26">
        <f t="shared" si="817"/>
        <v>0</v>
      </c>
    </row>
    <row r="633" spans="1:89" ht="90" customHeight="1" x14ac:dyDescent="0.3">
      <c r="A633" s="13" t="s">
        <v>248</v>
      </c>
      <c r="B633" s="14" t="s">
        <v>48</v>
      </c>
      <c r="C633" s="15" t="s">
        <v>1550</v>
      </c>
      <c r="D633" s="14" t="s">
        <v>65</v>
      </c>
      <c r="E633" s="13" t="s">
        <v>250</v>
      </c>
      <c r="F633" s="13" t="s">
        <v>250</v>
      </c>
      <c r="G633" s="14">
        <v>23</v>
      </c>
      <c r="H633" s="13" t="s">
        <v>1643</v>
      </c>
      <c r="I633" s="15" t="s">
        <v>1616</v>
      </c>
      <c r="J633" s="14" t="s">
        <v>49</v>
      </c>
      <c r="K633" s="15" t="s">
        <v>70</v>
      </c>
      <c r="L633" s="14">
        <v>80121601</v>
      </c>
      <c r="M633" s="14" t="s">
        <v>50</v>
      </c>
      <c r="N633" s="14" t="s">
        <v>612</v>
      </c>
      <c r="O633" s="15" t="s">
        <v>1644</v>
      </c>
      <c r="P633" s="14" t="s">
        <v>784</v>
      </c>
      <c r="Q633" s="14" t="s">
        <v>280</v>
      </c>
      <c r="R633" s="14" t="s">
        <v>281</v>
      </c>
      <c r="S633" s="17">
        <v>7</v>
      </c>
      <c r="T633" s="14" t="s">
        <v>256</v>
      </c>
      <c r="U633" s="14" t="s">
        <v>621</v>
      </c>
      <c r="V633" s="14" t="s">
        <v>113</v>
      </c>
      <c r="W633" s="18">
        <v>718965200</v>
      </c>
      <c r="X633" s="18">
        <v>718965200</v>
      </c>
      <c r="Y633" s="19" t="s">
        <v>339</v>
      </c>
      <c r="Z633" s="19" t="s">
        <v>258</v>
      </c>
      <c r="AA633" s="14" t="s">
        <v>1554</v>
      </c>
      <c r="AB633" s="14" t="s">
        <v>1555</v>
      </c>
      <c r="AC633" s="14">
        <v>6012220601</v>
      </c>
      <c r="AD633" s="14" t="s">
        <v>1556</v>
      </c>
      <c r="AE633" s="82">
        <v>0</v>
      </c>
      <c r="AF633" s="82">
        <v>0</v>
      </c>
      <c r="AG633" s="82">
        <v>0</v>
      </c>
      <c r="AH633" s="82">
        <v>0</v>
      </c>
      <c r="AI633" s="82">
        <v>0</v>
      </c>
      <c r="AJ633" s="82">
        <v>0</v>
      </c>
      <c r="AK633" s="82">
        <v>0</v>
      </c>
      <c r="AL633" s="82">
        <v>0</v>
      </c>
      <c r="AM633" s="82">
        <v>0</v>
      </c>
      <c r="AN633" s="82">
        <v>0</v>
      </c>
      <c r="AO633" s="82">
        <v>0</v>
      </c>
      <c r="AP633" s="82">
        <v>0</v>
      </c>
      <c r="AQ633" s="82">
        <v>718965200</v>
      </c>
      <c r="AR633" s="82">
        <v>0</v>
      </c>
      <c r="AS633" s="82">
        <v>0</v>
      </c>
      <c r="AT633" s="82">
        <v>200000000</v>
      </c>
      <c r="AU633" s="82">
        <v>0</v>
      </c>
      <c r="AV633" s="82">
        <v>0</v>
      </c>
      <c r="AW633" s="82">
        <v>0</v>
      </c>
      <c r="AX633" s="82">
        <v>318965200</v>
      </c>
      <c r="AY633" s="82">
        <v>0</v>
      </c>
      <c r="AZ633" s="82">
        <v>0</v>
      </c>
      <c r="BA633" s="82">
        <v>0</v>
      </c>
      <c r="BB633" s="82">
        <v>200000000</v>
      </c>
      <c r="BC633" s="82">
        <f t="shared" ref="BC633:BD633" si="1257">AE633+AG633+AI633+AK633+AM633+AO633+AQ633+AS633+AU633+AW633+AY633+BA633</f>
        <v>718965200</v>
      </c>
      <c r="BD633" s="82">
        <f t="shared" si="1257"/>
        <v>718965200</v>
      </c>
      <c r="BE633" s="83">
        <f t="shared" si="813"/>
        <v>0</v>
      </c>
      <c r="BF633" s="83">
        <f t="shared" si="814"/>
        <v>0</v>
      </c>
      <c r="BG633" s="14" t="str">
        <f ca="1">IFERROR(__xludf.DUMMYFUNCTION("REGEXEXTRACT(O627,""^\S+\s(.+)$"")"),"Definición de requisitos mínimos para establecer los parámetros técnicos y criterios de diseño, construcción, operación y mantenimiento de infraestructura de abastecimiento y confiabilidad de combustibles hidrocarburos en Colombia.")</f>
        <v>Definición de requisitos mínimos para establecer los parámetros técnicos y criterios de diseño, construcción, operación y mantenimiento de infraestructura de abastecimiento y confiabilidad de combustibles hidrocarburos en Colombia.</v>
      </c>
      <c r="BH633" s="23"/>
      <c r="BI633" s="23"/>
      <c r="BJ633" s="23"/>
      <c r="BK633" s="23"/>
      <c r="BL633" s="23"/>
      <c r="BM633" s="23"/>
      <c r="BN633" s="23"/>
      <c r="BO633" s="23"/>
      <c r="BP633" s="23"/>
      <c r="BQ633" s="23"/>
      <c r="BR633" s="23"/>
      <c r="BS633" s="23"/>
      <c r="BT633" s="23">
        <v>718965200</v>
      </c>
      <c r="BU633" s="23"/>
      <c r="BV633" s="23"/>
      <c r="BW633" s="23">
        <v>200000000</v>
      </c>
      <c r="BX633" s="23"/>
      <c r="BY633" s="23"/>
      <c r="BZ633" s="23"/>
      <c r="CA633" s="23">
        <v>318965200</v>
      </c>
      <c r="CB633" s="23"/>
      <c r="CC633" s="23"/>
      <c r="CD633" s="23"/>
      <c r="CE633" s="23">
        <v>200000000</v>
      </c>
      <c r="CF633" s="28"/>
      <c r="CG633" s="28"/>
      <c r="CH633" s="25">
        <f t="shared" ref="CH633:CI633" si="1258">BH633+BJ633+BL633+BN633+BP633+BR633+BT633+BV633+BX633+BZ633+CB633+CD633+CF633</f>
        <v>718965200</v>
      </c>
      <c r="CI633" s="25">
        <f t="shared" si="1258"/>
        <v>718965200</v>
      </c>
      <c r="CJ633" s="26">
        <f t="shared" si="816"/>
        <v>0</v>
      </c>
      <c r="CK633" s="26">
        <f t="shared" si="817"/>
        <v>0</v>
      </c>
    </row>
    <row r="634" spans="1:89" ht="90" customHeight="1" x14ac:dyDescent="0.3">
      <c r="A634" s="13" t="s">
        <v>248</v>
      </c>
      <c r="B634" s="14" t="s">
        <v>48</v>
      </c>
      <c r="C634" s="15" t="s">
        <v>1550</v>
      </c>
      <c r="D634" s="14" t="s">
        <v>65</v>
      </c>
      <c r="E634" s="13" t="s">
        <v>250</v>
      </c>
      <c r="F634" s="13" t="s">
        <v>250</v>
      </c>
      <c r="G634" s="14">
        <v>68</v>
      </c>
      <c r="H634" s="13" t="s">
        <v>1645</v>
      </c>
      <c r="I634" s="15" t="s">
        <v>1616</v>
      </c>
      <c r="J634" s="14" t="s">
        <v>49</v>
      </c>
      <c r="K634" s="15" t="s">
        <v>70</v>
      </c>
      <c r="L634" s="14">
        <v>80121601</v>
      </c>
      <c r="M634" s="14" t="s">
        <v>50</v>
      </c>
      <c r="N634" s="14" t="s">
        <v>612</v>
      </c>
      <c r="O634" s="15" t="s">
        <v>1646</v>
      </c>
      <c r="P634" s="14" t="s">
        <v>255</v>
      </c>
      <c r="Q634" s="14" t="s">
        <v>549</v>
      </c>
      <c r="R634" s="14" t="s">
        <v>784</v>
      </c>
      <c r="S634" s="17">
        <v>9</v>
      </c>
      <c r="T634" s="14" t="s">
        <v>256</v>
      </c>
      <c r="U634" s="14" t="s">
        <v>474</v>
      </c>
      <c r="V634" s="14" t="s">
        <v>113</v>
      </c>
      <c r="W634" s="18">
        <v>213351731</v>
      </c>
      <c r="X634" s="18">
        <v>213351731</v>
      </c>
      <c r="Y634" s="19" t="s">
        <v>339</v>
      </c>
      <c r="Z634" s="19" t="s">
        <v>258</v>
      </c>
      <c r="AA634" s="14" t="s">
        <v>1554</v>
      </c>
      <c r="AB634" s="14" t="s">
        <v>1555</v>
      </c>
      <c r="AC634" s="14">
        <v>6012220601</v>
      </c>
      <c r="AD634" s="14" t="s">
        <v>1556</v>
      </c>
      <c r="AE634" s="82">
        <v>0</v>
      </c>
      <c r="AF634" s="82">
        <v>0</v>
      </c>
      <c r="AG634" s="82">
        <v>0</v>
      </c>
      <c r="AH634" s="82">
        <v>0</v>
      </c>
      <c r="AI634" s="82">
        <v>0</v>
      </c>
      <c r="AJ634" s="82">
        <v>0</v>
      </c>
      <c r="AK634" s="82">
        <v>0</v>
      </c>
      <c r="AL634" s="82">
        <v>0</v>
      </c>
      <c r="AM634" s="82">
        <v>0</v>
      </c>
      <c r="AN634" s="82">
        <v>0</v>
      </c>
      <c r="AO634" s="82">
        <v>0</v>
      </c>
      <c r="AP634" s="82">
        <v>0</v>
      </c>
      <c r="AQ634" s="82">
        <v>213351731</v>
      </c>
      <c r="AR634" s="82">
        <v>0</v>
      </c>
      <c r="AS634" s="82">
        <v>0</v>
      </c>
      <c r="AT634" s="82">
        <v>0</v>
      </c>
      <c r="AU634" s="82">
        <v>0</v>
      </c>
      <c r="AV634" s="82">
        <v>0</v>
      </c>
      <c r="AW634" s="82">
        <v>0</v>
      </c>
      <c r="AX634" s="82">
        <v>0</v>
      </c>
      <c r="AY634" s="82">
        <v>0</v>
      </c>
      <c r="AZ634" s="82">
        <v>213351731</v>
      </c>
      <c r="BA634" s="82">
        <v>0</v>
      </c>
      <c r="BB634" s="82">
        <v>0</v>
      </c>
      <c r="BC634" s="82">
        <f t="shared" ref="BC634:BD634" si="1259">AE634+AG634+AI634+AK634+AM634+AO634+AQ634+AS634+AU634+AW634+AY634+BA634</f>
        <v>213351731</v>
      </c>
      <c r="BD634" s="82">
        <f t="shared" si="1259"/>
        <v>213351731</v>
      </c>
      <c r="BE634" s="83">
        <f t="shared" si="813"/>
        <v>0</v>
      </c>
      <c r="BF634" s="83">
        <f t="shared" si="814"/>
        <v>0</v>
      </c>
      <c r="BG634" s="14" t="str">
        <f ca="1">IFERROR(__xludf.DUMMYFUNCTION("REGEXEXTRACT(O628,""^\S+\s(.+)$"")"),"Prestar servicios de auditoría externa para los procesos de convocatorias públicas de gas natural que adelante la subdirección de hidrocarburos.")</f>
        <v>Prestar servicios de auditoría externa para los procesos de convocatorias públicas de gas natural que adelante la subdirección de hidrocarburos.</v>
      </c>
      <c r="BH634" s="23"/>
      <c r="BI634" s="23"/>
      <c r="BJ634" s="23"/>
      <c r="BK634" s="23"/>
      <c r="BL634" s="23"/>
      <c r="BM634" s="23"/>
      <c r="BN634" s="23"/>
      <c r="BO634" s="23"/>
      <c r="BP634" s="23"/>
      <c r="BQ634" s="23"/>
      <c r="BR634" s="23"/>
      <c r="BS634" s="23"/>
      <c r="BT634" s="23">
        <v>213351731</v>
      </c>
      <c r="BU634" s="23"/>
      <c r="BV634" s="23"/>
      <c r="BW634" s="23"/>
      <c r="BX634" s="23"/>
      <c r="BY634" s="23"/>
      <c r="BZ634" s="23"/>
      <c r="CA634" s="23"/>
      <c r="CB634" s="23"/>
      <c r="CC634" s="23">
        <v>213351731</v>
      </c>
      <c r="CD634" s="23"/>
      <c r="CE634" s="23"/>
      <c r="CF634" s="28"/>
      <c r="CG634" s="28"/>
      <c r="CH634" s="25">
        <f t="shared" ref="CH634:CI634" si="1260">BH634+BJ634+BL634+BN634+BP634+BR634+BT634+BV634+BX634+BZ634+CB634+CD634+CF634</f>
        <v>213351731</v>
      </c>
      <c r="CI634" s="25">
        <f t="shared" si="1260"/>
        <v>213351731</v>
      </c>
      <c r="CJ634" s="26">
        <f t="shared" si="816"/>
        <v>0</v>
      </c>
      <c r="CK634" s="26">
        <f t="shared" si="817"/>
        <v>0</v>
      </c>
    </row>
    <row r="635" spans="1:89" ht="90" customHeight="1" x14ac:dyDescent="0.3">
      <c r="A635" s="13" t="s">
        <v>248</v>
      </c>
      <c r="B635" s="14" t="s">
        <v>48</v>
      </c>
      <c r="C635" s="15" t="s">
        <v>1550</v>
      </c>
      <c r="D635" s="14" t="s">
        <v>65</v>
      </c>
      <c r="E635" s="13" t="s">
        <v>250</v>
      </c>
      <c r="F635" s="13" t="s">
        <v>250</v>
      </c>
      <c r="G635" s="14">
        <v>21</v>
      </c>
      <c r="H635" s="13" t="s">
        <v>1647</v>
      </c>
      <c r="I635" s="15" t="s">
        <v>1616</v>
      </c>
      <c r="J635" s="14" t="s">
        <v>49</v>
      </c>
      <c r="K635" s="15" t="s">
        <v>70</v>
      </c>
      <c r="L635" s="14" t="s">
        <v>1637</v>
      </c>
      <c r="M635" s="14" t="s">
        <v>50</v>
      </c>
      <c r="N635" s="14" t="s">
        <v>770</v>
      </c>
      <c r="O635" s="85" t="s">
        <v>1648</v>
      </c>
      <c r="P635" s="14" t="s">
        <v>549</v>
      </c>
      <c r="Q635" s="14" t="s">
        <v>549</v>
      </c>
      <c r="R635" s="14" t="s">
        <v>280</v>
      </c>
      <c r="S635" s="17">
        <v>12</v>
      </c>
      <c r="T635" s="14" t="s">
        <v>256</v>
      </c>
      <c r="U635" s="14" t="s">
        <v>621</v>
      </c>
      <c r="V635" s="14" t="s">
        <v>113</v>
      </c>
      <c r="W635" s="18">
        <v>220000000</v>
      </c>
      <c r="X635" s="18">
        <v>220000000</v>
      </c>
      <c r="Y635" s="19" t="s">
        <v>339</v>
      </c>
      <c r="Z635" s="19" t="s">
        <v>258</v>
      </c>
      <c r="AA635" s="14" t="s">
        <v>1554</v>
      </c>
      <c r="AB635" s="14" t="s">
        <v>1555</v>
      </c>
      <c r="AC635" s="14">
        <v>6012220601</v>
      </c>
      <c r="AD635" s="14" t="s">
        <v>1556</v>
      </c>
      <c r="AE635" s="82">
        <v>0</v>
      </c>
      <c r="AF635" s="82">
        <v>0</v>
      </c>
      <c r="AG635" s="82">
        <v>0</v>
      </c>
      <c r="AH635" s="82">
        <v>0</v>
      </c>
      <c r="AI635" s="82">
        <v>0</v>
      </c>
      <c r="AJ635" s="82">
        <v>0</v>
      </c>
      <c r="AK635" s="82">
        <v>220000000</v>
      </c>
      <c r="AL635" s="82">
        <v>0</v>
      </c>
      <c r="AM635" s="82">
        <v>0</v>
      </c>
      <c r="AN635" s="82">
        <v>0</v>
      </c>
      <c r="AO635" s="82">
        <v>0</v>
      </c>
      <c r="AP635" s="82">
        <v>220000000</v>
      </c>
      <c r="AQ635" s="82">
        <v>0</v>
      </c>
      <c r="AR635" s="82">
        <v>0</v>
      </c>
      <c r="AS635" s="82">
        <v>0</v>
      </c>
      <c r="AT635" s="82">
        <v>0</v>
      </c>
      <c r="AU635" s="82">
        <v>0</v>
      </c>
      <c r="AV635" s="82">
        <v>0</v>
      </c>
      <c r="AW635" s="82">
        <v>0</v>
      </c>
      <c r="AX635" s="82">
        <v>0</v>
      </c>
      <c r="AY635" s="82">
        <v>0</v>
      </c>
      <c r="AZ635" s="82">
        <v>0</v>
      </c>
      <c r="BA635" s="82">
        <v>0</v>
      </c>
      <c r="BB635" s="82">
        <v>0</v>
      </c>
      <c r="BC635" s="82">
        <f t="shared" ref="BC635:BD635" si="1261">AE635+AG635+AI635+AK635+AM635+AO635+AQ635+AS635+AU635+AW635+AY635+BA635</f>
        <v>220000000</v>
      </c>
      <c r="BD635" s="82">
        <f t="shared" si="1261"/>
        <v>220000000</v>
      </c>
      <c r="BE635" s="83">
        <f t="shared" si="813"/>
        <v>0</v>
      </c>
      <c r="BF635" s="83">
        <f t="shared" si="814"/>
        <v>0</v>
      </c>
      <c r="BG635" s="14" t="str">
        <f ca="1">IFERROR(__xludf.DUMMYFUNCTION("REGEXEXTRACT(O629,""^\S+\s(.+)$"")"),"Adquirir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35" s="23"/>
      <c r="BI635" s="23"/>
      <c r="BJ635" s="23"/>
      <c r="BK635" s="23"/>
      <c r="BL635" s="23"/>
      <c r="BM635" s="23"/>
      <c r="BN635" s="23">
        <v>220000000</v>
      </c>
      <c r="BO635" s="23"/>
      <c r="BP635" s="23"/>
      <c r="BQ635" s="23"/>
      <c r="BR635" s="23"/>
      <c r="BS635" s="23">
        <v>220000000</v>
      </c>
      <c r="BT635" s="23"/>
      <c r="BU635" s="23"/>
      <c r="BV635" s="23"/>
      <c r="BW635" s="23"/>
      <c r="BX635" s="23"/>
      <c r="BY635" s="23"/>
      <c r="BZ635" s="23"/>
      <c r="CA635" s="23"/>
      <c r="CB635" s="23"/>
      <c r="CC635" s="23"/>
      <c r="CD635" s="23"/>
      <c r="CE635" s="23"/>
      <c r="CF635" s="28"/>
      <c r="CG635" s="28"/>
      <c r="CH635" s="25">
        <f t="shared" ref="CH635:CI635" si="1262">BH635+BJ635+BL635+BN635+BP635+BR635+BT635+BV635+BX635+BZ635+CB635+CD635+CF635</f>
        <v>220000000</v>
      </c>
      <c r="CI635" s="25">
        <f t="shared" si="1262"/>
        <v>220000000</v>
      </c>
      <c r="CJ635" s="26">
        <f t="shared" si="816"/>
        <v>0</v>
      </c>
      <c r="CK635" s="26">
        <f t="shared" si="817"/>
        <v>0</v>
      </c>
    </row>
    <row r="636" spans="1:89" ht="90" customHeight="1" x14ac:dyDescent="0.3">
      <c r="A636" s="13" t="s">
        <v>248</v>
      </c>
      <c r="B636" s="14" t="s">
        <v>48</v>
      </c>
      <c r="C636" s="15" t="s">
        <v>1550</v>
      </c>
      <c r="D636" s="14" t="s">
        <v>65</v>
      </c>
      <c r="E636" s="13" t="s">
        <v>250</v>
      </c>
      <c r="F636" s="13" t="s">
        <v>250</v>
      </c>
      <c r="G636" s="14">
        <v>68</v>
      </c>
      <c r="H636" s="13" t="s">
        <v>1649</v>
      </c>
      <c r="I636" s="15" t="s">
        <v>1616</v>
      </c>
      <c r="J636" s="14" t="s">
        <v>49</v>
      </c>
      <c r="K636" s="15" t="s">
        <v>70</v>
      </c>
      <c r="L636" s="14">
        <v>80111620</v>
      </c>
      <c r="M636" s="14" t="s">
        <v>50</v>
      </c>
      <c r="N636" s="14" t="s">
        <v>253</v>
      </c>
      <c r="O636" s="15" t="s">
        <v>1650</v>
      </c>
      <c r="P636" s="14" t="s">
        <v>255</v>
      </c>
      <c r="Q636" s="14" t="s">
        <v>255</v>
      </c>
      <c r="R636" s="14" t="s">
        <v>255</v>
      </c>
      <c r="S636" s="17">
        <v>11.5</v>
      </c>
      <c r="T636" s="14" t="s">
        <v>256</v>
      </c>
      <c r="U636" s="14" t="s">
        <v>257</v>
      </c>
      <c r="V636" s="14" t="s">
        <v>113</v>
      </c>
      <c r="W636" s="18">
        <v>7222000</v>
      </c>
      <c r="X636" s="18">
        <v>7222000</v>
      </c>
      <c r="Y636" s="19" t="s">
        <v>339</v>
      </c>
      <c r="Z636" s="19" t="s">
        <v>258</v>
      </c>
      <c r="AA636" s="14" t="s">
        <v>1554</v>
      </c>
      <c r="AB636" s="14" t="s">
        <v>1555</v>
      </c>
      <c r="AC636" s="14">
        <v>6012220601</v>
      </c>
      <c r="AD636" s="14" t="s">
        <v>1556</v>
      </c>
      <c r="AE636" s="82">
        <v>0</v>
      </c>
      <c r="AF636" s="82">
        <v>0</v>
      </c>
      <c r="AG636" s="82">
        <v>7222000</v>
      </c>
      <c r="AH636" s="82">
        <v>0</v>
      </c>
      <c r="AI636" s="82">
        <v>0</v>
      </c>
      <c r="AJ636" s="82">
        <v>0</v>
      </c>
      <c r="AK636" s="82">
        <v>0</v>
      </c>
      <c r="AL636" s="82">
        <v>0</v>
      </c>
      <c r="AM636" s="82">
        <v>0</v>
      </c>
      <c r="AN636" s="82">
        <v>0</v>
      </c>
      <c r="AO636" s="82">
        <v>0</v>
      </c>
      <c r="AP636" s="82">
        <v>0</v>
      </c>
      <c r="AQ636" s="82">
        <v>0</v>
      </c>
      <c r="AR636" s="82">
        <v>0</v>
      </c>
      <c r="AS636" s="82">
        <v>0</v>
      </c>
      <c r="AT636" s="82">
        <v>0</v>
      </c>
      <c r="AU636" s="82">
        <v>0</v>
      </c>
      <c r="AV636" s="82">
        <v>0</v>
      </c>
      <c r="AW636" s="82">
        <v>0</v>
      </c>
      <c r="AX636" s="82">
        <v>0</v>
      </c>
      <c r="AY636" s="82">
        <v>0</v>
      </c>
      <c r="AZ636" s="82">
        <v>0</v>
      </c>
      <c r="BA636" s="82">
        <v>0</v>
      </c>
      <c r="BB636" s="82">
        <v>7222000</v>
      </c>
      <c r="BC636" s="82">
        <f t="shared" ref="BC636:BD636" si="1263">AE636+AG636+AI636+AK636+AM636+AO636+AQ636+AS636+AU636+AW636+AY636+BA636</f>
        <v>7222000</v>
      </c>
      <c r="BD636" s="82">
        <f t="shared" si="1263"/>
        <v>7222000</v>
      </c>
      <c r="BE636" s="83">
        <f t="shared" si="813"/>
        <v>0</v>
      </c>
      <c r="BF636" s="83">
        <f t="shared" si="814"/>
        <v>0</v>
      </c>
      <c r="BG636" s="14" t="str">
        <f ca="1">IFERROR(__xludf.DUMMYFUNCTION("REGEXEXTRACT(O630,""^\S+\s(.+)$"")"),"Prestar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636" s="23"/>
      <c r="BI636" s="23"/>
      <c r="BJ636" s="23">
        <v>7222000</v>
      </c>
      <c r="BK636" s="23"/>
      <c r="BL636" s="23"/>
      <c r="BM636" s="23"/>
      <c r="BN636" s="23"/>
      <c r="BO636" s="23"/>
      <c r="BP636" s="23"/>
      <c r="BQ636" s="23"/>
      <c r="BR636" s="23"/>
      <c r="BS636" s="23"/>
      <c r="BT636" s="23"/>
      <c r="BU636" s="23"/>
      <c r="BV636" s="23"/>
      <c r="BW636" s="23"/>
      <c r="BX636" s="23"/>
      <c r="BY636" s="23"/>
      <c r="BZ636" s="23"/>
      <c r="CA636" s="23"/>
      <c r="CB636" s="23"/>
      <c r="CC636" s="23"/>
      <c r="CD636" s="23"/>
      <c r="CE636" s="23">
        <v>7222000</v>
      </c>
      <c r="CF636" s="28"/>
      <c r="CG636" s="28"/>
      <c r="CH636" s="25">
        <f t="shared" ref="CH636:CI636" si="1264">BH636+BJ636+BL636+BN636+BP636+BR636+BT636+BV636+BX636+BZ636+CB636+CD636+CF636</f>
        <v>7222000</v>
      </c>
      <c r="CI636" s="25">
        <f t="shared" si="1264"/>
        <v>7222000</v>
      </c>
      <c r="CJ636" s="26">
        <f t="shared" si="816"/>
        <v>0</v>
      </c>
      <c r="CK636" s="26">
        <f t="shared" si="817"/>
        <v>0</v>
      </c>
    </row>
    <row r="637" spans="1:89" ht="90" customHeight="1" x14ac:dyDescent="0.3">
      <c r="A637" s="13" t="s">
        <v>248</v>
      </c>
      <c r="B637" s="14" t="s">
        <v>48</v>
      </c>
      <c r="C637" s="15" t="s">
        <v>1550</v>
      </c>
      <c r="D637" s="14" t="s">
        <v>65</v>
      </c>
      <c r="E637" s="13" t="s">
        <v>250</v>
      </c>
      <c r="F637" s="13" t="s">
        <v>250</v>
      </c>
      <c r="G637" s="14">
        <v>23</v>
      </c>
      <c r="H637" s="13" t="s">
        <v>1651</v>
      </c>
      <c r="I637" s="15" t="s">
        <v>1616</v>
      </c>
      <c r="J637" s="14" t="s">
        <v>49</v>
      </c>
      <c r="K637" s="15" t="s">
        <v>70</v>
      </c>
      <c r="L637" s="14">
        <v>80111620</v>
      </c>
      <c r="M637" s="14" t="s">
        <v>50</v>
      </c>
      <c r="N637" s="14" t="s">
        <v>253</v>
      </c>
      <c r="O637" s="15" t="s">
        <v>1652</v>
      </c>
      <c r="P637" s="14" t="s">
        <v>255</v>
      </c>
      <c r="Q637" s="14" t="s">
        <v>255</v>
      </c>
      <c r="R637" s="14" t="s">
        <v>255</v>
      </c>
      <c r="S637" s="17">
        <v>11.5</v>
      </c>
      <c r="T637" s="14" t="s">
        <v>256</v>
      </c>
      <c r="U637" s="14" t="s">
        <v>257</v>
      </c>
      <c r="V637" s="14" t="s">
        <v>113</v>
      </c>
      <c r="W637" s="18">
        <v>7222000</v>
      </c>
      <c r="X637" s="18">
        <v>7222000</v>
      </c>
      <c r="Y637" s="19" t="s">
        <v>339</v>
      </c>
      <c r="Z637" s="19" t="s">
        <v>258</v>
      </c>
      <c r="AA637" s="14" t="s">
        <v>1554</v>
      </c>
      <c r="AB637" s="14" t="s">
        <v>1555</v>
      </c>
      <c r="AC637" s="14">
        <v>6012220601</v>
      </c>
      <c r="AD637" s="14" t="s">
        <v>1556</v>
      </c>
      <c r="AE637" s="82">
        <v>0</v>
      </c>
      <c r="AF637" s="82">
        <v>0</v>
      </c>
      <c r="AG637" s="82">
        <v>0</v>
      </c>
      <c r="AH637" s="82">
        <v>0</v>
      </c>
      <c r="AI637" s="82">
        <v>0</v>
      </c>
      <c r="AJ637" s="82">
        <v>0</v>
      </c>
      <c r="AK637" s="82">
        <v>0</v>
      </c>
      <c r="AL637" s="82">
        <v>0</v>
      </c>
      <c r="AM637" s="82">
        <v>0</v>
      </c>
      <c r="AN637" s="82">
        <v>0</v>
      </c>
      <c r="AO637" s="82">
        <v>0</v>
      </c>
      <c r="AP637" s="82">
        <v>0</v>
      </c>
      <c r="AQ637" s="82">
        <v>7222000</v>
      </c>
      <c r="AR637" s="82">
        <v>0</v>
      </c>
      <c r="AS637" s="82">
        <v>0</v>
      </c>
      <c r="AT637" s="82">
        <v>0</v>
      </c>
      <c r="AU637" s="82">
        <v>0</v>
      </c>
      <c r="AV637" s="82">
        <v>0</v>
      </c>
      <c r="AW637" s="82">
        <v>0</v>
      </c>
      <c r="AX637" s="82">
        <v>2000000</v>
      </c>
      <c r="AY637" s="82">
        <v>0</v>
      </c>
      <c r="AZ637" s="82">
        <v>2000000</v>
      </c>
      <c r="BA637" s="82">
        <v>0</v>
      </c>
      <c r="BB637" s="82">
        <v>3222000</v>
      </c>
      <c r="BC637" s="82">
        <f t="shared" ref="BC637:BD637" si="1265">AE637+AG637+AI637+AK637+AM637+AO637+AQ637+AS637+AU637+AW637+AY637+BA637</f>
        <v>7222000</v>
      </c>
      <c r="BD637" s="82">
        <f t="shared" si="1265"/>
        <v>7222000</v>
      </c>
      <c r="BE637" s="83">
        <f t="shared" si="813"/>
        <v>0</v>
      </c>
      <c r="BF637" s="83">
        <f t="shared" si="814"/>
        <v>0</v>
      </c>
      <c r="BG637" s="14" t="str">
        <f ca="1">IFERROR(__xludf.DUMMYFUNCTION("REGEXEXTRACT(O631,""^\S+\s(.+)$"")"),"Prestar servicios profesionales orientados al fortalecimiento de la Política Institucional de Control Interno  a través de la ejecución del Plan Anual de Auditorías Internas Independientes, con énfasis en la evaluación  de la gestión financiera de la UPME"&amp;".")</f>
        <v>Prestar servicios profesionales orientados al fortalecimiento de la Política Institucional de Control Interno  a través de la ejecución del Plan Anual de Auditorías Internas Independientes, con énfasis en la evaluación  de la gestión financiera de la UPME.</v>
      </c>
      <c r="BH637" s="23"/>
      <c r="BI637" s="23"/>
      <c r="BJ637" s="23"/>
      <c r="BK637" s="23"/>
      <c r="BL637" s="23"/>
      <c r="BM637" s="23"/>
      <c r="BN637" s="23"/>
      <c r="BO637" s="23"/>
      <c r="BP637" s="23"/>
      <c r="BQ637" s="23"/>
      <c r="BR637" s="23"/>
      <c r="BS637" s="23"/>
      <c r="BT637" s="23">
        <v>7222000</v>
      </c>
      <c r="BU637" s="23"/>
      <c r="BV637" s="23"/>
      <c r="BW637" s="23"/>
      <c r="BX637" s="23"/>
      <c r="BY637" s="23"/>
      <c r="BZ637" s="23"/>
      <c r="CA637" s="23">
        <v>2000000</v>
      </c>
      <c r="CB637" s="23"/>
      <c r="CC637" s="23">
        <v>2000000</v>
      </c>
      <c r="CD637" s="23"/>
      <c r="CE637" s="23">
        <v>3222000</v>
      </c>
      <c r="CF637" s="28"/>
      <c r="CG637" s="28"/>
      <c r="CH637" s="25">
        <f t="shared" ref="CH637:CI637" si="1266">BH637+BJ637+BL637+BN637+BP637+BR637+BT637+BV637+BX637+BZ637+CB637+CD637+CF637</f>
        <v>7222000</v>
      </c>
      <c r="CI637" s="25">
        <f t="shared" si="1266"/>
        <v>7222000</v>
      </c>
      <c r="CJ637" s="26">
        <f t="shared" si="816"/>
        <v>0</v>
      </c>
      <c r="CK637" s="26">
        <f t="shared" si="817"/>
        <v>0</v>
      </c>
    </row>
    <row r="638" spans="1:89" ht="90" customHeight="1" x14ac:dyDescent="0.3">
      <c r="A638" s="13" t="s">
        <v>248</v>
      </c>
      <c r="B638" s="14" t="s">
        <v>48</v>
      </c>
      <c r="C638" s="15" t="s">
        <v>1550</v>
      </c>
      <c r="D638" s="14" t="s">
        <v>65</v>
      </c>
      <c r="E638" s="13" t="s">
        <v>250</v>
      </c>
      <c r="F638" s="13" t="s">
        <v>250</v>
      </c>
      <c r="G638" s="14">
        <v>23</v>
      </c>
      <c r="H638" s="13" t="s">
        <v>1653</v>
      </c>
      <c r="I638" s="15" t="s">
        <v>1616</v>
      </c>
      <c r="J638" s="14" t="s">
        <v>49</v>
      </c>
      <c r="K638" s="15" t="s">
        <v>70</v>
      </c>
      <c r="L638" s="14">
        <v>80111620</v>
      </c>
      <c r="M638" s="14" t="s">
        <v>50</v>
      </c>
      <c r="N638" s="14" t="s">
        <v>253</v>
      </c>
      <c r="O638" s="15" t="s">
        <v>1654</v>
      </c>
      <c r="P638" s="14" t="s">
        <v>255</v>
      </c>
      <c r="Q638" s="14" t="s">
        <v>255</v>
      </c>
      <c r="R638" s="14" t="s">
        <v>255</v>
      </c>
      <c r="S638" s="17">
        <v>11.5</v>
      </c>
      <c r="T638" s="14" t="s">
        <v>256</v>
      </c>
      <c r="U638" s="14" t="s">
        <v>257</v>
      </c>
      <c r="V638" s="14" t="s">
        <v>113</v>
      </c>
      <c r="W638" s="18">
        <v>7221999</v>
      </c>
      <c r="X638" s="18">
        <v>7221999</v>
      </c>
      <c r="Y638" s="19" t="s">
        <v>339</v>
      </c>
      <c r="Z638" s="19" t="s">
        <v>258</v>
      </c>
      <c r="AA638" s="14" t="s">
        <v>1554</v>
      </c>
      <c r="AB638" s="14" t="s">
        <v>1555</v>
      </c>
      <c r="AC638" s="14">
        <v>6012220601</v>
      </c>
      <c r="AD638" s="14" t="s">
        <v>1556</v>
      </c>
      <c r="AE638" s="82">
        <v>0</v>
      </c>
      <c r="AF638" s="82">
        <v>0</v>
      </c>
      <c r="AG638" s="82">
        <v>0</v>
      </c>
      <c r="AH638" s="82">
        <v>0</v>
      </c>
      <c r="AI638" s="82">
        <v>0</v>
      </c>
      <c r="AJ638" s="82">
        <v>0</v>
      </c>
      <c r="AK638" s="82">
        <v>0</v>
      </c>
      <c r="AL638" s="82">
        <v>0</v>
      </c>
      <c r="AM638" s="82">
        <v>0</v>
      </c>
      <c r="AN638" s="82">
        <v>0</v>
      </c>
      <c r="AO638" s="82">
        <v>0</v>
      </c>
      <c r="AP638" s="82">
        <v>0</v>
      </c>
      <c r="AQ638" s="82">
        <v>7221999</v>
      </c>
      <c r="AR638" s="82">
        <v>0</v>
      </c>
      <c r="AS638" s="82">
        <v>0</v>
      </c>
      <c r="AT638" s="82">
        <v>0</v>
      </c>
      <c r="AU638" s="82">
        <v>0</v>
      </c>
      <c r="AV638" s="82">
        <v>0</v>
      </c>
      <c r="AW638" s="82">
        <v>0</v>
      </c>
      <c r="AX638" s="82">
        <v>2000000</v>
      </c>
      <c r="AY638" s="82">
        <v>0</v>
      </c>
      <c r="AZ638" s="82">
        <v>2000000</v>
      </c>
      <c r="BA638" s="82">
        <v>0</v>
      </c>
      <c r="BB638" s="82">
        <v>3221999</v>
      </c>
      <c r="BC638" s="82">
        <f t="shared" ref="BC638:BD638" si="1267">AE638+AG638+AI638+AK638+AM638+AO638+AQ638+AS638+AU638+AW638+AY638+BA638</f>
        <v>7221999</v>
      </c>
      <c r="BD638" s="82">
        <f t="shared" si="1267"/>
        <v>7221999</v>
      </c>
      <c r="BE638" s="83">
        <f t="shared" si="813"/>
        <v>0</v>
      </c>
      <c r="BF638" s="83">
        <f t="shared" si="814"/>
        <v>0</v>
      </c>
      <c r="BG638" s="14" t="str">
        <f ca="1">IFERROR(__xludf.DUMMYFUNCTION("REGEXEXTRACT(O632,""^\S+\s(.+)$"")"),"Prestar servicios profesionales orientados al fortalecimiento del componente de Información y Comunicación del Modelo Estandar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v>
      </c>
      <c r="BH638" s="23"/>
      <c r="BI638" s="23"/>
      <c r="BJ638" s="23"/>
      <c r="BK638" s="23"/>
      <c r="BL638" s="23"/>
      <c r="BM638" s="23"/>
      <c r="BN638" s="23"/>
      <c r="BO638" s="23"/>
      <c r="BP638" s="23"/>
      <c r="BQ638" s="23"/>
      <c r="BR638" s="23"/>
      <c r="BS638" s="23"/>
      <c r="BT638" s="23">
        <v>7221999</v>
      </c>
      <c r="BU638" s="23"/>
      <c r="BV638" s="23"/>
      <c r="BW638" s="23"/>
      <c r="BX638" s="23"/>
      <c r="BY638" s="23"/>
      <c r="BZ638" s="23"/>
      <c r="CA638" s="23">
        <v>2000000</v>
      </c>
      <c r="CB638" s="23"/>
      <c r="CC638" s="23">
        <v>2000000</v>
      </c>
      <c r="CD638" s="23"/>
      <c r="CE638" s="23">
        <v>3221999</v>
      </c>
      <c r="CF638" s="28"/>
      <c r="CG638" s="28"/>
      <c r="CH638" s="25">
        <f t="shared" ref="CH638:CI638" si="1268">BH638+BJ638+BL638+BN638+BP638+BR638+BT638+BV638+BX638+BZ638+CB638+CD638+CF638</f>
        <v>7221999</v>
      </c>
      <c r="CI638" s="25">
        <f t="shared" si="1268"/>
        <v>7221999</v>
      </c>
      <c r="CJ638" s="26">
        <f t="shared" si="816"/>
        <v>0</v>
      </c>
      <c r="CK638" s="26">
        <f t="shared" si="817"/>
        <v>0</v>
      </c>
    </row>
    <row r="639" spans="1:89" ht="90" customHeight="1" x14ac:dyDescent="0.3">
      <c r="A639" s="13" t="s">
        <v>248</v>
      </c>
      <c r="B639" s="14" t="s">
        <v>48</v>
      </c>
      <c r="C639" s="15" t="s">
        <v>1550</v>
      </c>
      <c r="D639" s="14" t="s">
        <v>65</v>
      </c>
      <c r="E639" s="13" t="s">
        <v>250</v>
      </c>
      <c r="F639" s="13" t="s">
        <v>250</v>
      </c>
      <c r="G639" s="14">
        <v>68</v>
      </c>
      <c r="H639" s="13" t="s">
        <v>1655</v>
      </c>
      <c r="I639" s="15" t="s">
        <v>1616</v>
      </c>
      <c r="J639" s="14" t="s">
        <v>49</v>
      </c>
      <c r="K639" s="15" t="s">
        <v>70</v>
      </c>
      <c r="L639" s="14">
        <v>80111620</v>
      </c>
      <c r="M639" s="14" t="s">
        <v>50</v>
      </c>
      <c r="N639" s="14" t="s">
        <v>253</v>
      </c>
      <c r="O639" s="15" t="s">
        <v>1656</v>
      </c>
      <c r="P639" s="14" t="s">
        <v>255</v>
      </c>
      <c r="Q639" s="14" t="s">
        <v>255</v>
      </c>
      <c r="R639" s="14" t="s">
        <v>255</v>
      </c>
      <c r="S639" s="17">
        <v>11.5</v>
      </c>
      <c r="T639" s="14" t="s">
        <v>256</v>
      </c>
      <c r="U639" s="14" t="s">
        <v>257</v>
      </c>
      <c r="V639" s="14" t="s">
        <v>113</v>
      </c>
      <c r="W639" s="18">
        <v>76627950</v>
      </c>
      <c r="X639" s="18">
        <v>76627950</v>
      </c>
      <c r="Y639" s="19" t="s">
        <v>339</v>
      </c>
      <c r="Z639" s="19" t="s">
        <v>258</v>
      </c>
      <c r="AA639" s="14" t="s">
        <v>1554</v>
      </c>
      <c r="AB639" s="14" t="s">
        <v>1555</v>
      </c>
      <c r="AC639" s="14">
        <v>6012220601</v>
      </c>
      <c r="AD639" s="14" t="s">
        <v>1556</v>
      </c>
      <c r="AE639" s="82">
        <v>73296300</v>
      </c>
      <c r="AF639" s="82">
        <v>0</v>
      </c>
      <c r="AG639" s="82">
        <v>0</v>
      </c>
      <c r="AH639" s="82">
        <v>0</v>
      </c>
      <c r="AI639" s="82">
        <v>0</v>
      </c>
      <c r="AJ639" s="82">
        <v>6500000</v>
      </c>
      <c r="AK639" s="82">
        <v>0</v>
      </c>
      <c r="AL639" s="82">
        <v>6500000</v>
      </c>
      <c r="AM639" s="82">
        <v>0</v>
      </c>
      <c r="AN639" s="82">
        <v>6500000</v>
      </c>
      <c r="AO639" s="82">
        <v>0</v>
      </c>
      <c r="AP639" s="82">
        <v>6500000</v>
      </c>
      <c r="AQ639" s="82">
        <v>0</v>
      </c>
      <c r="AR639" s="82">
        <v>6500000</v>
      </c>
      <c r="AS639" s="82">
        <v>3331650</v>
      </c>
      <c r="AT639" s="82">
        <v>6500000</v>
      </c>
      <c r="AU639" s="82">
        <v>0</v>
      </c>
      <c r="AV639" s="82">
        <v>6500000</v>
      </c>
      <c r="AW639" s="82">
        <v>0</v>
      </c>
      <c r="AX639" s="82">
        <v>6500000</v>
      </c>
      <c r="AY639" s="82">
        <v>0</v>
      </c>
      <c r="AZ639" s="82">
        <v>6500000</v>
      </c>
      <c r="BA639" s="82">
        <v>0</v>
      </c>
      <c r="BB639" s="82">
        <v>18127950</v>
      </c>
      <c r="BC639" s="82">
        <f t="shared" ref="BC639:BD639" si="1269">AE639+AG639+AI639+AK639+AM639+AO639+AQ639+AS639+AU639+AW639+AY639+BA639</f>
        <v>76627950</v>
      </c>
      <c r="BD639" s="82">
        <f t="shared" si="1269"/>
        <v>76627950</v>
      </c>
      <c r="BE639" s="83">
        <f t="shared" si="813"/>
        <v>0</v>
      </c>
      <c r="BF639" s="83">
        <f t="shared" si="814"/>
        <v>0</v>
      </c>
      <c r="BG639" s="14" t="str">
        <f ca="1">IFERROR(__xludf.DUMMYFUNCTION("REGEXEXTRACT(O633,""^\S+\s(.+)$"")"),"Prestar servicios profesionales en asuntos jurídicos y judiciales de la Unidad de Planeación Minero Energética.")</f>
        <v>Prestar servicios profesionales en asuntos jurídicos y judiciales de la Unidad de Planeación Minero Energética.</v>
      </c>
      <c r="BH639" s="23">
        <v>73296300</v>
      </c>
      <c r="BI639" s="23"/>
      <c r="BJ639" s="23"/>
      <c r="BK639" s="23"/>
      <c r="BL639" s="23"/>
      <c r="BM639" s="23">
        <v>6500000</v>
      </c>
      <c r="BN639" s="23"/>
      <c r="BO639" s="23">
        <v>6500000</v>
      </c>
      <c r="BP639" s="23"/>
      <c r="BQ639" s="23">
        <v>6500000</v>
      </c>
      <c r="BR639" s="23"/>
      <c r="BS639" s="23">
        <v>6500000</v>
      </c>
      <c r="BT639" s="23"/>
      <c r="BU639" s="23">
        <v>6500000</v>
      </c>
      <c r="BV639" s="23">
        <v>3331650</v>
      </c>
      <c r="BW639" s="23">
        <v>6500000</v>
      </c>
      <c r="BX639" s="23"/>
      <c r="BY639" s="23">
        <v>6500000</v>
      </c>
      <c r="BZ639" s="23"/>
      <c r="CA639" s="23">
        <v>6500000</v>
      </c>
      <c r="CB639" s="23"/>
      <c r="CC639" s="23">
        <v>6500000</v>
      </c>
      <c r="CD639" s="23"/>
      <c r="CE639" s="23">
        <v>18127950</v>
      </c>
      <c r="CF639" s="28"/>
      <c r="CG639" s="28"/>
      <c r="CH639" s="25">
        <f t="shared" ref="CH639:CI639" si="1270">BH639+BJ639+BL639+BN639+BP639+BR639+BT639+BV639+BX639+BZ639+CB639+CD639+CF639</f>
        <v>76627950</v>
      </c>
      <c r="CI639" s="25">
        <f t="shared" si="1270"/>
        <v>76627950</v>
      </c>
      <c r="CJ639" s="26">
        <f t="shared" si="816"/>
        <v>0</v>
      </c>
      <c r="CK639" s="26">
        <f t="shared" si="817"/>
        <v>0</v>
      </c>
    </row>
    <row r="640" spans="1:89" ht="90" customHeight="1" x14ac:dyDescent="0.3">
      <c r="A640" s="13" t="s">
        <v>248</v>
      </c>
      <c r="B640" s="14" t="s">
        <v>48</v>
      </c>
      <c r="C640" s="15" t="s">
        <v>1550</v>
      </c>
      <c r="D640" s="14" t="s">
        <v>65</v>
      </c>
      <c r="E640" s="13" t="s">
        <v>250</v>
      </c>
      <c r="F640" s="13" t="s">
        <v>250</v>
      </c>
      <c r="G640" s="14">
        <v>23</v>
      </c>
      <c r="H640" s="13" t="s">
        <v>1657</v>
      </c>
      <c r="I640" s="15" t="s">
        <v>1616</v>
      </c>
      <c r="J640" s="14" t="s">
        <v>49</v>
      </c>
      <c r="K640" s="15" t="s">
        <v>70</v>
      </c>
      <c r="L640" s="14">
        <v>80111620</v>
      </c>
      <c r="M640" s="14" t="s">
        <v>50</v>
      </c>
      <c r="N640" s="14" t="s">
        <v>253</v>
      </c>
      <c r="O640" s="15" t="s">
        <v>1658</v>
      </c>
      <c r="P640" s="14" t="s">
        <v>255</v>
      </c>
      <c r="Q640" s="14" t="s">
        <v>255</v>
      </c>
      <c r="R640" s="14" t="s">
        <v>255</v>
      </c>
      <c r="S640" s="17">
        <v>11.5</v>
      </c>
      <c r="T640" s="14" t="s">
        <v>256</v>
      </c>
      <c r="U640" s="14" t="s">
        <v>257</v>
      </c>
      <c r="V640" s="14" t="s">
        <v>113</v>
      </c>
      <c r="W640" s="18">
        <v>35200000</v>
      </c>
      <c r="X640" s="18">
        <v>35200000</v>
      </c>
      <c r="Y640" s="19" t="s">
        <v>339</v>
      </c>
      <c r="Z640" s="19" t="s">
        <v>258</v>
      </c>
      <c r="AA640" s="14" t="s">
        <v>1554</v>
      </c>
      <c r="AB640" s="14" t="s">
        <v>1555</v>
      </c>
      <c r="AC640" s="14">
        <v>6012220601</v>
      </c>
      <c r="AD640" s="14" t="s">
        <v>1556</v>
      </c>
      <c r="AE640" s="82">
        <v>0</v>
      </c>
      <c r="AF640" s="82">
        <v>0</v>
      </c>
      <c r="AG640" s="82">
        <v>35200000</v>
      </c>
      <c r="AH640" s="82">
        <v>0</v>
      </c>
      <c r="AI640" s="82">
        <v>0</v>
      </c>
      <c r="AJ640" s="82">
        <v>3200000</v>
      </c>
      <c r="AK640" s="82">
        <v>0</v>
      </c>
      <c r="AL640" s="82">
        <v>3200000</v>
      </c>
      <c r="AM640" s="82">
        <v>0</v>
      </c>
      <c r="AN640" s="82">
        <v>3200000</v>
      </c>
      <c r="AO640" s="82">
        <v>0</v>
      </c>
      <c r="AP640" s="82">
        <v>3200000</v>
      </c>
      <c r="AQ640" s="82">
        <v>0</v>
      </c>
      <c r="AR640" s="82">
        <v>3200000</v>
      </c>
      <c r="AS640" s="82">
        <v>0</v>
      </c>
      <c r="AT640" s="82">
        <v>3200000</v>
      </c>
      <c r="AU640" s="82">
        <v>0</v>
      </c>
      <c r="AV640" s="82">
        <v>3200000</v>
      </c>
      <c r="AW640" s="82">
        <v>0</v>
      </c>
      <c r="AX640" s="82">
        <v>3200000</v>
      </c>
      <c r="AY640" s="82">
        <v>0</v>
      </c>
      <c r="AZ640" s="82">
        <v>3200000</v>
      </c>
      <c r="BA640" s="82">
        <v>0</v>
      </c>
      <c r="BB640" s="82">
        <v>6400000</v>
      </c>
      <c r="BC640" s="82">
        <f t="shared" ref="BC640:BD640" si="1271">AE640+AG640+AI640+AK640+AM640+AO640+AQ640+AS640+AU640+AW640+AY640+BA640</f>
        <v>35200000</v>
      </c>
      <c r="BD640" s="82">
        <f t="shared" si="1271"/>
        <v>35200000</v>
      </c>
      <c r="BE640" s="83">
        <f t="shared" si="813"/>
        <v>0</v>
      </c>
      <c r="BF640" s="83">
        <f t="shared" si="814"/>
        <v>0</v>
      </c>
      <c r="BG640" s="14" t="str">
        <f ca="1">IFERROR(__xludf.DUMMYFUNCTION("REGEXEXTRACT(O634,""^\S+\s(.+)$"")"),"Prestar servicios profesionales para la gestión jurídica en la verificación y cumplimiento de asuntos legales de competencia de la UPME, y lo que de ello se derive, en especial, lo relacionado con el sector hidrocarburos y energía.")</f>
        <v>Prestar servicios profesionales para la gestión jurídica en la verificación y cumplimiento de asuntos legales de competencia de la UPME, y lo que de ello se derive, en especial, lo relacionado con el sector hidrocarburos y energía.</v>
      </c>
      <c r="BH640" s="23"/>
      <c r="BI640" s="23"/>
      <c r="BJ640" s="23">
        <v>35200000</v>
      </c>
      <c r="BK640" s="23"/>
      <c r="BL640" s="23"/>
      <c r="BM640" s="23">
        <v>3200000</v>
      </c>
      <c r="BN640" s="23"/>
      <c r="BO640" s="23">
        <v>3200000</v>
      </c>
      <c r="BP640" s="23"/>
      <c r="BQ640" s="23">
        <v>3200000</v>
      </c>
      <c r="BR640" s="23"/>
      <c r="BS640" s="23">
        <v>3200000</v>
      </c>
      <c r="BT640" s="23"/>
      <c r="BU640" s="23">
        <v>3200000</v>
      </c>
      <c r="BV640" s="23"/>
      <c r="BW640" s="23">
        <v>3200000</v>
      </c>
      <c r="BX640" s="23"/>
      <c r="BY640" s="23">
        <v>3200000</v>
      </c>
      <c r="BZ640" s="23"/>
      <c r="CA640" s="23">
        <v>3200000</v>
      </c>
      <c r="CB640" s="23"/>
      <c r="CC640" s="23">
        <v>3200000</v>
      </c>
      <c r="CD640" s="23"/>
      <c r="CE640" s="23">
        <v>6400000</v>
      </c>
      <c r="CF640" s="28"/>
      <c r="CG640" s="28"/>
      <c r="CH640" s="25">
        <f t="shared" ref="CH640:CI640" si="1272">BH640+BJ640+BL640+BN640+BP640+BR640+BT640+BV640+BX640+BZ640+CB640+CD640+CF640</f>
        <v>35200000</v>
      </c>
      <c r="CI640" s="25">
        <f t="shared" si="1272"/>
        <v>35200000</v>
      </c>
      <c r="CJ640" s="26">
        <f t="shared" si="816"/>
        <v>0</v>
      </c>
      <c r="CK640" s="26">
        <f t="shared" si="817"/>
        <v>0</v>
      </c>
    </row>
    <row r="641" spans="1:89" ht="90" customHeight="1" x14ac:dyDescent="0.3">
      <c r="A641" s="13" t="s">
        <v>248</v>
      </c>
      <c r="B641" s="14" t="s">
        <v>48</v>
      </c>
      <c r="C641" s="15" t="s">
        <v>1550</v>
      </c>
      <c r="D641" s="14" t="s">
        <v>65</v>
      </c>
      <c r="E641" s="13" t="s">
        <v>250</v>
      </c>
      <c r="F641" s="13" t="s">
        <v>250</v>
      </c>
      <c r="G641" s="14">
        <v>68</v>
      </c>
      <c r="H641" s="13" t="s">
        <v>1659</v>
      </c>
      <c r="I641" s="15" t="s">
        <v>1616</v>
      </c>
      <c r="J641" s="14" t="s">
        <v>49</v>
      </c>
      <c r="K641" s="15" t="s">
        <v>70</v>
      </c>
      <c r="L641" s="14">
        <v>80111620</v>
      </c>
      <c r="M641" s="14" t="s">
        <v>50</v>
      </c>
      <c r="N641" s="14" t="s">
        <v>253</v>
      </c>
      <c r="O641" s="15" t="s">
        <v>1660</v>
      </c>
      <c r="P641" s="14" t="s">
        <v>255</v>
      </c>
      <c r="Q641" s="14" t="s">
        <v>255</v>
      </c>
      <c r="R641" s="14" t="s">
        <v>255</v>
      </c>
      <c r="S641" s="17">
        <v>11.5</v>
      </c>
      <c r="T641" s="14" t="s">
        <v>256</v>
      </c>
      <c r="U641" s="14" t="s">
        <v>257</v>
      </c>
      <c r="V641" s="14" t="s">
        <v>113</v>
      </c>
      <c r="W641" s="18">
        <v>36139950</v>
      </c>
      <c r="X641" s="18">
        <v>36139950</v>
      </c>
      <c r="Y641" s="19" t="s">
        <v>339</v>
      </c>
      <c r="Z641" s="19" t="s">
        <v>258</v>
      </c>
      <c r="AA641" s="14" t="s">
        <v>1554</v>
      </c>
      <c r="AB641" s="14" t="s">
        <v>1555</v>
      </c>
      <c r="AC641" s="14">
        <v>6012220601</v>
      </c>
      <c r="AD641" s="14" t="s">
        <v>1556</v>
      </c>
      <c r="AE641" s="82">
        <v>36139950</v>
      </c>
      <c r="AF641" s="82">
        <v>0</v>
      </c>
      <c r="AG641" s="82">
        <v>0</v>
      </c>
      <c r="AH641" s="82">
        <v>0</v>
      </c>
      <c r="AI641" s="82">
        <v>0</v>
      </c>
      <c r="AJ641" s="82">
        <v>3200000</v>
      </c>
      <c r="AK641" s="82">
        <v>0</v>
      </c>
      <c r="AL641" s="82">
        <v>3200000</v>
      </c>
      <c r="AM641" s="82">
        <v>0</v>
      </c>
      <c r="AN641" s="82">
        <v>3200000</v>
      </c>
      <c r="AO641" s="82">
        <v>0</v>
      </c>
      <c r="AP641" s="82">
        <v>3200000</v>
      </c>
      <c r="AQ641" s="82">
        <v>0</v>
      </c>
      <c r="AR641" s="82">
        <v>3200000</v>
      </c>
      <c r="AS641" s="82">
        <v>0</v>
      </c>
      <c r="AT641" s="82">
        <v>3200000</v>
      </c>
      <c r="AU641" s="82">
        <v>0</v>
      </c>
      <c r="AV641" s="82">
        <v>3200000</v>
      </c>
      <c r="AW641" s="82">
        <v>0</v>
      </c>
      <c r="AX641" s="82">
        <v>3200000</v>
      </c>
      <c r="AY641" s="82">
        <v>0</v>
      </c>
      <c r="AZ641" s="82">
        <v>3200000</v>
      </c>
      <c r="BA641" s="82">
        <v>0</v>
      </c>
      <c r="BB641" s="82">
        <v>7339950</v>
      </c>
      <c r="BC641" s="82">
        <f t="shared" ref="BC641:BD641" si="1273">AE641+AG641+AI641+AK641+AM641+AO641+AQ641+AS641+AU641+AW641+AY641+BA641</f>
        <v>36139950</v>
      </c>
      <c r="BD641" s="82">
        <f t="shared" si="1273"/>
        <v>36139950</v>
      </c>
      <c r="BE641" s="83">
        <f t="shared" si="813"/>
        <v>0</v>
      </c>
      <c r="BF641" s="83">
        <f t="shared" si="814"/>
        <v>0</v>
      </c>
      <c r="BG641" s="14" t="str">
        <f ca="1">IFERROR(__xludf.DUMMYFUNCTION("REGEXEXTRACT(O635,""^\S+\s(.+)$"")"),"Prestar servicios profesionales para apoyar la ejecución de las diferentes actividades relacionadas con la formulación de los planes a cargo de la Subdirección de Hidrocarburos y demás gestiones misionales.")</f>
        <v>Prestar servicios profesionales para apoyar la ejecución de las diferentes actividades relacionadas con la formulación de los planes a cargo de la Subdirección de Hidrocarburos y demás gestiones misionales.</v>
      </c>
      <c r="BH641" s="23">
        <v>36139950</v>
      </c>
      <c r="BI641" s="23"/>
      <c r="BJ641" s="23"/>
      <c r="BK641" s="23"/>
      <c r="BL641" s="23"/>
      <c r="BM641" s="23">
        <v>3200000</v>
      </c>
      <c r="BN641" s="23"/>
      <c r="BO641" s="23">
        <v>3200000</v>
      </c>
      <c r="BP641" s="23"/>
      <c r="BQ641" s="23">
        <v>3200000</v>
      </c>
      <c r="BR641" s="23"/>
      <c r="BS641" s="23">
        <v>3200000</v>
      </c>
      <c r="BT641" s="23"/>
      <c r="BU641" s="23">
        <v>3200000</v>
      </c>
      <c r="BV641" s="23"/>
      <c r="BW641" s="23">
        <v>3200000</v>
      </c>
      <c r="BX641" s="23"/>
      <c r="BY641" s="23">
        <v>3200000</v>
      </c>
      <c r="BZ641" s="23"/>
      <c r="CA641" s="23">
        <v>3200000</v>
      </c>
      <c r="CB641" s="23"/>
      <c r="CC641" s="23">
        <v>3200000</v>
      </c>
      <c r="CD641" s="23"/>
      <c r="CE641" s="23">
        <v>7339950</v>
      </c>
      <c r="CF641" s="28"/>
      <c r="CG641" s="28"/>
      <c r="CH641" s="25">
        <f t="shared" ref="CH641:CI641" si="1274">BH641+BJ641+BL641+BN641+BP641+BR641+BT641+BV641+BX641+BZ641+CB641+CD641+CF641</f>
        <v>36139950</v>
      </c>
      <c r="CI641" s="25">
        <f t="shared" si="1274"/>
        <v>36139950</v>
      </c>
      <c r="CJ641" s="26">
        <f t="shared" si="816"/>
        <v>0</v>
      </c>
      <c r="CK641" s="26">
        <f t="shared" si="817"/>
        <v>0</v>
      </c>
    </row>
    <row r="642" spans="1:89" ht="90" customHeight="1" x14ac:dyDescent="0.3">
      <c r="A642" s="13" t="s">
        <v>248</v>
      </c>
      <c r="B642" s="14" t="s">
        <v>48</v>
      </c>
      <c r="C642" s="15" t="s">
        <v>1550</v>
      </c>
      <c r="D642" s="14" t="s">
        <v>65</v>
      </c>
      <c r="E642" s="13" t="s">
        <v>250</v>
      </c>
      <c r="F642" s="13" t="s">
        <v>250</v>
      </c>
      <c r="G642" s="29" t="s">
        <v>1661</v>
      </c>
      <c r="H642" s="13" t="s">
        <v>1662</v>
      </c>
      <c r="I642" s="15" t="s">
        <v>1616</v>
      </c>
      <c r="J642" s="14" t="s">
        <v>49</v>
      </c>
      <c r="K642" s="15" t="s">
        <v>70</v>
      </c>
      <c r="L642" s="14">
        <v>80141607</v>
      </c>
      <c r="M642" s="14" t="s">
        <v>50</v>
      </c>
      <c r="N642" s="14" t="s">
        <v>284</v>
      </c>
      <c r="O642" s="15" t="s">
        <v>1663</v>
      </c>
      <c r="P642" s="14" t="s">
        <v>255</v>
      </c>
      <c r="Q642" s="14" t="s">
        <v>255</v>
      </c>
      <c r="R642" s="14" t="s">
        <v>255</v>
      </c>
      <c r="S642" s="17">
        <v>11</v>
      </c>
      <c r="T642" s="14" t="s">
        <v>256</v>
      </c>
      <c r="U642" s="14" t="s">
        <v>286</v>
      </c>
      <c r="V642" s="14" t="s">
        <v>113</v>
      </c>
      <c r="W642" s="18">
        <v>18000000</v>
      </c>
      <c r="X642" s="18">
        <v>18000000</v>
      </c>
      <c r="Y642" s="19" t="s">
        <v>339</v>
      </c>
      <c r="Z642" s="19" t="s">
        <v>258</v>
      </c>
      <c r="AA642" s="14" t="s">
        <v>1554</v>
      </c>
      <c r="AB642" s="14" t="s">
        <v>1555</v>
      </c>
      <c r="AC642" s="14">
        <v>6012220601</v>
      </c>
      <c r="AD642" s="14" t="s">
        <v>1556</v>
      </c>
      <c r="AE642" s="82">
        <v>18000000</v>
      </c>
      <c r="AF642" s="82">
        <v>0</v>
      </c>
      <c r="AG642" s="82">
        <v>0</v>
      </c>
      <c r="AH642" s="82">
        <v>0</v>
      </c>
      <c r="AI642" s="82">
        <v>0</v>
      </c>
      <c r="AJ642" s="82">
        <v>4500000</v>
      </c>
      <c r="AK642" s="82">
        <v>0</v>
      </c>
      <c r="AL642" s="82">
        <v>0</v>
      </c>
      <c r="AM642" s="82">
        <v>0</v>
      </c>
      <c r="AN642" s="82">
        <v>0</v>
      </c>
      <c r="AO642" s="82">
        <v>0</v>
      </c>
      <c r="AP642" s="82">
        <v>4500000</v>
      </c>
      <c r="AQ642" s="82">
        <v>0</v>
      </c>
      <c r="AR642" s="82">
        <v>0</v>
      </c>
      <c r="AS642" s="82">
        <v>0</v>
      </c>
      <c r="AT642" s="82">
        <v>0</v>
      </c>
      <c r="AU642" s="82">
        <v>0</v>
      </c>
      <c r="AV642" s="82">
        <v>4500000</v>
      </c>
      <c r="AW642" s="82">
        <v>0</v>
      </c>
      <c r="AX642" s="82">
        <v>0</v>
      </c>
      <c r="AY642" s="82">
        <v>0</v>
      </c>
      <c r="AZ642" s="82">
        <v>0</v>
      </c>
      <c r="BA642" s="82">
        <v>0</v>
      </c>
      <c r="BB642" s="82">
        <v>4500000</v>
      </c>
      <c r="BC642" s="82">
        <f t="shared" ref="BC642:BD642" si="1275">AE642+AG642+AI642+AK642+AM642+AO642+AQ642+AS642+AU642+AW642+AY642+BA642</f>
        <v>18000000</v>
      </c>
      <c r="BD642" s="82">
        <f t="shared" si="1275"/>
        <v>18000000</v>
      </c>
      <c r="BE642" s="83">
        <f t="shared" si="813"/>
        <v>0</v>
      </c>
      <c r="BF642" s="83">
        <f t="shared" si="814"/>
        <v>0</v>
      </c>
      <c r="BG642" s="14" t="str">
        <f ca="1">IFERROR(__xludf.DUMMYFUNCTION("REGEXEXTRACT(O636,""^\S+\s(.+)$"")"),"Prestación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42" s="23">
        <v>18000000</v>
      </c>
      <c r="BI642" s="23"/>
      <c r="BJ642" s="23"/>
      <c r="BK642" s="23"/>
      <c r="BL642" s="23"/>
      <c r="BM642" s="23">
        <v>4500000</v>
      </c>
      <c r="BN642" s="23"/>
      <c r="BO642" s="23"/>
      <c r="BP642" s="23"/>
      <c r="BQ642" s="23"/>
      <c r="BR642" s="23"/>
      <c r="BS642" s="23">
        <v>4500000</v>
      </c>
      <c r="BT642" s="23"/>
      <c r="BU642" s="23"/>
      <c r="BV642" s="23"/>
      <c r="BW642" s="23"/>
      <c r="BX642" s="23"/>
      <c r="BY642" s="23">
        <v>4500000</v>
      </c>
      <c r="BZ642" s="23"/>
      <c r="CA642" s="23"/>
      <c r="CB642" s="23"/>
      <c r="CC642" s="23"/>
      <c r="CD642" s="23"/>
      <c r="CE642" s="23">
        <v>4500000</v>
      </c>
      <c r="CF642" s="28"/>
      <c r="CG642" s="28"/>
      <c r="CH642" s="25">
        <f t="shared" ref="CH642:CI642" si="1276">BH642+BJ642+BL642+BN642+BP642+BR642+BT642+BV642+BX642+BZ642+CB642+CD642+CF642</f>
        <v>18000000</v>
      </c>
      <c r="CI642" s="25">
        <f t="shared" si="1276"/>
        <v>18000000</v>
      </c>
      <c r="CJ642" s="26">
        <f t="shared" si="816"/>
        <v>0</v>
      </c>
      <c r="CK642" s="26">
        <f t="shared" si="817"/>
        <v>0</v>
      </c>
    </row>
    <row r="643" spans="1:89" ht="90" customHeight="1" x14ac:dyDescent="0.3">
      <c r="A643" s="13" t="s">
        <v>248</v>
      </c>
      <c r="B643" s="14" t="s">
        <v>48</v>
      </c>
      <c r="C643" s="15" t="s">
        <v>1550</v>
      </c>
      <c r="D643" s="14" t="s">
        <v>65</v>
      </c>
      <c r="E643" s="13" t="s">
        <v>250</v>
      </c>
      <c r="F643" s="13" t="s">
        <v>250</v>
      </c>
      <c r="G643" s="29" t="s">
        <v>335</v>
      </c>
      <c r="H643" s="13" t="s">
        <v>1664</v>
      </c>
      <c r="I643" s="15" t="s">
        <v>1616</v>
      </c>
      <c r="J643" s="14" t="s">
        <v>49</v>
      </c>
      <c r="K643" s="15" t="s">
        <v>73</v>
      </c>
      <c r="L643" s="14">
        <v>78111502</v>
      </c>
      <c r="M643" s="14" t="s">
        <v>50</v>
      </c>
      <c r="N643" s="14" t="s">
        <v>337</v>
      </c>
      <c r="O643" s="15" t="s">
        <v>1665</v>
      </c>
      <c r="P643" s="14" t="s">
        <v>255</v>
      </c>
      <c r="Q643" s="14" t="s">
        <v>255</v>
      </c>
      <c r="R643" s="14" t="s">
        <v>255</v>
      </c>
      <c r="S643" s="17">
        <v>11</v>
      </c>
      <c r="T643" s="14" t="s">
        <v>256</v>
      </c>
      <c r="U643" s="14" t="s">
        <v>286</v>
      </c>
      <c r="V643" s="14" t="s">
        <v>112</v>
      </c>
      <c r="W643" s="18">
        <v>16080000</v>
      </c>
      <c r="X643" s="18">
        <v>16080000</v>
      </c>
      <c r="Y643" s="19" t="s">
        <v>339</v>
      </c>
      <c r="Z643" s="19" t="s">
        <v>258</v>
      </c>
      <c r="AA643" s="14" t="s">
        <v>1554</v>
      </c>
      <c r="AB643" s="14" t="s">
        <v>1555</v>
      </c>
      <c r="AC643" s="14">
        <v>6012220601</v>
      </c>
      <c r="AD643" s="14" t="s">
        <v>1556</v>
      </c>
      <c r="AE643" s="82">
        <v>16080000</v>
      </c>
      <c r="AF643" s="82">
        <v>0</v>
      </c>
      <c r="AG643" s="82">
        <v>0</v>
      </c>
      <c r="AH643" s="82">
        <v>0</v>
      </c>
      <c r="AI643" s="82">
        <v>0</v>
      </c>
      <c r="AJ643" s="82">
        <v>0</v>
      </c>
      <c r="AK643" s="82">
        <v>0</v>
      </c>
      <c r="AL643" s="82">
        <v>0</v>
      </c>
      <c r="AM643" s="82">
        <v>0</v>
      </c>
      <c r="AN643" s="82">
        <v>0</v>
      </c>
      <c r="AO643" s="82">
        <v>0</v>
      </c>
      <c r="AP643" s="82">
        <v>0</v>
      </c>
      <c r="AQ643" s="82">
        <v>0</v>
      </c>
      <c r="AR643" s="82">
        <v>0</v>
      </c>
      <c r="AS643" s="82">
        <v>0</v>
      </c>
      <c r="AT643" s="82">
        <v>0</v>
      </c>
      <c r="AU643" s="82">
        <v>0</v>
      </c>
      <c r="AV643" s="82">
        <v>0</v>
      </c>
      <c r="AW643" s="82">
        <v>0</v>
      </c>
      <c r="AX643" s="82">
        <v>16080000</v>
      </c>
      <c r="AY643" s="82">
        <v>0</v>
      </c>
      <c r="AZ643" s="82">
        <v>0</v>
      </c>
      <c r="BA643" s="82">
        <v>0</v>
      </c>
      <c r="BB643" s="82">
        <v>0</v>
      </c>
      <c r="BC643" s="82">
        <f t="shared" ref="BC643:BD643" si="1277">AE643+AG643+AI643+AK643+AM643+AO643+AQ643+AS643+AU643+AW643+AY643+BA643</f>
        <v>16080000</v>
      </c>
      <c r="BD643" s="82">
        <f t="shared" si="1277"/>
        <v>16080000</v>
      </c>
      <c r="BE643" s="83">
        <f t="shared" si="813"/>
        <v>0</v>
      </c>
      <c r="BF643" s="83">
        <f t="shared" si="814"/>
        <v>0</v>
      </c>
      <c r="BG643" s="14" t="str">
        <f ca="1">IFERROR(__xludf.DUMMYFUNCTION("REGEXEXTRACT(O637,""^\S+\s(.+)$"")"),"Adquirir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43" s="23">
        <v>16080000</v>
      </c>
      <c r="BI643" s="23"/>
      <c r="BJ643" s="23"/>
      <c r="BK643" s="23"/>
      <c r="BL643" s="23"/>
      <c r="BM643" s="23"/>
      <c r="BN643" s="23"/>
      <c r="BO643" s="23"/>
      <c r="BP643" s="23"/>
      <c r="BQ643" s="23"/>
      <c r="BR643" s="23"/>
      <c r="BS643" s="23"/>
      <c r="BT643" s="23"/>
      <c r="BU643" s="23"/>
      <c r="BV643" s="23"/>
      <c r="BW643" s="23"/>
      <c r="BX643" s="23"/>
      <c r="BY643" s="23"/>
      <c r="BZ643" s="23"/>
      <c r="CA643" s="23">
        <v>16080000</v>
      </c>
      <c r="CB643" s="23"/>
      <c r="CC643" s="23"/>
      <c r="CD643" s="23"/>
      <c r="CE643" s="23"/>
      <c r="CF643" s="28"/>
      <c r="CG643" s="28"/>
      <c r="CH643" s="25">
        <f t="shared" ref="CH643:CI643" si="1278">BH643+BJ643+BL643+BN643+BP643+BR643+BT643+BV643+BX643+BZ643+CB643+CD643+CF643</f>
        <v>16080000</v>
      </c>
      <c r="CI643" s="25">
        <f t="shared" si="1278"/>
        <v>16080000</v>
      </c>
      <c r="CJ643" s="26">
        <f t="shared" si="816"/>
        <v>0</v>
      </c>
      <c r="CK643" s="26">
        <f t="shared" si="817"/>
        <v>0</v>
      </c>
    </row>
    <row r="644" spans="1:89" ht="90" customHeight="1" x14ac:dyDescent="0.3">
      <c r="A644" s="13" t="s">
        <v>248</v>
      </c>
      <c r="B644" s="14" t="s">
        <v>48</v>
      </c>
      <c r="C644" s="15" t="s">
        <v>1550</v>
      </c>
      <c r="D644" s="14" t="s">
        <v>65</v>
      </c>
      <c r="E644" s="13" t="s">
        <v>339</v>
      </c>
      <c r="F644" s="13" t="s">
        <v>250</v>
      </c>
      <c r="G644" s="14">
        <v>2</v>
      </c>
      <c r="H644" s="13" t="s">
        <v>1666</v>
      </c>
      <c r="I644" s="15" t="s">
        <v>1552</v>
      </c>
      <c r="J644" s="14" t="s">
        <v>51</v>
      </c>
      <c r="K644" s="15" t="s">
        <v>77</v>
      </c>
      <c r="L644" s="14" t="s">
        <v>258</v>
      </c>
      <c r="M644" s="14" t="s">
        <v>52</v>
      </c>
      <c r="N644" s="14" t="s">
        <v>341</v>
      </c>
      <c r="O644" s="15" t="s">
        <v>1667</v>
      </c>
      <c r="P644" s="14" t="s">
        <v>258</v>
      </c>
      <c r="Q644" s="14" t="s">
        <v>258</v>
      </c>
      <c r="R644" s="14" t="s">
        <v>258</v>
      </c>
      <c r="S644" s="17" t="s">
        <v>258</v>
      </c>
      <c r="T644" s="14" t="s">
        <v>258</v>
      </c>
      <c r="U644" s="14" t="s">
        <v>258</v>
      </c>
      <c r="V644" s="14" t="s">
        <v>112</v>
      </c>
      <c r="W644" s="18">
        <v>9330426</v>
      </c>
      <c r="X644" s="18">
        <v>9330426</v>
      </c>
      <c r="Y644" s="19" t="s">
        <v>339</v>
      </c>
      <c r="Z644" s="19" t="s">
        <v>258</v>
      </c>
      <c r="AA644" s="14" t="s">
        <v>1554</v>
      </c>
      <c r="AB644" s="14" t="s">
        <v>1555</v>
      </c>
      <c r="AC644" s="14">
        <v>6012220601</v>
      </c>
      <c r="AD644" s="14" t="s">
        <v>1556</v>
      </c>
      <c r="AE644" s="82">
        <v>0</v>
      </c>
      <c r="AF644" s="82">
        <v>0</v>
      </c>
      <c r="AG644" s="82">
        <v>0</v>
      </c>
      <c r="AH644" s="82">
        <v>0</v>
      </c>
      <c r="AI644" s="82">
        <v>933000</v>
      </c>
      <c r="AJ644" s="82">
        <v>933000</v>
      </c>
      <c r="AK644" s="82">
        <v>933000</v>
      </c>
      <c r="AL644" s="82">
        <v>933000</v>
      </c>
      <c r="AM644" s="82">
        <v>933000</v>
      </c>
      <c r="AN644" s="82">
        <v>933000</v>
      </c>
      <c r="AO644" s="82">
        <v>933000</v>
      </c>
      <c r="AP644" s="82">
        <v>933000</v>
      </c>
      <c r="AQ644" s="82">
        <v>933000</v>
      </c>
      <c r="AR644" s="82">
        <v>933000</v>
      </c>
      <c r="AS644" s="82">
        <v>933000</v>
      </c>
      <c r="AT644" s="82">
        <v>933000</v>
      </c>
      <c r="AU644" s="82">
        <v>933000</v>
      </c>
      <c r="AV644" s="82">
        <v>933000</v>
      </c>
      <c r="AW644" s="82">
        <v>933000</v>
      </c>
      <c r="AX644" s="82">
        <v>933000</v>
      </c>
      <c r="AY644" s="82">
        <v>933000</v>
      </c>
      <c r="AZ644" s="82">
        <v>933000</v>
      </c>
      <c r="BA644" s="82">
        <v>933426</v>
      </c>
      <c r="BB644" s="82">
        <v>933426</v>
      </c>
      <c r="BC644" s="82">
        <f t="shared" ref="BC644:BD644" si="1279">AE644+AG644+AI644+AK644+AM644+AO644+AQ644+AS644+AU644+AW644+AY644+BA644</f>
        <v>9330426</v>
      </c>
      <c r="BD644" s="82">
        <f t="shared" si="1279"/>
        <v>9330426</v>
      </c>
      <c r="BE644" s="83">
        <f t="shared" si="813"/>
        <v>0</v>
      </c>
      <c r="BF644" s="83">
        <f t="shared" si="814"/>
        <v>0</v>
      </c>
      <c r="BG644" s="14" t="str">
        <f ca="1">IFERROR(__xludf.DUMMYFUNCTION("REGEXEXTRACT(O638,""^\S+\s(.+)$"")"),"Viáticos o gastos de desplazamiento")</f>
        <v>Viáticos o gastos de desplazamiento</v>
      </c>
      <c r="BH644" s="23"/>
      <c r="BI644" s="23"/>
      <c r="BJ644" s="23"/>
      <c r="BK644" s="23"/>
      <c r="BL644" s="23">
        <v>933000</v>
      </c>
      <c r="BM644" s="23">
        <v>933000</v>
      </c>
      <c r="BN644" s="23">
        <v>933000</v>
      </c>
      <c r="BO644" s="23">
        <v>933000</v>
      </c>
      <c r="BP644" s="23">
        <v>933000</v>
      </c>
      <c r="BQ644" s="23">
        <v>933000</v>
      </c>
      <c r="BR644" s="23">
        <v>933000</v>
      </c>
      <c r="BS644" s="23">
        <v>933000</v>
      </c>
      <c r="BT644" s="23">
        <v>933000</v>
      </c>
      <c r="BU644" s="23">
        <v>933000</v>
      </c>
      <c r="BV644" s="23">
        <v>933000</v>
      </c>
      <c r="BW644" s="23">
        <v>933000</v>
      </c>
      <c r="BX644" s="23">
        <v>933000</v>
      </c>
      <c r="BY644" s="23">
        <v>933000</v>
      </c>
      <c r="BZ644" s="23">
        <v>933000</v>
      </c>
      <c r="CA644" s="23">
        <v>933000</v>
      </c>
      <c r="CB644" s="23">
        <v>933000</v>
      </c>
      <c r="CC644" s="23">
        <v>933000</v>
      </c>
      <c r="CD644" s="23">
        <v>933426</v>
      </c>
      <c r="CE644" s="23">
        <v>933426</v>
      </c>
      <c r="CF644" s="28"/>
      <c r="CG644" s="28"/>
      <c r="CH644" s="25">
        <f t="shared" ref="CH644:CI644" si="1280">BH644+BJ644+BL644+BN644+BP644+BR644+BT644+BV644+BX644+BZ644+CB644+CD644+CF644</f>
        <v>9330426</v>
      </c>
      <c r="CI644" s="25">
        <f t="shared" si="1280"/>
        <v>9330426</v>
      </c>
      <c r="CJ644" s="26">
        <f t="shared" si="816"/>
        <v>0</v>
      </c>
      <c r="CK644" s="26">
        <f t="shared" si="817"/>
        <v>0</v>
      </c>
    </row>
    <row r="645" spans="1:89" ht="90" customHeight="1" x14ac:dyDescent="0.3">
      <c r="A645" s="13" t="s">
        <v>248</v>
      </c>
      <c r="B645" s="14" t="s">
        <v>48</v>
      </c>
      <c r="C645" s="15" t="s">
        <v>1550</v>
      </c>
      <c r="D645" s="14" t="s">
        <v>65</v>
      </c>
      <c r="E645" s="13" t="s">
        <v>250</v>
      </c>
      <c r="F645" s="13" t="s">
        <v>250</v>
      </c>
      <c r="G645" s="14">
        <v>68</v>
      </c>
      <c r="H645" s="13" t="s">
        <v>1668</v>
      </c>
      <c r="I645" s="15" t="s">
        <v>1616</v>
      </c>
      <c r="J645" s="14" t="s">
        <v>49</v>
      </c>
      <c r="K645" s="15" t="s">
        <v>70</v>
      </c>
      <c r="L645" s="14" t="s">
        <v>258</v>
      </c>
      <c r="M645" s="14" t="s">
        <v>50</v>
      </c>
      <c r="N645" s="14" t="s">
        <v>253</v>
      </c>
      <c r="O645" s="15" t="s">
        <v>1669</v>
      </c>
      <c r="P645" s="14" t="s">
        <v>255</v>
      </c>
      <c r="Q645" s="14" t="s">
        <v>255</v>
      </c>
      <c r="R645" s="14" t="s">
        <v>255</v>
      </c>
      <c r="S645" s="17">
        <v>10</v>
      </c>
      <c r="T645" s="14" t="s">
        <v>256</v>
      </c>
      <c r="U645" s="14" t="s">
        <v>282</v>
      </c>
      <c r="V645" s="14" t="s">
        <v>113</v>
      </c>
      <c r="W645" s="18">
        <v>71500000</v>
      </c>
      <c r="X645" s="18">
        <v>71500000</v>
      </c>
      <c r="Y645" s="19" t="s">
        <v>339</v>
      </c>
      <c r="Z645" s="19" t="s">
        <v>258</v>
      </c>
      <c r="AA645" s="14" t="s">
        <v>1554</v>
      </c>
      <c r="AB645" s="14" t="s">
        <v>1555</v>
      </c>
      <c r="AC645" s="14">
        <v>6012220601</v>
      </c>
      <c r="AD645" s="14" t="s">
        <v>1556</v>
      </c>
      <c r="AE645" s="82">
        <v>0</v>
      </c>
      <c r="AF645" s="82">
        <v>0</v>
      </c>
      <c r="AG645" s="82">
        <v>55486200</v>
      </c>
      <c r="AH645" s="82">
        <v>0</v>
      </c>
      <c r="AI645" s="82">
        <v>0</v>
      </c>
      <c r="AJ645" s="82">
        <v>5044200</v>
      </c>
      <c r="AK645" s="82">
        <v>0</v>
      </c>
      <c r="AL645" s="82">
        <v>5044200</v>
      </c>
      <c r="AM645" s="82">
        <v>0</v>
      </c>
      <c r="AN645" s="82">
        <v>5044200</v>
      </c>
      <c r="AO645" s="82">
        <v>0</v>
      </c>
      <c r="AP645" s="82">
        <v>5044200</v>
      </c>
      <c r="AQ645" s="82">
        <v>16013800</v>
      </c>
      <c r="AR645" s="82">
        <v>5044200</v>
      </c>
      <c r="AS645" s="82">
        <v>0</v>
      </c>
      <c r="AT645" s="82">
        <v>5044200</v>
      </c>
      <c r="AU645" s="82">
        <v>0</v>
      </c>
      <c r="AV645" s="82">
        <v>5044200</v>
      </c>
      <c r="AW645" s="82">
        <v>0</v>
      </c>
      <c r="AX645" s="82">
        <v>5044200</v>
      </c>
      <c r="AY645" s="82">
        <v>0</v>
      </c>
      <c r="AZ645" s="82">
        <v>5044200</v>
      </c>
      <c r="BA645" s="82">
        <v>0</v>
      </c>
      <c r="BB645" s="82">
        <v>26102200</v>
      </c>
      <c r="BC645" s="82">
        <f t="shared" ref="BC645:BD645" si="1281">AE645+AG645+AI645+AK645+AM645+AO645+AQ645+AS645+AU645+AW645+AY645+BA645</f>
        <v>71500000</v>
      </c>
      <c r="BD645" s="82">
        <f t="shared" si="1281"/>
        <v>71500000</v>
      </c>
      <c r="BE645" s="83">
        <f t="shared" si="813"/>
        <v>0</v>
      </c>
      <c r="BF645" s="83">
        <f t="shared" si="814"/>
        <v>0</v>
      </c>
      <c r="BG645" s="14" t="str">
        <f ca="1">IFERROR(__xludf.DUMMYFUNCTION("REGEXEXTRACT(O639,""^\S+\s(.+)$"")"),"Prestar servicios de apoyo a la gestión para el desarrollo de actividades administrativas, de gestión operativa, de seguimiento y de gestión que le sean asignadas, de conformidad con las necesidades de la Subdirección de Hidrocarburos.")</f>
        <v>Prestar servicios de apoyo a la gestión para el desarrollo de actividades administrativas, de gestión operativa, de seguimiento y de gestión que le sean asignadas, de conformidad con las necesidades de la Subdirección de Hidrocarburos.</v>
      </c>
      <c r="BH645" s="23"/>
      <c r="BI645" s="23"/>
      <c r="BJ645" s="23">
        <v>55486200</v>
      </c>
      <c r="BK645" s="23"/>
      <c r="BL645" s="23"/>
      <c r="BM645" s="23">
        <v>5044200</v>
      </c>
      <c r="BN645" s="23"/>
      <c r="BO645" s="23">
        <v>5044200</v>
      </c>
      <c r="BP645" s="23"/>
      <c r="BQ645" s="23">
        <v>5044200</v>
      </c>
      <c r="BR645" s="23"/>
      <c r="BS645" s="23">
        <v>5044200</v>
      </c>
      <c r="BT645" s="23">
        <v>16013800</v>
      </c>
      <c r="BU645" s="23">
        <v>5044200</v>
      </c>
      <c r="BV645" s="23"/>
      <c r="BW645" s="23">
        <v>5044200</v>
      </c>
      <c r="BX645" s="23"/>
      <c r="BY645" s="23">
        <v>5044200</v>
      </c>
      <c r="BZ645" s="23"/>
      <c r="CA645" s="23">
        <v>5044200</v>
      </c>
      <c r="CB645" s="23"/>
      <c r="CC645" s="23">
        <v>5044200</v>
      </c>
      <c r="CD645" s="23"/>
      <c r="CE645" s="23">
        <v>26102200</v>
      </c>
      <c r="CF645" s="28"/>
      <c r="CG645" s="28"/>
      <c r="CH645" s="25">
        <f t="shared" ref="CH645:CI645" si="1282">BH645+BJ645+BL645+BN645+BP645+BR645+BT645+BV645+BX645+BZ645+CB645+CD645+CF645</f>
        <v>71500000</v>
      </c>
      <c r="CI645" s="25">
        <f t="shared" si="1282"/>
        <v>71500000</v>
      </c>
      <c r="CJ645" s="26">
        <f t="shared" si="816"/>
        <v>0</v>
      </c>
      <c r="CK645" s="26">
        <f t="shared" si="817"/>
        <v>0</v>
      </c>
    </row>
    <row r="646" spans="1:89" ht="90" customHeight="1" x14ac:dyDescent="0.3">
      <c r="A646" s="13" t="s">
        <v>248</v>
      </c>
      <c r="B646" s="14" t="s">
        <v>48</v>
      </c>
      <c r="C646" s="15" t="s">
        <v>1550</v>
      </c>
      <c r="D646" s="14" t="s">
        <v>65</v>
      </c>
      <c r="E646" s="13" t="s">
        <v>339</v>
      </c>
      <c r="F646" s="13" t="s">
        <v>250</v>
      </c>
      <c r="G646" s="14">
        <v>2</v>
      </c>
      <c r="H646" s="13" t="s">
        <v>1670</v>
      </c>
      <c r="I646" s="15" t="s">
        <v>1552</v>
      </c>
      <c r="J646" s="14" t="s">
        <v>51</v>
      </c>
      <c r="K646" s="15" t="s">
        <v>74</v>
      </c>
      <c r="L646" s="14" t="s">
        <v>258</v>
      </c>
      <c r="M646" s="14" t="s">
        <v>52</v>
      </c>
      <c r="N646" s="14" t="s">
        <v>341</v>
      </c>
      <c r="O646" s="15" t="s">
        <v>1671</v>
      </c>
      <c r="P646" s="14" t="s">
        <v>258</v>
      </c>
      <c r="Q646" s="14" t="s">
        <v>258</v>
      </c>
      <c r="R646" s="14" t="s">
        <v>258</v>
      </c>
      <c r="S646" s="17" t="s">
        <v>258</v>
      </c>
      <c r="T646" s="14" t="s">
        <v>258</v>
      </c>
      <c r="U646" s="14" t="s">
        <v>258</v>
      </c>
      <c r="V646" s="14" t="s">
        <v>112</v>
      </c>
      <c r="W646" s="18">
        <v>2106332</v>
      </c>
      <c r="X646" s="18">
        <v>2106332</v>
      </c>
      <c r="Y646" s="19" t="s">
        <v>339</v>
      </c>
      <c r="Z646" s="19" t="s">
        <v>258</v>
      </c>
      <c r="AA646" s="14" t="s">
        <v>1554</v>
      </c>
      <c r="AB646" s="14" t="s">
        <v>1555</v>
      </c>
      <c r="AC646" s="14">
        <v>6012220601</v>
      </c>
      <c r="AD646" s="14" t="s">
        <v>1556</v>
      </c>
      <c r="AE646" s="82">
        <v>0</v>
      </c>
      <c r="AF646" s="82">
        <v>0</v>
      </c>
      <c r="AG646" s="82">
        <v>0</v>
      </c>
      <c r="AH646" s="82">
        <v>0</v>
      </c>
      <c r="AI646" s="82">
        <v>210600</v>
      </c>
      <c r="AJ646" s="82">
        <v>210600</v>
      </c>
      <c r="AK646" s="82">
        <v>210600</v>
      </c>
      <c r="AL646" s="82">
        <v>210600</v>
      </c>
      <c r="AM646" s="82">
        <v>210600</v>
      </c>
      <c r="AN646" s="82">
        <v>210600</v>
      </c>
      <c r="AO646" s="82">
        <v>210600</v>
      </c>
      <c r="AP646" s="82">
        <v>210600</v>
      </c>
      <c r="AQ646" s="82">
        <v>210600</v>
      </c>
      <c r="AR646" s="82">
        <v>210600</v>
      </c>
      <c r="AS646" s="82">
        <v>210600</v>
      </c>
      <c r="AT646" s="82">
        <v>210600</v>
      </c>
      <c r="AU646" s="82">
        <v>210600</v>
      </c>
      <c r="AV646" s="82">
        <v>210600</v>
      </c>
      <c r="AW646" s="82">
        <v>210600</v>
      </c>
      <c r="AX646" s="82">
        <v>210600</v>
      </c>
      <c r="AY646" s="82">
        <v>210600</v>
      </c>
      <c r="AZ646" s="82">
        <v>210600</v>
      </c>
      <c r="BA646" s="82">
        <v>210932</v>
      </c>
      <c r="BB646" s="82">
        <v>210932</v>
      </c>
      <c r="BC646" s="82">
        <f t="shared" ref="BC646:BD646" si="1283">AE646+AG646+AI646+AK646+AM646+AO646+AQ646+AS646+AU646+AW646+AY646+BA646</f>
        <v>2106332</v>
      </c>
      <c r="BD646" s="82">
        <f t="shared" si="1283"/>
        <v>2106332</v>
      </c>
      <c r="BE646" s="83">
        <f t="shared" si="813"/>
        <v>0</v>
      </c>
      <c r="BF646" s="83">
        <f t="shared" si="814"/>
        <v>0</v>
      </c>
      <c r="BG646" s="14" t="str">
        <f ca="1">IFERROR(__xludf.DUMMYFUNCTION("REGEXEXTRACT(O640,""^\S+\s(.+)$"")"),"Viáticos o gastos de desplazamiento")</f>
        <v>Viáticos o gastos de desplazamiento</v>
      </c>
      <c r="BH646" s="23"/>
      <c r="BI646" s="23"/>
      <c r="BJ646" s="23"/>
      <c r="BK646" s="23"/>
      <c r="BL646" s="23">
        <v>210600</v>
      </c>
      <c r="BM646" s="23">
        <v>210600</v>
      </c>
      <c r="BN646" s="23">
        <v>210600</v>
      </c>
      <c r="BO646" s="23">
        <v>210600</v>
      </c>
      <c r="BP646" s="23">
        <v>210600</v>
      </c>
      <c r="BQ646" s="23">
        <v>210600</v>
      </c>
      <c r="BR646" s="23">
        <v>210600</v>
      </c>
      <c r="BS646" s="23">
        <v>210600</v>
      </c>
      <c r="BT646" s="23">
        <v>210600</v>
      </c>
      <c r="BU646" s="23">
        <v>210600</v>
      </c>
      <c r="BV646" s="23">
        <v>210600</v>
      </c>
      <c r="BW646" s="23">
        <v>210600</v>
      </c>
      <c r="BX646" s="23">
        <v>210600</v>
      </c>
      <c r="BY646" s="23">
        <v>210600</v>
      </c>
      <c r="BZ646" s="23">
        <v>210600</v>
      </c>
      <c r="CA646" s="23">
        <v>210600</v>
      </c>
      <c r="CB646" s="23">
        <v>210600</v>
      </c>
      <c r="CC646" s="23">
        <v>210600</v>
      </c>
      <c r="CD646" s="23">
        <v>210932</v>
      </c>
      <c r="CE646" s="23">
        <v>210932</v>
      </c>
      <c r="CF646" s="28"/>
      <c r="CG646" s="28"/>
      <c r="CH646" s="25">
        <f t="shared" ref="CH646:CI646" si="1284">BH646+BJ646+BL646+BN646+BP646+BR646+BT646+BV646+BX646+BZ646+CB646+CD646+CF646</f>
        <v>2106332</v>
      </c>
      <c r="CI646" s="25">
        <f t="shared" si="1284"/>
        <v>2106332</v>
      </c>
      <c r="CJ646" s="26">
        <f t="shared" si="816"/>
        <v>0</v>
      </c>
      <c r="CK646" s="26">
        <f t="shared" si="817"/>
        <v>0</v>
      </c>
    </row>
    <row r="647" spans="1:89" ht="90" customHeight="1" x14ac:dyDescent="0.3">
      <c r="A647" s="13" t="s">
        <v>248</v>
      </c>
      <c r="B647" s="14" t="s">
        <v>48</v>
      </c>
      <c r="C647" s="15" t="s">
        <v>1550</v>
      </c>
      <c r="D647" s="14" t="s">
        <v>65</v>
      </c>
      <c r="E647" s="13" t="s">
        <v>339</v>
      </c>
      <c r="F647" s="13" t="s">
        <v>250</v>
      </c>
      <c r="G647" s="14">
        <v>23</v>
      </c>
      <c r="H647" s="13" t="s">
        <v>1672</v>
      </c>
      <c r="I647" s="15" t="s">
        <v>1552</v>
      </c>
      <c r="J647" s="14" t="s">
        <v>51</v>
      </c>
      <c r="K647" s="15" t="s">
        <v>74</v>
      </c>
      <c r="L647" s="14">
        <v>80121601</v>
      </c>
      <c r="M647" s="14" t="s">
        <v>52</v>
      </c>
      <c r="N647" s="14" t="s">
        <v>612</v>
      </c>
      <c r="O647" s="15" t="s">
        <v>1673</v>
      </c>
      <c r="P647" s="14" t="s">
        <v>784</v>
      </c>
      <c r="Q647" s="14" t="s">
        <v>280</v>
      </c>
      <c r="R647" s="14" t="s">
        <v>281</v>
      </c>
      <c r="S647" s="17">
        <v>7</v>
      </c>
      <c r="T647" s="14" t="s">
        <v>256</v>
      </c>
      <c r="U647" s="14" t="s">
        <v>621</v>
      </c>
      <c r="V647" s="14" t="s">
        <v>112</v>
      </c>
      <c r="W647" s="18">
        <v>145670160</v>
      </c>
      <c r="X647" s="18">
        <v>145670160</v>
      </c>
      <c r="Y647" s="19" t="s">
        <v>339</v>
      </c>
      <c r="Z647" s="19" t="s">
        <v>258</v>
      </c>
      <c r="AA647" s="14" t="s">
        <v>1554</v>
      </c>
      <c r="AB647" s="14" t="s">
        <v>1555</v>
      </c>
      <c r="AC647" s="14">
        <v>6012220601</v>
      </c>
      <c r="AD647" s="14" t="s">
        <v>1556</v>
      </c>
      <c r="AE647" s="82">
        <v>0</v>
      </c>
      <c r="AF647" s="82">
        <v>0</v>
      </c>
      <c r="AG647" s="82">
        <v>35000000</v>
      </c>
      <c r="AH647" s="82">
        <v>0</v>
      </c>
      <c r="AI647" s="82">
        <v>0</v>
      </c>
      <c r="AJ647" s="82">
        <v>0</v>
      </c>
      <c r="AK647" s="82">
        <v>0</v>
      </c>
      <c r="AL647" s="82">
        <v>0</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35000000</v>
      </c>
      <c r="BC647" s="82">
        <f t="shared" ref="BC647:BD647" si="1285">AE647+AG647+AI647+AK647+AM647+AO647+AQ647+AS647+AU647+AW647+AY647+BA647</f>
        <v>35000000</v>
      </c>
      <c r="BD647" s="82">
        <f t="shared" si="1285"/>
        <v>35000000</v>
      </c>
      <c r="BE647" s="83">
        <f t="shared" si="813"/>
        <v>110670160</v>
      </c>
      <c r="BF647" s="83">
        <f t="shared" si="814"/>
        <v>110670160</v>
      </c>
      <c r="BG647" s="14" t="str">
        <f ca="1">IFERROR(__xludf.DUMMYFUNCTION("REGEXEXTRACT(O641,""^\S+\s(.+)$"")"),"Definición de requisitos mínimos para establecer los parámetros técnicos y criterios de diseño, construcción, operación y mantenimiento de infraestructura de abastecimiento y confiabilidad de combustibles hidrocarburos en Colombia.")</f>
        <v>Definición de requisitos mínimos para establecer los parámetros técnicos y criterios de diseño, construcción, operación y mantenimiento de infraestructura de abastecimiento y confiabilidad de combustibles hidrocarburos en Colombia.</v>
      </c>
      <c r="BH647" s="23"/>
      <c r="BI647" s="23"/>
      <c r="BJ647" s="23"/>
      <c r="BK647" s="23"/>
      <c r="BL647" s="23"/>
      <c r="BM647" s="23"/>
      <c r="BN647" s="23"/>
      <c r="BO647" s="23"/>
      <c r="BP647" s="23">
        <v>145670160</v>
      </c>
      <c r="BQ647" s="23"/>
      <c r="BR647" s="23"/>
      <c r="BS647" s="23"/>
      <c r="BT647" s="23"/>
      <c r="BU647" s="23"/>
      <c r="BV647" s="23"/>
      <c r="BW647" s="23"/>
      <c r="BX647" s="23"/>
      <c r="BY647" s="23"/>
      <c r="BZ647" s="23"/>
      <c r="CA647" s="23">
        <v>145670160</v>
      </c>
      <c r="CB647" s="23"/>
      <c r="CC647" s="23"/>
      <c r="CD647" s="23"/>
      <c r="CE647" s="23"/>
      <c r="CF647" s="28"/>
      <c r="CG647" s="28"/>
      <c r="CH647" s="25">
        <f t="shared" ref="CH647:CI647" si="1286">BH647+BJ647+BL647+BN647+BP647+BR647+BT647+BV647+BX647+BZ647+CB647+CD647+CF647</f>
        <v>145670160</v>
      </c>
      <c r="CI647" s="25">
        <f t="shared" si="1286"/>
        <v>145670160</v>
      </c>
      <c r="CJ647" s="26">
        <f t="shared" si="816"/>
        <v>0</v>
      </c>
      <c r="CK647" s="26">
        <f t="shared" si="817"/>
        <v>0</v>
      </c>
    </row>
    <row r="648" spans="1:89" ht="90" customHeight="1" x14ac:dyDescent="0.3">
      <c r="A648" s="13" t="s">
        <v>248</v>
      </c>
      <c r="B648" s="14" t="s">
        <v>48</v>
      </c>
      <c r="C648" s="15" t="s">
        <v>1550</v>
      </c>
      <c r="D648" s="14" t="s">
        <v>65</v>
      </c>
      <c r="E648" s="13" t="s">
        <v>339</v>
      </c>
      <c r="F648" s="13" t="s">
        <v>250</v>
      </c>
      <c r="G648" s="14">
        <v>8</v>
      </c>
      <c r="H648" s="13" t="s">
        <v>1674</v>
      </c>
      <c r="I648" s="15" t="s">
        <v>1552</v>
      </c>
      <c r="J648" s="14" t="s">
        <v>51</v>
      </c>
      <c r="K648" s="15" t="s">
        <v>74</v>
      </c>
      <c r="L648" s="14">
        <v>80111620</v>
      </c>
      <c r="M648" s="14" t="s">
        <v>52</v>
      </c>
      <c r="N648" s="14" t="s">
        <v>253</v>
      </c>
      <c r="O648" s="15" t="s">
        <v>1675</v>
      </c>
      <c r="P648" s="14" t="s">
        <v>255</v>
      </c>
      <c r="Q648" s="14" t="s">
        <v>255</v>
      </c>
      <c r="R648" s="14" t="s">
        <v>255</v>
      </c>
      <c r="S648" s="17">
        <v>11</v>
      </c>
      <c r="T648" s="14" t="s">
        <v>256</v>
      </c>
      <c r="U648" s="14" t="s">
        <v>257</v>
      </c>
      <c r="V648" s="14" t="s">
        <v>112</v>
      </c>
      <c r="W648" s="18">
        <v>27500000</v>
      </c>
      <c r="X648" s="18">
        <v>27500000</v>
      </c>
      <c r="Y648" s="19" t="s">
        <v>339</v>
      </c>
      <c r="Z648" s="19" t="s">
        <v>258</v>
      </c>
      <c r="AA648" s="14" t="s">
        <v>1554</v>
      </c>
      <c r="AB648" s="14" t="s">
        <v>1555</v>
      </c>
      <c r="AC648" s="14">
        <v>6012220601</v>
      </c>
      <c r="AD648" s="14" t="s">
        <v>1556</v>
      </c>
      <c r="AE648" s="82">
        <v>0</v>
      </c>
      <c r="AF648" s="82">
        <v>0</v>
      </c>
      <c r="AG648" s="82">
        <v>27500000</v>
      </c>
      <c r="AH648" s="82">
        <v>0</v>
      </c>
      <c r="AI648" s="82">
        <v>0</v>
      </c>
      <c r="AJ648" s="82">
        <v>2500000</v>
      </c>
      <c r="AK648" s="82">
        <v>0</v>
      </c>
      <c r="AL648" s="82">
        <v>2500000</v>
      </c>
      <c r="AM648" s="82">
        <v>0</v>
      </c>
      <c r="AN648" s="82">
        <v>2500000</v>
      </c>
      <c r="AO648" s="82">
        <v>0</v>
      </c>
      <c r="AP648" s="82">
        <v>2500000</v>
      </c>
      <c r="AQ648" s="82">
        <v>0</v>
      </c>
      <c r="AR648" s="82">
        <v>2500000</v>
      </c>
      <c r="AS648" s="82">
        <v>0</v>
      </c>
      <c r="AT648" s="82">
        <v>2500000</v>
      </c>
      <c r="AU648" s="82">
        <v>0</v>
      </c>
      <c r="AV648" s="82">
        <v>2500000</v>
      </c>
      <c r="AW648" s="82">
        <v>0</v>
      </c>
      <c r="AX648" s="82">
        <v>2500000</v>
      </c>
      <c r="AY648" s="82">
        <v>0</v>
      </c>
      <c r="AZ648" s="82">
        <v>2500000</v>
      </c>
      <c r="BA648" s="82">
        <v>0</v>
      </c>
      <c r="BB648" s="82">
        <v>5000000</v>
      </c>
      <c r="BC648" s="82">
        <f t="shared" ref="BC648:BD648" si="1287">AE648+AG648+AI648+AK648+AM648+AO648+AQ648+AS648+AU648+AW648+AY648+BA648</f>
        <v>27500000</v>
      </c>
      <c r="BD648" s="82">
        <f t="shared" si="1287"/>
        <v>27500000</v>
      </c>
      <c r="BE648" s="83">
        <f t="shared" si="813"/>
        <v>0</v>
      </c>
      <c r="BF648" s="83">
        <f t="shared" si="814"/>
        <v>0</v>
      </c>
      <c r="BG648" s="14" t="str">
        <f ca="1">IFERROR(__xludf.DUMMYFUNCTION("REGEXEXTRACT(O642,""^\S+\s(.+)$"")"),"Prestar servicios de apoyo a la gestión para el desarrollo de actividades requeridas en gestión administrativa, documental, correspondencia y demás asuntos administrativos,  de conformidad con las necesidades de la Subdirección de Hidrocarburos.")</f>
        <v>Prestar servicios de apoyo a la gestión para el desarrollo de actividades requeridas en gestión administrativa, documental, correspondencia y demás asuntos administrativos,  de conformidad con las necesidades de la Subdirección de Hidrocarburos.</v>
      </c>
      <c r="BH648" s="23"/>
      <c r="BI648" s="23"/>
      <c r="BJ648" s="23">
        <v>27500000</v>
      </c>
      <c r="BK648" s="23"/>
      <c r="BL648" s="23"/>
      <c r="BM648" s="23">
        <v>2500000</v>
      </c>
      <c r="BN648" s="23"/>
      <c r="BO648" s="23">
        <v>2500000</v>
      </c>
      <c r="BP648" s="23"/>
      <c r="BQ648" s="23">
        <v>2500000</v>
      </c>
      <c r="BR648" s="23"/>
      <c r="BS648" s="23">
        <v>2500000</v>
      </c>
      <c r="BT648" s="23"/>
      <c r="BU648" s="23">
        <v>2500000</v>
      </c>
      <c r="BV648" s="23"/>
      <c r="BW648" s="23">
        <v>2500000</v>
      </c>
      <c r="BX648" s="23"/>
      <c r="BY648" s="23">
        <v>2500000</v>
      </c>
      <c r="BZ648" s="23"/>
      <c r="CA648" s="23">
        <v>2500000</v>
      </c>
      <c r="CB648" s="23"/>
      <c r="CC648" s="23">
        <v>2500000</v>
      </c>
      <c r="CD648" s="23"/>
      <c r="CE648" s="23">
        <v>5000000</v>
      </c>
      <c r="CF648" s="28"/>
      <c r="CG648" s="28"/>
      <c r="CH648" s="25">
        <f t="shared" ref="CH648:CI648" si="1288">BH648+BJ648+BL648+BN648+BP648+BR648+BT648+BV648+BX648+BZ648+CB648+CD648+CF648</f>
        <v>27500000</v>
      </c>
      <c r="CI648" s="25">
        <f t="shared" si="1288"/>
        <v>27500000</v>
      </c>
      <c r="CJ648" s="26">
        <f t="shared" si="816"/>
        <v>0</v>
      </c>
      <c r="CK648" s="26">
        <f t="shared" si="817"/>
        <v>0</v>
      </c>
    </row>
    <row r="649" spans="1:89" ht="90" customHeight="1" x14ac:dyDescent="0.3">
      <c r="A649" s="13" t="s">
        <v>248</v>
      </c>
      <c r="B649" s="14" t="s">
        <v>53</v>
      </c>
      <c r="C649" s="15" t="s">
        <v>1676</v>
      </c>
      <c r="D649" s="14" t="s">
        <v>66</v>
      </c>
      <c r="E649" s="13" t="s">
        <v>250</v>
      </c>
      <c r="F649" s="13" t="s">
        <v>250</v>
      </c>
      <c r="G649" s="14">
        <v>68</v>
      </c>
      <c r="H649" s="13" t="s">
        <v>1677</v>
      </c>
      <c r="I649" s="15" t="s">
        <v>1678</v>
      </c>
      <c r="J649" s="14" t="s">
        <v>41</v>
      </c>
      <c r="K649" s="15" t="s">
        <v>95</v>
      </c>
      <c r="L649" s="14">
        <v>80111620</v>
      </c>
      <c r="M649" s="14" t="s">
        <v>58</v>
      </c>
      <c r="N649" s="14" t="s">
        <v>253</v>
      </c>
      <c r="O649" s="15" t="s">
        <v>1679</v>
      </c>
      <c r="P649" s="14" t="s">
        <v>255</v>
      </c>
      <c r="Q649" s="14" t="s">
        <v>255</v>
      </c>
      <c r="R649" s="14" t="s">
        <v>255</v>
      </c>
      <c r="S649" s="17">
        <v>1.5</v>
      </c>
      <c r="T649" s="14" t="s">
        <v>256</v>
      </c>
      <c r="U649" s="14" t="s">
        <v>257</v>
      </c>
      <c r="V649" s="14" t="s">
        <v>113</v>
      </c>
      <c r="W649" s="18">
        <v>14250000</v>
      </c>
      <c r="X649" s="18">
        <v>14250000</v>
      </c>
      <c r="Y649" s="19" t="s">
        <v>339</v>
      </c>
      <c r="Z649" s="19" t="s">
        <v>258</v>
      </c>
      <c r="AA649" s="14" t="s">
        <v>1680</v>
      </c>
      <c r="AB649" s="14" t="s">
        <v>1681</v>
      </c>
      <c r="AC649" s="14">
        <v>6012220601</v>
      </c>
      <c r="AD649" s="14" t="s">
        <v>1682</v>
      </c>
      <c r="AE649" s="82">
        <v>14250000</v>
      </c>
      <c r="AF649" s="82">
        <v>0</v>
      </c>
      <c r="AG649" s="82">
        <v>0</v>
      </c>
      <c r="AH649" s="82">
        <v>5383333</v>
      </c>
      <c r="AI649" s="82">
        <v>0</v>
      </c>
      <c r="AJ649" s="82">
        <v>8866667</v>
      </c>
      <c r="AK649" s="82">
        <v>0</v>
      </c>
      <c r="AL649" s="82">
        <v>0</v>
      </c>
      <c r="AM649" s="82">
        <v>0</v>
      </c>
      <c r="AN649" s="82">
        <v>0</v>
      </c>
      <c r="AO649" s="82">
        <v>0</v>
      </c>
      <c r="AP649" s="82">
        <v>0</v>
      </c>
      <c r="AQ649" s="82">
        <v>0</v>
      </c>
      <c r="AR649" s="82">
        <v>0</v>
      </c>
      <c r="AS649" s="82">
        <v>0</v>
      </c>
      <c r="AT649" s="82">
        <v>0</v>
      </c>
      <c r="AU649" s="82">
        <v>0</v>
      </c>
      <c r="AV649" s="82">
        <v>0</v>
      </c>
      <c r="AW649" s="82">
        <v>0</v>
      </c>
      <c r="AX649" s="82">
        <v>0</v>
      </c>
      <c r="AY649" s="82">
        <v>0</v>
      </c>
      <c r="AZ649" s="82">
        <v>0</v>
      </c>
      <c r="BA649" s="82">
        <v>0</v>
      </c>
      <c r="BB649" s="82">
        <v>0</v>
      </c>
      <c r="BC649" s="82">
        <f t="shared" ref="BC649:BD649" si="1289">AE649+AG649+AI649+AK649+AM649+AO649+AQ649+AS649+AU649+AW649+AY649+BA649</f>
        <v>14250000</v>
      </c>
      <c r="BD649" s="82">
        <f t="shared" si="1289"/>
        <v>14250000</v>
      </c>
      <c r="BE649" s="83">
        <f t="shared" si="813"/>
        <v>0</v>
      </c>
      <c r="BF649" s="83">
        <f t="shared" si="814"/>
        <v>0</v>
      </c>
      <c r="BG649" s="14" t="str">
        <f ca="1">IFERROR(__xludf.DUMMYFUNCTION("REGEXEXTRACT(O643,""^\S+\s(.+)$"")"),"Prestar servicios profesionales para brindar apoyo en la Subdirección de Minería, en el soporte técnico para el análisis de los precios base de los minerales, conforme la metodología establecida.")</f>
        <v>Prestar servicios profesionales para brindar apoyo en la Subdirección de Minería, en el soporte técnico para el análisis de los precios base de los minerales, conforme la metodología establecida.</v>
      </c>
      <c r="BH649" s="23">
        <v>14250000</v>
      </c>
      <c r="BI649" s="23"/>
      <c r="BJ649" s="23"/>
      <c r="BK649" s="23">
        <v>5383333</v>
      </c>
      <c r="BL649" s="23"/>
      <c r="BM649" s="23">
        <v>8866667</v>
      </c>
      <c r="BN649" s="23"/>
      <c r="BO649" s="23"/>
      <c r="BP649" s="23"/>
      <c r="BQ649" s="23"/>
      <c r="BR649" s="23"/>
      <c r="BS649" s="23"/>
      <c r="BT649" s="23"/>
      <c r="BU649" s="23"/>
      <c r="BV649" s="23"/>
      <c r="BW649" s="23"/>
      <c r="BX649" s="23"/>
      <c r="BY649" s="23"/>
      <c r="BZ649" s="23"/>
      <c r="CA649" s="23"/>
      <c r="CB649" s="23"/>
      <c r="CC649" s="23"/>
      <c r="CD649" s="23"/>
      <c r="CE649" s="23"/>
      <c r="CF649" s="28"/>
      <c r="CG649" s="28"/>
      <c r="CH649" s="25">
        <f t="shared" ref="CH649:CI649" si="1290">BH649+BJ649+BL649+BN649+BP649+BR649+BT649+BV649+BX649+BZ649+CB649+CD649+CF649</f>
        <v>14250000</v>
      </c>
      <c r="CI649" s="25">
        <f t="shared" si="1290"/>
        <v>14250000</v>
      </c>
      <c r="CJ649" s="26">
        <f t="shared" si="816"/>
        <v>0</v>
      </c>
      <c r="CK649" s="26">
        <f t="shared" si="817"/>
        <v>0</v>
      </c>
    </row>
    <row r="650" spans="1:89" ht="90" customHeight="1" x14ac:dyDescent="0.3">
      <c r="A650" s="13" t="s">
        <v>248</v>
      </c>
      <c r="B650" s="14" t="s">
        <v>53</v>
      </c>
      <c r="C650" s="15" t="s">
        <v>1676</v>
      </c>
      <c r="D650" s="14" t="s">
        <v>66</v>
      </c>
      <c r="E650" s="13" t="s">
        <v>250</v>
      </c>
      <c r="F650" s="13" t="s">
        <v>250</v>
      </c>
      <c r="G650" s="14">
        <v>68</v>
      </c>
      <c r="H650" s="13" t="s">
        <v>1683</v>
      </c>
      <c r="I650" s="15" t="s">
        <v>1678</v>
      </c>
      <c r="J650" s="14" t="s">
        <v>41</v>
      </c>
      <c r="K650" s="15" t="s">
        <v>95</v>
      </c>
      <c r="L650" s="14">
        <v>80111620</v>
      </c>
      <c r="M650" s="14" t="s">
        <v>58</v>
      </c>
      <c r="N650" s="14" t="s">
        <v>253</v>
      </c>
      <c r="O650" s="15" t="s">
        <v>1684</v>
      </c>
      <c r="P650" s="14" t="s">
        <v>255</v>
      </c>
      <c r="Q650" s="14" t="s">
        <v>255</v>
      </c>
      <c r="R650" s="14" t="s">
        <v>255</v>
      </c>
      <c r="S650" s="17">
        <v>11</v>
      </c>
      <c r="T650" s="14" t="s">
        <v>256</v>
      </c>
      <c r="U650" s="14" t="s">
        <v>257</v>
      </c>
      <c r="V650" s="14" t="s">
        <v>113</v>
      </c>
      <c r="W650" s="18">
        <v>30250000</v>
      </c>
      <c r="X650" s="18">
        <v>30250000</v>
      </c>
      <c r="Y650" s="19" t="s">
        <v>339</v>
      </c>
      <c r="Z650" s="19" t="s">
        <v>258</v>
      </c>
      <c r="AA650" s="14" t="s">
        <v>1680</v>
      </c>
      <c r="AB650" s="14" t="s">
        <v>1681</v>
      </c>
      <c r="AC650" s="14">
        <v>6012220601</v>
      </c>
      <c r="AD650" s="14" t="s">
        <v>1682</v>
      </c>
      <c r="AE650" s="82">
        <v>30250000</v>
      </c>
      <c r="AF650" s="82">
        <v>0</v>
      </c>
      <c r="AG650" s="82">
        <v>0</v>
      </c>
      <c r="AH650" s="82">
        <v>1625085</v>
      </c>
      <c r="AI650" s="82">
        <v>0</v>
      </c>
      <c r="AJ650" s="82">
        <v>5416950</v>
      </c>
      <c r="AK650" s="82">
        <v>0</v>
      </c>
      <c r="AL650" s="82">
        <v>5416950</v>
      </c>
      <c r="AM650" s="82">
        <v>0</v>
      </c>
      <c r="AN650" s="82">
        <v>5416950</v>
      </c>
      <c r="AO650" s="82">
        <v>0</v>
      </c>
      <c r="AP650" s="82">
        <v>5416950</v>
      </c>
      <c r="AQ650" s="82">
        <v>0</v>
      </c>
      <c r="AR650" s="82">
        <v>5416950</v>
      </c>
      <c r="AS650" s="82">
        <v>0</v>
      </c>
      <c r="AT650" s="82">
        <v>1540165</v>
      </c>
      <c r="AU650" s="82">
        <v>0</v>
      </c>
      <c r="AV650" s="82">
        <v>0</v>
      </c>
      <c r="AW650" s="82">
        <v>0</v>
      </c>
      <c r="AX650" s="82">
        <v>0</v>
      </c>
      <c r="AY650" s="82">
        <v>0</v>
      </c>
      <c r="AZ650" s="82">
        <v>0</v>
      </c>
      <c r="BA650" s="82">
        <v>0</v>
      </c>
      <c r="BB650" s="82">
        <v>0</v>
      </c>
      <c r="BC650" s="82">
        <f t="shared" ref="BC650:BD650" si="1291">AE650+AG650+AI650+AK650+AM650+AO650+AQ650+AS650+AU650+AW650+AY650+BA650</f>
        <v>30250000</v>
      </c>
      <c r="BD650" s="82">
        <f t="shared" si="1291"/>
        <v>30250000</v>
      </c>
      <c r="BE650" s="83">
        <f t="shared" si="813"/>
        <v>0</v>
      </c>
      <c r="BF650" s="83">
        <f t="shared" si="814"/>
        <v>0</v>
      </c>
      <c r="BG650" s="14" t="str">
        <f ca="1">IFERROR(__xludf.DUMMYFUNCTION("REGEXEXTRACT(O644,""^\S+\s(.+)$"")"),"Prestar servicios profesionales de apoyo en la Subdirección de Minería, en el soporte técnico para la determinación del precio base de liquidación de regalías, análisis de datos a través de los sistemas de divulgación de información minera.")</f>
        <v>Prestar servicios profesionales de apoyo en la Subdirección de Minería, en el soporte técnico para la determinación del precio base de liquidación de regalías, análisis de datos a través de los sistemas de divulgación de información minera.</v>
      </c>
      <c r="BH650" s="23">
        <v>30250000</v>
      </c>
      <c r="BI650" s="23"/>
      <c r="BJ650" s="23"/>
      <c r="BK650" s="23">
        <v>1625085</v>
      </c>
      <c r="BL650" s="23"/>
      <c r="BM650" s="23">
        <v>5416950</v>
      </c>
      <c r="BN650" s="23"/>
      <c r="BO650" s="23">
        <v>5416950</v>
      </c>
      <c r="BP650" s="23"/>
      <c r="BQ650" s="23">
        <v>5416950</v>
      </c>
      <c r="BR650" s="23"/>
      <c r="BS650" s="23">
        <v>5416950</v>
      </c>
      <c r="BT650" s="23"/>
      <c r="BU650" s="23">
        <v>5416950</v>
      </c>
      <c r="BV650" s="23"/>
      <c r="BW650" s="23">
        <v>1540165</v>
      </c>
      <c r="BX650" s="23"/>
      <c r="BY650" s="23"/>
      <c r="BZ650" s="23"/>
      <c r="CA650" s="23"/>
      <c r="CB650" s="23"/>
      <c r="CC650" s="23"/>
      <c r="CD650" s="23"/>
      <c r="CE650" s="23"/>
      <c r="CF650" s="28"/>
      <c r="CG650" s="28"/>
      <c r="CH650" s="25">
        <f t="shared" ref="CH650:CI650" si="1292">BH650+BJ650+BL650+BN650+BP650+BR650+BT650+BV650+BX650+BZ650+CB650+CD650+CF650</f>
        <v>30250000</v>
      </c>
      <c r="CI650" s="25">
        <f t="shared" si="1292"/>
        <v>30250000</v>
      </c>
      <c r="CJ650" s="26">
        <f t="shared" si="816"/>
        <v>0</v>
      </c>
      <c r="CK650" s="26">
        <f t="shared" si="817"/>
        <v>0</v>
      </c>
    </row>
    <row r="651" spans="1:89" ht="90" customHeight="1" x14ac:dyDescent="0.3">
      <c r="A651" s="13" t="s">
        <v>248</v>
      </c>
      <c r="B651" s="14" t="s">
        <v>53</v>
      </c>
      <c r="C651" s="15" t="s">
        <v>1676</v>
      </c>
      <c r="D651" s="14" t="s">
        <v>66</v>
      </c>
      <c r="E651" s="13" t="s">
        <v>250</v>
      </c>
      <c r="F651" s="13" t="s">
        <v>250</v>
      </c>
      <c r="G651" s="14">
        <v>17</v>
      </c>
      <c r="H651" s="13" t="s">
        <v>1685</v>
      </c>
      <c r="I651" s="15" t="s">
        <v>1678</v>
      </c>
      <c r="J651" s="14" t="s">
        <v>41</v>
      </c>
      <c r="K651" s="15" t="s">
        <v>95</v>
      </c>
      <c r="L651" s="14">
        <v>80111620</v>
      </c>
      <c r="M651" s="14" t="s">
        <v>58</v>
      </c>
      <c r="N651" s="14" t="s">
        <v>253</v>
      </c>
      <c r="O651" s="15" t="s">
        <v>1686</v>
      </c>
      <c r="P651" s="14" t="s">
        <v>255</v>
      </c>
      <c r="Q651" s="14" t="s">
        <v>255</v>
      </c>
      <c r="R651" s="14" t="s">
        <v>255</v>
      </c>
      <c r="S651" s="17">
        <v>10</v>
      </c>
      <c r="T651" s="14" t="s">
        <v>256</v>
      </c>
      <c r="U651" s="14" t="s">
        <v>257</v>
      </c>
      <c r="V651" s="14" t="s">
        <v>113</v>
      </c>
      <c r="W651" s="18">
        <v>0</v>
      </c>
      <c r="X651" s="18">
        <v>0</v>
      </c>
      <c r="Y651" s="19" t="s">
        <v>339</v>
      </c>
      <c r="Z651" s="19" t="s">
        <v>258</v>
      </c>
      <c r="AA651" s="14" t="s">
        <v>1680</v>
      </c>
      <c r="AB651" s="14" t="s">
        <v>1681</v>
      </c>
      <c r="AC651" s="14">
        <v>6012220601</v>
      </c>
      <c r="AD651" s="14" t="s">
        <v>1682</v>
      </c>
      <c r="AE651" s="82">
        <v>0</v>
      </c>
      <c r="AF651" s="82">
        <v>0</v>
      </c>
      <c r="AG651" s="82">
        <v>0</v>
      </c>
      <c r="AH651" s="82">
        <v>0</v>
      </c>
      <c r="AI651" s="82">
        <v>0</v>
      </c>
      <c r="AJ651" s="82">
        <v>0</v>
      </c>
      <c r="AK651" s="82">
        <v>0</v>
      </c>
      <c r="AL651" s="82">
        <v>0</v>
      </c>
      <c r="AM651" s="82">
        <v>0</v>
      </c>
      <c r="AN651" s="82">
        <v>0</v>
      </c>
      <c r="AO651" s="82">
        <v>0</v>
      </c>
      <c r="AP651" s="82">
        <v>0</v>
      </c>
      <c r="AQ651" s="82">
        <v>0</v>
      </c>
      <c r="AR651" s="82">
        <v>0</v>
      </c>
      <c r="AS651" s="82">
        <v>0</v>
      </c>
      <c r="AT651" s="82">
        <v>0</v>
      </c>
      <c r="AU651" s="82">
        <v>0</v>
      </c>
      <c r="AV651" s="82">
        <v>0</v>
      </c>
      <c r="AW651" s="82">
        <v>0</v>
      </c>
      <c r="AX651" s="82">
        <v>0</v>
      </c>
      <c r="AY651" s="82">
        <v>0</v>
      </c>
      <c r="AZ651" s="82">
        <v>0</v>
      </c>
      <c r="BA651" s="82">
        <v>20000000</v>
      </c>
      <c r="BB651" s="82">
        <v>20000000</v>
      </c>
      <c r="BC651" s="82">
        <f t="shared" ref="BC651:BD651" si="1293">AE651+AG651+AI651+AK651+AM651+AO651+AQ651+AS651+AU651+AW651+AY651+BA651</f>
        <v>20000000</v>
      </c>
      <c r="BD651" s="82">
        <f t="shared" si="1293"/>
        <v>20000000</v>
      </c>
      <c r="BE651" s="83">
        <f t="shared" si="813"/>
        <v>-20000000</v>
      </c>
      <c r="BF651" s="83">
        <f t="shared" si="814"/>
        <v>-20000000</v>
      </c>
      <c r="BG651" s="14" t="str">
        <f ca="1">IFERROR(__xludf.DUMMYFUNCTION("REGEXEXTRACT(O645,""^\S+\s(.+)$"")"),"Prestar servicios profesionales orientados a la divulgación, socialización de los procesos y documentos técnicos del sector minero energético, bajo el marco de los objetivos institucionales de la UPME")</f>
        <v>Prestar servicios profesionales orientados a la divulgación, socialización de los procesos y documentos técnicos del sector minero energético, bajo el marco de los objetivos institucionales de la UPME</v>
      </c>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v>0</v>
      </c>
      <c r="CE651" s="23">
        <v>0</v>
      </c>
      <c r="CF651" s="28"/>
      <c r="CG651" s="28"/>
      <c r="CH651" s="25">
        <f t="shared" ref="CH651:CI651" si="1294">BH651+BJ651+BL651+BN651+BP651+BR651+BT651+BV651+BX651+BZ651+CB651+CD651+CF651</f>
        <v>0</v>
      </c>
      <c r="CI651" s="25">
        <f t="shared" si="1294"/>
        <v>0</v>
      </c>
      <c r="CJ651" s="26">
        <f t="shared" si="816"/>
        <v>0</v>
      </c>
      <c r="CK651" s="26">
        <f t="shared" si="817"/>
        <v>0</v>
      </c>
    </row>
    <row r="652" spans="1:89" ht="90" customHeight="1" x14ac:dyDescent="0.3">
      <c r="A652" s="13" t="s">
        <v>248</v>
      </c>
      <c r="B652" s="14" t="s">
        <v>53</v>
      </c>
      <c r="C652" s="15" t="s">
        <v>1676</v>
      </c>
      <c r="D652" s="14" t="s">
        <v>66</v>
      </c>
      <c r="E652" s="13" t="s">
        <v>250</v>
      </c>
      <c r="F652" s="13" t="s">
        <v>250</v>
      </c>
      <c r="G652" s="14">
        <v>68</v>
      </c>
      <c r="H652" s="13" t="s">
        <v>1687</v>
      </c>
      <c r="I652" s="15" t="s">
        <v>1678</v>
      </c>
      <c r="J652" s="14" t="s">
        <v>41</v>
      </c>
      <c r="K652" s="15" t="s">
        <v>95</v>
      </c>
      <c r="L652" s="14">
        <v>80111620</v>
      </c>
      <c r="M652" s="14" t="s">
        <v>58</v>
      </c>
      <c r="N652" s="14" t="s">
        <v>253</v>
      </c>
      <c r="O652" s="15" t="s">
        <v>1688</v>
      </c>
      <c r="P652" s="14" t="s">
        <v>255</v>
      </c>
      <c r="Q652" s="14" t="s">
        <v>255</v>
      </c>
      <c r="R652" s="14" t="s">
        <v>255</v>
      </c>
      <c r="S652" s="17">
        <v>11.5</v>
      </c>
      <c r="T652" s="14" t="s">
        <v>256</v>
      </c>
      <c r="U652" s="14" t="s">
        <v>257</v>
      </c>
      <c r="V652" s="14" t="s">
        <v>113</v>
      </c>
      <c r="W652" s="18">
        <v>19340113</v>
      </c>
      <c r="X652" s="18">
        <v>19340113</v>
      </c>
      <c r="Y652" s="19" t="s">
        <v>339</v>
      </c>
      <c r="Z652" s="19" t="s">
        <v>258</v>
      </c>
      <c r="AA652" s="14" t="s">
        <v>1680</v>
      </c>
      <c r="AB652" s="14" t="s">
        <v>1681</v>
      </c>
      <c r="AC652" s="14">
        <v>6012220601</v>
      </c>
      <c r="AD652" s="14" t="s">
        <v>1682</v>
      </c>
      <c r="AE652" s="82">
        <v>19340113</v>
      </c>
      <c r="AF652" s="82">
        <v>0</v>
      </c>
      <c r="AG652" s="82">
        <v>0</v>
      </c>
      <c r="AH652" s="82">
        <v>3630000</v>
      </c>
      <c r="AI652" s="82">
        <v>0</v>
      </c>
      <c r="AJ652" s="82">
        <v>12100000</v>
      </c>
      <c r="AK652" s="82">
        <v>0</v>
      </c>
      <c r="AL652" s="82">
        <v>3610113</v>
      </c>
      <c r="AM652" s="82">
        <v>0</v>
      </c>
      <c r="AN652" s="82">
        <v>0</v>
      </c>
      <c r="AO652" s="82">
        <v>0</v>
      </c>
      <c r="AP652" s="82">
        <v>0</v>
      </c>
      <c r="AQ652" s="82">
        <v>0</v>
      </c>
      <c r="AR652" s="82">
        <v>0</v>
      </c>
      <c r="AS652" s="82">
        <v>0</v>
      </c>
      <c r="AT652" s="82">
        <v>0</v>
      </c>
      <c r="AU652" s="82">
        <v>0</v>
      </c>
      <c r="AV652" s="82">
        <v>0</v>
      </c>
      <c r="AW652" s="82">
        <v>0</v>
      </c>
      <c r="AX652" s="82">
        <v>0</v>
      </c>
      <c r="AY652" s="82">
        <v>0</v>
      </c>
      <c r="AZ652" s="82">
        <v>0</v>
      </c>
      <c r="BA652" s="82">
        <v>0</v>
      </c>
      <c r="BB652" s="82">
        <v>0</v>
      </c>
      <c r="BC652" s="82">
        <f t="shared" ref="BC652:BD652" si="1295">AE652+AG652+AI652+AK652+AM652+AO652+AQ652+AS652+AU652+AW652+AY652+BA652</f>
        <v>19340113</v>
      </c>
      <c r="BD652" s="82">
        <f t="shared" si="1295"/>
        <v>19340113</v>
      </c>
      <c r="BE652" s="83">
        <f t="shared" si="813"/>
        <v>0</v>
      </c>
      <c r="BF652" s="83">
        <f t="shared" si="814"/>
        <v>0</v>
      </c>
      <c r="BG652" s="14" t="str">
        <f ca="1">IFERROR(__xludf.DUMMYFUNCTION("REGEXEXTRACT(O646,""^\S+\s(.+)$"")"),"Prestar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652" s="23">
        <v>19340113</v>
      </c>
      <c r="BI652" s="23"/>
      <c r="BJ652" s="23"/>
      <c r="BK652" s="23">
        <v>3630000</v>
      </c>
      <c r="BL652" s="23"/>
      <c r="BM652" s="23">
        <v>12100000</v>
      </c>
      <c r="BN652" s="23"/>
      <c r="BO652" s="23">
        <v>3610113</v>
      </c>
      <c r="BP652" s="23"/>
      <c r="BQ652" s="23"/>
      <c r="BR652" s="23"/>
      <c r="BS652" s="23"/>
      <c r="BT652" s="23"/>
      <c r="BU652" s="23"/>
      <c r="BV652" s="23"/>
      <c r="BW652" s="23"/>
      <c r="BX652" s="23"/>
      <c r="BY652" s="23"/>
      <c r="BZ652" s="23"/>
      <c r="CA652" s="23"/>
      <c r="CB652" s="23"/>
      <c r="CC652" s="23"/>
      <c r="CD652" s="23"/>
      <c r="CE652" s="23"/>
      <c r="CF652" s="28"/>
      <c r="CG652" s="28"/>
      <c r="CH652" s="25">
        <f t="shared" ref="CH652:CI652" si="1296">BH652+BJ652+BL652+BN652+BP652+BR652+BT652+BV652+BX652+BZ652+CB652+CD652+CF652</f>
        <v>19340113</v>
      </c>
      <c r="CI652" s="25">
        <f t="shared" si="1296"/>
        <v>19340113</v>
      </c>
      <c r="CJ652" s="26">
        <f t="shared" si="816"/>
        <v>0</v>
      </c>
      <c r="CK652" s="26">
        <f t="shared" si="817"/>
        <v>0</v>
      </c>
    </row>
    <row r="653" spans="1:89" ht="90" customHeight="1" x14ac:dyDescent="0.3">
      <c r="A653" s="13" t="s">
        <v>248</v>
      </c>
      <c r="B653" s="14" t="s">
        <v>53</v>
      </c>
      <c r="C653" s="15" t="s">
        <v>1676</v>
      </c>
      <c r="D653" s="14" t="s">
        <v>66</v>
      </c>
      <c r="E653" s="13" t="s">
        <v>250</v>
      </c>
      <c r="F653" s="13" t="s">
        <v>250</v>
      </c>
      <c r="G653" s="29">
        <v>17</v>
      </c>
      <c r="H653" s="13" t="s">
        <v>1689</v>
      </c>
      <c r="I653" s="15" t="s">
        <v>1678</v>
      </c>
      <c r="J653" s="14" t="s">
        <v>41</v>
      </c>
      <c r="K653" s="15" t="s">
        <v>95</v>
      </c>
      <c r="L653" s="14">
        <v>80141607</v>
      </c>
      <c r="M653" s="14" t="s">
        <v>58</v>
      </c>
      <c r="N653" s="14" t="s">
        <v>284</v>
      </c>
      <c r="O653" s="15" t="s">
        <v>1690</v>
      </c>
      <c r="P653" s="14" t="s">
        <v>255</v>
      </c>
      <c r="Q653" s="14" t="s">
        <v>255</v>
      </c>
      <c r="R653" s="14" t="s">
        <v>255</v>
      </c>
      <c r="S653" s="17">
        <v>11</v>
      </c>
      <c r="T653" s="14" t="s">
        <v>256</v>
      </c>
      <c r="U653" s="14" t="s">
        <v>286</v>
      </c>
      <c r="V653" s="14" t="s">
        <v>113</v>
      </c>
      <c r="W653" s="18">
        <v>22400000</v>
      </c>
      <c r="X653" s="18">
        <v>22400000</v>
      </c>
      <c r="Y653" s="19" t="s">
        <v>339</v>
      </c>
      <c r="Z653" s="19" t="s">
        <v>258</v>
      </c>
      <c r="AA653" s="14" t="s">
        <v>1680</v>
      </c>
      <c r="AB653" s="14" t="s">
        <v>1681</v>
      </c>
      <c r="AC653" s="14">
        <v>6012220601</v>
      </c>
      <c r="AD653" s="14" t="s">
        <v>1682</v>
      </c>
      <c r="AE653" s="82">
        <v>0</v>
      </c>
      <c r="AF653" s="82">
        <v>0</v>
      </c>
      <c r="AG653" s="82">
        <v>0</v>
      </c>
      <c r="AH653" s="82">
        <v>0</v>
      </c>
      <c r="AI653" s="82">
        <v>0</v>
      </c>
      <c r="AJ653" s="82">
        <v>0</v>
      </c>
      <c r="AK653" s="82">
        <v>0</v>
      </c>
      <c r="AL653" s="82">
        <v>0</v>
      </c>
      <c r="AM653" s="82">
        <v>0</v>
      </c>
      <c r="AN653" s="82">
        <v>0</v>
      </c>
      <c r="AO653" s="82">
        <v>0</v>
      </c>
      <c r="AP653" s="82">
        <v>0</v>
      </c>
      <c r="AQ653" s="82">
        <v>0</v>
      </c>
      <c r="AR653" s="82">
        <v>0</v>
      </c>
      <c r="AS653" s="82">
        <v>0</v>
      </c>
      <c r="AT653" s="82">
        <v>0</v>
      </c>
      <c r="AU653" s="82">
        <v>0</v>
      </c>
      <c r="AV653" s="82">
        <v>0</v>
      </c>
      <c r="AW653" s="82">
        <v>0</v>
      </c>
      <c r="AX653" s="82">
        <v>0</v>
      </c>
      <c r="AY653" s="82">
        <v>0</v>
      </c>
      <c r="AZ653" s="82">
        <v>0</v>
      </c>
      <c r="BA653" s="82">
        <v>22400000</v>
      </c>
      <c r="BB653" s="82">
        <v>22400000</v>
      </c>
      <c r="BC653" s="82">
        <f t="shared" ref="BC653:BD653" si="1297">AE653+AG653+AI653+AK653+AM653+AO653+AQ653+AS653+AU653+AW653+AY653+BA653</f>
        <v>22400000</v>
      </c>
      <c r="BD653" s="82">
        <f t="shared" si="1297"/>
        <v>22400000</v>
      </c>
      <c r="BE653" s="83">
        <f t="shared" si="813"/>
        <v>0</v>
      </c>
      <c r="BF653" s="83">
        <f t="shared" si="814"/>
        <v>0</v>
      </c>
      <c r="BG653" s="14" t="str">
        <f ca="1">IFERROR(__xludf.DUMMYFUNCTION("REGEXEXTRACT(O647,""^\S+\s(.+)$"")"),"Prestación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v>22400000</v>
      </c>
      <c r="CE653" s="23">
        <v>22400000</v>
      </c>
      <c r="CF653" s="28"/>
      <c r="CG653" s="28"/>
      <c r="CH653" s="25">
        <f t="shared" ref="CH653:CI653" si="1298">BH653+BJ653+BL653+BN653+BP653+BR653+BT653+BV653+BX653+BZ653+CB653+CD653+CF653</f>
        <v>22400000</v>
      </c>
      <c r="CI653" s="25">
        <f t="shared" si="1298"/>
        <v>22400000</v>
      </c>
      <c r="CJ653" s="26">
        <f t="shared" si="816"/>
        <v>0</v>
      </c>
      <c r="CK653" s="26">
        <f t="shared" si="817"/>
        <v>0</v>
      </c>
    </row>
    <row r="654" spans="1:89" ht="90" customHeight="1" x14ac:dyDescent="0.3">
      <c r="A654" s="13" t="s">
        <v>248</v>
      </c>
      <c r="B654" s="14" t="s">
        <v>53</v>
      </c>
      <c r="C654" s="15" t="s">
        <v>1676</v>
      </c>
      <c r="D654" s="14" t="s">
        <v>66</v>
      </c>
      <c r="E654" s="13" t="s">
        <v>250</v>
      </c>
      <c r="F654" s="13" t="s">
        <v>250</v>
      </c>
      <c r="G654" s="14">
        <v>68</v>
      </c>
      <c r="H654" s="13" t="s">
        <v>1691</v>
      </c>
      <c r="I654" s="15" t="s">
        <v>1678</v>
      </c>
      <c r="J654" s="14" t="s">
        <v>41</v>
      </c>
      <c r="K654" s="15" t="s">
        <v>95</v>
      </c>
      <c r="L654" s="14">
        <v>80111620</v>
      </c>
      <c r="M654" s="14" t="s">
        <v>58</v>
      </c>
      <c r="N654" s="14" t="s">
        <v>253</v>
      </c>
      <c r="O654" s="15" t="s">
        <v>1692</v>
      </c>
      <c r="P654" s="14" t="s">
        <v>255</v>
      </c>
      <c r="Q654" s="14" t="s">
        <v>255</v>
      </c>
      <c r="R654" s="14" t="s">
        <v>255</v>
      </c>
      <c r="S654" s="17">
        <v>11</v>
      </c>
      <c r="T654" s="14" t="s">
        <v>256</v>
      </c>
      <c r="U654" s="14" t="s">
        <v>257</v>
      </c>
      <c r="V654" s="14" t="s">
        <v>113</v>
      </c>
      <c r="W654" s="18">
        <v>2600000</v>
      </c>
      <c r="X654" s="18">
        <v>2600000</v>
      </c>
      <c r="Y654" s="19" t="s">
        <v>339</v>
      </c>
      <c r="Z654" s="19" t="s">
        <v>258</v>
      </c>
      <c r="AA654" s="14" t="s">
        <v>1680</v>
      </c>
      <c r="AB654" s="14" t="s">
        <v>1681</v>
      </c>
      <c r="AC654" s="14">
        <v>6012220601</v>
      </c>
      <c r="AD654" s="14" t="s">
        <v>1682</v>
      </c>
      <c r="AE654" s="82">
        <v>2600000</v>
      </c>
      <c r="AF654" s="82">
        <v>0</v>
      </c>
      <c r="AG654" s="82">
        <v>0</v>
      </c>
      <c r="AH654" s="82">
        <v>1200000</v>
      </c>
      <c r="AI654" s="82">
        <v>0</v>
      </c>
      <c r="AJ654" s="82">
        <v>1400000</v>
      </c>
      <c r="AK654" s="82">
        <v>0</v>
      </c>
      <c r="AL654" s="82">
        <v>0</v>
      </c>
      <c r="AM654" s="82">
        <v>0</v>
      </c>
      <c r="AN654" s="82">
        <v>0</v>
      </c>
      <c r="AO654" s="82">
        <v>0</v>
      </c>
      <c r="AP654" s="82">
        <v>0</v>
      </c>
      <c r="AQ654" s="82">
        <v>0</v>
      </c>
      <c r="AR654" s="82">
        <v>0</v>
      </c>
      <c r="AS654" s="82">
        <v>0</v>
      </c>
      <c r="AT654" s="82">
        <v>0</v>
      </c>
      <c r="AU654" s="82">
        <v>0</v>
      </c>
      <c r="AV654" s="82">
        <v>0</v>
      </c>
      <c r="AW654" s="82">
        <v>0</v>
      </c>
      <c r="AX654" s="82">
        <v>0</v>
      </c>
      <c r="AY654" s="82">
        <v>0</v>
      </c>
      <c r="AZ654" s="82">
        <v>0</v>
      </c>
      <c r="BA654" s="82">
        <v>0</v>
      </c>
      <c r="BB654" s="82">
        <v>0</v>
      </c>
      <c r="BC654" s="82">
        <f t="shared" ref="BC654:BD654" si="1299">AE654+AG654+AI654+AK654+AM654+AO654+AQ654+AS654+AU654+AW654+AY654+BA654</f>
        <v>2600000</v>
      </c>
      <c r="BD654" s="82">
        <f t="shared" si="1299"/>
        <v>2600000</v>
      </c>
      <c r="BE654" s="83">
        <f t="shared" si="813"/>
        <v>0</v>
      </c>
      <c r="BF654" s="83">
        <f t="shared" si="814"/>
        <v>0</v>
      </c>
      <c r="BG654" s="14" t="str">
        <f ca="1">IFERROR(__xludf.DUMMYFUNCTION("REGEXEXTRACT(O648,""^\S+\s(.+)$"")"),"Prestar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654" s="23">
        <v>2600000</v>
      </c>
      <c r="BI654" s="23"/>
      <c r="BJ654" s="23"/>
      <c r="BK654" s="23">
        <v>1200000</v>
      </c>
      <c r="BL654" s="23"/>
      <c r="BM654" s="23">
        <v>1400000</v>
      </c>
      <c r="BN654" s="23"/>
      <c r="BO654" s="23"/>
      <c r="BP654" s="23"/>
      <c r="BQ654" s="23"/>
      <c r="BR654" s="23"/>
      <c r="BS654" s="23"/>
      <c r="BT654" s="23"/>
      <c r="BU654" s="23"/>
      <c r="BV654" s="23"/>
      <c r="BW654" s="23"/>
      <c r="BX654" s="23"/>
      <c r="BY654" s="23"/>
      <c r="BZ654" s="23"/>
      <c r="CA654" s="23"/>
      <c r="CB654" s="23"/>
      <c r="CC654" s="23"/>
      <c r="CD654" s="23"/>
      <c r="CE654" s="23"/>
      <c r="CF654" s="28"/>
      <c r="CG654" s="28"/>
      <c r="CH654" s="25">
        <f t="shared" ref="CH654:CI654" si="1300">BH654+BJ654+BL654+BN654+BP654+BR654+BT654+BV654+BX654+BZ654+CB654+CD654+CF654</f>
        <v>2600000</v>
      </c>
      <c r="CI654" s="25">
        <f t="shared" si="1300"/>
        <v>2600000</v>
      </c>
      <c r="CJ654" s="26">
        <f t="shared" si="816"/>
        <v>0</v>
      </c>
      <c r="CK654" s="26">
        <f t="shared" si="817"/>
        <v>0</v>
      </c>
    </row>
    <row r="655" spans="1:89" ht="90" customHeight="1" x14ac:dyDescent="0.3">
      <c r="A655" s="13" t="s">
        <v>248</v>
      </c>
      <c r="B655" s="14" t="s">
        <v>53</v>
      </c>
      <c r="C655" s="15" t="s">
        <v>1676</v>
      </c>
      <c r="D655" s="14" t="s">
        <v>66</v>
      </c>
      <c r="E655" s="13" t="s">
        <v>250</v>
      </c>
      <c r="F655" s="13" t="s">
        <v>250</v>
      </c>
      <c r="G655" s="14">
        <v>68</v>
      </c>
      <c r="H655" s="13" t="s">
        <v>1693</v>
      </c>
      <c r="I655" s="15" t="s">
        <v>1678</v>
      </c>
      <c r="J655" s="14" t="s">
        <v>41</v>
      </c>
      <c r="K655" s="15" t="s">
        <v>95</v>
      </c>
      <c r="L655" s="14">
        <v>80101507</v>
      </c>
      <c r="M655" s="14" t="s">
        <v>58</v>
      </c>
      <c r="N655" s="14" t="s">
        <v>612</v>
      </c>
      <c r="O655" s="15" t="s">
        <v>1694</v>
      </c>
      <c r="P655" s="14" t="s">
        <v>281</v>
      </c>
      <c r="Q655" s="14" t="s">
        <v>477</v>
      </c>
      <c r="R655" s="14" t="s">
        <v>614</v>
      </c>
      <c r="S655" s="17">
        <v>5</v>
      </c>
      <c r="T655" s="14" t="s">
        <v>256</v>
      </c>
      <c r="U655" s="14" t="s">
        <v>257</v>
      </c>
      <c r="V655" s="14" t="s">
        <v>113</v>
      </c>
      <c r="W655" s="18">
        <v>100303787</v>
      </c>
      <c r="X655" s="18">
        <v>100303787</v>
      </c>
      <c r="Y655" s="19" t="s">
        <v>339</v>
      </c>
      <c r="Z655" s="19" t="s">
        <v>258</v>
      </c>
      <c r="AA655" s="14" t="s">
        <v>1680</v>
      </c>
      <c r="AB655" s="14" t="s">
        <v>1681</v>
      </c>
      <c r="AC655" s="14">
        <v>6012220601</v>
      </c>
      <c r="AD655" s="14" t="s">
        <v>1682</v>
      </c>
      <c r="AE655" s="82">
        <v>0</v>
      </c>
      <c r="AF655" s="82">
        <v>0</v>
      </c>
      <c r="AG655" s="82">
        <v>0</v>
      </c>
      <c r="AH655" s="82">
        <v>0</v>
      </c>
      <c r="AI655" s="82">
        <v>0</v>
      </c>
      <c r="AJ655" s="82">
        <v>0</v>
      </c>
      <c r="AK655" s="82">
        <v>0</v>
      </c>
      <c r="AL655" s="82">
        <v>0</v>
      </c>
      <c r="AM655" s="82">
        <v>0</v>
      </c>
      <c r="AN655" s="82">
        <v>0</v>
      </c>
      <c r="AO655" s="82">
        <v>0</v>
      </c>
      <c r="AP655" s="82">
        <v>0</v>
      </c>
      <c r="AQ655" s="82">
        <v>100303787</v>
      </c>
      <c r="AR655" s="82">
        <v>0</v>
      </c>
      <c r="AS655" s="82">
        <v>0</v>
      </c>
      <c r="AT655" s="82">
        <v>0</v>
      </c>
      <c r="AU655" s="82">
        <v>0</v>
      </c>
      <c r="AV655" s="82">
        <v>100303787</v>
      </c>
      <c r="AW655" s="82">
        <v>0</v>
      </c>
      <c r="AX655" s="82">
        <v>0</v>
      </c>
      <c r="AY655" s="82">
        <v>0</v>
      </c>
      <c r="AZ655" s="82">
        <v>0</v>
      </c>
      <c r="BA655" s="82">
        <v>0</v>
      </c>
      <c r="BB655" s="82">
        <v>0</v>
      </c>
      <c r="BC655" s="82">
        <f t="shared" ref="BC655:BD655" si="1301">AE655+AG655+AI655+AK655+AM655+AO655+AQ655+AS655+AU655+AW655+AY655+BA655</f>
        <v>100303787</v>
      </c>
      <c r="BD655" s="82">
        <f t="shared" si="1301"/>
        <v>100303787</v>
      </c>
      <c r="BE655" s="83">
        <f t="shared" si="813"/>
        <v>0</v>
      </c>
      <c r="BF655" s="83">
        <f t="shared" si="814"/>
        <v>0</v>
      </c>
      <c r="BG655" s="14" t="str">
        <f ca="1">IFERROR(__xludf.DUMMYFUNCTION("REGEXEXTRACT(O649,""^\S+\s(.+)$"")"),"Desarrollo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55" s="23"/>
      <c r="BI655" s="23"/>
      <c r="BJ655" s="23"/>
      <c r="BK655" s="23"/>
      <c r="BL655" s="23"/>
      <c r="BM655" s="23"/>
      <c r="BN655" s="23"/>
      <c r="BO655" s="23"/>
      <c r="BP655" s="23"/>
      <c r="BQ655" s="23"/>
      <c r="BR655" s="23"/>
      <c r="BS655" s="23"/>
      <c r="BT655" s="23">
        <v>100303787</v>
      </c>
      <c r="BU655" s="23"/>
      <c r="BV655" s="23"/>
      <c r="BW655" s="23"/>
      <c r="BX655" s="23"/>
      <c r="BY655" s="23">
        <v>100303787</v>
      </c>
      <c r="BZ655" s="23"/>
      <c r="CA655" s="23"/>
      <c r="CB655" s="23"/>
      <c r="CC655" s="23"/>
      <c r="CD655" s="23"/>
      <c r="CE655" s="23"/>
      <c r="CF655" s="28"/>
      <c r="CG655" s="28"/>
      <c r="CH655" s="25">
        <f t="shared" ref="CH655:CI655" si="1302">BH655+BJ655+BL655+BN655+BP655+BR655+BT655+BV655+BX655+BZ655+CB655+CD655+CF655</f>
        <v>100303787</v>
      </c>
      <c r="CI655" s="25">
        <f t="shared" si="1302"/>
        <v>100303787</v>
      </c>
      <c r="CJ655" s="26">
        <f t="shared" si="816"/>
        <v>0</v>
      </c>
      <c r="CK655" s="26">
        <f t="shared" si="817"/>
        <v>0</v>
      </c>
    </row>
    <row r="656" spans="1:89" ht="90" customHeight="1" x14ac:dyDescent="0.3">
      <c r="A656" s="13" t="s">
        <v>248</v>
      </c>
      <c r="B656" s="14" t="s">
        <v>53</v>
      </c>
      <c r="C656" s="15" t="s">
        <v>1676</v>
      </c>
      <c r="D656" s="14" t="s">
        <v>66</v>
      </c>
      <c r="E656" s="13" t="s">
        <v>250</v>
      </c>
      <c r="F656" s="13" t="s">
        <v>250</v>
      </c>
      <c r="G656" s="14" t="s">
        <v>1695</v>
      </c>
      <c r="H656" s="13" t="s">
        <v>1696</v>
      </c>
      <c r="I656" s="15" t="s">
        <v>1678</v>
      </c>
      <c r="J656" s="14" t="s">
        <v>41</v>
      </c>
      <c r="K656" s="15" t="s">
        <v>95</v>
      </c>
      <c r="L656" s="14">
        <v>93151509</v>
      </c>
      <c r="M656" s="14" t="s">
        <v>58</v>
      </c>
      <c r="N656" s="14" t="s">
        <v>767</v>
      </c>
      <c r="O656" s="15" t="s">
        <v>1697</v>
      </c>
      <c r="P656" s="14" t="s">
        <v>549</v>
      </c>
      <c r="Q656" s="14" t="s">
        <v>784</v>
      </c>
      <c r="R656" s="14" t="s">
        <v>280</v>
      </c>
      <c r="S656" s="17" t="s">
        <v>258</v>
      </c>
      <c r="T656" s="14" t="s">
        <v>256</v>
      </c>
      <c r="U656" s="14" t="s">
        <v>286</v>
      </c>
      <c r="V656" s="14" t="s">
        <v>113</v>
      </c>
      <c r="W656" s="18">
        <v>300000000</v>
      </c>
      <c r="X656" s="18">
        <v>300000000</v>
      </c>
      <c r="Y656" s="19" t="s">
        <v>339</v>
      </c>
      <c r="Z656" s="19" t="s">
        <v>258</v>
      </c>
      <c r="AA656" s="14" t="s">
        <v>1680</v>
      </c>
      <c r="AB656" s="14" t="s">
        <v>1681</v>
      </c>
      <c r="AC656" s="14">
        <v>6012220601</v>
      </c>
      <c r="AD656" s="14" t="s">
        <v>1682</v>
      </c>
      <c r="AE656" s="82">
        <v>0</v>
      </c>
      <c r="AF656" s="82">
        <v>0</v>
      </c>
      <c r="AG656" s="82">
        <v>0</v>
      </c>
      <c r="AH656" s="82">
        <v>0</v>
      </c>
      <c r="AI656" s="82">
        <v>0</v>
      </c>
      <c r="AJ656" s="82">
        <v>0</v>
      </c>
      <c r="AK656" s="82">
        <v>0</v>
      </c>
      <c r="AL656" s="82">
        <v>0</v>
      </c>
      <c r="AM656" s="82">
        <v>0</v>
      </c>
      <c r="AN656" s="82">
        <v>0</v>
      </c>
      <c r="AO656" s="82">
        <v>300000000</v>
      </c>
      <c r="AP656" s="82">
        <v>0</v>
      </c>
      <c r="AQ656" s="82">
        <v>0</v>
      </c>
      <c r="AR656" s="82">
        <v>0</v>
      </c>
      <c r="AS656" s="82">
        <v>0</v>
      </c>
      <c r="AT656" s="82">
        <v>300000000</v>
      </c>
      <c r="AU656" s="82">
        <v>0</v>
      </c>
      <c r="AV656" s="82">
        <v>0</v>
      </c>
      <c r="AW656" s="82">
        <v>0</v>
      </c>
      <c r="AX656" s="82">
        <v>0</v>
      </c>
      <c r="AY656" s="82">
        <v>0</v>
      </c>
      <c r="AZ656" s="82">
        <v>0</v>
      </c>
      <c r="BA656" s="82">
        <v>0</v>
      </c>
      <c r="BB656" s="82">
        <v>0</v>
      </c>
      <c r="BC656" s="82">
        <f t="shared" ref="BC656:BD656" si="1303">AE656+AG656+AI656+AK656+AM656+AO656+AQ656+AS656+AU656+AW656+AY656+BA656</f>
        <v>300000000</v>
      </c>
      <c r="BD656" s="82">
        <f t="shared" si="1303"/>
        <v>300000000</v>
      </c>
      <c r="BE656" s="83">
        <f t="shared" si="813"/>
        <v>0</v>
      </c>
      <c r="BF656" s="83">
        <f t="shared" si="814"/>
        <v>0</v>
      </c>
      <c r="BG656" s="14" t="str">
        <f ca="1">IFERROR(__xludf.DUMMYFUNCTION("REGEXEXTRACT(O650,""^\S+\s(.+)$"")"),"Prestar los servicios de suscripción ONLINE a Fast Markets MB")</f>
        <v>Prestar los servicios de suscripción ONLINE a Fast Markets MB</v>
      </c>
      <c r="BH656" s="23"/>
      <c r="BI656" s="23"/>
      <c r="BJ656" s="23"/>
      <c r="BK656" s="23"/>
      <c r="BL656" s="23"/>
      <c r="BM656" s="23"/>
      <c r="BN656" s="23"/>
      <c r="BO656" s="23"/>
      <c r="BP656" s="23"/>
      <c r="BQ656" s="23"/>
      <c r="BR656" s="23">
        <v>300000000</v>
      </c>
      <c r="BS656" s="23"/>
      <c r="BT656" s="23"/>
      <c r="BU656" s="23"/>
      <c r="BV656" s="23"/>
      <c r="BW656" s="23">
        <v>300000000</v>
      </c>
      <c r="BX656" s="23"/>
      <c r="BY656" s="23"/>
      <c r="BZ656" s="23"/>
      <c r="CA656" s="23"/>
      <c r="CB656" s="23"/>
      <c r="CC656" s="23"/>
      <c r="CD656" s="23"/>
      <c r="CE656" s="23"/>
      <c r="CF656" s="28"/>
      <c r="CG656" s="28"/>
      <c r="CH656" s="25">
        <f t="shared" ref="CH656:CI656" si="1304">BH656+BJ656+BL656+BN656+BP656+BR656+BT656+BV656+BX656+BZ656+CB656+CD656+CF656</f>
        <v>300000000</v>
      </c>
      <c r="CI656" s="25">
        <f t="shared" si="1304"/>
        <v>300000000</v>
      </c>
      <c r="CJ656" s="26">
        <f t="shared" si="816"/>
        <v>0</v>
      </c>
      <c r="CK656" s="26">
        <f t="shared" si="817"/>
        <v>0</v>
      </c>
    </row>
    <row r="657" spans="1:89" ht="90" customHeight="1" x14ac:dyDescent="0.3">
      <c r="A657" s="13" t="s">
        <v>248</v>
      </c>
      <c r="B657" s="14" t="s">
        <v>53</v>
      </c>
      <c r="C657" s="15" t="s">
        <v>1676</v>
      </c>
      <c r="D657" s="14" t="s">
        <v>66</v>
      </c>
      <c r="E657" s="13" t="s">
        <v>250</v>
      </c>
      <c r="F657" s="13" t="s">
        <v>250</v>
      </c>
      <c r="G657" s="14" t="s">
        <v>1695</v>
      </c>
      <c r="H657" s="13" t="s">
        <v>1698</v>
      </c>
      <c r="I657" s="15" t="s">
        <v>1678</v>
      </c>
      <c r="J657" s="14" t="s">
        <v>41</v>
      </c>
      <c r="K657" s="15" t="s">
        <v>95</v>
      </c>
      <c r="L657" s="14">
        <v>93151509</v>
      </c>
      <c r="M657" s="14" t="s">
        <v>58</v>
      </c>
      <c r="N657" s="14" t="s">
        <v>767</v>
      </c>
      <c r="O657" s="15" t="s">
        <v>1699</v>
      </c>
      <c r="P657" s="14" t="s">
        <v>549</v>
      </c>
      <c r="Q657" s="14" t="s">
        <v>784</v>
      </c>
      <c r="R657" s="14" t="s">
        <v>280</v>
      </c>
      <c r="S657" s="17" t="s">
        <v>258</v>
      </c>
      <c r="T657" s="14" t="s">
        <v>256</v>
      </c>
      <c r="U657" s="14" t="s">
        <v>286</v>
      </c>
      <c r="V657" s="14" t="s">
        <v>113</v>
      </c>
      <c r="W657" s="18">
        <v>450000000</v>
      </c>
      <c r="X657" s="18">
        <v>450000000</v>
      </c>
      <c r="Y657" s="19" t="s">
        <v>339</v>
      </c>
      <c r="Z657" s="19" t="s">
        <v>258</v>
      </c>
      <c r="AA657" s="14" t="s">
        <v>1680</v>
      </c>
      <c r="AB657" s="14" t="s">
        <v>1681</v>
      </c>
      <c r="AC657" s="14">
        <v>6012220601</v>
      </c>
      <c r="AD657" s="14" t="s">
        <v>1682</v>
      </c>
      <c r="AE657" s="82">
        <v>0</v>
      </c>
      <c r="AF657" s="82">
        <v>0</v>
      </c>
      <c r="AG657" s="82">
        <v>0</v>
      </c>
      <c r="AH657" s="82">
        <v>0</v>
      </c>
      <c r="AI657" s="82">
        <v>0</v>
      </c>
      <c r="AJ657" s="82">
        <v>0</v>
      </c>
      <c r="AK657" s="82">
        <v>450000000</v>
      </c>
      <c r="AL657" s="82">
        <v>0</v>
      </c>
      <c r="AM657" s="82">
        <v>0</v>
      </c>
      <c r="AN657" s="82">
        <v>0</v>
      </c>
      <c r="AO657" s="82">
        <v>0</v>
      </c>
      <c r="AP657" s="82">
        <v>450000000</v>
      </c>
      <c r="AQ657" s="82">
        <v>0</v>
      </c>
      <c r="AR657" s="82">
        <v>0</v>
      </c>
      <c r="AS657" s="82">
        <v>0</v>
      </c>
      <c r="AT657" s="82">
        <v>0</v>
      </c>
      <c r="AU657" s="82">
        <v>0</v>
      </c>
      <c r="AV657" s="82">
        <v>0</v>
      </c>
      <c r="AW657" s="82">
        <v>0</v>
      </c>
      <c r="AX657" s="82">
        <v>0</v>
      </c>
      <c r="AY657" s="82">
        <v>0</v>
      </c>
      <c r="AZ657" s="82">
        <v>0</v>
      </c>
      <c r="BA657" s="82">
        <v>0</v>
      </c>
      <c r="BB657" s="82">
        <v>0</v>
      </c>
      <c r="BC657" s="82">
        <f t="shared" ref="BC657:BD657" si="1305">AE657+AG657+AI657+AK657+AM657+AO657+AQ657+AS657+AU657+AW657+AY657+BA657</f>
        <v>450000000</v>
      </c>
      <c r="BD657" s="82">
        <f t="shared" si="1305"/>
        <v>450000000</v>
      </c>
      <c r="BE657" s="83">
        <f t="shared" si="813"/>
        <v>0</v>
      </c>
      <c r="BF657" s="83">
        <f t="shared" si="814"/>
        <v>0</v>
      </c>
      <c r="BG657" s="14" t="str">
        <f ca="1">IFERROR(__xludf.DUMMYFUNCTION("REGEXEXTRACT(O651,""^\S+\s(.+)$"")"),"Realizar la renovación de la suscripción online de ARGUS MEDIA.")</f>
        <v>Realizar la renovación de la suscripción online de ARGUS MEDIA.</v>
      </c>
      <c r="BH657" s="23"/>
      <c r="BI657" s="23"/>
      <c r="BJ657" s="23"/>
      <c r="BK657" s="23"/>
      <c r="BL657" s="23"/>
      <c r="BM657" s="23"/>
      <c r="BN657" s="23">
        <v>450000000</v>
      </c>
      <c r="BO657" s="23"/>
      <c r="BP657" s="23"/>
      <c r="BQ657" s="23"/>
      <c r="BR657" s="23"/>
      <c r="BS657" s="23">
        <v>450000000</v>
      </c>
      <c r="BT657" s="23"/>
      <c r="BU657" s="23"/>
      <c r="BV657" s="23"/>
      <c r="BW657" s="23"/>
      <c r="BX657" s="23"/>
      <c r="BY657" s="23"/>
      <c r="BZ657" s="23"/>
      <c r="CA657" s="23"/>
      <c r="CB657" s="23"/>
      <c r="CC657" s="23"/>
      <c r="CD657" s="23"/>
      <c r="CE657" s="23"/>
      <c r="CF657" s="28"/>
      <c r="CG657" s="28"/>
      <c r="CH657" s="25">
        <f t="shared" ref="CH657:CI657" si="1306">BH657+BJ657+BL657+BN657+BP657+BR657+BT657+BV657+BX657+BZ657+CB657+CD657+CF657</f>
        <v>450000000</v>
      </c>
      <c r="CI657" s="25">
        <f t="shared" si="1306"/>
        <v>450000000</v>
      </c>
      <c r="CJ657" s="26">
        <f t="shared" si="816"/>
        <v>0</v>
      </c>
      <c r="CK657" s="26">
        <f t="shared" si="817"/>
        <v>0</v>
      </c>
    </row>
    <row r="658" spans="1:89" ht="90" customHeight="1" x14ac:dyDescent="0.3">
      <c r="A658" s="13" t="s">
        <v>248</v>
      </c>
      <c r="B658" s="14" t="s">
        <v>53</v>
      </c>
      <c r="C658" s="15" t="s">
        <v>1676</v>
      </c>
      <c r="D658" s="14" t="s">
        <v>66</v>
      </c>
      <c r="E658" s="13" t="s">
        <v>250</v>
      </c>
      <c r="F658" s="13" t="s">
        <v>250</v>
      </c>
      <c r="G658" s="14" t="s">
        <v>1695</v>
      </c>
      <c r="H658" s="13" t="s">
        <v>1700</v>
      </c>
      <c r="I658" s="15" t="s">
        <v>1678</v>
      </c>
      <c r="J658" s="14" t="s">
        <v>41</v>
      </c>
      <c r="K658" s="15" t="s">
        <v>95</v>
      </c>
      <c r="L658" s="14">
        <v>93151509</v>
      </c>
      <c r="M658" s="14" t="s">
        <v>58</v>
      </c>
      <c r="N658" s="14" t="s">
        <v>767</v>
      </c>
      <c r="O658" s="15" t="s">
        <v>1701</v>
      </c>
      <c r="P658" s="14" t="s">
        <v>1312</v>
      </c>
      <c r="Q658" s="14" t="s">
        <v>473</v>
      </c>
      <c r="R658" s="14" t="s">
        <v>468</v>
      </c>
      <c r="S658" s="17" t="s">
        <v>258</v>
      </c>
      <c r="T658" s="14" t="s">
        <v>256</v>
      </c>
      <c r="U658" s="14" t="s">
        <v>286</v>
      </c>
      <c r="V658" s="14" t="s">
        <v>113</v>
      </c>
      <c r="W658" s="18">
        <v>50000000</v>
      </c>
      <c r="X658" s="18">
        <v>50000000</v>
      </c>
      <c r="Y658" s="19" t="s">
        <v>339</v>
      </c>
      <c r="Z658" s="19" t="s">
        <v>258</v>
      </c>
      <c r="AA658" s="14" t="s">
        <v>1680</v>
      </c>
      <c r="AB658" s="14" t="s">
        <v>1681</v>
      </c>
      <c r="AC658" s="14">
        <v>6012220601</v>
      </c>
      <c r="AD658" s="14" t="s">
        <v>1682</v>
      </c>
      <c r="AE658" s="82">
        <v>0</v>
      </c>
      <c r="AF658" s="82">
        <v>0</v>
      </c>
      <c r="AG658" s="82">
        <v>0</v>
      </c>
      <c r="AH658" s="82">
        <v>0</v>
      </c>
      <c r="AI658" s="82">
        <v>0</v>
      </c>
      <c r="AJ658" s="82">
        <v>0</v>
      </c>
      <c r="AK658" s="82">
        <v>0</v>
      </c>
      <c r="AL658" s="82">
        <v>0</v>
      </c>
      <c r="AM658" s="82">
        <v>0</v>
      </c>
      <c r="AN658" s="82">
        <v>0</v>
      </c>
      <c r="AO658" s="82">
        <v>0</v>
      </c>
      <c r="AP658" s="82">
        <v>0</v>
      </c>
      <c r="AQ658" s="82">
        <v>0</v>
      </c>
      <c r="AR658" s="82">
        <v>0</v>
      </c>
      <c r="AS658" s="82">
        <v>0</v>
      </c>
      <c r="AT658" s="82">
        <v>0</v>
      </c>
      <c r="AU658" s="82">
        <v>0</v>
      </c>
      <c r="AV658" s="82">
        <v>0</v>
      </c>
      <c r="AW658" s="82">
        <v>0</v>
      </c>
      <c r="AX658" s="82">
        <v>0</v>
      </c>
      <c r="AY658" s="82">
        <v>50000000</v>
      </c>
      <c r="AZ658" s="82">
        <v>0</v>
      </c>
      <c r="BA658" s="82">
        <v>0</v>
      </c>
      <c r="BB658" s="82">
        <v>50000000</v>
      </c>
      <c r="BC658" s="82">
        <f t="shared" ref="BC658:BD658" si="1307">AE658+AG658+AI658+AK658+AM658+AO658+AQ658+AS658+AU658+AW658+AY658+BA658</f>
        <v>50000000</v>
      </c>
      <c r="BD658" s="82">
        <f t="shared" si="1307"/>
        <v>50000000</v>
      </c>
      <c r="BE658" s="83">
        <f t="shared" si="813"/>
        <v>0</v>
      </c>
      <c r="BF658" s="83">
        <f t="shared" si="814"/>
        <v>0</v>
      </c>
      <c r="BG658" s="14" t="str">
        <f ca="1">IFERROR(__xludf.DUMMYFUNCTION("REGEXEXTRACT(O652,""^\S+\s(.+)$"")"),"Renovación de la suscripción ONLINE de Baltic Exchange.")</f>
        <v>Renovación de la suscripción ONLINE de Baltic Exchange.</v>
      </c>
      <c r="BH658" s="23"/>
      <c r="BI658" s="23"/>
      <c r="BJ658" s="23"/>
      <c r="BK658" s="23"/>
      <c r="BL658" s="23"/>
      <c r="BM658" s="23"/>
      <c r="BN658" s="23"/>
      <c r="BO658" s="23"/>
      <c r="BP658" s="23"/>
      <c r="BQ658" s="23"/>
      <c r="BR658" s="23"/>
      <c r="BS658" s="23"/>
      <c r="BT658" s="23"/>
      <c r="BU658" s="23"/>
      <c r="BV658" s="23"/>
      <c r="BW658" s="23"/>
      <c r="BX658" s="23"/>
      <c r="BY658" s="23"/>
      <c r="BZ658" s="23"/>
      <c r="CA658" s="23"/>
      <c r="CB658" s="23">
        <v>50000000</v>
      </c>
      <c r="CC658" s="23"/>
      <c r="CD658" s="23"/>
      <c r="CE658" s="23">
        <v>50000000</v>
      </c>
      <c r="CF658" s="28"/>
      <c r="CG658" s="28"/>
      <c r="CH658" s="25">
        <f t="shared" ref="CH658:CI658" si="1308">BH658+BJ658+BL658+BN658+BP658+BR658+BT658+BV658+BX658+BZ658+CB658+CD658+CF658</f>
        <v>50000000</v>
      </c>
      <c r="CI658" s="25">
        <f t="shared" si="1308"/>
        <v>50000000</v>
      </c>
      <c r="CJ658" s="26">
        <f t="shared" si="816"/>
        <v>0</v>
      </c>
      <c r="CK658" s="26">
        <f t="shared" si="817"/>
        <v>0</v>
      </c>
    </row>
    <row r="659" spans="1:89" ht="90" customHeight="1" x14ac:dyDescent="0.3">
      <c r="A659" s="13" t="s">
        <v>248</v>
      </c>
      <c r="B659" s="14" t="s">
        <v>53</v>
      </c>
      <c r="C659" s="15" t="s">
        <v>1676</v>
      </c>
      <c r="D659" s="14" t="s">
        <v>66</v>
      </c>
      <c r="E659" s="13" t="s">
        <v>250</v>
      </c>
      <c r="F659" s="13" t="s">
        <v>250</v>
      </c>
      <c r="G659" s="14">
        <v>23</v>
      </c>
      <c r="H659" s="13" t="s">
        <v>1702</v>
      </c>
      <c r="I659" s="15" t="s">
        <v>1678</v>
      </c>
      <c r="J659" s="14" t="s">
        <v>41</v>
      </c>
      <c r="K659" s="15" t="s">
        <v>95</v>
      </c>
      <c r="L659" s="14" t="s">
        <v>277</v>
      </c>
      <c r="M659" s="14" t="s">
        <v>58</v>
      </c>
      <c r="N659" s="14" t="s">
        <v>278</v>
      </c>
      <c r="O659" s="85" t="s">
        <v>1703</v>
      </c>
      <c r="P659" s="14" t="s">
        <v>549</v>
      </c>
      <c r="Q659" s="14" t="s">
        <v>549</v>
      </c>
      <c r="R659" s="14" t="s">
        <v>280</v>
      </c>
      <c r="S659" s="17">
        <v>12</v>
      </c>
      <c r="T659" s="14" t="s">
        <v>256</v>
      </c>
      <c r="U659" s="14" t="s">
        <v>833</v>
      </c>
      <c r="V659" s="14" t="s">
        <v>113</v>
      </c>
      <c r="W659" s="18">
        <v>120000000</v>
      </c>
      <c r="X659" s="18">
        <v>120000000</v>
      </c>
      <c r="Y659" s="19" t="s">
        <v>339</v>
      </c>
      <c r="Z659" s="19" t="s">
        <v>258</v>
      </c>
      <c r="AA659" s="14" t="s">
        <v>1680</v>
      </c>
      <c r="AB659" s="14" t="s">
        <v>1681</v>
      </c>
      <c r="AC659" s="14">
        <v>6012220601</v>
      </c>
      <c r="AD659" s="14" t="s">
        <v>1682</v>
      </c>
      <c r="AE659" s="82">
        <v>0</v>
      </c>
      <c r="AF659" s="82">
        <v>0</v>
      </c>
      <c r="AG659" s="82">
        <v>0</v>
      </c>
      <c r="AH659" s="82">
        <v>0</v>
      </c>
      <c r="AI659" s="82">
        <v>0</v>
      </c>
      <c r="AJ659" s="82">
        <v>0</v>
      </c>
      <c r="AK659" s="82">
        <v>120000000</v>
      </c>
      <c r="AL659" s="82">
        <v>0</v>
      </c>
      <c r="AM659" s="82">
        <v>0</v>
      </c>
      <c r="AN659" s="82">
        <v>0</v>
      </c>
      <c r="AO659" s="82">
        <v>0</v>
      </c>
      <c r="AP659" s="82">
        <v>120000000</v>
      </c>
      <c r="AQ659" s="82">
        <v>0</v>
      </c>
      <c r="AR659" s="82">
        <v>0</v>
      </c>
      <c r="AS659" s="82">
        <v>0</v>
      </c>
      <c r="AT659" s="82">
        <v>0</v>
      </c>
      <c r="AU659" s="82">
        <v>0</v>
      </c>
      <c r="AV659" s="82">
        <v>0</v>
      </c>
      <c r="AW659" s="82">
        <v>0</v>
      </c>
      <c r="AX659" s="82">
        <v>0</v>
      </c>
      <c r="AY659" s="82">
        <v>0</v>
      </c>
      <c r="AZ659" s="82">
        <v>0</v>
      </c>
      <c r="BA659" s="82">
        <v>0</v>
      </c>
      <c r="BB659" s="82">
        <v>0</v>
      </c>
      <c r="BC659" s="82">
        <f t="shared" ref="BC659:BD659" si="1309">AE659+AG659+AI659+AK659+AM659+AO659+AQ659+AS659+AU659+AW659+AY659+BA659</f>
        <v>120000000</v>
      </c>
      <c r="BD659" s="82">
        <f t="shared" si="1309"/>
        <v>120000000</v>
      </c>
      <c r="BE659" s="83">
        <f t="shared" si="813"/>
        <v>0</v>
      </c>
      <c r="BF659" s="83">
        <f t="shared" si="814"/>
        <v>0</v>
      </c>
      <c r="BG659" s="14" t="str">
        <f ca="1">IFERROR(__xludf.DUMMYFUNCTION("REGEXEXTRACT(O653,""^\S+\s(.+)$"")"),"Adquirir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59" s="23"/>
      <c r="BI659" s="23"/>
      <c r="BJ659" s="23"/>
      <c r="BK659" s="23"/>
      <c r="BL659" s="23"/>
      <c r="BM659" s="23"/>
      <c r="BN659" s="23">
        <v>120000000</v>
      </c>
      <c r="BO659" s="23"/>
      <c r="BP659" s="23"/>
      <c r="BQ659" s="23"/>
      <c r="BR659" s="23"/>
      <c r="BS659" s="23">
        <v>120000000</v>
      </c>
      <c r="BT659" s="23"/>
      <c r="BU659" s="23"/>
      <c r="BV659" s="23"/>
      <c r="BW659" s="23"/>
      <c r="BX659" s="23"/>
      <c r="BY659" s="23"/>
      <c r="BZ659" s="23"/>
      <c r="CA659" s="23"/>
      <c r="CB659" s="23"/>
      <c r="CC659" s="23"/>
      <c r="CD659" s="23"/>
      <c r="CE659" s="23"/>
      <c r="CF659" s="28"/>
      <c r="CG659" s="28"/>
      <c r="CH659" s="25">
        <f t="shared" ref="CH659:CI659" si="1310">BH659+BJ659+BL659+BN659+BP659+BR659+BT659+BV659+BX659+BZ659+CB659+CD659+CF659</f>
        <v>120000000</v>
      </c>
      <c r="CI659" s="25">
        <f t="shared" si="1310"/>
        <v>120000000</v>
      </c>
      <c r="CJ659" s="26">
        <f t="shared" si="816"/>
        <v>0</v>
      </c>
      <c r="CK659" s="26">
        <f t="shared" si="817"/>
        <v>0</v>
      </c>
    </row>
    <row r="660" spans="1:89" ht="90" customHeight="1" x14ac:dyDescent="0.3">
      <c r="A660" s="13" t="s">
        <v>248</v>
      </c>
      <c r="B660" s="14" t="s">
        <v>53</v>
      </c>
      <c r="C660" s="15" t="s">
        <v>1676</v>
      </c>
      <c r="D660" s="14" t="s">
        <v>66</v>
      </c>
      <c r="E660" s="13" t="s">
        <v>250</v>
      </c>
      <c r="F660" s="13" t="s">
        <v>250</v>
      </c>
      <c r="G660" s="14">
        <v>68</v>
      </c>
      <c r="H660" s="13" t="s">
        <v>1704</v>
      </c>
      <c r="I660" s="15" t="s">
        <v>1678</v>
      </c>
      <c r="J660" s="14" t="s">
        <v>41</v>
      </c>
      <c r="K660" s="15" t="s">
        <v>95</v>
      </c>
      <c r="L660" s="14">
        <v>80111620</v>
      </c>
      <c r="M660" s="14" t="s">
        <v>58</v>
      </c>
      <c r="N660" s="14" t="s">
        <v>253</v>
      </c>
      <c r="O660" s="15" t="s">
        <v>1705</v>
      </c>
      <c r="P660" s="14" t="s">
        <v>255</v>
      </c>
      <c r="Q660" s="14" t="s">
        <v>255</v>
      </c>
      <c r="R660" s="14" t="s">
        <v>255</v>
      </c>
      <c r="S660" s="17">
        <v>11</v>
      </c>
      <c r="T660" s="14" t="s">
        <v>256</v>
      </c>
      <c r="U660" s="14" t="s">
        <v>257</v>
      </c>
      <c r="V660" s="14" t="s">
        <v>113</v>
      </c>
      <c r="W660" s="18">
        <v>5950000</v>
      </c>
      <c r="X660" s="18">
        <v>5950000</v>
      </c>
      <c r="Y660" s="19" t="s">
        <v>339</v>
      </c>
      <c r="Z660" s="19" t="s">
        <v>258</v>
      </c>
      <c r="AA660" s="14" t="s">
        <v>1680</v>
      </c>
      <c r="AB660" s="14" t="s">
        <v>1681</v>
      </c>
      <c r="AC660" s="14">
        <v>6012220601</v>
      </c>
      <c r="AD660" s="14" t="s">
        <v>1682</v>
      </c>
      <c r="AE660" s="82">
        <v>5950000</v>
      </c>
      <c r="AF660" s="82">
        <v>0</v>
      </c>
      <c r="AG660" s="82">
        <v>0</v>
      </c>
      <c r="AH660" s="82">
        <v>0</v>
      </c>
      <c r="AI660" s="82">
        <v>0</v>
      </c>
      <c r="AJ660" s="82">
        <v>4950000</v>
      </c>
      <c r="AK660" s="82">
        <v>0</v>
      </c>
      <c r="AL660" s="82">
        <v>1000000</v>
      </c>
      <c r="AM660" s="82">
        <v>0</v>
      </c>
      <c r="AN660" s="82">
        <v>0</v>
      </c>
      <c r="AO660" s="82">
        <v>0</v>
      </c>
      <c r="AP660" s="82">
        <v>0</v>
      </c>
      <c r="AQ660" s="82">
        <v>0</v>
      </c>
      <c r="AR660" s="82">
        <v>0</v>
      </c>
      <c r="AS660" s="82">
        <v>0</v>
      </c>
      <c r="AT660" s="82">
        <v>0</v>
      </c>
      <c r="AU660" s="82">
        <v>0</v>
      </c>
      <c r="AV660" s="82">
        <v>0</v>
      </c>
      <c r="AW660" s="82">
        <v>0</v>
      </c>
      <c r="AX660" s="82">
        <v>0</v>
      </c>
      <c r="AY660" s="82">
        <v>0</v>
      </c>
      <c r="AZ660" s="82">
        <v>0</v>
      </c>
      <c r="BA660" s="82">
        <v>0</v>
      </c>
      <c r="BB660" s="82">
        <v>0</v>
      </c>
      <c r="BC660" s="82">
        <f t="shared" ref="BC660:BD660" si="1311">AE660+AG660+AI660+AK660+AM660+AO660+AQ660+AS660+AU660+AW660+AY660+BA660</f>
        <v>5950000</v>
      </c>
      <c r="BD660" s="82">
        <f t="shared" si="1311"/>
        <v>5950000</v>
      </c>
      <c r="BE660" s="83">
        <f t="shared" si="813"/>
        <v>0</v>
      </c>
      <c r="BF660" s="83">
        <f t="shared" si="814"/>
        <v>0</v>
      </c>
      <c r="BG660" s="14" t="str">
        <f ca="1">IFERROR(__xludf.DUMMYFUNCTION("REGEXEXTRACT(O654,""^\S+\s(.+)$"")"),"Prestar servicios profesionales de apoyo a la Subdirección de Minería para la elaboración de informes asociados a aspectos técnicos, estudios y divulgación de la información del sector minero.")</f>
        <v>Prestar servicios profesionales de apoyo a la Subdirección de Minería para la elaboración de informes asociados a aspectos técnicos, estudios y divulgación de la información del sector minero.</v>
      </c>
      <c r="BH660" s="23">
        <v>5950000</v>
      </c>
      <c r="BI660" s="23"/>
      <c r="BJ660" s="23"/>
      <c r="BK660" s="23"/>
      <c r="BL660" s="23"/>
      <c r="BM660" s="23">
        <v>4950000</v>
      </c>
      <c r="BN660" s="23"/>
      <c r="BO660" s="23">
        <v>1000000</v>
      </c>
      <c r="BP660" s="23"/>
      <c r="BQ660" s="23"/>
      <c r="BR660" s="23"/>
      <c r="BS660" s="23"/>
      <c r="BT660" s="23"/>
      <c r="BU660" s="23"/>
      <c r="BV660" s="23"/>
      <c r="BW660" s="23"/>
      <c r="BX660" s="23"/>
      <c r="BY660" s="23"/>
      <c r="BZ660" s="23"/>
      <c r="CA660" s="23"/>
      <c r="CB660" s="23"/>
      <c r="CC660" s="23"/>
      <c r="CD660" s="23"/>
      <c r="CE660" s="23"/>
      <c r="CF660" s="28"/>
      <c r="CG660" s="28"/>
      <c r="CH660" s="25">
        <f t="shared" ref="CH660:CI660" si="1312">BH660+BJ660+BL660+BN660+BP660+BR660+BT660+BV660+BX660+BZ660+CB660+CD660+CF660</f>
        <v>5950000</v>
      </c>
      <c r="CI660" s="25">
        <f t="shared" si="1312"/>
        <v>5950000</v>
      </c>
      <c r="CJ660" s="26">
        <f t="shared" si="816"/>
        <v>0</v>
      </c>
      <c r="CK660" s="26">
        <f t="shared" si="817"/>
        <v>0</v>
      </c>
    </row>
    <row r="661" spans="1:89" ht="90" customHeight="1" x14ac:dyDescent="0.3">
      <c r="A661" s="13" t="s">
        <v>248</v>
      </c>
      <c r="B661" s="14" t="s">
        <v>53</v>
      </c>
      <c r="C661" s="15" t="s">
        <v>1676</v>
      </c>
      <c r="D661" s="14" t="s">
        <v>66</v>
      </c>
      <c r="E661" s="13" t="s">
        <v>250</v>
      </c>
      <c r="F661" s="13" t="s">
        <v>250</v>
      </c>
      <c r="G661" s="29">
        <v>17</v>
      </c>
      <c r="H661" s="13" t="s">
        <v>1706</v>
      </c>
      <c r="I661" s="15" t="s">
        <v>1678</v>
      </c>
      <c r="J661" s="14" t="s">
        <v>41</v>
      </c>
      <c r="K661" s="15" t="s">
        <v>94</v>
      </c>
      <c r="L661" s="14">
        <v>80141607</v>
      </c>
      <c r="M661" s="14" t="s">
        <v>58</v>
      </c>
      <c r="N661" s="14" t="s">
        <v>284</v>
      </c>
      <c r="O661" s="15" t="s">
        <v>1707</v>
      </c>
      <c r="P661" s="14" t="s">
        <v>255</v>
      </c>
      <c r="Q661" s="14" t="s">
        <v>255</v>
      </c>
      <c r="R661" s="14" t="s">
        <v>255</v>
      </c>
      <c r="S661" s="17">
        <v>11</v>
      </c>
      <c r="T661" s="14" t="s">
        <v>256</v>
      </c>
      <c r="U661" s="14" t="s">
        <v>286</v>
      </c>
      <c r="V661" s="14" t="s">
        <v>113</v>
      </c>
      <c r="W661" s="18">
        <v>22800000</v>
      </c>
      <c r="X661" s="18">
        <v>22800000</v>
      </c>
      <c r="Y661" s="19" t="s">
        <v>339</v>
      </c>
      <c r="Z661" s="19" t="s">
        <v>258</v>
      </c>
      <c r="AA661" s="14" t="s">
        <v>1680</v>
      </c>
      <c r="AB661" s="14" t="s">
        <v>1681</v>
      </c>
      <c r="AC661" s="14">
        <v>6012220601</v>
      </c>
      <c r="AD661" s="14" t="s">
        <v>1682</v>
      </c>
      <c r="AE661" s="82">
        <v>0</v>
      </c>
      <c r="AF661" s="82">
        <v>0</v>
      </c>
      <c r="AG661" s="82">
        <v>0</v>
      </c>
      <c r="AH661" s="82">
        <v>0</v>
      </c>
      <c r="AI661" s="82">
        <v>0</v>
      </c>
      <c r="AJ661" s="82">
        <v>0</v>
      </c>
      <c r="AK661" s="82">
        <v>0</v>
      </c>
      <c r="AL661" s="82">
        <v>0</v>
      </c>
      <c r="AM661" s="82">
        <v>0</v>
      </c>
      <c r="AN661" s="82">
        <v>0</v>
      </c>
      <c r="AO661" s="82">
        <v>0</v>
      </c>
      <c r="AP661" s="82">
        <v>0</v>
      </c>
      <c r="AQ661" s="82">
        <v>0</v>
      </c>
      <c r="AR661" s="82">
        <v>0</v>
      </c>
      <c r="AS661" s="82">
        <v>0</v>
      </c>
      <c r="AT661" s="82">
        <v>0</v>
      </c>
      <c r="AU661" s="82">
        <v>0</v>
      </c>
      <c r="AV661" s="82">
        <v>0</v>
      </c>
      <c r="AW661" s="82">
        <v>0</v>
      </c>
      <c r="AX661" s="82">
        <v>0</v>
      </c>
      <c r="AY661" s="82">
        <v>0</v>
      </c>
      <c r="AZ661" s="82">
        <v>0</v>
      </c>
      <c r="BA661" s="82">
        <v>22800000</v>
      </c>
      <c r="BB661" s="82">
        <v>22800000</v>
      </c>
      <c r="BC661" s="82">
        <f t="shared" ref="BC661:BD661" si="1313">AE661+AG661+AI661+AK661+AM661+AO661+AQ661+AS661+AU661+AW661+AY661+BA661</f>
        <v>22800000</v>
      </c>
      <c r="BD661" s="82">
        <f t="shared" si="1313"/>
        <v>22800000</v>
      </c>
      <c r="BE661" s="83">
        <f t="shared" si="813"/>
        <v>0</v>
      </c>
      <c r="BF661" s="83">
        <f t="shared" si="814"/>
        <v>0</v>
      </c>
      <c r="BG661" s="14" t="str">
        <f ca="1">IFERROR(__xludf.DUMMYFUNCTION("REGEXEXTRACT(O655,""^\S+\s(.+)$"")"),"Prestación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v>22800000</v>
      </c>
      <c r="CE661" s="23">
        <v>22800000</v>
      </c>
      <c r="CF661" s="28"/>
      <c r="CG661" s="28"/>
      <c r="CH661" s="25">
        <f t="shared" ref="CH661:CI661" si="1314">BH661+BJ661+BL661+BN661+BP661+BR661+BT661+BV661+BX661+BZ661+CB661+CD661+CF661</f>
        <v>22800000</v>
      </c>
      <c r="CI661" s="25">
        <f t="shared" si="1314"/>
        <v>22800000</v>
      </c>
      <c r="CJ661" s="26">
        <f t="shared" si="816"/>
        <v>0</v>
      </c>
      <c r="CK661" s="26">
        <f t="shared" si="817"/>
        <v>0</v>
      </c>
    </row>
    <row r="662" spans="1:89" ht="90" customHeight="1" x14ac:dyDescent="0.3">
      <c r="A662" s="13" t="s">
        <v>248</v>
      </c>
      <c r="B662" s="14" t="s">
        <v>53</v>
      </c>
      <c r="C662" s="15" t="s">
        <v>1676</v>
      </c>
      <c r="D662" s="14" t="s">
        <v>66</v>
      </c>
      <c r="E662" s="13" t="s">
        <v>250</v>
      </c>
      <c r="F662" s="13" t="s">
        <v>250</v>
      </c>
      <c r="G662" s="14">
        <v>68</v>
      </c>
      <c r="H662" s="13" t="s">
        <v>1708</v>
      </c>
      <c r="I662" s="15" t="s">
        <v>1678</v>
      </c>
      <c r="J662" s="14" t="s">
        <v>41</v>
      </c>
      <c r="K662" s="15" t="s">
        <v>94</v>
      </c>
      <c r="L662" s="14">
        <v>80111620</v>
      </c>
      <c r="M662" s="14" t="s">
        <v>58</v>
      </c>
      <c r="N662" s="14" t="s">
        <v>253</v>
      </c>
      <c r="O662" s="15" t="s">
        <v>1709</v>
      </c>
      <c r="P662" s="14" t="s">
        <v>255</v>
      </c>
      <c r="Q662" s="14" t="s">
        <v>255</v>
      </c>
      <c r="R662" s="14" t="s">
        <v>255</v>
      </c>
      <c r="S662" s="17">
        <v>11</v>
      </c>
      <c r="T662" s="14" t="s">
        <v>256</v>
      </c>
      <c r="U662" s="14" t="s">
        <v>257</v>
      </c>
      <c r="V662" s="14" t="s">
        <v>113</v>
      </c>
      <c r="W662" s="18">
        <v>12388961</v>
      </c>
      <c r="X662" s="18">
        <v>12388961</v>
      </c>
      <c r="Y662" s="19" t="s">
        <v>339</v>
      </c>
      <c r="Z662" s="19" t="s">
        <v>258</v>
      </c>
      <c r="AA662" s="14" t="s">
        <v>1680</v>
      </c>
      <c r="AB662" s="14" t="s">
        <v>1681</v>
      </c>
      <c r="AC662" s="14">
        <v>6012220601</v>
      </c>
      <c r="AD662" s="14" t="s">
        <v>1682</v>
      </c>
      <c r="AE662" s="82">
        <v>12388961</v>
      </c>
      <c r="AF662" s="82">
        <v>0</v>
      </c>
      <c r="AG662" s="82">
        <v>0</v>
      </c>
      <c r="AH662" s="82">
        <v>5666667</v>
      </c>
      <c r="AI662" s="82">
        <v>0</v>
      </c>
      <c r="AJ662" s="82">
        <v>6722294</v>
      </c>
      <c r="AK662" s="82">
        <v>0</v>
      </c>
      <c r="AL662" s="82">
        <v>0</v>
      </c>
      <c r="AM662" s="82">
        <v>0</v>
      </c>
      <c r="AN662" s="82">
        <v>0</v>
      </c>
      <c r="AO662" s="82">
        <v>0</v>
      </c>
      <c r="AP662" s="82">
        <v>0</v>
      </c>
      <c r="AQ662" s="82">
        <v>0</v>
      </c>
      <c r="AR662" s="82">
        <v>0</v>
      </c>
      <c r="AS662" s="82">
        <v>0</v>
      </c>
      <c r="AT662" s="82">
        <v>0</v>
      </c>
      <c r="AU662" s="82">
        <v>0</v>
      </c>
      <c r="AV662" s="82">
        <v>0</v>
      </c>
      <c r="AW662" s="82">
        <v>0</v>
      </c>
      <c r="AX662" s="82">
        <v>0</v>
      </c>
      <c r="AY662" s="82">
        <v>0</v>
      </c>
      <c r="AZ662" s="82">
        <v>0</v>
      </c>
      <c r="BA662" s="82">
        <v>0</v>
      </c>
      <c r="BB662" s="82">
        <v>0</v>
      </c>
      <c r="BC662" s="82">
        <f t="shared" ref="BC662:BD662" si="1315">AE662+AG662+AI662+AK662+AM662+AO662+AQ662+AS662+AU662+AW662+AY662+BA662</f>
        <v>12388961</v>
      </c>
      <c r="BD662" s="82">
        <f t="shared" si="1315"/>
        <v>12388961</v>
      </c>
      <c r="BE662" s="83">
        <f t="shared" si="813"/>
        <v>0</v>
      </c>
      <c r="BF662" s="83">
        <f t="shared" si="814"/>
        <v>0</v>
      </c>
      <c r="BG662" s="14" t="str">
        <f ca="1">IFERROR(__xludf.DUMMYFUNCTION("REGEXEXTRACT(O656,""^\S+\s(.+)$"")"),"Prestar servicios profesionales de apoyo a la Subdirección de Minería en los aspectos técnicos asociados al cumplimiento de su misionalidad, así como en el acompañamiento en las actividades de divulgación, planeación e investigación del sector minero.")</f>
        <v>Prestar servicios profesionales de apoyo a la Subdirección de Minería en los aspectos técnicos asociados al cumplimiento de su misionalidad, así como en el acompañamiento en las actividades de divulgación, planeación e investigación del sector minero.</v>
      </c>
      <c r="BH662" s="23">
        <v>12388961</v>
      </c>
      <c r="BI662" s="23"/>
      <c r="BJ662" s="23"/>
      <c r="BK662" s="23">
        <v>5666667</v>
      </c>
      <c r="BL662" s="23"/>
      <c r="BM662" s="23">
        <v>6722294</v>
      </c>
      <c r="BN662" s="23"/>
      <c r="BO662" s="23"/>
      <c r="BP662" s="23"/>
      <c r="BQ662" s="23"/>
      <c r="BR662" s="23"/>
      <c r="BS662" s="23"/>
      <c r="BT662" s="23"/>
      <c r="BU662" s="23"/>
      <c r="BV662" s="23"/>
      <c r="BW662" s="23"/>
      <c r="BX662" s="23"/>
      <c r="BY662" s="23"/>
      <c r="BZ662" s="23"/>
      <c r="CA662" s="23"/>
      <c r="CB662" s="23"/>
      <c r="CC662" s="23"/>
      <c r="CD662" s="23"/>
      <c r="CE662" s="23"/>
      <c r="CF662" s="28"/>
      <c r="CG662" s="28"/>
      <c r="CH662" s="25">
        <f t="shared" ref="CH662:CI662" si="1316">BH662+BJ662+BL662+BN662+BP662+BR662+BT662+BV662+BX662+BZ662+CB662+CD662+CF662</f>
        <v>12388961</v>
      </c>
      <c r="CI662" s="25">
        <f t="shared" si="1316"/>
        <v>12388961</v>
      </c>
      <c r="CJ662" s="26">
        <f t="shared" si="816"/>
        <v>0</v>
      </c>
      <c r="CK662" s="26">
        <f t="shared" si="817"/>
        <v>0</v>
      </c>
    </row>
    <row r="663" spans="1:89" ht="90" customHeight="1" x14ac:dyDescent="0.3">
      <c r="A663" s="13" t="s">
        <v>248</v>
      </c>
      <c r="B663" s="14" t="s">
        <v>53</v>
      </c>
      <c r="C663" s="15" t="s">
        <v>1676</v>
      </c>
      <c r="D663" s="14" t="s">
        <v>66</v>
      </c>
      <c r="E663" s="13" t="s">
        <v>250</v>
      </c>
      <c r="F663" s="13" t="s">
        <v>250</v>
      </c>
      <c r="G663" s="14">
        <v>68</v>
      </c>
      <c r="H663" s="13" t="s">
        <v>1710</v>
      </c>
      <c r="I663" s="15" t="s">
        <v>1678</v>
      </c>
      <c r="J663" s="14" t="s">
        <v>41</v>
      </c>
      <c r="K663" s="15" t="s">
        <v>94</v>
      </c>
      <c r="L663" s="14">
        <v>80111620</v>
      </c>
      <c r="M663" s="14" t="s">
        <v>58</v>
      </c>
      <c r="N663" s="14" t="s">
        <v>253</v>
      </c>
      <c r="O663" s="15" t="s">
        <v>1711</v>
      </c>
      <c r="P663" s="14" t="s">
        <v>255</v>
      </c>
      <c r="Q663" s="14" t="s">
        <v>255</v>
      </c>
      <c r="R663" s="14" t="s">
        <v>255</v>
      </c>
      <c r="S663" s="17">
        <v>11</v>
      </c>
      <c r="T663" s="14" t="s">
        <v>256</v>
      </c>
      <c r="U663" s="14" t="s">
        <v>257</v>
      </c>
      <c r="V663" s="14" t="s">
        <v>113</v>
      </c>
      <c r="W663" s="18">
        <v>53775813</v>
      </c>
      <c r="X663" s="18">
        <v>53775813</v>
      </c>
      <c r="Y663" s="19" t="s">
        <v>339</v>
      </c>
      <c r="Z663" s="19" t="s">
        <v>258</v>
      </c>
      <c r="AA663" s="14" t="s">
        <v>1680</v>
      </c>
      <c r="AB663" s="14" t="s">
        <v>1681</v>
      </c>
      <c r="AC663" s="14">
        <v>6012220601</v>
      </c>
      <c r="AD663" s="14" t="s">
        <v>1682</v>
      </c>
      <c r="AE663" s="82">
        <v>53775813</v>
      </c>
      <c r="AF663" s="82">
        <v>0</v>
      </c>
      <c r="AG663" s="82">
        <v>0</v>
      </c>
      <c r="AH663" s="82">
        <v>3300000</v>
      </c>
      <c r="AI663" s="82">
        <v>0</v>
      </c>
      <c r="AJ663" s="82">
        <v>11000000</v>
      </c>
      <c r="AK663" s="82">
        <v>0</v>
      </c>
      <c r="AL663" s="82">
        <v>11000000</v>
      </c>
      <c r="AM663" s="82">
        <v>0</v>
      </c>
      <c r="AN663" s="82">
        <v>11000000</v>
      </c>
      <c r="AO663" s="82">
        <v>0</v>
      </c>
      <c r="AP663" s="82">
        <v>11000000</v>
      </c>
      <c r="AQ663" s="82">
        <v>0</v>
      </c>
      <c r="AR663" s="82">
        <v>6475813</v>
      </c>
      <c r="AS663" s="82">
        <v>0</v>
      </c>
      <c r="AT663" s="82">
        <v>0</v>
      </c>
      <c r="AU663" s="82">
        <v>0</v>
      </c>
      <c r="AV663" s="82">
        <v>0</v>
      </c>
      <c r="AW663" s="82">
        <v>0</v>
      </c>
      <c r="AX663" s="82">
        <v>0</v>
      </c>
      <c r="AY663" s="82">
        <v>0</v>
      </c>
      <c r="AZ663" s="82">
        <v>0</v>
      </c>
      <c r="BA663" s="82">
        <v>0</v>
      </c>
      <c r="BB663" s="82">
        <v>0</v>
      </c>
      <c r="BC663" s="82">
        <f t="shared" ref="BC663:BD663" si="1317">AE663+AG663+AI663+AK663+AM663+AO663+AQ663+AS663+AU663+AW663+AY663+BA663</f>
        <v>53775813</v>
      </c>
      <c r="BD663" s="82">
        <f t="shared" si="1317"/>
        <v>53775813</v>
      </c>
      <c r="BE663" s="83">
        <f t="shared" si="813"/>
        <v>0</v>
      </c>
      <c r="BF663" s="83">
        <f t="shared" si="814"/>
        <v>0</v>
      </c>
      <c r="BG663" s="14" t="str">
        <f ca="1">IFERROR(__xludf.DUMMYFUNCTION("REGEXEXTRACT(O657,""^\S+\s(.+)$"")"),"Prestar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63" s="23">
        <v>53775813</v>
      </c>
      <c r="BI663" s="23"/>
      <c r="BJ663" s="23"/>
      <c r="BK663" s="23">
        <v>3300000</v>
      </c>
      <c r="BL663" s="23"/>
      <c r="BM663" s="23">
        <v>11000000</v>
      </c>
      <c r="BN663" s="23"/>
      <c r="BO663" s="23">
        <v>11000000</v>
      </c>
      <c r="BP663" s="23"/>
      <c r="BQ663" s="23">
        <v>11000000</v>
      </c>
      <c r="BR663" s="23"/>
      <c r="BS663" s="23">
        <v>11000000</v>
      </c>
      <c r="BT663" s="23"/>
      <c r="BU663" s="23">
        <v>6475813</v>
      </c>
      <c r="BV663" s="23"/>
      <c r="BW663" s="23"/>
      <c r="BX663" s="23"/>
      <c r="BY663" s="23"/>
      <c r="BZ663" s="23"/>
      <c r="CA663" s="23"/>
      <c r="CB663" s="23"/>
      <c r="CC663" s="23"/>
      <c r="CD663" s="23"/>
      <c r="CE663" s="23"/>
      <c r="CF663" s="28"/>
      <c r="CG663" s="28"/>
      <c r="CH663" s="25">
        <f t="shared" ref="CH663:CI663" si="1318">BH663+BJ663+BL663+BN663+BP663+BR663+BT663+BV663+BX663+BZ663+CB663+CD663+CF663</f>
        <v>53775813</v>
      </c>
      <c r="CI663" s="25">
        <f t="shared" si="1318"/>
        <v>53775813</v>
      </c>
      <c r="CJ663" s="26">
        <f t="shared" si="816"/>
        <v>0</v>
      </c>
      <c r="CK663" s="26">
        <f t="shared" si="817"/>
        <v>0</v>
      </c>
    </row>
    <row r="664" spans="1:89" ht="90" customHeight="1" x14ac:dyDescent="0.3">
      <c r="A664" s="13" t="s">
        <v>248</v>
      </c>
      <c r="B664" s="14" t="s">
        <v>53</v>
      </c>
      <c r="C664" s="15" t="s">
        <v>1676</v>
      </c>
      <c r="D664" s="14" t="s">
        <v>66</v>
      </c>
      <c r="E664" s="13" t="s">
        <v>250</v>
      </c>
      <c r="F664" s="13" t="s">
        <v>250</v>
      </c>
      <c r="G664" s="14">
        <v>68</v>
      </c>
      <c r="H664" s="13" t="s">
        <v>1712</v>
      </c>
      <c r="I664" s="15" t="s">
        <v>1678</v>
      </c>
      <c r="J664" s="14" t="s">
        <v>41</v>
      </c>
      <c r="K664" s="15" t="s">
        <v>94</v>
      </c>
      <c r="L664" s="14">
        <v>80101507</v>
      </c>
      <c r="M664" s="14" t="s">
        <v>58</v>
      </c>
      <c r="N664" s="14" t="s">
        <v>612</v>
      </c>
      <c r="O664" s="15" t="s">
        <v>1713</v>
      </c>
      <c r="P664" s="14" t="s">
        <v>281</v>
      </c>
      <c r="Q664" s="14" t="s">
        <v>477</v>
      </c>
      <c r="R664" s="14" t="s">
        <v>614</v>
      </c>
      <c r="S664" s="17">
        <v>5</v>
      </c>
      <c r="T664" s="14" t="s">
        <v>256</v>
      </c>
      <c r="U664" s="14" t="s">
        <v>257</v>
      </c>
      <c r="V664" s="14" t="s">
        <v>113</v>
      </c>
      <c r="W664" s="18">
        <v>129631439</v>
      </c>
      <c r="X664" s="18">
        <v>129631439</v>
      </c>
      <c r="Y664" s="19" t="s">
        <v>339</v>
      </c>
      <c r="Z664" s="19" t="s">
        <v>258</v>
      </c>
      <c r="AA664" s="14" t="s">
        <v>1680</v>
      </c>
      <c r="AB664" s="14" t="s">
        <v>1681</v>
      </c>
      <c r="AC664" s="14">
        <v>6012220601</v>
      </c>
      <c r="AD664" s="14" t="s">
        <v>1682</v>
      </c>
      <c r="AE664" s="82">
        <v>0</v>
      </c>
      <c r="AF664" s="82">
        <v>0</v>
      </c>
      <c r="AG664" s="82">
        <v>0</v>
      </c>
      <c r="AH664" s="82">
        <v>0</v>
      </c>
      <c r="AI664" s="82">
        <v>0</v>
      </c>
      <c r="AJ664" s="82">
        <v>0</v>
      </c>
      <c r="AK664" s="82">
        <v>0</v>
      </c>
      <c r="AL664" s="82">
        <v>0</v>
      </c>
      <c r="AM664" s="82">
        <v>0</v>
      </c>
      <c r="AN664" s="82">
        <v>0</v>
      </c>
      <c r="AO664" s="82">
        <v>0</v>
      </c>
      <c r="AP664" s="82">
        <v>0</v>
      </c>
      <c r="AQ664" s="82">
        <v>129631439</v>
      </c>
      <c r="AR664" s="82">
        <v>0</v>
      </c>
      <c r="AS664" s="82">
        <v>0</v>
      </c>
      <c r="AT664" s="82">
        <v>0</v>
      </c>
      <c r="AU664" s="82">
        <v>0</v>
      </c>
      <c r="AV664" s="82">
        <v>25238702</v>
      </c>
      <c r="AW664" s="82">
        <v>0</v>
      </c>
      <c r="AX664" s="82">
        <v>0</v>
      </c>
      <c r="AY664" s="82">
        <v>0</v>
      </c>
      <c r="AZ664" s="82">
        <v>104392737</v>
      </c>
      <c r="BA664" s="82">
        <v>0</v>
      </c>
      <c r="BB664" s="82">
        <v>0</v>
      </c>
      <c r="BC664" s="82">
        <f t="shared" ref="BC664:BD664" si="1319">AE664+AG664+AI664+AK664+AM664+AO664+AQ664+AS664+AU664+AW664+AY664+BA664</f>
        <v>129631439</v>
      </c>
      <c r="BD664" s="82">
        <f t="shared" si="1319"/>
        <v>129631439</v>
      </c>
      <c r="BE664" s="83">
        <f t="shared" si="813"/>
        <v>0</v>
      </c>
      <c r="BF664" s="83">
        <f t="shared" si="814"/>
        <v>0</v>
      </c>
      <c r="BG664" s="14" t="str">
        <f ca="1">IFERROR(__xludf.DUMMYFUNCTION("REGEXEXTRACT(O658,""^\S+\s(.+)$"")"),"Desarrollo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64" s="23"/>
      <c r="BI664" s="23"/>
      <c r="BJ664" s="23"/>
      <c r="BK664" s="23"/>
      <c r="BL664" s="23"/>
      <c r="BM664" s="23"/>
      <c r="BN664" s="23"/>
      <c r="BO664" s="23"/>
      <c r="BP664" s="23"/>
      <c r="BQ664" s="23"/>
      <c r="BR664" s="23"/>
      <c r="BS664" s="23"/>
      <c r="BT664" s="23">
        <v>129631439</v>
      </c>
      <c r="BU664" s="23"/>
      <c r="BV664" s="23"/>
      <c r="BW664" s="23"/>
      <c r="BX664" s="23"/>
      <c r="BY664" s="23">
        <v>25238702</v>
      </c>
      <c r="BZ664" s="23"/>
      <c r="CA664" s="23"/>
      <c r="CB664" s="23"/>
      <c r="CC664" s="23">
        <v>104392737</v>
      </c>
      <c r="CD664" s="23"/>
      <c r="CE664" s="23"/>
      <c r="CF664" s="28"/>
      <c r="CG664" s="28"/>
      <c r="CH664" s="25">
        <f t="shared" ref="CH664:CI664" si="1320">BH664+BJ664+BL664+BN664+BP664+BR664+BT664+BV664+BX664+BZ664+CB664+CD664+CF664</f>
        <v>129631439</v>
      </c>
      <c r="CI664" s="25">
        <f t="shared" si="1320"/>
        <v>129631439</v>
      </c>
      <c r="CJ664" s="26">
        <f t="shared" si="816"/>
        <v>0</v>
      </c>
      <c r="CK664" s="26">
        <f t="shared" si="817"/>
        <v>0</v>
      </c>
    </row>
    <row r="665" spans="1:89" ht="90" customHeight="1" x14ac:dyDescent="0.3">
      <c r="A665" s="13" t="s">
        <v>248</v>
      </c>
      <c r="B665" s="14" t="s">
        <v>53</v>
      </c>
      <c r="C665" s="15" t="s">
        <v>1676</v>
      </c>
      <c r="D665" s="14" t="s">
        <v>66</v>
      </c>
      <c r="E665" s="13" t="s">
        <v>250</v>
      </c>
      <c r="F665" s="13" t="s">
        <v>250</v>
      </c>
      <c r="G665" s="14">
        <v>68</v>
      </c>
      <c r="H665" s="13" t="s">
        <v>1714</v>
      </c>
      <c r="I665" s="15" t="s">
        <v>1678</v>
      </c>
      <c r="J665" s="14" t="s">
        <v>41</v>
      </c>
      <c r="K665" s="15" t="s">
        <v>94</v>
      </c>
      <c r="L665" s="14">
        <v>80111620</v>
      </c>
      <c r="M665" s="14" t="s">
        <v>58</v>
      </c>
      <c r="N665" s="14" t="s">
        <v>253</v>
      </c>
      <c r="O665" s="15" t="s">
        <v>1715</v>
      </c>
      <c r="P665" s="14" t="s">
        <v>255</v>
      </c>
      <c r="Q665" s="14" t="s">
        <v>255</v>
      </c>
      <c r="R665" s="14" t="s">
        <v>255</v>
      </c>
      <c r="S665" s="17">
        <v>11</v>
      </c>
      <c r="T665" s="14" t="s">
        <v>256</v>
      </c>
      <c r="U665" s="14" t="s">
        <v>257</v>
      </c>
      <c r="V665" s="14" t="s">
        <v>113</v>
      </c>
      <c r="W665" s="18">
        <v>21900000</v>
      </c>
      <c r="X665" s="18">
        <v>21900000</v>
      </c>
      <c r="Y665" s="19" t="s">
        <v>339</v>
      </c>
      <c r="Z665" s="19" t="s">
        <v>258</v>
      </c>
      <c r="AA665" s="14" t="s">
        <v>1680</v>
      </c>
      <c r="AB665" s="14" t="s">
        <v>1681</v>
      </c>
      <c r="AC665" s="14">
        <v>6012220601</v>
      </c>
      <c r="AD665" s="14" t="s">
        <v>1682</v>
      </c>
      <c r="AE665" s="82">
        <v>21900000</v>
      </c>
      <c r="AF665" s="82">
        <v>0</v>
      </c>
      <c r="AG665" s="82">
        <v>0</v>
      </c>
      <c r="AH665" s="82">
        <v>0</v>
      </c>
      <c r="AI665" s="82">
        <v>0</v>
      </c>
      <c r="AJ665" s="82">
        <v>3100000</v>
      </c>
      <c r="AK665" s="82">
        <v>0</v>
      </c>
      <c r="AL665" s="82">
        <v>4500000</v>
      </c>
      <c r="AM665" s="82">
        <v>0</v>
      </c>
      <c r="AN665" s="82">
        <v>4500000</v>
      </c>
      <c r="AO665" s="82">
        <v>0</v>
      </c>
      <c r="AP665" s="82">
        <v>4500000</v>
      </c>
      <c r="AQ665" s="82">
        <v>0</v>
      </c>
      <c r="AR665" s="82">
        <v>4500000</v>
      </c>
      <c r="AS665" s="82">
        <v>0</v>
      </c>
      <c r="AT665" s="82">
        <v>800000</v>
      </c>
      <c r="AU665" s="82">
        <v>0</v>
      </c>
      <c r="AV665" s="82">
        <v>0</v>
      </c>
      <c r="AW665" s="82">
        <v>0</v>
      </c>
      <c r="AX665" s="82">
        <v>0</v>
      </c>
      <c r="AY665" s="82">
        <v>0</v>
      </c>
      <c r="AZ665" s="82">
        <v>0</v>
      </c>
      <c r="BA665" s="82">
        <v>0</v>
      </c>
      <c r="BB665" s="82">
        <v>0</v>
      </c>
      <c r="BC665" s="82">
        <f t="shared" ref="BC665:BD665" si="1321">AE665+AG665+AI665+AK665+AM665+AO665+AQ665+AS665+AU665+AW665+AY665+BA665</f>
        <v>21900000</v>
      </c>
      <c r="BD665" s="82">
        <f t="shared" si="1321"/>
        <v>21900000</v>
      </c>
      <c r="BE665" s="83">
        <f t="shared" si="813"/>
        <v>0</v>
      </c>
      <c r="BF665" s="83">
        <f t="shared" si="814"/>
        <v>0</v>
      </c>
      <c r="BG665" s="14" t="str">
        <f ca="1">IFERROR(__xludf.DUMMYFUNCTION("REGEXEXTRACT(O659,""^\S+\s(.+)$"")"),"Prestar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665" s="23">
        <v>21900000</v>
      </c>
      <c r="BI665" s="23"/>
      <c r="BJ665" s="23"/>
      <c r="BK665" s="23"/>
      <c r="BL665" s="23"/>
      <c r="BM665" s="23">
        <v>3100000</v>
      </c>
      <c r="BN665" s="23"/>
      <c r="BO665" s="23">
        <v>4500000</v>
      </c>
      <c r="BP665" s="23"/>
      <c r="BQ665" s="23">
        <v>4500000</v>
      </c>
      <c r="BR665" s="23"/>
      <c r="BS665" s="23">
        <v>4500000</v>
      </c>
      <c r="BT665" s="23"/>
      <c r="BU665" s="23">
        <v>4500000</v>
      </c>
      <c r="BV665" s="23"/>
      <c r="BW665" s="23">
        <v>800000</v>
      </c>
      <c r="BX665" s="23"/>
      <c r="BY665" s="23"/>
      <c r="BZ665" s="23"/>
      <c r="CA665" s="23"/>
      <c r="CB665" s="23"/>
      <c r="CC665" s="23"/>
      <c r="CD665" s="23"/>
      <c r="CE665" s="23"/>
      <c r="CF665" s="28"/>
      <c r="CG665" s="28"/>
      <c r="CH665" s="25">
        <f t="shared" ref="CH665:CI665" si="1322">BH665+BJ665+BL665+BN665+BP665+BR665+BT665+BV665+BX665+BZ665+CB665+CD665+CF665</f>
        <v>21900000</v>
      </c>
      <c r="CI665" s="25">
        <f t="shared" si="1322"/>
        <v>21900000</v>
      </c>
      <c r="CJ665" s="26">
        <f t="shared" si="816"/>
        <v>0</v>
      </c>
      <c r="CK665" s="26">
        <f t="shared" si="817"/>
        <v>0</v>
      </c>
    </row>
    <row r="666" spans="1:89" ht="90" customHeight="1" x14ac:dyDescent="0.3">
      <c r="A666" s="13" t="s">
        <v>248</v>
      </c>
      <c r="B666" s="14" t="s">
        <v>53</v>
      </c>
      <c r="C666" s="15" t="s">
        <v>1676</v>
      </c>
      <c r="D666" s="14" t="s">
        <v>66</v>
      </c>
      <c r="E666" s="13" t="s">
        <v>250</v>
      </c>
      <c r="F666" s="13" t="s">
        <v>250</v>
      </c>
      <c r="G666" s="14">
        <v>68</v>
      </c>
      <c r="H666" s="13" t="s">
        <v>1716</v>
      </c>
      <c r="I666" s="15" t="s">
        <v>1678</v>
      </c>
      <c r="J666" s="14" t="s">
        <v>41</v>
      </c>
      <c r="K666" s="15" t="s">
        <v>96</v>
      </c>
      <c r="L666" s="14">
        <v>80101507</v>
      </c>
      <c r="M666" s="14" t="s">
        <v>58</v>
      </c>
      <c r="N666" s="14" t="s">
        <v>612</v>
      </c>
      <c r="O666" s="15" t="s">
        <v>1717</v>
      </c>
      <c r="P666" s="14" t="s">
        <v>281</v>
      </c>
      <c r="Q666" s="14" t="s">
        <v>477</v>
      </c>
      <c r="R666" s="14" t="s">
        <v>614</v>
      </c>
      <c r="S666" s="17">
        <v>5</v>
      </c>
      <c r="T666" s="14" t="s">
        <v>256</v>
      </c>
      <c r="U666" s="14" t="s">
        <v>257</v>
      </c>
      <c r="V666" s="14" t="s">
        <v>113</v>
      </c>
      <c r="W666" s="18">
        <v>79750000</v>
      </c>
      <c r="X666" s="18">
        <v>79750000</v>
      </c>
      <c r="Y666" s="19" t="s">
        <v>339</v>
      </c>
      <c r="Z666" s="19" t="s">
        <v>258</v>
      </c>
      <c r="AA666" s="14" t="s">
        <v>1680</v>
      </c>
      <c r="AB666" s="14" t="s">
        <v>1681</v>
      </c>
      <c r="AC666" s="14">
        <v>6012220601</v>
      </c>
      <c r="AD666" s="14" t="s">
        <v>1682</v>
      </c>
      <c r="AE666" s="82">
        <v>0</v>
      </c>
      <c r="AF666" s="82">
        <v>0</v>
      </c>
      <c r="AG666" s="82">
        <v>0</v>
      </c>
      <c r="AH666" s="82">
        <v>0</v>
      </c>
      <c r="AI666" s="82">
        <v>0</v>
      </c>
      <c r="AJ666" s="82">
        <v>0</v>
      </c>
      <c r="AK666" s="82">
        <v>0</v>
      </c>
      <c r="AL666" s="82">
        <v>0</v>
      </c>
      <c r="AM666" s="82">
        <v>0</v>
      </c>
      <c r="AN666" s="82">
        <v>0</v>
      </c>
      <c r="AO666" s="82">
        <v>0</v>
      </c>
      <c r="AP666" s="82">
        <v>0</v>
      </c>
      <c r="AQ666" s="82">
        <v>79750000</v>
      </c>
      <c r="AR666" s="82">
        <v>0</v>
      </c>
      <c r="AS666" s="82">
        <v>0</v>
      </c>
      <c r="AT666" s="82">
        <v>0</v>
      </c>
      <c r="AU666" s="82">
        <v>0</v>
      </c>
      <c r="AV666" s="82">
        <v>0</v>
      </c>
      <c r="AW666" s="82">
        <v>0</v>
      </c>
      <c r="AX666" s="82">
        <v>0</v>
      </c>
      <c r="AY666" s="82">
        <v>0</v>
      </c>
      <c r="AZ666" s="82">
        <v>50477404</v>
      </c>
      <c r="BA666" s="82">
        <v>0</v>
      </c>
      <c r="BB666" s="82">
        <v>29272596</v>
      </c>
      <c r="BC666" s="82">
        <f t="shared" ref="BC666:BD666" si="1323">AE666+AG666+AI666+AK666+AM666+AO666+AQ666+AS666+AU666+AW666+AY666+BA666</f>
        <v>79750000</v>
      </c>
      <c r="BD666" s="82">
        <f t="shared" si="1323"/>
        <v>79750000</v>
      </c>
      <c r="BE666" s="83">
        <f t="shared" si="813"/>
        <v>0</v>
      </c>
      <c r="BF666" s="83">
        <f t="shared" si="814"/>
        <v>0</v>
      </c>
      <c r="BG666" s="14" t="str">
        <f ca="1">IFERROR(__xludf.DUMMYFUNCTION("REGEXEXTRACT(O660,""^\S+\s(.+)$"")"),"Desarrollo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66" s="23"/>
      <c r="BI666" s="23"/>
      <c r="BJ666" s="23"/>
      <c r="BK666" s="23"/>
      <c r="BL666" s="23"/>
      <c r="BM666" s="23"/>
      <c r="BN666" s="23"/>
      <c r="BO666" s="23"/>
      <c r="BP666" s="23"/>
      <c r="BQ666" s="23"/>
      <c r="BR666" s="23"/>
      <c r="BS666" s="23"/>
      <c r="BT666" s="23">
        <v>79750000</v>
      </c>
      <c r="BU666" s="23"/>
      <c r="BV666" s="23"/>
      <c r="BW666" s="23"/>
      <c r="BX666" s="23"/>
      <c r="BY666" s="23"/>
      <c r="BZ666" s="23"/>
      <c r="CA666" s="23"/>
      <c r="CB666" s="23"/>
      <c r="CC666" s="23">
        <v>50477404</v>
      </c>
      <c r="CD666" s="23"/>
      <c r="CE666" s="23">
        <v>29272596</v>
      </c>
      <c r="CF666" s="28"/>
      <c r="CG666" s="28"/>
      <c r="CH666" s="25">
        <f t="shared" ref="CH666:CI666" si="1324">BH666+BJ666+BL666+BN666+BP666+BR666+BT666+BV666+BX666+BZ666+CB666+CD666+CF666</f>
        <v>79750000</v>
      </c>
      <c r="CI666" s="25">
        <f t="shared" si="1324"/>
        <v>79750000</v>
      </c>
      <c r="CJ666" s="26">
        <f t="shared" si="816"/>
        <v>0</v>
      </c>
      <c r="CK666" s="26">
        <f t="shared" si="817"/>
        <v>0</v>
      </c>
    </row>
    <row r="667" spans="1:89" ht="90" customHeight="1" x14ac:dyDescent="0.3">
      <c r="A667" s="13" t="s">
        <v>248</v>
      </c>
      <c r="B667" s="14" t="s">
        <v>53</v>
      </c>
      <c r="C667" s="15" t="s">
        <v>1676</v>
      </c>
      <c r="D667" s="14" t="s">
        <v>66</v>
      </c>
      <c r="E667" s="13" t="s">
        <v>250</v>
      </c>
      <c r="F667" s="13" t="s">
        <v>250</v>
      </c>
      <c r="G667" s="14">
        <v>68</v>
      </c>
      <c r="H667" s="13" t="s">
        <v>1718</v>
      </c>
      <c r="I667" s="15" t="s">
        <v>1678</v>
      </c>
      <c r="J667" s="14" t="s">
        <v>41</v>
      </c>
      <c r="K667" s="15" t="s">
        <v>96</v>
      </c>
      <c r="L667" s="14">
        <v>80111620</v>
      </c>
      <c r="M667" s="14" t="s">
        <v>58</v>
      </c>
      <c r="N667" s="14" t="s">
        <v>253</v>
      </c>
      <c r="O667" s="15" t="s">
        <v>1719</v>
      </c>
      <c r="P667" s="14" t="s">
        <v>255</v>
      </c>
      <c r="Q667" s="14" t="s">
        <v>255</v>
      </c>
      <c r="R667" s="14" t="s">
        <v>255</v>
      </c>
      <c r="S667" s="17">
        <v>11</v>
      </c>
      <c r="T667" s="14" t="s">
        <v>256</v>
      </c>
      <c r="U667" s="14" t="s">
        <v>257</v>
      </c>
      <c r="V667" s="14" t="s">
        <v>113</v>
      </c>
      <c r="W667" s="18">
        <v>10250000</v>
      </c>
      <c r="X667" s="18">
        <v>10250000</v>
      </c>
      <c r="Y667" s="19" t="s">
        <v>339</v>
      </c>
      <c r="Z667" s="19" t="s">
        <v>258</v>
      </c>
      <c r="AA667" s="14" t="s">
        <v>1680</v>
      </c>
      <c r="AB667" s="14" t="s">
        <v>1681</v>
      </c>
      <c r="AC667" s="14">
        <v>6012220601</v>
      </c>
      <c r="AD667" s="14" t="s">
        <v>1682</v>
      </c>
      <c r="AE667" s="82">
        <v>10250000</v>
      </c>
      <c r="AF667" s="82">
        <v>0</v>
      </c>
      <c r="AG667" s="82">
        <v>0</v>
      </c>
      <c r="AH667" s="82">
        <v>1444520</v>
      </c>
      <c r="AI667" s="82">
        <v>0</v>
      </c>
      <c r="AJ667" s="82">
        <v>5416950</v>
      </c>
      <c r="AK667" s="82">
        <v>0</v>
      </c>
      <c r="AL667" s="82">
        <v>3388530</v>
      </c>
      <c r="AM667" s="82">
        <v>0</v>
      </c>
      <c r="AN667" s="82">
        <v>0</v>
      </c>
      <c r="AO667" s="82">
        <v>0</v>
      </c>
      <c r="AP667" s="82">
        <v>0</v>
      </c>
      <c r="AQ667" s="82">
        <v>0</v>
      </c>
      <c r="AR667" s="82">
        <v>0</v>
      </c>
      <c r="AS667" s="82">
        <v>0</v>
      </c>
      <c r="AT667" s="82">
        <v>0</v>
      </c>
      <c r="AU667" s="82">
        <v>0</v>
      </c>
      <c r="AV667" s="82">
        <v>0</v>
      </c>
      <c r="AW667" s="82">
        <v>0</v>
      </c>
      <c r="AX667" s="82">
        <v>0</v>
      </c>
      <c r="AY667" s="82">
        <v>0</v>
      </c>
      <c r="AZ667" s="82">
        <v>0</v>
      </c>
      <c r="BA667" s="82">
        <v>0</v>
      </c>
      <c r="BB667" s="82">
        <v>0</v>
      </c>
      <c r="BC667" s="82">
        <f t="shared" ref="BC667:BD667" si="1325">AE667+AG667+AI667+AK667+AM667+AO667+AQ667+AS667+AU667+AW667+AY667+BA667</f>
        <v>10250000</v>
      </c>
      <c r="BD667" s="82">
        <f t="shared" si="1325"/>
        <v>10250000</v>
      </c>
      <c r="BE667" s="83">
        <f t="shared" si="813"/>
        <v>0</v>
      </c>
      <c r="BF667" s="83">
        <f t="shared" si="814"/>
        <v>0</v>
      </c>
      <c r="BG667" s="14" t="str">
        <f ca="1">IFERROR(__xludf.DUMMYFUNCTION("REGEXEXTRACT(O661,""^\S+\s(.+)$"")"),"Prestar servicios profesionales de apoyo a la Subdirección de Minería, en la visibilización de la industria minera a través de los sistemas de divulgación de información minera y la entrega de conocimiento al sector.")</f>
        <v>Prestar servicios profesionales de apoyo a la Subdirección de Minería, en la visibilización de la industria minera a través de los sistemas de divulgación de información minera y la entrega de conocimiento al sector.</v>
      </c>
      <c r="BH667" s="23">
        <v>10250000</v>
      </c>
      <c r="BI667" s="23"/>
      <c r="BJ667" s="23"/>
      <c r="BK667" s="23">
        <v>1444520</v>
      </c>
      <c r="BL667" s="23"/>
      <c r="BM667" s="23">
        <v>5416950</v>
      </c>
      <c r="BN667" s="23"/>
      <c r="BO667" s="23">
        <v>3388530</v>
      </c>
      <c r="BP667" s="23"/>
      <c r="BQ667" s="23"/>
      <c r="BR667" s="23"/>
      <c r="BS667" s="23"/>
      <c r="BT667" s="23"/>
      <c r="BU667" s="23"/>
      <c r="BV667" s="23"/>
      <c r="BW667" s="23"/>
      <c r="BX667" s="23"/>
      <c r="BY667" s="23"/>
      <c r="BZ667" s="23"/>
      <c r="CA667" s="23"/>
      <c r="CB667" s="23"/>
      <c r="CC667" s="23"/>
      <c r="CD667" s="23"/>
      <c r="CE667" s="23"/>
      <c r="CF667" s="28"/>
      <c r="CG667" s="28"/>
      <c r="CH667" s="25">
        <f t="shared" ref="CH667:CI667" si="1326">BH667+BJ667+BL667+BN667+BP667+BR667+BT667+BV667+BX667+BZ667+CB667+CD667+CF667</f>
        <v>10250000</v>
      </c>
      <c r="CI667" s="25">
        <f t="shared" si="1326"/>
        <v>10250000</v>
      </c>
      <c r="CJ667" s="26">
        <f t="shared" si="816"/>
        <v>0</v>
      </c>
      <c r="CK667" s="26">
        <f t="shared" si="817"/>
        <v>0</v>
      </c>
    </row>
    <row r="668" spans="1:89" ht="90" customHeight="1" x14ac:dyDescent="0.3">
      <c r="A668" s="13" t="s">
        <v>248</v>
      </c>
      <c r="B668" s="14" t="s">
        <v>53</v>
      </c>
      <c r="C668" s="15" t="s">
        <v>1676</v>
      </c>
      <c r="D668" s="14" t="s">
        <v>66</v>
      </c>
      <c r="E668" s="13" t="s">
        <v>250</v>
      </c>
      <c r="F668" s="13" t="s">
        <v>250</v>
      </c>
      <c r="G668" s="14">
        <v>17</v>
      </c>
      <c r="H668" s="13" t="s">
        <v>1722</v>
      </c>
      <c r="I668" s="15" t="s">
        <v>1723</v>
      </c>
      <c r="J668" s="14" t="s">
        <v>54</v>
      </c>
      <c r="K668" s="15" t="s">
        <v>93</v>
      </c>
      <c r="L668" s="14">
        <v>81121503</v>
      </c>
      <c r="M668" s="14" t="s">
        <v>55</v>
      </c>
      <c r="N668" s="14" t="s">
        <v>471</v>
      </c>
      <c r="O668" s="15" t="s">
        <v>1724</v>
      </c>
      <c r="P668" s="14" t="s">
        <v>255</v>
      </c>
      <c r="Q668" s="14" t="s">
        <v>255</v>
      </c>
      <c r="R668" s="14" t="s">
        <v>255</v>
      </c>
      <c r="S668" s="17">
        <v>5</v>
      </c>
      <c r="T668" s="14" t="s">
        <v>256</v>
      </c>
      <c r="U668" s="14" t="s">
        <v>1725</v>
      </c>
      <c r="V668" s="14" t="s">
        <v>113</v>
      </c>
      <c r="W668" s="18">
        <v>24750000</v>
      </c>
      <c r="X668" s="18">
        <v>24750000</v>
      </c>
      <c r="Y668" s="19" t="s">
        <v>339</v>
      </c>
      <c r="Z668" s="19" t="s">
        <v>258</v>
      </c>
      <c r="AA668" s="14" t="s">
        <v>1680</v>
      </c>
      <c r="AB668" s="14" t="s">
        <v>1681</v>
      </c>
      <c r="AC668" s="14">
        <v>6012220601</v>
      </c>
      <c r="AD668" s="14" t="s">
        <v>1682</v>
      </c>
      <c r="AE668" s="82">
        <v>0</v>
      </c>
      <c r="AF668" s="82">
        <v>0</v>
      </c>
      <c r="AG668" s="82">
        <v>0</v>
      </c>
      <c r="AH668" s="82">
        <v>0</v>
      </c>
      <c r="AI668" s="82">
        <v>0</v>
      </c>
      <c r="AJ668" s="82">
        <v>0</v>
      </c>
      <c r="AK668" s="82">
        <v>0</v>
      </c>
      <c r="AL668" s="82">
        <v>0</v>
      </c>
      <c r="AM668" s="82">
        <v>0</v>
      </c>
      <c r="AN668" s="82">
        <v>0</v>
      </c>
      <c r="AO668" s="82">
        <v>0</v>
      </c>
      <c r="AP668" s="82">
        <v>0</v>
      </c>
      <c r="AQ668" s="82">
        <v>0</v>
      </c>
      <c r="AR668" s="82">
        <v>0</v>
      </c>
      <c r="AS668" s="82">
        <v>0</v>
      </c>
      <c r="AT668" s="82">
        <v>0</v>
      </c>
      <c r="AU668" s="82">
        <v>0</v>
      </c>
      <c r="AV668" s="82">
        <v>0</v>
      </c>
      <c r="AW668" s="82">
        <v>0</v>
      </c>
      <c r="AX668" s="82">
        <v>0</v>
      </c>
      <c r="AY668" s="82">
        <v>0</v>
      </c>
      <c r="AZ668" s="82">
        <v>0</v>
      </c>
      <c r="BA668" s="82">
        <v>24750000</v>
      </c>
      <c r="BB668" s="82">
        <v>24750000</v>
      </c>
      <c r="BC668" s="82">
        <f t="shared" ref="BC668:BD668" si="1327">AE668+AG668+AI668+AK668+AM668+AO668+AQ668+AS668+AU668+AW668+AY668+BA668</f>
        <v>24750000</v>
      </c>
      <c r="BD668" s="82">
        <f t="shared" si="1327"/>
        <v>24750000</v>
      </c>
      <c r="BE668" s="83">
        <f t="shared" ref="BE668:BE745" si="1328">X668-BC668</f>
        <v>0</v>
      </c>
      <c r="BF668" s="83">
        <f t="shared" ref="BF668:BF745" si="1329">X668-BD668</f>
        <v>0</v>
      </c>
      <c r="BG668" s="14" t="str">
        <f ca="1">IFERROR(__xludf.DUMMYFUNCTION("REGEXEXTRACT(O662,""^\S+\s(.+)$"")")," Elaborar los balances oferta utilización de productos mineros y la cuenta de producción y generación del ingreso en versión provisional para la operación estadística cuenta satélite de minería - CSM, en el marco del modelo genérico del proceso estadístic"&amp;"o GSBPM.")</f>
        <v xml:space="preserve"> Elaborar los balances oferta utilización de productos mineros y la cuenta de producción y generación del ingreso en versión provisional para la operación estadística cuenta satélite de minería - CSM, en el marco del modelo genérico del proceso estadístico GSBPM.</v>
      </c>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v>24750000</v>
      </c>
      <c r="CE668" s="23">
        <v>24750000</v>
      </c>
      <c r="CF668" s="28"/>
      <c r="CG668" s="28"/>
      <c r="CH668" s="25">
        <f t="shared" ref="CH668:CI668" si="1330">BH668+BJ668+BL668+BN668+BP668+BR668+BT668+BV668+BX668+BZ668+CB668+CD668+CF668</f>
        <v>24750000</v>
      </c>
      <c r="CI668" s="25">
        <f t="shared" si="1330"/>
        <v>24750000</v>
      </c>
      <c r="CJ668" s="26">
        <f t="shared" ref="CJ668:CJ783" si="1331">X668-CH668</f>
        <v>0</v>
      </c>
      <c r="CK668" s="26">
        <f t="shared" ref="CK668:CK783" si="1332">X668-CI668</f>
        <v>0</v>
      </c>
    </row>
    <row r="669" spans="1:89" ht="90" customHeight="1" x14ac:dyDescent="0.3">
      <c r="A669" s="13" t="s">
        <v>248</v>
      </c>
      <c r="B669" s="14" t="s">
        <v>53</v>
      </c>
      <c r="C669" s="15" t="s">
        <v>1676</v>
      </c>
      <c r="D669" s="14" t="s">
        <v>66</v>
      </c>
      <c r="E669" s="13" t="s">
        <v>250</v>
      </c>
      <c r="F669" s="13" t="s">
        <v>250</v>
      </c>
      <c r="G669" s="29" t="s">
        <v>1726</v>
      </c>
      <c r="H669" s="13" t="s">
        <v>1727</v>
      </c>
      <c r="I669" s="15" t="s">
        <v>1723</v>
      </c>
      <c r="J669" s="14" t="s">
        <v>54</v>
      </c>
      <c r="K669" s="15" t="s">
        <v>93</v>
      </c>
      <c r="L669" s="14">
        <v>80111620</v>
      </c>
      <c r="M669" s="14" t="s">
        <v>55</v>
      </c>
      <c r="N669" s="14" t="s">
        <v>253</v>
      </c>
      <c r="O669" s="15" t="s">
        <v>1728</v>
      </c>
      <c r="P669" s="14" t="s">
        <v>255</v>
      </c>
      <c r="Q669" s="14" t="s">
        <v>255</v>
      </c>
      <c r="R669" s="14" t="s">
        <v>255</v>
      </c>
      <c r="S669" s="17">
        <v>8</v>
      </c>
      <c r="T669" s="14" t="s">
        <v>256</v>
      </c>
      <c r="U669" s="14" t="s">
        <v>257</v>
      </c>
      <c r="V669" s="14" t="s">
        <v>113</v>
      </c>
      <c r="W669" s="18">
        <v>8600000</v>
      </c>
      <c r="X669" s="18">
        <v>8600000</v>
      </c>
      <c r="Y669" s="19" t="s">
        <v>339</v>
      </c>
      <c r="Z669" s="19" t="s">
        <v>258</v>
      </c>
      <c r="AA669" s="14" t="s">
        <v>1680</v>
      </c>
      <c r="AB669" s="14" t="s">
        <v>1681</v>
      </c>
      <c r="AC669" s="14">
        <v>6012220601</v>
      </c>
      <c r="AD669" s="14" t="s">
        <v>1682</v>
      </c>
      <c r="AE669" s="82">
        <v>0</v>
      </c>
      <c r="AF669" s="82">
        <v>0</v>
      </c>
      <c r="AG669" s="82">
        <v>8600000</v>
      </c>
      <c r="AH669" s="82">
        <v>0</v>
      </c>
      <c r="AI669" s="82">
        <v>0</v>
      </c>
      <c r="AJ669" s="82">
        <v>4837500</v>
      </c>
      <c r="AK669" s="82">
        <v>0</v>
      </c>
      <c r="AL669" s="82">
        <v>3762500</v>
      </c>
      <c r="AM669" s="82">
        <v>0</v>
      </c>
      <c r="AN669" s="82">
        <v>0</v>
      </c>
      <c r="AO669" s="82">
        <v>0</v>
      </c>
      <c r="AP669" s="82">
        <v>0</v>
      </c>
      <c r="AQ669" s="82">
        <v>0</v>
      </c>
      <c r="AR669" s="82">
        <v>0</v>
      </c>
      <c r="AS669" s="82">
        <v>0</v>
      </c>
      <c r="AT669" s="82">
        <v>0</v>
      </c>
      <c r="AU669" s="82">
        <v>0</v>
      </c>
      <c r="AV669" s="82">
        <v>0</v>
      </c>
      <c r="AW669" s="82">
        <v>0</v>
      </c>
      <c r="AX669" s="82">
        <v>0</v>
      </c>
      <c r="AY669" s="82">
        <v>0</v>
      </c>
      <c r="AZ669" s="82">
        <v>0</v>
      </c>
      <c r="BA669" s="82">
        <v>0</v>
      </c>
      <c r="BB669" s="82">
        <v>0</v>
      </c>
      <c r="BC669" s="82">
        <f t="shared" ref="BC669:BD669" si="1333">AE669+AG669+AI669+AK669+AM669+AO669+AQ669+AS669+AU669+AW669+AY669+BA669</f>
        <v>8600000</v>
      </c>
      <c r="BD669" s="82">
        <f t="shared" si="1333"/>
        <v>8600000</v>
      </c>
      <c r="BE669" s="83">
        <f t="shared" si="1328"/>
        <v>0</v>
      </c>
      <c r="BF669" s="83">
        <f t="shared" si="1329"/>
        <v>0</v>
      </c>
      <c r="BG669" s="14" t="str">
        <f ca="1">IFERROR(__xludf.DUMMYFUNCTION("REGEXEXTRACT(O663,""^\S+\s(.+)$"")"),"Prestar servicios profesionales para brindar apoyo en la Subdirección de Minería, en la elaboración de estudios técnicos asociados a la actividad minera y documentos de investigación.")</f>
        <v>Prestar servicios profesionales para brindar apoyo en la Subdirección de Minería, en la elaboración de estudios técnicos asociados a la actividad minera y documentos de investigación.</v>
      </c>
      <c r="BH669" s="23"/>
      <c r="BI669" s="23"/>
      <c r="BJ669" s="23">
        <v>8600000</v>
      </c>
      <c r="BK669" s="23"/>
      <c r="BL669" s="23"/>
      <c r="BM669" s="23">
        <v>4837500</v>
      </c>
      <c r="BN669" s="23"/>
      <c r="BO669" s="23">
        <v>3762500</v>
      </c>
      <c r="BP669" s="23"/>
      <c r="BQ669" s="23"/>
      <c r="BR669" s="23"/>
      <c r="BS669" s="23"/>
      <c r="BT669" s="23"/>
      <c r="BU669" s="23"/>
      <c r="BV669" s="23"/>
      <c r="BW669" s="23"/>
      <c r="BX669" s="23"/>
      <c r="BY669" s="23"/>
      <c r="BZ669" s="23"/>
      <c r="CA669" s="23"/>
      <c r="CB669" s="23"/>
      <c r="CC669" s="23"/>
      <c r="CD669" s="23"/>
      <c r="CE669" s="23"/>
      <c r="CF669" s="28"/>
      <c r="CG669" s="28"/>
      <c r="CH669" s="25">
        <f t="shared" ref="CH669:CI669" si="1334">BH669+BJ669+BL669+BN669+BP669+BR669+BT669+BV669+BX669+BZ669+CB669+CD669+CF669</f>
        <v>8600000</v>
      </c>
      <c r="CI669" s="25">
        <f t="shared" si="1334"/>
        <v>8600000</v>
      </c>
      <c r="CJ669" s="26">
        <f t="shared" si="1331"/>
        <v>0</v>
      </c>
      <c r="CK669" s="26">
        <f t="shared" si="1332"/>
        <v>0</v>
      </c>
    </row>
    <row r="670" spans="1:89" ht="90" customHeight="1" x14ac:dyDescent="0.3">
      <c r="A670" s="13" t="s">
        <v>248</v>
      </c>
      <c r="B670" s="14" t="s">
        <v>53</v>
      </c>
      <c r="C670" s="15" t="s">
        <v>1676</v>
      </c>
      <c r="D670" s="14" t="s">
        <v>66</v>
      </c>
      <c r="E670" s="13" t="s">
        <v>250</v>
      </c>
      <c r="F670" s="13" t="s">
        <v>250</v>
      </c>
      <c r="G670" s="14">
        <v>68</v>
      </c>
      <c r="H670" s="13" t="s">
        <v>1729</v>
      </c>
      <c r="I670" s="15" t="s">
        <v>1723</v>
      </c>
      <c r="J670" s="14" t="s">
        <v>54</v>
      </c>
      <c r="K670" s="15" t="s">
        <v>93</v>
      </c>
      <c r="L670" s="14">
        <v>80111620</v>
      </c>
      <c r="M670" s="14" t="s">
        <v>55</v>
      </c>
      <c r="N670" s="14" t="s">
        <v>253</v>
      </c>
      <c r="O670" s="15" t="s">
        <v>1730</v>
      </c>
      <c r="P670" s="14" t="s">
        <v>255</v>
      </c>
      <c r="Q670" s="14" t="s">
        <v>255</v>
      </c>
      <c r="R670" s="14" t="s">
        <v>255</v>
      </c>
      <c r="S670" s="17">
        <v>10</v>
      </c>
      <c r="T670" s="14" t="s">
        <v>256</v>
      </c>
      <c r="U670" s="14" t="s">
        <v>257</v>
      </c>
      <c r="V670" s="14" t="s">
        <v>113</v>
      </c>
      <c r="W670" s="18">
        <v>23000000</v>
      </c>
      <c r="X670" s="18">
        <v>23000000</v>
      </c>
      <c r="Y670" s="19" t="s">
        <v>339</v>
      </c>
      <c r="Z670" s="19" t="s">
        <v>258</v>
      </c>
      <c r="AA670" s="14" t="s">
        <v>1680</v>
      </c>
      <c r="AB670" s="14" t="s">
        <v>1681</v>
      </c>
      <c r="AC670" s="14">
        <v>6012220601</v>
      </c>
      <c r="AD670" s="14" t="s">
        <v>1682</v>
      </c>
      <c r="AE670" s="82">
        <v>23000000</v>
      </c>
      <c r="AF670" s="82">
        <v>0</v>
      </c>
      <c r="AG670" s="82">
        <v>0</v>
      </c>
      <c r="AH670" s="82">
        <v>213333</v>
      </c>
      <c r="AI670" s="82">
        <v>0</v>
      </c>
      <c r="AJ670" s="82">
        <v>3200000</v>
      </c>
      <c r="AK670" s="82">
        <v>0</v>
      </c>
      <c r="AL670" s="82">
        <v>3200000</v>
      </c>
      <c r="AM670" s="82">
        <v>0</v>
      </c>
      <c r="AN670" s="82">
        <v>3200000</v>
      </c>
      <c r="AO670" s="82">
        <v>0</v>
      </c>
      <c r="AP670" s="82">
        <v>3200000</v>
      </c>
      <c r="AQ670" s="82">
        <v>0</v>
      </c>
      <c r="AR670" s="82">
        <v>3200000</v>
      </c>
      <c r="AS670" s="82">
        <v>0</v>
      </c>
      <c r="AT670" s="82">
        <v>3200000</v>
      </c>
      <c r="AU670" s="82">
        <v>0</v>
      </c>
      <c r="AV670" s="82">
        <v>3200000</v>
      </c>
      <c r="AW670" s="82">
        <v>0</v>
      </c>
      <c r="AX670" s="82">
        <v>386667</v>
      </c>
      <c r="AY670" s="82">
        <v>0</v>
      </c>
      <c r="AZ670" s="82">
        <v>0</v>
      </c>
      <c r="BA670" s="82">
        <v>0</v>
      </c>
      <c r="BB670" s="82">
        <v>0</v>
      </c>
      <c r="BC670" s="82">
        <f t="shared" ref="BC670:BD670" si="1335">AE670+AG670+AI670+AK670+AM670+AO670+AQ670+AS670+AU670+AW670+AY670+BA670</f>
        <v>23000000</v>
      </c>
      <c r="BD670" s="82">
        <f t="shared" si="1335"/>
        <v>23000000</v>
      </c>
      <c r="BE670" s="83">
        <f t="shared" si="1328"/>
        <v>0</v>
      </c>
      <c r="BF670" s="83">
        <f t="shared" si="1329"/>
        <v>0</v>
      </c>
      <c r="BG670" s="14" t="str">
        <f ca="1">IFERROR(__xludf.DUMMYFUNCTION("REGEXEXTRACT(O664,""^\S+\s(.+)$"")"),"Prestar servicios profesionales para apoyar a la Subdirección de Minería mediante la generación de análisis técnicos y sociales que contribuyan a la elaboración de documentos de investigación y variables interseccionales.")</f>
        <v>Prestar servicios profesionales para apoyar a la Subdirección de Minería mediante la generación de análisis técnicos y sociales que contribuyan a la elaboración de documentos de investigación y variables interseccionales.</v>
      </c>
      <c r="BH670" s="23">
        <v>23000000</v>
      </c>
      <c r="BI670" s="23"/>
      <c r="BJ670" s="23"/>
      <c r="BK670" s="23">
        <v>213333</v>
      </c>
      <c r="BL670" s="23"/>
      <c r="BM670" s="23">
        <v>3200000</v>
      </c>
      <c r="BN670" s="23"/>
      <c r="BO670" s="23">
        <v>3200000</v>
      </c>
      <c r="BP670" s="23"/>
      <c r="BQ670" s="23">
        <v>3200000</v>
      </c>
      <c r="BR670" s="23"/>
      <c r="BS670" s="23">
        <v>3200000</v>
      </c>
      <c r="BT670" s="23"/>
      <c r="BU670" s="23">
        <v>3200000</v>
      </c>
      <c r="BV670" s="23"/>
      <c r="BW670" s="23">
        <v>3200000</v>
      </c>
      <c r="BX670" s="23"/>
      <c r="BY670" s="23">
        <v>3200000</v>
      </c>
      <c r="BZ670" s="23"/>
      <c r="CA670" s="23">
        <v>386667</v>
      </c>
      <c r="CB670" s="23"/>
      <c r="CC670" s="23"/>
      <c r="CD670" s="23"/>
      <c r="CE670" s="23"/>
      <c r="CF670" s="28"/>
      <c r="CG670" s="28"/>
      <c r="CH670" s="25">
        <f t="shared" ref="CH670:CI670" si="1336">BH670+BJ670+BL670+BN670+BP670+BR670+BT670+BV670+BX670+BZ670+CB670+CD670+CF670</f>
        <v>23000000</v>
      </c>
      <c r="CI670" s="25">
        <f t="shared" si="1336"/>
        <v>23000000</v>
      </c>
      <c r="CJ670" s="26">
        <f t="shared" si="1331"/>
        <v>0</v>
      </c>
      <c r="CK670" s="26">
        <f t="shared" si="1332"/>
        <v>0</v>
      </c>
    </row>
    <row r="671" spans="1:89" ht="90" customHeight="1" x14ac:dyDescent="0.3">
      <c r="A671" s="13" t="s">
        <v>248</v>
      </c>
      <c r="B671" s="14" t="s">
        <v>53</v>
      </c>
      <c r="C671" s="15" t="s">
        <v>1676</v>
      </c>
      <c r="D671" s="14" t="s">
        <v>66</v>
      </c>
      <c r="E671" s="13" t="s">
        <v>250</v>
      </c>
      <c r="F671" s="13" t="s">
        <v>250</v>
      </c>
      <c r="G671" s="14">
        <v>68</v>
      </c>
      <c r="H671" s="13" t="s">
        <v>1731</v>
      </c>
      <c r="I671" s="15" t="s">
        <v>1723</v>
      </c>
      <c r="J671" s="14" t="s">
        <v>54</v>
      </c>
      <c r="K671" s="15" t="s">
        <v>93</v>
      </c>
      <c r="L671" s="14">
        <v>80111620</v>
      </c>
      <c r="M671" s="14" t="s">
        <v>55</v>
      </c>
      <c r="N671" s="14" t="s">
        <v>253</v>
      </c>
      <c r="O671" s="15" t="s">
        <v>1732</v>
      </c>
      <c r="P671" s="14" t="s">
        <v>255</v>
      </c>
      <c r="Q671" s="14" t="s">
        <v>255</v>
      </c>
      <c r="R671" s="14" t="s">
        <v>255</v>
      </c>
      <c r="S671" s="17">
        <v>11</v>
      </c>
      <c r="T671" s="14" t="s">
        <v>256</v>
      </c>
      <c r="U671" s="14" t="s">
        <v>257</v>
      </c>
      <c r="V671" s="14" t="s">
        <v>113</v>
      </c>
      <c r="W671" s="18">
        <v>71500000</v>
      </c>
      <c r="X671" s="18">
        <v>71500000</v>
      </c>
      <c r="Y671" s="19" t="s">
        <v>339</v>
      </c>
      <c r="Z671" s="19" t="s">
        <v>258</v>
      </c>
      <c r="AA671" s="14" t="s">
        <v>1680</v>
      </c>
      <c r="AB671" s="14" t="s">
        <v>1681</v>
      </c>
      <c r="AC671" s="14">
        <v>6012220601</v>
      </c>
      <c r="AD671" s="14" t="s">
        <v>1682</v>
      </c>
      <c r="AE671" s="82">
        <v>0</v>
      </c>
      <c r="AF671" s="82">
        <v>0</v>
      </c>
      <c r="AG671" s="82">
        <v>71500000</v>
      </c>
      <c r="AH671" s="82">
        <v>0</v>
      </c>
      <c r="AI671" s="82">
        <v>0</v>
      </c>
      <c r="AJ671" s="82">
        <v>5850000</v>
      </c>
      <c r="AK671" s="82">
        <v>0</v>
      </c>
      <c r="AL671" s="82">
        <v>6500000</v>
      </c>
      <c r="AM671" s="82">
        <v>0</v>
      </c>
      <c r="AN671" s="82">
        <v>6500000</v>
      </c>
      <c r="AO671" s="82">
        <v>0</v>
      </c>
      <c r="AP671" s="82">
        <v>6500000</v>
      </c>
      <c r="AQ671" s="82">
        <v>0</v>
      </c>
      <c r="AR671" s="82">
        <v>6500000</v>
      </c>
      <c r="AS671" s="82">
        <v>0</v>
      </c>
      <c r="AT671" s="82">
        <v>6500000</v>
      </c>
      <c r="AU671" s="82">
        <v>0</v>
      </c>
      <c r="AV671" s="82">
        <v>6500000</v>
      </c>
      <c r="AW671" s="82">
        <v>0</v>
      </c>
      <c r="AX671" s="82">
        <v>6500000</v>
      </c>
      <c r="AY671" s="82">
        <v>0</v>
      </c>
      <c r="AZ671" s="82">
        <v>6500000</v>
      </c>
      <c r="BA671" s="82">
        <v>0</v>
      </c>
      <c r="BB671" s="82">
        <v>13650000</v>
      </c>
      <c r="BC671" s="82">
        <f t="shared" ref="BC671:BD671" si="1337">AE671+AG671+AI671+AK671+AM671+AO671+AQ671+AS671+AU671+AW671+AY671+BA671</f>
        <v>71500000</v>
      </c>
      <c r="BD671" s="82">
        <f t="shared" si="1337"/>
        <v>71500000</v>
      </c>
      <c r="BE671" s="83">
        <f t="shared" si="1328"/>
        <v>0</v>
      </c>
      <c r="BF671" s="83">
        <f t="shared" si="1329"/>
        <v>0</v>
      </c>
      <c r="BG671" s="14" t="str">
        <f ca="1">IFERROR(__xludf.DUMMYFUNCTION("REGEXEXTRACT(O665,""^\S+\s(.+)$"")"),"Prestar servicios profesionales de apoyo jurídico para acompañar las gestiones necesarias orientadas al cumplimiento de las actividades de la Subdirección de Minería, así como para apoyar la elaboración de documentos de investigación.")</f>
        <v>Prestar servicios profesionales de apoyo jurídico para acompañar las gestiones necesarias orientadas al cumplimiento de las actividades de la Subdirección de Minería, así como para apoyar la elaboración de documentos de investigación.</v>
      </c>
      <c r="BH671" s="23"/>
      <c r="BI671" s="23"/>
      <c r="BJ671" s="23">
        <v>71500000</v>
      </c>
      <c r="BK671" s="23"/>
      <c r="BL671" s="23"/>
      <c r="BM671" s="23">
        <v>5850000</v>
      </c>
      <c r="BN671" s="23"/>
      <c r="BO671" s="23">
        <v>6500000</v>
      </c>
      <c r="BP671" s="23"/>
      <c r="BQ671" s="23">
        <v>6500000</v>
      </c>
      <c r="BR671" s="23"/>
      <c r="BS671" s="23">
        <v>6500000</v>
      </c>
      <c r="BT671" s="23"/>
      <c r="BU671" s="23">
        <v>6500000</v>
      </c>
      <c r="BV671" s="23"/>
      <c r="BW671" s="23">
        <v>6500000</v>
      </c>
      <c r="BX671" s="23"/>
      <c r="BY671" s="23">
        <v>6500000</v>
      </c>
      <c r="BZ671" s="23"/>
      <c r="CA671" s="23">
        <v>6500000</v>
      </c>
      <c r="CB671" s="23"/>
      <c r="CC671" s="23">
        <v>6500000</v>
      </c>
      <c r="CD671" s="23"/>
      <c r="CE671" s="23">
        <v>13650000</v>
      </c>
      <c r="CF671" s="28"/>
      <c r="CG671" s="28"/>
      <c r="CH671" s="25">
        <f t="shared" ref="CH671:CI671" si="1338">BH671+BJ671+BL671+BN671+BP671+BR671+BT671+BV671+BX671+BZ671+CB671+CD671+CF671</f>
        <v>71500000</v>
      </c>
      <c r="CI671" s="25">
        <f t="shared" si="1338"/>
        <v>71500000</v>
      </c>
      <c r="CJ671" s="26">
        <f t="shared" si="1331"/>
        <v>0</v>
      </c>
      <c r="CK671" s="26">
        <f t="shared" si="1332"/>
        <v>0</v>
      </c>
    </row>
    <row r="672" spans="1:89" ht="90" customHeight="1" x14ac:dyDescent="0.3">
      <c r="A672" s="13" t="s">
        <v>248</v>
      </c>
      <c r="B672" s="14" t="s">
        <v>53</v>
      </c>
      <c r="C672" s="15" t="s">
        <v>1676</v>
      </c>
      <c r="D672" s="14" t="s">
        <v>66</v>
      </c>
      <c r="E672" s="13" t="s">
        <v>250</v>
      </c>
      <c r="F672" s="13" t="s">
        <v>250</v>
      </c>
      <c r="G672" s="14">
        <v>68</v>
      </c>
      <c r="H672" s="13" t="s">
        <v>1733</v>
      </c>
      <c r="I672" s="15" t="s">
        <v>1723</v>
      </c>
      <c r="J672" s="14" t="s">
        <v>54</v>
      </c>
      <c r="K672" s="15" t="s">
        <v>93</v>
      </c>
      <c r="L672" s="14">
        <v>80111620</v>
      </c>
      <c r="M672" s="14" t="s">
        <v>55</v>
      </c>
      <c r="N672" s="14" t="s">
        <v>253</v>
      </c>
      <c r="O672" s="15" t="s">
        <v>1734</v>
      </c>
      <c r="P672" s="14" t="s">
        <v>255</v>
      </c>
      <c r="Q672" s="14" t="s">
        <v>255</v>
      </c>
      <c r="R672" s="14" t="s">
        <v>255</v>
      </c>
      <c r="S672" s="17">
        <v>11</v>
      </c>
      <c r="T672" s="14" t="s">
        <v>256</v>
      </c>
      <c r="U672" s="14" t="s">
        <v>257</v>
      </c>
      <c r="V672" s="14" t="s">
        <v>113</v>
      </c>
      <c r="W672" s="18">
        <v>30250000</v>
      </c>
      <c r="X672" s="18">
        <v>30250000</v>
      </c>
      <c r="Y672" s="19" t="s">
        <v>339</v>
      </c>
      <c r="Z672" s="19" t="s">
        <v>258</v>
      </c>
      <c r="AA672" s="14" t="s">
        <v>1680</v>
      </c>
      <c r="AB672" s="14" t="s">
        <v>1681</v>
      </c>
      <c r="AC672" s="14">
        <v>6012220601</v>
      </c>
      <c r="AD672" s="14" t="s">
        <v>1682</v>
      </c>
      <c r="AE672" s="82">
        <v>29336450</v>
      </c>
      <c r="AF672" s="82">
        <v>0</v>
      </c>
      <c r="AG672" s="82">
        <v>0</v>
      </c>
      <c r="AH672" s="82">
        <v>0</v>
      </c>
      <c r="AI672" s="82">
        <v>0</v>
      </c>
      <c r="AJ672" s="82">
        <v>0</v>
      </c>
      <c r="AK672" s="82">
        <v>0</v>
      </c>
      <c r="AL672" s="82">
        <v>0</v>
      </c>
      <c r="AM672" s="82">
        <v>0</v>
      </c>
      <c r="AN672" s="82">
        <v>0</v>
      </c>
      <c r="AO672" s="82">
        <v>0</v>
      </c>
      <c r="AP672" s="82">
        <v>0</v>
      </c>
      <c r="AQ672" s="82">
        <v>0</v>
      </c>
      <c r="AR672" s="82">
        <v>0</v>
      </c>
      <c r="AS672" s="82">
        <v>0</v>
      </c>
      <c r="AT672" s="82">
        <v>3876785</v>
      </c>
      <c r="AU672" s="82">
        <v>0</v>
      </c>
      <c r="AV672" s="82">
        <v>5416950</v>
      </c>
      <c r="AW672" s="82">
        <v>0</v>
      </c>
      <c r="AX672" s="82">
        <v>5416950</v>
      </c>
      <c r="AY672" s="82">
        <v>0</v>
      </c>
      <c r="AZ672" s="82">
        <v>5416950</v>
      </c>
      <c r="BA672" s="82">
        <v>913550</v>
      </c>
      <c r="BB672" s="82">
        <v>10122365</v>
      </c>
      <c r="BC672" s="82">
        <f t="shared" ref="BC672:BD672" si="1339">AE672+AG672+AI672+AK672+AM672+AO672+AQ672+AS672+AU672+AW672+AY672+BA672</f>
        <v>30250000</v>
      </c>
      <c r="BD672" s="82">
        <f t="shared" si="1339"/>
        <v>30250000</v>
      </c>
      <c r="BE672" s="83">
        <f t="shared" si="1328"/>
        <v>0</v>
      </c>
      <c r="BF672" s="83">
        <f t="shared" si="1329"/>
        <v>0</v>
      </c>
      <c r="BG672" s="14" t="str">
        <f ca="1">IFERROR(__xludf.DUMMYFUNCTION("REGEXEXTRACT(O666,""^\S+\s(.+)$"")"),"Prestar servicios profesionales de apoyo en la Subdirección de Minería, en el soporte técnico para la determinación del precio base de liquidación de regalías, análisis de datos a través de los sistemas de divulgación de información minera.")</f>
        <v>Prestar servicios profesionales de apoyo en la Subdirección de Minería, en el soporte técnico para la determinación del precio base de liquidación de regalías, análisis de datos a través de los sistemas de divulgación de información minera.</v>
      </c>
      <c r="BH672" s="23">
        <v>29336450</v>
      </c>
      <c r="BI672" s="23"/>
      <c r="BJ672" s="23"/>
      <c r="BK672" s="23"/>
      <c r="BL672" s="23"/>
      <c r="BM672" s="23"/>
      <c r="BN672" s="23"/>
      <c r="BO672" s="23"/>
      <c r="BP672" s="23"/>
      <c r="BQ672" s="23"/>
      <c r="BR672" s="23"/>
      <c r="BS672" s="23"/>
      <c r="BT672" s="23"/>
      <c r="BU672" s="23"/>
      <c r="BV672" s="23"/>
      <c r="BW672" s="23">
        <v>3876785</v>
      </c>
      <c r="BX672" s="23"/>
      <c r="BY672" s="23">
        <v>5416950</v>
      </c>
      <c r="BZ672" s="23"/>
      <c r="CA672" s="23">
        <v>5416950</v>
      </c>
      <c r="CB672" s="23"/>
      <c r="CC672" s="23">
        <v>5416950</v>
      </c>
      <c r="CD672" s="23">
        <v>913550</v>
      </c>
      <c r="CE672" s="23">
        <v>10122365</v>
      </c>
      <c r="CF672" s="28"/>
      <c r="CG672" s="28"/>
      <c r="CH672" s="25">
        <f t="shared" ref="CH672:CI672" si="1340">BH672+BJ672+BL672+BN672+BP672+BR672+BT672+BV672+BX672+BZ672+CB672+CD672+CF672</f>
        <v>30250000</v>
      </c>
      <c r="CI672" s="25">
        <f t="shared" si="1340"/>
        <v>30250000</v>
      </c>
      <c r="CJ672" s="26">
        <f t="shared" si="1331"/>
        <v>0</v>
      </c>
      <c r="CK672" s="26">
        <f t="shared" si="1332"/>
        <v>0</v>
      </c>
    </row>
    <row r="673" spans="1:89" ht="90" customHeight="1" x14ac:dyDescent="0.3">
      <c r="A673" s="13" t="s">
        <v>248</v>
      </c>
      <c r="B673" s="14" t="s">
        <v>53</v>
      </c>
      <c r="C673" s="15" t="s">
        <v>1676</v>
      </c>
      <c r="D673" s="14" t="s">
        <v>66</v>
      </c>
      <c r="E673" s="13" t="s">
        <v>250</v>
      </c>
      <c r="F673" s="13" t="s">
        <v>250</v>
      </c>
      <c r="G673" s="14">
        <v>68</v>
      </c>
      <c r="H673" s="13" t="s">
        <v>1735</v>
      </c>
      <c r="I673" s="15" t="s">
        <v>1723</v>
      </c>
      <c r="J673" s="14" t="s">
        <v>54</v>
      </c>
      <c r="K673" s="15" t="s">
        <v>93</v>
      </c>
      <c r="L673" s="14">
        <v>80111620</v>
      </c>
      <c r="M673" s="14" t="s">
        <v>55</v>
      </c>
      <c r="N673" s="14" t="s">
        <v>253</v>
      </c>
      <c r="O673" s="15" t="s">
        <v>1736</v>
      </c>
      <c r="P673" s="14" t="s">
        <v>255</v>
      </c>
      <c r="Q673" s="14" t="s">
        <v>255</v>
      </c>
      <c r="R673" s="14" t="s">
        <v>255</v>
      </c>
      <c r="S673" s="17">
        <v>11</v>
      </c>
      <c r="T673" s="14" t="s">
        <v>256</v>
      </c>
      <c r="U673" s="14" t="s">
        <v>257</v>
      </c>
      <c r="V673" s="14" t="s">
        <v>113</v>
      </c>
      <c r="W673" s="18">
        <v>50250000</v>
      </c>
      <c r="X673" s="18">
        <v>50250000</v>
      </c>
      <c r="Y673" s="19" t="s">
        <v>339</v>
      </c>
      <c r="Z673" s="19" t="s">
        <v>258</v>
      </c>
      <c r="AA673" s="14" t="s">
        <v>1680</v>
      </c>
      <c r="AB673" s="14" t="s">
        <v>1681</v>
      </c>
      <c r="AC673" s="14">
        <v>6012220601</v>
      </c>
      <c r="AD673" s="14" t="s">
        <v>1682</v>
      </c>
      <c r="AE673" s="82">
        <v>49336450</v>
      </c>
      <c r="AF673" s="82">
        <v>0</v>
      </c>
      <c r="AG673" s="82">
        <v>0</v>
      </c>
      <c r="AH673" s="82">
        <v>0</v>
      </c>
      <c r="AI673" s="82">
        <v>0</v>
      </c>
      <c r="AJ673" s="82">
        <v>0</v>
      </c>
      <c r="AK673" s="82">
        <v>0</v>
      </c>
      <c r="AL673" s="82">
        <v>2028420</v>
      </c>
      <c r="AM673" s="82">
        <v>0</v>
      </c>
      <c r="AN673" s="82">
        <v>5416950</v>
      </c>
      <c r="AO673" s="82">
        <v>0</v>
      </c>
      <c r="AP673" s="82">
        <v>5416950</v>
      </c>
      <c r="AQ673" s="82">
        <v>0</v>
      </c>
      <c r="AR673" s="82">
        <v>5416950</v>
      </c>
      <c r="AS673" s="82">
        <v>0</v>
      </c>
      <c r="AT673" s="82">
        <v>5416950</v>
      </c>
      <c r="AU673" s="82">
        <v>0</v>
      </c>
      <c r="AV673" s="82">
        <v>5416950</v>
      </c>
      <c r="AW673" s="82">
        <v>0</v>
      </c>
      <c r="AX673" s="82">
        <v>5416950</v>
      </c>
      <c r="AY673" s="82">
        <v>0</v>
      </c>
      <c r="AZ673" s="82">
        <v>5416950</v>
      </c>
      <c r="BA673" s="82">
        <v>913550</v>
      </c>
      <c r="BB673" s="82">
        <v>10302930</v>
      </c>
      <c r="BC673" s="82">
        <f t="shared" ref="BC673:BD673" si="1341">AE673+AG673+AI673+AK673+AM673+AO673+AQ673+AS673+AU673+AW673+AY673+BA673</f>
        <v>50250000</v>
      </c>
      <c r="BD673" s="82">
        <f t="shared" si="1341"/>
        <v>50250000</v>
      </c>
      <c r="BE673" s="83">
        <f t="shared" si="1328"/>
        <v>0</v>
      </c>
      <c r="BF673" s="83">
        <f t="shared" si="1329"/>
        <v>0</v>
      </c>
      <c r="BG673" s="14" t="str">
        <f ca="1">IFERROR(__xludf.DUMMYFUNCTION("REGEXEXTRACT(O667,""^\S+\s(.+)$"")"),"Prestar servicios profesionales de apoyo a la Subdirección de Minería, en la visibilización de la industria minera a través de los sistemas de divulgación de información minera y la entrega de conocimiento al sector.")</f>
        <v>Prestar servicios profesionales de apoyo a la Subdirección de Minería, en la visibilización de la industria minera a través de los sistemas de divulgación de información minera y la entrega de conocimiento al sector.</v>
      </c>
      <c r="BH673" s="23">
        <v>49336450</v>
      </c>
      <c r="BI673" s="23"/>
      <c r="BJ673" s="23"/>
      <c r="BK673" s="23"/>
      <c r="BL673" s="23"/>
      <c r="BM673" s="23"/>
      <c r="BN673" s="23"/>
      <c r="BO673" s="23">
        <v>2028420</v>
      </c>
      <c r="BP673" s="23"/>
      <c r="BQ673" s="23">
        <v>5416950</v>
      </c>
      <c r="BR673" s="23"/>
      <c r="BS673" s="23">
        <v>5416950</v>
      </c>
      <c r="BT673" s="23"/>
      <c r="BU673" s="23">
        <v>5416950</v>
      </c>
      <c r="BV673" s="23"/>
      <c r="BW673" s="23">
        <v>5416950</v>
      </c>
      <c r="BX673" s="23"/>
      <c r="BY673" s="23">
        <v>5416950</v>
      </c>
      <c r="BZ673" s="23"/>
      <c r="CA673" s="23">
        <v>5416950</v>
      </c>
      <c r="CB673" s="23"/>
      <c r="CC673" s="23">
        <v>5416950</v>
      </c>
      <c r="CD673" s="23">
        <v>913550</v>
      </c>
      <c r="CE673" s="23">
        <v>10302930</v>
      </c>
      <c r="CF673" s="28"/>
      <c r="CG673" s="28"/>
      <c r="CH673" s="25">
        <f t="shared" ref="CH673:CI673" si="1342">BH673+BJ673+BL673+BN673+BP673+BR673+BT673+BV673+BX673+BZ673+CB673+CD673+CF673</f>
        <v>50250000</v>
      </c>
      <c r="CI673" s="25">
        <f t="shared" si="1342"/>
        <v>50250000</v>
      </c>
      <c r="CJ673" s="26">
        <f t="shared" si="1331"/>
        <v>0</v>
      </c>
      <c r="CK673" s="26">
        <f t="shared" si="1332"/>
        <v>0</v>
      </c>
    </row>
    <row r="674" spans="1:89" ht="90" customHeight="1" x14ac:dyDescent="0.3">
      <c r="A674" s="13" t="s">
        <v>248</v>
      </c>
      <c r="B674" s="14" t="s">
        <v>53</v>
      </c>
      <c r="C674" s="15" t="s">
        <v>1676</v>
      </c>
      <c r="D674" s="14" t="s">
        <v>66</v>
      </c>
      <c r="E674" s="13" t="s">
        <v>250</v>
      </c>
      <c r="F674" s="13" t="s">
        <v>250</v>
      </c>
      <c r="G674" s="14">
        <v>68</v>
      </c>
      <c r="H674" s="13" t="s">
        <v>1737</v>
      </c>
      <c r="I674" s="15" t="s">
        <v>1723</v>
      </c>
      <c r="J674" s="14" t="s">
        <v>54</v>
      </c>
      <c r="K674" s="15" t="s">
        <v>93</v>
      </c>
      <c r="L674" s="14">
        <v>80111620</v>
      </c>
      <c r="M674" s="14" t="s">
        <v>55</v>
      </c>
      <c r="N674" s="14" t="s">
        <v>253</v>
      </c>
      <c r="O674" s="15" t="s">
        <v>1738</v>
      </c>
      <c r="P674" s="14" t="s">
        <v>255</v>
      </c>
      <c r="Q674" s="14" t="s">
        <v>255</v>
      </c>
      <c r="R674" s="14" t="s">
        <v>255</v>
      </c>
      <c r="S674" s="17">
        <v>11</v>
      </c>
      <c r="T674" s="14" t="s">
        <v>256</v>
      </c>
      <c r="U674" s="14" t="s">
        <v>257</v>
      </c>
      <c r="V674" s="14" t="s">
        <v>113</v>
      </c>
      <c r="W674" s="18">
        <v>89715113</v>
      </c>
      <c r="X674" s="18">
        <v>89715113</v>
      </c>
      <c r="Y674" s="19" t="s">
        <v>339</v>
      </c>
      <c r="Z674" s="19" t="s">
        <v>258</v>
      </c>
      <c r="AA674" s="14" t="s">
        <v>1680</v>
      </c>
      <c r="AB674" s="14" t="s">
        <v>1681</v>
      </c>
      <c r="AC674" s="14">
        <v>6012220601</v>
      </c>
      <c r="AD674" s="14" t="s">
        <v>1682</v>
      </c>
      <c r="AE674" s="82">
        <v>89715113</v>
      </c>
      <c r="AF674" s="82">
        <v>0</v>
      </c>
      <c r="AG674" s="82">
        <v>0</v>
      </c>
      <c r="AH674" s="82">
        <v>3150000</v>
      </c>
      <c r="AI674" s="82">
        <v>0</v>
      </c>
      <c r="AJ674" s="82">
        <v>10500000</v>
      </c>
      <c r="AK674" s="82">
        <v>0</v>
      </c>
      <c r="AL674" s="82">
        <v>10500000</v>
      </c>
      <c r="AM674" s="82">
        <v>0</v>
      </c>
      <c r="AN674" s="82">
        <v>10500000</v>
      </c>
      <c r="AO674" s="82">
        <v>0</v>
      </c>
      <c r="AP674" s="82">
        <v>10500000</v>
      </c>
      <c r="AQ674" s="82">
        <v>0</v>
      </c>
      <c r="AR674" s="82">
        <v>10500000</v>
      </c>
      <c r="AS674" s="82">
        <v>0</v>
      </c>
      <c r="AT674" s="82">
        <v>10500000</v>
      </c>
      <c r="AU674" s="82">
        <v>0</v>
      </c>
      <c r="AV674" s="82">
        <v>10500000</v>
      </c>
      <c r="AW674" s="82">
        <v>0</v>
      </c>
      <c r="AX674" s="82">
        <v>10500000</v>
      </c>
      <c r="AY674" s="82">
        <v>0</v>
      </c>
      <c r="AZ674" s="82">
        <v>2565113</v>
      </c>
      <c r="BA674" s="82">
        <v>0</v>
      </c>
      <c r="BB674" s="82">
        <v>0</v>
      </c>
      <c r="BC674" s="82">
        <f t="shared" ref="BC674:BD674" si="1343">AE674+AG674+AI674+AK674+AM674+AO674+AQ674+AS674+AU674+AW674+AY674+BA674</f>
        <v>89715113</v>
      </c>
      <c r="BD674" s="82">
        <f t="shared" si="1343"/>
        <v>89715113</v>
      </c>
      <c r="BE674" s="83">
        <f t="shared" si="1328"/>
        <v>0</v>
      </c>
      <c r="BF674" s="83">
        <f t="shared" si="1329"/>
        <v>0</v>
      </c>
      <c r="BG674" s="14" t="str">
        <f ca="1">IFERROR(__xludf.DUMMYFUNCTION("REGEXEXTRACT(O668,""^\S+\s(.+)$"")"),"Prestar servicios profesionales a la Subdirección de Minería para apoyar la implementación de mejoras funcionales y operativas del Sistema de Información Minero Colombiano (SIMCO), así como el diseño y desarrollo de modelos geoespaciales mediante Sistemas"&amp;" de Información Geográfica (SIG), como insumo para la elaboración de documentos técnicos y de investigación del sector minero.")</f>
        <v>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v>
      </c>
      <c r="BH674" s="23">
        <v>89715113</v>
      </c>
      <c r="BI674" s="23"/>
      <c r="BJ674" s="23"/>
      <c r="BK674" s="23">
        <v>3150000</v>
      </c>
      <c r="BL674" s="23"/>
      <c r="BM674" s="23">
        <v>10500000</v>
      </c>
      <c r="BN674" s="23"/>
      <c r="BO674" s="23">
        <v>10500000</v>
      </c>
      <c r="BP674" s="23"/>
      <c r="BQ674" s="23">
        <v>10500000</v>
      </c>
      <c r="BR674" s="23"/>
      <c r="BS674" s="23">
        <v>10500000</v>
      </c>
      <c r="BT674" s="23"/>
      <c r="BU674" s="23">
        <v>10500000</v>
      </c>
      <c r="BV674" s="23"/>
      <c r="BW674" s="23">
        <v>10500000</v>
      </c>
      <c r="BX674" s="23"/>
      <c r="BY674" s="23">
        <v>10500000</v>
      </c>
      <c r="BZ674" s="23"/>
      <c r="CA674" s="23">
        <v>10500000</v>
      </c>
      <c r="CB674" s="23"/>
      <c r="CC674" s="23">
        <v>2565113</v>
      </c>
      <c r="CD674" s="23"/>
      <c r="CE674" s="23"/>
      <c r="CF674" s="28"/>
      <c r="CG674" s="28"/>
      <c r="CH674" s="25">
        <f t="shared" ref="CH674:CI674" si="1344">BH674+BJ674+BL674+BN674+BP674+BR674+BT674+BV674+BX674+BZ674+CB674+CD674+CF674</f>
        <v>89715113</v>
      </c>
      <c r="CI674" s="25">
        <f t="shared" si="1344"/>
        <v>89715113</v>
      </c>
      <c r="CJ674" s="26">
        <f t="shared" si="1331"/>
        <v>0</v>
      </c>
      <c r="CK674" s="26">
        <f t="shared" si="1332"/>
        <v>0</v>
      </c>
    </row>
    <row r="675" spans="1:89" ht="90" customHeight="1" x14ac:dyDescent="0.3">
      <c r="A675" s="13" t="s">
        <v>248</v>
      </c>
      <c r="B675" s="14" t="s">
        <v>53</v>
      </c>
      <c r="C675" s="15" t="s">
        <v>1676</v>
      </c>
      <c r="D675" s="14" t="s">
        <v>66</v>
      </c>
      <c r="E675" s="13" t="s">
        <v>250</v>
      </c>
      <c r="F675" s="13" t="s">
        <v>250</v>
      </c>
      <c r="G675" s="14">
        <v>68</v>
      </c>
      <c r="H675" s="13" t="s">
        <v>1739</v>
      </c>
      <c r="I675" s="15" t="s">
        <v>1723</v>
      </c>
      <c r="J675" s="14" t="s">
        <v>54</v>
      </c>
      <c r="K675" s="15" t="s">
        <v>93</v>
      </c>
      <c r="L675" s="14">
        <v>43232605</v>
      </c>
      <c r="M675" s="14" t="s">
        <v>55</v>
      </c>
      <c r="N675" s="14" t="s">
        <v>770</v>
      </c>
      <c r="O675" s="15" t="s">
        <v>1740</v>
      </c>
      <c r="P675" s="14" t="s">
        <v>477</v>
      </c>
      <c r="Q675" s="14" t="s">
        <v>477</v>
      </c>
      <c r="R675" s="14" t="s">
        <v>477</v>
      </c>
      <c r="S675" s="17">
        <v>6</v>
      </c>
      <c r="T675" s="14" t="s">
        <v>256</v>
      </c>
      <c r="U675" s="14" t="s">
        <v>282</v>
      </c>
      <c r="V675" s="14" t="s">
        <v>113</v>
      </c>
      <c r="W675" s="18">
        <v>30000000</v>
      </c>
      <c r="X675" s="18">
        <v>30000000</v>
      </c>
      <c r="Y675" s="19" t="s">
        <v>339</v>
      </c>
      <c r="Z675" s="19" t="s">
        <v>258</v>
      </c>
      <c r="AA675" s="14" t="s">
        <v>1680</v>
      </c>
      <c r="AB675" s="14" t="s">
        <v>1681</v>
      </c>
      <c r="AC675" s="14">
        <v>6012220601</v>
      </c>
      <c r="AD675" s="14" t="s">
        <v>1682</v>
      </c>
      <c r="AE675" s="82">
        <v>0</v>
      </c>
      <c r="AF675" s="82">
        <v>0</v>
      </c>
      <c r="AG675" s="82">
        <v>0</v>
      </c>
      <c r="AH675" s="82">
        <v>0</v>
      </c>
      <c r="AI675" s="82">
        <v>0</v>
      </c>
      <c r="AJ675" s="82">
        <v>0</v>
      </c>
      <c r="AK675" s="82">
        <v>0</v>
      </c>
      <c r="AL675" s="82">
        <v>0</v>
      </c>
      <c r="AM675" s="82">
        <v>0</v>
      </c>
      <c r="AN675" s="82">
        <v>0</v>
      </c>
      <c r="AO675" s="82">
        <v>0</v>
      </c>
      <c r="AP675" s="82">
        <v>0</v>
      </c>
      <c r="AQ675" s="82">
        <v>30000000</v>
      </c>
      <c r="AR675" s="82">
        <v>0</v>
      </c>
      <c r="AS675" s="82">
        <v>0</v>
      </c>
      <c r="AT675" s="82">
        <v>0</v>
      </c>
      <c r="AU675" s="82">
        <v>0</v>
      </c>
      <c r="AV675" s="82">
        <v>0</v>
      </c>
      <c r="AW675" s="82">
        <v>0</v>
      </c>
      <c r="AX675" s="82">
        <v>0</v>
      </c>
      <c r="AY675" s="82">
        <v>0</v>
      </c>
      <c r="AZ675" s="82">
        <v>0</v>
      </c>
      <c r="BA675" s="82">
        <v>0</v>
      </c>
      <c r="BB675" s="82">
        <v>30000000</v>
      </c>
      <c r="BC675" s="82">
        <f t="shared" ref="BC675:BD675" si="1345">AE675+AG675+AI675+AK675+AM675+AO675+AQ675+AS675+AU675+AW675+AY675+BA675</f>
        <v>30000000</v>
      </c>
      <c r="BD675" s="82">
        <f t="shared" si="1345"/>
        <v>30000000</v>
      </c>
      <c r="BE675" s="83">
        <f t="shared" si="1328"/>
        <v>0</v>
      </c>
      <c r="BF675" s="83">
        <f t="shared" si="1329"/>
        <v>0</v>
      </c>
      <c r="BG675" s="14" t="str">
        <f ca="1">IFERROR(__xludf.DUMMYFUNCTION("REGEXEXTRACT(O669,""^\S+\s(.+)$"")"),"Actualizar y renovar el licenciamiento ESRI.")</f>
        <v>Actualizar y renovar el licenciamiento ESRI.</v>
      </c>
      <c r="BH675" s="23"/>
      <c r="BI675" s="23"/>
      <c r="BJ675" s="23"/>
      <c r="BK675" s="23"/>
      <c r="BL675" s="23"/>
      <c r="BM675" s="23"/>
      <c r="BN675" s="23"/>
      <c r="BO675" s="23"/>
      <c r="BP675" s="23"/>
      <c r="BQ675" s="23"/>
      <c r="BR675" s="23"/>
      <c r="BS675" s="23"/>
      <c r="BT675" s="23">
        <v>30000000</v>
      </c>
      <c r="BU675" s="23"/>
      <c r="BV675" s="23"/>
      <c r="BW675" s="23"/>
      <c r="BX675" s="23"/>
      <c r="BY675" s="23"/>
      <c r="BZ675" s="23"/>
      <c r="CA675" s="23"/>
      <c r="CB675" s="23"/>
      <c r="CC675" s="23"/>
      <c r="CD675" s="23"/>
      <c r="CE675" s="23">
        <v>30000000</v>
      </c>
      <c r="CF675" s="28"/>
      <c r="CG675" s="28"/>
      <c r="CH675" s="25">
        <f t="shared" ref="CH675:CI675" si="1346">BH675+BJ675+BL675+BN675+BP675+BR675+BT675+BV675+BX675+BZ675+CB675+CD675+CF675</f>
        <v>30000000</v>
      </c>
      <c r="CI675" s="25">
        <f t="shared" si="1346"/>
        <v>30000000</v>
      </c>
      <c r="CJ675" s="26">
        <f t="shared" si="1331"/>
        <v>0</v>
      </c>
      <c r="CK675" s="26">
        <f t="shared" si="1332"/>
        <v>0</v>
      </c>
    </row>
    <row r="676" spans="1:89" ht="90" customHeight="1" x14ac:dyDescent="0.3">
      <c r="A676" s="13" t="s">
        <v>248</v>
      </c>
      <c r="B676" s="14" t="s">
        <v>53</v>
      </c>
      <c r="C676" s="15" t="s">
        <v>1676</v>
      </c>
      <c r="D676" s="14" t="s">
        <v>66</v>
      </c>
      <c r="E676" s="13" t="s">
        <v>250</v>
      </c>
      <c r="F676" s="13" t="s">
        <v>250</v>
      </c>
      <c r="G676" s="14">
        <v>68</v>
      </c>
      <c r="H676" s="13" t="s">
        <v>1741</v>
      </c>
      <c r="I676" s="15" t="s">
        <v>1723</v>
      </c>
      <c r="J676" s="14" t="s">
        <v>54</v>
      </c>
      <c r="K676" s="15" t="s">
        <v>93</v>
      </c>
      <c r="L676" s="14">
        <v>80111620</v>
      </c>
      <c r="M676" s="14" t="s">
        <v>55</v>
      </c>
      <c r="N676" s="14" t="s">
        <v>253</v>
      </c>
      <c r="O676" s="15" t="s">
        <v>1742</v>
      </c>
      <c r="P676" s="14" t="s">
        <v>255</v>
      </c>
      <c r="Q676" s="14" t="s">
        <v>255</v>
      </c>
      <c r="R676" s="14" t="s">
        <v>255</v>
      </c>
      <c r="S676" s="17">
        <v>11</v>
      </c>
      <c r="T676" s="14" t="s">
        <v>256</v>
      </c>
      <c r="U676" s="14" t="s">
        <v>257</v>
      </c>
      <c r="V676" s="14" t="s">
        <v>113</v>
      </c>
      <c r="W676" s="18">
        <v>10500000</v>
      </c>
      <c r="X676" s="18">
        <v>10500000</v>
      </c>
      <c r="Y676" s="19" t="s">
        <v>339</v>
      </c>
      <c r="Z676" s="19" t="s">
        <v>258</v>
      </c>
      <c r="AA676" s="14" t="s">
        <v>1680</v>
      </c>
      <c r="AB676" s="14" t="s">
        <v>1681</v>
      </c>
      <c r="AC676" s="14">
        <v>6012220601</v>
      </c>
      <c r="AD676" s="14" t="s">
        <v>1682</v>
      </c>
      <c r="AE676" s="82">
        <v>10500000</v>
      </c>
      <c r="AF676" s="82">
        <v>0</v>
      </c>
      <c r="AG676" s="82">
        <v>0</v>
      </c>
      <c r="AH676" s="82">
        <v>960000</v>
      </c>
      <c r="AI676" s="82">
        <v>0</v>
      </c>
      <c r="AJ676" s="82">
        <v>3200000</v>
      </c>
      <c r="AK676" s="82">
        <v>0</v>
      </c>
      <c r="AL676" s="82">
        <v>3200000</v>
      </c>
      <c r="AM676" s="82">
        <v>0</v>
      </c>
      <c r="AN676" s="82">
        <v>3140000</v>
      </c>
      <c r="AO676" s="82">
        <v>0</v>
      </c>
      <c r="AP676" s="82">
        <v>0</v>
      </c>
      <c r="AQ676" s="82">
        <v>0</v>
      </c>
      <c r="AR676" s="82">
        <v>0</v>
      </c>
      <c r="AS676" s="82">
        <v>0</v>
      </c>
      <c r="AT676" s="82">
        <v>0</v>
      </c>
      <c r="AU676" s="82">
        <v>0</v>
      </c>
      <c r="AV676" s="82">
        <v>0</v>
      </c>
      <c r="AW676" s="82">
        <v>0</v>
      </c>
      <c r="AX676" s="82">
        <v>0</v>
      </c>
      <c r="AY676" s="82">
        <v>0</v>
      </c>
      <c r="AZ676" s="82">
        <v>0</v>
      </c>
      <c r="BA676" s="82">
        <v>0</v>
      </c>
      <c r="BB676" s="82">
        <v>0</v>
      </c>
      <c r="BC676" s="82">
        <f t="shared" ref="BC676:BD676" si="1347">AE676+AG676+AI676+AK676+AM676+AO676+AQ676+AS676+AU676+AW676+AY676+BA676</f>
        <v>10500000</v>
      </c>
      <c r="BD676" s="82">
        <f t="shared" si="1347"/>
        <v>10500000</v>
      </c>
      <c r="BE676" s="83">
        <f t="shared" si="1328"/>
        <v>0</v>
      </c>
      <c r="BF676" s="83">
        <f t="shared" si="1329"/>
        <v>0</v>
      </c>
      <c r="BG676" s="14" t="str">
        <f ca="1">IFERROR(__xludf.DUMMYFUNCTION("REGEXEXTRACT(O670,""^\S+\s(.+)$"")"),"Prestar servicios profesionales para apoyar a la Subdirección de Minería en la incorporación de aspectos técnicos y sociales que contribuyan al fortalecimiento de la investigación del sector minero.")</f>
        <v>Prestar servicios profesionales para apoyar a la Subdirección de Minería en la incorporación de aspectos técnicos y sociales que contribuyan al fortalecimiento de la investigación del sector minero.</v>
      </c>
      <c r="BH676" s="23">
        <v>10500000</v>
      </c>
      <c r="BI676" s="23"/>
      <c r="BJ676" s="23"/>
      <c r="BK676" s="23">
        <v>960000</v>
      </c>
      <c r="BL676" s="23"/>
      <c r="BM676" s="23">
        <v>3200000</v>
      </c>
      <c r="BN676" s="23"/>
      <c r="BO676" s="23">
        <v>3200000</v>
      </c>
      <c r="BP676" s="23"/>
      <c r="BQ676" s="23">
        <v>3140000</v>
      </c>
      <c r="BR676" s="23"/>
      <c r="BS676" s="23"/>
      <c r="BT676" s="23"/>
      <c r="BU676" s="23"/>
      <c r="BV676" s="23"/>
      <c r="BW676" s="23"/>
      <c r="BX676" s="23"/>
      <c r="BY676" s="23"/>
      <c r="BZ676" s="23"/>
      <c r="CA676" s="23"/>
      <c r="CB676" s="23"/>
      <c r="CC676" s="23"/>
      <c r="CD676" s="23"/>
      <c r="CE676" s="23"/>
      <c r="CF676" s="28"/>
      <c r="CG676" s="28"/>
      <c r="CH676" s="25">
        <f t="shared" ref="CH676:CI676" si="1348">BH676+BJ676+BL676+BN676+BP676+BR676+BT676+BV676+BX676+BZ676+CB676+CD676+CF676</f>
        <v>10500000</v>
      </c>
      <c r="CI676" s="25">
        <f t="shared" si="1348"/>
        <v>10500000</v>
      </c>
      <c r="CJ676" s="26">
        <f t="shared" si="1331"/>
        <v>0</v>
      </c>
      <c r="CK676" s="26">
        <f t="shared" si="1332"/>
        <v>0</v>
      </c>
    </row>
    <row r="677" spans="1:89" ht="90" customHeight="1" x14ac:dyDescent="0.3">
      <c r="A677" s="13" t="s">
        <v>248</v>
      </c>
      <c r="B677" s="14" t="s">
        <v>53</v>
      </c>
      <c r="C677" s="15" t="s">
        <v>1676</v>
      </c>
      <c r="D677" s="14" t="s">
        <v>66</v>
      </c>
      <c r="E677" s="13" t="s">
        <v>250</v>
      </c>
      <c r="F677" s="13" t="s">
        <v>250</v>
      </c>
      <c r="G677" s="14">
        <v>68</v>
      </c>
      <c r="H677" s="13" t="s">
        <v>1743</v>
      </c>
      <c r="I677" s="15" t="s">
        <v>1723</v>
      </c>
      <c r="J677" s="14" t="s">
        <v>54</v>
      </c>
      <c r="K677" s="15" t="s">
        <v>93</v>
      </c>
      <c r="L677" s="14">
        <v>80111620</v>
      </c>
      <c r="M677" s="14" t="s">
        <v>55</v>
      </c>
      <c r="N677" s="14" t="s">
        <v>253</v>
      </c>
      <c r="O677" s="15" t="s">
        <v>1744</v>
      </c>
      <c r="P677" s="14" t="s">
        <v>255</v>
      </c>
      <c r="Q677" s="14" t="s">
        <v>255</v>
      </c>
      <c r="R677" s="14" t="s">
        <v>255</v>
      </c>
      <c r="S677" s="17">
        <v>11</v>
      </c>
      <c r="T677" s="14" t="s">
        <v>256</v>
      </c>
      <c r="U677" s="14" t="s">
        <v>257</v>
      </c>
      <c r="V677" s="14" t="s">
        <v>113</v>
      </c>
      <c r="W677" s="18">
        <v>19925198</v>
      </c>
      <c r="X677" s="18">
        <v>19925198</v>
      </c>
      <c r="Y677" s="19" t="s">
        <v>339</v>
      </c>
      <c r="Z677" s="19" t="s">
        <v>258</v>
      </c>
      <c r="AA677" s="14" t="s">
        <v>1680</v>
      </c>
      <c r="AB677" s="14" t="s">
        <v>1681</v>
      </c>
      <c r="AC677" s="14">
        <v>6012220601</v>
      </c>
      <c r="AD677" s="14" t="s">
        <v>1682</v>
      </c>
      <c r="AE677" s="82">
        <v>19925198</v>
      </c>
      <c r="AF677" s="82">
        <v>0</v>
      </c>
      <c r="AG677" s="82">
        <v>0</v>
      </c>
      <c r="AH677" s="82">
        <v>740000</v>
      </c>
      <c r="AI677" s="82">
        <v>0</v>
      </c>
      <c r="AJ677" s="82">
        <v>7400000</v>
      </c>
      <c r="AK677" s="82">
        <v>0</v>
      </c>
      <c r="AL677" s="82">
        <v>7400000</v>
      </c>
      <c r="AM677" s="82">
        <v>0</v>
      </c>
      <c r="AN677" s="82">
        <v>4385198</v>
      </c>
      <c r="AO677" s="82">
        <v>0</v>
      </c>
      <c r="AP677" s="82">
        <v>0</v>
      </c>
      <c r="AQ677" s="82">
        <v>0</v>
      </c>
      <c r="AR677" s="82">
        <v>0</v>
      </c>
      <c r="AS677" s="82">
        <v>0</v>
      </c>
      <c r="AT677" s="82">
        <v>0</v>
      </c>
      <c r="AU677" s="82">
        <v>0</v>
      </c>
      <c r="AV677" s="82">
        <v>0</v>
      </c>
      <c r="AW677" s="82">
        <v>0</v>
      </c>
      <c r="AX677" s="82">
        <v>0</v>
      </c>
      <c r="AY677" s="82">
        <v>0</v>
      </c>
      <c r="AZ677" s="82">
        <v>0</v>
      </c>
      <c r="BA677" s="82">
        <v>0</v>
      </c>
      <c r="BB677" s="82">
        <v>0</v>
      </c>
      <c r="BC677" s="82">
        <f t="shared" ref="BC677:BD677" si="1349">AE677+AG677+AI677+AK677+AM677+AO677+AQ677+AS677+AU677+AW677+AY677+BA677</f>
        <v>19925198</v>
      </c>
      <c r="BD677" s="82">
        <f t="shared" si="1349"/>
        <v>19925198</v>
      </c>
      <c r="BE677" s="83">
        <f t="shared" si="1328"/>
        <v>0</v>
      </c>
      <c r="BF677" s="83">
        <f t="shared" si="1329"/>
        <v>0</v>
      </c>
      <c r="BG677" s="14" t="str">
        <f ca="1">IFERROR(__xludf.DUMMYFUNCTION("REGEXEXTRACT(O671,""^\S+\s(.+)$"")"),"Prestar servicios profesionales de apoyo a la Subdirección de Minería en los aspectos técnicos asociados al cumplimiento de su misionalidad, así como en el acompañamiento en las actividades de planeación e investigación del sector minero.")</f>
        <v>Prestar servicios profesionales de apoyo a la Subdirección de Minería en los aspectos técnicos asociados al cumplimiento de su misionalidad, así como en el acompañamiento en las actividades de planeación e investigación del sector minero.</v>
      </c>
      <c r="BH677" s="23">
        <v>19925198</v>
      </c>
      <c r="BI677" s="23"/>
      <c r="BJ677" s="23"/>
      <c r="BK677" s="23">
        <v>740000</v>
      </c>
      <c r="BL677" s="23"/>
      <c r="BM677" s="23">
        <v>7400000</v>
      </c>
      <c r="BN677" s="23"/>
      <c r="BO677" s="23">
        <v>7400000</v>
      </c>
      <c r="BP677" s="23"/>
      <c r="BQ677" s="23">
        <v>4385198</v>
      </c>
      <c r="BR677" s="23"/>
      <c r="BS677" s="23"/>
      <c r="BT677" s="23"/>
      <c r="BU677" s="23"/>
      <c r="BV677" s="23"/>
      <c r="BW677" s="23"/>
      <c r="BX677" s="23"/>
      <c r="BY677" s="23"/>
      <c r="BZ677" s="23"/>
      <c r="CA677" s="23"/>
      <c r="CB677" s="23"/>
      <c r="CC677" s="23"/>
      <c r="CD677" s="23"/>
      <c r="CE677" s="23"/>
      <c r="CF677" s="28"/>
      <c r="CG677" s="28"/>
      <c r="CH677" s="25">
        <f t="shared" ref="CH677:CI677" si="1350">BH677+BJ677+BL677+BN677+BP677+BR677+BT677+BV677+BX677+BZ677+CB677+CD677+CF677</f>
        <v>19925198</v>
      </c>
      <c r="CI677" s="25">
        <f t="shared" si="1350"/>
        <v>19925198</v>
      </c>
      <c r="CJ677" s="26">
        <f t="shared" si="1331"/>
        <v>0</v>
      </c>
      <c r="CK677" s="26">
        <f t="shared" si="1332"/>
        <v>0</v>
      </c>
    </row>
    <row r="678" spans="1:89" ht="90" customHeight="1" x14ac:dyDescent="0.3">
      <c r="A678" s="13" t="s">
        <v>248</v>
      </c>
      <c r="B678" s="14" t="s">
        <v>53</v>
      </c>
      <c r="C678" s="15" t="s">
        <v>1676</v>
      </c>
      <c r="D678" s="14" t="s">
        <v>66</v>
      </c>
      <c r="E678" s="13" t="s">
        <v>339</v>
      </c>
      <c r="F678" s="13" t="s">
        <v>250</v>
      </c>
      <c r="G678" s="14">
        <v>68</v>
      </c>
      <c r="H678" s="13" t="s">
        <v>1745</v>
      </c>
      <c r="I678" s="15" t="s">
        <v>1723</v>
      </c>
      <c r="J678" s="14" t="s">
        <v>54</v>
      </c>
      <c r="K678" s="15" t="s">
        <v>93</v>
      </c>
      <c r="L678" s="14" t="s">
        <v>258</v>
      </c>
      <c r="M678" s="14" t="s">
        <v>55</v>
      </c>
      <c r="N678" s="14" t="s">
        <v>341</v>
      </c>
      <c r="O678" s="15" t="s">
        <v>1746</v>
      </c>
      <c r="P678" s="14" t="s">
        <v>258</v>
      </c>
      <c r="Q678" s="14" t="s">
        <v>258</v>
      </c>
      <c r="R678" s="14" t="s">
        <v>258</v>
      </c>
      <c r="S678" s="17" t="s">
        <v>258</v>
      </c>
      <c r="T678" s="14" t="s">
        <v>258</v>
      </c>
      <c r="U678" s="14" t="s">
        <v>258</v>
      </c>
      <c r="V678" s="14" t="s">
        <v>113</v>
      </c>
      <c r="W678" s="18">
        <v>19393571</v>
      </c>
      <c r="X678" s="18">
        <v>19393571</v>
      </c>
      <c r="Y678" s="19" t="s">
        <v>339</v>
      </c>
      <c r="Z678" s="19" t="s">
        <v>258</v>
      </c>
      <c r="AA678" s="14" t="s">
        <v>1680</v>
      </c>
      <c r="AB678" s="14" t="s">
        <v>1681</v>
      </c>
      <c r="AC678" s="14">
        <v>6012220601</v>
      </c>
      <c r="AD678" s="14" t="s">
        <v>1682</v>
      </c>
      <c r="AE678" s="82">
        <v>0</v>
      </c>
      <c r="AF678" s="82">
        <v>0</v>
      </c>
      <c r="AG678" s="82">
        <v>0</v>
      </c>
      <c r="AH678" s="82">
        <v>0</v>
      </c>
      <c r="AI678" s="82">
        <v>1939357</v>
      </c>
      <c r="AJ678" s="82">
        <v>1939357</v>
      </c>
      <c r="AK678" s="82">
        <v>1939357</v>
      </c>
      <c r="AL678" s="82">
        <v>1939357</v>
      </c>
      <c r="AM678" s="82">
        <v>1939357</v>
      </c>
      <c r="AN678" s="82">
        <v>1939357</v>
      </c>
      <c r="AO678" s="82">
        <v>1939357</v>
      </c>
      <c r="AP678" s="82">
        <v>1939357</v>
      </c>
      <c r="AQ678" s="82">
        <v>1939357</v>
      </c>
      <c r="AR678" s="82">
        <v>1939357</v>
      </c>
      <c r="AS678" s="82">
        <v>1939357</v>
      </c>
      <c r="AT678" s="82">
        <v>1939357</v>
      </c>
      <c r="AU678" s="82">
        <v>1939357</v>
      </c>
      <c r="AV678" s="82">
        <v>1939357</v>
      </c>
      <c r="AW678" s="82">
        <v>1939357</v>
      </c>
      <c r="AX678" s="82">
        <v>1939357</v>
      </c>
      <c r="AY678" s="82">
        <v>1939358</v>
      </c>
      <c r="AZ678" s="82">
        <v>1939358</v>
      </c>
      <c r="BA678" s="82">
        <v>1939357</v>
      </c>
      <c r="BB678" s="82">
        <v>1939357</v>
      </c>
      <c r="BC678" s="82">
        <f t="shared" ref="BC678:BD678" si="1351">AE678+AG678+AI678+AK678+AM678+AO678+AQ678+AS678+AU678+AW678+AY678+BA678</f>
        <v>19393571</v>
      </c>
      <c r="BD678" s="82">
        <f t="shared" si="1351"/>
        <v>19393571</v>
      </c>
      <c r="BE678" s="83">
        <f t="shared" si="1328"/>
        <v>0</v>
      </c>
      <c r="BF678" s="83">
        <f t="shared" si="1329"/>
        <v>0</v>
      </c>
      <c r="BG678" s="14" t="str">
        <f ca="1">IFERROR(__xludf.DUMMYFUNCTION("REGEXEXTRACT(O672,""^\S+\s(.+)$"")"),"Viáticos o gastos de desplazamiento")</f>
        <v>Viáticos o gastos de desplazamiento</v>
      </c>
      <c r="BH678" s="23"/>
      <c r="BI678" s="23"/>
      <c r="BJ678" s="23"/>
      <c r="BK678" s="23"/>
      <c r="BL678" s="23">
        <v>1939357</v>
      </c>
      <c r="BM678" s="23">
        <v>1939357</v>
      </c>
      <c r="BN678" s="23">
        <v>1939357</v>
      </c>
      <c r="BO678" s="23">
        <v>1939357</v>
      </c>
      <c r="BP678" s="23">
        <v>1939357</v>
      </c>
      <c r="BQ678" s="23">
        <v>1939357</v>
      </c>
      <c r="BR678" s="23">
        <v>1939357</v>
      </c>
      <c r="BS678" s="23">
        <v>1939357</v>
      </c>
      <c r="BT678" s="23">
        <v>1939357</v>
      </c>
      <c r="BU678" s="23">
        <v>1939357</v>
      </c>
      <c r="BV678" s="23">
        <v>1939357</v>
      </c>
      <c r="BW678" s="23">
        <v>1939357</v>
      </c>
      <c r="BX678" s="23">
        <v>1939357</v>
      </c>
      <c r="BY678" s="23">
        <v>1939357</v>
      </c>
      <c r="BZ678" s="23">
        <v>1939357</v>
      </c>
      <c r="CA678" s="23">
        <v>1939357</v>
      </c>
      <c r="CB678" s="23">
        <v>1939358</v>
      </c>
      <c r="CC678" s="23">
        <v>1939358</v>
      </c>
      <c r="CD678" s="23">
        <v>1939357</v>
      </c>
      <c r="CE678" s="23">
        <v>1939357</v>
      </c>
      <c r="CF678" s="28"/>
      <c r="CG678" s="28"/>
      <c r="CH678" s="25">
        <f t="shared" ref="CH678:CI678" si="1352">BH678+BJ678+BL678+BN678+BP678+BR678+BT678+BV678+BX678+BZ678+CB678+CD678+CF678</f>
        <v>19393571</v>
      </c>
      <c r="CI678" s="25">
        <f t="shared" si="1352"/>
        <v>19393571</v>
      </c>
      <c r="CJ678" s="26">
        <f t="shared" si="1331"/>
        <v>0</v>
      </c>
      <c r="CK678" s="26">
        <f t="shared" si="1332"/>
        <v>0</v>
      </c>
    </row>
    <row r="679" spans="1:89" ht="90" customHeight="1" x14ac:dyDescent="0.3">
      <c r="A679" s="13" t="s">
        <v>248</v>
      </c>
      <c r="B679" s="14" t="s">
        <v>53</v>
      </c>
      <c r="C679" s="15" t="s">
        <v>1676</v>
      </c>
      <c r="D679" s="14" t="s">
        <v>66</v>
      </c>
      <c r="E679" s="13" t="s">
        <v>339</v>
      </c>
      <c r="F679" s="13" t="s">
        <v>250</v>
      </c>
      <c r="G679" s="14">
        <v>68</v>
      </c>
      <c r="H679" s="13" t="s">
        <v>1747</v>
      </c>
      <c r="I679" s="15" t="s">
        <v>1723</v>
      </c>
      <c r="J679" s="14" t="s">
        <v>54</v>
      </c>
      <c r="K679" s="15" t="s">
        <v>93</v>
      </c>
      <c r="L679" s="14" t="s">
        <v>258</v>
      </c>
      <c r="M679" s="14" t="s">
        <v>55</v>
      </c>
      <c r="N679" s="14" t="s">
        <v>341</v>
      </c>
      <c r="O679" s="15" t="s">
        <v>1748</v>
      </c>
      <c r="P679" s="14" t="s">
        <v>258</v>
      </c>
      <c r="Q679" s="14" t="s">
        <v>258</v>
      </c>
      <c r="R679" s="14" t="s">
        <v>258</v>
      </c>
      <c r="S679" s="17" t="s">
        <v>258</v>
      </c>
      <c r="T679" s="14" t="s">
        <v>258</v>
      </c>
      <c r="U679" s="14" t="s">
        <v>258</v>
      </c>
      <c r="V679" s="14" t="s">
        <v>112</v>
      </c>
      <c r="W679" s="18">
        <v>5606429</v>
      </c>
      <c r="X679" s="18">
        <v>5606429</v>
      </c>
      <c r="Y679" s="19" t="s">
        <v>339</v>
      </c>
      <c r="Z679" s="19" t="s">
        <v>258</v>
      </c>
      <c r="AA679" s="14" t="s">
        <v>1680</v>
      </c>
      <c r="AB679" s="14" t="s">
        <v>1681</v>
      </c>
      <c r="AC679" s="14">
        <v>6012220601</v>
      </c>
      <c r="AD679" s="14" t="s">
        <v>1682</v>
      </c>
      <c r="AE679" s="82">
        <v>0</v>
      </c>
      <c r="AF679" s="82">
        <v>0</v>
      </c>
      <c r="AG679" s="82">
        <v>0</v>
      </c>
      <c r="AH679" s="82">
        <v>0</v>
      </c>
      <c r="AI679" s="82">
        <v>560642</v>
      </c>
      <c r="AJ679" s="82">
        <v>560642</v>
      </c>
      <c r="AK679" s="82">
        <v>560642</v>
      </c>
      <c r="AL679" s="82">
        <v>560642</v>
      </c>
      <c r="AM679" s="82">
        <v>560642</v>
      </c>
      <c r="AN679" s="82">
        <v>560642</v>
      </c>
      <c r="AO679" s="82">
        <v>560642</v>
      </c>
      <c r="AP679" s="82">
        <v>560642</v>
      </c>
      <c r="AQ679" s="82">
        <v>560642</v>
      </c>
      <c r="AR679" s="82">
        <v>560642</v>
      </c>
      <c r="AS679" s="82">
        <v>560642</v>
      </c>
      <c r="AT679" s="82">
        <v>560642</v>
      </c>
      <c r="AU679" s="82">
        <v>560642</v>
      </c>
      <c r="AV679" s="82">
        <v>560642</v>
      </c>
      <c r="AW679" s="82">
        <v>560642</v>
      </c>
      <c r="AX679" s="82">
        <v>560642</v>
      </c>
      <c r="AY679" s="82">
        <v>560651</v>
      </c>
      <c r="AZ679" s="82">
        <v>560651</v>
      </c>
      <c r="BA679" s="82">
        <v>560642</v>
      </c>
      <c r="BB679" s="82">
        <v>560642</v>
      </c>
      <c r="BC679" s="82">
        <f t="shared" ref="BC679:BD679" si="1353">AE679+AG679+AI679+AK679+AM679+AO679+AQ679+AS679+AU679+AW679+AY679+BA679</f>
        <v>5606429</v>
      </c>
      <c r="BD679" s="82">
        <f t="shared" si="1353"/>
        <v>5606429</v>
      </c>
      <c r="BE679" s="83">
        <f t="shared" si="1328"/>
        <v>0</v>
      </c>
      <c r="BF679" s="83">
        <f t="shared" si="1329"/>
        <v>0</v>
      </c>
      <c r="BG679" s="14" t="str">
        <f ca="1">IFERROR(__xludf.DUMMYFUNCTION("REGEXEXTRACT(O673,""^\S+\s(.+)$"")"),"Viáticos o gastos de desplazamiento")</f>
        <v>Viáticos o gastos de desplazamiento</v>
      </c>
      <c r="BH679" s="23"/>
      <c r="BI679" s="23"/>
      <c r="BJ679" s="23"/>
      <c r="BK679" s="23"/>
      <c r="BL679" s="23">
        <v>560642</v>
      </c>
      <c r="BM679" s="23">
        <v>560642</v>
      </c>
      <c r="BN679" s="23">
        <v>560642</v>
      </c>
      <c r="BO679" s="23">
        <v>560642</v>
      </c>
      <c r="BP679" s="23">
        <v>560642</v>
      </c>
      <c r="BQ679" s="23">
        <v>560642</v>
      </c>
      <c r="BR679" s="23">
        <v>560642</v>
      </c>
      <c r="BS679" s="23">
        <v>560642</v>
      </c>
      <c r="BT679" s="23">
        <v>560642</v>
      </c>
      <c r="BU679" s="23">
        <v>560642</v>
      </c>
      <c r="BV679" s="23">
        <v>560642</v>
      </c>
      <c r="BW679" s="23">
        <v>560642</v>
      </c>
      <c r="BX679" s="23">
        <v>560642</v>
      </c>
      <c r="BY679" s="23">
        <v>560642</v>
      </c>
      <c r="BZ679" s="23">
        <v>560642</v>
      </c>
      <c r="CA679" s="23">
        <v>560642</v>
      </c>
      <c r="CB679" s="23">
        <v>560651</v>
      </c>
      <c r="CC679" s="23">
        <v>560651</v>
      </c>
      <c r="CD679" s="23">
        <v>560642</v>
      </c>
      <c r="CE679" s="23">
        <v>560642</v>
      </c>
      <c r="CF679" s="28"/>
      <c r="CG679" s="28"/>
      <c r="CH679" s="25">
        <f t="shared" ref="CH679:CI679" si="1354">BH679+BJ679+BL679+BN679+BP679+BR679+BT679+BV679+BX679+BZ679+CB679+CD679+CF679</f>
        <v>5606429</v>
      </c>
      <c r="CI679" s="25">
        <f t="shared" si="1354"/>
        <v>5606429</v>
      </c>
      <c r="CJ679" s="26">
        <f t="shared" si="1331"/>
        <v>0</v>
      </c>
      <c r="CK679" s="26">
        <f t="shared" si="1332"/>
        <v>0</v>
      </c>
    </row>
    <row r="680" spans="1:89" ht="90" customHeight="1" x14ac:dyDescent="0.3">
      <c r="A680" s="13" t="s">
        <v>248</v>
      </c>
      <c r="B680" s="14" t="s">
        <v>53</v>
      </c>
      <c r="C680" s="15" t="s">
        <v>1676</v>
      </c>
      <c r="D680" s="14" t="s">
        <v>66</v>
      </c>
      <c r="E680" s="13" t="s">
        <v>250</v>
      </c>
      <c r="F680" s="13" t="s">
        <v>250</v>
      </c>
      <c r="G680" s="14">
        <v>68</v>
      </c>
      <c r="H680" s="13" t="s">
        <v>1749</v>
      </c>
      <c r="I680" s="15" t="s">
        <v>1723</v>
      </c>
      <c r="J680" s="14" t="s">
        <v>54</v>
      </c>
      <c r="K680" s="15" t="s">
        <v>93</v>
      </c>
      <c r="L680" s="14">
        <v>80111620</v>
      </c>
      <c r="M680" s="14" t="s">
        <v>55</v>
      </c>
      <c r="N680" s="14" t="s">
        <v>253</v>
      </c>
      <c r="O680" s="15" t="s">
        <v>1750</v>
      </c>
      <c r="P680" s="14" t="s">
        <v>255</v>
      </c>
      <c r="Q680" s="14" t="s">
        <v>255</v>
      </c>
      <c r="R680" s="14" t="s">
        <v>255</v>
      </c>
      <c r="S680" s="17">
        <v>11</v>
      </c>
      <c r="T680" s="14" t="s">
        <v>256</v>
      </c>
      <c r="U680" s="14" t="s">
        <v>257</v>
      </c>
      <c r="V680" s="14" t="s">
        <v>113</v>
      </c>
      <c r="W680" s="18">
        <v>21890389</v>
      </c>
      <c r="X680" s="18">
        <v>21890389</v>
      </c>
      <c r="Y680" s="19" t="s">
        <v>339</v>
      </c>
      <c r="Z680" s="19" t="s">
        <v>258</v>
      </c>
      <c r="AA680" s="14" t="s">
        <v>1680</v>
      </c>
      <c r="AB680" s="14" t="s">
        <v>1681</v>
      </c>
      <c r="AC680" s="14">
        <v>6012220601</v>
      </c>
      <c r="AD680" s="14" t="s">
        <v>1682</v>
      </c>
      <c r="AE680" s="82">
        <v>21890389</v>
      </c>
      <c r="AF680" s="82">
        <v>0</v>
      </c>
      <c r="AG680" s="82">
        <v>0</v>
      </c>
      <c r="AH680" s="82">
        <v>0</v>
      </c>
      <c r="AI680" s="82">
        <v>0</v>
      </c>
      <c r="AJ680" s="82">
        <v>3200000</v>
      </c>
      <c r="AK680" s="82">
        <v>0</v>
      </c>
      <c r="AL680" s="82">
        <v>3200000</v>
      </c>
      <c r="AM680" s="82">
        <v>0</v>
      </c>
      <c r="AN680" s="82">
        <v>3200000</v>
      </c>
      <c r="AO680" s="82">
        <v>0</v>
      </c>
      <c r="AP680" s="82">
        <v>3200000</v>
      </c>
      <c r="AQ680" s="82">
        <v>0</v>
      </c>
      <c r="AR680" s="82">
        <v>3200000</v>
      </c>
      <c r="AS680" s="82">
        <v>0</v>
      </c>
      <c r="AT680" s="82">
        <v>3200000</v>
      </c>
      <c r="AU680" s="82">
        <v>0</v>
      </c>
      <c r="AV680" s="82">
        <v>2690389</v>
      </c>
      <c r="AW680" s="82">
        <v>0</v>
      </c>
      <c r="AX680" s="82">
        <v>0</v>
      </c>
      <c r="AY680" s="82">
        <v>0</v>
      </c>
      <c r="AZ680" s="82">
        <v>0</v>
      </c>
      <c r="BA680" s="82">
        <v>0</v>
      </c>
      <c r="BB680" s="82">
        <v>0</v>
      </c>
      <c r="BC680" s="82">
        <f t="shared" ref="BC680:BD680" si="1355">AE680+AG680+AI680+AK680+AM680+AO680+AQ680+AS680+AU680+AW680+AY680+BA680</f>
        <v>21890389</v>
      </c>
      <c r="BD680" s="82">
        <f t="shared" si="1355"/>
        <v>21890389</v>
      </c>
      <c r="BE680" s="83">
        <f t="shared" si="1328"/>
        <v>0</v>
      </c>
      <c r="BF680" s="83">
        <f t="shared" si="1329"/>
        <v>0</v>
      </c>
      <c r="BG680" s="14" t="str">
        <f ca="1">IFERROR(__xludf.DUMMYFUNCTION("REGEXEXTRACT(O674,""^\S+\s(.+)$"")"),"Prestar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680" s="23">
        <v>21890389</v>
      </c>
      <c r="BI680" s="23"/>
      <c r="BJ680" s="23"/>
      <c r="BK680" s="23"/>
      <c r="BL680" s="23"/>
      <c r="BM680" s="23">
        <v>3200000</v>
      </c>
      <c r="BN680" s="23"/>
      <c r="BO680" s="23">
        <v>3200000</v>
      </c>
      <c r="BP680" s="23"/>
      <c r="BQ680" s="23">
        <v>3200000</v>
      </c>
      <c r="BR680" s="23"/>
      <c r="BS680" s="23">
        <v>3200000</v>
      </c>
      <c r="BT680" s="23"/>
      <c r="BU680" s="23">
        <v>3200000</v>
      </c>
      <c r="BV680" s="23"/>
      <c r="BW680" s="23">
        <v>3200000</v>
      </c>
      <c r="BX680" s="23"/>
      <c r="BY680" s="23">
        <v>2690389</v>
      </c>
      <c r="BZ680" s="23"/>
      <c r="CA680" s="23"/>
      <c r="CB680" s="23"/>
      <c r="CC680" s="23"/>
      <c r="CD680" s="23"/>
      <c r="CE680" s="23"/>
      <c r="CF680" s="28"/>
      <c r="CG680" s="28"/>
      <c r="CH680" s="25">
        <f t="shared" ref="CH680:CI680" si="1356">BH680+BJ680+BL680+BN680+BP680+BR680+BT680+BV680+BX680+BZ680+CB680+CD680+CF680</f>
        <v>21890389</v>
      </c>
      <c r="CI680" s="25">
        <f t="shared" si="1356"/>
        <v>21890389</v>
      </c>
      <c r="CJ680" s="26">
        <f t="shared" si="1331"/>
        <v>0</v>
      </c>
      <c r="CK680" s="26">
        <f t="shared" si="1332"/>
        <v>0</v>
      </c>
    </row>
    <row r="681" spans="1:89" ht="90" customHeight="1" x14ac:dyDescent="0.3">
      <c r="A681" s="13" t="s">
        <v>248</v>
      </c>
      <c r="B681" s="14" t="s">
        <v>53</v>
      </c>
      <c r="C681" s="15" t="s">
        <v>1676</v>
      </c>
      <c r="D681" s="14" t="s">
        <v>66</v>
      </c>
      <c r="E681" s="13" t="s">
        <v>250</v>
      </c>
      <c r="F681" s="13" t="s">
        <v>250</v>
      </c>
      <c r="G681" s="14">
        <v>68</v>
      </c>
      <c r="H681" s="13" t="s">
        <v>1751</v>
      </c>
      <c r="I681" s="15" t="s">
        <v>1723</v>
      </c>
      <c r="J681" s="14" t="s">
        <v>54</v>
      </c>
      <c r="K681" s="15" t="s">
        <v>92</v>
      </c>
      <c r="L681" s="14">
        <v>80111620</v>
      </c>
      <c r="M681" s="14" t="s">
        <v>55</v>
      </c>
      <c r="N681" s="14" t="s">
        <v>253</v>
      </c>
      <c r="O681" s="15" t="s">
        <v>1752</v>
      </c>
      <c r="P681" s="14" t="s">
        <v>255</v>
      </c>
      <c r="Q681" s="14" t="s">
        <v>255</v>
      </c>
      <c r="R681" s="14" t="s">
        <v>255</v>
      </c>
      <c r="S681" s="17">
        <v>11</v>
      </c>
      <c r="T681" s="14" t="s">
        <v>256</v>
      </c>
      <c r="U681" s="14" t="s">
        <v>257</v>
      </c>
      <c r="V681" s="14" t="s">
        <v>112</v>
      </c>
      <c r="W681" s="18">
        <v>50349187</v>
      </c>
      <c r="X681" s="18">
        <v>50349187</v>
      </c>
      <c r="Y681" s="19" t="s">
        <v>339</v>
      </c>
      <c r="Z681" s="19" t="s">
        <v>258</v>
      </c>
      <c r="AA681" s="14" t="s">
        <v>1680</v>
      </c>
      <c r="AB681" s="14" t="s">
        <v>1681</v>
      </c>
      <c r="AC681" s="14">
        <v>6012220601</v>
      </c>
      <c r="AD681" s="14" t="s">
        <v>1682</v>
      </c>
      <c r="AE681" s="82">
        <v>50349187</v>
      </c>
      <c r="AF681" s="82">
        <v>0</v>
      </c>
      <c r="AG681" s="82">
        <v>0</v>
      </c>
      <c r="AH681" s="82">
        <v>0</v>
      </c>
      <c r="AI681" s="82">
        <v>0</v>
      </c>
      <c r="AJ681" s="82">
        <v>0</v>
      </c>
      <c r="AK681" s="82">
        <v>0</v>
      </c>
      <c r="AL681" s="82">
        <v>0</v>
      </c>
      <c r="AM681" s="82">
        <v>0</v>
      </c>
      <c r="AN681" s="82">
        <v>0</v>
      </c>
      <c r="AO681" s="82">
        <v>0</v>
      </c>
      <c r="AP681" s="82">
        <v>0</v>
      </c>
      <c r="AQ681" s="82">
        <v>0</v>
      </c>
      <c r="AR681" s="82">
        <v>4524187</v>
      </c>
      <c r="AS681" s="82">
        <v>0</v>
      </c>
      <c r="AT681" s="82">
        <v>11000000</v>
      </c>
      <c r="AU681" s="82">
        <v>0</v>
      </c>
      <c r="AV681" s="82">
        <v>11000000</v>
      </c>
      <c r="AW681" s="82">
        <v>0</v>
      </c>
      <c r="AX681" s="82">
        <v>11000000</v>
      </c>
      <c r="AY681" s="82">
        <v>0</v>
      </c>
      <c r="AZ681" s="82">
        <v>11000000</v>
      </c>
      <c r="BA681" s="82">
        <v>0</v>
      </c>
      <c r="BB681" s="82">
        <v>1825000</v>
      </c>
      <c r="BC681" s="82">
        <f t="shared" ref="BC681:BD681" si="1357">AE681+AG681+AI681+AK681+AM681+AO681+AQ681+AS681+AU681+AW681+AY681+BA681</f>
        <v>50349187</v>
      </c>
      <c r="BD681" s="82">
        <f t="shared" si="1357"/>
        <v>50349187</v>
      </c>
      <c r="BE681" s="83">
        <f t="shared" si="1328"/>
        <v>0</v>
      </c>
      <c r="BF681" s="83">
        <f t="shared" si="1329"/>
        <v>0</v>
      </c>
      <c r="BG681" s="14" t="str">
        <f ca="1">IFERROR(__xludf.DUMMYFUNCTION("REGEXEXTRACT(O675,""^\S+\s(.+)$"")"),"Prestar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81" s="23">
        <v>50349187</v>
      </c>
      <c r="BI681" s="23"/>
      <c r="BJ681" s="23"/>
      <c r="BK681" s="23"/>
      <c r="BL681" s="23"/>
      <c r="BM681" s="23"/>
      <c r="BN681" s="23"/>
      <c r="BO681" s="23"/>
      <c r="BP681" s="23"/>
      <c r="BQ681" s="23"/>
      <c r="BR681" s="23"/>
      <c r="BS681" s="23"/>
      <c r="BT681" s="23"/>
      <c r="BU681" s="23">
        <v>4524187</v>
      </c>
      <c r="BV681" s="23"/>
      <c r="BW681" s="23">
        <v>11000000</v>
      </c>
      <c r="BX681" s="23"/>
      <c r="BY681" s="23">
        <v>11000000</v>
      </c>
      <c r="BZ681" s="23"/>
      <c r="CA681" s="23">
        <v>11000000</v>
      </c>
      <c r="CB681" s="23"/>
      <c r="CC681" s="23">
        <v>11000000</v>
      </c>
      <c r="CD681" s="23"/>
      <c r="CE681" s="23">
        <v>1825000</v>
      </c>
      <c r="CF681" s="28"/>
      <c r="CG681" s="28"/>
      <c r="CH681" s="25">
        <f t="shared" ref="CH681:CI681" si="1358">BH681+BJ681+BL681+BN681+BP681+BR681+BT681+BV681+BX681+BZ681+CB681+CD681+CF681</f>
        <v>50349187</v>
      </c>
      <c r="CI681" s="25">
        <f t="shared" si="1358"/>
        <v>50349187</v>
      </c>
      <c r="CJ681" s="26">
        <f t="shared" si="1331"/>
        <v>0</v>
      </c>
      <c r="CK681" s="26">
        <f t="shared" si="1332"/>
        <v>0</v>
      </c>
    </row>
    <row r="682" spans="1:89" ht="90" customHeight="1" x14ac:dyDescent="0.3">
      <c r="A682" s="13" t="s">
        <v>248</v>
      </c>
      <c r="B682" s="14" t="s">
        <v>53</v>
      </c>
      <c r="C682" s="15" t="s">
        <v>1676</v>
      </c>
      <c r="D682" s="14" t="s">
        <v>66</v>
      </c>
      <c r="E682" s="13" t="s">
        <v>250</v>
      </c>
      <c r="F682" s="13" t="s">
        <v>250</v>
      </c>
      <c r="G682" s="14">
        <v>68</v>
      </c>
      <c r="H682" s="13" t="s">
        <v>1753</v>
      </c>
      <c r="I682" s="15" t="s">
        <v>1723</v>
      </c>
      <c r="J682" s="14" t="s">
        <v>54</v>
      </c>
      <c r="K682" s="15" t="s">
        <v>92</v>
      </c>
      <c r="L682" s="14">
        <v>80111620</v>
      </c>
      <c r="M682" s="14" t="s">
        <v>55</v>
      </c>
      <c r="N682" s="14" t="s">
        <v>253</v>
      </c>
      <c r="O682" s="15" t="s">
        <v>1754</v>
      </c>
      <c r="P682" s="14" t="s">
        <v>255</v>
      </c>
      <c r="Q682" s="14" t="s">
        <v>255</v>
      </c>
      <c r="R682" s="14" t="s">
        <v>255</v>
      </c>
      <c r="S682" s="17">
        <v>11</v>
      </c>
      <c r="T682" s="14" t="s">
        <v>256</v>
      </c>
      <c r="U682" s="14" t="s">
        <v>257</v>
      </c>
      <c r="V682" s="14" t="s">
        <v>112</v>
      </c>
      <c r="W682" s="18">
        <v>38400000</v>
      </c>
      <c r="X682" s="18">
        <v>38400000</v>
      </c>
      <c r="Y682" s="19" t="s">
        <v>339</v>
      </c>
      <c r="Z682" s="19" t="s">
        <v>258</v>
      </c>
      <c r="AA682" s="14" t="s">
        <v>1680</v>
      </c>
      <c r="AB682" s="14" t="s">
        <v>1681</v>
      </c>
      <c r="AC682" s="14">
        <v>6012220601</v>
      </c>
      <c r="AD682" s="14" t="s">
        <v>1682</v>
      </c>
      <c r="AE682" s="82">
        <v>38400000</v>
      </c>
      <c r="AF682" s="82">
        <v>0</v>
      </c>
      <c r="AG682" s="82">
        <v>0</v>
      </c>
      <c r="AH682" s="82">
        <v>0</v>
      </c>
      <c r="AI682" s="82">
        <v>0</v>
      </c>
      <c r="AJ682" s="82">
        <v>4500000</v>
      </c>
      <c r="AK682" s="82">
        <v>0</v>
      </c>
      <c r="AL682" s="82">
        <v>5000000</v>
      </c>
      <c r="AM682" s="82">
        <v>0</v>
      </c>
      <c r="AN682" s="82">
        <v>5000000</v>
      </c>
      <c r="AO682" s="82">
        <v>0</v>
      </c>
      <c r="AP682" s="82">
        <v>5000000</v>
      </c>
      <c r="AQ682" s="82">
        <v>0</v>
      </c>
      <c r="AR682" s="82">
        <v>5000000</v>
      </c>
      <c r="AS682" s="82">
        <v>0</v>
      </c>
      <c r="AT682" s="82">
        <v>5000000</v>
      </c>
      <c r="AU682" s="82">
        <v>0</v>
      </c>
      <c r="AV682" s="82">
        <v>5000000</v>
      </c>
      <c r="AW682" s="82">
        <v>0</v>
      </c>
      <c r="AX682" s="82">
        <v>3900000</v>
      </c>
      <c r="AY682" s="82">
        <v>0</v>
      </c>
      <c r="AZ682" s="82">
        <v>0</v>
      </c>
      <c r="BA682" s="82">
        <v>0</v>
      </c>
      <c r="BB682" s="82">
        <v>0</v>
      </c>
      <c r="BC682" s="82">
        <f t="shared" ref="BC682:BD682" si="1359">AE682+AG682+AI682+AK682+AM682+AO682+AQ682+AS682+AU682+AW682+AY682+BA682</f>
        <v>38400000</v>
      </c>
      <c r="BD682" s="82">
        <f t="shared" si="1359"/>
        <v>38400000</v>
      </c>
      <c r="BE682" s="83">
        <f t="shared" si="1328"/>
        <v>0</v>
      </c>
      <c r="BF682" s="83">
        <f t="shared" si="1329"/>
        <v>0</v>
      </c>
      <c r="BG682" s="14" t="str">
        <f ca="1">IFERROR(__xludf.DUMMYFUNCTION("REGEXEXTRACT(O676,""^\S+\s(.+)$"")"),"Prestar servicios profesionales para apoyar a la Subdirección de Minería en asuntos administrativos y financieros, así como en la elaboración y apoyo a documentos técnicos y de investigación de la Subdirección.")</f>
        <v>Prestar servicios profesionales para apoyar a la Subdirección de Minería en asuntos administrativos y financieros, así como en la elaboración y apoyo a documentos técnicos y de investigación de la Subdirección.</v>
      </c>
      <c r="BH682" s="23">
        <v>38400000</v>
      </c>
      <c r="BI682" s="23"/>
      <c r="BJ682" s="23"/>
      <c r="BK682" s="23"/>
      <c r="BL682" s="23"/>
      <c r="BM682" s="23">
        <v>4500000</v>
      </c>
      <c r="BN682" s="23"/>
      <c r="BO682" s="23">
        <v>5000000</v>
      </c>
      <c r="BP682" s="23"/>
      <c r="BQ682" s="23">
        <v>5000000</v>
      </c>
      <c r="BR682" s="23"/>
      <c r="BS682" s="23">
        <v>5000000</v>
      </c>
      <c r="BT682" s="23"/>
      <c r="BU682" s="23">
        <v>5000000</v>
      </c>
      <c r="BV682" s="23"/>
      <c r="BW682" s="23">
        <v>5000000</v>
      </c>
      <c r="BX682" s="23"/>
      <c r="BY682" s="23">
        <v>5000000</v>
      </c>
      <c r="BZ682" s="23"/>
      <c r="CA682" s="23">
        <v>3900000</v>
      </c>
      <c r="CB682" s="23"/>
      <c r="CC682" s="23"/>
      <c r="CD682" s="23"/>
      <c r="CE682" s="23"/>
      <c r="CF682" s="28"/>
      <c r="CG682" s="28"/>
      <c r="CH682" s="25">
        <f t="shared" ref="CH682:CI682" si="1360">BH682+BJ682+BL682+BN682+BP682+BR682+BT682+BV682+BX682+BZ682+CB682+CD682+CF682</f>
        <v>38400000</v>
      </c>
      <c r="CI682" s="25">
        <f t="shared" si="1360"/>
        <v>38400000</v>
      </c>
      <c r="CJ682" s="26">
        <f t="shared" si="1331"/>
        <v>0</v>
      </c>
      <c r="CK682" s="26">
        <f t="shared" si="1332"/>
        <v>0</v>
      </c>
    </row>
    <row r="683" spans="1:89" ht="90" customHeight="1" x14ac:dyDescent="0.3">
      <c r="A683" s="13" t="s">
        <v>248</v>
      </c>
      <c r="B683" s="14" t="s">
        <v>53</v>
      </c>
      <c r="C683" s="15" t="s">
        <v>1676</v>
      </c>
      <c r="D683" s="14" t="s">
        <v>66</v>
      </c>
      <c r="E683" s="13" t="s">
        <v>250</v>
      </c>
      <c r="F683" s="13" t="s">
        <v>250</v>
      </c>
      <c r="G683" s="14">
        <v>17</v>
      </c>
      <c r="H683" s="13" t="s">
        <v>1755</v>
      </c>
      <c r="I683" s="15" t="s">
        <v>1723</v>
      </c>
      <c r="J683" s="14" t="s">
        <v>54</v>
      </c>
      <c r="K683" s="15" t="s">
        <v>92</v>
      </c>
      <c r="L683" s="14">
        <v>81121503</v>
      </c>
      <c r="M683" s="14" t="s">
        <v>55</v>
      </c>
      <c r="N683" s="14" t="s">
        <v>471</v>
      </c>
      <c r="O683" s="15" t="s">
        <v>1756</v>
      </c>
      <c r="P683" s="14" t="s">
        <v>255</v>
      </c>
      <c r="Q683" s="14" t="s">
        <v>255</v>
      </c>
      <c r="R683" s="14" t="s">
        <v>255</v>
      </c>
      <c r="S683" s="17">
        <v>5</v>
      </c>
      <c r="T683" s="14" t="s">
        <v>256</v>
      </c>
      <c r="U683" s="14" t="s">
        <v>1725</v>
      </c>
      <c r="V683" s="14" t="s">
        <v>112</v>
      </c>
      <c r="W683" s="18">
        <v>7250000</v>
      </c>
      <c r="X683" s="18">
        <v>7250000</v>
      </c>
      <c r="Y683" s="19" t="s">
        <v>339</v>
      </c>
      <c r="Z683" s="19" t="s">
        <v>258</v>
      </c>
      <c r="AA683" s="14" t="s">
        <v>1680</v>
      </c>
      <c r="AB683" s="14" t="s">
        <v>1681</v>
      </c>
      <c r="AC683" s="14">
        <v>6012220601</v>
      </c>
      <c r="AD683" s="14" t="s">
        <v>1682</v>
      </c>
      <c r="AE683" s="82">
        <v>0</v>
      </c>
      <c r="AF683" s="82">
        <v>0</v>
      </c>
      <c r="AG683" s="82">
        <v>0</v>
      </c>
      <c r="AH683" s="82">
        <v>0</v>
      </c>
      <c r="AI683" s="82">
        <v>0</v>
      </c>
      <c r="AJ683" s="82">
        <v>0</v>
      </c>
      <c r="AK683" s="82">
        <v>0</v>
      </c>
      <c r="AL683" s="82">
        <v>0</v>
      </c>
      <c r="AM683" s="82">
        <v>0</v>
      </c>
      <c r="AN683" s="82">
        <v>0</v>
      </c>
      <c r="AO683" s="82">
        <v>0</v>
      </c>
      <c r="AP683" s="82">
        <v>0</v>
      </c>
      <c r="AQ683" s="82">
        <v>0</v>
      </c>
      <c r="AR683" s="82">
        <v>0</v>
      </c>
      <c r="AS683" s="82">
        <v>0</v>
      </c>
      <c r="AT683" s="82">
        <v>0</v>
      </c>
      <c r="AU683" s="82">
        <v>0</v>
      </c>
      <c r="AV683" s="82">
        <v>0</v>
      </c>
      <c r="AW683" s="82">
        <v>0</v>
      </c>
      <c r="AX683" s="82">
        <v>0</v>
      </c>
      <c r="AY683" s="82">
        <v>0</v>
      </c>
      <c r="AZ683" s="82">
        <v>0</v>
      </c>
      <c r="BA683" s="82">
        <v>7250000</v>
      </c>
      <c r="BB683" s="82">
        <v>7250000</v>
      </c>
      <c r="BC683" s="82">
        <f t="shared" ref="BC683:BD683" si="1361">AE683+AG683+AI683+AK683+AM683+AO683+AQ683+AS683+AU683+AW683+AY683+BA683</f>
        <v>7250000</v>
      </c>
      <c r="BD683" s="82">
        <f t="shared" si="1361"/>
        <v>7250000</v>
      </c>
      <c r="BE683" s="83">
        <f t="shared" si="1328"/>
        <v>0</v>
      </c>
      <c r="BF683" s="83">
        <f t="shared" si="1329"/>
        <v>0</v>
      </c>
      <c r="BG683" s="14" t="str">
        <f ca="1">IFERROR(__xludf.DUMMYFUNCTION("REGEXEXTRACT(O677,""^\S+\s(.+)$"")")," Elaborar los balances oferta utilización de productos mineros y la cuenta de producción y generación del ingreso en versión provisional para la operación estadística cuenta satélite de minería - CSM, en el marco del modelo genérico del proceso estadístic"&amp;"o GSBPM.")</f>
        <v xml:space="preserve"> Elaborar los balances oferta utilización de productos mineros y la cuenta de producción y generación del ingreso en versión provisional para la operación estadística cuenta satélite de minería - CSM, en el marco del modelo genérico del proceso estadístico GSBPM.</v>
      </c>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v>7250000</v>
      </c>
      <c r="CE683" s="23">
        <v>7250000</v>
      </c>
      <c r="CF683" s="28"/>
      <c r="CG683" s="28"/>
      <c r="CH683" s="25">
        <f t="shared" ref="CH683:CI683" si="1362">BH683+BJ683+BL683+BN683+BP683+BR683+BT683+BV683+BX683+BZ683+CB683+CD683+CF683</f>
        <v>7250000</v>
      </c>
      <c r="CI683" s="25">
        <f t="shared" si="1362"/>
        <v>7250000</v>
      </c>
      <c r="CJ683" s="26">
        <f t="shared" si="1331"/>
        <v>0</v>
      </c>
      <c r="CK683" s="26">
        <f t="shared" si="1332"/>
        <v>0</v>
      </c>
    </row>
    <row r="684" spans="1:89" ht="90" customHeight="1" x14ac:dyDescent="0.3">
      <c r="A684" s="13" t="s">
        <v>248</v>
      </c>
      <c r="B684" s="14" t="s">
        <v>53</v>
      </c>
      <c r="C684" s="15" t="s">
        <v>1676</v>
      </c>
      <c r="D684" s="14" t="s">
        <v>66</v>
      </c>
      <c r="E684" s="13" t="s">
        <v>250</v>
      </c>
      <c r="F684" s="13" t="s">
        <v>250</v>
      </c>
      <c r="G684" s="14">
        <v>68</v>
      </c>
      <c r="H684" s="13" t="s">
        <v>1757</v>
      </c>
      <c r="I684" s="15" t="s">
        <v>1723</v>
      </c>
      <c r="J684" s="14" t="s">
        <v>54</v>
      </c>
      <c r="K684" s="15" t="s">
        <v>92</v>
      </c>
      <c r="L684" s="14">
        <v>80111620</v>
      </c>
      <c r="M684" s="14" t="s">
        <v>55</v>
      </c>
      <c r="N684" s="14" t="s">
        <v>253</v>
      </c>
      <c r="O684" s="15" t="s">
        <v>1758</v>
      </c>
      <c r="P684" s="14" t="s">
        <v>255</v>
      </c>
      <c r="Q684" s="14" t="s">
        <v>255</v>
      </c>
      <c r="R684" s="14" t="s">
        <v>255</v>
      </c>
      <c r="S684" s="17">
        <v>10</v>
      </c>
      <c r="T684" s="14" t="s">
        <v>256</v>
      </c>
      <c r="U684" s="14" t="s">
        <v>257</v>
      </c>
      <c r="V684" s="14" t="s">
        <v>112</v>
      </c>
      <c r="W684" s="18">
        <v>9000000</v>
      </c>
      <c r="X684" s="18">
        <v>9000000</v>
      </c>
      <c r="Y684" s="19" t="s">
        <v>339</v>
      </c>
      <c r="Z684" s="19" t="s">
        <v>258</v>
      </c>
      <c r="AA684" s="14" t="s">
        <v>1680</v>
      </c>
      <c r="AB684" s="14" t="s">
        <v>1681</v>
      </c>
      <c r="AC684" s="14">
        <v>6012220601</v>
      </c>
      <c r="AD684" s="14" t="s">
        <v>1682</v>
      </c>
      <c r="AE684" s="82">
        <v>9000000</v>
      </c>
      <c r="AF684" s="82">
        <v>0</v>
      </c>
      <c r="AG684" s="82">
        <v>0</v>
      </c>
      <c r="AH684" s="82">
        <v>0</v>
      </c>
      <c r="AI684" s="82">
        <v>0</v>
      </c>
      <c r="AJ684" s="82">
        <v>0</v>
      </c>
      <c r="AK684" s="82">
        <v>0</v>
      </c>
      <c r="AL684" s="82">
        <v>0</v>
      </c>
      <c r="AM684" s="82">
        <v>0</v>
      </c>
      <c r="AN684" s="82">
        <v>0</v>
      </c>
      <c r="AO684" s="82">
        <v>0</v>
      </c>
      <c r="AP684" s="82">
        <v>0</v>
      </c>
      <c r="AQ684" s="82">
        <v>0</v>
      </c>
      <c r="AR684" s="82">
        <v>0</v>
      </c>
      <c r="AS684" s="82">
        <v>0</v>
      </c>
      <c r="AT684" s="82">
        <v>0</v>
      </c>
      <c r="AU684" s="82">
        <v>0</v>
      </c>
      <c r="AV684" s="82">
        <v>0</v>
      </c>
      <c r="AW684" s="82">
        <v>0</v>
      </c>
      <c r="AX684" s="82">
        <v>2813333</v>
      </c>
      <c r="AY684" s="82">
        <v>0</v>
      </c>
      <c r="AZ684" s="82">
        <v>3200000</v>
      </c>
      <c r="BA684" s="82">
        <v>0</v>
      </c>
      <c r="BB684" s="82">
        <v>2986667</v>
      </c>
      <c r="BC684" s="82">
        <f t="shared" ref="BC684:BD684" si="1363">AE684+AG684+AI684+AK684+AM684+AO684+AQ684+AS684+AU684+AW684+AY684+BA684</f>
        <v>9000000</v>
      </c>
      <c r="BD684" s="82">
        <f t="shared" si="1363"/>
        <v>9000000</v>
      </c>
      <c r="BE684" s="83">
        <f t="shared" si="1328"/>
        <v>0</v>
      </c>
      <c r="BF684" s="83">
        <f t="shared" si="1329"/>
        <v>0</v>
      </c>
      <c r="BG684" s="14" t="str">
        <f ca="1">IFERROR(__xludf.DUMMYFUNCTION("REGEXEXTRACT(O678,""^\S+\s(.+)$"")"),"Prestar servicios profesionales para apoyar a la Subdirección de Minería mediante la generación de análisis técnicos y sociales que contribuyan a la elaboración de documentos de investigación y variables interseccionales.")</f>
        <v>Prestar servicios profesionales para apoyar a la Subdirección de Minería mediante la generación de análisis técnicos y sociales que contribuyan a la elaboración de documentos de investigación y variables interseccionales.</v>
      </c>
      <c r="BH684" s="23">
        <v>9000000</v>
      </c>
      <c r="BI684" s="23"/>
      <c r="BJ684" s="23"/>
      <c r="BK684" s="23"/>
      <c r="BL684" s="23"/>
      <c r="BM684" s="23"/>
      <c r="BN684" s="23"/>
      <c r="BO684" s="23"/>
      <c r="BP684" s="23"/>
      <c r="BQ684" s="23"/>
      <c r="BR684" s="23"/>
      <c r="BS684" s="23"/>
      <c r="BT684" s="23"/>
      <c r="BU684" s="23"/>
      <c r="BV684" s="23"/>
      <c r="BW684" s="23"/>
      <c r="BX684" s="23"/>
      <c r="BY684" s="23"/>
      <c r="BZ684" s="23"/>
      <c r="CA684" s="23">
        <v>2813333</v>
      </c>
      <c r="CB684" s="23"/>
      <c r="CC684" s="23">
        <v>3200000</v>
      </c>
      <c r="CD684" s="23"/>
      <c r="CE684" s="23">
        <v>2986667</v>
      </c>
      <c r="CF684" s="28"/>
      <c r="CG684" s="28"/>
      <c r="CH684" s="25">
        <f t="shared" ref="CH684:CI684" si="1364">BH684+BJ684+BL684+BN684+BP684+BR684+BT684+BV684+BX684+BZ684+CB684+CD684+CF684</f>
        <v>9000000</v>
      </c>
      <c r="CI684" s="25">
        <f t="shared" si="1364"/>
        <v>9000000</v>
      </c>
      <c r="CJ684" s="26">
        <f t="shared" si="1331"/>
        <v>0</v>
      </c>
      <c r="CK684" s="26">
        <f t="shared" si="1332"/>
        <v>0</v>
      </c>
    </row>
    <row r="685" spans="1:89" ht="90" customHeight="1" x14ac:dyDescent="0.3">
      <c r="A685" s="13" t="s">
        <v>248</v>
      </c>
      <c r="B685" s="14" t="s">
        <v>53</v>
      </c>
      <c r="C685" s="15" t="s">
        <v>1676</v>
      </c>
      <c r="D685" s="14" t="s">
        <v>66</v>
      </c>
      <c r="E685" s="13" t="s">
        <v>250</v>
      </c>
      <c r="F685" s="13" t="s">
        <v>250</v>
      </c>
      <c r="G685" s="14">
        <v>68</v>
      </c>
      <c r="H685" s="13" t="s">
        <v>1759</v>
      </c>
      <c r="I685" s="15" t="s">
        <v>1723</v>
      </c>
      <c r="J685" s="14" t="s">
        <v>54</v>
      </c>
      <c r="K685" s="15" t="s">
        <v>92</v>
      </c>
      <c r="L685" s="14">
        <v>80111620</v>
      </c>
      <c r="M685" s="14" t="s">
        <v>55</v>
      </c>
      <c r="N685" s="14" t="s">
        <v>253</v>
      </c>
      <c r="O685" s="15" t="s">
        <v>1760</v>
      </c>
      <c r="P685" s="14" t="s">
        <v>255</v>
      </c>
      <c r="Q685" s="14" t="s">
        <v>255</v>
      </c>
      <c r="R685" s="14" t="s">
        <v>255</v>
      </c>
      <c r="S685" s="17">
        <v>11</v>
      </c>
      <c r="T685" s="14" t="s">
        <v>256</v>
      </c>
      <c r="U685" s="14" t="s">
        <v>257</v>
      </c>
      <c r="V685" s="14" t="s">
        <v>112</v>
      </c>
      <c r="W685" s="18">
        <v>41840424</v>
      </c>
      <c r="X685" s="18">
        <v>41840424</v>
      </c>
      <c r="Y685" s="19" t="s">
        <v>339</v>
      </c>
      <c r="Z685" s="19" t="s">
        <v>258</v>
      </c>
      <c r="AA685" s="14" t="s">
        <v>1680</v>
      </c>
      <c r="AB685" s="14" t="s">
        <v>1681</v>
      </c>
      <c r="AC685" s="14">
        <v>6012220601</v>
      </c>
      <c r="AD685" s="14" t="s">
        <v>1682</v>
      </c>
      <c r="AE685" s="82">
        <v>41840424</v>
      </c>
      <c r="AF685" s="82">
        <v>0</v>
      </c>
      <c r="AG685" s="82">
        <v>0</v>
      </c>
      <c r="AH685" s="82">
        <v>750000</v>
      </c>
      <c r="AI685" s="82">
        <v>0</v>
      </c>
      <c r="AJ685" s="82">
        <v>7500000</v>
      </c>
      <c r="AK685" s="82">
        <v>0</v>
      </c>
      <c r="AL685" s="82">
        <v>7500000</v>
      </c>
      <c r="AM685" s="82">
        <v>0</v>
      </c>
      <c r="AN685" s="82">
        <v>7500000</v>
      </c>
      <c r="AO685" s="82">
        <v>0</v>
      </c>
      <c r="AP685" s="82">
        <v>7500000</v>
      </c>
      <c r="AQ685" s="82">
        <v>0</v>
      </c>
      <c r="AR685" s="82">
        <v>7500000</v>
      </c>
      <c r="AS685" s="82">
        <v>0</v>
      </c>
      <c r="AT685" s="82">
        <v>3590424</v>
      </c>
      <c r="AU685" s="82">
        <v>0</v>
      </c>
      <c r="AV685" s="82">
        <v>0</v>
      </c>
      <c r="AW685" s="82">
        <v>0</v>
      </c>
      <c r="AX685" s="82">
        <v>0</v>
      </c>
      <c r="AY685" s="82">
        <v>0</v>
      </c>
      <c r="AZ685" s="82">
        <v>0</v>
      </c>
      <c r="BA685" s="82">
        <v>0</v>
      </c>
      <c r="BB685" s="82">
        <v>0</v>
      </c>
      <c r="BC685" s="82">
        <f t="shared" ref="BC685:BD685" si="1365">AE685+AG685+AI685+AK685+AM685+AO685+AQ685+AS685+AU685+AW685+AY685+BA685</f>
        <v>41840424</v>
      </c>
      <c r="BD685" s="82">
        <f t="shared" si="1365"/>
        <v>41840424</v>
      </c>
      <c r="BE685" s="83">
        <f t="shared" si="1328"/>
        <v>0</v>
      </c>
      <c r="BF685" s="83">
        <f t="shared" si="1329"/>
        <v>0</v>
      </c>
      <c r="BG685" s="14" t="str">
        <f ca="1">IFERROR(__xludf.DUMMYFUNCTION("REGEXEXTRACT(O679,""^\S+\s(.+)$"")"),"Prestar servicios profesionales para apoyar a la Subdirección de Minería en la realización de análisis económicos, de mercado, prospectivos y de encadenamientos productivos, orientados a la elaboración, seguimiento y evaluación de los instrumentos de plan"&amp;"eación del sector minero, así como en la generación de insumos para la elaboración de documentos técnicos y de investigación sectorial.")</f>
        <v>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v>
      </c>
      <c r="BH685" s="23">
        <v>41840424</v>
      </c>
      <c r="BI685" s="23"/>
      <c r="BJ685" s="23"/>
      <c r="BK685" s="23">
        <v>750000</v>
      </c>
      <c r="BL685" s="23"/>
      <c r="BM685" s="23">
        <v>7500000</v>
      </c>
      <c r="BN685" s="23"/>
      <c r="BO685" s="23">
        <v>7500000</v>
      </c>
      <c r="BP685" s="23"/>
      <c r="BQ685" s="23">
        <v>7500000</v>
      </c>
      <c r="BR685" s="23"/>
      <c r="BS685" s="23">
        <v>7500000</v>
      </c>
      <c r="BT685" s="23"/>
      <c r="BU685" s="23">
        <v>7500000</v>
      </c>
      <c r="BV685" s="23"/>
      <c r="BW685" s="23">
        <v>3590424</v>
      </c>
      <c r="BX685" s="23"/>
      <c r="BY685" s="23"/>
      <c r="BZ685" s="23"/>
      <c r="CA685" s="23"/>
      <c r="CB685" s="23"/>
      <c r="CC685" s="23"/>
      <c r="CD685" s="23"/>
      <c r="CE685" s="23"/>
      <c r="CF685" s="28"/>
      <c r="CG685" s="28"/>
      <c r="CH685" s="25">
        <f t="shared" ref="CH685:CI685" si="1366">BH685+BJ685+BL685+BN685+BP685+BR685+BT685+BV685+BX685+BZ685+CB685+CD685+CF685</f>
        <v>41840424</v>
      </c>
      <c r="CI685" s="25">
        <f t="shared" si="1366"/>
        <v>41840424</v>
      </c>
      <c r="CJ685" s="26">
        <f t="shared" si="1331"/>
        <v>0</v>
      </c>
      <c r="CK685" s="26">
        <f t="shared" si="1332"/>
        <v>0</v>
      </c>
    </row>
    <row r="686" spans="1:89" ht="90" customHeight="1" x14ac:dyDescent="0.3">
      <c r="A686" s="13" t="s">
        <v>248</v>
      </c>
      <c r="B686" s="14" t="s">
        <v>53</v>
      </c>
      <c r="C686" s="15" t="s">
        <v>1676</v>
      </c>
      <c r="D686" s="14" t="s">
        <v>66</v>
      </c>
      <c r="E686" s="13" t="s">
        <v>250</v>
      </c>
      <c r="F686" s="13" t="s">
        <v>250</v>
      </c>
      <c r="G686" s="14">
        <v>68</v>
      </c>
      <c r="H686" s="13" t="s">
        <v>1761</v>
      </c>
      <c r="I686" s="15" t="s">
        <v>1723</v>
      </c>
      <c r="J686" s="14" t="s">
        <v>54</v>
      </c>
      <c r="K686" s="15" t="s">
        <v>92</v>
      </c>
      <c r="L686" s="14">
        <v>80111620</v>
      </c>
      <c r="M686" s="14" t="s">
        <v>55</v>
      </c>
      <c r="N686" s="14" t="s">
        <v>253</v>
      </c>
      <c r="O686" s="15" t="s">
        <v>1762</v>
      </c>
      <c r="P686" s="14" t="s">
        <v>255</v>
      </c>
      <c r="Q686" s="14" t="s">
        <v>255</v>
      </c>
      <c r="R686" s="14" t="s">
        <v>255</v>
      </c>
      <c r="S686" s="17">
        <v>11</v>
      </c>
      <c r="T686" s="14" t="s">
        <v>256</v>
      </c>
      <c r="U686" s="14" t="s">
        <v>257</v>
      </c>
      <c r="V686" s="14" t="s">
        <v>112</v>
      </c>
      <c r="W686" s="18">
        <v>66000000</v>
      </c>
      <c r="X686" s="18">
        <v>66000000</v>
      </c>
      <c r="Y686" s="19" t="s">
        <v>339</v>
      </c>
      <c r="Z686" s="19" t="s">
        <v>258</v>
      </c>
      <c r="AA686" s="14" t="s">
        <v>1680</v>
      </c>
      <c r="AB686" s="14" t="s">
        <v>1681</v>
      </c>
      <c r="AC686" s="14">
        <v>6012220601</v>
      </c>
      <c r="AD686" s="14" t="s">
        <v>1682</v>
      </c>
      <c r="AE686" s="82">
        <v>66000000</v>
      </c>
      <c r="AF686" s="82">
        <v>0</v>
      </c>
      <c r="AG686" s="82">
        <v>0</v>
      </c>
      <c r="AH686" s="82">
        <v>0</v>
      </c>
      <c r="AI686" s="82">
        <v>0</v>
      </c>
      <c r="AJ686" s="82">
        <v>6000000</v>
      </c>
      <c r="AK686" s="82">
        <v>0</v>
      </c>
      <c r="AL686" s="82">
        <v>6000000</v>
      </c>
      <c r="AM686" s="82">
        <v>0</v>
      </c>
      <c r="AN686" s="82">
        <v>6000000</v>
      </c>
      <c r="AO686" s="82">
        <v>0</v>
      </c>
      <c r="AP686" s="82">
        <v>6000000</v>
      </c>
      <c r="AQ686" s="82">
        <v>0</v>
      </c>
      <c r="AR686" s="82">
        <v>6000000</v>
      </c>
      <c r="AS686" s="82">
        <v>0</v>
      </c>
      <c r="AT686" s="82">
        <v>6000000</v>
      </c>
      <c r="AU686" s="82">
        <v>0</v>
      </c>
      <c r="AV686" s="82">
        <v>6000000</v>
      </c>
      <c r="AW686" s="82">
        <v>0</v>
      </c>
      <c r="AX686" s="82">
        <v>6000000</v>
      </c>
      <c r="AY686" s="82">
        <v>0</v>
      </c>
      <c r="AZ686" s="82">
        <v>6000000</v>
      </c>
      <c r="BA686" s="82">
        <v>0</v>
      </c>
      <c r="BB686" s="82">
        <v>12000000</v>
      </c>
      <c r="BC686" s="82">
        <f t="shared" ref="BC686:BD686" si="1367">AE686+AG686+AI686+AK686+AM686+AO686+AQ686+AS686+AU686+AW686+AY686+BA686</f>
        <v>66000000</v>
      </c>
      <c r="BD686" s="82">
        <f t="shared" si="1367"/>
        <v>66000000</v>
      </c>
      <c r="BE686" s="83">
        <f t="shared" si="1328"/>
        <v>0</v>
      </c>
      <c r="BF686" s="83">
        <f t="shared" si="1329"/>
        <v>0</v>
      </c>
      <c r="BG686" s="14" t="str">
        <f ca="1">IFERROR(__xludf.DUMMYFUNCTION("REGEXEXTRACT(O680,""^\S+\s(.+)$"")"),"Prestar servicios profesionales para brindar apoyo en la Subdirección de Minería, para el análisis de datos técnicos para documentos de investigación que contribuyan a los estudios y análisis de datos del sector minero colombiano.")</f>
        <v>Prestar servicios profesionales para brindar apoyo en la Subdirección de Minería, para el análisis de datos técnicos para documentos de investigación que contribuyan a los estudios y análisis de datos del sector minero colombiano.</v>
      </c>
      <c r="BH686" s="23">
        <v>66000000</v>
      </c>
      <c r="BI686" s="23"/>
      <c r="BJ686" s="23"/>
      <c r="BK686" s="23"/>
      <c r="BL686" s="23"/>
      <c r="BM686" s="23">
        <v>6000000</v>
      </c>
      <c r="BN686" s="23"/>
      <c r="BO686" s="23">
        <v>6000000</v>
      </c>
      <c r="BP686" s="23"/>
      <c r="BQ686" s="23">
        <v>6000000</v>
      </c>
      <c r="BR686" s="23"/>
      <c r="BS686" s="23">
        <v>6000000</v>
      </c>
      <c r="BT686" s="23"/>
      <c r="BU686" s="23">
        <v>6000000</v>
      </c>
      <c r="BV686" s="23"/>
      <c r="BW686" s="23">
        <v>6000000</v>
      </c>
      <c r="BX686" s="23"/>
      <c r="BY686" s="23">
        <v>6000000</v>
      </c>
      <c r="BZ686" s="23"/>
      <c r="CA686" s="23">
        <v>6000000</v>
      </c>
      <c r="CB686" s="23"/>
      <c r="CC686" s="23">
        <v>6000000</v>
      </c>
      <c r="CD686" s="23"/>
      <c r="CE686" s="23">
        <v>12000000</v>
      </c>
      <c r="CF686" s="28"/>
      <c r="CG686" s="28"/>
      <c r="CH686" s="25">
        <f t="shared" ref="CH686:CI686" si="1368">BH686+BJ686+BL686+BN686+BP686+BR686+BT686+BV686+BX686+BZ686+CB686+CD686+CF686</f>
        <v>66000000</v>
      </c>
      <c r="CI686" s="25">
        <f t="shared" si="1368"/>
        <v>66000000</v>
      </c>
      <c r="CJ686" s="26">
        <f t="shared" si="1331"/>
        <v>0</v>
      </c>
      <c r="CK686" s="26">
        <f t="shared" si="1332"/>
        <v>0</v>
      </c>
    </row>
    <row r="687" spans="1:89" ht="90" customHeight="1" x14ac:dyDescent="0.3">
      <c r="A687" s="13" t="s">
        <v>248</v>
      </c>
      <c r="B687" s="14" t="s">
        <v>53</v>
      </c>
      <c r="C687" s="15" t="s">
        <v>1676</v>
      </c>
      <c r="D687" s="14" t="s">
        <v>66</v>
      </c>
      <c r="E687" s="13" t="s">
        <v>250</v>
      </c>
      <c r="F687" s="13" t="s">
        <v>250</v>
      </c>
      <c r="G687" s="14">
        <v>17</v>
      </c>
      <c r="H687" s="13" t="s">
        <v>1763</v>
      </c>
      <c r="I687" s="15" t="s">
        <v>1723</v>
      </c>
      <c r="J687" s="14" t="s">
        <v>54</v>
      </c>
      <c r="K687" s="15" t="s">
        <v>92</v>
      </c>
      <c r="L687" s="14">
        <v>80111620</v>
      </c>
      <c r="M687" s="14" t="s">
        <v>55</v>
      </c>
      <c r="N687" s="14" t="s">
        <v>253</v>
      </c>
      <c r="O687" s="15" t="s">
        <v>1764</v>
      </c>
      <c r="P687" s="14" t="s">
        <v>255</v>
      </c>
      <c r="Q687" s="14" t="s">
        <v>255</v>
      </c>
      <c r="R687" s="14" t="s">
        <v>255</v>
      </c>
      <c r="S687" s="17">
        <v>10</v>
      </c>
      <c r="T687" s="14" t="s">
        <v>256</v>
      </c>
      <c r="U687" s="14" t="s">
        <v>257</v>
      </c>
      <c r="V687" s="14" t="s">
        <v>112</v>
      </c>
      <c r="W687" s="18">
        <v>0</v>
      </c>
      <c r="X687" s="18">
        <v>0</v>
      </c>
      <c r="Y687" s="19" t="s">
        <v>339</v>
      </c>
      <c r="Z687" s="19" t="s">
        <v>258</v>
      </c>
      <c r="AA687" s="14" t="s">
        <v>1680</v>
      </c>
      <c r="AB687" s="14" t="s">
        <v>1681</v>
      </c>
      <c r="AC687" s="14">
        <v>6012220601</v>
      </c>
      <c r="AD687" s="14" t="s">
        <v>1682</v>
      </c>
      <c r="AE687" s="82">
        <v>0</v>
      </c>
      <c r="AF687" s="82">
        <v>0</v>
      </c>
      <c r="AG687" s="82">
        <v>0</v>
      </c>
      <c r="AH687" s="82">
        <v>0</v>
      </c>
      <c r="AI687" s="82">
        <v>0</v>
      </c>
      <c r="AJ687" s="82">
        <v>0</v>
      </c>
      <c r="AK687" s="82">
        <v>0</v>
      </c>
      <c r="AL687" s="82">
        <v>0</v>
      </c>
      <c r="AM687" s="82">
        <v>0</v>
      </c>
      <c r="AN687" s="82">
        <v>0</v>
      </c>
      <c r="AO687" s="82">
        <v>0</v>
      </c>
      <c r="AP687" s="82">
        <v>0</v>
      </c>
      <c r="AQ687" s="82">
        <v>0</v>
      </c>
      <c r="AR687" s="82">
        <v>0</v>
      </c>
      <c r="AS687" s="82">
        <v>0</v>
      </c>
      <c r="AT687" s="82">
        <v>0</v>
      </c>
      <c r="AU687" s="82">
        <v>0</v>
      </c>
      <c r="AV687" s="82">
        <v>0</v>
      </c>
      <c r="AW687" s="82">
        <v>0</v>
      </c>
      <c r="AX687" s="82">
        <v>0</v>
      </c>
      <c r="AY687" s="82">
        <v>0</v>
      </c>
      <c r="AZ687" s="82">
        <v>0</v>
      </c>
      <c r="BA687" s="82">
        <v>54000000</v>
      </c>
      <c r="BB687" s="82">
        <v>54000000</v>
      </c>
      <c r="BC687" s="82">
        <f t="shared" ref="BC687:BD687" si="1369">AE687+AG687+AI687+AK687+AM687+AO687+AQ687+AS687+AU687+AW687+AY687+BA687</f>
        <v>54000000</v>
      </c>
      <c r="BD687" s="82">
        <f t="shared" si="1369"/>
        <v>54000000</v>
      </c>
      <c r="BE687" s="83">
        <f t="shared" si="1328"/>
        <v>-54000000</v>
      </c>
      <c r="BF687" s="83">
        <f t="shared" si="1329"/>
        <v>-54000000</v>
      </c>
      <c r="BG687" s="14" t="str">
        <f ca="1">IFERROR(__xludf.DUMMYFUNCTION("REGEXEXTRACT(O681,""^\S+\s(.+)$"")"),"Prestar servicios profesionales para apoyar a la Subdirección de Minería en el análisis y la gestión de datos que contribuyan a la formulación de los instrumentos de planeación, variables interseccionales para la elaboración de documentos de investigación"&amp;".")</f>
        <v>Prestar servicios profesionales para apoyar a la Subdirección de Minería en el análisis y la gestión de datos que contribuyan a la formulación de los instrumentos de planeación, variables interseccionales para la elaboración de documentos de investigación.</v>
      </c>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v>0</v>
      </c>
      <c r="CE687" s="23">
        <v>0</v>
      </c>
      <c r="CF687" s="28"/>
      <c r="CG687" s="28"/>
      <c r="CH687" s="25">
        <f t="shared" ref="CH687:CI687" si="1370">BH687+BJ687+BL687+BN687+BP687+BR687+BT687+BV687+BX687+BZ687+CB687+CD687+CF687</f>
        <v>0</v>
      </c>
      <c r="CI687" s="25">
        <f t="shared" si="1370"/>
        <v>0</v>
      </c>
      <c r="CJ687" s="26">
        <f t="shared" si="1331"/>
        <v>0</v>
      </c>
      <c r="CK687" s="26">
        <f t="shared" si="1332"/>
        <v>0</v>
      </c>
    </row>
    <row r="688" spans="1:89" ht="90" customHeight="1" x14ac:dyDescent="0.3">
      <c r="A688" s="13" t="s">
        <v>248</v>
      </c>
      <c r="B688" s="14" t="s">
        <v>53</v>
      </c>
      <c r="C688" s="15" t="s">
        <v>1676</v>
      </c>
      <c r="D688" s="14" t="s">
        <v>66</v>
      </c>
      <c r="E688" s="13" t="s">
        <v>250</v>
      </c>
      <c r="F688" s="13" t="s">
        <v>250</v>
      </c>
      <c r="G688" s="14">
        <v>68</v>
      </c>
      <c r="H688" s="13" t="s">
        <v>1765</v>
      </c>
      <c r="I688" s="15" t="s">
        <v>1723</v>
      </c>
      <c r="J688" s="14" t="s">
        <v>54</v>
      </c>
      <c r="K688" s="15" t="s">
        <v>92</v>
      </c>
      <c r="L688" s="14">
        <v>80111620</v>
      </c>
      <c r="M688" s="14" t="s">
        <v>55</v>
      </c>
      <c r="N688" s="14" t="s">
        <v>253</v>
      </c>
      <c r="O688" s="86" t="s">
        <v>1766</v>
      </c>
      <c r="P688" s="14" t="s">
        <v>255</v>
      </c>
      <c r="Q688" s="14" t="s">
        <v>255</v>
      </c>
      <c r="R688" s="14" t="s">
        <v>255</v>
      </c>
      <c r="S688" s="17">
        <v>11.5</v>
      </c>
      <c r="T688" s="14" t="s">
        <v>256</v>
      </c>
      <c r="U688" s="14" t="s">
        <v>257</v>
      </c>
      <c r="V688" s="14" t="s">
        <v>112</v>
      </c>
      <c r="W688" s="18">
        <v>6009896</v>
      </c>
      <c r="X688" s="18">
        <v>6009896</v>
      </c>
      <c r="Y688" s="19" t="s">
        <v>339</v>
      </c>
      <c r="Z688" s="19" t="s">
        <v>258</v>
      </c>
      <c r="AA688" s="14" t="s">
        <v>1680</v>
      </c>
      <c r="AB688" s="14" t="s">
        <v>1681</v>
      </c>
      <c r="AC688" s="14">
        <v>6012220601</v>
      </c>
      <c r="AD688" s="14" t="s">
        <v>1682</v>
      </c>
      <c r="AE688" s="82">
        <v>0</v>
      </c>
      <c r="AF688" s="82">
        <v>0</v>
      </c>
      <c r="AG688" s="82">
        <v>6009896</v>
      </c>
      <c r="AH688" s="82">
        <v>0</v>
      </c>
      <c r="AI688" s="82">
        <v>0</v>
      </c>
      <c r="AJ688" s="82">
        <v>0</v>
      </c>
      <c r="AK688" s="82">
        <v>0</v>
      </c>
      <c r="AL688" s="82">
        <v>0</v>
      </c>
      <c r="AM688" s="82">
        <v>0</v>
      </c>
      <c r="AN688" s="82">
        <v>0</v>
      </c>
      <c r="AO688" s="82">
        <v>0</v>
      </c>
      <c r="AP688" s="82">
        <v>0</v>
      </c>
      <c r="AQ688" s="82">
        <v>0</v>
      </c>
      <c r="AR688" s="82">
        <v>5558398</v>
      </c>
      <c r="AS688" s="82">
        <v>0</v>
      </c>
      <c r="AT688" s="82">
        <v>451498</v>
      </c>
      <c r="AU688" s="82">
        <v>0</v>
      </c>
      <c r="AV688" s="82">
        <v>0</v>
      </c>
      <c r="AW688" s="82">
        <v>0</v>
      </c>
      <c r="AX688" s="82">
        <v>0</v>
      </c>
      <c r="AY688" s="82">
        <v>0</v>
      </c>
      <c r="AZ688" s="82">
        <v>0</v>
      </c>
      <c r="BA688" s="82">
        <v>0</v>
      </c>
      <c r="BB688" s="82">
        <v>0</v>
      </c>
      <c r="BC688" s="82">
        <f t="shared" ref="BC688:BD688" si="1371">AE688+AG688+AI688+AK688+AM688+AO688+AQ688+AS688+AU688+AW688+AY688+BA688</f>
        <v>6009896</v>
      </c>
      <c r="BD688" s="82">
        <f t="shared" si="1371"/>
        <v>6009896</v>
      </c>
      <c r="BE688" s="83">
        <f t="shared" si="1328"/>
        <v>0</v>
      </c>
      <c r="BF688" s="83">
        <f t="shared" si="1329"/>
        <v>0</v>
      </c>
      <c r="BG688" s="14" t="str">
        <f ca="1">IFERROR(__xludf.DUMMYFUNCTION("REGEXEXTRACT(O682,""^\S+\s(.+)$"")"),"Prestar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688" s="23"/>
      <c r="BI688" s="23"/>
      <c r="BJ688" s="23">
        <v>6009896</v>
      </c>
      <c r="BK688" s="23"/>
      <c r="BL688" s="23"/>
      <c r="BM688" s="23"/>
      <c r="BN688" s="23"/>
      <c r="BO688" s="23"/>
      <c r="BP688" s="23"/>
      <c r="BQ688" s="23"/>
      <c r="BR688" s="23"/>
      <c r="BS688" s="23"/>
      <c r="BT688" s="23"/>
      <c r="BU688" s="23">
        <v>5558398</v>
      </c>
      <c r="BV688" s="23"/>
      <c r="BW688" s="23">
        <v>451498</v>
      </c>
      <c r="BX688" s="23"/>
      <c r="BY688" s="23"/>
      <c r="BZ688" s="23"/>
      <c r="CA688" s="23"/>
      <c r="CB688" s="23"/>
      <c r="CC688" s="23"/>
      <c r="CD688" s="23"/>
      <c r="CE688" s="23"/>
      <c r="CF688" s="28"/>
      <c r="CG688" s="28"/>
      <c r="CH688" s="25">
        <f t="shared" ref="CH688:CI688" si="1372">BH688+BJ688+BL688+BN688+BP688+BR688+BT688+BV688+BX688+BZ688+CB688+CD688+CF688</f>
        <v>6009896</v>
      </c>
      <c r="CI688" s="25">
        <f t="shared" si="1372"/>
        <v>6009896</v>
      </c>
      <c r="CJ688" s="26">
        <f t="shared" si="1331"/>
        <v>0</v>
      </c>
      <c r="CK688" s="26">
        <f t="shared" si="1332"/>
        <v>0</v>
      </c>
    </row>
    <row r="689" spans="1:89" ht="90" customHeight="1" x14ac:dyDescent="0.3">
      <c r="A689" s="13" t="s">
        <v>248</v>
      </c>
      <c r="B689" s="14" t="s">
        <v>53</v>
      </c>
      <c r="C689" s="15" t="s">
        <v>1676</v>
      </c>
      <c r="D689" s="14" t="s">
        <v>66</v>
      </c>
      <c r="E689" s="13" t="s">
        <v>250</v>
      </c>
      <c r="F689" s="13" t="s">
        <v>250</v>
      </c>
      <c r="G689" s="14">
        <v>68</v>
      </c>
      <c r="H689" s="13" t="s">
        <v>1767</v>
      </c>
      <c r="I689" s="15" t="s">
        <v>1723</v>
      </c>
      <c r="J689" s="14" t="s">
        <v>54</v>
      </c>
      <c r="K689" s="15" t="s">
        <v>92</v>
      </c>
      <c r="L689" s="14">
        <v>80111620</v>
      </c>
      <c r="M689" s="14" t="s">
        <v>55</v>
      </c>
      <c r="N689" s="14" t="s">
        <v>253</v>
      </c>
      <c r="O689" s="86" t="s">
        <v>1768</v>
      </c>
      <c r="P689" s="14" t="s">
        <v>255</v>
      </c>
      <c r="Q689" s="14" t="s">
        <v>255</v>
      </c>
      <c r="R689" s="14" t="s">
        <v>255</v>
      </c>
      <c r="S689" s="17">
        <v>11.5</v>
      </c>
      <c r="T689" s="14" t="s">
        <v>256</v>
      </c>
      <c r="U689" s="14" t="s">
        <v>257</v>
      </c>
      <c r="V689" s="14" t="s">
        <v>112</v>
      </c>
      <c r="W689" s="18">
        <v>6009896</v>
      </c>
      <c r="X689" s="18">
        <v>6009896</v>
      </c>
      <c r="Y689" s="19" t="s">
        <v>339</v>
      </c>
      <c r="Z689" s="19" t="s">
        <v>258</v>
      </c>
      <c r="AA689" s="14" t="s">
        <v>1680</v>
      </c>
      <c r="AB689" s="14" t="s">
        <v>1681</v>
      </c>
      <c r="AC689" s="14">
        <v>6012220601</v>
      </c>
      <c r="AD689" s="14" t="s">
        <v>1682</v>
      </c>
      <c r="AE689" s="82">
        <v>0</v>
      </c>
      <c r="AF689" s="82">
        <v>0</v>
      </c>
      <c r="AG689" s="82">
        <v>0</v>
      </c>
      <c r="AH689" s="82">
        <v>0</v>
      </c>
      <c r="AI689" s="82">
        <v>0</v>
      </c>
      <c r="AJ689" s="82">
        <v>0</v>
      </c>
      <c r="AK689" s="82">
        <v>0</v>
      </c>
      <c r="AL689" s="82">
        <v>0</v>
      </c>
      <c r="AM689" s="82">
        <v>0</v>
      </c>
      <c r="AN689" s="82">
        <v>0</v>
      </c>
      <c r="AO689" s="82">
        <v>0</v>
      </c>
      <c r="AP689" s="82">
        <v>0</v>
      </c>
      <c r="AQ689" s="82">
        <v>6009896</v>
      </c>
      <c r="AR689" s="82">
        <v>0</v>
      </c>
      <c r="AS689" s="82">
        <v>0</v>
      </c>
      <c r="AT689" s="82">
        <v>0</v>
      </c>
      <c r="AU689" s="82">
        <v>0</v>
      </c>
      <c r="AV689" s="82">
        <v>0</v>
      </c>
      <c r="AW689" s="82">
        <v>0</v>
      </c>
      <c r="AX689" s="82">
        <v>2000000</v>
      </c>
      <c r="AY689" s="82">
        <v>0</v>
      </c>
      <c r="AZ689" s="82">
        <v>2000000</v>
      </c>
      <c r="BA689" s="82">
        <v>0</v>
      </c>
      <c r="BB689" s="82">
        <v>2009896</v>
      </c>
      <c r="BC689" s="82">
        <f t="shared" ref="BC689:BD689" si="1373">AE689+AG689+AI689+AK689+AM689+AO689+AQ689+AS689+AU689+AW689+AY689+BA689</f>
        <v>6009896</v>
      </c>
      <c r="BD689" s="82">
        <f t="shared" si="1373"/>
        <v>6009896</v>
      </c>
      <c r="BE689" s="83">
        <f t="shared" si="1328"/>
        <v>0</v>
      </c>
      <c r="BF689" s="83">
        <f t="shared" si="1329"/>
        <v>0</v>
      </c>
      <c r="BG689" s="14" t="str">
        <f ca="1">IFERROR(__xludf.DUMMYFUNCTION("REGEXEXTRACT(O683,""^\S+\s(.+)$"")"),"Prestar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689" s="23"/>
      <c r="BI689" s="23"/>
      <c r="BJ689" s="23"/>
      <c r="BK689" s="23"/>
      <c r="BL689" s="23"/>
      <c r="BM689" s="23"/>
      <c r="BN689" s="23"/>
      <c r="BO689" s="23"/>
      <c r="BP689" s="23"/>
      <c r="BQ689" s="23"/>
      <c r="BR689" s="23"/>
      <c r="BS689" s="23"/>
      <c r="BT689" s="23">
        <v>6009896</v>
      </c>
      <c r="BU689" s="23"/>
      <c r="BV689" s="23"/>
      <c r="BW689" s="23"/>
      <c r="BX689" s="23"/>
      <c r="BY689" s="23"/>
      <c r="BZ689" s="23"/>
      <c r="CA689" s="23">
        <v>2000000</v>
      </c>
      <c r="CB689" s="23"/>
      <c r="CC689" s="23">
        <v>2000000</v>
      </c>
      <c r="CD689" s="23"/>
      <c r="CE689" s="23">
        <v>2009896</v>
      </c>
      <c r="CF689" s="28"/>
      <c r="CG689" s="28"/>
      <c r="CH689" s="25">
        <f t="shared" ref="CH689:CI689" si="1374">BH689+BJ689+BL689+BN689+BP689+BR689+BT689+BV689+BX689+BZ689+CB689+CD689+CF689</f>
        <v>6009896</v>
      </c>
      <c r="CI689" s="25">
        <f t="shared" si="1374"/>
        <v>6009896</v>
      </c>
      <c r="CJ689" s="26">
        <f t="shared" si="1331"/>
        <v>0</v>
      </c>
      <c r="CK689" s="26">
        <f t="shared" si="1332"/>
        <v>0</v>
      </c>
    </row>
    <row r="690" spans="1:89" ht="90" customHeight="1" x14ac:dyDescent="0.3">
      <c r="A690" s="13" t="s">
        <v>248</v>
      </c>
      <c r="B690" s="14" t="s">
        <v>53</v>
      </c>
      <c r="C690" s="15" t="s">
        <v>1676</v>
      </c>
      <c r="D690" s="14" t="s">
        <v>66</v>
      </c>
      <c r="E690" s="13" t="s">
        <v>250</v>
      </c>
      <c r="F690" s="13" t="s">
        <v>250</v>
      </c>
      <c r="G690" s="14">
        <v>68</v>
      </c>
      <c r="H690" s="13" t="s">
        <v>1769</v>
      </c>
      <c r="I690" s="15" t="s">
        <v>1723</v>
      </c>
      <c r="J690" s="14" t="s">
        <v>54</v>
      </c>
      <c r="K690" s="15" t="s">
        <v>92</v>
      </c>
      <c r="L690" s="14">
        <v>80111620</v>
      </c>
      <c r="M690" s="14" t="s">
        <v>55</v>
      </c>
      <c r="N690" s="14" t="s">
        <v>253</v>
      </c>
      <c r="O690" s="86" t="s">
        <v>1770</v>
      </c>
      <c r="P690" s="14" t="s">
        <v>255</v>
      </c>
      <c r="Q690" s="14" t="s">
        <v>255</v>
      </c>
      <c r="R690" s="14" t="s">
        <v>255</v>
      </c>
      <c r="S690" s="17">
        <v>11.5</v>
      </c>
      <c r="T690" s="14" t="s">
        <v>256</v>
      </c>
      <c r="U690" s="14" t="s">
        <v>257</v>
      </c>
      <c r="V690" s="14" t="s">
        <v>112</v>
      </c>
      <c r="W690" s="18">
        <v>6009897</v>
      </c>
      <c r="X690" s="18">
        <v>6009897</v>
      </c>
      <c r="Y690" s="19" t="s">
        <v>339</v>
      </c>
      <c r="Z690" s="19" t="s">
        <v>258</v>
      </c>
      <c r="AA690" s="14" t="s">
        <v>1680</v>
      </c>
      <c r="AB690" s="14" t="s">
        <v>1681</v>
      </c>
      <c r="AC690" s="14">
        <v>6012220601</v>
      </c>
      <c r="AD690" s="14" t="s">
        <v>1682</v>
      </c>
      <c r="AE690" s="82">
        <v>0</v>
      </c>
      <c r="AF690" s="82">
        <v>0</v>
      </c>
      <c r="AG690" s="82">
        <v>0</v>
      </c>
      <c r="AH690" s="82">
        <v>0</v>
      </c>
      <c r="AI690" s="82">
        <v>0</v>
      </c>
      <c r="AJ690" s="82">
        <v>0</v>
      </c>
      <c r="AK690" s="82">
        <v>0</v>
      </c>
      <c r="AL690" s="82">
        <v>0</v>
      </c>
      <c r="AM690" s="82">
        <v>0</v>
      </c>
      <c r="AN690" s="82">
        <v>0</v>
      </c>
      <c r="AO690" s="82">
        <v>0</v>
      </c>
      <c r="AP690" s="82">
        <v>0</v>
      </c>
      <c r="AQ690" s="82">
        <v>6009897</v>
      </c>
      <c r="AR690" s="82">
        <v>0</v>
      </c>
      <c r="AS690" s="82">
        <v>0</v>
      </c>
      <c r="AT690" s="82">
        <v>0</v>
      </c>
      <c r="AU690" s="82">
        <v>0</v>
      </c>
      <c r="AV690" s="82">
        <v>0</v>
      </c>
      <c r="AW690" s="82">
        <v>0</v>
      </c>
      <c r="AX690" s="82">
        <v>2000000</v>
      </c>
      <c r="AY690" s="82">
        <v>0</v>
      </c>
      <c r="AZ690" s="82">
        <v>2000000</v>
      </c>
      <c r="BA690" s="82">
        <v>0</v>
      </c>
      <c r="BB690" s="82">
        <v>2009897</v>
      </c>
      <c r="BC690" s="82">
        <f t="shared" ref="BC690:BD690" si="1375">AE690+AG690+AI690+AK690+AM690+AO690+AQ690+AS690+AU690+AW690+AY690+BA690</f>
        <v>6009897</v>
      </c>
      <c r="BD690" s="82">
        <f t="shared" si="1375"/>
        <v>6009897</v>
      </c>
      <c r="BE690" s="83">
        <f t="shared" si="1328"/>
        <v>0</v>
      </c>
      <c r="BF690" s="83">
        <f t="shared" si="1329"/>
        <v>0</v>
      </c>
      <c r="BG690" s="14" t="str">
        <f ca="1">IFERROR(__xludf.DUMMYFUNCTION("REGEXEXTRACT(O684,""^\S+\s(.+)$"")"),"Prestar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690" s="23"/>
      <c r="BI690" s="23"/>
      <c r="BJ690" s="23"/>
      <c r="BK690" s="23"/>
      <c r="BL690" s="23"/>
      <c r="BM690" s="23"/>
      <c r="BN690" s="23"/>
      <c r="BO690" s="23"/>
      <c r="BP690" s="23"/>
      <c r="BQ690" s="23"/>
      <c r="BR690" s="23"/>
      <c r="BS690" s="23"/>
      <c r="BT690" s="23">
        <v>6009897</v>
      </c>
      <c r="BU690" s="23"/>
      <c r="BV690" s="23"/>
      <c r="BW690" s="23"/>
      <c r="BX690" s="23"/>
      <c r="BY690" s="23"/>
      <c r="BZ690" s="23"/>
      <c r="CA690" s="23">
        <v>2000000</v>
      </c>
      <c r="CB690" s="23"/>
      <c r="CC690" s="23">
        <v>2000000</v>
      </c>
      <c r="CD690" s="23"/>
      <c r="CE690" s="23">
        <v>2009897</v>
      </c>
      <c r="CF690" s="28"/>
      <c r="CG690" s="28"/>
      <c r="CH690" s="25">
        <f t="shared" ref="CH690:CI690" si="1376">BH690+BJ690+BL690+BN690+BP690+BR690+BT690+BV690+BX690+BZ690+CB690+CD690+CF690</f>
        <v>6009897</v>
      </c>
      <c r="CI690" s="25">
        <f t="shared" si="1376"/>
        <v>6009897</v>
      </c>
      <c r="CJ690" s="26">
        <f t="shared" si="1331"/>
        <v>0</v>
      </c>
      <c r="CK690" s="26">
        <f t="shared" si="1332"/>
        <v>0</v>
      </c>
    </row>
    <row r="691" spans="1:89" ht="90" customHeight="1" x14ac:dyDescent="0.3">
      <c r="A691" s="13" t="s">
        <v>248</v>
      </c>
      <c r="B691" s="14" t="s">
        <v>53</v>
      </c>
      <c r="C691" s="15" t="s">
        <v>1676</v>
      </c>
      <c r="D691" s="14" t="s">
        <v>66</v>
      </c>
      <c r="E691" s="13" t="s">
        <v>250</v>
      </c>
      <c r="F691" s="13" t="s">
        <v>250</v>
      </c>
      <c r="G691" s="14">
        <v>1</v>
      </c>
      <c r="H691" s="13" t="s">
        <v>1771</v>
      </c>
      <c r="I691" s="15" t="s">
        <v>1723</v>
      </c>
      <c r="J691" s="14" t="s">
        <v>54</v>
      </c>
      <c r="K691" s="15" t="s">
        <v>92</v>
      </c>
      <c r="L691" s="14">
        <v>80111620</v>
      </c>
      <c r="M691" s="14" t="s">
        <v>55</v>
      </c>
      <c r="N691" s="14" t="s">
        <v>253</v>
      </c>
      <c r="O691" s="15" t="s">
        <v>1772</v>
      </c>
      <c r="P691" s="14" t="s">
        <v>255</v>
      </c>
      <c r="Q691" s="14" t="s">
        <v>255</v>
      </c>
      <c r="R691" s="14" t="s">
        <v>255</v>
      </c>
      <c r="S691" s="17">
        <v>11</v>
      </c>
      <c r="T691" s="14" t="s">
        <v>256</v>
      </c>
      <c r="U691" s="14" t="s">
        <v>257</v>
      </c>
      <c r="V691" s="14" t="s">
        <v>112</v>
      </c>
      <c r="W691" s="18">
        <v>47850000</v>
      </c>
      <c r="X691" s="18">
        <v>47850000</v>
      </c>
      <c r="Y691" s="19" t="s">
        <v>339</v>
      </c>
      <c r="Z691" s="19" t="s">
        <v>258</v>
      </c>
      <c r="AA691" s="14" t="s">
        <v>1680</v>
      </c>
      <c r="AB691" s="14" t="s">
        <v>1681</v>
      </c>
      <c r="AC691" s="14">
        <v>6012220601</v>
      </c>
      <c r="AD691" s="14" t="s">
        <v>1682</v>
      </c>
      <c r="AE691" s="82">
        <v>47850000</v>
      </c>
      <c r="AF691" s="82">
        <v>0</v>
      </c>
      <c r="AG691" s="82">
        <v>0</v>
      </c>
      <c r="AH691" s="82">
        <v>0</v>
      </c>
      <c r="AI691" s="82">
        <v>0</v>
      </c>
      <c r="AJ691" s="82">
        <v>8700000</v>
      </c>
      <c r="AK691" s="82">
        <v>0</v>
      </c>
      <c r="AL691" s="82">
        <v>8700000</v>
      </c>
      <c r="AM691" s="82">
        <v>0</v>
      </c>
      <c r="AN691" s="82">
        <v>8700000</v>
      </c>
      <c r="AO691" s="82">
        <v>0</v>
      </c>
      <c r="AP691" s="82">
        <v>8700000</v>
      </c>
      <c r="AQ691" s="82">
        <v>0</v>
      </c>
      <c r="AR691" s="82">
        <v>8700000</v>
      </c>
      <c r="AS691" s="82">
        <v>0</v>
      </c>
      <c r="AT691" s="82">
        <v>4350000</v>
      </c>
      <c r="AU691" s="82">
        <v>0</v>
      </c>
      <c r="AV691" s="82">
        <v>0</v>
      </c>
      <c r="AW691" s="82">
        <v>0</v>
      </c>
      <c r="AX691" s="82">
        <v>0</v>
      </c>
      <c r="AY691" s="82">
        <v>0</v>
      </c>
      <c r="AZ691" s="82">
        <v>0</v>
      </c>
      <c r="BA691" s="82">
        <v>0</v>
      </c>
      <c r="BB691" s="82">
        <v>0</v>
      </c>
      <c r="BC691" s="82">
        <f t="shared" ref="BC691:BD691" si="1377">AE691+AG691+AI691+AK691+AM691+AO691+AQ691+AS691+AU691+AW691+AY691+BA691</f>
        <v>47850000</v>
      </c>
      <c r="BD691" s="82">
        <f t="shared" si="1377"/>
        <v>47850000</v>
      </c>
      <c r="BE691" s="83">
        <f t="shared" si="1328"/>
        <v>0</v>
      </c>
      <c r="BF691" s="83">
        <f t="shared" si="1329"/>
        <v>0</v>
      </c>
      <c r="BG691" s="14" t="str">
        <f ca="1">IFERROR(__xludf.DUMMYFUNCTION("REGEXEXTRACT(O685,""^\S+\s(.+)$"")"),"Prestar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691" s="23">
        <v>47850000</v>
      </c>
      <c r="BI691" s="23"/>
      <c r="BJ691" s="23"/>
      <c r="BK691" s="23"/>
      <c r="BL691" s="23"/>
      <c r="BM691" s="23">
        <v>8700000</v>
      </c>
      <c r="BN691" s="23"/>
      <c r="BO691" s="23">
        <v>8700000</v>
      </c>
      <c r="BP691" s="23"/>
      <c r="BQ691" s="23">
        <v>8700000</v>
      </c>
      <c r="BR691" s="23"/>
      <c r="BS691" s="23">
        <v>8700000</v>
      </c>
      <c r="BT691" s="23"/>
      <c r="BU691" s="23">
        <v>8700000</v>
      </c>
      <c r="BV691" s="23"/>
      <c r="BW691" s="23">
        <v>4350000</v>
      </c>
      <c r="BX691" s="23"/>
      <c r="BY691" s="23"/>
      <c r="BZ691" s="23"/>
      <c r="CA691" s="23"/>
      <c r="CB691" s="23"/>
      <c r="CC691" s="23"/>
      <c r="CD691" s="23"/>
      <c r="CE691" s="23"/>
      <c r="CF691" s="28"/>
      <c r="CG691" s="28"/>
      <c r="CH691" s="25">
        <f t="shared" ref="CH691:CI691" si="1378">BH691+BJ691+BL691+BN691+BP691+BR691+BT691+BV691+BX691+BZ691+CB691+CD691+CF691</f>
        <v>47850000</v>
      </c>
      <c r="CI691" s="25">
        <f t="shared" si="1378"/>
        <v>47850000</v>
      </c>
      <c r="CJ691" s="26">
        <f t="shared" si="1331"/>
        <v>0</v>
      </c>
      <c r="CK691" s="26">
        <f t="shared" si="1332"/>
        <v>0</v>
      </c>
    </row>
    <row r="692" spans="1:89" ht="90" customHeight="1" x14ac:dyDescent="0.3">
      <c r="A692" s="13" t="s">
        <v>248</v>
      </c>
      <c r="B692" s="14" t="s">
        <v>53</v>
      </c>
      <c r="C692" s="15" t="s">
        <v>1676</v>
      </c>
      <c r="D692" s="14" t="s">
        <v>66</v>
      </c>
      <c r="E692" s="13" t="s">
        <v>250</v>
      </c>
      <c r="F692" s="13" t="s">
        <v>250</v>
      </c>
      <c r="G692" s="14">
        <v>2</v>
      </c>
      <c r="H692" s="13" t="s">
        <v>1773</v>
      </c>
      <c r="I692" s="15" t="s">
        <v>1723</v>
      </c>
      <c r="J692" s="14" t="s">
        <v>54</v>
      </c>
      <c r="K692" s="15" t="s">
        <v>92</v>
      </c>
      <c r="L692" s="14">
        <v>80111620</v>
      </c>
      <c r="M692" s="14" t="s">
        <v>55</v>
      </c>
      <c r="N692" s="14" t="s">
        <v>253</v>
      </c>
      <c r="O692" s="15" t="s">
        <v>1774</v>
      </c>
      <c r="P692" s="14" t="s">
        <v>255</v>
      </c>
      <c r="Q692" s="14" t="s">
        <v>255</v>
      </c>
      <c r="R692" s="14" t="s">
        <v>255</v>
      </c>
      <c r="S692" s="17">
        <v>11</v>
      </c>
      <c r="T692" s="14" t="s">
        <v>256</v>
      </c>
      <c r="U692" s="14" t="s">
        <v>257</v>
      </c>
      <c r="V692" s="14" t="s">
        <v>112</v>
      </c>
      <c r="W692" s="18">
        <v>27500000</v>
      </c>
      <c r="X692" s="18">
        <v>27500000</v>
      </c>
      <c r="Y692" s="19" t="s">
        <v>339</v>
      </c>
      <c r="Z692" s="19" t="s">
        <v>258</v>
      </c>
      <c r="AA692" s="14" t="s">
        <v>1680</v>
      </c>
      <c r="AB692" s="14" t="s">
        <v>1681</v>
      </c>
      <c r="AC692" s="14">
        <v>6012220601</v>
      </c>
      <c r="AD692" s="14" t="s">
        <v>1682</v>
      </c>
      <c r="AE692" s="82">
        <v>27500000</v>
      </c>
      <c r="AF692" s="82">
        <v>0</v>
      </c>
      <c r="AG692" s="82">
        <v>0</v>
      </c>
      <c r="AH692" s="82">
        <v>0</v>
      </c>
      <c r="AI692" s="82">
        <v>0</v>
      </c>
      <c r="AJ692" s="82">
        <v>5000000</v>
      </c>
      <c r="AK692" s="82">
        <v>0</v>
      </c>
      <c r="AL692" s="82">
        <v>5000000</v>
      </c>
      <c r="AM692" s="82">
        <v>0</v>
      </c>
      <c r="AN692" s="82">
        <v>5000000</v>
      </c>
      <c r="AO692" s="82">
        <v>0</v>
      </c>
      <c r="AP692" s="82">
        <v>5000000</v>
      </c>
      <c r="AQ692" s="82">
        <v>0</v>
      </c>
      <c r="AR692" s="82">
        <v>5000000</v>
      </c>
      <c r="AS692" s="82">
        <v>0</v>
      </c>
      <c r="AT692" s="82">
        <v>2500000</v>
      </c>
      <c r="AU692" s="82">
        <v>0</v>
      </c>
      <c r="AV692" s="82">
        <v>0</v>
      </c>
      <c r="AW692" s="82">
        <v>0</v>
      </c>
      <c r="AX692" s="82">
        <v>0</v>
      </c>
      <c r="AY692" s="82">
        <v>0</v>
      </c>
      <c r="AZ692" s="82">
        <v>0</v>
      </c>
      <c r="BA692" s="82">
        <v>0</v>
      </c>
      <c r="BB692" s="82">
        <v>0</v>
      </c>
      <c r="BC692" s="82">
        <f t="shared" ref="BC692:BD692" si="1379">AE692+AG692+AI692+AK692+AM692+AO692+AQ692+AS692+AU692+AW692+AY692+BA692</f>
        <v>27500000</v>
      </c>
      <c r="BD692" s="82">
        <f t="shared" si="1379"/>
        <v>27500000</v>
      </c>
      <c r="BE692" s="83">
        <f t="shared" si="1328"/>
        <v>0</v>
      </c>
      <c r="BF692" s="83">
        <f t="shared" si="1329"/>
        <v>0</v>
      </c>
      <c r="BG692" s="14" t="str">
        <f ca="1">IFERROR(__xludf.DUMMYFUNCTION("REGEXEXTRACT(O686,""^\S+\s(.+)$"")")," Prestar servicios ​profesionales en asuntos jurídicos relacionados con los procesos ​y procedimientos de competencia de la Subdirección de Minería, en el marco de la gestión institucional de la Entidad.")</f>
        <v xml:space="preserve"> Prestar servicios ​profesionales en asuntos jurídicos relacionados con los procesos ​y procedimientos de competencia de la Subdirección de Minería, en el marco de la gestión institucional de la Entidad.</v>
      </c>
      <c r="BH692" s="23">
        <v>27500000</v>
      </c>
      <c r="BI692" s="23"/>
      <c r="BJ692" s="23"/>
      <c r="BK692" s="23"/>
      <c r="BL692" s="23"/>
      <c r="BM692" s="23">
        <v>5000000</v>
      </c>
      <c r="BN692" s="23"/>
      <c r="BO692" s="23">
        <v>5000000</v>
      </c>
      <c r="BP692" s="23"/>
      <c r="BQ692" s="23">
        <v>5000000</v>
      </c>
      <c r="BR692" s="23"/>
      <c r="BS692" s="23">
        <v>5000000</v>
      </c>
      <c r="BT692" s="23"/>
      <c r="BU692" s="23">
        <v>5000000</v>
      </c>
      <c r="BV692" s="23"/>
      <c r="BW692" s="23">
        <v>2500000</v>
      </c>
      <c r="BX692" s="23"/>
      <c r="BY692" s="23"/>
      <c r="BZ692" s="23"/>
      <c r="CA692" s="23"/>
      <c r="CB692" s="23"/>
      <c r="CC692" s="23"/>
      <c r="CD692" s="23"/>
      <c r="CE692" s="23"/>
      <c r="CF692" s="28"/>
      <c r="CG692" s="28"/>
      <c r="CH692" s="25">
        <f t="shared" ref="CH692:CI692" si="1380">BH692+BJ692+BL692+BN692+BP692+BR692+BT692+BV692+BX692+BZ692+CB692+CD692+CF692</f>
        <v>27500000</v>
      </c>
      <c r="CI692" s="25">
        <f t="shared" si="1380"/>
        <v>27500000</v>
      </c>
      <c r="CJ692" s="26">
        <f t="shared" si="1331"/>
        <v>0</v>
      </c>
      <c r="CK692" s="26">
        <f t="shared" si="1332"/>
        <v>0</v>
      </c>
    </row>
    <row r="693" spans="1:89" ht="90" customHeight="1" x14ac:dyDescent="0.3">
      <c r="A693" s="13" t="s">
        <v>248</v>
      </c>
      <c r="B693" s="14" t="s">
        <v>53</v>
      </c>
      <c r="C693" s="15" t="s">
        <v>1676</v>
      </c>
      <c r="D693" s="14" t="s">
        <v>66</v>
      </c>
      <c r="E693" s="13" t="s">
        <v>250</v>
      </c>
      <c r="F693" s="13" t="s">
        <v>250</v>
      </c>
      <c r="G693" s="29" t="s">
        <v>1726</v>
      </c>
      <c r="H693" s="13" t="s">
        <v>1775</v>
      </c>
      <c r="I693" s="15" t="s">
        <v>1723</v>
      </c>
      <c r="J693" s="14" t="s">
        <v>54</v>
      </c>
      <c r="K693" s="15" t="s">
        <v>92</v>
      </c>
      <c r="L693" s="14">
        <v>80111620</v>
      </c>
      <c r="M693" s="14" t="s">
        <v>55</v>
      </c>
      <c r="N693" s="14" t="s">
        <v>253</v>
      </c>
      <c r="O693" s="15" t="s">
        <v>1776</v>
      </c>
      <c r="P693" s="14" t="s">
        <v>255</v>
      </c>
      <c r="Q693" s="14" t="s">
        <v>255</v>
      </c>
      <c r="R693" s="14" t="s">
        <v>255</v>
      </c>
      <c r="S693" s="17">
        <v>8</v>
      </c>
      <c r="T693" s="14" t="s">
        <v>256</v>
      </c>
      <c r="U693" s="14" t="s">
        <v>257</v>
      </c>
      <c r="V693" s="14" t="s">
        <v>112</v>
      </c>
      <c r="W693" s="18">
        <v>34400000</v>
      </c>
      <c r="X693" s="18">
        <v>34400000</v>
      </c>
      <c r="Y693" s="19" t="s">
        <v>339</v>
      </c>
      <c r="Z693" s="19" t="s">
        <v>258</v>
      </c>
      <c r="AA693" s="14" t="s">
        <v>1680</v>
      </c>
      <c r="AB693" s="14" t="s">
        <v>1681</v>
      </c>
      <c r="AC693" s="14">
        <v>6012220601</v>
      </c>
      <c r="AD693" s="14" t="s">
        <v>1682</v>
      </c>
      <c r="AE693" s="82">
        <v>0</v>
      </c>
      <c r="AF693" s="82">
        <v>0</v>
      </c>
      <c r="AG693" s="82">
        <v>34400000</v>
      </c>
      <c r="AH693" s="82">
        <v>0</v>
      </c>
      <c r="AI693" s="82">
        <v>0</v>
      </c>
      <c r="AJ693" s="82">
        <v>0</v>
      </c>
      <c r="AK693" s="82">
        <v>0</v>
      </c>
      <c r="AL693" s="82">
        <v>1612500</v>
      </c>
      <c r="AM693" s="82">
        <v>0</v>
      </c>
      <c r="AN693" s="82">
        <v>5375000</v>
      </c>
      <c r="AO693" s="82">
        <v>0</v>
      </c>
      <c r="AP693" s="82">
        <v>5375000</v>
      </c>
      <c r="AQ693" s="82">
        <v>0</v>
      </c>
      <c r="AR693" s="82">
        <v>5375000</v>
      </c>
      <c r="AS693" s="82">
        <v>0</v>
      </c>
      <c r="AT693" s="82">
        <v>5375000</v>
      </c>
      <c r="AU693" s="82">
        <v>0</v>
      </c>
      <c r="AV693" s="82">
        <v>5375000</v>
      </c>
      <c r="AW693" s="82">
        <v>0</v>
      </c>
      <c r="AX693" s="82">
        <v>5912500</v>
      </c>
      <c r="AY693" s="82">
        <v>0</v>
      </c>
      <c r="AZ693" s="82">
        <v>0</v>
      </c>
      <c r="BA693" s="82">
        <v>0</v>
      </c>
      <c r="BB693" s="82">
        <v>0</v>
      </c>
      <c r="BC693" s="82">
        <f t="shared" ref="BC693:BD693" si="1381">AE693+AG693+AI693+AK693+AM693+AO693+AQ693+AS693+AU693+AW693+AY693+BA693</f>
        <v>34400000</v>
      </c>
      <c r="BD693" s="82">
        <f t="shared" si="1381"/>
        <v>34400000</v>
      </c>
      <c r="BE693" s="83">
        <f t="shared" si="1328"/>
        <v>0</v>
      </c>
      <c r="BF693" s="83">
        <f t="shared" si="1329"/>
        <v>0</v>
      </c>
      <c r="BG693" s="14" t="str">
        <f ca="1">IFERROR(__xludf.DUMMYFUNCTION("REGEXEXTRACT(O687,""^\S+\s(.+)$"")"),"Prestar servicios profesionales para brindar apoyo en la Subdirección de Minería, en la elaboración de estudios técnicos asociados a la actividad minera y documentos de investigación.")</f>
        <v>Prestar servicios profesionales para brindar apoyo en la Subdirección de Minería, en la elaboración de estudios técnicos asociados a la actividad minera y documentos de investigación.</v>
      </c>
      <c r="BH693" s="23"/>
      <c r="BI693" s="23"/>
      <c r="BJ693" s="23">
        <v>34400000</v>
      </c>
      <c r="BK693" s="23"/>
      <c r="BL693" s="23"/>
      <c r="BM693" s="23"/>
      <c r="BN693" s="23"/>
      <c r="BO693" s="23">
        <v>1612500</v>
      </c>
      <c r="BP693" s="23"/>
      <c r="BQ693" s="23">
        <v>5375000</v>
      </c>
      <c r="BR693" s="23"/>
      <c r="BS693" s="23">
        <v>5375000</v>
      </c>
      <c r="BT693" s="23"/>
      <c r="BU693" s="23">
        <v>5375000</v>
      </c>
      <c r="BV693" s="23"/>
      <c r="BW693" s="23">
        <v>5375000</v>
      </c>
      <c r="BX693" s="23"/>
      <c r="BY693" s="23">
        <v>5375000</v>
      </c>
      <c r="BZ693" s="23"/>
      <c r="CA693" s="23">
        <v>5912500</v>
      </c>
      <c r="CB693" s="23"/>
      <c r="CC693" s="23"/>
      <c r="CD693" s="23"/>
      <c r="CE693" s="23"/>
      <c r="CF693" s="28"/>
      <c r="CG693" s="28"/>
      <c r="CH693" s="25">
        <f t="shared" ref="CH693:CI693" si="1382">BH693+BJ693+BL693+BN693+BP693+BR693+BT693+BV693+BX693+BZ693+CB693+CD693+CF693</f>
        <v>34400000</v>
      </c>
      <c r="CI693" s="25">
        <f t="shared" si="1382"/>
        <v>34400000</v>
      </c>
      <c r="CJ693" s="26">
        <f t="shared" si="1331"/>
        <v>0</v>
      </c>
      <c r="CK693" s="26">
        <f t="shared" si="1332"/>
        <v>0</v>
      </c>
    </row>
    <row r="694" spans="1:89" ht="90" customHeight="1" x14ac:dyDescent="0.3">
      <c r="A694" s="13" t="s">
        <v>248</v>
      </c>
      <c r="B694" s="14" t="s">
        <v>53</v>
      </c>
      <c r="C694" s="15" t="s">
        <v>1676</v>
      </c>
      <c r="D694" s="14" t="s">
        <v>66</v>
      </c>
      <c r="E694" s="13" t="s">
        <v>250</v>
      </c>
      <c r="F694" s="13" t="s">
        <v>250</v>
      </c>
      <c r="G694" s="14">
        <v>2</v>
      </c>
      <c r="H694" s="13" t="s">
        <v>1777</v>
      </c>
      <c r="I694" s="15" t="s">
        <v>1723</v>
      </c>
      <c r="J694" s="14" t="s">
        <v>9</v>
      </c>
      <c r="K694" s="15" t="s">
        <v>72</v>
      </c>
      <c r="L694" s="14">
        <v>80111620</v>
      </c>
      <c r="M694" s="14" t="s">
        <v>57</v>
      </c>
      <c r="N694" s="14" t="s">
        <v>253</v>
      </c>
      <c r="O694" s="15" t="s">
        <v>1778</v>
      </c>
      <c r="P694" s="14" t="s">
        <v>255</v>
      </c>
      <c r="Q694" s="14" t="s">
        <v>255</v>
      </c>
      <c r="R694" s="14" t="s">
        <v>255</v>
      </c>
      <c r="S694" s="17">
        <v>11</v>
      </c>
      <c r="T694" s="14" t="s">
        <v>256</v>
      </c>
      <c r="U694" s="14" t="s">
        <v>257</v>
      </c>
      <c r="V694" s="14" t="s">
        <v>112</v>
      </c>
      <c r="W694" s="18">
        <v>31200000</v>
      </c>
      <c r="X694" s="18">
        <v>31200000</v>
      </c>
      <c r="Y694" s="19" t="s">
        <v>339</v>
      </c>
      <c r="Z694" s="19" t="s">
        <v>258</v>
      </c>
      <c r="AA694" s="14" t="s">
        <v>1680</v>
      </c>
      <c r="AB694" s="14" t="s">
        <v>1681</v>
      </c>
      <c r="AC694" s="14">
        <v>6012220601</v>
      </c>
      <c r="AD694" s="14" t="s">
        <v>1682</v>
      </c>
      <c r="AE694" s="82">
        <v>31200000</v>
      </c>
      <c r="AF694" s="82">
        <v>0</v>
      </c>
      <c r="AG694" s="82">
        <v>0</v>
      </c>
      <c r="AH694" s="82">
        <v>750000</v>
      </c>
      <c r="AI694" s="82">
        <v>0</v>
      </c>
      <c r="AJ694" s="82">
        <v>7500000</v>
      </c>
      <c r="AK694" s="82">
        <v>0</v>
      </c>
      <c r="AL694" s="82">
        <v>7500000</v>
      </c>
      <c r="AM694" s="82">
        <v>0</v>
      </c>
      <c r="AN694" s="82">
        <v>7500000</v>
      </c>
      <c r="AO694" s="82">
        <v>0</v>
      </c>
      <c r="AP694" s="82">
        <v>7500000</v>
      </c>
      <c r="AQ694" s="82">
        <v>0</v>
      </c>
      <c r="AR694" s="82">
        <v>450000</v>
      </c>
      <c r="AS694" s="82">
        <v>0</v>
      </c>
      <c r="AT694" s="82">
        <v>0</v>
      </c>
      <c r="AU694" s="82">
        <v>0</v>
      </c>
      <c r="AV694" s="82">
        <v>0</v>
      </c>
      <c r="AW694" s="82">
        <v>0</v>
      </c>
      <c r="AX694" s="82">
        <v>0</v>
      </c>
      <c r="AY694" s="82">
        <v>0</v>
      </c>
      <c r="AZ694" s="82">
        <v>0</v>
      </c>
      <c r="BA694" s="82">
        <v>0</v>
      </c>
      <c r="BB694" s="82">
        <v>0</v>
      </c>
      <c r="BC694" s="82">
        <f t="shared" ref="BC694:BD694" si="1383">AE694+AG694+AI694+AK694+AM694+AO694+AQ694+AS694+AU694+AW694+AY694+BA694</f>
        <v>31200000</v>
      </c>
      <c r="BD694" s="82">
        <f t="shared" si="1383"/>
        <v>31200000</v>
      </c>
      <c r="BE694" s="83">
        <f t="shared" si="1328"/>
        <v>0</v>
      </c>
      <c r="BF694" s="83">
        <f t="shared" si="1329"/>
        <v>0</v>
      </c>
      <c r="BG694" s="14" t="str">
        <f ca="1">IFERROR(__xludf.DUMMYFUNCTION("REGEXEXTRACT(O688,""^\S+\s(.+)$"")"),"Prestar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694" s="23">
        <v>31200000</v>
      </c>
      <c r="BI694" s="23"/>
      <c r="BJ694" s="23"/>
      <c r="BK694" s="23">
        <v>750000</v>
      </c>
      <c r="BL694" s="23"/>
      <c r="BM694" s="23">
        <v>7500000</v>
      </c>
      <c r="BN694" s="23"/>
      <c r="BO694" s="23">
        <v>7500000</v>
      </c>
      <c r="BP694" s="23"/>
      <c r="BQ694" s="23">
        <v>7500000</v>
      </c>
      <c r="BR694" s="23"/>
      <c r="BS694" s="23">
        <v>7500000</v>
      </c>
      <c r="BT694" s="23"/>
      <c r="BU694" s="23">
        <v>450000</v>
      </c>
      <c r="BV694" s="23"/>
      <c r="BW694" s="23"/>
      <c r="BX694" s="23"/>
      <c r="BY694" s="23"/>
      <c r="BZ694" s="23"/>
      <c r="CA694" s="23"/>
      <c r="CB694" s="23"/>
      <c r="CC694" s="23"/>
      <c r="CD694" s="23"/>
      <c r="CE694" s="23"/>
      <c r="CF694" s="28"/>
      <c r="CG694" s="28"/>
      <c r="CH694" s="25">
        <f t="shared" ref="CH694:CI694" si="1384">BH694+BJ694+BL694+BN694+BP694+BR694+BT694+BV694+BX694+BZ694+CB694+CD694+CF694</f>
        <v>31200000</v>
      </c>
      <c r="CI694" s="25">
        <f t="shared" si="1384"/>
        <v>31200000</v>
      </c>
      <c r="CJ694" s="26">
        <f t="shared" si="1331"/>
        <v>0</v>
      </c>
      <c r="CK694" s="26">
        <f t="shared" si="1332"/>
        <v>0</v>
      </c>
    </row>
    <row r="695" spans="1:89" ht="90" customHeight="1" x14ac:dyDescent="0.3">
      <c r="A695" s="13" t="s">
        <v>248</v>
      </c>
      <c r="B695" s="14" t="s">
        <v>53</v>
      </c>
      <c r="C695" s="15" t="s">
        <v>1676</v>
      </c>
      <c r="D695" s="14" t="s">
        <v>66</v>
      </c>
      <c r="E695" s="13" t="s">
        <v>250</v>
      </c>
      <c r="F695" s="13" t="s">
        <v>250</v>
      </c>
      <c r="G695" s="14">
        <v>17</v>
      </c>
      <c r="H695" s="13" t="s">
        <v>1779</v>
      </c>
      <c r="I695" s="15" t="s">
        <v>1723</v>
      </c>
      <c r="J695" s="14" t="s">
        <v>9</v>
      </c>
      <c r="K695" s="15" t="s">
        <v>72</v>
      </c>
      <c r="L695" s="14">
        <v>80111620</v>
      </c>
      <c r="M695" s="14" t="s">
        <v>57</v>
      </c>
      <c r="N695" s="14" t="s">
        <v>253</v>
      </c>
      <c r="O695" s="15" t="s">
        <v>1780</v>
      </c>
      <c r="P695" s="14" t="s">
        <v>255</v>
      </c>
      <c r="Q695" s="14" t="s">
        <v>255</v>
      </c>
      <c r="R695" s="14" t="s">
        <v>255</v>
      </c>
      <c r="S695" s="17">
        <v>6</v>
      </c>
      <c r="T695" s="14" t="s">
        <v>256</v>
      </c>
      <c r="U695" s="14" t="s">
        <v>257</v>
      </c>
      <c r="V695" s="14" t="s">
        <v>112</v>
      </c>
      <c r="W695" s="18">
        <v>15800000</v>
      </c>
      <c r="X695" s="18">
        <v>15800000</v>
      </c>
      <c r="Y695" s="19" t="s">
        <v>339</v>
      </c>
      <c r="Z695" s="19" t="s">
        <v>258</v>
      </c>
      <c r="AA695" s="14" t="s">
        <v>1680</v>
      </c>
      <c r="AB695" s="14" t="s">
        <v>1681</v>
      </c>
      <c r="AC695" s="14">
        <v>6012220601</v>
      </c>
      <c r="AD695" s="14" t="s">
        <v>1682</v>
      </c>
      <c r="AE695" s="82">
        <v>0</v>
      </c>
      <c r="AF695" s="82">
        <v>0</v>
      </c>
      <c r="AG695" s="82">
        <v>0</v>
      </c>
      <c r="AH695" s="82">
        <v>0</v>
      </c>
      <c r="AI695" s="82">
        <v>0</v>
      </c>
      <c r="AJ695" s="82">
        <v>0</v>
      </c>
      <c r="AK695" s="82">
        <v>0</v>
      </c>
      <c r="AL695" s="82">
        <v>0</v>
      </c>
      <c r="AM695" s="82">
        <v>0</v>
      </c>
      <c r="AN695" s="82">
        <v>0</v>
      </c>
      <c r="AO695" s="82">
        <v>0</v>
      </c>
      <c r="AP695" s="82">
        <v>0</v>
      </c>
      <c r="AQ695" s="82">
        <v>0</v>
      </c>
      <c r="AR695" s="82">
        <v>0</v>
      </c>
      <c r="AS695" s="82">
        <v>0</v>
      </c>
      <c r="AT695" s="82">
        <v>0</v>
      </c>
      <c r="AU695" s="82">
        <v>0</v>
      </c>
      <c r="AV695" s="82">
        <v>0</v>
      </c>
      <c r="AW695" s="82">
        <v>0</v>
      </c>
      <c r="AX695" s="82">
        <v>0</v>
      </c>
      <c r="AY695" s="82">
        <v>0</v>
      </c>
      <c r="AZ695" s="82">
        <v>0</v>
      </c>
      <c r="BA695" s="82">
        <v>33000000</v>
      </c>
      <c r="BB695" s="82">
        <v>33000000</v>
      </c>
      <c r="BC695" s="82">
        <f t="shared" ref="BC695:BD695" si="1385">AE695+AG695+AI695+AK695+AM695+AO695+AQ695+AS695+AU695+AW695+AY695+BA695</f>
        <v>33000000</v>
      </c>
      <c r="BD695" s="82">
        <f t="shared" si="1385"/>
        <v>33000000</v>
      </c>
      <c r="BE695" s="83">
        <f t="shared" si="1328"/>
        <v>-17200000</v>
      </c>
      <c r="BF695" s="83">
        <f t="shared" si="1329"/>
        <v>-17200000</v>
      </c>
      <c r="BG695" s="14" t="str">
        <f ca="1">IFERROR(__xludf.DUMMYFUNCTION("REGEXEXTRACT(O689,""^\S+\s(.+)$"")"),"Prestar servicios profesionales para apoyar a la Subdirección de Minería en la realización de análisis económicos, orientados a la elaboración, seguimiento y evaluación de los instrumentos de planeación del sector minero, así como en la generación de insu"&amp;"mos para la elaboración de documentos técnicos y de investigación sectorial.")</f>
        <v>Prestar servicios profesionales para apoyar a la Subdirección de Minería en la realización de análisis económicos, orientados a la elaboración, seguimiento y evaluación de los instrumentos de planeación del sector minero, así como en la generación de insumos para la elaboración de documentos técnicos y de investigación sectorial.</v>
      </c>
      <c r="BH695" s="23">
        <v>0</v>
      </c>
      <c r="BI695" s="23">
        <v>0</v>
      </c>
      <c r="BJ695" s="23">
        <v>0</v>
      </c>
      <c r="BK695" s="23">
        <v>0</v>
      </c>
      <c r="BL695" s="23">
        <v>0</v>
      </c>
      <c r="BM695" s="23">
        <v>0</v>
      </c>
      <c r="BN695" s="23">
        <v>3100000</v>
      </c>
      <c r="BO695" s="23">
        <v>3100000</v>
      </c>
      <c r="BP695" s="23">
        <v>3100000</v>
      </c>
      <c r="BQ695" s="23">
        <v>3100000</v>
      </c>
      <c r="BR695" s="23">
        <v>3100000</v>
      </c>
      <c r="BS695" s="23">
        <v>3100000</v>
      </c>
      <c r="BT695" s="23">
        <v>3100000</v>
      </c>
      <c r="BU695" s="23">
        <v>3100000</v>
      </c>
      <c r="BV695" s="23">
        <v>3400000</v>
      </c>
      <c r="BW695" s="23">
        <v>3400000</v>
      </c>
      <c r="BX695" s="23">
        <v>0</v>
      </c>
      <c r="BY695" s="23">
        <v>0</v>
      </c>
      <c r="BZ695" s="23">
        <v>0</v>
      </c>
      <c r="CA695" s="23">
        <v>0</v>
      </c>
      <c r="CB695" s="23">
        <v>0</v>
      </c>
      <c r="CC695" s="23">
        <v>0</v>
      </c>
      <c r="CD695" s="23">
        <v>0</v>
      </c>
      <c r="CE695" s="23">
        <v>0</v>
      </c>
      <c r="CF695" s="28"/>
      <c r="CG695" s="28"/>
      <c r="CH695" s="25">
        <f t="shared" ref="CH695:CI695" si="1386">BH695+BJ695+BL695+BN695+BP695+BR695+BT695+BV695+BX695+BZ695+CB695+CD695+CF695</f>
        <v>15800000</v>
      </c>
      <c r="CI695" s="25">
        <f t="shared" si="1386"/>
        <v>15800000</v>
      </c>
      <c r="CJ695" s="26">
        <f t="shared" si="1331"/>
        <v>0</v>
      </c>
      <c r="CK695" s="26">
        <f t="shared" si="1332"/>
        <v>0</v>
      </c>
    </row>
    <row r="696" spans="1:89" ht="90" customHeight="1" x14ac:dyDescent="0.3">
      <c r="A696" s="13" t="s">
        <v>248</v>
      </c>
      <c r="B696" s="14" t="s">
        <v>53</v>
      </c>
      <c r="C696" s="15" t="s">
        <v>1676</v>
      </c>
      <c r="D696" s="14" t="s">
        <v>66</v>
      </c>
      <c r="E696" s="13" t="s">
        <v>339</v>
      </c>
      <c r="F696" s="13" t="s">
        <v>250</v>
      </c>
      <c r="G696" s="14">
        <v>23</v>
      </c>
      <c r="H696" s="13" t="s">
        <v>1781</v>
      </c>
      <c r="I696" s="15" t="s">
        <v>1723</v>
      </c>
      <c r="J696" s="14" t="s">
        <v>9</v>
      </c>
      <c r="K696" s="15" t="s">
        <v>72</v>
      </c>
      <c r="L696" s="14" t="s">
        <v>258</v>
      </c>
      <c r="M696" s="14" t="s">
        <v>57</v>
      </c>
      <c r="N696" s="14" t="s">
        <v>341</v>
      </c>
      <c r="O696" s="15" t="s">
        <v>1782</v>
      </c>
      <c r="P696" s="14" t="s">
        <v>258</v>
      </c>
      <c r="Q696" s="14" t="s">
        <v>258</v>
      </c>
      <c r="R696" s="14" t="s">
        <v>258</v>
      </c>
      <c r="S696" s="17" t="s">
        <v>258</v>
      </c>
      <c r="T696" s="14" t="s">
        <v>258</v>
      </c>
      <c r="U696" s="14" t="s">
        <v>258</v>
      </c>
      <c r="V696" s="14" t="s">
        <v>112</v>
      </c>
      <c r="W696" s="18">
        <v>75700000</v>
      </c>
      <c r="X696" s="18">
        <v>75700000</v>
      </c>
      <c r="Y696" s="19" t="s">
        <v>339</v>
      </c>
      <c r="Z696" s="19" t="s">
        <v>258</v>
      </c>
      <c r="AA696" s="14" t="s">
        <v>1680</v>
      </c>
      <c r="AB696" s="14" t="s">
        <v>1681</v>
      </c>
      <c r="AC696" s="14">
        <v>6012220601</v>
      </c>
      <c r="AD696" s="14" t="s">
        <v>1682</v>
      </c>
      <c r="AE696" s="82">
        <v>0</v>
      </c>
      <c r="AF696" s="82">
        <v>0</v>
      </c>
      <c r="AG696" s="82">
        <v>6000000</v>
      </c>
      <c r="AH696" s="82">
        <v>6000000</v>
      </c>
      <c r="AI696" s="82">
        <v>6000000</v>
      </c>
      <c r="AJ696" s="82">
        <v>6000000</v>
      </c>
      <c r="AK696" s="82">
        <v>6000000</v>
      </c>
      <c r="AL696" s="82">
        <v>6000000</v>
      </c>
      <c r="AM696" s="82">
        <v>6000000</v>
      </c>
      <c r="AN696" s="82">
        <v>6000000</v>
      </c>
      <c r="AO696" s="82">
        <v>5000000</v>
      </c>
      <c r="AP696" s="82">
        <v>5000000</v>
      </c>
      <c r="AQ696" s="82">
        <v>5000000</v>
      </c>
      <c r="AR696" s="82">
        <v>5000000</v>
      </c>
      <c r="AS696" s="82">
        <v>5000000</v>
      </c>
      <c r="AT696" s="82">
        <v>5000000</v>
      </c>
      <c r="AU696" s="82">
        <v>5000000</v>
      </c>
      <c r="AV696" s="82">
        <v>5000000</v>
      </c>
      <c r="AW696" s="82">
        <v>5000000</v>
      </c>
      <c r="AX696" s="82">
        <v>5000000</v>
      </c>
      <c r="AY696" s="82">
        <v>4500000</v>
      </c>
      <c r="AZ696" s="82">
        <v>4500000</v>
      </c>
      <c r="BA696" s="82">
        <v>5000000</v>
      </c>
      <c r="BB696" s="82">
        <v>5000000</v>
      </c>
      <c r="BC696" s="82">
        <f t="shared" ref="BC696:BD696" si="1387">AE696+AG696+AI696+AK696+AM696+AO696+AQ696+AS696+AU696+AW696+AY696+BA696</f>
        <v>58500000</v>
      </c>
      <c r="BD696" s="82">
        <f t="shared" si="1387"/>
        <v>58500000</v>
      </c>
      <c r="BE696" s="83">
        <f t="shared" si="1328"/>
        <v>17200000</v>
      </c>
      <c r="BF696" s="83">
        <f t="shared" si="1329"/>
        <v>17200000</v>
      </c>
      <c r="BG696" s="14" t="str">
        <f ca="1">IFERROR(__xludf.DUMMYFUNCTION("REGEXEXTRACT(O690,""^\S+\s(.+)$"")"),"Viáticos o gastos de desplazamiento")</f>
        <v>Viáticos o gastos de desplazamiento</v>
      </c>
      <c r="BH696" s="23">
        <v>0</v>
      </c>
      <c r="BI696" s="23">
        <v>0</v>
      </c>
      <c r="BJ696" s="23">
        <v>6000000</v>
      </c>
      <c r="BK696" s="23">
        <v>6000000</v>
      </c>
      <c r="BL696" s="23">
        <v>8000000</v>
      </c>
      <c r="BM696" s="23">
        <v>8000000</v>
      </c>
      <c r="BN696" s="23">
        <v>8000000</v>
      </c>
      <c r="BO696" s="23">
        <v>8000000</v>
      </c>
      <c r="BP696" s="23">
        <v>8000000</v>
      </c>
      <c r="BQ696" s="23">
        <v>8000000</v>
      </c>
      <c r="BR696" s="23">
        <v>7000000</v>
      </c>
      <c r="BS696" s="23">
        <v>7000000</v>
      </c>
      <c r="BT696" s="23">
        <v>7000000</v>
      </c>
      <c r="BU696" s="23">
        <v>7000000</v>
      </c>
      <c r="BV696" s="23">
        <v>7000000</v>
      </c>
      <c r="BW696" s="23">
        <v>7000000</v>
      </c>
      <c r="BX696" s="23">
        <v>7000000</v>
      </c>
      <c r="BY696" s="23">
        <v>7000000</v>
      </c>
      <c r="BZ696" s="23">
        <v>7000000</v>
      </c>
      <c r="CA696" s="23">
        <v>7000000</v>
      </c>
      <c r="CB696" s="23">
        <v>5500000</v>
      </c>
      <c r="CC696" s="23">
        <v>5500000</v>
      </c>
      <c r="CD696" s="23">
        <v>5200000</v>
      </c>
      <c r="CE696" s="23">
        <v>5200000</v>
      </c>
      <c r="CF696" s="28"/>
      <c r="CG696" s="28"/>
      <c r="CH696" s="25">
        <f t="shared" ref="CH696:CI696" si="1388">BH696+BJ696+BL696+BN696+BP696+BR696+BT696+BV696+BX696+BZ696+CB696+CD696+CF696</f>
        <v>75700000</v>
      </c>
      <c r="CI696" s="25">
        <f t="shared" si="1388"/>
        <v>75700000</v>
      </c>
      <c r="CJ696" s="26">
        <f t="shared" si="1331"/>
        <v>0</v>
      </c>
      <c r="CK696" s="26">
        <f t="shared" si="1332"/>
        <v>0</v>
      </c>
    </row>
    <row r="697" spans="1:89" ht="90" customHeight="1" x14ac:dyDescent="0.3">
      <c r="A697" s="13" t="s">
        <v>248</v>
      </c>
      <c r="B697" s="14" t="s">
        <v>53</v>
      </c>
      <c r="C697" s="15" t="s">
        <v>1676</v>
      </c>
      <c r="D697" s="14" t="s">
        <v>66</v>
      </c>
      <c r="E697" s="13" t="s">
        <v>250</v>
      </c>
      <c r="F697" s="13" t="s">
        <v>250</v>
      </c>
      <c r="G697" s="29" t="s">
        <v>1783</v>
      </c>
      <c r="H697" s="13" t="s">
        <v>1784</v>
      </c>
      <c r="I697" s="15" t="s">
        <v>1723</v>
      </c>
      <c r="J697" s="14" t="s">
        <v>9</v>
      </c>
      <c r="K697" s="15" t="s">
        <v>72</v>
      </c>
      <c r="L697" s="14">
        <v>78111502</v>
      </c>
      <c r="M697" s="14" t="s">
        <v>57</v>
      </c>
      <c r="N697" s="14" t="s">
        <v>337</v>
      </c>
      <c r="O697" s="15" t="s">
        <v>1785</v>
      </c>
      <c r="P697" s="14" t="s">
        <v>255</v>
      </c>
      <c r="Q697" s="14" t="s">
        <v>255</v>
      </c>
      <c r="R697" s="14" t="s">
        <v>255</v>
      </c>
      <c r="S697" s="17">
        <v>11</v>
      </c>
      <c r="T697" s="14" t="s">
        <v>256</v>
      </c>
      <c r="U697" s="14" t="s">
        <v>286</v>
      </c>
      <c r="V697" s="14" t="s">
        <v>112</v>
      </c>
      <c r="W697" s="18">
        <v>52000000</v>
      </c>
      <c r="X697" s="18">
        <v>52000000</v>
      </c>
      <c r="Y697" s="19" t="s">
        <v>339</v>
      </c>
      <c r="Z697" s="19" t="s">
        <v>258</v>
      </c>
      <c r="AA697" s="14" t="s">
        <v>1680</v>
      </c>
      <c r="AB697" s="14" t="s">
        <v>1681</v>
      </c>
      <c r="AC697" s="14">
        <v>6012220601</v>
      </c>
      <c r="AD697" s="14" t="s">
        <v>1682</v>
      </c>
      <c r="AE697" s="82">
        <v>0</v>
      </c>
      <c r="AF697" s="82">
        <v>0</v>
      </c>
      <c r="AG697" s="82">
        <v>0</v>
      </c>
      <c r="AH697" s="82">
        <v>0</v>
      </c>
      <c r="AI697" s="82">
        <v>0</v>
      </c>
      <c r="AJ697" s="82">
        <v>0</v>
      </c>
      <c r="AK697" s="82">
        <v>0</v>
      </c>
      <c r="AL697" s="82">
        <v>0</v>
      </c>
      <c r="AM697" s="82">
        <v>0</v>
      </c>
      <c r="AN697" s="82">
        <v>0</v>
      </c>
      <c r="AO697" s="82">
        <v>0</v>
      </c>
      <c r="AP697" s="82">
        <v>0</v>
      </c>
      <c r="AQ697" s="82">
        <v>0</v>
      </c>
      <c r="AR697" s="82">
        <v>0</v>
      </c>
      <c r="AS697" s="82">
        <v>0</v>
      </c>
      <c r="AT697" s="82">
        <v>0</v>
      </c>
      <c r="AU697" s="82">
        <v>52000000</v>
      </c>
      <c r="AV697" s="82">
        <v>0</v>
      </c>
      <c r="AW697" s="82">
        <v>0</v>
      </c>
      <c r="AX697" s="82">
        <v>7428571</v>
      </c>
      <c r="AY697" s="82">
        <v>0</v>
      </c>
      <c r="AZ697" s="82">
        <v>7428571</v>
      </c>
      <c r="BA697" s="82">
        <v>0</v>
      </c>
      <c r="BB697" s="82">
        <v>37142858</v>
      </c>
      <c r="BC697" s="82">
        <f t="shared" ref="BC697:BD697" si="1389">AE697+AG697+AI697+AK697+AM697+AO697+AQ697+AS697+AU697+AW697+AY697+BA697</f>
        <v>52000000</v>
      </c>
      <c r="BD697" s="82">
        <f t="shared" si="1389"/>
        <v>52000000</v>
      </c>
      <c r="BE697" s="83">
        <f t="shared" si="1328"/>
        <v>0</v>
      </c>
      <c r="BF697" s="83">
        <f t="shared" si="1329"/>
        <v>0</v>
      </c>
      <c r="BG697" s="14" t="str">
        <f ca="1">IFERROR(__xludf.DUMMYFUNCTION("REGEXEXTRACT(O691,""^\S+\s(.+)$"")"),"Adquirir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97" s="23"/>
      <c r="BI697" s="23"/>
      <c r="BJ697" s="23"/>
      <c r="BK697" s="23"/>
      <c r="BL697" s="23"/>
      <c r="BM697" s="23"/>
      <c r="BN697" s="23"/>
      <c r="BO697" s="23"/>
      <c r="BP697" s="23"/>
      <c r="BQ697" s="23"/>
      <c r="BR697" s="23"/>
      <c r="BS697" s="23"/>
      <c r="BT697" s="23"/>
      <c r="BU697" s="23"/>
      <c r="BV697" s="23"/>
      <c r="BW697" s="23"/>
      <c r="BX697" s="23">
        <v>52000000</v>
      </c>
      <c r="BY697" s="23"/>
      <c r="BZ697" s="23"/>
      <c r="CA697" s="23">
        <v>7428571</v>
      </c>
      <c r="CB697" s="23"/>
      <c r="CC697" s="23">
        <v>7428571</v>
      </c>
      <c r="CD697" s="23"/>
      <c r="CE697" s="23">
        <v>37142858</v>
      </c>
      <c r="CF697" s="28"/>
      <c r="CG697" s="28"/>
      <c r="CH697" s="25">
        <f t="shared" ref="CH697:CI697" si="1390">BH697+BJ697+BL697+BN697+BP697+BR697+BT697+BV697+BX697+BZ697+CB697+CD697+CF697</f>
        <v>52000000</v>
      </c>
      <c r="CI697" s="25">
        <f t="shared" si="1390"/>
        <v>52000000</v>
      </c>
      <c r="CJ697" s="26">
        <f t="shared" si="1331"/>
        <v>0</v>
      </c>
      <c r="CK697" s="26">
        <f t="shared" si="1332"/>
        <v>0</v>
      </c>
    </row>
    <row r="698" spans="1:89" ht="90" customHeight="1" x14ac:dyDescent="0.3">
      <c r="A698" s="13" t="s">
        <v>248</v>
      </c>
      <c r="B698" s="14" t="s">
        <v>53</v>
      </c>
      <c r="C698" s="15" t="s">
        <v>1676</v>
      </c>
      <c r="D698" s="14" t="s">
        <v>66</v>
      </c>
      <c r="E698" s="13" t="s">
        <v>250</v>
      </c>
      <c r="F698" s="13" t="s">
        <v>250</v>
      </c>
      <c r="G698" s="14">
        <v>68</v>
      </c>
      <c r="H698" s="13" t="s">
        <v>1786</v>
      </c>
      <c r="I698" s="15" t="s">
        <v>1723</v>
      </c>
      <c r="J698" s="14" t="s">
        <v>9</v>
      </c>
      <c r="K698" s="15" t="s">
        <v>74</v>
      </c>
      <c r="L698" s="14">
        <v>80111620</v>
      </c>
      <c r="M698" s="14" t="s">
        <v>57</v>
      </c>
      <c r="N698" s="14" t="s">
        <v>253</v>
      </c>
      <c r="O698" s="15" t="s">
        <v>1787</v>
      </c>
      <c r="P698" s="14" t="s">
        <v>255</v>
      </c>
      <c r="Q698" s="14" t="s">
        <v>255</v>
      </c>
      <c r="R698" s="14" t="s">
        <v>255</v>
      </c>
      <c r="S698" s="17">
        <v>11</v>
      </c>
      <c r="T698" s="14" t="s">
        <v>256</v>
      </c>
      <c r="U698" s="14" t="s">
        <v>257</v>
      </c>
      <c r="V698" s="14" t="s">
        <v>112</v>
      </c>
      <c r="W698" s="18">
        <v>11750000</v>
      </c>
      <c r="X698" s="18">
        <v>11750000</v>
      </c>
      <c r="Y698" s="19" t="s">
        <v>339</v>
      </c>
      <c r="Z698" s="19" t="s">
        <v>258</v>
      </c>
      <c r="AA698" s="14" t="s">
        <v>1680</v>
      </c>
      <c r="AB698" s="14" t="s">
        <v>1681</v>
      </c>
      <c r="AC698" s="14">
        <v>6012220601</v>
      </c>
      <c r="AD698" s="14" t="s">
        <v>1682</v>
      </c>
      <c r="AE698" s="82">
        <v>11750000</v>
      </c>
      <c r="AF698" s="82">
        <v>0</v>
      </c>
      <c r="AG698" s="82">
        <v>0</v>
      </c>
      <c r="AH698" s="82">
        <v>0</v>
      </c>
      <c r="AI698" s="82">
        <v>0</v>
      </c>
      <c r="AJ698" s="82">
        <v>0</v>
      </c>
      <c r="AK698" s="82">
        <v>0</v>
      </c>
      <c r="AL698" s="82">
        <v>0</v>
      </c>
      <c r="AM698" s="82">
        <v>0</v>
      </c>
      <c r="AN698" s="82">
        <v>0</v>
      </c>
      <c r="AO698" s="82">
        <v>0</v>
      </c>
      <c r="AP698" s="82">
        <v>0</v>
      </c>
      <c r="AQ698" s="82">
        <v>0</v>
      </c>
      <c r="AR698" s="82">
        <v>0</v>
      </c>
      <c r="AS698" s="82">
        <v>0</v>
      </c>
      <c r="AT698" s="82">
        <v>0</v>
      </c>
      <c r="AU698" s="82">
        <v>0</v>
      </c>
      <c r="AV698" s="82">
        <v>0</v>
      </c>
      <c r="AW698" s="82">
        <v>0</v>
      </c>
      <c r="AX698" s="82">
        <v>0</v>
      </c>
      <c r="AY698" s="82">
        <v>0</v>
      </c>
      <c r="AZ698" s="82">
        <v>0</v>
      </c>
      <c r="BA698" s="82">
        <v>0</v>
      </c>
      <c r="BB698" s="82">
        <v>11750000</v>
      </c>
      <c r="BC698" s="82">
        <f t="shared" ref="BC698:BD698" si="1391">AE698+AG698+AI698+AK698+AM698+AO698+AQ698+AS698+AU698+AW698+AY698+BA698</f>
        <v>11750000</v>
      </c>
      <c r="BD698" s="82">
        <f t="shared" si="1391"/>
        <v>11750000</v>
      </c>
      <c r="BE698" s="83">
        <f t="shared" si="1328"/>
        <v>0</v>
      </c>
      <c r="BF698" s="83">
        <f t="shared" si="1329"/>
        <v>0</v>
      </c>
      <c r="BG698" s="14" t="str">
        <f ca="1">IFERROR(__xludf.DUMMYFUNCTION("REGEXEXTRACT(O692,""^\S+\s(.+)$"")"),"Prestar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98" s="23">
        <v>11750000</v>
      </c>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v>11750000</v>
      </c>
      <c r="CF698" s="28"/>
      <c r="CG698" s="28"/>
      <c r="CH698" s="25">
        <f t="shared" ref="CH698:CI698" si="1392">BH698+BJ698+BL698+BN698+BP698+BR698+BT698+BV698+BX698+BZ698+CB698+CD698+CF698</f>
        <v>11750000</v>
      </c>
      <c r="CI698" s="25">
        <f t="shared" si="1392"/>
        <v>11750000</v>
      </c>
      <c r="CJ698" s="26">
        <f t="shared" si="1331"/>
        <v>0</v>
      </c>
      <c r="CK698" s="26">
        <f t="shared" si="1332"/>
        <v>0</v>
      </c>
    </row>
    <row r="699" spans="1:89" ht="90" customHeight="1" x14ac:dyDescent="0.3">
      <c r="A699" s="13" t="s">
        <v>248</v>
      </c>
      <c r="B699" s="14" t="s">
        <v>53</v>
      </c>
      <c r="C699" s="15" t="s">
        <v>1676</v>
      </c>
      <c r="D699" s="14" t="s">
        <v>66</v>
      </c>
      <c r="E699" s="13" t="s">
        <v>250</v>
      </c>
      <c r="F699" s="13" t="s">
        <v>250</v>
      </c>
      <c r="G699" s="14">
        <v>68</v>
      </c>
      <c r="H699" s="13" t="s">
        <v>1788</v>
      </c>
      <c r="I699" s="15" t="s">
        <v>1723</v>
      </c>
      <c r="J699" s="14" t="s">
        <v>9</v>
      </c>
      <c r="K699" s="15" t="s">
        <v>74</v>
      </c>
      <c r="L699" s="14">
        <v>80111620</v>
      </c>
      <c r="M699" s="14" t="s">
        <v>57</v>
      </c>
      <c r="N699" s="14" t="s">
        <v>253</v>
      </c>
      <c r="O699" s="15" t="s">
        <v>1789</v>
      </c>
      <c r="P699" s="14" t="s">
        <v>255</v>
      </c>
      <c r="Q699" s="14" t="s">
        <v>255</v>
      </c>
      <c r="R699" s="14" t="s">
        <v>255</v>
      </c>
      <c r="S699" s="17">
        <v>11</v>
      </c>
      <c r="T699" s="14" t="s">
        <v>256</v>
      </c>
      <c r="U699" s="14" t="s">
        <v>257</v>
      </c>
      <c r="V699" s="14" t="s">
        <v>112</v>
      </c>
      <c r="W699" s="18">
        <v>36250000</v>
      </c>
      <c r="X699" s="18">
        <v>36250000</v>
      </c>
      <c r="Y699" s="19" t="s">
        <v>339</v>
      </c>
      <c r="Z699" s="19" t="s">
        <v>258</v>
      </c>
      <c r="AA699" s="14" t="s">
        <v>1680</v>
      </c>
      <c r="AB699" s="14" t="s">
        <v>1681</v>
      </c>
      <c r="AC699" s="14">
        <v>6012220601</v>
      </c>
      <c r="AD699" s="14" t="s">
        <v>1682</v>
      </c>
      <c r="AE699" s="82">
        <v>36250000</v>
      </c>
      <c r="AF699" s="82">
        <v>0</v>
      </c>
      <c r="AG699" s="82">
        <v>0</v>
      </c>
      <c r="AH699" s="82">
        <v>750000</v>
      </c>
      <c r="AI699" s="82">
        <v>0</v>
      </c>
      <c r="AJ699" s="82">
        <v>7500000</v>
      </c>
      <c r="AK699" s="82">
        <v>0</v>
      </c>
      <c r="AL699" s="82">
        <v>7500000</v>
      </c>
      <c r="AM699" s="82">
        <v>0</v>
      </c>
      <c r="AN699" s="82">
        <v>7500000</v>
      </c>
      <c r="AO699" s="82">
        <v>0</v>
      </c>
      <c r="AP699" s="82">
        <v>7500000</v>
      </c>
      <c r="AQ699" s="82">
        <v>0</v>
      </c>
      <c r="AR699" s="82">
        <v>5500000</v>
      </c>
      <c r="AS699" s="82">
        <v>0</v>
      </c>
      <c r="AT699" s="82">
        <v>0</v>
      </c>
      <c r="AU699" s="82">
        <v>0</v>
      </c>
      <c r="AV699" s="82">
        <v>0</v>
      </c>
      <c r="AW699" s="82">
        <v>0</v>
      </c>
      <c r="AX699" s="82">
        <v>0</v>
      </c>
      <c r="AY699" s="82">
        <v>0</v>
      </c>
      <c r="AZ699" s="82">
        <v>0</v>
      </c>
      <c r="BA699" s="82">
        <v>0</v>
      </c>
      <c r="BB699" s="82">
        <v>0</v>
      </c>
      <c r="BC699" s="82">
        <f t="shared" ref="BC699:BD699" si="1393">AE699+AG699+AI699+AK699+AM699+AO699+AQ699+AS699+AU699+AW699+AY699+BA699</f>
        <v>36250000</v>
      </c>
      <c r="BD699" s="82">
        <f t="shared" si="1393"/>
        <v>36250000</v>
      </c>
      <c r="BE699" s="83">
        <f t="shared" si="1328"/>
        <v>0</v>
      </c>
      <c r="BF699" s="83">
        <f t="shared" si="1329"/>
        <v>0</v>
      </c>
      <c r="BG699" s="14" t="str">
        <f ca="1">IFERROR(__xludf.DUMMYFUNCTION("REGEXEXTRACT(O693,""^\S+\s(.+)$"")"),"Prestar servicios profesionales para brindar apoyo a la subdirección de minería para el modelamiento del sector minero colombiano a través de las herramientas como dinámica de sistemas y Python, como soporte a los documentos técnicos y de planeación miner"&amp;"a.")</f>
        <v>Prestar servicios profesionales para brindar apoyo a la subdirección de minería para el modelamiento del sector minero colombiano a través de las herramientas como dinámica de sistemas y Python, como soporte a los documentos técnicos y de planeación minera.</v>
      </c>
      <c r="BH699" s="23">
        <v>36250000</v>
      </c>
      <c r="BI699" s="23"/>
      <c r="BJ699" s="23"/>
      <c r="BK699" s="23">
        <v>750000</v>
      </c>
      <c r="BL699" s="23"/>
      <c r="BM699" s="23">
        <v>7500000</v>
      </c>
      <c r="BN699" s="23"/>
      <c r="BO699" s="23">
        <v>7500000</v>
      </c>
      <c r="BP699" s="23"/>
      <c r="BQ699" s="23">
        <v>7500000</v>
      </c>
      <c r="BR699" s="23"/>
      <c r="BS699" s="23">
        <v>7500000</v>
      </c>
      <c r="BT699" s="23"/>
      <c r="BU699" s="23">
        <v>5500000</v>
      </c>
      <c r="BV699" s="23"/>
      <c r="BW699" s="23"/>
      <c r="BX699" s="23"/>
      <c r="BY699" s="23"/>
      <c r="BZ699" s="23"/>
      <c r="CA699" s="23"/>
      <c r="CB699" s="23"/>
      <c r="CC699" s="23"/>
      <c r="CD699" s="23"/>
      <c r="CE699" s="23"/>
      <c r="CF699" s="28"/>
      <c r="CG699" s="28"/>
      <c r="CH699" s="25">
        <f t="shared" ref="CH699:CI699" si="1394">BH699+BJ699+BL699+BN699+BP699+BR699+BT699+BV699+BX699+BZ699+CB699+CD699+CF699</f>
        <v>36250000</v>
      </c>
      <c r="CI699" s="25">
        <f t="shared" si="1394"/>
        <v>36250000</v>
      </c>
      <c r="CJ699" s="26">
        <f t="shared" si="1331"/>
        <v>0</v>
      </c>
      <c r="CK699" s="26">
        <f t="shared" si="1332"/>
        <v>0</v>
      </c>
    </row>
    <row r="700" spans="1:89" ht="90" customHeight="1" x14ac:dyDescent="0.3">
      <c r="A700" s="13" t="s">
        <v>248</v>
      </c>
      <c r="B700" s="14" t="s">
        <v>53</v>
      </c>
      <c r="C700" s="15" t="s">
        <v>1676</v>
      </c>
      <c r="D700" s="14" t="s">
        <v>66</v>
      </c>
      <c r="E700" s="13" t="s">
        <v>250</v>
      </c>
      <c r="F700" s="13" t="s">
        <v>250</v>
      </c>
      <c r="G700" s="14">
        <v>68</v>
      </c>
      <c r="H700" s="13" t="s">
        <v>1790</v>
      </c>
      <c r="I700" s="15" t="s">
        <v>1723</v>
      </c>
      <c r="J700" s="14" t="s">
        <v>9</v>
      </c>
      <c r="K700" s="15" t="s">
        <v>74</v>
      </c>
      <c r="L700" s="14">
        <v>80111620</v>
      </c>
      <c r="M700" s="14" t="s">
        <v>57</v>
      </c>
      <c r="N700" s="14" t="s">
        <v>253</v>
      </c>
      <c r="O700" s="15" t="s">
        <v>1791</v>
      </c>
      <c r="P700" s="14" t="s">
        <v>255</v>
      </c>
      <c r="Q700" s="14" t="s">
        <v>255</v>
      </c>
      <c r="R700" s="14" t="s">
        <v>255</v>
      </c>
      <c r="S700" s="17">
        <v>11.5</v>
      </c>
      <c r="T700" s="14" t="s">
        <v>256</v>
      </c>
      <c r="U700" s="14" t="s">
        <v>257</v>
      </c>
      <c r="V700" s="14" t="s">
        <v>112</v>
      </c>
      <c r="W700" s="18">
        <v>68534887</v>
      </c>
      <c r="X700" s="18">
        <v>68534887</v>
      </c>
      <c r="Y700" s="19" t="s">
        <v>339</v>
      </c>
      <c r="Z700" s="19" t="s">
        <v>258</v>
      </c>
      <c r="AA700" s="14" t="s">
        <v>1680</v>
      </c>
      <c r="AB700" s="14" t="s">
        <v>1681</v>
      </c>
      <c r="AC700" s="14">
        <v>6012220601</v>
      </c>
      <c r="AD700" s="14" t="s">
        <v>1682</v>
      </c>
      <c r="AE700" s="82">
        <v>68534887</v>
      </c>
      <c r="AF700" s="82">
        <v>0</v>
      </c>
      <c r="AG700" s="82">
        <v>0</v>
      </c>
      <c r="AH700" s="82">
        <v>0</v>
      </c>
      <c r="AI700" s="82">
        <v>0</v>
      </c>
      <c r="AJ700" s="82">
        <v>0</v>
      </c>
      <c r="AK700" s="82">
        <v>0</v>
      </c>
      <c r="AL700" s="82">
        <v>8489887</v>
      </c>
      <c r="AM700" s="82">
        <v>0</v>
      </c>
      <c r="AN700" s="82">
        <v>12100000</v>
      </c>
      <c r="AO700" s="82">
        <v>0</v>
      </c>
      <c r="AP700" s="82">
        <v>12100000</v>
      </c>
      <c r="AQ700" s="82">
        <v>0</v>
      </c>
      <c r="AR700" s="82">
        <v>12100000</v>
      </c>
      <c r="AS700" s="82">
        <v>0</v>
      </c>
      <c r="AT700" s="82">
        <v>12100000</v>
      </c>
      <c r="AU700" s="82">
        <v>0</v>
      </c>
      <c r="AV700" s="82">
        <v>11645000</v>
      </c>
      <c r="AW700" s="82">
        <v>0</v>
      </c>
      <c r="AX700" s="82">
        <v>0</v>
      </c>
      <c r="AY700" s="82">
        <v>0</v>
      </c>
      <c r="AZ700" s="82">
        <v>0</v>
      </c>
      <c r="BA700" s="82">
        <v>0</v>
      </c>
      <c r="BB700" s="82">
        <v>0</v>
      </c>
      <c r="BC700" s="82">
        <f t="shared" ref="BC700:BD700" si="1395">AE700+AG700+AI700+AK700+AM700+AO700+AQ700+AS700+AU700+AW700+AY700+BA700</f>
        <v>68534887</v>
      </c>
      <c r="BD700" s="82">
        <f t="shared" si="1395"/>
        <v>68534887</v>
      </c>
      <c r="BE700" s="83">
        <f t="shared" si="1328"/>
        <v>0</v>
      </c>
      <c r="BF700" s="83">
        <f t="shared" si="1329"/>
        <v>0</v>
      </c>
      <c r="BG700" s="14" t="str">
        <f ca="1">IFERROR(__xludf.DUMMYFUNCTION("REGEXEXTRACT(O694,""^\S+\s(.+)$"")"),"Prestar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700" s="23">
        <v>68534887</v>
      </c>
      <c r="BI700" s="23"/>
      <c r="BJ700" s="23"/>
      <c r="BK700" s="23"/>
      <c r="BL700" s="23"/>
      <c r="BM700" s="23"/>
      <c r="BN700" s="23"/>
      <c r="BO700" s="23">
        <v>8489887</v>
      </c>
      <c r="BP700" s="23"/>
      <c r="BQ700" s="23">
        <v>12100000</v>
      </c>
      <c r="BR700" s="23"/>
      <c r="BS700" s="23">
        <v>12100000</v>
      </c>
      <c r="BT700" s="23"/>
      <c r="BU700" s="23">
        <v>12100000</v>
      </c>
      <c r="BV700" s="23"/>
      <c r="BW700" s="23">
        <v>12100000</v>
      </c>
      <c r="BX700" s="23"/>
      <c r="BY700" s="23">
        <v>11645000</v>
      </c>
      <c r="BZ700" s="23"/>
      <c r="CA700" s="23"/>
      <c r="CB700" s="23"/>
      <c r="CC700" s="23"/>
      <c r="CD700" s="23"/>
      <c r="CE700" s="23"/>
      <c r="CF700" s="28"/>
      <c r="CG700" s="28"/>
      <c r="CH700" s="25">
        <f t="shared" ref="CH700:CI700" si="1396">BH700+BJ700+BL700+BN700+BP700+BR700+BT700+BV700+BX700+BZ700+CB700+CD700+CF700</f>
        <v>68534887</v>
      </c>
      <c r="CI700" s="25">
        <f t="shared" si="1396"/>
        <v>68534887</v>
      </c>
      <c r="CJ700" s="26">
        <f t="shared" si="1331"/>
        <v>0</v>
      </c>
      <c r="CK700" s="26">
        <f t="shared" si="1332"/>
        <v>0</v>
      </c>
    </row>
    <row r="701" spans="1:89" ht="90" customHeight="1" x14ac:dyDescent="0.3">
      <c r="A701" s="13" t="s">
        <v>248</v>
      </c>
      <c r="B701" s="14" t="s">
        <v>53</v>
      </c>
      <c r="C701" s="15" t="s">
        <v>1676</v>
      </c>
      <c r="D701" s="14" t="s">
        <v>66</v>
      </c>
      <c r="E701" s="13" t="s">
        <v>250</v>
      </c>
      <c r="F701" s="13" t="s">
        <v>250</v>
      </c>
      <c r="G701" s="14">
        <v>2</v>
      </c>
      <c r="H701" s="13" t="s">
        <v>1792</v>
      </c>
      <c r="I701" s="15" t="s">
        <v>1723</v>
      </c>
      <c r="J701" s="14" t="s">
        <v>9</v>
      </c>
      <c r="K701" s="15" t="s">
        <v>74</v>
      </c>
      <c r="L701" s="14">
        <v>80111620</v>
      </c>
      <c r="M701" s="14" t="s">
        <v>57</v>
      </c>
      <c r="N701" s="14" t="s">
        <v>253</v>
      </c>
      <c r="O701" s="15" t="s">
        <v>1793</v>
      </c>
      <c r="P701" s="14" t="s">
        <v>255</v>
      </c>
      <c r="Q701" s="14" t="s">
        <v>255</v>
      </c>
      <c r="R701" s="14" t="s">
        <v>255</v>
      </c>
      <c r="S701" s="17">
        <v>11</v>
      </c>
      <c r="T701" s="14" t="s">
        <v>256</v>
      </c>
      <c r="U701" s="14" t="s">
        <v>257</v>
      </c>
      <c r="V701" s="14" t="s">
        <v>112</v>
      </c>
      <c r="W701" s="18">
        <v>54715113</v>
      </c>
      <c r="X701" s="18">
        <v>54715113</v>
      </c>
      <c r="Y701" s="19" t="s">
        <v>339</v>
      </c>
      <c r="Z701" s="19" t="s">
        <v>258</v>
      </c>
      <c r="AA701" s="14" t="s">
        <v>1680</v>
      </c>
      <c r="AB701" s="14" t="s">
        <v>1681</v>
      </c>
      <c r="AC701" s="14">
        <v>6012220601</v>
      </c>
      <c r="AD701" s="14" t="s">
        <v>1682</v>
      </c>
      <c r="AE701" s="82">
        <v>54715113</v>
      </c>
      <c r="AF701" s="82">
        <v>0</v>
      </c>
      <c r="AG701" s="82">
        <v>0</v>
      </c>
      <c r="AH701" s="82">
        <v>2700000</v>
      </c>
      <c r="AI701" s="82">
        <v>0</v>
      </c>
      <c r="AJ701" s="82">
        <v>9000000</v>
      </c>
      <c r="AK701" s="82">
        <v>0</v>
      </c>
      <c r="AL701" s="82">
        <v>9000000</v>
      </c>
      <c r="AM701" s="82">
        <v>0</v>
      </c>
      <c r="AN701" s="82">
        <v>9000000</v>
      </c>
      <c r="AO701" s="82">
        <v>0</v>
      </c>
      <c r="AP701" s="82">
        <v>9000000</v>
      </c>
      <c r="AQ701" s="82">
        <v>0</v>
      </c>
      <c r="AR701" s="82">
        <v>9000000</v>
      </c>
      <c r="AS701" s="82">
        <v>0</v>
      </c>
      <c r="AT701" s="82">
        <v>7015113</v>
      </c>
      <c r="AU701" s="82">
        <v>0</v>
      </c>
      <c r="AV701" s="82">
        <v>0</v>
      </c>
      <c r="AW701" s="82">
        <v>0</v>
      </c>
      <c r="AX701" s="82">
        <v>0</v>
      </c>
      <c r="AY701" s="82">
        <v>0</v>
      </c>
      <c r="AZ701" s="82">
        <v>0</v>
      </c>
      <c r="BA701" s="82">
        <v>0</v>
      </c>
      <c r="BB701" s="82">
        <v>0</v>
      </c>
      <c r="BC701" s="82">
        <f t="shared" ref="BC701:BD701" si="1397">AE701+AG701+AI701+AK701+AM701+AO701+AQ701+AS701+AU701+AW701+AY701+BA701</f>
        <v>54715113</v>
      </c>
      <c r="BD701" s="82">
        <f t="shared" si="1397"/>
        <v>54715113</v>
      </c>
      <c r="BE701" s="83">
        <f t="shared" si="1328"/>
        <v>0</v>
      </c>
      <c r="BF701" s="83">
        <f t="shared" si="1329"/>
        <v>0</v>
      </c>
      <c r="BG701" s="14" t="str">
        <f ca="1">IFERROR(__xludf.DUMMYFUNCTION("REGEXEXTRACT(O695,""^\S+\s(.+)$"")"),"Prestar servicios profesionales para apoyar a la Subdirección de Minería en la articulación, funcionamiento y coordinación de los procesos de planeación del sector minero, mediante la elaboración de documentos técnicos, la evaluación de los planes subsect"&amp;"oriales y el seguimiento a los instrumentos de planeación sectorial.")</f>
        <v>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v>
      </c>
      <c r="BH701" s="23">
        <v>54715113</v>
      </c>
      <c r="BI701" s="23"/>
      <c r="BJ701" s="23"/>
      <c r="BK701" s="23">
        <v>2700000</v>
      </c>
      <c r="BL701" s="23"/>
      <c r="BM701" s="23">
        <v>9000000</v>
      </c>
      <c r="BN701" s="23"/>
      <c r="BO701" s="23">
        <v>9000000</v>
      </c>
      <c r="BP701" s="23"/>
      <c r="BQ701" s="23">
        <v>9000000</v>
      </c>
      <c r="BR701" s="23"/>
      <c r="BS701" s="23">
        <v>9000000</v>
      </c>
      <c r="BT701" s="23"/>
      <c r="BU701" s="23">
        <v>9000000</v>
      </c>
      <c r="BV701" s="23"/>
      <c r="BW701" s="23">
        <v>7015113</v>
      </c>
      <c r="BX701" s="23"/>
      <c r="BY701" s="23"/>
      <c r="BZ701" s="23"/>
      <c r="CA701" s="23"/>
      <c r="CB701" s="23"/>
      <c r="CC701" s="23"/>
      <c r="CD701" s="23"/>
      <c r="CE701" s="23"/>
      <c r="CF701" s="28"/>
      <c r="CG701" s="28"/>
      <c r="CH701" s="25">
        <f t="shared" ref="CH701:CI701" si="1398">BH701+BJ701+BL701+BN701+BP701+BR701+BT701+BV701+BX701+BZ701+CB701+CD701+CF701</f>
        <v>54715113</v>
      </c>
      <c r="CI701" s="25">
        <f t="shared" si="1398"/>
        <v>54715113</v>
      </c>
      <c r="CJ701" s="26">
        <f t="shared" si="1331"/>
        <v>0</v>
      </c>
      <c r="CK701" s="26">
        <f t="shared" si="1332"/>
        <v>0</v>
      </c>
    </row>
    <row r="702" spans="1:89" ht="90" customHeight="1" x14ac:dyDescent="0.3">
      <c r="A702" s="13" t="s">
        <v>248</v>
      </c>
      <c r="B702" s="14" t="s">
        <v>53</v>
      </c>
      <c r="C702" s="15" t="s">
        <v>1676</v>
      </c>
      <c r="D702" s="14" t="s">
        <v>66</v>
      </c>
      <c r="E702" s="13" t="s">
        <v>250</v>
      </c>
      <c r="F702" s="13" t="s">
        <v>250</v>
      </c>
      <c r="G702" s="14">
        <v>68</v>
      </c>
      <c r="H702" s="13" t="s">
        <v>1794</v>
      </c>
      <c r="I702" s="15" t="s">
        <v>1723</v>
      </c>
      <c r="J702" s="14" t="s">
        <v>9</v>
      </c>
      <c r="K702" s="15" t="s">
        <v>74</v>
      </c>
      <c r="L702" s="14">
        <v>80111620</v>
      </c>
      <c r="M702" s="14" t="s">
        <v>57</v>
      </c>
      <c r="N702" s="14" t="s">
        <v>612</v>
      </c>
      <c r="O702" s="15" t="s">
        <v>1795</v>
      </c>
      <c r="P702" s="14" t="s">
        <v>281</v>
      </c>
      <c r="Q702" s="14" t="s">
        <v>477</v>
      </c>
      <c r="R702" s="14" t="s">
        <v>614</v>
      </c>
      <c r="S702" s="17">
        <v>5</v>
      </c>
      <c r="T702" s="14" t="s">
        <v>256</v>
      </c>
      <c r="U702" s="14" t="s">
        <v>257</v>
      </c>
      <c r="V702" s="14" t="s">
        <v>112</v>
      </c>
      <c r="W702" s="18">
        <v>9780518</v>
      </c>
      <c r="X702" s="18">
        <v>9780518</v>
      </c>
      <c r="Y702" s="19" t="s">
        <v>339</v>
      </c>
      <c r="Z702" s="19" t="s">
        <v>258</v>
      </c>
      <c r="AA702" s="14" t="s">
        <v>1680</v>
      </c>
      <c r="AB702" s="14" t="s">
        <v>1681</v>
      </c>
      <c r="AC702" s="14">
        <v>6012220601</v>
      </c>
      <c r="AD702" s="14" t="s">
        <v>1682</v>
      </c>
      <c r="AE702" s="82">
        <v>0</v>
      </c>
      <c r="AF702" s="82">
        <v>0</v>
      </c>
      <c r="AG702" s="82">
        <v>0</v>
      </c>
      <c r="AH702" s="82">
        <v>0</v>
      </c>
      <c r="AI702" s="82">
        <v>0</v>
      </c>
      <c r="AJ702" s="82">
        <v>0</v>
      </c>
      <c r="AK702" s="82">
        <v>0</v>
      </c>
      <c r="AL702" s="82">
        <v>0</v>
      </c>
      <c r="AM702" s="82">
        <v>0</v>
      </c>
      <c r="AN702" s="82">
        <v>0</v>
      </c>
      <c r="AO702" s="82">
        <v>0</v>
      </c>
      <c r="AP702" s="82">
        <v>0</v>
      </c>
      <c r="AQ702" s="82">
        <v>9780518</v>
      </c>
      <c r="AR702" s="82">
        <v>0</v>
      </c>
      <c r="AS702" s="82">
        <v>0</v>
      </c>
      <c r="AT702" s="82">
        <v>0</v>
      </c>
      <c r="AU702" s="82">
        <v>0</v>
      </c>
      <c r="AV702" s="82">
        <v>0</v>
      </c>
      <c r="AW702" s="82">
        <v>0</v>
      </c>
      <c r="AX702" s="82">
        <v>0</v>
      </c>
      <c r="AY702" s="82">
        <v>0</v>
      </c>
      <c r="AZ702" s="82">
        <v>0</v>
      </c>
      <c r="BA702" s="82">
        <v>0</v>
      </c>
      <c r="BB702" s="82">
        <v>9780518</v>
      </c>
      <c r="BC702" s="82">
        <f t="shared" ref="BC702:BD702" si="1399">AE702+AG702+AI702+AK702+AM702+AO702+AQ702+AS702+AU702+AW702+AY702+BA702</f>
        <v>9780518</v>
      </c>
      <c r="BD702" s="82">
        <f t="shared" si="1399"/>
        <v>9780518</v>
      </c>
      <c r="BE702" s="83">
        <f t="shared" si="1328"/>
        <v>0</v>
      </c>
      <c r="BF702" s="83">
        <f t="shared" si="1329"/>
        <v>0</v>
      </c>
      <c r="BG702" s="14" t="str">
        <f ca="1">IFERROR(__xludf.DUMMYFUNCTION("REGEXEXTRACT(O696,""^\S+\s(.+)$"")"),"Desarrollo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02" s="23"/>
      <c r="BI702" s="23"/>
      <c r="BJ702" s="23"/>
      <c r="BK702" s="23"/>
      <c r="BL702" s="23"/>
      <c r="BM702" s="23"/>
      <c r="BN702" s="23"/>
      <c r="BO702" s="23"/>
      <c r="BP702" s="23"/>
      <c r="BQ702" s="23"/>
      <c r="BR702" s="23"/>
      <c r="BS702" s="23"/>
      <c r="BT702" s="23">
        <v>9780518</v>
      </c>
      <c r="BU702" s="23"/>
      <c r="BV702" s="23"/>
      <c r="BW702" s="23"/>
      <c r="BX702" s="23"/>
      <c r="BY702" s="23"/>
      <c r="BZ702" s="23"/>
      <c r="CA702" s="23"/>
      <c r="CB702" s="23"/>
      <c r="CC702" s="23"/>
      <c r="CD702" s="23"/>
      <c r="CE702" s="23">
        <v>9780518</v>
      </c>
      <c r="CF702" s="28"/>
      <c r="CG702" s="28"/>
      <c r="CH702" s="25">
        <f t="shared" ref="CH702:CI702" si="1400">BH702+BJ702+BL702+BN702+BP702+BR702+BT702+BV702+BX702+BZ702+CB702+CD702+CF702</f>
        <v>9780518</v>
      </c>
      <c r="CI702" s="25">
        <f t="shared" si="1400"/>
        <v>9780518</v>
      </c>
      <c r="CJ702" s="26">
        <f t="shared" si="1331"/>
        <v>0</v>
      </c>
      <c r="CK702" s="26">
        <f t="shared" si="1332"/>
        <v>0</v>
      </c>
    </row>
    <row r="703" spans="1:89" ht="90" customHeight="1" x14ac:dyDescent="0.3">
      <c r="A703" s="13" t="s">
        <v>248</v>
      </c>
      <c r="B703" s="14" t="s">
        <v>53</v>
      </c>
      <c r="C703" s="15" t="s">
        <v>1676</v>
      </c>
      <c r="D703" s="14" t="s">
        <v>66</v>
      </c>
      <c r="E703" s="13" t="s">
        <v>250</v>
      </c>
      <c r="F703" s="13" t="s">
        <v>250</v>
      </c>
      <c r="G703" s="14">
        <v>68</v>
      </c>
      <c r="H703" s="13" t="s">
        <v>1796</v>
      </c>
      <c r="I703" s="15" t="s">
        <v>1723</v>
      </c>
      <c r="J703" s="14" t="s">
        <v>9</v>
      </c>
      <c r="K703" s="15" t="s">
        <v>77</v>
      </c>
      <c r="L703" s="14">
        <v>80111620</v>
      </c>
      <c r="M703" s="14" t="s">
        <v>57</v>
      </c>
      <c r="N703" s="14" t="s">
        <v>253</v>
      </c>
      <c r="O703" s="15" t="s">
        <v>1797</v>
      </c>
      <c r="P703" s="14" t="s">
        <v>255</v>
      </c>
      <c r="Q703" s="14" t="s">
        <v>255</v>
      </c>
      <c r="R703" s="14" t="s">
        <v>255</v>
      </c>
      <c r="S703" s="17">
        <v>11</v>
      </c>
      <c r="T703" s="14" t="s">
        <v>256</v>
      </c>
      <c r="U703" s="14" t="s">
        <v>257</v>
      </c>
      <c r="V703" s="14" t="s">
        <v>112</v>
      </c>
      <c r="W703" s="18">
        <v>5125000</v>
      </c>
      <c r="X703" s="18">
        <v>5125000</v>
      </c>
      <c r="Y703" s="19" t="s">
        <v>339</v>
      </c>
      <c r="Z703" s="19" t="s">
        <v>258</v>
      </c>
      <c r="AA703" s="14" t="s">
        <v>1680</v>
      </c>
      <c r="AB703" s="14" t="s">
        <v>1681</v>
      </c>
      <c r="AC703" s="14">
        <v>6012220601</v>
      </c>
      <c r="AD703" s="14" t="s">
        <v>1682</v>
      </c>
      <c r="AE703" s="82">
        <v>5125000</v>
      </c>
      <c r="AF703" s="82">
        <v>0</v>
      </c>
      <c r="AG703" s="82">
        <v>0</v>
      </c>
      <c r="AH703" s="82">
        <v>0</v>
      </c>
      <c r="AI703" s="82">
        <v>0</v>
      </c>
      <c r="AJ703" s="82">
        <v>0</v>
      </c>
      <c r="AK703" s="82">
        <v>0</v>
      </c>
      <c r="AL703" s="82">
        <v>0</v>
      </c>
      <c r="AM703" s="82">
        <v>0</v>
      </c>
      <c r="AN703" s="82">
        <v>0</v>
      </c>
      <c r="AO703" s="82">
        <v>0</v>
      </c>
      <c r="AP703" s="82">
        <v>0</v>
      </c>
      <c r="AQ703" s="82">
        <v>0</v>
      </c>
      <c r="AR703" s="82">
        <v>0</v>
      </c>
      <c r="AS703" s="82">
        <v>0</v>
      </c>
      <c r="AT703" s="82">
        <v>0</v>
      </c>
      <c r="AU703" s="82">
        <v>0</v>
      </c>
      <c r="AV703" s="82">
        <v>0</v>
      </c>
      <c r="AW703" s="82">
        <v>0</v>
      </c>
      <c r="AX703" s="82">
        <v>0</v>
      </c>
      <c r="AY703" s="82">
        <v>0</v>
      </c>
      <c r="AZ703" s="82">
        <v>0</v>
      </c>
      <c r="BA703" s="82">
        <v>0</v>
      </c>
      <c r="BB703" s="82">
        <v>5125000</v>
      </c>
      <c r="BC703" s="82">
        <f t="shared" ref="BC703:BD703" si="1401">AE703+AG703+AI703+AK703+AM703+AO703+AQ703+AS703+AU703+AW703+AY703+BA703</f>
        <v>5125000</v>
      </c>
      <c r="BD703" s="82">
        <f t="shared" si="1401"/>
        <v>5125000</v>
      </c>
      <c r="BE703" s="83">
        <f t="shared" si="1328"/>
        <v>0</v>
      </c>
      <c r="BF703" s="83">
        <f t="shared" si="1329"/>
        <v>0</v>
      </c>
      <c r="BG703" s="14" t="str">
        <f ca="1">IFERROR(__xludf.DUMMYFUNCTION("REGEXEXTRACT(O697,""^\S+\s(.+)$"")"),"Prestar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703" s="23">
        <v>5125000</v>
      </c>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v>5125000</v>
      </c>
      <c r="CF703" s="28"/>
      <c r="CG703" s="28"/>
      <c r="CH703" s="25">
        <f t="shared" ref="CH703:CI703" si="1402">BH703+BJ703+BL703+BN703+BP703+BR703+BT703+BV703+BX703+BZ703+CB703+CD703+CF703</f>
        <v>5125000</v>
      </c>
      <c r="CI703" s="25">
        <f t="shared" si="1402"/>
        <v>5125000</v>
      </c>
      <c r="CJ703" s="26">
        <f t="shared" si="1331"/>
        <v>0</v>
      </c>
      <c r="CK703" s="26">
        <f t="shared" si="1332"/>
        <v>0</v>
      </c>
    </row>
    <row r="704" spans="1:89" ht="90" customHeight="1" x14ac:dyDescent="0.3">
      <c r="A704" s="13" t="s">
        <v>248</v>
      </c>
      <c r="B704" s="14" t="s">
        <v>53</v>
      </c>
      <c r="C704" s="15" t="s">
        <v>1676</v>
      </c>
      <c r="D704" s="14" t="s">
        <v>66</v>
      </c>
      <c r="E704" s="13" t="s">
        <v>250</v>
      </c>
      <c r="F704" s="13" t="s">
        <v>250</v>
      </c>
      <c r="G704" s="14">
        <v>68</v>
      </c>
      <c r="H704" s="13" t="s">
        <v>1798</v>
      </c>
      <c r="I704" s="15" t="s">
        <v>1723</v>
      </c>
      <c r="J704" s="14" t="s">
        <v>9</v>
      </c>
      <c r="K704" s="15" t="s">
        <v>77</v>
      </c>
      <c r="L704" s="14">
        <v>80111620</v>
      </c>
      <c r="M704" s="14" t="s">
        <v>57</v>
      </c>
      <c r="N704" s="14" t="s">
        <v>253</v>
      </c>
      <c r="O704" s="15" t="s">
        <v>1799</v>
      </c>
      <c r="P704" s="14" t="s">
        <v>255</v>
      </c>
      <c r="Q704" s="14" t="s">
        <v>255</v>
      </c>
      <c r="R704" s="14" t="s">
        <v>255</v>
      </c>
      <c r="S704" s="17">
        <v>11</v>
      </c>
      <c r="T704" s="14" t="s">
        <v>256</v>
      </c>
      <c r="U704" s="14" t="s">
        <v>257</v>
      </c>
      <c r="V704" s="14" t="s">
        <v>112</v>
      </c>
      <c r="W704" s="18">
        <v>1675000</v>
      </c>
      <c r="X704" s="18">
        <v>1675000</v>
      </c>
      <c r="Y704" s="19" t="s">
        <v>339</v>
      </c>
      <c r="Z704" s="19" t="s">
        <v>258</v>
      </c>
      <c r="AA704" s="14" t="s">
        <v>1680</v>
      </c>
      <c r="AB704" s="14" t="s">
        <v>1681</v>
      </c>
      <c r="AC704" s="14">
        <v>6012220601</v>
      </c>
      <c r="AD704" s="14" t="s">
        <v>1682</v>
      </c>
      <c r="AE704" s="82">
        <v>1675000</v>
      </c>
      <c r="AF704" s="82">
        <v>0</v>
      </c>
      <c r="AG704" s="82">
        <v>0</v>
      </c>
      <c r="AH704" s="82">
        <v>0</v>
      </c>
      <c r="AI704" s="82">
        <v>0</v>
      </c>
      <c r="AJ704" s="82">
        <v>0</v>
      </c>
      <c r="AK704" s="82">
        <v>0</v>
      </c>
      <c r="AL704" s="82">
        <v>0</v>
      </c>
      <c r="AM704" s="82">
        <v>0</v>
      </c>
      <c r="AN704" s="82">
        <v>0</v>
      </c>
      <c r="AO704" s="82">
        <v>0</v>
      </c>
      <c r="AP704" s="82">
        <v>0</v>
      </c>
      <c r="AQ704" s="82">
        <v>0</v>
      </c>
      <c r="AR704" s="82">
        <v>1675000</v>
      </c>
      <c r="AS704" s="82">
        <v>0</v>
      </c>
      <c r="AT704" s="82">
        <v>0</v>
      </c>
      <c r="AU704" s="82">
        <v>0</v>
      </c>
      <c r="AV704" s="82">
        <v>0</v>
      </c>
      <c r="AW704" s="82">
        <v>0</v>
      </c>
      <c r="AX704" s="82">
        <v>0</v>
      </c>
      <c r="AY704" s="82">
        <v>0</v>
      </c>
      <c r="AZ704" s="82">
        <v>0</v>
      </c>
      <c r="BA704" s="82">
        <v>0</v>
      </c>
      <c r="BB704" s="82">
        <v>0</v>
      </c>
      <c r="BC704" s="82">
        <f t="shared" ref="BC704:BD704" si="1403">AE704+AG704+AI704+AK704+AM704+AO704+AQ704+AS704+AU704+AW704+AY704+BA704</f>
        <v>1675000</v>
      </c>
      <c r="BD704" s="82">
        <f t="shared" si="1403"/>
        <v>1675000</v>
      </c>
      <c r="BE704" s="83">
        <f t="shared" si="1328"/>
        <v>0</v>
      </c>
      <c r="BF704" s="83">
        <f t="shared" si="1329"/>
        <v>0</v>
      </c>
      <c r="BG704" s="14" t="str">
        <f ca="1">IFERROR(__xludf.DUMMYFUNCTION("REGEXEXTRACT(O698,""^\S+\s(.+)$"")"),"Prestar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704" s="23">
        <v>1675000</v>
      </c>
      <c r="BI704" s="23"/>
      <c r="BJ704" s="23"/>
      <c r="BK704" s="23"/>
      <c r="BL704" s="23"/>
      <c r="BM704" s="23"/>
      <c r="BN704" s="23"/>
      <c r="BO704" s="23"/>
      <c r="BP704" s="23"/>
      <c r="BQ704" s="23"/>
      <c r="BR704" s="23"/>
      <c r="BS704" s="23"/>
      <c r="BT704" s="23"/>
      <c r="BU704" s="23">
        <v>1675000</v>
      </c>
      <c r="BV704" s="23"/>
      <c r="BW704" s="23"/>
      <c r="BX704" s="23"/>
      <c r="BY704" s="23"/>
      <c r="BZ704" s="23"/>
      <c r="CA704" s="23"/>
      <c r="CB704" s="23"/>
      <c r="CC704" s="23"/>
      <c r="CD704" s="23"/>
      <c r="CE704" s="23"/>
      <c r="CF704" s="28"/>
      <c r="CG704" s="28"/>
      <c r="CH704" s="25">
        <f t="shared" ref="CH704:CI704" si="1404">BH704+BJ704+BL704+BN704+BP704+BR704+BT704+BV704+BX704+BZ704+CB704+CD704+CF704</f>
        <v>1675000</v>
      </c>
      <c r="CI704" s="25">
        <f t="shared" si="1404"/>
        <v>1675000</v>
      </c>
      <c r="CJ704" s="26">
        <f t="shared" si="1331"/>
        <v>0</v>
      </c>
      <c r="CK704" s="26">
        <f t="shared" si="1332"/>
        <v>0</v>
      </c>
    </row>
    <row r="705" spans="1:89" ht="90" customHeight="1" x14ac:dyDescent="0.3">
      <c r="A705" s="13" t="s">
        <v>248</v>
      </c>
      <c r="B705" s="14" t="s">
        <v>53</v>
      </c>
      <c r="C705" s="15" t="s">
        <v>1676</v>
      </c>
      <c r="D705" s="14" t="s">
        <v>66</v>
      </c>
      <c r="E705" s="13" t="s">
        <v>250</v>
      </c>
      <c r="F705" s="13" t="s">
        <v>250</v>
      </c>
      <c r="G705" s="14">
        <v>68</v>
      </c>
      <c r="H705" s="13" t="s">
        <v>1800</v>
      </c>
      <c r="I705" s="15" t="s">
        <v>1723</v>
      </c>
      <c r="J705" s="14" t="s">
        <v>9</v>
      </c>
      <c r="K705" s="15" t="s">
        <v>77</v>
      </c>
      <c r="L705" s="14">
        <v>80111620</v>
      </c>
      <c r="M705" s="14" t="s">
        <v>57</v>
      </c>
      <c r="N705" s="14" t="s">
        <v>253</v>
      </c>
      <c r="O705" s="15" t="s">
        <v>1801</v>
      </c>
      <c r="P705" s="14" t="s">
        <v>255</v>
      </c>
      <c r="Q705" s="14" t="s">
        <v>255</v>
      </c>
      <c r="R705" s="14" t="s">
        <v>255</v>
      </c>
      <c r="S705" s="17">
        <v>11</v>
      </c>
      <c r="T705" s="14" t="s">
        <v>256</v>
      </c>
      <c r="U705" s="14" t="s">
        <v>257</v>
      </c>
      <c r="V705" s="14" t="s">
        <v>112</v>
      </c>
      <c r="W705" s="18">
        <v>30250000</v>
      </c>
      <c r="X705" s="18">
        <v>30250000</v>
      </c>
      <c r="Y705" s="19" t="s">
        <v>339</v>
      </c>
      <c r="Z705" s="19" t="s">
        <v>258</v>
      </c>
      <c r="AA705" s="14" t="s">
        <v>1680</v>
      </c>
      <c r="AB705" s="14" t="s">
        <v>1681</v>
      </c>
      <c r="AC705" s="14">
        <v>6012220601</v>
      </c>
      <c r="AD705" s="14" t="s">
        <v>1682</v>
      </c>
      <c r="AE705" s="82">
        <v>30250000</v>
      </c>
      <c r="AF705" s="82">
        <v>0</v>
      </c>
      <c r="AG705" s="82">
        <v>0</v>
      </c>
      <c r="AH705" s="82">
        <v>1625085</v>
      </c>
      <c r="AI705" s="82">
        <v>0</v>
      </c>
      <c r="AJ705" s="82">
        <v>5416950</v>
      </c>
      <c r="AK705" s="82">
        <v>0</v>
      </c>
      <c r="AL705" s="82">
        <v>5416950</v>
      </c>
      <c r="AM705" s="82">
        <v>0</v>
      </c>
      <c r="AN705" s="82">
        <v>5416950</v>
      </c>
      <c r="AO705" s="82">
        <v>0</v>
      </c>
      <c r="AP705" s="82">
        <v>5416950</v>
      </c>
      <c r="AQ705" s="82">
        <v>0</v>
      </c>
      <c r="AR705" s="82">
        <v>5416950</v>
      </c>
      <c r="AS705" s="82">
        <v>0</v>
      </c>
      <c r="AT705" s="82">
        <v>1540165</v>
      </c>
      <c r="AU705" s="82">
        <v>0</v>
      </c>
      <c r="AV705" s="82">
        <v>0</v>
      </c>
      <c r="AW705" s="82">
        <v>0</v>
      </c>
      <c r="AX705" s="82">
        <v>0</v>
      </c>
      <c r="AY705" s="82">
        <v>0</v>
      </c>
      <c r="AZ705" s="82">
        <v>0</v>
      </c>
      <c r="BA705" s="82">
        <v>0</v>
      </c>
      <c r="BB705" s="82">
        <v>0</v>
      </c>
      <c r="BC705" s="82">
        <f t="shared" ref="BC705:BD705" si="1405">AE705+AG705+AI705+AK705+AM705+AO705+AQ705+AS705+AU705+AW705+AY705+BA705</f>
        <v>30250000</v>
      </c>
      <c r="BD705" s="82">
        <f t="shared" si="1405"/>
        <v>30250000</v>
      </c>
      <c r="BE705" s="83">
        <f t="shared" si="1328"/>
        <v>0</v>
      </c>
      <c r="BF705" s="83">
        <f t="shared" si="1329"/>
        <v>0</v>
      </c>
      <c r="BG705" s="14" t="str">
        <f ca="1">IFERROR(__xludf.DUMMYFUNCTION("REGEXEXTRACT(O699,""^\S+\s(.+)$"")"),"Prestar servicios profesionales para apoyar las actividades relacionadas con el seguimiento financiero del proyecto de inversión y de planeación de la Subdirección de Minería")</f>
        <v>Prestar servicios profesionales para apoyar las actividades relacionadas con el seguimiento financiero del proyecto de inversión y de planeación de la Subdirección de Minería</v>
      </c>
      <c r="BH705" s="23">
        <v>30250000</v>
      </c>
      <c r="BI705" s="23"/>
      <c r="BJ705" s="23"/>
      <c r="BK705" s="23">
        <v>1625085</v>
      </c>
      <c r="BL705" s="23"/>
      <c r="BM705" s="23">
        <v>5416950</v>
      </c>
      <c r="BN705" s="23"/>
      <c r="BO705" s="23">
        <v>5416950</v>
      </c>
      <c r="BP705" s="23"/>
      <c r="BQ705" s="23">
        <v>5416950</v>
      </c>
      <c r="BR705" s="23"/>
      <c r="BS705" s="23">
        <v>5416950</v>
      </c>
      <c r="BT705" s="23"/>
      <c r="BU705" s="23">
        <v>5416950</v>
      </c>
      <c r="BV705" s="23"/>
      <c r="BW705" s="23">
        <v>1540165</v>
      </c>
      <c r="BX705" s="23"/>
      <c r="BY705" s="23"/>
      <c r="BZ705" s="23"/>
      <c r="CA705" s="23"/>
      <c r="CB705" s="23"/>
      <c r="CC705" s="23"/>
      <c r="CD705" s="23"/>
      <c r="CE705" s="23"/>
      <c r="CF705" s="28"/>
      <c r="CG705" s="28"/>
      <c r="CH705" s="25">
        <f t="shared" ref="CH705:CI705" si="1406">BH705+BJ705+BL705+BN705+BP705+BR705+BT705+BV705+BX705+BZ705+CB705+CD705+CF705</f>
        <v>30250000</v>
      </c>
      <c r="CI705" s="25">
        <f t="shared" si="1406"/>
        <v>30250000</v>
      </c>
      <c r="CJ705" s="26">
        <f t="shared" si="1331"/>
        <v>0</v>
      </c>
      <c r="CK705" s="26">
        <f t="shared" si="1332"/>
        <v>0</v>
      </c>
    </row>
    <row r="706" spans="1:89" ht="90" customHeight="1" x14ac:dyDescent="0.3">
      <c r="A706" s="13" t="s">
        <v>248</v>
      </c>
      <c r="B706" s="14" t="s">
        <v>53</v>
      </c>
      <c r="C706" s="15" t="s">
        <v>1676</v>
      </c>
      <c r="D706" s="14" t="s">
        <v>66</v>
      </c>
      <c r="E706" s="13" t="s">
        <v>250</v>
      </c>
      <c r="F706" s="13" t="s">
        <v>250</v>
      </c>
      <c r="G706" s="14">
        <v>68</v>
      </c>
      <c r="H706" s="13" t="s">
        <v>1802</v>
      </c>
      <c r="I706" s="15" t="s">
        <v>1723</v>
      </c>
      <c r="J706" s="14" t="s">
        <v>9</v>
      </c>
      <c r="K706" s="15" t="s">
        <v>77</v>
      </c>
      <c r="L706" s="14">
        <v>80101507</v>
      </c>
      <c r="M706" s="14" t="s">
        <v>57</v>
      </c>
      <c r="N706" s="14" t="s">
        <v>612</v>
      </c>
      <c r="O706" s="15" t="s">
        <v>1803</v>
      </c>
      <c r="P706" s="14" t="s">
        <v>281</v>
      </c>
      <c r="Q706" s="14" t="s">
        <v>477</v>
      </c>
      <c r="R706" s="14" t="s">
        <v>614</v>
      </c>
      <c r="S706" s="17">
        <v>5</v>
      </c>
      <c r="T706" s="14" t="s">
        <v>256</v>
      </c>
      <c r="U706" s="14" t="s">
        <v>257</v>
      </c>
      <c r="V706" s="14" t="s">
        <v>112</v>
      </c>
      <c r="W706" s="18">
        <v>102219482</v>
      </c>
      <c r="X706" s="18">
        <v>102219482</v>
      </c>
      <c r="Y706" s="19" t="s">
        <v>339</v>
      </c>
      <c r="Z706" s="19" t="s">
        <v>258</v>
      </c>
      <c r="AA706" s="14" t="s">
        <v>1680</v>
      </c>
      <c r="AB706" s="14" t="s">
        <v>1681</v>
      </c>
      <c r="AC706" s="14">
        <v>6012220601</v>
      </c>
      <c r="AD706" s="14" t="s">
        <v>1682</v>
      </c>
      <c r="AE706" s="82">
        <v>0</v>
      </c>
      <c r="AF706" s="82">
        <v>0</v>
      </c>
      <c r="AG706" s="82">
        <v>0</v>
      </c>
      <c r="AH706" s="82">
        <v>0</v>
      </c>
      <c r="AI706" s="82">
        <v>0</v>
      </c>
      <c r="AJ706" s="82">
        <v>0</v>
      </c>
      <c r="AK706" s="82">
        <v>0</v>
      </c>
      <c r="AL706" s="82">
        <v>0</v>
      </c>
      <c r="AM706" s="82">
        <v>0</v>
      </c>
      <c r="AN706" s="82">
        <v>0</v>
      </c>
      <c r="AO706" s="82">
        <v>0</v>
      </c>
      <c r="AP706" s="82">
        <v>0</v>
      </c>
      <c r="AQ706" s="82">
        <v>102219482</v>
      </c>
      <c r="AR706" s="82">
        <v>0</v>
      </c>
      <c r="AS706" s="82">
        <v>0</v>
      </c>
      <c r="AT706" s="82">
        <v>0</v>
      </c>
      <c r="AU706" s="82">
        <v>0</v>
      </c>
      <c r="AV706" s="82">
        <v>0</v>
      </c>
      <c r="AW706" s="82">
        <v>0</v>
      </c>
      <c r="AX706" s="82">
        <v>0</v>
      </c>
      <c r="AY706" s="82">
        <v>0</v>
      </c>
      <c r="AZ706" s="82">
        <v>0</v>
      </c>
      <c r="BA706" s="82">
        <v>0</v>
      </c>
      <c r="BB706" s="82">
        <v>102219482</v>
      </c>
      <c r="BC706" s="82">
        <f t="shared" ref="BC706:BD706" si="1407">AE706+AG706+AI706+AK706+AM706+AO706+AQ706+AS706+AU706+AW706+AY706+BA706</f>
        <v>102219482</v>
      </c>
      <c r="BD706" s="82">
        <f t="shared" si="1407"/>
        <v>102219482</v>
      </c>
      <c r="BE706" s="83">
        <f t="shared" si="1328"/>
        <v>0</v>
      </c>
      <c r="BF706" s="83">
        <f t="shared" si="1329"/>
        <v>0</v>
      </c>
      <c r="BG706" s="14" t="str">
        <f ca="1">IFERROR(__xludf.DUMMYFUNCTION("REGEXEXTRACT(O700,""^\S+\s(.+)$"")"),"Desarrollo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06" s="23"/>
      <c r="BI706" s="23"/>
      <c r="BJ706" s="23"/>
      <c r="BK706" s="23"/>
      <c r="BL706" s="23"/>
      <c r="BM706" s="23"/>
      <c r="BN706" s="23"/>
      <c r="BO706" s="23"/>
      <c r="BP706" s="23"/>
      <c r="BQ706" s="23"/>
      <c r="BR706" s="23"/>
      <c r="BS706" s="23"/>
      <c r="BT706" s="23">
        <v>102219482</v>
      </c>
      <c r="BU706" s="23"/>
      <c r="BV706" s="23"/>
      <c r="BW706" s="23"/>
      <c r="BX706" s="23"/>
      <c r="BY706" s="23"/>
      <c r="BZ706" s="23"/>
      <c r="CA706" s="23"/>
      <c r="CB706" s="23"/>
      <c r="CC706" s="23"/>
      <c r="CD706" s="23"/>
      <c r="CE706" s="23">
        <v>102219482</v>
      </c>
      <c r="CF706" s="28"/>
      <c r="CG706" s="28"/>
      <c r="CH706" s="25">
        <f t="shared" ref="CH706:CI706" si="1408">BH706+BJ706+BL706+BN706+BP706+BR706+BT706+BV706+BX706+BZ706+CB706+CD706+CF706</f>
        <v>102219482</v>
      </c>
      <c r="CI706" s="25">
        <f t="shared" si="1408"/>
        <v>102219482</v>
      </c>
      <c r="CJ706" s="26">
        <f t="shared" si="1331"/>
        <v>0</v>
      </c>
      <c r="CK706" s="26">
        <f t="shared" si="1332"/>
        <v>0</v>
      </c>
    </row>
    <row r="707" spans="1:89" ht="90" customHeight="1" x14ac:dyDescent="0.3">
      <c r="A707" s="13" t="s">
        <v>248</v>
      </c>
      <c r="B707" s="14" t="s">
        <v>53</v>
      </c>
      <c r="C707" s="15" t="s">
        <v>1676</v>
      </c>
      <c r="D707" s="14" t="s">
        <v>66</v>
      </c>
      <c r="E707" s="13" t="s">
        <v>250</v>
      </c>
      <c r="F707" s="13" t="s">
        <v>250</v>
      </c>
      <c r="G707" s="14">
        <v>68</v>
      </c>
      <c r="H707" s="13" t="s">
        <v>1804</v>
      </c>
      <c r="I707" s="15" t="s">
        <v>1805</v>
      </c>
      <c r="J707" s="14" t="s">
        <v>15</v>
      </c>
      <c r="K707" s="15" t="s">
        <v>84</v>
      </c>
      <c r="L707" s="14">
        <v>80111620</v>
      </c>
      <c r="M707" s="14" t="s">
        <v>56</v>
      </c>
      <c r="N707" s="14" t="s">
        <v>253</v>
      </c>
      <c r="O707" s="15" t="s">
        <v>1806</v>
      </c>
      <c r="P707" s="14" t="s">
        <v>255</v>
      </c>
      <c r="Q707" s="14" t="s">
        <v>255</v>
      </c>
      <c r="R707" s="14" t="s">
        <v>255</v>
      </c>
      <c r="S707" s="17">
        <v>11</v>
      </c>
      <c r="T707" s="14" t="s">
        <v>256</v>
      </c>
      <c r="U707" s="14" t="s">
        <v>257</v>
      </c>
      <c r="V707" s="14" t="s">
        <v>112</v>
      </c>
      <c r="W707" s="18">
        <v>97611039</v>
      </c>
      <c r="X707" s="18">
        <v>97611039</v>
      </c>
      <c r="Y707" s="19" t="s">
        <v>339</v>
      </c>
      <c r="Z707" s="19" t="s">
        <v>258</v>
      </c>
      <c r="AA707" s="14" t="s">
        <v>1680</v>
      </c>
      <c r="AB707" s="14" t="s">
        <v>1681</v>
      </c>
      <c r="AC707" s="14">
        <v>6012220601</v>
      </c>
      <c r="AD707" s="14" t="s">
        <v>1682</v>
      </c>
      <c r="AE707" s="82">
        <v>97611039</v>
      </c>
      <c r="AF707" s="82">
        <v>0</v>
      </c>
      <c r="AG707" s="82">
        <v>0</v>
      </c>
      <c r="AH707" s="82">
        <v>0</v>
      </c>
      <c r="AI707" s="82">
        <v>0</v>
      </c>
      <c r="AJ707" s="82">
        <v>3277705</v>
      </c>
      <c r="AK707" s="82">
        <v>0</v>
      </c>
      <c r="AL707" s="82">
        <v>10000000</v>
      </c>
      <c r="AM707" s="82">
        <v>0</v>
      </c>
      <c r="AN707" s="82">
        <v>10000000</v>
      </c>
      <c r="AO707" s="82">
        <v>0</v>
      </c>
      <c r="AP707" s="82">
        <v>10000000</v>
      </c>
      <c r="AQ707" s="82">
        <v>0</v>
      </c>
      <c r="AR707" s="82">
        <v>10000000</v>
      </c>
      <c r="AS707" s="82">
        <v>0</v>
      </c>
      <c r="AT707" s="82">
        <v>10000000</v>
      </c>
      <c r="AU707" s="82">
        <v>0</v>
      </c>
      <c r="AV707" s="82">
        <v>10000000</v>
      </c>
      <c r="AW707" s="82">
        <v>0</v>
      </c>
      <c r="AX707" s="82">
        <v>10000000</v>
      </c>
      <c r="AY707" s="82">
        <v>0</v>
      </c>
      <c r="AZ707" s="82">
        <v>10000000</v>
      </c>
      <c r="BA707" s="82">
        <v>0</v>
      </c>
      <c r="BB707" s="82">
        <v>14333334</v>
      </c>
      <c r="BC707" s="82">
        <f t="shared" ref="BC707:BD707" si="1409">AE707+AG707+AI707+AK707+AM707+AO707+AQ707+AS707+AU707+AW707+AY707+BA707</f>
        <v>97611039</v>
      </c>
      <c r="BD707" s="82">
        <f t="shared" si="1409"/>
        <v>97611039</v>
      </c>
      <c r="BE707" s="83">
        <f t="shared" si="1328"/>
        <v>0</v>
      </c>
      <c r="BF707" s="83">
        <f t="shared" si="1329"/>
        <v>0</v>
      </c>
      <c r="BG707" s="14" t="str">
        <f ca="1">IFERROR(__xludf.DUMMYFUNCTION("REGEXEXTRACT(O701,""^\S+\s(.+)$"")"),"Prestar servicios profesionales de apoyo a la Subdirección de Minería en los aspectos técnicos asociados al cumplimiento de su misionalidad, así como en el acompañamiento en las actividades de divulgación, planeación e investigación del sector minero.")</f>
        <v>Prestar servicios profesionales de apoyo a la Subdirección de Minería en los aspectos técnicos asociados al cumplimiento de su misionalidad, así como en el acompañamiento en las actividades de divulgación, planeación e investigación del sector minero.</v>
      </c>
      <c r="BH707" s="23">
        <v>97611039</v>
      </c>
      <c r="BI707" s="23"/>
      <c r="BJ707" s="23"/>
      <c r="BK707" s="23"/>
      <c r="BL707" s="23"/>
      <c r="BM707" s="23">
        <v>3277705</v>
      </c>
      <c r="BN707" s="23"/>
      <c r="BO707" s="23">
        <v>10000000</v>
      </c>
      <c r="BP707" s="23"/>
      <c r="BQ707" s="23">
        <v>10000000</v>
      </c>
      <c r="BR707" s="23"/>
      <c r="BS707" s="23">
        <v>10000000</v>
      </c>
      <c r="BT707" s="23"/>
      <c r="BU707" s="23">
        <v>10000000</v>
      </c>
      <c r="BV707" s="23"/>
      <c r="BW707" s="23">
        <v>10000000</v>
      </c>
      <c r="BX707" s="23"/>
      <c r="BY707" s="23">
        <v>10000000</v>
      </c>
      <c r="BZ707" s="23"/>
      <c r="CA707" s="23">
        <v>10000000</v>
      </c>
      <c r="CB707" s="23"/>
      <c r="CC707" s="23">
        <v>10000000</v>
      </c>
      <c r="CD707" s="23"/>
      <c r="CE707" s="23">
        <v>14333334</v>
      </c>
      <c r="CF707" s="28"/>
      <c r="CG707" s="28"/>
      <c r="CH707" s="25">
        <f t="shared" ref="CH707:CI707" si="1410">BH707+BJ707+BL707+BN707+BP707+BR707+BT707+BV707+BX707+BZ707+CB707+CD707+CF707</f>
        <v>97611039</v>
      </c>
      <c r="CI707" s="25">
        <f t="shared" si="1410"/>
        <v>97611039</v>
      </c>
      <c r="CJ707" s="26">
        <f t="shared" si="1331"/>
        <v>0</v>
      </c>
      <c r="CK707" s="26">
        <f t="shared" si="1332"/>
        <v>0</v>
      </c>
    </row>
    <row r="708" spans="1:89" ht="90" customHeight="1" x14ac:dyDescent="0.3">
      <c r="A708" s="13" t="s">
        <v>248</v>
      </c>
      <c r="B708" s="14" t="s">
        <v>53</v>
      </c>
      <c r="C708" s="15" t="s">
        <v>1676</v>
      </c>
      <c r="D708" s="14" t="s">
        <v>66</v>
      </c>
      <c r="E708" s="13" t="s">
        <v>250</v>
      </c>
      <c r="F708" s="13" t="s">
        <v>250</v>
      </c>
      <c r="G708" s="14">
        <v>68</v>
      </c>
      <c r="H708" s="13" t="s">
        <v>1807</v>
      </c>
      <c r="I708" s="15" t="s">
        <v>1805</v>
      </c>
      <c r="J708" s="14" t="s">
        <v>15</v>
      </c>
      <c r="K708" s="15" t="s">
        <v>84</v>
      </c>
      <c r="L708" s="14">
        <v>80111620</v>
      </c>
      <c r="M708" s="14" t="s">
        <v>56</v>
      </c>
      <c r="N708" s="14" t="s">
        <v>253</v>
      </c>
      <c r="O708" s="15" t="s">
        <v>1808</v>
      </c>
      <c r="P708" s="14" t="s">
        <v>255</v>
      </c>
      <c r="Q708" s="14" t="s">
        <v>255</v>
      </c>
      <c r="R708" s="14" t="s">
        <v>255</v>
      </c>
      <c r="S708" s="17">
        <v>11</v>
      </c>
      <c r="T708" s="14" t="s">
        <v>256</v>
      </c>
      <c r="U708" s="14" t="s">
        <v>257</v>
      </c>
      <c r="V708" s="14" t="s">
        <v>112</v>
      </c>
      <c r="W708" s="18">
        <v>54550000</v>
      </c>
      <c r="X708" s="18">
        <v>54550000</v>
      </c>
      <c r="Y708" s="19" t="s">
        <v>339</v>
      </c>
      <c r="Z708" s="19" t="s">
        <v>258</v>
      </c>
      <c r="AA708" s="14" t="s">
        <v>1680</v>
      </c>
      <c r="AB708" s="14" t="s">
        <v>1681</v>
      </c>
      <c r="AC708" s="14">
        <v>6012220601</v>
      </c>
      <c r="AD708" s="14" t="s">
        <v>1682</v>
      </c>
      <c r="AE708" s="82">
        <v>54550000</v>
      </c>
      <c r="AF708" s="82">
        <v>0</v>
      </c>
      <c r="AG708" s="82">
        <v>0</v>
      </c>
      <c r="AH708" s="82">
        <v>0</v>
      </c>
      <c r="AI708" s="82">
        <v>0</v>
      </c>
      <c r="AJ708" s="82">
        <v>0</v>
      </c>
      <c r="AK708" s="82">
        <v>0</v>
      </c>
      <c r="AL708" s="82">
        <v>4500000</v>
      </c>
      <c r="AM708" s="82">
        <v>0</v>
      </c>
      <c r="AN708" s="82">
        <v>5500000</v>
      </c>
      <c r="AO708" s="82">
        <v>0</v>
      </c>
      <c r="AP708" s="82">
        <v>5500000</v>
      </c>
      <c r="AQ708" s="82">
        <v>0</v>
      </c>
      <c r="AR708" s="82">
        <v>5500000</v>
      </c>
      <c r="AS708" s="82">
        <v>0</v>
      </c>
      <c r="AT708" s="82">
        <v>5500000</v>
      </c>
      <c r="AU708" s="82">
        <v>0</v>
      </c>
      <c r="AV708" s="82">
        <v>5500000</v>
      </c>
      <c r="AW708" s="82">
        <v>0</v>
      </c>
      <c r="AX708" s="82">
        <v>5500000</v>
      </c>
      <c r="AY708" s="82">
        <v>0</v>
      </c>
      <c r="AZ708" s="82">
        <v>5500000</v>
      </c>
      <c r="BA708" s="82">
        <v>0</v>
      </c>
      <c r="BB708" s="82">
        <v>11550000</v>
      </c>
      <c r="BC708" s="82">
        <f t="shared" ref="BC708:BD708" si="1411">AE708+AG708+AI708+AK708+AM708+AO708+AQ708+AS708+AU708+AW708+AY708+BA708</f>
        <v>54550000</v>
      </c>
      <c r="BD708" s="82">
        <f t="shared" si="1411"/>
        <v>54550000</v>
      </c>
      <c r="BE708" s="83">
        <f t="shared" si="1328"/>
        <v>0</v>
      </c>
      <c r="BF708" s="83">
        <f t="shared" si="1329"/>
        <v>0</v>
      </c>
      <c r="BG708" s="14" t="str">
        <f ca="1">IFERROR(__xludf.DUMMYFUNCTION("REGEXEXTRACT(O702,""^\S+\s(.+)$"")"),"Prestar servicios profesionales de apoyo a la Subdirección de Minería para la elaboración de informes asociados a aspectos técnicos, estudios y divulgación de la información del sector minero.")</f>
        <v>Prestar servicios profesionales de apoyo a la Subdirección de Minería para la elaboración de informes asociados a aspectos técnicos, estudios y divulgación de la información del sector minero.</v>
      </c>
      <c r="BH708" s="23">
        <v>54550000</v>
      </c>
      <c r="BI708" s="23"/>
      <c r="BJ708" s="23"/>
      <c r="BK708" s="23"/>
      <c r="BL708" s="23"/>
      <c r="BM708" s="23"/>
      <c r="BN708" s="23"/>
      <c r="BO708" s="23">
        <v>4500000</v>
      </c>
      <c r="BP708" s="23"/>
      <c r="BQ708" s="23">
        <v>5500000</v>
      </c>
      <c r="BR708" s="23"/>
      <c r="BS708" s="23">
        <v>5500000</v>
      </c>
      <c r="BT708" s="23"/>
      <c r="BU708" s="23">
        <v>5500000</v>
      </c>
      <c r="BV708" s="23"/>
      <c r="BW708" s="23">
        <v>5500000</v>
      </c>
      <c r="BX708" s="23"/>
      <c r="BY708" s="23">
        <v>5500000</v>
      </c>
      <c r="BZ708" s="23"/>
      <c r="CA708" s="23">
        <v>5500000</v>
      </c>
      <c r="CB708" s="23"/>
      <c r="CC708" s="23">
        <v>5500000</v>
      </c>
      <c r="CD708" s="23"/>
      <c r="CE708" s="23">
        <v>11550000</v>
      </c>
      <c r="CF708" s="28"/>
      <c r="CG708" s="28"/>
      <c r="CH708" s="25">
        <f t="shared" ref="CH708:CI708" si="1412">BH708+BJ708+BL708+BN708+BP708+BR708+BT708+BV708+BX708+BZ708+CB708+CD708+CF708</f>
        <v>54550000</v>
      </c>
      <c r="CI708" s="25">
        <f t="shared" si="1412"/>
        <v>54550000</v>
      </c>
      <c r="CJ708" s="26">
        <f t="shared" si="1331"/>
        <v>0</v>
      </c>
      <c r="CK708" s="26">
        <f t="shared" si="1332"/>
        <v>0</v>
      </c>
    </row>
    <row r="709" spans="1:89" ht="90" customHeight="1" x14ac:dyDescent="0.3">
      <c r="A709" s="13" t="s">
        <v>248</v>
      </c>
      <c r="B709" s="14" t="s">
        <v>53</v>
      </c>
      <c r="C709" s="15" t="s">
        <v>1676</v>
      </c>
      <c r="D709" s="14" t="s">
        <v>66</v>
      </c>
      <c r="E709" s="13" t="s">
        <v>250</v>
      </c>
      <c r="F709" s="13" t="s">
        <v>250</v>
      </c>
      <c r="G709" s="14">
        <v>68</v>
      </c>
      <c r="H709" s="13" t="s">
        <v>1809</v>
      </c>
      <c r="I709" s="15" t="s">
        <v>1805</v>
      </c>
      <c r="J709" s="14" t="s">
        <v>15</v>
      </c>
      <c r="K709" s="15" t="s">
        <v>84</v>
      </c>
      <c r="L709" s="14">
        <v>80111620</v>
      </c>
      <c r="M709" s="14" t="s">
        <v>56</v>
      </c>
      <c r="N709" s="14" t="s">
        <v>253</v>
      </c>
      <c r="O709" s="15" t="s">
        <v>1810</v>
      </c>
      <c r="P709" s="14" t="s">
        <v>255</v>
      </c>
      <c r="Q709" s="14" t="s">
        <v>255</v>
      </c>
      <c r="R709" s="14" t="s">
        <v>255</v>
      </c>
      <c r="S709" s="17">
        <v>11</v>
      </c>
      <c r="T709" s="14" t="s">
        <v>256</v>
      </c>
      <c r="U709" s="14" t="s">
        <v>257</v>
      </c>
      <c r="V709" s="14" t="s">
        <v>112</v>
      </c>
      <c r="W709" s="18">
        <v>6484611</v>
      </c>
      <c r="X709" s="18">
        <v>6484611</v>
      </c>
      <c r="Y709" s="19" t="s">
        <v>339</v>
      </c>
      <c r="Z709" s="19" t="s">
        <v>258</v>
      </c>
      <c r="AA709" s="14" t="s">
        <v>1680</v>
      </c>
      <c r="AB709" s="14" t="s">
        <v>1681</v>
      </c>
      <c r="AC709" s="14">
        <v>6012220601</v>
      </c>
      <c r="AD709" s="14" t="s">
        <v>1682</v>
      </c>
      <c r="AE709" s="82">
        <v>6484611</v>
      </c>
      <c r="AF709" s="82">
        <v>0</v>
      </c>
      <c r="AG709" s="82">
        <v>0</v>
      </c>
      <c r="AH709" s="82">
        <v>0</v>
      </c>
      <c r="AI709" s="82">
        <v>0</v>
      </c>
      <c r="AJ709" s="82">
        <v>0</v>
      </c>
      <c r="AK709" s="82">
        <v>0</v>
      </c>
      <c r="AL709" s="82">
        <v>0</v>
      </c>
      <c r="AM709" s="82">
        <v>0</v>
      </c>
      <c r="AN709" s="82">
        <v>0</v>
      </c>
      <c r="AO709" s="82">
        <v>0</v>
      </c>
      <c r="AP709" s="82">
        <v>0</v>
      </c>
      <c r="AQ709" s="82">
        <v>0</v>
      </c>
      <c r="AR709" s="82">
        <v>0</v>
      </c>
      <c r="AS709" s="82">
        <v>0</v>
      </c>
      <c r="AT709" s="82">
        <v>0</v>
      </c>
      <c r="AU709" s="82">
        <v>0</v>
      </c>
      <c r="AV709" s="82">
        <v>509611</v>
      </c>
      <c r="AW709" s="82">
        <v>0</v>
      </c>
      <c r="AX709" s="82">
        <v>3200000</v>
      </c>
      <c r="AY709" s="82">
        <v>0</v>
      </c>
      <c r="AZ709" s="82">
        <v>2775000</v>
      </c>
      <c r="BA709" s="82">
        <v>0</v>
      </c>
      <c r="BB709" s="82">
        <v>0</v>
      </c>
      <c r="BC709" s="82">
        <f t="shared" ref="BC709:BD709" si="1413">AE709+AG709+AI709+AK709+AM709+AO709+AQ709+AS709+AU709+AW709+AY709+BA709</f>
        <v>6484611</v>
      </c>
      <c r="BD709" s="82">
        <f t="shared" si="1413"/>
        <v>6484611</v>
      </c>
      <c r="BE709" s="83">
        <f t="shared" si="1328"/>
        <v>0</v>
      </c>
      <c r="BF709" s="83">
        <f t="shared" si="1329"/>
        <v>0</v>
      </c>
      <c r="BG709" s="14" t="str">
        <f ca="1">IFERROR(__xludf.DUMMYFUNCTION("REGEXEXTRACT(O703,""^\S+\s(.+)$"")"),"Prestar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709" s="23">
        <v>6484611</v>
      </c>
      <c r="BI709" s="23"/>
      <c r="BJ709" s="23"/>
      <c r="BK709" s="23"/>
      <c r="BL709" s="23"/>
      <c r="BM709" s="23"/>
      <c r="BN709" s="23"/>
      <c r="BO709" s="23"/>
      <c r="BP709" s="23"/>
      <c r="BQ709" s="23"/>
      <c r="BR709" s="23"/>
      <c r="BS709" s="23"/>
      <c r="BT709" s="23"/>
      <c r="BU709" s="23"/>
      <c r="BV709" s="23"/>
      <c r="BW709" s="23"/>
      <c r="BX709" s="23"/>
      <c r="BY709" s="23">
        <v>509611</v>
      </c>
      <c r="BZ709" s="23"/>
      <c r="CA709" s="23">
        <v>3200000</v>
      </c>
      <c r="CB709" s="23"/>
      <c r="CC709" s="23">
        <v>2775000</v>
      </c>
      <c r="CD709" s="23"/>
      <c r="CE709" s="23"/>
      <c r="CF709" s="28"/>
      <c r="CG709" s="28"/>
      <c r="CH709" s="25">
        <f t="shared" ref="CH709:CI709" si="1414">BH709+BJ709+BL709+BN709+BP709+BR709+BT709+BV709+BX709+BZ709+CB709+CD709+CF709</f>
        <v>6484611</v>
      </c>
      <c r="CI709" s="25">
        <f t="shared" si="1414"/>
        <v>6484611</v>
      </c>
      <c r="CJ709" s="26">
        <f t="shared" si="1331"/>
        <v>0</v>
      </c>
      <c r="CK709" s="26">
        <f t="shared" si="1332"/>
        <v>0</v>
      </c>
    </row>
    <row r="710" spans="1:89" ht="90" customHeight="1" x14ac:dyDescent="0.3">
      <c r="A710" s="13" t="s">
        <v>248</v>
      </c>
      <c r="B710" s="14" t="s">
        <v>53</v>
      </c>
      <c r="C710" s="15" t="s">
        <v>1676</v>
      </c>
      <c r="D710" s="14" t="s">
        <v>66</v>
      </c>
      <c r="E710" s="13" t="s">
        <v>250</v>
      </c>
      <c r="F710" s="13" t="s">
        <v>250</v>
      </c>
      <c r="G710" s="14">
        <v>68</v>
      </c>
      <c r="H710" s="13" t="s">
        <v>1811</v>
      </c>
      <c r="I710" s="15" t="s">
        <v>1805</v>
      </c>
      <c r="J710" s="14" t="s">
        <v>15</v>
      </c>
      <c r="K710" s="15" t="s">
        <v>84</v>
      </c>
      <c r="L710" s="14">
        <v>80111620</v>
      </c>
      <c r="M710" s="14" t="s">
        <v>56</v>
      </c>
      <c r="N710" s="14" t="s">
        <v>253</v>
      </c>
      <c r="O710" s="15" t="s">
        <v>1812</v>
      </c>
      <c r="P710" s="14" t="s">
        <v>255</v>
      </c>
      <c r="Q710" s="14" t="s">
        <v>255</v>
      </c>
      <c r="R710" s="14" t="s">
        <v>255</v>
      </c>
      <c r="S710" s="17">
        <v>11</v>
      </c>
      <c r="T710" s="14" t="s">
        <v>256</v>
      </c>
      <c r="U710" s="14" t="s">
        <v>257</v>
      </c>
      <c r="V710" s="14" t="s">
        <v>112</v>
      </c>
      <c r="W710" s="18">
        <v>40659576</v>
      </c>
      <c r="X710" s="18">
        <v>40659576</v>
      </c>
      <c r="Y710" s="19" t="s">
        <v>339</v>
      </c>
      <c r="Z710" s="19" t="s">
        <v>258</v>
      </c>
      <c r="AA710" s="14" t="s">
        <v>1680</v>
      </c>
      <c r="AB710" s="14" t="s">
        <v>1681</v>
      </c>
      <c r="AC710" s="14">
        <v>6012220601</v>
      </c>
      <c r="AD710" s="14" t="s">
        <v>1682</v>
      </c>
      <c r="AE710" s="82">
        <v>40659576</v>
      </c>
      <c r="AF710" s="82">
        <v>0</v>
      </c>
      <c r="AG710" s="82">
        <v>0</v>
      </c>
      <c r="AH710" s="82">
        <v>0</v>
      </c>
      <c r="AI710" s="82">
        <v>0</v>
      </c>
      <c r="AJ710" s="82">
        <v>0</v>
      </c>
      <c r="AK710" s="82">
        <v>0</v>
      </c>
      <c r="AL710" s="82">
        <v>0</v>
      </c>
      <c r="AM710" s="82">
        <v>0</v>
      </c>
      <c r="AN710" s="82">
        <v>0</v>
      </c>
      <c r="AO710" s="82">
        <v>0</v>
      </c>
      <c r="AP710" s="82">
        <v>0</v>
      </c>
      <c r="AQ710" s="82">
        <v>0</v>
      </c>
      <c r="AR710" s="82">
        <v>0</v>
      </c>
      <c r="AS710" s="82">
        <v>0</v>
      </c>
      <c r="AT710" s="82">
        <v>3909576</v>
      </c>
      <c r="AU710" s="82">
        <v>0</v>
      </c>
      <c r="AV710" s="82">
        <v>7500000</v>
      </c>
      <c r="AW710" s="82">
        <v>0</v>
      </c>
      <c r="AX710" s="82">
        <v>7500000</v>
      </c>
      <c r="AY710" s="82">
        <v>0</v>
      </c>
      <c r="AZ710" s="82">
        <v>7500000</v>
      </c>
      <c r="BA710" s="82">
        <v>0</v>
      </c>
      <c r="BB710" s="82">
        <v>14250000</v>
      </c>
      <c r="BC710" s="82">
        <f t="shared" ref="BC710:BD710" si="1415">AE710+AG710+AI710+AK710+AM710+AO710+AQ710+AS710+AU710+AW710+AY710+BA710</f>
        <v>40659576</v>
      </c>
      <c r="BD710" s="82">
        <f t="shared" si="1415"/>
        <v>40659576</v>
      </c>
      <c r="BE710" s="83">
        <f t="shared" si="1328"/>
        <v>0</v>
      </c>
      <c r="BF710" s="83">
        <f t="shared" si="1329"/>
        <v>0</v>
      </c>
      <c r="BG710" s="14" t="str">
        <f ca="1">IFERROR(__xludf.DUMMYFUNCTION("REGEXEXTRACT(O704,""^\S+\s(.+)$"")"),"Prestar servicios profesionales para apoyar a la Subdirección de Minería en la realización de análisis económicos, de mercado, prospectivos y de encadenamientos productivos, orientados a la elaboración, seguimiento y evaluación de los instrumentos de plan"&amp;"eación del sector minero, así como en la generación de insumos para la elaboración de documentos técnicos y de investigación sectorial.")</f>
        <v>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v>
      </c>
      <c r="BH710" s="23">
        <v>40659576</v>
      </c>
      <c r="BI710" s="23"/>
      <c r="BJ710" s="23"/>
      <c r="BK710" s="23"/>
      <c r="BL710" s="23"/>
      <c r="BM710" s="23"/>
      <c r="BN710" s="23"/>
      <c r="BO710" s="23"/>
      <c r="BP710" s="23"/>
      <c r="BQ710" s="23"/>
      <c r="BR710" s="23"/>
      <c r="BS710" s="23"/>
      <c r="BT710" s="23"/>
      <c r="BU710" s="23"/>
      <c r="BV710" s="23"/>
      <c r="BW710" s="23">
        <v>3909576</v>
      </c>
      <c r="BX710" s="23"/>
      <c r="BY710" s="23">
        <v>7500000</v>
      </c>
      <c r="BZ710" s="23"/>
      <c r="CA710" s="23">
        <v>7500000</v>
      </c>
      <c r="CB710" s="23"/>
      <c r="CC710" s="23">
        <v>7500000</v>
      </c>
      <c r="CD710" s="23"/>
      <c r="CE710" s="23">
        <v>14250000</v>
      </c>
      <c r="CF710" s="28"/>
      <c r="CG710" s="28"/>
      <c r="CH710" s="25">
        <f t="shared" ref="CH710:CI710" si="1416">BH710+BJ710+BL710+BN710+BP710+BR710+BT710+BV710+BX710+BZ710+CB710+CD710+CF710</f>
        <v>40659576</v>
      </c>
      <c r="CI710" s="25">
        <f t="shared" si="1416"/>
        <v>40659576</v>
      </c>
      <c r="CJ710" s="26">
        <f t="shared" si="1331"/>
        <v>0</v>
      </c>
      <c r="CK710" s="26">
        <f t="shared" si="1332"/>
        <v>0</v>
      </c>
    </row>
    <row r="711" spans="1:89" ht="90" customHeight="1" x14ac:dyDescent="0.3">
      <c r="A711" s="13" t="s">
        <v>248</v>
      </c>
      <c r="B711" s="14" t="s">
        <v>53</v>
      </c>
      <c r="C711" s="15" t="s">
        <v>1676</v>
      </c>
      <c r="D711" s="14" t="s">
        <v>66</v>
      </c>
      <c r="E711" s="13" t="s">
        <v>250</v>
      </c>
      <c r="F711" s="13" t="s">
        <v>250</v>
      </c>
      <c r="G711" s="14">
        <v>17</v>
      </c>
      <c r="H711" s="13" t="s">
        <v>1813</v>
      </c>
      <c r="I711" s="15" t="s">
        <v>1805</v>
      </c>
      <c r="J711" s="14" t="s">
        <v>15</v>
      </c>
      <c r="K711" s="15" t="s">
        <v>84</v>
      </c>
      <c r="L711" s="14" t="s">
        <v>258</v>
      </c>
      <c r="M711" s="14" t="s">
        <v>56</v>
      </c>
      <c r="N711" s="14" t="s">
        <v>341</v>
      </c>
      <c r="O711" s="15" t="s">
        <v>1814</v>
      </c>
      <c r="P711" s="14" t="s">
        <v>255</v>
      </c>
      <c r="Q711" s="14" t="s">
        <v>255</v>
      </c>
      <c r="R711" s="14" t="s">
        <v>255</v>
      </c>
      <c r="S711" s="17" t="s">
        <v>258</v>
      </c>
      <c r="T711" s="14" t="s">
        <v>256</v>
      </c>
      <c r="U711" s="14" t="s">
        <v>258</v>
      </c>
      <c r="V711" s="14" t="s">
        <v>112</v>
      </c>
      <c r="W711" s="18">
        <v>2200000</v>
      </c>
      <c r="X711" s="18">
        <v>2200000</v>
      </c>
      <c r="Y711" s="19" t="s">
        <v>339</v>
      </c>
      <c r="Z711" s="19" t="s">
        <v>258</v>
      </c>
      <c r="AA711" s="14" t="s">
        <v>1680</v>
      </c>
      <c r="AB711" s="14" t="s">
        <v>1681</v>
      </c>
      <c r="AC711" s="14">
        <v>6012220601</v>
      </c>
      <c r="AD711" s="14" t="s">
        <v>1682</v>
      </c>
      <c r="AE711" s="82">
        <v>0</v>
      </c>
      <c r="AF711" s="82">
        <v>0</v>
      </c>
      <c r="AG711" s="82">
        <v>0</v>
      </c>
      <c r="AH711" s="82">
        <v>0</v>
      </c>
      <c r="AI711" s="82">
        <v>0</v>
      </c>
      <c r="AJ711" s="82">
        <v>0</v>
      </c>
      <c r="AK711" s="82">
        <v>0</v>
      </c>
      <c r="AL711" s="82">
        <v>0</v>
      </c>
      <c r="AM711" s="82">
        <v>0</v>
      </c>
      <c r="AN711" s="82">
        <v>0</v>
      </c>
      <c r="AO711" s="82">
        <v>0</v>
      </c>
      <c r="AP711" s="82">
        <v>0</v>
      </c>
      <c r="AQ711" s="82">
        <v>0</v>
      </c>
      <c r="AR711" s="82">
        <v>0</v>
      </c>
      <c r="AS711" s="82">
        <v>0</v>
      </c>
      <c r="AT711" s="82">
        <v>0</v>
      </c>
      <c r="AU711" s="82">
        <v>0</v>
      </c>
      <c r="AV711" s="82">
        <v>0</v>
      </c>
      <c r="AW711" s="82">
        <v>0</v>
      </c>
      <c r="AX711" s="82">
        <v>0</v>
      </c>
      <c r="AY711" s="82">
        <v>0</v>
      </c>
      <c r="AZ711" s="82">
        <v>0</v>
      </c>
      <c r="BA711" s="82">
        <v>2200000</v>
      </c>
      <c r="BB711" s="82">
        <v>2200000</v>
      </c>
      <c r="BC711" s="82">
        <f t="shared" ref="BC711:BD711" si="1417">AE711+AG711+AI711+AK711+AM711+AO711+AQ711+AS711+AU711+AW711+AY711+BA711</f>
        <v>2200000</v>
      </c>
      <c r="BD711" s="82">
        <f t="shared" si="1417"/>
        <v>2200000</v>
      </c>
      <c r="BE711" s="83">
        <f t="shared" si="1328"/>
        <v>0</v>
      </c>
      <c r="BF711" s="83">
        <f t="shared" si="1329"/>
        <v>0</v>
      </c>
      <c r="BG711" s="14" t="str">
        <f ca="1">IFERROR(__xludf.DUMMYFUNCTION("REGEXEXTRACT(O705,""^\S+\s(.+)$"")"),"Viáticos o gastos de desplazamiento")</f>
        <v>Viáticos o gastos de desplazamiento</v>
      </c>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v>2200000</v>
      </c>
      <c r="CE711" s="23">
        <v>2200000</v>
      </c>
      <c r="CF711" s="28"/>
      <c r="CG711" s="28"/>
      <c r="CH711" s="25">
        <f t="shared" ref="CH711:CI711" si="1418">BH711+BJ711+BL711+BN711+BP711+BR711+BT711+BV711+BX711+BZ711+CB711+CD711+CF711</f>
        <v>2200000</v>
      </c>
      <c r="CI711" s="25">
        <f t="shared" si="1418"/>
        <v>2200000</v>
      </c>
      <c r="CJ711" s="26">
        <f t="shared" si="1331"/>
        <v>0</v>
      </c>
      <c r="CK711" s="26">
        <f t="shared" si="1332"/>
        <v>0</v>
      </c>
    </row>
    <row r="712" spans="1:89" ht="90" customHeight="1" x14ac:dyDescent="0.3">
      <c r="A712" s="13" t="s">
        <v>248</v>
      </c>
      <c r="B712" s="14" t="s">
        <v>53</v>
      </c>
      <c r="C712" s="15" t="s">
        <v>1676</v>
      </c>
      <c r="D712" s="14" t="s">
        <v>66</v>
      </c>
      <c r="E712" s="13" t="s">
        <v>250</v>
      </c>
      <c r="F712" s="13" t="s">
        <v>250</v>
      </c>
      <c r="G712" s="14">
        <v>68</v>
      </c>
      <c r="H712" s="13" t="s">
        <v>1815</v>
      </c>
      <c r="I712" s="15" t="s">
        <v>1805</v>
      </c>
      <c r="J712" s="14" t="s">
        <v>15</v>
      </c>
      <c r="K712" s="15" t="s">
        <v>84</v>
      </c>
      <c r="L712" s="14">
        <v>80111620</v>
      </c>
      <c r="M712" s="14" t="s">
        <v>56</v>
      </c>
      <c r="N712" s="14" t="s">
        <v>253</v>
      </c>
      <c r="O712" s="15" t="s">
        <v>1816</v>
      </c>
      <c r="P712" s="14" t="s">
        <v>255</v>
      </c>
      <c r="Q712" s="14" t="s">
        <v>255</v>
      </c>
      <c r="R712" s="14" t="s">
        <v>255</v>
      </c>
      <c r="S712" s="17">
        <v>11</v>
      </c>
      <c r="T712" s="14" t="s">
        <v>256</v>
      </c>
      <c r="U712" s="14" t="s">
        <v>257</v>
      </c>
      <c r="V712" s="14" t="s">
        <v>112</v>
      </c>
      <c r="W712" s="18">
        <v>49625000</v>
      </c>
      <c r="X712" s="18">
        <v>49625000</v>
      </c>
      <c r="Y712" s="19" t="s">
        <v>339</v>
      </c>
      <c r="Z712" s="19" t="s">
        <v>258</v>
      </c>
      <c r="AA712" s="14" t="s">
        <v>1680</v>
      </c>
      <c r="AB712" s="14" t="s">
        <v>1681</v>
      </c>
      <c r="AC712" s="14">
        <v>6012220601</v>
      </c>
      <c r="AD712" s="14" t="s">
        <v>1682</v>
      </c>
      <c r="AE712" s="82">
        <v>49625000</v>
      </c>
      <c r="AF712" s="82">
        <v>0</v>
      </c>
      <c r="AG712" s="82">
        <v>0</v>
      </c>
      <c r="AH712" s="82">
        <v>0</v>
      </c>
      <c r="AI712" s="82">
        <v>0</v>
      </c>
      <c r="AJ712" s="82">
        <v>0</v>
      </c>
      <c r="AK712" s="82">
        <v>0</v>
      </c>
      <c r="AL712" s="82">
        <v>0</v>
      </c>
      <c r="AM712" s="82">
        <v>0</v>
      </c>
      <c r="AN712" s="82">
        <v>0</v>
      </c>
      <c r="AO712" s="82">
        <v>0</v>
      </c>
      <c r="AP712" s="82">
        <v>0</v>
      </c>
      <c r="AQ712" s="82">
        <v>0</v>
      </c>
      <c r="AR712" s="82">
        <v>5375000</v>
      </c>
      <c r="AS712" s="82">
        <v>0</v>
      </c>
      <c r="AT712" s="82">
        <v>7500000</v>
      </c>
      <c r="AU712" s="82">
        <v>0</v>
      </c>
      <c r="AV712" s="82">
        <v>7500000</v>
      </c>
      <c r="AW712" s="82">
        <v>0</v>
      </c>
      <c r="AX712" s="82">
        <v>7500000</v>
      </c>
      <c r="AY712" s="82">
        <v>0</v>
      </c>
      <c r="AZ712" s="82">
        <v>7500000</v>
      </c>
      <c r="BA712" s="82">
        <v>0</v>
      </c>
      <c r="BB712" s="82">
        <v>14250000</v>
      </c>
      <c r="BC712" s="82">
        <f t="shared" ref="BC712:BD712" si="1419">AE712+AG712+AI712+AK712+AM712+AO712+AQ712+AS712+AU712+AW712+AY712+BA712</f>
        <v>49625000</v>
      </c>
      <c r="BD712" s="82">
        <f t="shared" si="1419"/>
        <v>49625000</v>
      </c>
      <c r="BE712" s="83">
        <f t="shared" si="1328"/>
        <v>0</v>
      </c>
      <c r="BF712" s="83">
        <f t="shared" si="1329"/>
        <v>0</v>
      </c>
      <c r="BG712" s="14" t="str">
        <f ca="1">IFERROR(__xludf.DUMMYFUNCTION("REGEXEXTRACT(O706,""^\S+\s(.+)$"")"),"Prestar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712" s="23">
        <v>49625000</v>
      </c>
      <c r="BI712" s="23"/>
      <c r="BJ712" s="23"/>
      <c r="BK712" s="23"/>
      <c r="BL712" s="23"/>
      <c r="BM712" s="23"/>
      <c r="BN712" s="23"/>
      <c r="BO712" s="23"/>
      <c r="BP712" s="23"/>
      <c r="BQ712" s="23"/>
      <c r="BR712" s="23"/>
      <c r="BS712" s="23"/>
      <c r="BT712" s="23"/>
      <c r="BU712" s="23">
        <v>5375000</v>
      </c>
      <c r="BV712" s="23"/>
      <c r="BW712" s="23">
        <v>7500000</v>
      </c>
      <c r="BX712" s="23"/>
      <c r="BY712" s="23">
        <v>7500000</v>
      </c>
      <c r="BZ712" s="23"/>
      <c r="CA712" s="23">
        <v>7500000</v>
      </c>
      <c r="CB712" s="23"/>
      <c r="CC712" s="23">
        <v>7500000</v>
      </c>
      <c r="CD712" s="23"/>
      <c r="CE712" s="23">
        <v>14250000</v>
      </c>
      <c r="CF712" s="28"/>
      <c r="CG712" s="28"/>
      <c r="CH712" s="25">
        <f t="shared" ref="CH712:CI712" si="1420">BH712+BJ712+BL712+BN712+BP712+BR712+BT712+BV712+BX712+BZ712+CB712+CD712+CF712</f>
        <v>49625000</v>
      </c>
      <c r="CI712" s="25">
        <f t="shared" si="1420"/>
        <v>49625000</v>
      </c>
      <c r="CJ712" s="26">
        <f t="shared" si="1331"/>
        <v>0</v>
      </c>
      <c r="CK712" s="26">
        <f t="shared" si="1332"/>
        <v>0</v>
      </c>
    </row>
    <row r="713" spans="1:89" ht="90" customHeight="1" x14ac:dyDescent="0.3">
      <c r="A713" s="13" t="s">
        <v>248</v>
      </c>
      <c r="B713" s="14" t="s">
        <v>53</v>
      </c>
      <c r="C713" s="15" t="s">
        <v>1676</v>
      </c>
      <c r="D713" s="14" t="s">
        <v>66</v>
      </c>
      <c r="E713" s="13" t="s">
        <v>250</v>
      </c>
      <c r="F713" s="13" t="s">
        <v>250</v>
      </c>
      <c r="G713" s="14">
        <v>68</v>
      </c>
      <c r="H713" s="13" t="s">
        <v>1817</v>
      </c>
      <c r="I713" s="15" t="s">
        <v>1805</v>
      </c>
      <c r="J713" s="14" t="s">
        <v>15</v>
      </c>
      <c r="K713" s="15" t="s">
        <v>84</v>
      </c>
      <c r="L713" s="14">
        <v>80111620</v>
      </c>
      <c r="M713" s="14" t="s">
        <v>56</v>
      </c>
      <c r="N713" s="14" t="s">
        <v>253</v>
      </c>
      <c r="O713" s="15" t="s">
        <v>1818</v>
      </c>
      <c r="P713" s="14" t="s">
        <v>255</v>
      </c>
      <c r="Q713" s="14" t="s">
        <v>255</v>
      </c>
      <c r="R713" s="14" t="s">
        <v>255</v>
      </c>
      <c r="S713" s="17">
        <v>11</v>
      </c>
      <c r="T713" s="14" t="s">
        <v>256</v>
      </c>
      <c r="U713" s="14" t="s">
        <v>257</v>
      </c>
      <c r="V713" s="14" t="s">
        <v>112</v>
      </c>
      <c r="W713" s="18">
        <v>46250000</v>
      </c>
      <c r="X713" s="18">
        <v>46250000</v>
      </c>
      <c r="Y713" s="19" t="s">
        <v>339</v>
      </c>
      <c r="Z713" s="19" t="s">
        <v>258</v>
      </c>
      <c r="AA713" s="14" t="s">
        <v>1680</v>
      </c>
      <c r="AB713" s="14" t="s">
        <v>1681</v>
      </c>
      <c r="AC713" s="14">
        <v>6012220601</v>
      </c>
      <c r="AD713" s="14" t="s">
        <v>1682</v>
      </c>
      <c r="AE713" s="82">
        <v>46250000</v>
      </c>
      <c r="AF713" s="82">
        <v>0</v>
      </c>
      <c r="AG713" s="82">
        <v>0</v>
      </c>
      <c r="AH713" s="82">
        <v>0</v>
      </c>
      <c r="AI713" s="82">
        <v>0</v>
      </c>
      <c r="AJ713" s="82">
        <v>0</v>
      </c>
      <c r="AK713" s="82">
        <v>0</v>
      </c>
      <c r="AL713" s="82">
        <v>0</v>
      </c>
      <c r="AM713" s="82">
        <v>0</v>
      </c>
      <c r="AN713" s="82">
        <v>0</v>
      </c>
      <c r="AO713" s="82">
        <v>0</v>
      </c>
      <c r="AP713" s="82">
        <v>0</v>
      </c>
      <c r="AQ713" s="82">
        <v>0</v>
      </c>
      <c r="AR713" s="82">
        <v>2000000</v>
      </c>
      <c r="AS713" s="82">
        <v>0</v>
      </c>
      <c r="AT713" s="82">
        <v>7500000</v>
      </c>
      <c r="AU713" s="82">
        <v>0</v>
      </c>
      <c r="AV713" s="82">
        <v>7500000</v>
      </c>
      <c r="AW713" s="82">
        <v>0</v>
      </c>
      <c r="AX713" s="82">
        <v>7500000</v>
      </c>
      <c r="AY713" s="82">
        <v>0</v>
      </c>
      <c r="AZ713" s="82">
        <v>7500000</v>
      </c>
      <c r="BA713" s="82">
        <v>0</v>
      </c>
      <c r="BB713" s="82">
        <v>14250000</v>
      </c>
      <c r="BC713" s="82">
        <f t="shared" ref="BC713:BD713" si="1421">AE713+AG713+AI713+AK713+AM713+AO713+AQ713+AS713+AU713+AW713+AY713+BA713</f>
        <v>46250000</v>
      </c>
      <c r="BD713" s="82">
        <f t="shared" si="1421"/>
        <v>46250000</v>
      </c>
      <c r="BE713" s="83">
        <f t="shared" si="1328"/>
        <v>0</v>
      </c>
      <c r="BF713" s="83">
        <f t="shared" si="1329"/>
        <v>0</v>
      </c>
      <c r="BG713" s="14" t="str">
        <f ca="1">IFERROR(__xludf.DUMMYFUNCTION("REGEXEXTRACT(O707,""^\S+\s(.+)$"")"),"Prestar servicios profesionales para brindar apoyo a la subdirección de minería para el modelamiento del sector minero colombiano a través de las herramientas como dinámica de sistemas y Python, como soporte a los documentos técnicos y de planeación miner"&amp;"a.")</f>
        <v>Prestar servicios profesionales para brindar apoyo a la subdirección de minería para el modelamiento del sector minero colombiano a través de las herramientas como dinámica de sistemas y Python, como soporte a los documentos técnicos y de planeación minera.</v>
      </c>
      <c r="BH713" s="23">
        <v>46250000</v>
      </c>
      <c r="BI713" s="23"/>
      <c r="BJ713" s="23"/>
      <c r="BK713" s="23"/>
      <c r="BL713" s="23"/>
      <c r="BM713" s="23"/>
      <c r="BN713" s="23"/>
      <c r="BO713" s="23"/>
      <c r="BP713" s="23"/>
      <c r="BQ713" s="23"/>
      <c r="BR713" s="23"/>
      <c r="BS713" s="23"/>
      <c r="BT713" s="23"/>
      <c r="BU713" s="23">
        <v>2000000</v>
      </c>
      <c r="BV713" s="23"/>
      <c r="BW713" s="23">
        <v>7500000</v>
      </c>
      <c r="BX713" s="23"/>
      <c r="BY713" s="23">
        <v>7500000</v>
      </c>
      <c r="BZ713" s="23"/>
      <c r="CA713" s="23">
        <v>7500000</v>
      </c>
      <c r="CB713" s="23"/>
      <c r="CC713" s="23">
        <v>7500000</v>
      </c>
      <c r="CD713" s="23"/>
      <c r="CE713" s="23">
        <v>14250000</v>
      </c>
      <c r="CF713" s="28"/>
      <c r="CG713" s="28"/>
      <c r="CH713" s="25">
        <f t="shared" ref="CH713:CI713" si="1422">BH713+BJ713+BL713+BN713+BP713+BR713+BT713+BV713+BX713+BZ713+CB713+CD713+CF713</f>
        <v>46250000</v>
      </c>
      <c r="CI713" s="25">
        <f t="shared" si="1422"/>
        <v>46250000</v>
      </c>
      <c r="CJ713" s="26">
        <f t="shared" si="1331"/>
        <v>0</v>
      </c>
      <c r="CK713" s="26">
        <f t="shared" si="1332"/>
        <v>0</v>
      </c>
    </row>
    <row r="714" spans="1:89" ht="90" customHeight="1" x14ac:dyDescent="0.3">
      <c r="A714" s="13" t="s">
        <v>248</v>
      </c>
      <c r="B714" s="14" t="s">
        <v>53</v>
      </c>
      <c r="C714" s="15" t="s">
        <v>1676</v>
      </c>
      <c r="D714" s="14" t="s">
        <v>66</v>
      </c>
      <c r="E714" s="13" t="s">
        <v>250</v>
      </c>
      <c r="F714" s="13" t="s">
        <v>250</v>
      </c>
      <c r="G714" s="14">
        <v>68</v>
      </c>
      <c r="H714" s="13" t="s">
        <v>1819</v>
      </c>
      <c r="I714" s="15" t="s">
        <v>1805</v>
      </c>
      <c r="J714" s="14" t="s">
        <v>15</v>
      </c>
      <c r="K714" s="15" t="s">
        <v>84</v>
      </c>
      <c r="L714" s="14">
        <v>80111620</v>
      </c>
      <c r="M714" s="14" t="s">
        <v>56</v>
      </c>
      <c r="N714" s="14" t="s">
        <v>253</v>
      </c>
      <c r="O714" s="15" t="s">
        <v>1820</v>
      </c>
      <c r="P714" s="14" t="s">
        <v>255</v>
      </c>
      <c r="Q714" s="14" t="s">
        <v>255</v>
      </c>
      <c r="R714" s="14" t="s">
        <v>255</v>
      </c>
      <c r="S714" s="17">
        <v>11</v>
      </c>
      <c r="T714" s="14" t="s">
        <v>256</v>
      </c>
      <c r="U714" s="14" t="s">
        <v>257</v>
      </c>
      <c r="V714" s="14" t="s">
        <v>112</v>
      </c>
      <c r="W714" s="18">
        <v>30250000</v>
      </c>
      <c r="X714" s="18">
        <v>30250000</v>
      </c>
      <c r="Y714" s="19" t="s">
        <v>339</v>
      </c>
      <c r="Z714" s="19" t="s">
        <v>258</v>
      </c>
      <c r="AA714" s="14" t="s">
        <v>1680</v>
      </c>
      <c r="AB714" s="14" t="s">
        <v>1681</v>
      </c>
      <c r="AC714" s="14">
        <v>6012220601</v>
      </c>
      <c r="AD714" s="14" t="s">
        <v>1682</v>
      </c>
      <c r="AE714" s="82">
        <v>29336450</v>
      </c>
      <c r="AF714" s="82">
        <v>0</v>
      </c>
      <c r="AG714" s="82">
        <v>0</v>
      </c>
      <c r="AH714" s="82">
        <v>0</v>
      </c>
      <c r="AI714" s="82">
        <v>0</v>
      </c>
      <c r="AJ714" s="82">
        <v>0</v>
      </c>
      <c r="AK714" s="82">
        <v>0</v>
      </c>
      <c r="AL714" s="82">
        <v>0</v>
      </c>
      <c r="AM714" s="82">
        <v>0</v>
      </c>
      <c r="AN714" s="82">
        <v>0</v>
      </c>
      <c r="AO714" s="82">
        <v>0</v>
      </c>
      <c r="AP714" s="82">
        <v>0</v>
      </c>
      <c r="AQ714" s="82">
        <v>0</v>
      </c>
      <c r="AR714" s="82">
        <v>0</v>
      </c>
      <c r="AS714" s="82">
        <v>0</v>
      </c>
      <c r="AT714" s="82">
        <v>3876785</v>
      </c>
      <c r="AU714" s="82">
        <v>0</v>
      </c>
      <c r="AV714" s="82">
        <v>5416950</v>
      </c>
      <c r="AW714" s="82">
        <v>0</v>
      </c>
      <c r="AX714" s="82">
        <v>5416950</v>
      </c>
      <c r="AY714" s="82">
        <v>0</v>
      </c>
      <c r="AZ714" s="82">
        <v>5416950</v>
      </c>
      <c r="BA714" s="82">
        <v>913550</v>
      </c>
      <c r="BB714" s="82">
        <v>10122365</v>
      </c>
      <c r="BC714" s="82">
        <f t="shared" ref="BC714:BD714" si="1423">AE714+AG714+AI714+AK714+AM714+AO714+AQ714+AS714+AU714+AW714+AY714+BA714</f>
        <v>30250000</v>
      </c>
      <c r="BD714" s="82">
        <f t="shared" si="1423"/>
        <v>30250000</v>
      </c>
      <c r="BE714" s="83">
        <f t="shared" si="1328"/>
        <v>0</v>
      </c>
      <c r="BF714" s="83">
        <f t="shared" si="1329"/>
        <v>0</v>
      </c>
      <c r="BG714" s="14" t="str">
        <f ca="1">IFERROR(__xludf.DUMMYFUNCTION("REGEXEXTRACT(O708,""^\S+\s(.+)$"")"),"Prestar servicios profesionales para apoyar las actividades relacionadas con el seguimiento financiero del proyecto de inversión y de planeación de la Subdirección de Minería")</f>
        <v>Prestar servicios profesionales para apoyar las actividades relacionadas con el seguimiento financiero del proyecto de inversión y de planeación de la Subdirección de Minería</v>
      </c>
      <c r="BH714" s="23">
        <v>29336450</v>
      </c>
      <c r="BI714" s="23"/>
      <c r="BJ714" s="23"/>
      <c r="BK714" s="23"/>
      <c r="BL714" s="23"/>
      <c r="BM714" s="23"/>
      <c r="BN714" s="23"/>
      <c r="BO714" s="23"/>
      <c r="BP714" s="23"/>
      <c r="BQ714" s="23"/>
      <c r="BR714" s="23"/>
      <c r="BS714" s="23"/>
      <c r="BT714" s="23"/>
      <c r="BU714" s="23"/>
      <c r="BV714" s="23"/>
      <c r="BW714" s="23">
        <v>3876785</v>
      </c>
      <c r="BX714" s="23"/>
      <c r="BY714" s="23">
        <v>5416950</v>
      </c>
      <c r="BZ714" s="23"/>
      <c r="CA714" s="23">
        <v>5416950</v>
      </c>
      <c r="CB714" s="23"/>
      <c r="CC714" s="23">
        <v>5416950</v>
      </c>
      <c r="CD714" s="23">
        <v>913550</v>
      </c>
      <c r="CE714" s="23">
        <v>10122365</v>
      </c>
      <c r="CF714" s="28"/>
      <c r="CG714" s="28"/>
      <c r="CH714" s="25">
        <f t="shared" ref="CH714:CI714" si="1424">BH714+BJ714+BL714+BN714+BP714+BR714+BT714+BV714+BX714+BZ714+CB714+CD714+CF714</f>
        <v>30250000</v>
      </c>
      <c r="CI714" s="25">
        <f t="shared" si="1424"/>
        <v>30250000</v>
      </c>
      <c r="CJ714" s="26">
        <f t="shared" si="1331"/>
        <v>0</v>
      </c>
      <c r="CK714" s="26">
        <f t="shared" si="1332"/>
        <v>0</v>
      </c>
    </row>
    <row r="715" spans="1:89" ht="90" customHeight="1" x14ac:dyDescent="0.3">
      <c r="A715" s="13" t="s">
        <v>248</v>
      </c>
      <c r="B715" s="14" t="s">
        <v>53</v>
      </c>
      <c r="C715" s="15" t="s">
        <v>1676</v>
      </c>
      <c r="D715" s="14" t="s">
        <v>66</v>
      </c>
      <c r="E715" s="13" t="s">
        <v>250</v>
      </c>
      <c r="F715" s="13" t="s">
        <v>250</v>
      </c>
      <c r="G715" s="14">
        <v>1</v>
      </c>
      <c r="H715" s="13" t="s">
        <v>1821</v>
      </c>
      <c r="I715" s="15" t="s">
        <v>1805</v>
      </c>
      <c r="J715" s="14" t="s">
        <v>15</v>
      </c>
      <c r="K715" s="15" t="s">
        <v>84</v>
      </c>
      <c r="L715" s="14">
        <v>80111620</v>
      </c>
      <c r="M715" s="14" t="s">
        <v>56</v>
      </c>
      <c r="N715" s="14" t="s">
        <v>253</v>
      </c>
      <c r="O715" s="15" t="s">
        <v>1822</v>
      </c>
      <c r="P715" s="14" t="s">
        <v>255</v>
      </c>
      <c r="Q715" s="14" t="s">
        <v>255</v>
      </c>
      <c r="R715" s="14" t="s">
        <v>255</v>
      </c>
      <c r="S715" s="17">
        <v>11</v>
      </c>
      <c r="T715" s="14" t="s">
        <v>256</v>
      </c>
      <c r="U715" s="14" t="s">
        <v>257</v>
      </c>
      <c r="V715" s="14" t="s">
        <v>112</v>
      </c>
      <c r="W715" s="18">
        <v>44284887</v>
      </c>
      <c r="X715" s="18">
        <v>44284887</v>
      </c>
      <c r="Y715" s="19" t="s">
        <v>339</v>
      </c>
      <c r="Z715" s="19" t="s">
        <v>258</v>
      </c>
      <c r="AA715" s="14" t="s">
        <v>1680</v>
      </c>
      <c r="AB715" s="14" t="s">
        <v>1681</v>
      </c>
      <c r="AC715" s="14">
        <v>6012220601</v>
      </c>
      <c r="AD715" s="14" t="s">
        <v>1682</v>
      </c>
      <c r="AE715" s="82">
        <v>44284887</v>
      </c>
      <c r="AF715" s="82">
        <v>0</v>
      </c>
      <c r="AG715" s="82">
        <v>0</v>
      </c>
      <c r="AH715" s="82">
        <v>0</v>
      </c>
      <c r="AI715" s="82">
        <v>0</v>
      </c>
      <c r="AJ715" s="82">
        <v>0</v>
      </c>
      <c r="AK715" s="82">
        <v>0</v>
      </c>
      <c r="AL715" s="82">
        <v>0</v>
      </c>
      <c r="AM715" s="82">
        <v>0</v>
      </c>
      <c r="AN715" s="82">
        <v>0</v>
      </c>
      <c r="AO715" s="82">
        <v>0</v>
      </c>
      <c r="AP715" s="82">
        <v>0</v>
      </c>
      <c r="AQ715" s="82">
        <v>0</v>
      </c>
      <c r="AR715" s="82">
        <v>0</v>
      </c>
      <c r="AS715" s="82">
        <v>0</v>
      </c>
      <c r="AT715" s="82">
        <v>1984887</v>
      </c>
      <c r="AU715" s="82">
        <v>0</v>
      </c>
      <c r="AV715" s="82">
        <v>9000000</v>
      </c>
      <c r="AW715" s="82">
        <v>0</v>
      </c>
      <c r="AX715" s="82">
        <v>9000000</v>
      </c>
      <c r="AY715" s="82">
        <v>0</v>
      </c>
      <c r="AZ715" s="82">
        <v>9000000</v>
      </c>
      <c r="BA715" s="82">
        <v>0</v>
      </c>
      <c r="BB715" s="82">
        <v>15300000</v>
      </c>
      <c r="BC715" s="82">
        <f t="shared" ref="BC715:BD715" si="1425">AE715+AG715+AI715+AK715+AM715+AO715+AQ715+AS715+AU715+AW715+AY715+BA715</f>
        <v>44284887</v>
      </c>
      <c r="BD715" s="82">
        <f t="shared" si="1425"/>
        <v>44284887</v>
      </c>
      <c r="BE715" s="83">
        <f t="shared" si="1328"/>
        <v>0</v>
      </c>
      <c r="BF715" s="83">
        <f t="shared" si="1329"/>
        <v>0</v>
      </c>
      <c r="BG715" s="14" t="str">
        <f ca="1">IFERROR(__xludf.DUMMYFUNCTION("REGEXEXTRACT(O709,""^\S+\s(.+)$"")"),"Prestar servicios profesionales para apoyar a la Subdirección de Minería en la articulación, funcionamiento y coordinación de los procesos de planeación del sector minero, mediante la elaboración de documentos técnicos, la evaluación de los planes subsect"&amp;"oriales y el seguimiento a los instrumentos de planeación sectorial.")</f>
        <v>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v>
      </c>
      <c r="BH715" s="23">
        <v>44284887</v>
      </c>
      <c r="BI715" s="23"/>
      <c r="BJ715" s="23"/>
      <c r="BK715" s="23"/>
      <c r="BL715" s="23"/>
      <c r="BM715" s="23"/>
      <c r="BN715" s="23"/>
      <c r="BO715" s="23"/>
      <c r="BP715" s="23"/>
      <c r="BQ715" s="23"/>
      <c r="BR715" s="23"/>
      <c r="BS715" s="23"/>
      <c r="BT715" s="23"/>
      <c r="BU715" s="23"/>
      <c r="BV715" s="23"/>
      <c r="BW715" s="23">
        <v>1984887</v>
      </c>
      <c r="BX715" s="23"/>
      <c r="BY715" s="23">
        <v>9000000</v>
      </c>
      <c r="BZ715" s="23"/>
      <c r="CA715" s="23">
        <v>9000000</v>
      </c>
      <c r="CB715" s="23"/>
      <c r="CC715" s="23">
        <v>9000000</v>
      </c>
      <c r="CD715" s="23"/>
      <c r="CE715" s="23">
        <v>15300000</v>
      </c>
      <c r="CF715" s="28"/>
      <c r="CG715" s="28"/>
      <c r="CH715" s="25">
        <f t="shared" ref="CH715:CI715" si="1426">BH715+BJ715+BL715+BN715+BP715+BR715+BT715+BV715+BX715+BZ715+CB715+CD715+CF715</f>
        <v>44284887</v>
      </c>
      <c r="CI715" s="25">
        <f t="shared" si="1426"/>
        <v>44284887</v>
      </c>
      <c r="CJ715" s="26">
        <f t="shared" si="1331"/>
        <v>0</v>
      </c>
      <c r="CK715" s="26">
        <f t="shared" si="1332"/>
        <v>0</v>
      </c>
    </row>
    <row r="716" spans="1:89" ht="90" customHeight="1" x14ac:dyDescent="0.3">
      <c r="A716" s="13" t="s">
        <v>248</v>
      </c>
      <c r="B716" s="14" t="s">
        <v>53</v>
      </c>
      <c r="C716" s="15" t="s">
        <v>1676</v>
      </c>
      <c r="D716" s="14" t="s">
        <v>66</v>
      </c>
      <c r="E716" s="13" t="s">
        <v>250</v>
      </c>
      <c r="F716" s="13" t="s">
        <v>250</v>
      </c>
      <c r="G716" s="14">
        <v>68</v>
      </c>
      <c r="H716" s="13" t="s">
        <v>1823</v>
      </c>
      <c r="I716" s="15" t="s">
        <v>1805</v>
      </c>
      <c r="J716" s="14" t="s">
        <v>15</v>
      </c>
      <c r="K716" s="15" t="s">
        <v>84</v>
      </c>
      <c r="L716" s="14">
        <v>80111620</v>
      </c>
      <c r="M716" s="14" t="s">
        <v>56</v>
      </c>
      <c r="N716" s="14" t="s">
        <v>253</v>
      </c>
      <c r="O716" s="15" t="s">
        <v>1824</v>
      </c>
      <c r="P716" s="14" t="s">
        <v>255</v>
      </c>
      <c r="Q716" s="14" t="s">
        <v>255</v>
      </c>
      <c r="R716" s="14" t="s">
        <v>255</v>
      </c>
      <c r="S716" s="17">
        <v>11</v>
      </c>
      <c r="T716" s="14" t="s">
        <v>256</v>
      </c>
      <c r="U716" s="14" t="s">
        <v>257</v>
      </c>
      <c r="V716" s="14" t="s">
        <v>112</v>
      </c>
      <c r="W716" s="18">
        <v>25784887</v>
      </c>
      <c r="X716" s="18">
        <v>25784887</v>
      </c>
      <c r="Y716" s="19" t="s">
        <v>339</v>
      </c>
      <c r="Z716" s="19" t="s">
        <v>258</v>
      </c>
      <c r="AA716" s="14" t="s">
        <v>1680</v>
      </c>
      <c r="AB716" s="14" t="s">
        <v>1681</v>
      </c>
      <c r="AC716" s="14">
        <v>6012220601</v>
      </c>
      <c r="AD716" s="14" t="s">
        <v>1682</v>
      </c>
      <c r="AE716" s="82">
        <v>25784887</v>
      </c>
      <c r="AF716" s="82">
        <v>0</v>
      </c>
      <c r="AG716" s="82">
        <v>0</v>
      </c>
      <c r="AH716" s="82">
        <v>0</v>
      </c>
      <c r="AI716" s="82">
        <v>0</v>
      </c>
      <c r="AJ716" s="82">
        <v>0</v>
      </c>
      <c r="AK716" s="82">
        <v>0</v>
      </c>
      <c r="AL716" s="82">
        <v>0</v>
      </c>
      <c r="AM716" s="82">
        <v>0</v>
      </c>
      <c r="AN716" s="82">
        <v>0</v>
      </c>
      <c r="AO716" s="82">
        <v>0</v>
      </c>
      <c r="AP716" s="82">
        <v>0</v>
      </c>
      <c r="AQ716" s="82">
        <v>0</v>
      </c>
      <c r="AR716" s="82">
        <v>0</v>
      </c>
      <c r="AS716" s="82">
        <v>0</v>
      </c>
      <c r="AT716" s="82">
        <v>0</v>
      </c>
      <c r="AU716" s="82">
        <v>0</v>
      </c>
      <c r="AV716" s="82">
        <v>0</v>
      </c>
      <c r="AW716" s="82">
        <v>0</v>
      </c>
      <c r="AX716" s="82">
        <v>0</v>
      </c>
      <c r="AY716" s="82">
        <v>0</v>
      </c>
      <c r="AZ716" s="82">
        <v>7934887</v>
      </c>
      <c r="BA716" s="82">
        <v>0</v>
      </c>
      <c r="BB716" s="82">
        <v>17850000</v>
      </c>
      <c r="BC716" s="82">
        <f t="shared" ref="BC716:BD716" si="1427">AE716+AG716+AI716+AK716+AM716+AO716+AQ716+AS716+AU716+AW716+AY716+BA716</f>
        <v>25784887</v>
      </c>
      <c r="BD716" s="82">
        <f t="shared" si="1427"/>
        <v>25784887</v>
      </c>
      <c r="BE716" s="83">
        <f t="shared" si="1328"/>
        <v>0</v>
      </c>
      <c r="BF716" s="83">
        <f t="shared" si="1329"/>
        <v>0</v>
      </c>
      <c r="BG716" s="14" t="str">
        <f ca="1">IFERROR(__xludf.DUMMYFUNCTION("REGEXEXTRACT(O710,""^\S+\s(.+)$"")"),"Prestar servicios profesionales a la Subdirección de Minería para apoyar la implementación de mejoras funcionales y operativas del Sistema de Información Minero Colombiano (SIMCO), así como el diseño y desarrollo de modelos geoespaciales mediante Sistemas"&amp;" de Información Geográfica (SIG), como insumo para la elaboración de documentos técnicos y de investigación del sector minero.")</f>
        <v>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v>
      </c>
      <c r="BH716" s="23">
        <v>25784887</v>
      </c>
      <c r="BI716" s="23"/>
      <c r="BJ716" s="23"/>
      <c r="BK716" s="23"/>
      <c r="BL716" s="23"/>
      <c r="BM716" s="23"/>
      <c r="BN716" s="23"/>
      <c r="BO716" s="23"/>
      <c r="BP716" s="23"/>
      <c r="BQ716" s="23"/>
      <c r="BR716" s="23"/>
      <c r="BS716" s="23"/>
      <c r="BT716" s="23"/>
      <c r="BU716" s="23"/>
      <c r="BV716" s="23"/>
      <c r="BW716" s="23"/>
      <c r="BX716" s="23"/>
      <c r="BY716" s="23"/>
      <c r="BZ716" s="23"/>
      <c r="CA716" s="23"/>
      <c r="CB716" s="23"/>
      <c r="CC716" s="23">
        <v>7934887</v>
      </c>
      <c r="CD716" s="23"/>
      <c r="CE716" s="23">
        <v>17850000</v>
      </c>
      <c r="CF716" s="28"/>
      <c r="CG716" s="28"/>
      <c r="CH716" s="25">
        <f t="shared" ref="CH716:CI716" si="1428">BH716+BJ716+BL716+BN716+BP716+BR716+BT716+BV716+BX716+BZ716+CB716+CD716+CF716</f>
        <v>25784887</v>
      </c>
      <c r="CI716" s="25">
        <f t="shared" si="1428"/>
        <v>25784887</v>
      </c>
      <c r="CJ716" s="26">
        <f t="shared" si="1331"/>
        <v>0</v>
      </c>
      <c r="CK716" s="26">
        <f t="shared" si="1332"/>
        <v>0</v>
      </c>
    </row>
    <row r="717" spans="1:89" ht="90" customHeight="1" x14ac:dyDescent="0.3">
      <c r="A717" s="13" t="s">
        <v>248</v>
      </c>
      <c r="B717" s="14" t="s">
        <v>53</v>
      </c>
      <c r="C717" s="15" t="s">
        <v>1676</v>
      </c>
      <c r="D717" s="14" t="s">
        <v>66</v>
      </c>
      <c r="E717" s="13" t="s">
        <v>250</v>
      </c>
      <c r="F717" s="13" t="s">
        <v>250</v>
      </c>
      <c r="G717" s="14">
        <v>23</v>
      </c>
      <c r="H717" s="13" t="s">
        <v>1825</v>
      </c>
      <c r="I717" s="15" t="s">
        <v>1805</v>
      </c>
      <c r="J717" s="14" t="s">
        <v>15</v>
      </c>
      <c r="K717" s="15" t="s">
        <v>84</v>
      </c>
      <c r="L717" s="14" t="s">
        <v>258</v>
      </c>
      <c r="M717" s="14" t="s">
        <v>56</v>
      </c>
      <c r="N717" s="14" t="s">
        <v>1826</v>
      </c>
      <c r="O717" s="15" t="s">
        <v>1827</v>
      </c>
      <c r="P717" s="14" t="s">
        <v>255</v>
      </c>
      <c r="Q717" s="14" t="s">
        <v>255</v>
      </c>
      <c r="R717" s="14" t="s">
        <v>255</v>
      </c>
      <c r="S717" s="17" t="s">
        <v>258</v>
      </c>
      <c r="T717" s="14" t="s">
        <v>256</v>
      </c>
      <c r="U717" s="14" t="s">
        <v>258</v>
      </c>
      <c r="V717" s="14" t="s">
        <v>112</v>
      </c>
      <c r="W717" s="18">
        <v>47300000</v>
      </c>
      <c r="X717" s="18">
        <v>47300000</v>
      </c>
      <c r="Y717" s="19" t="s">
        <v>339</v>
      </c>
      <c r="Z717" s="19" t="s">
        <v>258</v>
      </c>
      <c r="AA717" s="14" t="s">
        <v>1680</v>
      </c>
      <c r="AB717" s="14" t="s">
        <v>1681</v>
      </c>
      <c r="AC717" s="14">
        <v>6012220601</v>
      </c>
      <c r="AD717" s="14" t="s">
        <v>1682</v>
      </c>
      <c r="AE717" s="82">
        <v>0</v>
      </c>
      <c r="AF717" s="82">
        <v>0</v>
      </c>
      <c r="AG717" s="82">
        <v>0</v>
      </c>
      <c r="AH717" s="82">
        <v>0</v>
      </c>
      <c r="AI717" s="82">
        <v>0</v>
      </c>
      <c r="AJ717" s="82">
        <v>0</v>
      </c>
      <c r="AK717" s="82">
        <v>0</v>
      </c>
      <c r="AL717" s="82">
        <v>0</v>
      </c>
      <c r="AM717" s="82">
        <v>0</v>
      </c>
      <c r="AN717" s="82">
        <v>0</v>
      </c>
      <c r="AO717" s="82">
        <v>0</v>
      </c>
      <c r="AP717" s="82">
        <v>0</v>
      </c>
      <c r="AQ717" s="82">
        <v>0</v>
      </c>
      <c r="AR717" s="82">
        <v>0</v>
      </c>
      <c r="AS717" s="82">
        <v>0</v>
      </c>
      <c r="AT717" s="82">
        <v>0</v>
      </c>
      <c r="AU717" s="82">
        <v>0</v>
      </c>
      <c r="AV717" s="82">
        <v>0</v>
      </c>
      <c r="AW717" s="82">
        <v>0</v>
      </c>
      <c r="AX717" s="82">
        <v>0</v>
      </c>
      <c r="AY717" s="82">
        <v>0</v>
      </c>
      <c r="AZ717" s="82">
        <v>0</v>
      </c>
      <c r="BA717" s="82">
        <v>47300000</v>
      </c>
      <c r="BB717" s="82">
        <v>47300000</v>
      </c>
      <c r="BC717" s="82">
        <f t="shared" ref="BC717:BD717" si="1429">AE717+AG717+AI717+AK717+AM717+AO717+AQ717+AS717+AU717+AW717+AY717+BA717</f>
        <v>47300000</v>
      </c>
      <c r="BD717" s="82">
        <f t="shared" si="1429"/>
        <v>47300000</v>
      </c>
      <c r="BE717" s="83">
        <f t="shared" si="1328"/>
        <v>0</v>
      </c>
      <c r="BF717" s="83">
        <f t="shared" si="1329"/>
        <v>0</v>
      </c>
      <c r="BG717" s="14" t="str">
        <f ca="1">IFERROR(__xludf.DUMMYFUNCTION("REGEXEXTRACT(O711,""^\S+\s(.+)$"")"),"Viáticos o gastos de desplazamiento")</f>
        <v>Viáticos o gastos de desplazamiento</v>
      </c>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v>47300000</v>
      </c>
      <c r="CE717" s="23">
        <v>47300000</v>
      </c>
      <c r="CF717" s="28"/>
      <c r="CG717" s="28"/>
      <c r="CH717" s="25">
        <f t="shared" ref="CH717:CI717" si="1430">BH717+BJ717+BL717+BN717+BP717+BR717+BT717+BV717+BX717+BZ717+CB717+CD717+CF717</f>
        <v>47300000</v>
      </c>
      <c r="CI717" s="25">
        <f t="shared" si="1430"/>
        <v>47300000</v>
      </c>
      <c r="CJ717" s="26">
        <f t="shared" si="1331"/>
        <v>0</v>
      </c>
      <c r="CK717" s="26">
        <f t="shared" si="1332"/>
        <v>0</v>
      </c>
    </row>
    <row r="718" spans="1:89" ht="90" customHeight="1" x14ac:dyDescent="0.3">
      <c r="A718" s="13" t="s">
        <v>248</v>
      </c>
      <c r="B718" s="14" t="s">
        <v>53</v>
      </c>
      <c r="C718" s="15" t="s">
        <v>1676</v>
      </c>
      <c r="D718" s="14" t="s">
        <v>66</v>
      </c>
      <c r="E718" s="13" t="s">
        <v>250</v>
      </c>
      <c r="F718" s="13" t="s">
        <v>250</v>
      </c>
      <c r="G718" s="14">
        <v>1</v>
      </c>
      <c r="H718" s="13" t="s">
        <v>1828</v>
      </c>
      <c r="I718" s="15" t="s">
        <v>1805</v>
      </c>
      <c r="J718" s="14" t="s">
        <v>15</v>
      </c>
      <c r="K718" s="15" t="s">
        <v>84</v>
      </c>
      <c r="L718" s="14">
        <v>81121503</v>
      </c>
      <c r="M718" s="14" t="s">
        <v>56</v>
      </c>
      <c r="N718" s="14" t="s">
        <v>471</v>
      </c>
      <c r="O718" s="15" t="s">
        <v>1829</v>
      </c>
      <c r="P718" s="14" t="s">
        <v>281</v>
      </c>
      <c r="Q718" s="14" t="s">
        <v>477</v>
      </c>
      <c r="R718" s="14" t="s">
        <v>614</v>
      </c>
      <c r="S718" s="17">
        <v>5</v>
      </c>
      <c r="T718" s="14" t="s">
        <v>256</v>
      </c>
      <c r="U718" s="14" t="s">
        <v>1830</v>
      </c>
      <c r="V718" s="14" t="s">
        <v>112</v>
      </c>
      <c r="W718" s="18">
        <v>46000000</v>
      </c>
      <c r="X718" s="18">
        <v>46000000</v>
      </c>
      <c r="Y718" s="19" t="s">
        <v>339</v>
      </c>
      <c r="Z718" s="19" t="s">
        <v>258</v>
      </c>
      <c r="AA718" s="14" t="s">
        <v>1680</v>
      </c>
      <c r="AB718" s="14" t="s">
        <v>1681</v>
      </c>
      <c r="AC718" s="14">
        <v>6012220601</v>
      </c>
      <c r="AD718" s="14" t="s">
        <v>1682</v>
      </c>
      <c r="AE718" s="82">
        <v>0</v>
      </c>
      <c r="AF718" s="82">
        <v>0</v>
      </c>
      <c r="AG718" s="82">
        <v>0</v>
      </c>
      <c r="AH718" s="82">
        <v>0</v>
      </c>
      <c r="AI718" s="82">
        <v>0</v>
      </c>
      <c r="AJ718" s="82">
        <v>0</v>
      </c>
      <c r="AK718" s="82">
        <v>0</v>
      </c>
      <c r="AL718" s="82">
        <v>0</v>
      </c>
      <c r="AM718" s="82">
        <v>0</v>
      </c>
      <c r="AN718" s="82">
        <v>0</v>
      </c>
      <c r="AO718" s="82">
        <v>0</v>
      </c>
      <c r="AP718" s="82">
        <v>0</v>
      </c>
      <c r="AQ718" s="82">
        <v>46000000</v>
      </c>
      <c r="AR718" s="82">
        <v>0</v>
      </c>
      <c r="AS718" s="82">
        <v>0</v>
      </c>
      <c r="AT718" s="82">
        <v>0</v>
      </c>
      <c r="AU718" s="82">
        <v>0</v>
      </c>
      <c r="AV718" s="82">
        <v>27333333</v>
      </c>
      <c r="AW718" s="82">
        <v>0</v>
      </c>
      <c r="AX718" s="82">
        <v>0</v>
      </c>
      <c r="AY718" s="82">
        <v>0</v>
      </c>
      <c r="AZ718" s="82">
        <v>18666667</v>
      </c>
      <c r="BA718" s="82">
        <v>0</v>
      </c>
      <c r="BB718" s="82">
        <v>0</v>
      </c>
      <c r="BC718" s="82">
        <f t="shared" ref="BC718:BD718" si="1431">AE718+AG718+AI718+AK718+AM718+AO718+AQ718+AS718+AU718+AW718+AY718+BA718</f>
        <v>46000000</v>
      </c>
      <c r="BD718" s="82">
        <f t="shared" si="1431"/>
        <v>46000000</v>
      </c>
      <c r="BE718" s="83">
        <f t="shared" si="1328"/>
        <v>0</v>
      </c>
      <c r="BF718" s="83">
        <f t="shared" si="1329"/>
        <v>0</v>
      </c>
      <c r="BG718" s="14" t="str">
        <f ca="1">IFERROR(__xludf.DUMMYFUNCTION("REGEXEXTRACT(O712,""^\S+\s(.+)$"")"),"Elaborar los balances oferta utilización de 34 productos mineros y la cuenta de producción y generación del ingreso de 10 actividades económicas mineras CIIU Rev. 4 A.C. para 2023 y 2024 en versión provisional para la operación estadística cuenta satélite"&amp;" de minería - CSM, en el marco del modelo genérico del proceso estadístico GSBPM.DANE")</f>
        <v>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v>
      </c>
      <c r="BH718" s="23"/>
      <c r="BI718" s="23"/>
      <c r="BJ718" s="23"/>
      <c r="BK718" s="23"/>
      <c r="BL718" s="23"/>
      <c r="BM718" s="23"/>
      <c r="BN718" s="23"/>
      <c r="BO718" s="23"/>
      <c r="BP718" s="23"/>
      <c r="BQ718" s="23"/>
      <c r="BR718" s="23"/>
      <c r="BS718" s="23"/>
      <c r="BT718" s="23">
        <v>46000000</v>
      </c>
      <c r="BU718" s="23"/>
      <c r="BV718" s="23"/>
      <c r="BW718" s="23"/>
      <c r="BX718" s="23"/>
      <c r="BY718" s="23">
        <v>27333333</v>
      </c>
      <c r="BZ718" s="23"/>
      <c r="CA718" s="23"/>
      <c r="CB718" s="23"/>
      <c r="CC718" s="23">
        <v>18666667</v>
      </c>
      <c r="CD718" s="23"/>
      <c r="CE718" s="23"/>
      <c r="CF718" s="28"/>
      <c r="CG718" s="28"/>
      <c r="CH718" s="25">
        <f t="shared" ref="CH718:CI718" si="1432">BH718+BJ718+BL718+BN718+BP718+BR718+BT718+BV718+BX718+BZ718+CB718+CD718+CF718</f>
        <v>46000000</v>
      </c>
      <c r="CI718" s="25">
        <f t="shared" si="1432"/>
        <v>46000000</v>
      </c>
      <c r="CJ718" s="26">
        <f t="shared" si="1331"/>
        <v>0</v>
      </c>
      <c r="CK718" s="26">
        <f t="shared" si="1332"/>
        <v>0</v>
      </c>
    </row>
    <row r="719" spans="1:89" ht="90" customHeight="1" x14ac:dyDescent="0.3">
      <c r="A719" s="13" t="s">
        <v>248</v>
      </c>
      <c r="B719" s="14" t="s">
        <v>53</v>
      </c>
      <c r="C719" s="15" t="s">
        <v>1676</v>
      </c>
      <c r="D719" s="14" t="s">
        <v>66</v>
      </c>
      <c r="E719" s="13" t="s">
        <v>250</v>
      </c>
      <c r="F719" s="13" t="s">
        <v>250</v>
      </c>
      <c r="G719" s="14">
        <v>68</v>
      </c>
      <c r="H719" s="13" t="s">
        <v>1831</v>
      </c>
      <c r="I719" s="15" t="s">
        <v>1805</v>
      </c>
      <c r="J719" s="14" t="s">
        <v>15</v>
      </c>
      <c r="K719" s="15" t="s">
        <v>70</v>
      </c>
      <c r="L719" s="14">
        <v>80111620</v>
      </c>
      <c r="M719" s="14" t="s">
        <v>56</v>
      </c>
      <c r="N719" s="14" t="s">
        <v>253</v>
      </c>
      <c r="O719" s="15" t="s">
        <v>1832</v>
      </c>
      <c r="P719" s="14" t="s">
        <v>255</v>
      </c>
      <c r="Q719" s="14" t="s">
        <v>255</v>
      </c>
      <c r="R719" s="14" t="s">
        <v>255</v>
      </c>
      <c r="S719" s="17">
        <v>11</v>
      </c>
      <c r="T719" s="14" t="s">
        <v>256</v>
      </c>
      <c r="U719" s="14" t="s">
        <v>257</v>
      </c>
      <c r="V719" s="14" t="s">
        <v>112</v>
      </c>
      <c r="W719" s="18">
        <v>35200000</v>
      </c>
      <c r="X719" s="18">
        <v>35200000</v>
      </c>
      <c r="Y719" s="19" t="s">
        <v>339</v>
      </c>
      <c r="Z719" s="19" t="s">
        <v>258</v>
      </c>
      <c r="AA719" s="14" t="s">
        <v>1680</v>
      </c>
      <c r="AB719" s="14" t="s">
        <v>1681</v>
      </c>
      <c r="AC719" s="14">
        <v>6012220601</v>
      </c>
      <c r="AD719" s="14" t="s">
        <v>1682</v>
      </c>
      <c r="AE719" s="82">
        <v>35200000</v>
      </c>
      <c r="AF719" s="82">
        <v>0</v>
      </c>
      <c r="AG719" s="82">
        <v>0</v>
      </c>
      <c r="AH719" s="82">
        <v>233000</v>
      </c>
      <c r="AI719" s="82">
        <v>0</v>
      </c>
      <c r="AJ719" s="82">
        <v>3200000</v>
      </c>
      <c r="AK719" s="82">
        <v>0</v>
      </c>
      <c r="AL719" s="82">
        <v>3200000</v>
      </c>
      <c r="AM719" s="82">
        <v>0</v>
      </c>
      <c r="AN719" s="82">
        <v>3200000</v>
      </c>
      <c r="AO719" s="82">
        <v>0</v>
      </c>
      <c r="AP719" s="82">
        <v>3200000</v>
      </c>
      <c r="AQ719" s="82">
        <v>0</v>
      </c>
      <c r="AR719" s="82">
        <v>3200000</v>
      </c>
      <c r="AS719" s="82">
        <v>0</v>
      </c>
      <c r="AT719" s="82">
        <v>3200000</v>
      </c>
      <c r="AU719" s="82">
        <v>0</v>
      </c>
      <c r="AV719" s="82">
        <v>3200000</v>
      </c>
      <c r="AW719" s="82">
        <v>0</v>
      </c>
      <c r="AX719" s="82">
        <v>3200000</v>
      </c>
      <c r="AY719" s="82">
        <v>0</v>
      </c>
      <c r="AZ719" s="82">
        <v>3200000</v>
      </c>
      <c r="BA719" s="82">
        <v>0</v>
      </c>
      <c r="BB719" s="82">
        <v>6167000</v>
      </c>
      <c r="BC719" s="82">
        <f t="shared" ref="BC719:BD719" si="1433">AE719+AG719+AI719+AK719+AM719+AO719+AQ719+AS719+AU719+AW719+AY719+BA719</f>
        <v>35200000</v>
      </c>
      <c r="BD719" s="82">
        <f t="shared" si="1433"/>
        <v>35200000</v>
      </c>
      <c r="BE719" s="83">
        <f t="shared" si="1328"/>
        <v>0</v>
      </c>
      <c r="BF719" s="83">
        <f t="shared" si="1329"/>
        <v>0</v>
      </c>
      <c r="BG719" s="14" t="str">
        <f ca="1">IFERROR(__xludf.DUMMYFUNCTION("REGEXEXTRACT(O713,""^\S+\s(.+)$"")"),"Prestar servicios profesionales de apoyo a la Subdirección de Minería en la organización y gestión de la información asociada a los estudios técnicos del sector minero.")</f>
        <v>Prestar servicios profesionales de apoyo a la Subdirección de Minería en la organización y gestión de la información asociada a los estudios técnicos del sector minero.</v>
      </c>
      <c r="BH719" s="23">
        <v>35200000</v>
      </c>
      <c r="BI719" s="23"/>
      <c r="BJ719" s="23"/>
      <c r="BK719" s="23">
        <v>233000</v>
      </c>
      <c r="BL719" s="23"/>
      <c r="BM719" s="23">
        <v>3200000</v>
      </c>
      <c r="BN719" s="23"/>
      <c r="BO719" s="23">
        <v>3200000</v>
      </c>
      <c r="BP719" s="23"/>
      <c r="BQ719" s="23">
        <v>3200000</v>
      </c>
      <c r="BR719" s="23"/>
      <c r="BS719" s="23">
        <v>3200000</v>
      </c>
      <c r="BT719" s="23"/>
      <c r="BU719" s="23">
        <v>3200000</v>
      </c>
      <c r="BV719" s="23"/>
      <c r="BW719" s="23">
        <v>3200000</v>
      </c>
      <c r="BX719" s="23"/>
      <c r="BY719" s="23">
        <v>3200000</v>
      </c>
      <c r="BZ719" s="23"/>
      <c r="CA719" s="23">
        <v>3200000</v>
      </c>
      <c r="CB719" s="23"/>
      <c r="CC719" s="23">
        <v>3200000</v>
      </c>
      <c r="CD719" s="23"/>
      <c r="CE719" s="23">
        <v>6167000</v>
      </c>
      <c r="CF719" s="28"/>
      <c r="CG719" s="28"/>
      <c r="CH719" s="25">
        <f t="shared" ref="CH719:CI719" si="1434">BH719+BJ719+BL719+BN719+BP719+BR719+BT719+BV719+BX719+BZ719+CB719+CD719+CF719</f>
        <v>35200000</v>
      </c>
      <c r="CI719" s="25">
        <f t="shared" si="1434"/>
        <v>35200000</v>
      </c>
      <c r="CJ719" s="26">
        <f t="shared" si="1331"/>
        <v>0</v>
      </c>
      <c r="CK719" s="26">
        <f t="shared" si="1332"/>
        <v>0</v>
      </c>
    </row>
    <row r="720" spans="1:89" ht="90" customHeight="1" x14ac:dyDescent="0.3">
      <c r="A720" s="13" t="s">
        <v>248</v>
      </c>
      <c r="B720" s="14" t="s">
        <v>53</v>
      </c>
      <c r="C720" s="15" t="s">
        <v>1676</v>
      </c>
      <c r="D720" s="14" t="s">
        <v>66</v>
      </c>
      <c r="E720" s="13" t="s">
        <v>250</v>
      </c>
      <c r="F720" s="13" t="s">
        <v>250</v>
      </c>
      <c r="G720" s="14">
        <v>68</v>
      </c>
      <c r="H720" s="13" t="s">
        <v>1833</v>
      </c>
      <c r="I720" s="15" t="s">
        <v>1805</v>
      </c>
      <c r="J720" s="14" t="s">
        <v>15</v>
      </c>
      <c r="K720" s="15" t="s">
        <v>70</v>
      </c>
      <c r="L720" s="14">
        <v>80111620</v>
      </c>
      <c r="M720" s="14" t="s">
        <v>56</v>
      </c>
      <c r="N720" s="14" t="s">
        <v>253</v>
      </c>
      <c r="O720" s="15" t="s">
        <v>1834</v>
      </c>
      <c r="P720" s="14" t="s">
        <v>255</v>
      </c>
      <c r="Q720" s="14" t="s">
        <v>255</v>
      </c>
      <c r="R720" s="14" t="s">
        <v>255</v>
      </c>
      <c r="S720" s="17">
        <v>11</v>
      </c>
      <c r="T720" s="14" t="s">
        <v>256</v>
      </c>
      <c r="U720" s="14" t="s">
        <v>257</v>
      </c>
      <c r="V720" s="14" t="s">
        <v>112</v>
      </c>
      <c r="W720" s="18">
        <v>6825000</v>
      </c>
      <c r="X720" s="18">
        <v>6825000</v>
      </c>
      <c r="Y720" s="19" t="s">
        <v>339</v>
      </c>
      <c r="Z720" s="19" t="s">
        <v>258</v>
      </c>
      <c r="AA720" s="14" t="s">
        <v>1680</v>
      </c>
      <c r="AB720" s="14" t="s">
        <v>1681</v>
      </c>
      <c r="AC720" s="14">
        <v>6012220601</v>
      </c>
      <c r="AD720" s="14" t="s">
        <v>1682</v>
      </c>
      <c r="AE720" s="82">
        <v>6825000</v>
      </c>
      <c r="AF720" s="82">
        <v>0</v>
      </c>
      <c r="AG720" s="82">
        <v>0</v>
      </c>
      <c r="AH720" s="82">
        <v>0</v>
      </c>
      <c r="AI720" s="82">
        <v>0</v>
      </c>
      <c r="AJ720" s="82">
        <v>0</v>
      </c>
      <c r="AK720" s="82">
        <v>0</v>
      </c>
      <c r="AL720" s="82">
        <v>0</v>
      </c>
      <c r="AM720" s="82">
        <v>0</v>
      </c>
      <c r="AN720" s="82">
        <v>0</v>
      </c>
      <c r="AO720" s="82">
        <v>0</v>
      </c>
      <c r="AP720" s="82">
        <v>0</v>
      </c>
      <c r="AQ720" s="82">
        <v>0</v>
      </c>
      <c r="AR720" s="82">
        <v>0</v>
      </c>
      <c r="AS720" s="82">
        <v>0</v>
      </c>
      <c r="AT720" s="82">
        <v>0</v>
      </c>
      <c r="AU720" s="82">
        <v>0</v>
      </c>
      <c r="AV720" s="82">
        <v>0</v>
      </c>
      <c r="AW720" s="82">
        <v>0</v>
      </c>
      <c r="AX720" s="82">
        <v>0</v>
      </c>
      <c r="AY720" s="82">
        <v>0</v>
      </c>
      <c r="AZ720" s="82">
        <v>425000</v>
      </c>
      <c r="BA720" s="82">
        <v>0</v>
      </c>
      <c r="BB720" s="82">
        <v>6400000</v>
      </c>
      <c r="BC720" s="82">
        <f t="shared" ref="BC720:BD720" si="1435">AE720+AG720+AI720+AK720+AM720+AO720+AQ720+AS720+AU720+AW720+AY720+BA720</f>
        <v>6825000</v>
      </c>
      <c r="BD720" s="82">
        <f t="shared" si="1435"/>
        <v>6825000</v>
      </c>
      <c r="BE720" s="83">
        <f t="shared" si="1328"/>
        <v>0</v>
      </c>
      <c r="BF720" s="83">
        <f t="shared" si="1329"/>
        <v>0</v>
      </c>
      <c r="BG720" s="14" t="str">
        <f ca="1">IFERROR(__xludf.DUMMYFUNCTION("REGEXEXTRACT(O714,""^\S+\s(.+)$"")"),"Prestar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720" s="23">
        <v>6825000</v>
      </c>
      <c r="BI720" s="23"/>
      <c r="BJ720" s="23"/>
      <c r="BK720" s="23"/>
      <c r="BL720" s="23"/>
      <c r="BM720" s="23"/>
      <c r="BN720" s="23"/>
      <c r="BO720" s="23"/>
      <c r="BP720" s="23"/>
      <c r="BQ720" s="23"/>
      <c r="BR720" s="23"/>
      <c r="BS720" s="23"/>
      <c r="BT720" s="23"/>
      <c r="BU720" s="23"/>
      <c r="BV720" s="23"/>
      <c r="BW720" s="23"/>
      <c r="BX720" s="23"/>
      <c r="BY720" s="23"/>
      <c r="BZ720" s="23"/>
      <c r="CA720" s="23"/>
      <c r="CB720" s="23"/>
      <c r="CC720" s="23">
        <v>425000</v>
      </c>
      <c r="CD720" s="23"/>
      <c r="CE720" s="23">
        <v>6400000</v>
      </c>
      <c r="CF720" s="28"/>
      <c r="CG720" s="28"/>
      <c r="CH720" s="25">
        <f t="shared" ref="CH720:CI720" si="1436">BH720+BJ720+BL720+BN720+BP720+BR720+BT720+BV720+BX720+BZ720+CB720+CD720+CF720</f>
        <v>6825000</v>
      </c>
      <c r="CI720" s="25">
        <f t="shared" si="1436"/>
        <v>6825000</v>
      </c>
      <c r="CJ720" s="26">
        <f t="shared" si="1331"/>
        <v>0</v>
      </c>
      <c r="CK720" s="26">
        <f t="shared" si="1332"/>
        <v>0</v>
      </c>
    </row>
    <row r="721" spans="1:89" ht="90" customHeight="1" x14ac:dyDescent="0.3">
      <c r="A721" s="13" t="s">
        <v>248</v>
      </c>
      <c r="B721" s="14" t="s">
        <v>53</v>
      </c>
      <c r="C721" s="15" t="s">
        <v>1676</v>
      </c>
      <c r="D721" s="14" t="s">
        <v>66</v>
      </c>
      <c r="E721" s="13" t="s">
        <v>250</v>
      </c>
      <c r="F721" s="13" t="s">
        <v>250</v>
      </c>
      <c r="G721" s="14">
        <v>68</v>
      </c>
      <c r="H721" s="13" t="s">
        <v>1835</v>
      </c>
      <c r="I721" s="15" t="s">
        <v>1805</v>
      </c>
      <c r="J721" s="14" t="s">
        <v>15</v>
      </c>
      <c r="K721" s="15" t="s">
        <v>70</v>
      </c>
      <c r="L721" s="14">
        <v>81121503</v>
      </c>
      <c r="M721" s="14" t="s">
        <v>56</v>
      </c>
      <c r="N721" s="14" t="s">
        <v>471</v>
      </c>
      <c r="O721" s="15" t="s">
        <v>1836</v>
      </c>
      <c r="P721" s="14" t="s">
        <v>281</v>
      </c>
      <c r="Q721" s="14" t="s">
        <v>477</v>
      </c>
      <c r="R721" s="14" t="s">
        <v>614</v>
      </c>
      <c r="S721" s="17">
        <v>5</v>
      </c>
      <c r="T721" s="14" t="s">
        <v>256</v>
      </c>
      <c r="U721" s="14" t="s">
        <v>1830</v>
      </c>
      <c r="V721" s="14" t="s">
        <v>112</v>
      </c>
      <c r="W721" s="18">
        <v>36000000</v>
      </c>
      <c r="X721" s="18">
        <v>36000000</v>
      </c>
      <c r="Y721" s="19" t="s">
        <v>339</v>
      </c>
      <c r="Z721" s="19" t="s">
        <v>258</v>
      </c>
      <c r="AA721" s="14" t="s">
        <v>1680</v>
      </c>
      <c r="AB721" s="14" t="s">
        <v>1681</v>
      </c>
      <c r="AC721" s="14">
        <v>6012220601</v>
      </c>
      <c r="AD721" s="14" t="s">
        <v>1682</v>
      </c>
      <c r="AE721" s="82">
        <v>0</v>
      </c>
      <c r="AF721" s="82">
        <v>0</v>
      </c>
      <c r="AG721" s="82">
        <v>0</v>
      </c>
      <c r="AH721" s="82">
        <v>0</v>
      </c>
      <c r="AI721" s="82">
        <v>0</v>
      </c>
      <c r="AJ721" s="82">
        <v>0</v>
      </c>
      <c r="AK721" s="82">
        <v>0</v>
      </c>
      <c r="AL721" s="82">
        <v>0</v>
      </c>
      <c r="AM721" s="82">
        <v>0</v>
      </c>
      <c r="AN721" s="82">
        <v>0</v>
      </c>
      <c r="AO721" s="82">
        <v>0</v>
      </c>
      <c r="AP721" s="82">
        <v>0</v>
      </c>
      <c r="AQ721" s="82">
        <v>36000000</v>
      </c>
      <c r="AR721" s="82">
        <v>0</v>
      </c>
      <c r="AS721" s="82">
        <v>0</v>
      </c>
      <c r="AT721" s="82">
        <v>0</v>
      </c>
      <c r="AU721" s="82">
        <v>0</v>
      </c>
      <c r="AV721" s="82">
        <v>0</v>
      </c>
      <c r="AW721" s="82">
        <v>0</v>
      </c>
      <c r="AX721" s="82">
        <v>0</v>
      </c>
      <c r="AY721" s="82">
        <v>0</v>
      </c>
      <c r="AZ721" s="82">
        <v>0</v>
      </c>
      <c r="BA721" s="82">
        <v>0</v>
      </c>
      <c r="BB721" s="82">
        <v>36000000</v>
      </c>
      <c r="BC721" s="82">
        <f t="shared" ref="BC721:BD721" si="1437">AE721+AG721+AI721+AK721+AM721+AO721+AQ721+AS721+AU721+AW721+AY721+BA721</f>
        <v>36000000</v>
      </c>
      <c r="BD721" s="82">
        <f t="shared" si="1437"/>
        <v>36000000</v>
      </c>
      <c r="BE721" s="83">
        <f t="shared" si="1328"/>
        <v>0</v>
      </c>
      <c r="BF721" s="83">
        <f t="shared" si="1329"/>
        <v>0</v>
      </c>
      <c r="BG721" s="14" t="str">
        <f ca="1">IFERROR(__xludf.DUMMYFUNCTION("REGEXEXTRACT(O715,""^\S+\s(.+)$"")"),"Elaborar los balances oferta utilización de 34 productos mineros y la cuenta de producción y generación del ingreso de 10 actividades económicas mineras CIIU Rev. 4 A.C. para 2023 y 2024 en versión provisional para la operación estadística cuenta satélite"&amp;" de minería - CSM, en el marco del modelo genérico del proceso estadístico GSBPM.DANE")</f>
        <v>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v>
      </c>
      <c r="BH721" s="23"/>
      <c r="BI721" s="23"/>
      <c r="BJ721" s="23"/>
      <c r="BK721" s="23"/>
      <c r="BL721" s="23"/>
      <c r="BM721" s="23"/>
      <c r="BN721" s="23"/>
      <c r="BO721" s="23"/>
      <c r="BP721" s="23"/>
      <c r="BQ721" s="23"/>
      <c r="BR721" s="23"/>
      <c r="BS721" s="23"/>
      <c r="BT721" s="23">
        <v>36000000</v>
      </c>
      <c r="BU721" s="23"/>
      <c r="BV721" s="23"/>
      <c r="BW721" s="23"/>
      <c r="BX721" s="23"/>
      <c r="BY721" s="23"/>
      <c r="BZ721" s="23"/>
      <c r="CA721" s="23"/>
      <c r="CB721" s="23"/>
      <c r="CC721" s="23"/>
      <c r="CD721" s="23"/>
      <c r="CE721" s="23">
        <v>36000000</v>
      </c>
      <c r="CF721" s="28"/>
      <c r="CG721" s="28"/>
      <c r="CH721" s="25">
        <f t="shared" ref="CH721:CI721" si="1438">BH721+BJ721+BL721+BN721+BP721+BR721+BT721+BV721+BX721+BZ721+CB721+CD721+CF721</f>
        <v>36000000</v>
      </c>
      <c r="CI721" s="25">
        <f t="shared" si="1438"/>
        <v>36000000</v>
      </c>
      <c r="CJ721" s="26">
        <f t="shared" si="1331"/>
        <v>0</v>
      </c>
      <c r="CK721" s="26">
        <f t="shared" si="1332"/>
        <v>0</v>
      </c>
    </row>
    <row r="722" spans="1:89" ht="90" customHeight="1" x14ac:dyDescent="0.3">
      <c r="A722" s="13" t="s">
        <v>248</v>
      </c>
      <c r="B722" s="14" t="s">
        <v>53</v>
      </c>
      <c r="C722" s="15" t="s">
        <v>1676</v>
      </c>
      <c r="D722" s="14" t="s">
        <v>66</v>
      </c>
      <c r="E722" s="13" t="s">
        <v>250</v>
      </c>
      <c r="F722" s="13" t="s">
        <v>250</v>
      </c>
      <c r="G722" s="14">
        <v>68</v>
      </c>
      <c r="H722" s="13" t="s">
        <v>1837</v>
      </c>
      <c r="I722" s="15" t="s">
        <v>1805</v>
      </c>
      <c r="J722" s="14" t="s">
        <v>15</v>
      </c>
      <c r="K722" s="15" t="s">
        <v>70</v>
      </c>
      <c r="L722" s="14">
        <v>80101507</v>
      </c>
      <c r="M722" s="14" t="s">
        <v>56</v>
      </c>
      <c r="N722" s="14" t="s">
        <v>612</v>
      </c>
      <c r="O722" s="15" t="s">
        <v>1838</v>
      </c>
      <c r="P722" s="14" t="s">
        <v>281</v>
      </c>
      <c r="Q722" s="14" t="s">
        <v>477</v>
      </c>
      <c r="R722" s="14" t="s">
        <v>614</v>
      </c>
      <c r="S722" s="17">
        <v>5</v>
      </c>
      <c r="T722" s="14" t="s">
        <v>256</v>
      </c>
      <c r="U722" s="14" t="s">
        <v>1830</v>
      </c>
      <c r="V722" s="14" t="s">
        <v>112</v>
      </c>
      <c r="W722" s="18">
        <v>42925198</v>
      </c>
      <c r="X722" s="18">
        <v>42925198</v>
      </c>
      <c r="Y722" s="19" t="s">
        <v>339</v>
      </c>
      <c r="Z722" s="19" t="s">
        <v>258</v>
      </c>
      <c r="AA722" s="14" t="s">
        <v>1680</v>
      </c>
      <c r="AB722" s="14" t="s">
        <v>1681</v>
      </c>
      <c r="AC722" s="14">
        <v>6012220601</v>
      </c>
      <c r="AD722" s="14" t="s">
        <v>1682</v>
      </c>
      <c r="AE722" s="82">
        <v>0</v>
      </c>
      <c r="AF722" s="82">
        <v>0</v>
      </c>
      <c r="AG722" s="82">
        <v>0</v>
      </c>
      <c r="AH722" s="82">
        <v>0</v>
      </c>
      <c r="AI722" s="82">
        <v>0</v>
      </c>
      <c r="AJ722" s="82">
        <v>0</v>
      </c>
      <c r="AK722" s="82">
        <v>0</v>
      </c>
      <c r="AL722" s="82">
        <v>0</v>
      </c>
      <c r="AM722" s="82">
        <v>0</v>
      </c>
      <c r="AN722" s="82">
        <v>0</v>
      </c>
      <c r="AO722" s="82">
        <v>0</v>
      </c>
      <c r="AP722" s="82">
        <v>0</v>
      </c>
      <c r="AQ722" s="82">
        <v>42925198</v>
      </c>
      <c r="AR722" s="82">
        <v>0</v>
      </c>
      <c r="AS722" s="82">
        <v>0</v>
      </c>
      <c r="AT722" s="82">
        <v>0</v>
      </c>
      <c r="AU722" s="82">
        <v>0</v>
      </c>
      <c r="AV722" s="82">
        <v>0</v>
      </c>
      <c r="AW722" s="82">
        <v>0</v>
      </c>
      <c r="AX722" s="82">
        <v>0</v>
      </c>
      <c r="AY722" s="82">
        <v>0</v>
      </c>
      <c r="AZ722" s="82">
        <v>0</v>
      </c>
      <c r="BA722" s="82">
        <v>0</v>
      </c>
      <c r="BB722" s="82">
        <v>42925198</v>
      </c>
      <c r="BC722" s="82">
        <f t="shared" ref="BC722:BD722" si="1439">AE722+AG722+AI722+AK722+AM722+AO722+AQ722+AS722+AU722+AW722+AY722+BA722</f>
        <v>42925198</v>
      </c>
      <c r="BD722" s="82">
        <f t="shared" si="1439"/>
        <v>42925198</v>
      </c>
      <c r="BE722" s="83">
        <f t="shared" si="1328"/>
        <v>0</v>
      </c>
      <c r="BF722" s="83">
        <f t="shared" si="1329"/>
        <v>0</v>
      </c>
      <c r="BG722" s="14" t="str">
        <f ca="1">IFERROR(__xludf.DUMMYFUNCTION("REGEXEXTRACT(O716,""^\S+\s(.+)$"")"),"Desarrollo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22" s="23"/>
      <c r="BI722" s="23"/>
      <c r="BJ722" s="23"/>
      <c r="BK722" s="23"/>
      <c r="BL722" s="23"/>
      <c r="BM722" s="23"/>
      <c r="BN722" s="23"/>
      <c r="BO722" s="23"/>
      <c r="BP722" s="23"/>
      <c r="BQ722" s="23"/>
      <c r="BR722" s="23"/>
      <c r="BS722" s="23"/>
      <c r="BT722" s="23">
        <v>42925198</v>
      </c>
      <c r="BU722" s="23"/>
      <c r="BV722" s="23"/>
      <c r="BW722" s="23"/>
      <c r="BX722" s="23"/>
      <c r="BY722" s="23"/>
      <c r="BZ722" s="23"/>
      <c r="CA722" s="23"/>
      <c r="CB722" s="23"/>
      <c r="CC722" s="23"/>
      <c r="CD722" s="23"/>
      <c r="CE722" s="23">
        <v>42925198</v>
      </c>
      <c r="CF722" s="28"/>
      <c r="CG722" s="28"/>
      <c r="CH722" s="25">
        <f t="shared" ref="CH722:CI722" si="1440">BH722+BJ722+BL722+BN722+BP722+BR722+BT722+BV722+BX722+BZ722+CB722+CD722+CF722</f>
        <v>42925198</v>
      </c>
      <c r="CI722" s="25">
        <f t="shared" si="1440"/>
        <v>42925198</v>
      </c>
      <c r="CJ722" s="26">
        <f t="shared" si="1331"/>
        <v>0</v>
      </c>
      <c r="CK722" s="26">
        <f t="shared" si="1332"/>
        <v>0</v>
      </c>
    </row>
    <row r="723" spans="1:89" ht="90" customHeight="1" x14ac:dyDescent="0.3">
      <c r="A723" s="13" t="s">
        <v>248</v>
      </c>
      <c r="B723" s="14" t="s">
        <v>53</v>
      </c>
      <c r="C723" s="15" t="s">
        <v>1676</v>
      </c>
      <c r="D723" s="14" t="s">
        <v>66</v>
      </c>
      <c r="E723" s="13" t="s">
        <v>250</v>
      </c>
      <c r="F723" s="13" t="s">
        <v>250</v>
      </c>
      <c r="G723" s="14">
        <v>1</v>
      </c>
      <c r="H723" s="13" t="s">
        <v>1839</v>
      </c>
      <c r="I723" s="15" t="s">
        <v>1805</v>
      </c>
      <c r="J723" s="14" t="s">
        <v>15</v>
      </c>
      <c r="K723" s="15" t="s">
        <v>70</v>
      </c>
      <c r="L723" s="14">
        <v>80111620</v>
      </c>
      <c r="M723" s="14" t="s">
        <v>56</v>
      </c>
      <c r="N723" s="14" t="s">
        <v>253</v>
      </c>
      <c r="O723" s="15" t="s">
        <v>1840</v>
      </c>
      <c r="P723" s="14" t="s">
        <v>255</v>
      </c>
      <c r="Q723" s="14" t="s">
        <v>255</v>
      </c>
      <c r="R723" s="14" t="s">
        <v>255</v>
      </c>
      <c r="S723" s="17">
        <v>11</v>
      </c>
      <c r="T723" s="14" t="s">
        <v>256</v>
      </c>
      <c r="U723" s="14" t="s">
        <v>257</v>
      </c>
      <c r="V723" s="14" t="s">
        <v>112</v>
      </c>
      <c r="W723" s="18">
        <v>61474802</v>
      </c>
      <c r="X723" s="18">
        <v>61474802</v>
      </c>
      <c r="Y723" s="19" t="s">
        <v>339</v>
      </c>
      <c r="Z723" s="19" t="s">
        <v>258</v>
      </c>
      <c r="AA723" s="14" t="s">
        <v>1680</v>
      </c>
      <c r="AB723" s="14" t="s">
        <v>1681</v>
      </c>
      <c r="AC723" s="14">
        <v>2220601</v>
      </c>
      <c r="AD723" s="14" t="s">
        <v>1682</v>
      </c>
      <c r="AE723" s="82">
        <v>61474802</v>
      </c>
      <c r="AF723" s="82">
        <v>0</v>
      </c>
      <c r="AG723" s="82">
        <v>0</v>
      </c>
      <c r="AH723" s="82">
        <v>0</v>
      </c>
      <c r="AI723" s="82">
        <v>0</v>
      </c>
      <c r="AJ723" s="82">
        <v>0</v>
      </c>
      <c r="AK723" s="82">
        <v>0</v>
      </c>
      <c r="AL723" s="82">
        <v>0</v>
      </c>
      <c r="AM723" s="82">
        <v>0</v>
      </c>
      <c r="AN723" s="82">
        <v>3014802</v>
      </c>
      <c r="AO723" s="82">
        <v>0</v>
      </c>
      <c r="AP723" s="82">
        <v>7400000</v>
      </c>
      <c r="AQ723" s="82">
        <v>0</v>
      </c>
      <c r="AR723" s="82">
        <v>7400000</v>
      </c>
      <c r="AS723" s="82">
        <v>0</v>
      </c>
      <c r="AT723" s="82">
        <v>7400000</v>
      </c>
      <c r="AU723" s="82">
        <v>0</v>
      </c>
      <c r="AV723" s="82">
        <v>7400000</v>
      </c>
      <c r="AW723" s="82">
        <v>0</v>
      </c>
      <c r="AX723" s="82">
        <v>7400000</v>
      </c>
      <c r="AY723" s="82">
        <v>0</v>
      </c>
      <c r="AZ723" s="82">
        <v>7400000</v>
      </c>
      <c r="BA723" s="82">
        <v>0</v>
      </c>
      <c r="BB723" s="82">
        <v>14060000</v>
      </c>
      <c r="BC723" s="82">
        <f t="shared" ref="BC723:BD723" si="1441">AE723+AG723+AI723+AK723+AM723+AO723+AQ723+AS723+AU723+AW723+AY723+BA723</f>
        <v>61474802</v>
      </c>
      <c r="BD723" s="82">
        <f t="shared" si="1441"/>
        <v>61474802</v>
      </c>
      <c r="BE723" s="83">
        <f t="shared" si="1328"/>
        <v>0</v>
      </c>
      <c r="BF723" s="83">
        <f t="shared" si="1329"/>
        <v>0</v>
      </c>
      <c r="BG723" s="14" t="str">
        <f ca="1">IFERROR(__xludf.DUMMYFUNCTION("REGEXEXTRACT(O717,""^\S+\s(.+)$"")"),"Prestar servicios profesionales de apoyo a la Subdirección de Minería en los aspectos técnicos asociados al cumplimiento de su misionalidad, así como en el acompañamiento en las actividades de planeación e investigación del sector minero.")</f>
        <v>Prestar servicios profesionales de apoyo a la Subdirección de Minería en los aspectos técnicos asociados al cumplimiento de su misionalidad, así como en el acompañamiento en las actividades de planeación e investigación del sector minero.</v>
      </c>
      <c r="BH723" s="23">
        <v>61474802</v>
      </c>
      <c r="BI723" s="23"/>
      <c r="BJ723" s="23"/>
      <c r="BK723" s="23"/>
      <c r="BL723" s="23"/>
      <c r="BM723" s="23"/>
      <c r="BN723" s="23"/>
      <c r="BO723" s="23"/>
      <c r="BP723" s="23"/>
      <c r="BQ723" s="23">
        <v>3014802</v>
      </c>
      <c r="BR723" s="23"/>
      <c r="BS723" s="23">
        <v>7400000</v>
      </c>
      <c r="BT723" s="23"/>
      <c r="BU723" s="23">
        <v>7400000</v>
      </c>
      <c r="BV723" s="23"/>
      <c r="BW723" s="23">
        <v>7400000</v>
      </c>
      <c r="BX723" s="23"/>
      <c r="BY723" s="23">
        <v>7400000</v>
      </c>
      <c r="BZ723" s="23"/>
      <c r="CA723" s="23">
        <v>7400000</v>
      </c>
      <c r="CB723" s="23"/>
      <c r="CC723" s="23">
        <v>7400000</v>
      </c>
      <c r="CD723" s="23"/>
      <c r="CE723" s="23">
        <v>14060000</v>
      </c>
      <c r="CF723" s="28"/>
      <c r="CG723" s="28"/>
      <c r="CH723" s="25">
        <f t="shared" ref="CH723:CI723" si="1442">BH723+BJ723+BL723+BN723+BP723+BR723+BT723+BV723+BX723+BZ723+CB723+CD723+CF723</f>
        <v>61474802</v>
      </c>
      <c r="CI723" s="25">
        <f t="shared" si="1442"/>
        <v>61474802</v>
      </c>
      <c r="CJ723" s="26">
        <f t="shared" si="1331"/>
        <v>0</v>
      </c>
      <c r="CK723" s="26">
        <f t="shared" si="1332"/>
        <v>0</v>
      </c>
    </row>
    <row r="724" spans="1:89" ht="90" customHeight="1" x14ac:dyDescent="0.3">
      <c r="A724" s="13" t="s">
        <v>248</v>
      </c>
      <c r="B724" s="14" t="s">
        <v>53</v>
      </c>
      <c r="C724" s="15" t="s">
        <v>1676</v>
      </c>
      <c r="D724" s="14" t="s">
        <v>66</v>
      </c>
      <c r="E724" s="13" t="s">
        <v>250</v>
      </c>
      <c r="F724" s="13" t="s">
        <v>250</v>
      </c>
      <c r="G724" s="14">
        <v>68</v>
      </c>
      <c r="H724" s="13" t="s">
        <v>1841</v>
      </c>
      <c r="I724" s="15" t="s">
        <v>1805</v>
      </c>
      <c r="J724" s="14" t="s">
        <v>15</v>
      </c>
      <c r="K724" s="15" t="s">
        <v>70</v>
      </c>
      <c r="L724" s="14">
        <v>80111620</v>
      </c>
      <c r="M724" s="14" t="s">
        <v>56</v>
      </c>
      <c r="N724" s="14" t="s">
        <v>253</v>
      </c>
      <c r="O724" s="15" t="s">
        <v>1842</v>
      </c>
      <c r="P724" s="14" t="s">
        <v>255</v>
      </c>
      <c r="Q724" s="14" t="s">
        <v>255</v>
      </c>
      <c r="R724" s="14" t="s">
        <v>255</v>
      </c>
      <c r="S724" s="17">
        <v>11</v>
      </c>
      <c r="T724" s="14" t="s">
        <v>256</v>
      </c>
      <c r="U724" s="14" t="s">
        <v>257</v>
      </c>
      <c r="V724" s="14" t="s">
        <v>112</v>
      </c>
      <c r="W724" s="18">
        <v>16600000</v>
      </c>
      <c r="X724" s="18">
        <v>16600000</v>
      </c>
      <c r="Y724" s="19" t="s">
        <v>339</v>
      </c>
      <c r="Z724" s="19" t="s">
        <v>258</v>
      </c>
      <c r="AA724" s="14" t="s">
        <v>1680</v>
      </c>
      <c r="AB724" s="14" t="s">
        <v>1681</v>
      </c>
      <c r="AC724" s="14">
        <v>6012220601</v>
      </c>
      <c r="AD724" s="14" t="s">
        <v>1682</v>
      </c>
      <c r="AE724" s="82">
        <v>16600000</v>
      </c>
      <c r="AF724" s="82">
        <v>0</v>
      </c>
      <c r="AG724" s="82">
        <v>0</v>
      </c>
      <c r="AH724" s="82">
        <v>0</v>
      </c>
      <c r="AI724" s="82">
        <v>0</v>
      </c>
      <c r="AJ724" s="82">
        <v>0</v>
      </c>
      <c r="AK724" s="82">
        <v>0</v>
      </c>
      <c r="AL724" s="82">
        <v>0</v>
      </c>
      <c r="AM724" s="82">
        <v>0</v>
      </c>
      <c r="AN724" s="82">
        <v>0</v>
      </c>
      <c r="AO724" s="82">
        <v>0</v>
      </c>
      <c r="AP724" s="82">
        <v>0</v>
      </c>
      <c r="AQ724" s="82">
        <v>0</v>
      </c>
      <c r="AR724" s="82">
        <v>0</v>
      </c>
      <c r="AS724" s="82">
        <v>0</v>
      </c>
      <c r="AT724" s="82">
        <v>0</v>
      </c>
      <c r="AU724" s="82">
        <v>0</v>
      </c>
      <c r="AV724" s="82">
        <v>0</v>
      </c>
      <c r="AW724" s="82">
        <v>0</v>
      </c>
      <c r="AX724" s="82">
        <v>1100000</v>
      </c>
      <c r="AY724" s="82">
        <v>0</v>
      </c>
      <c r="AZ724" s="82">
        <v>5000000</v>
      </c>
      <c r="BA724" s="82">
        <v>0</v>
      </c>
      <c r="BB724" s="82">
        <v>10500000</v>
      </c>
      <c r="BC724" s="82">
        <f t="shared" ref="BC724:BD724" si="1443">AE724+AG724+AI724+AK724+AM724+AO724+AQ724+AS724+AU724+AW724+AY724+BA724</f>
        <v>16600000</v>
      </c>
      <c r="BD724" s="82">
        <f t="shared" si="1443"/>
        <v>16600000</v>
      </c>
      <c r="BE724" s="83">
        <f t="shared" si="1328"/>
        <v>0</v>
      </c>
      <c r="BF724" s="83">
        <f t="shared" si="1329"/>
        <v>0</v>
      </c>
      <c r="BG724" s="14" t="str">
        <f ca="1">IFERROR(__xludf.DUMMYFUNCTION("REGEXEXTRACT(O718,""^\S+\s(.+)$"")"),"Prestar servicios profesionales para apoyar a la Subdirección de Minería en asuntos administrativos y financieros, así como en la elaboración y apoyo a documentos técnicos y de investigación de la Subdirección.")</f>
        <v>Prestar servicios profesionales para apoyar a la Subdirección de Minería en asuntos administrativos y financieros, así como en la elaboración y apoyo a documentos técnicos y de investigación de la Subdirección.</v>
      </c>
      <c r="BH724" s="23">
        <v>16600000</v>
      </c>
      <c r="BI724" s="23"/>
      <c r="BJ724" s="23"/>
      <c r="BK724" s="23"/>
      <c r="BL724" s="23"/>
      <c r="BM724" s="23"/>
      <c r="BN724" s="23"/>
      <c r="BO724" s="23"/>
      <c r="BP724" s="23"/>
      <c r="BQ724" s="23"/>
      <c r="BR724" s="23"/>
      <c r="BS724" s="23"/>
      <c r="BT724" s="23"/>
      <c r="BU724" s="23"/>
      <c r="BV724" s="23"/>
      <c r="BW724" s="23"/>
      <c r="BX724" s="23"/>
      <c r="BY724" s="23"/>
      <c r="BZ724" s="23"/>
      <c r="CA724" s="23">
        <v>1100000</v>
      </c>
      <c r="CB724" s="23"/>
      <c r="CC724" s="23">
        <v>5000000</v>
      </c>
      <c r="CD724" s="23"/>
      <c r="CE724" s="23">
        <v>10500000</v>
      </c>
      <c r="CF724" s="28"/>
      <c r="CG724" s="28"/>
      <c r="CH724" s="25">
        <f t="shared" ref="CH724:CI724" si="1444">BH724+BJ724+BL724+BN724+BP724+BR724+BT724+BV724+BX724+BZ724+CB724+CD724+CF724</f>
        <v>16600000</v>
      </c>
      <c r="CI724" s="25">
        <f t="shared" si="1444"/>
        <v>16600000</v>
      </c>
      <c r="CJ724" s="26">
        <f t="shared" si="1331"/>
        <v>0</v>
      </c>
      <c r="CK724" s="26">
        <f t="shared" si="1332"/>
        <v>0</v>
      </c>
    </row>
    <row r="725" spans="1:89" ht="90" customHeight="1" x14ac:dyDescent="0.3">
      <c r="A725" s="13" t="s">
        <v>248</v>
      </c>
      <c r="B725" s="14" t="s">
        <v>53</v>
      </c>
      <c r="C725" s="15" t="s">
        <v>1676</v>
      </c>
      <c r="D725" s="14" t="s">
        <v>66</v>
      </c>
      <c r="E725" s="13" t="s">
        <v>250</v>
      </c>
      <c r="F725" s="13" t="s">
        <v>250</v>
      </c>
      <c r="G725" s="14">
        <v>68</v>
      </c>
      <c r="H725" s="13" t="s">
        <v>1843</v>
      </c>
      <c r="I725" s="15" t="s">
        <v>1805</v>
      </c>
      <c r="J725" s="14" t="s">
        <v>15</v>
      </c>
      <c r="K725" s="15" t="s">
        <v>70</v>
      </c>
      <c r="L725" s="14">
        <v>80111620</v>
      </c>
      <c r="M725" s="14" t="s">
        <v>56</v>
      </c>
      <c r="N725" s="14" t="s">
        <v>253</v>
      </c>
      <c r="O725" s="15" t="s">
        <v>1844</v>
      </c>
      <c r="P725" s="14" t="s">
        <v>255</v>
      </c>
      <c r="Q725" s="14" t="s">
        <v>255</v>
      </c>
      <c r="R725" s="14" t="s">
        <v>255</v>
      </c>
      <c r="S725" s="17">
        <v>11.5</v>
      </c>
      <c r="T725" s="14" t="s">
        <v>256</v>
      </c>
      <c r="U725" s="14" t="s">
        <v>257</v>
      </c>
      <c r="V725" s="14" t="s">
        <v>112</v>
      </c>
      <c r="W725" s="18">
        <v>51275000</v>
      </c>
      <c r="X725" s="18">
        <v>51275000</v>
      </c>
      <c r="Y725" s="19" t="s">
        <v>339</v>
      </c>
      <c r="Z725" s="19" t="s">
        <v>258</v>
      </c>
      <c r="AA725" s="14" t="s">
        <v>1680</v>
      </c>
      <c r="AB725" s="14" t="s">
        <v>1681</v>
      </c>
      <c r="AC725" s="14">
        <v>6012220601</v>
      </c>
      <c r="AD725" s="14" t="s">
        <v>1682</v>
      </c>
      <c r="AE725" s="82">
        <v>51275000</v>
      </c>
      <c r="AF725" s="82">
        <v>0</v>
      </c>
      <c r="AG725" s="82">
        <v>0</v>
      </c>
      <c r="AH725" s="82">
        <v>0</v>
      </c>
      <c r="AI725" s="82">
        <v>0</v>
      </c>
      <c r="AJ725" s="82">
        <v>0</v>
      </c>
      <c r="AK725" s="82">
        <v>0</v>
      </c>
      <c r="AL725" s="82">
        <v>0</v>
      </c>
      <c r="AM725" s="82">
        <v>0</v>
      </c>
      <c r="AN725" s="82">
        <v>0</v>
      </c>
      <c r="AO725" s="82">
        <v>0</v>
      </c>
      <c r="AP725" s="82">
        <v>0</v>
      </c>
      <c r="AQ725" s="82">
        <v>0</v>
      </c>
      <c r="AR725" s="82">
        <v>0</v>
      </c>
      <c r="AS725" s="82">
        <v>0</v>
      </c>
      <c r="AT725" s="82">
        <v>0</v>
      </c>
      <c r="AU725" s="82">
        <v>0</v>
      </c>
      <c r="AV725" s="82">
        <v>455000</v>
      </c>
      <c r="AW725" s="82">
        <v>0</v>
      </c>
      <c r="AX725" s="82">
        <v>12100000</v>
      </c>
      <c r="AY725" s="82">
        <v>0</v>
      </c>
      <c r="AZ725" s="82">
        <v>12100000</v>
      </c>
      <c r="BA725" s="82">
        <v>0</v>
      </c>
      <c r="BB725" s="82">
        <v>26620000</v>
      </c>
      <c r="BC725" s="82">
        <f t="shared" ref="BC725:BD725" si="1445">AE725+AG725+AI725+AK725+AM725+AO725+AQ725+AS725+AU725+AW725+AY725+BA725</f>
        <v>51275000</v>
      </c>
      <c r="BD725" s="82">
        <f t="shared" si="1445"/>
        <v>51275000</v>
      </c>
      <c r="BE725" s="83">
        <f t="shared" si="1328"/>
        <v>0</v>
      </c>
      <c r="BF725" s="83">
        <f t="shared" si="1329"/>
        <v>0</v>
      </c>
      <c r="BG725" s="14" t="str">
        <f ca="1">IFERROR(__xludf.DUMMYFUNCTION("REGEXEXTRACT(O719,""^\S+\s(.+)$"")"),"Prestar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725" s="23">
        <v>51275000</v>
      </c>
      <c r="BI725" s="23"/>
      <c r="BJ725" s="23"/>
      <c r="BK725" s="23"/>
      <c r="BL725" s="23"/>
      <c r="BM725" s="23"/>
      <c r="BN725" s="23"/>
      <c r="BO725" s="23"/>
      <c r="BP725" s="23"/>
      <c r="BQ725" s="23"/>
      <c r="BR725" s="23"/>
      <c r="BS725" s="23"/>
      <c r="BT725" s="23"/>
      <c r="BU725" s="23"/>
      <c r="BV725" s="23"/>
      <c r="BW725" s="23"/>
      <c r="BX725" s="23"/>
      <c r="BY725" s="23">
        <v>455000</v>
      </c>
      <c r="BZ725" s="23"/>
      <c r="CA725" s="23">
        <v>12100000</v>
      </c>
      <c r="CB725" s="23"/>
      <c r="CC725" s="23">
        <v>12100000</v>
      </c>
      <c r="CD725" s="23"/>
      <c r="CE725" s="23">
        <v>26620000</v>
      </c>
      <c r="CF725" s="28"/>
      <c r="CG725" s="28"/>
      <c r="CH725" s="25">
        <f t="shared" ref="CH725:CI725" si="1446">BH725+BJ725+BL725+BN725+BP725+BR725+BT725+BV725+BX725+BZ725+CB725+CD725+CF725</f>
        <v>51275000</v>
      </c>
      <c r="CI725" s="25">
        <f t="shared" si="1446"/>
        <v>51275000</v>
      </c>
      <c r="CJ725" s="26">
        <f t="shared" si="1331"/>
        <v>0</v>
      </c>
      <c r="CK725" s="26">
        <f t="shared" si="1332"/>
        <v>0</v>
      </c>
    </row>
    <row r="726" spans="1:89" ht="90" customHeight="1" x14ac:dyDescent="0.3">
      <c r="A726" s="13" t="s">
        <v>248</v>
      </c>
      <c r="B726" s="14" t="s">
        <v>53</v>
      </c>
      <c r="C726" s="15" t="s">
        <v>1676</v>
      </c>
      <c r="D726" s="14" t="s">
        <v>66</v>
      </c>
      <c r="E726" s="13" t="s">
        <v>250</v>
      </c>
      <c r="F726" s="13" t="s">
        <v>250</v>
      </c>
      <c r="G726" s="14">
        <v>68</v>
      </c>
      <c r="H726" s="13" t="s">
        <v>1845</v>
      </c>
      <c r="I726" s="15" t="s">
        <v>1805</v>
      </c>
      <c r="J726" s="14" t="s">
        <v>15</v>
      </c>
      <c r="K726" s="15" t="s">
        <v>70</v>
      </c>
      <c r="L726" s="14">
        <v>80111620</v>
      </c>
      <c r="M726" s="14" t="s">
        <v>56</v>
      </c>
      <c r="N726" s="14" t="s">
        <v>253</v>
      </c>
      <c r="O726" s="15" t="s">
        <v>1846</v>
      </c>
      <c r="P726" s="14" t="s">
        <v>255</v>
      </c>
      <c r="Q726" s="14" t="s">
        <v>255</v>
      </c>
      <c r="R726" s="14" t="s">
        <v>255</v>
      </c>
      <c r="S726" s="17">
        <v>10</v>
      </c>
      <c r="T726" s="14" t="s">
        <v>256</v>
      </c>
      <c r="U726" s="14" t="s">
        <v>257</v>
      </c>
      <c r="V726" s="14" t="s">
        <v>112</v>
      </c>
      <c r="W726" s="18">
        <v>70000000</v>
      </c>
      <c r="X726" s="18">
        <v>70000000</v>
      </c>
      <c r="Y726" s="19" t="s">
        <v>339</v>
      </c>
      <c r="Z726" s="19" t="s">
        <v>258</v>
      </c>
      <c r="AA726" s="14" t="s">
        <v>1680</v>
      </c>
      <c r="AB726" s="14" t="s">
        <v>1681</v>
      </c>
      <c r="AC726" s="14">
        <v>6012220601</v>
      </c>
      <c r="AD726" s="14" t="s">
        <v>1682</v>
      </c>
      <c r="AE726" s="82">
        <v>0</v>
      </c>
      <c r="AF726" s="82">
        <v>0</v>
      </c>
      <c r="AG726" s="82">
        <v>70000000</v>
      </c>
      <c r="AH726" s="82">
        <v>0</v>
      </c>
      <c r="AI726" s="82">
        <v>0</v>
      </c>
      <c r="AJ726" s="82">
        <v>5133333</v>
      </c>
      <c r="AK726" s="82">
        <v>0</v>
      </c>
      <c r="AL726" s="82">
        <v>7000000</v>
      </c>
      <c r="AM726" s="82">
        <v>0</v>
      </c>
      <c r="AN726" s="82">
        <v>7000000</v>
      </c>
      <c r="AO726" s="82">
        <v>0</v>
      </c>
      <c r="AP726" s="82">
        <v>7000000</v>
      </c>
      <c r="AQ726" s="82">
        <v>0</v>
      </c>
      <c r="AR726" s="82">
        <v>7000000</v>
      </c>
      <c r="AS726" s="82">
        <v>0</v>
      </c>
      <c r="AT726" s="82">
        <v>7000000</v>
      </c>
      <c r="AU726" s="82">
        <v>0</v>
      </c>
      <c r="AV726" s="82">
        <v>7000000</v>
      </c>
      <c r="AW726" s="82">
        <v>0</v>
      </c>
      <c r="AX726" s="82">
        <v>7000000</v>
      </c>
      <c r="AY726" s="82">
        <v>0</v>
      </c>
      <c r="AZ726" s="82">
        <v>7000000</v>
      </c>
      <c r="BA726" s="82">
        <v>0</v>
      </c>
      <c r="BB726" s="82">
        <v>8866667</v>
      </c>
      <c r="BC726" s="82">
        <f t="shared" ref="BC726:BD726" si="1447">AE726+AG726+AI726+AK726+AM726+AO726+AQ726+AS726+AU726+AW726+AY726+BA726</f>
        <v>70000000</v>
      </c>
      <c r="BD726" s="82">
        <f t="shared" si="1447"/>
        <v>70000000</v>
      </c>
      <c r="BE726" s="83">
        <f t="shared" si="1328"/>
        <v>0</v>
      </c>
      <c r="BF726" s="83">
        <f t="shared" si="1329"/>
        <v>0</v>
      </c>
      <c r="BG726" s="14" t="str">
        <f ca="1">IFERROR(__xludf.DUMMYFUNCTION("REGEXEXTRACT(O720,""^\S+\s(.+)$"")"),"Prestar Servicios profesionales en el apoyo a la subdirección de minería en temas normativos, jurídicos para los instrumentos de planeación y documentos técnicos de la subdirección.")</f>
        <v>Prestar Servicios profesionales en el apoyo a la subdirección de minería en temas normativos, jurídicos para los instrumentos de planeación y documentos técnicos de la subdirección.</v>
      </c>
      <c r="BH726" s="23"/>
      <c r="BI726" s="23"/>
      <c r="BJ726" s="23">
        <v>70000000</v>
      </c>
      <c r="BK726" s="23"/>
      <c r="BL726" s="23"/>
      <c r="BM726" s="23">
        <v>5133333</v>
      </c>
      <c r="BN726" s="23"/>
      <c r="BO726" s="23">
        <v>7000000</v>
      </c>
      <c r="BP726" s="23"/>
      <c r="BQ726" s="23">
        <v>7000000</v>
      </c>
      <c r="BR726" s="23"/>
      <c r="BS726" s="23">
        <v>7000000</v>
      </c>
      <c r="BT726" s="23"/>
      <c r="BU726" s="23">
        <v>7000000</v>
      </c>
      <c r="BV726" s="23"/>
      <c r="BW726" s="23">
        <v>7000000</v>
      </c>
      <c r="BX726" s="23"/>
      <c r="BY726" s="23">
        <v>7000000</v>
      </c>
      <c r="BZ726" s="23"/>
      <c r="CA726" s="23">
        <v>7000000</v>
      </c>
      <c r="CB726" s="23"/>
      <c r="CC726" s="23">
        <v>7000000</v>
      </c>
      <c r="CD726" s="23"/>
      <c r="CE726" s="23">
        <v>8866667</v>
      </c>
      <c r="CF726" s="28"/>
      <c r="CG726" s="28"/>
      <c r="CH726" s="25">
        <f t="shared" ref="CH726:CI726" si="1448">BH726+BJ726+BL726+BN726+BP726+BR726+BT726+BV726+BX726+BZ726+CB726+CD726+CF726</f>
        <v>70000000</v>
      </c>
      <c r="CI726" s="25">
        <f t="shared" si="1448"/>
        <v>70000000</v>
      </c>
      <c r="CJ726" s="26">
        <f t="shared" si="1331"/>
        <v>0</v>
      </c>
      <c r="CK726" s="26">
        <f t="shared" si="1332"/>
        <v>0</v>
      </c>
    </row>
    <row r="727" spans="1:89" ht="90" customHeight="1" x14ac:dyDescent="0.3">
      <c r="A727" s="13" t="s">
        <v>248</v>
      </c>
      <c r="B727" s="14" t="s">
        <v>53</v>
      </c>
      <c r="C727" s="15" t="s">
        <v>1676</v>
      </c>
      <c r="D727" s="14" t="s">
        <v>66</v>
      </c>
      <c r="E727" s="13" t="s">
        <v>250</v>
      </c>
      <c r="F727" s="13" t="s">
        <v>250</v>
      </c>
      <c r="G727" s="14">
        <v>17</v>
      </c>
      <c r="H727" s="13" t="s">
        <v>1847</v>
      </c>
      <c r="I727" s="15" t="s">
        <v>1805</v>
      </c>
      <c r="J727" s="14" t="s">
        <v>15</v>
      </c>
      <c r="K727" s="15" t="s">
        <v>70</v>
      </c>
      <c r="L727" s="14">
        <v>80111620</v>
      </c>
      <c r="M727" s="14" t="s">
        <v>56</v>
      </c>
      <c r="N727" s="14" t="s">
        <v>253</v>
      </c>
      <c r="O727" s="15" t="s">
        <v>1848</v>
      </c>
      <c r="P727" s="14" t="s">
        <v>255</v>
      </c>
      <c r="Q727" s="14" t="s">
        <v>255</v>
      </c>
      <c r="R727" s="14" t="s">
        <v>255</v>
      </c>
      <c r="S727" s="17">
        <v>10</v>
      </c>
      <c r="T727" s="14" t="s">
        <v>256</v>
      </c>
      <c r="U727" s="14" t="s">
        <v>257</v>
      </c>
      <c r="V727" s="14" t="s">
        <v>112</v>
      </c>
      <c r="W727" s="18">
        <v>0</v>
      </c>
      <c r="X727" s="18">
        <v>0</v>
      </c>
      <c r="Y727" s="19" t="s">
        <v>339</v>
      </c>
      <c r="Z727" s="19" t="s">
        <v>258</v>
      </c>
      <c r="AA727" s="14" t="s">
        <v>1680</v>
      </c>
      <c r="AB727" s="14" t="s">
        <v>1681</v>
      </c>
      <c r="AC727" s="14">
        <v>6012220601</v>
      </c>
      <c r="AD727" s="14" t="s">
        <v>1682</v>
      </c>
      <c r="AE727" s="82">
        <v>0</v>
      </c>
      <c r="AF727" s="82">
        <v>0</v>
      </c>
      <c r="AG727" s="82">
        <v>0</v>
      </c>
      <c r="AH727" s="82">
        <v>0</v>
      </c>
      <c r="AI727" s="82">
        <v>0</v>
      </c>
      <c r="AJ727" s="82">
        <v>0</v>
      </c>
      <c r="AK727" s="82">
        <v>0</v>
      </c>
      <c r="AL727" s="82">
        <v>0</v>
      </c>
      <c r="AM727" s="82">
        <v>0</v>
      </c>
      <c r="AN727" s="82">
        <v>0</v>
      </c>
      <c r="AO727" s="82">
        <v>0</v>
      </c>
      <c r="AP727" s="82">
        <v>0</v>
      </c>
      <c r="AQ727" s="82">
        <v>0</v>
      </c>
      <c r="AR727" s="82">
        <v>0</v>
      </c>
      <c r="AS727" s="82">
        <v>0</v>
      </c>
      <c r="AT727" s="82">
        <v>0</v>
      </c>
      <c r="AU727" s="82">
        <v>0</v>
      </c>
      <c r="AV727" s="82">
        <v>0</v>
      </c>
      <c r="AW727" s="82">
        <v>0</v>
      </c>
      <c r="AX727" s="82">
        <v>0</v>
      </c>
      <c r="AY727" s="82">
        <v>0</v>
      </c>
      <c r="AZ727" s="82">
        <v>0</v>
      </c>
      <c r="BA727" s="82">
        <v>30000000</v>
      </c>
      <c r="BB727" s="82">
        <v>30000000</v>
      </c>
      <c r="BC727" s="82">
        <f t="shared" ref="BC727:BD727" si="1449">AE727+AG727+AI727+AK727+AM727+AO727+AQ727+AS727+AU727+AW727+AY727+BA727</f>
        <v>30000000</v>
      </c>
      <c r="BD727" s="82">
        <f t="shared" si="1449"/>
        <v>30000000</v>
      </c>
      <c r="BE727" s="83">
        <f t="shared" si="1328"/>
        <v>-30000000</v>
      </c>
      <c r="BF727" s="83">
        <f t="shared" si="1329"/>
        <v>-30000000</v>
      </c>
      <c r="BG727" s="14" t="str">
        <f ca="1">IFERROR(__xludf.DUMMYFUNCTION("REGEXEXTRACT(O721,""^\S+\s(.+)$"")"),"Prestar servicios profesionales orientados a la divulgación, socialización de los procesos y documentos técnicos del sector minero energético, bajo el marco de los objetivos institucionales de la UPME")</f>
        <v>Prestar servicios profesionales orientados a la divulgación, socialización de los procesos y documentos técnicos del sector minero energético, bajo el marco de los objetivos institucionales de la UPME</v>
      </c>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v>0</v>
      </c>
      <c r="CE727" s="23">
        <v>0</v>
      </c>
      <c r="CF727" s="28"/>
      <c r="CG727" s="28"/>
      <c r="CH727" s="25">
        <f t="shared" ref="CH727:CI727" si="1450">BH727+BJ727+BL727+BN727+BP727+BR727+BT727+BV727+BX727+BZ727+CB727+CD727+CF727</f>
        <v>0</v>
      </c>
      <c r="CI727" s="25">
        <f t="shared" si="1450"/>
        <v>0</v>
      </c>
      <c r="CJ727" s="26">
        <f t="shared" si="1331"/>
        <v>0</v>
      </c>
      <c r="CK727" s="26">
        <f t="shared" si="1332"/>
        <v>0</v>
      </c>
    </row>
    <row r="728" spans="1:89" ht="90" customHeight="1" x14ac:dyDescent="0.3">
      <c r="A728" s="13" t="s">
        <v>248</v>
      </c>
      <c r="B728" s="14" t="s">
        <v>53</v>
      </c>
      <c r="C728" s="15" t="s">
        <v>1676</v>
      </c>
      <c r="D728" s="14" t="s">
        <v>66</v>
      </c>
      <c r="E728" s="13" t="s">
        <v>250</v>
      </c>
      <c r="F728" s="13" t="s">
        <v>250</v>
      </c>
      <c r="G728" s="14">
        <v>68</v>
      </c>
      <c r="H728" s="13" t="s">
        <v>1849</v>
      </c>
      <c r="I728" s="15" t="s">
        <v>1805</v>
      </c>
      <c r="J728" s="14" t="s">
        <v>15</v>
      </c>
      <c r="K728" s="15" t="s">
        <v>70</v>
      </c>
      <c r="L728" s="14">
        <v>80111620</v>
      </c>
      <c r="M728" s="14" t="s">
        <v>56</v>
      </c>
      <c r="N728" s="14" t="s">
        <v>253</v>
      </c>
      <c r="O728" s="15" t="s">
        <v>1850</v>
      </c>
      <c r="P728" s="14" t="s">
        <v>255</v>
      </c>
      <c r="Q728" s="14" t="s">
        <v>255</v>
      </c>
      <c r="R728" s="14" t="s">
        <v>255</v>
      </c>
      <c r="S728" s="17">
        <v>11</v>
      </c>
      <c r="T728" s="14" t="s">
        <v>256</v>
      </c>
      <c r="U728" s="14" t="s">
        <v>257</v>
      </c>
      <c r="V728" s="14" t="s">
        <v>112</v>
      </c>
      <c r="W728" s="18">
        <v>47850000</v>
      </c>
      <c r="X728" s="18">
        <v>47850000</v>
      </c>
      <c r="Y728" s="19" t="s">
        <v>339</v>
      </c>
      <c r="Z728" s="19" t="s">
        <v>258</v>
      </c>
      <c r="AA728" s="14" t="s">
        <v>1680</v>
      </c>
      <c r="AB728" s="14" t="s">
        <v>1681</v>
      </c>
      <c r="AC728" s="14">
        <v>6012220601</v>
      </c>
      <c r="AD728" s="14" t="s">
        <v>1682</v>
      </c>
      <c r="AE728" s="82">
        <v>47850000</v>
      </c>
      <c r="AF728" s="82">
        <v>0</v>
      </c>
      <c r="AG728" s="82">
        <v>0</v>
      </c>
      <c r="AH728" s="82">
        <v>0</v>
      </c>
      <c r="AI728" s="82">
        <v>0</v>
      </c>
      <c r="AJ728" s="82">
        <v>0</v>
      </c>
      <c r="AK728" s="82">
        <v>0</v>
      </c>
      <c r="AL728" s="82">
        <v>0</v>
      </c>
      <c r="AM728" s="82">
        <v>0</v>
      </c>
      <c r="AN728" s="82">
        <v>0</v>
      </c>
      <c r="AO728" s="82">
        <v>0</v>
      </c>
      <c r="AP728" s="82">
        <v>0</v>
      </c>
      <c r="AQ728" s="82">
        <v>0</v>
      </c>
      <c r="AR728" s="82">
        <v>0</v>
      </c>
      <c r="AS728" s="82">
        <v>0</v>
      </c>
      <c r="AT728" s="82">
        <v>4350000</v>
      </c>
      <c r="AU728" s="82">
        <v>0</v>
      </c>
      <c r="AV728" s="82">
        <v>8700000</v>
      </c>
      <c r="AW728" s="82">
        <v>0</v>
      </c>
      <c r="AX728" s="82">
        <v>8700000</v>
      </c>
      <c r="AY728" s="82">
        <v>0</v>
      </c>
      <c r="AZ728" s="82">
        <v>8700000</v>
      </c>
      <c r="BA728" s="82">
        <v>0</v>
      </c>
      <c r="BB728" s="82">
        <v>17400000</v>
      </c>
      <c r="BC728" s="82">
        <f t="shared" ref="BC728:BD728" si="1451">AE728+AG728+AI728+AK728+AM728+AO728+AQ728+AS728+AU728+AW728+AY728+BA728</f>
        <v>47850000</v>
      </c>
      <c r="BD728" s="82">
        <f t="shared" si="1451"/>
        <v>47850000</v>
      </c>
      <c r="BE728" s="83">
        <f t="shared" si="1328"/>
        <v>0</v>
      </c>
      <c r="BF728" s="83">
        <f t="shared" si="1329"/>
        <v>0</v>
      </c>
      <c r="BG728" s="14" t="str">
        <f ca="1">IFERROR(__xludf.DUMMYFUNCTION("REGEXEXTRACT(O722,""^\S+\s(.+)$"")"),"Prestar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728" s="23">
        <v>47850000</v>
      </c>
      <c r="BI728" s="23"/>
      <c r="BJ728" s="23"/>
      <c r="BK728" s="23"/>
      <c r="BL728" s="23"/>
      <c r="BM728" s="23"/>
      <c r="BN728" s="23"/>
      <c r="BO728" s="23"/>
      <c r="BP728" s="23"/>
      <c r="BQ728" s="23"/>
      <c r="BR728" s="23"/>
      <c r="BS728" s="23"/>
      <c r="BT728" s="23"/>
      <c r="BU728" s="23"/>
      <c r="BV728" s="23"/>
      <c r="BW728" s="23">
        <v>4350000</v>
      </c>
      <c r="BX728" s="23"/>
      <c r="BY728" s="23">
        <v>8700000</v>
      </c>
      <c r="BZ728" s="23"/>
      <c r="CA728" s="23">
        <v>8700000</v>
      </c>
      <c r="CB728" s="23"/>
      <c r="CC728" s="23">
        <v>8700000</v>
      </c>
      <c r="CD728" s="23"/>
      <c r="CE728" s="23">
        <v>17400000</v>
      </c>
      <c r="CF728" s="28"/>
      <c r="CG728" s="28"/>
      <c r="CH728" s="25">
        <f t="shared" ref="CH728:CI728" si="1452">BH728+BJ728+BL728+BN728+BP728+BR728+BT728+BV728+BX728+BZ728+CB728+CD728+CF728</f>
        <v>47850000</v>
      </c>
      <c r="CI728" s="25">
        <f t="shared" si="1452"/>
        <v>47850000</v>
      </c>
      <c r="CJ728" s="26">
        <f t="shared" si="1331"/>
        <v>0</v>
      </c>
      <c r="CK728" s="26">
        <f t="shared" si="1332"/>
        <v>0</v>
      </c>
    </row>
    <row r="729" spans="1:89" ht="90" customHeight="1" x14ac:dyDescent="0.3">
      <c r="A729" s="13" t="s">
        <v>248</v>
      </c>
      <c r="B729" s="14" t="s">
        <v>53</v>
      </c>
      <c r="C729" s="15" t="s">
        <v>1676</v>
      </c>
      <c r="D729" s="14" t="s">
        <v>66</v>
      </c>
      <c r="E729" s="13" t="s">
        <v>250</v>
      </c>
      <c r="F729" s="13" t="s">
        <v>250</v>
      </c>
      <c r="G729" s="14">
        <v>2</v>
      </c>
      <c r="H729" s="13" t="s">
        <v>1851</v>
      </c>
      <c r="I729" s="15" t="s">
        <v>1805</v>
      </c>
      <c r="J729" s="14" t="s">
        <v>15</v>
      </c>
      <c r="K729" s="15" t="s">
        <v>70</v>
      </c>
      <c r="L729" s="14">
        <v>80111620</v>
      </c>
      <c r="M729" s="14" t="s">
        <v>56</v>
      </c>
      <c r="N729" s="14" t="s">
        <v>253</v>
      </c>
      <c r="O729" s="15" t="s">
        <v>1852</v>
      </c>
      <c r="P729" s="14" t="s">
        <v>255</v>
      </c>
      <c r="Q729" s="14" t="s">
        <v>255</v>
      </c>
      <c r="R729" s="14" t="s">
        <v>255</v>
      </c>
      <c r="S729" s="17">
        <v>11</v>
      </c>
      <c r="T729" s="14" t="s">
        <v>256</v>
      </c>
      <c r="U729" s="14" t="s">
        <v>257</v>
      </c>
      <c r="V729" s="14" t="s">
        <v>112</v>
      </c>
      <c r="W729" s="18">
        <v>27500000</v>
      </c>
      <c r="X729" s="18">
        <v>27500000</v>
      </c>
      <c r="Y729" s="19" t="s">
        <v>339</v>
      </c>
      <c r="Z729" s="19" t="s">
        <v>258</v>
      </c>
      <c r="AA729" s="14" t="s">
        <v>1680</v>
      </c>
      <c r="AB729" s="14" t="s">
        <v>1681</v>
      </c>
      <c r="AC729" s="14">
        <v>6012220601</v>
      </c>
      <c r="AD729" s="14" t="s">
        <v>1682</v>
      </c>
      <c r="AE729" s="82">
        <v>27500000</v>
      </c>
      <c r="AF729" s="82">
        <v>0</v>
      </c>
      <c r="AG729" s="82">
        <v>0</v>
      </c>
      <c r="AH729" s="82">
        <v>0</v>
      </c>
      <c r="AI729" s="82">
        <v>0</v>
      </c>
      <c r="AJ729" s="82">
        <v>0</v>
      </c>
      <c r="AK729" s="82">
        <v>0</v>
      </c>
      <c r="AL729" s="82">
        <v>0</v>
      </c>
      <c r="AM729" s="82">
        <v>0</v>
      </c>
      <c r="AN729" s="82">
        <v>0</v>
      </c>
      <c r="AO729" s="82">
        <v>0</v>
      </c>
      <c r="AP729" s="82">
        <v>0</v>
      </c>
      <c r="AQ729" s="82">
        <v>0</v>
      </c>
      <c r="AR729" s="82">
        <v>0</v>
      </c>
      <c r="AS729" s="82">
        <v>0</v>
      </c>
      <c r="AT729" s="82">
        <v>5000000</v>
      </c>
      <c r="AU729" s="82">
        <v>0</v>
      </c>
      <c r="AV729" s="82">
        <v>5000000</v>
      </c>
      <c r="AW729" s="82">
        <v>0</v>
      </c>
      <c r="AX729" s="82">
        <v>5000000</v>
      </c>
      <c r="AY729" s="82">
        <v>0</v>
      </c>
      <c r="AZ729" s="82">
        <v>5000000</v>
      </c>
      <c r="BA729" s="82">
        <v>0</v>
      </c>
      <c r="BB729" s="82">
        <v>7500000</v>
      </c>
      <c r="BC729" s="82">
        <f t="shared" ref="BC729:BD729" si="1453">AE729+AG729+AI729+AK729+AM729+AO729+AQ729+AS729+AU729+AW729+AY729+BA729</f>
        <v>27500000</v>
      </c>
      <c r="BD729" s="82">
        <f t="shared" si="1453"/>
        <v>27500000</v>
      </c>
      <c r="BE729" s="83">
        <f t="shared" si="1328"/>
        <v>0</v>
      </c>
      <c r="BF729" s="83">
        <f t="shared" si="1329"/>
        <v>0</v>
      </c>
      <c r="BG729" s="14" t="str">
        <f ca="1">IFERROR(__xludf.DUMMYFUNCTION("REGEXEXTRACT(O723,""^\S+\s(.+)$"")")," Prestar servicios ​profesionales en asuntos jurídicos relacionados con los procesos ​y procedimientos de competencia de la Subdirección de Minería, en el marco de la gestión institucional de la Entidad.")</f>
        <v xml:space="preserve"> Prestar servicios ​profesionales en asuntos jurídicos relacionados con los procesos ​y procedimientos de competencia de la Subdirección de Minería, en el marco de la gestión institucional de la Entidad.</v>
      </c>
      <c r="BH729" s="23">
        <v>27500000</v>
      </c>
      <c r="BI729" s="23"/>
      <c r="BJ729" s="23"/>
      <c r="BK729" s="23"/>
      <c r="BL729" s="23"/>
      <c r="BM729" s="23"/>
      <c r="BN729" s="23"/>
      <c r="BO729" s="23"/>
      <c r="BP729" s="23"/>
      <c r="BQ729" s="23"/>
      <c r="BR729" s="23"/>
      <c r="BS729" s="23"/>
      <c r="BT729" s="23"/>
      <c r="BU729" s="23"/>
      <c r="BV729" s="23"/>
      <c r="BW729" s="23">
        <v>5000000</v>
      </c>
      <c r="BX729" s="23"/>
      <c r="BY729" s="23">
        <v>5000000</v>
      </c>
      <c r="BZ729" s="23"/>
      <c r="CA729" s="23">
        <v>5000000</v>
      </c>
      <c r="CB729" s="23"/>
      <c r="CC729" s="23">
        <v>5000000</v>
      </c>
      <c r="CD729" s="23"/>
      <c r="CE729" s="23">
        <v>7500000</v>
      </c>
      <c r="CF729" s="28"/>
      <c r="CG729" s="28"/>
      <c r="CH729" s="25">
        <f t="shared" ref="CH729:CI729" si="1454">BH729+BJ729+BL729+BN729+BP729+BR729+BT729+BV729+BX729+BZ729+CB729+CD729+CF729</f>
        <v>27500000</v>
      </c>
      <c r="CI729" s="25">
        <f t="shared" si="1454"/>
        <v>27500000</v>
      </c>
      <c r="CJ729" s="26">
        <f t="shared" si="1331"/>
        <v>0</v>
      </c>
      <c r="CK729" s="26">
        <f t="shared" si="1332"/>
        <v>0</v>
      </c>
    </row>
    <row r="730" spans="1:89" ht="90" customHeight="1" x14ac:dyDescent="0.3">
      <c r="A730" s="13" t="s">
        <v>248</v>
      </c>
      <c r="B730" s="14" t="s">
        <v>53</v>
      </c>
      <c r="C730" s="15" t="s">
        <v>1676</v>
      </c>
      <c r="D730" s="14" t="s">
        <v>66</v>
      </c>
      <c r="E730" s="13" t="s">
        <v>250</v>
      </c>
      <c r="F730" s="13" t="s">
        <v>250</v>
      </c>
      <c r="G730" s="14">
        <v>68</v>
      </c>
      <c r="H730" s="13" t="s">
        <v>1853</v>
      </c>
      <c r="I730" s="15" t="s">
        <v>1805</v>
      </c>
      <c r="J730" s="14" t="s">
        <v>15</v>
      </c>
      <c r="K730" s="15" t="s">
        <v>70</v>
      </c>
      <c r="L730" s="14">
        <v>80111620</v>
      </c>
      <c r="M730" s="14" t="s">
        <v>56</v>
      </c>
      <c r="N730" s="14" t="s">
        <v>253</v>
      </c>
      <c r="O730" s="15" t="s">
        <v>1854</v>
      </c>
      <c r="P730" s="14" t="s">
        <v>255</v>
      </c>
      <c r="Q730" s="14" t="s">
        <v>255</v>
      </c>
      <c r="R730" s="14" t="s">
        <v>255</v>
      </c>
      <c r="S730" s="17">
        <v>11</v>
      </c>
      <c r="T730" s="14" t="s">
        <v>256</v>
      </c>
      <c r="U730" s="14" t="s">
        <v>257</v>
      </c>
      <c r="V730" s="14" t="s">
        <v>112</v>
      </c>
      <c r="W730" s="18">
        <v>24700000</v>
      </c>
      <c r="X730" s="18">
        <v>24700000</v>
      </c>
      <c r="Y730" s="19" t="s">
        <v>339</v>
      </c>
      <c r="Z730" s="19" t="s">
        <v>258</v>
      </c>
      <c r="AA730" s="14" t="s">
        <v>1680</v>
      </c>
      <c r="AB730" s="14" t="s">
        <v>1681</v>
      </c>
      <c r="AC730" s="14">
        <v>6012220601</v>
      </c>
      <c r="AD730" s="14" t="s">
        <v>1682</v>
      </c>
      <c r="AE730" s="82">
        <v>24700000</v>
      </c>
      <c r="AF730" s="82">
        <v>0</v>
      </c>
      <c r="AG730" s="82">
        <v>0</v>
      </c>
      <c r="AH730" s="82">
        <v>0</v>
      </c>
      <c r="AI730" s="82">
        <v>0</v>
      </c>
      <c r="AJ730" s="82">
        <v>0</v>
      </c>
      <c r="AK730" s="82">
        <v>0</v>
      </c>
      <c r="AL730" s="82">
        <v>0</v>
      </c>
      <c r="AM730" s="82">
        <v>0</v>
      </c>
      <c r="AN730" s="82">
        <v>60000</v>
      </c>
      <c r="AO730" s="82">
        <v>0</v>
      </c>
      <c r="AP730" s="82">
        <v>3200000</v>
      </c>
      <c r="AQ730" s="82">
        <v>0</v>
      </c>
      <c r="AR730" s="82">
        <v>3200000</v>
      </c>
      <c r="AS730" s="82">
        <v>0</v>
      </c>
      <c r="AT730" s="82">
        <v>3200000</v>
      </c>
      <c r="AU730" s="82">
        <v>0</v>
      </c>
      <c r="AV730" s="82">
        <v>3200000</v>
      </c>
      <c r="AW730" s="82">
        <v>0</v>
      </c>
      <c r="AX730" s="82">
        <v>3200000</v>
      </c>
      <c r="AY730" s="82">
        <v>0</v>
      </c>
      <c r="AZ730" s="82">
        <v>3200000</v>
      </c>
      <c r="BA730" s="82">
        <v>0</v>
      </c>
      <c r="BB730" s="82">
        <v>5440000</v>
      </c>
      <c r="BC730" s="82">
        <f t="shared" ref="BC730:BD730" si="1455">AE730+AG730+AI730+AK730+AM730+AO730+AQ730+AS730+AU730+AW730+AY730+BA730</f>
        <v>24700000</v>
      </c>
      <c r="BD730" s="82">
        <f t="shared" si="1455"/>
        <v>24700000</v>
      </c>
      <c r="BE730" s="83">
        <f t="shared" si="1328"/>
        <v>0</v>
      </c>
      <c r="BF730" s="83">
        <f t="shared" si="1329"/>
        <v>0</v>
      </c>
      <c r="BG730" s="14" t="str">
        <f ca="1">IFERROR(__xludf.DUMMYFUNCTION("REGEXEXTRACT(O724,""^\S+\s(.+)$"")"),"Prestar servicios profesionales para apoyar a la Subdirección de Minería en la incorporación de aspectos técnicos y sociales que contribuyan al fortalecimiento de la investigación del sector minero.")</f>
        <v>Prestar servicios profesionales para apoyar a la Subdirección de Minería en la incorporación de aspectos técnicos y sociales que contribuyan al fortalecimiento de la investigación del sector minero.</v>
      </c>
      <c r="BH730" s="23">
        <v>24700000</v>
      </c>
      <c r="BI730" s="23"/>
      <c r="BJ730" s="23"/>
      <c r="BK730" s="23"/>
      <c r="BL730" s="23"/>
      <c r="BM730" s="23"/>
      <c r="BN730" s="23"/>
      <c r="BO730" s="23"/>
      <c r="BP730" s="23"/>
      <c r="BQ730" s="23">
        <v>60000</v>
      </c>
      <c r="BR730" s="23"/>
      <c r="BS730" s="23">
        <v>3200000</v>
      </c>
      <c r="BT730" s="23"/>
      <c r="BU730" s="23">
        <v>3200000</v>
      </c>
      <c r="BV730" s="23"/>
      <c r="BW730" s="23">
        <v>3200000</v>
      </c>
      <c r="BX730" s="23"/>
      <c r="BY730" s="23">
        <v>3200000</v>
      </c>
      <c r="BZ730" s="23"/>
      <c r="CA730" s="23">
        <v>3200000</v>
      </c>
      <c r="CB730" s="23"/>
      <c r="CC730" s="23">
        <v>3200000</v>
      </c>
      <c r="CD730" s="23"/>
      <c r="CE730" s="23">
        <v>5440000</v>
      </c>
      <c r="CF730" s="28"/>
      <c r="CG730" s="28"/>
      <c r="CH730" s="25">
        <f t="shared" ref="CH730:CI730" si="1456">BH730+BJ730+BL730+BN730+BP730+BR730+BT730+BV730+BX730+BZ730+CB730+CD730+CF730</f>
        <v>24700000</v>
      </c>
      <c r="CI730" s="25">
        <f t="shared" si="1456"/>
        <v>24700000</v>
      </c>
      <c r="CJ730" s="26">
        <f t="shared" si="1331"/>
        <v>0</v>
      </c>
      <c r="CK730" s="26">
        <f t="shared" si="1332"/>
        <v>0</v>
      </c>
    </row>
    <row r="731" spans="1:89" ht="90" customHeight="1" x14ac:dyDescent="0.3">
      <c r="A731" s="13" t="s">
        <v>248</v>
      </c>
      <c r="B731" s="14" t="s">
        <v>53</v>
      </c>
      <c r="C731" s="15" t="s">
        <v>1676</v>
      </c>
      <c r="D731" s="14" t="s">
        <v>66</v>
      </c>
      <c r="E731" s="13" t="s">
        <v>250</v>
      </c>
      <c r="F731" s="13" t="s">
        <v>250</v>
      </c>
      <c r="G731" s="29" t="s">
        <v>1783</v>
      </c>
      <c r="H731" s="13" t="s">
        <v>1855</v>
      </c>
      <c r="I731" s="15" t="s">
        <v>1805</v>
      </c>
      <c r="J731" s="14" t="s">
        <v>15</v>
      </c>
      <c r="K731" s="15" t="s">
        <v>70</v>
      </c>
      <c r="L731" s="14">
        <v>78111502</v>
      </c>
      <c r="M731" s="14" t="s">
        <v>56</v>
      </c>
      <c r="N731" s="14" t="s">
        <v>337</v>
      </c>
      <c r="O731" s="15" t="s">
        <v>1856</v>
      </c>
      <c r="P731" s="14" t="s">
        <v>255</v>
      </c>
      <c r="Q731" s="14" t="s">
        <v>255</v>
      </c>
      <c r="R731" s="14" t="s">
        <v>255</v>
      </c>
      <c r="S731" s="17">
        <v>11</v>
      </c>
      <c r="T731" s="14" t="s">
        <v>256</v>
      </c>
      <c r="U731" s="14" t="s">
        <v>286</v>
      </c>
      <c r="V731" s="14" t="s">
        <v>112</v>
      </c>
      <c r="W731" s="18">
        <v>78000000</v>
      </c>
      <c r="X731" s="18">
        <v>78000000</v>
      </c>
      <c r="Y731" s="19" t="s">
        <v>339</v>
      </c>
      <c r="Z731" s="19" t="s">
        <v>258</v>
      </c>
      <c r="AA731" s="14" t="s">
        <v>1680</v>
      </c>
      <c r="AB731" s="14" t="s">
        <v>1681</v>
      </c>
      <c r="AC731" s="14">
        <v>6012220601</v>
      </c>
      <c r="AD731" s="14" t="s">
        <v>1682</v>
      </c>
      <c r="AE731" s="82">
        <v>78000000</v>
      </c>
      <c r="AF731" s="82">
        <v>0</v>
      </c>
      <c r="AG731" s="82">
        <v>0</v>
      </c>
      <c r="AH731" s="82">
        <v>0</v>
      </c>
      <c r="AI731" s="82">
        <v>0</v>
      </c>
      <c r="AJ731" s="82">
        <v>7800000</v>
      </c>
      <c r="AK731" s="82">
        <v>0</v>
      </c>
      <c r="AL731" s="82">
        <v>7800000</v>
      </c>
      <c r="AM731" s="82">
        <v>0</v>
      </c>
      <c r="AN731" s="82">
        <v>7800000</v>
      </c>
      <c r="AO731" s="82">
        <v>0</v>
      </c>
      <c r="AP731" s="82">
        <v>7800000</v>
      </c>
      <c r="AQ731" s="82">
        <v>0</v>
      </c>
      <c r="AR731" s="82">
        <v>7800000</v>
      </c>
      <c r="AS731" s="82">
        <v>0</v>
      </c>
      <c r="AT731" s="82">
        <v>7800000</v>
      </c>
      <c r="AU731" s="82">
        <v>0</v>
      </c>
      <c r="AV731" s="82">
        <v>7800000</v>
      </c>
      <c r="AW731" s="82">
        <v>0</v>
      </c>
      <c r="AX731" s="82">
        <v>7800000</v>
      </c>
      <c r="AY731" s="82">
        <v>0</v>
      </c>
      <c r="AZ731" s="82">
        <v>7800000</v>
      </c>
      <c r="BA731" s="82">
        <v>0</v>
      </c>
      <c r="BB731" s="82">
        <v>7800000</v>
      </c>
      <c r="BC731" s="82">
        <f t="shared" ref="BC731:BD731" si="1457">AE731+AG731+AI731+AK731+AM731+AO731+AQ731+AS731+AU731+AW731+AY731+BA731</f>
        <v>78000000</v>
      </c>
      <c r="BD731" s="82">
        <f t="shared" si="1457"/>
        <v>78000000</v>
      </c>
      <c r="BE731" s="83">
        <f t="shared" si="1328"/>
        <v>0</v>
      </c>
      <c r="BF731" s="83">
        <f t="shared" si="1329"/>
        <v>0</v>
      </c>
      <c r="BG731" s="14" t="str">
        <f ca="1">IFERROR(__xludf.DUMMYFUNCTION("REGEXEXTRACT(O725,""^\S+\s(.+)$"")"),"Adquirir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731" s="23">
        <v>78000000</v>
      </c>
      <c r="BI731" s="23"/>
      <c r="BJ731" s="23"/>
      <c r="BK731" s="23"/>
      <c r="BL731" s="23"/>
      <c r="BM731" s="23">
        <v>7800000</v>
      </c>
      <c r="BN731" s="23"/>
      <c r="BO731" s="23">
        <v>7800000</v>
      </c>
      <c r="BP731" s="23"/>
      <c r="BQ731" s="23">
        <v>7800000</v>
      </c>
      <c r="BR731" s="23"/>
      <c r="BS731" s="23">
        <v>7800000</v>
      </c>
      <c r="BT731" s="23"/>
      <c r="BU731" s="23">
        <v>7800000</v>
      </c>
      <c r="BV731" s="23"/>
      <c r="BW731" s="23">
        <v>7800000</v>
      </c>
      <c r="BX731" s="23"/>
      <c r="BY731" s="23">
        <v>7800000</v>
      </c>
      <c r="BZ731" s="23"/>
      <c r="CA731" s="23">
        <v>7800000</v>
      </c>
      <c r="CB731" s="23"/>
      <c r="CC731" s="23">
        <v>7800000</v>
      </c>
      <c r="CD731" s="23"/>
      <c r="CE731" s="23">
        <v>7800000</v>
      </c>
      <c r="CF731" s="28"/>
      <c r="CG731" s="28"/>
      <c r="CH731" s="25">
        <f t="shared" ref="CH731:CI731" si="1458">BH731+BJ731+BL731+BN731+BP731+BR731+BT731+BV731+BX731+BZ731+CB731+CD731+CF731</f>
        <v>78000000</v>
      </c>
      <c r="CI731" s="25">
        <f t="shared" si="1458"/>
        <v>78000000</v>
      </c>
      <c r="CJ731" s="26">
        <f t="shared" si="1331"/>
        <v>0</v>
      </c>
      <c r="CK731" s="26">
        <f t="shared" si="1332"/>
        <v>0</v>
      </c>
    </row>
    <row r="732" spans="1:89" ht="90" customHeight="1" x14ac:dyDescent="0.3">
      <c r="A732" s="13" t="s">
        <v>248</v>
      </c>
      <c r="B732" s="14" t="s">
        <v>53</v>
      </c>
      <c r="C732" s="15" t="s">
        <v>1676</v>
      </c>
      <c r="D732" s="14" t="s">
        <v>66</v>
      </c>
      <c r="E732" s="13" t="s">
        <v>339</v>
      </c>
      <c r="F732" s="13" t="s">
        <v>250</v>
      </c>
      <c r="G732" s="14">
        <v>68</v>
      </c>
      <c r="H732" s="13" t="s">
        <v>1857</v>
      </c>
      <c r="I732" s="15" t="s">
        <v>1805</v>
      </c>
      <c r="J732" s="14" t="s">
        <v>15</v>
      </c>
      <c r="K732" s="15" t="s">
        <v>70</v>
      </c>
      <c r="L732" s="14" t="s">
        <v>258</v>
      </c>
      <c r="M732" s="14" t="s">
        <v>56</v>
      </c>
      <c r="N732" s="14" t="s">
        <v>341</v>
      </c>
      <c r="O732" s="15" t="s">
        <v>1858</v>
      </c>
      <c r="P732" s="14" t="s">
        <v>258</v>
      </c>
      <c r="Q732" s="14" t="s">
        <v>258</v>
      </c>
      <c r="R732" s="14" t="s">
        <v>258</v>
      </c>
      <c r="S732" s="17" t="s">
        <v>258</v>
      </c>
      <c r="T732" s="14" t="s">
        <v>258</v>
      </c>
      <c r="U732" s="14" t="s">
        <v>258</v>
      </c>
      <c r="V732" s="14" t="s">
        <v>112</v>
      </c>
      <c r="W732" s="18">
        <v>75000000</v>
      </c>
      <c r="X732" s="18">
        <v>75000000</v>
      </c>
      <c r="Y732" s="19" t="s">
        <v>339</v>
      </c>
      <c r="Z732" s="19" t="s">
        <v>258</v>
      </c>
      <c r="AA732" s="14" t="s">
        <v>1680</v>
      </c>
      <c r="AB732" s="14" t="s">
        <v>1681</v>
      </c>
      <c r="AC732" s="14">
        <v>6012220601</v>
      </c>
      <c r="AD732" s="14" t="s">
        <v>1682</v>
      </c>
      <c r="AE732" s="82">
        <v>1623918</v>
      </c>
      <c r="AF732" s="82">
        <v>0</v>
      </c>
      <c r="AG732" s="82">
        <v>3500000</v>
      </c>
      <c r="AH732" s="82">
        <v>3500000</v>
      </c>
      <c r="AI732" s="82">
        <v>3500000</v>
      </c>
      <c r="AJ732" s="82">
        <v>3500000</v>
      </c>
      <c r="AK732" s="82">
        <v>3500000</v>
      </c>
      <c r="AL732" s="82">
        <v>3500000</v>
      </c>
      <c r="AM732" s="82">
        <v>3500000</v>
      </c>
      <c r="AN732" s="82">
        <v>3500000</v>
      </c>
      <c r="AO732" s="82">
        <v>3500000</v>
      </c>
      <c r="AP732" s="82">
        <v>3500000</v>
      </c>
      <c r="AQ732" s="82">
        <v>10750000</v>
      </c>
      <c r="AR732" s="82">
        <v>10750000</v>
      </c>
      <c r="AS732" s="82">
        <v>10750000</v>
      </c>
      <c r="AT732" s="82">
        <v>10750000</v>
      </c>
      <c r="AU732" s="82">
        <v>10750000</v>
      </c>
      <c r="AV732" s="82">
        <v>10750000</v>
      </c>
      <c r="AW732" s="82">
        <v>10750000</v>
      </c>
      <c r="AX732" s="82">
        <v>10750000</v>
      </c>
      <c r="AY732" s="82">
        <v>10750000</v>
      </c>
      <c r="AZ732" s="82">
        <v>10750000</v>
      </c>
      <c r="BA732" s="82">
        <v>2126082</v>
      </c>
      <c r="BB732" s="82">
        <v>3750000</v>
      </c>
      <c r="BC732" s="82">
        <f t="shared" ref="BC732:BD732" si="1459">AE732+AG732+AI732+AK732+AM732+AO732+AQ732+AS732+AU732+AW732+AY732+BA732</f>
        <v>75000000</v>
      </c>
      <c r="BD732" s="82">
        <f t="shared" si="1459"/>
        <v>75000000</v>
      </c>
      <c r="BE732" s="83">
        <f t="shared" si="1328"/>
        <v>0</v>
      </c>
      <c r="BF732" s="83">
        <f t="shared" si="1329"/>
        <v>0</v>
      </c>
      <c r="BG732" s="14" t="str">
        <f ca="1">IFERROR(__xludf.DUMMYFUNCTION("REGEXEXTRACT(O726,""^\S+\s(.+)$"")"),"Viáticos o gastos de desplazamiento")</f>
        <v>Viáticos o gastos de desplazamiento</v>
      </c>
      <c r="BH732" s="23">
        <v>1623918</v>
      </c>
      <c r="BI732" s="23"/>
      <c r="BJ732" s="23">
        <v>3500000</v>
      </c>
      <c r="BK732" s="23">
        <v>3500000</v>
      </c>
      <c r="BL732" s="23">
        <v>3500000</v>
      </c>
      <c r="BM732" s="23">
        <v>3500000</v>
      </c>
      <c r="BN732" s="23">
        <v>3500000</v>
      </c>
      <c r="BO732" s="23">
        <v>3500000</v>
      </c>
      <c r="BP732" s="23">
        <v>3500000</v>
      </c>
      <c r="BQ732" s="23">
        <v>3500000</v>
      </c>
      <c r="BR732" s="23">
        <v>3500000</v>
      </c>
      <c r="BS732" s="23">
        <v>3500000</v>
      </c>
      <c r="BT732" s="23">
        <v>10750000</v>
      </c>
      <c r="BU732" s="23">
        <v>10750000</v>
      </c>
      <c r="BV732" s="23">
        <v>10750000</v>
      </c>
      <c r="BW732" s="23">
        <v>10750000</v>
      </c>
      <c r="BX732" s="23">
        <v>10750000</v>
      </c>
      <c r="BY732" s="23">
        <v>10750000</v>
      </c>
      <c r="BZ732" s="23">
        <v>10750000</v>
      </c>
      <c r="CA732" s="23">
        <v>10750000</v>
      </c>
      <c r="CB732" s="23">
        <v>10750000</v>
      </c>
      <c r="CC732" s="23">
        <v>10750000</v>
      </c>
      <c r="CD732" s="23">
        <v>2126082</v>
      </c>
      <c r="CE732" s="23">
        <v>3750000</v>
      </c>
      <c r="CF732" s="28"/>
      <c r="CG732" s="28"/>
      <c r="CH732" s="25">
        <f t="shared" ref="CH732:CI732" si="1460">BH732+BJ732+BL732+BN732+BP732+BR732+BT732+BV732+BX732+BZ732+CB732+CD732+CF732</f>
        <v>75000000</v>
      </c>
      <c r="CI732" s="25">
        <f t="shared" si="1460"/>
        <v>75000000</v>
      </c>
      <c r="CJ732" s="26">
        <f t="shared" si="1331"/>
        <v>0</v>
      </c>
      <c r="CK732" s="26">
        <f t="shared" si="1332"/>
        <v>0</v>
      </c>
    </row>
    <row r="733" spans="1:89" ht="90" customHeight="1" x14ac:dyDescent="0.3">
      <c r="A733" s="13" t="s">
        <v>248</v>
      </c>
      <c r="B733" s="14" t="s">
        <v>53</v>
      </c>
      <c r="C733" s="15" t="s">
        <v>1676</v>
      </c>
      <c r="D733" s="14" t="s">
        <v>66</v>
      </c>
      <c r="E733" s="13" t="s">
        <v>250</v>
      </c>
      <c r="F733" s="13" t="s">
        <v>250</v>
      </c>
      <c r="G733" s="14">
        <v>68</v>
      </c>
      <c r="H733" s="13" t="s">
        <v>1859</v>
      </c>
      <c r="I733" s="15" t="s">
        <v>1805</v>
      </c>
      <c r="J733" s="14" t="s">
        <v>15</v>
      </c>
      <c r="K733" s="15" t="s">
        <v>70</v>
      </c>
      <c r="L733" s="14">
        <v>80111620</v>
      </c>
      <c r="M733" s="14" t="s">
        <v>56</v>
      </c>
      <c r="N733" s="14" t="s">
        <v>253</v>
      </c>
      <c r="O733" s="15" t="s">
        <v>1860</v>
      </c>
      <c r="P733" s="14" t="s">
        <v>255</v>
      </c>
      <c r="Q733" s="14" t="s">
        <v>255</v>
      </c>
      <c r="R733" s="14" t="s">
        <v>255</v>
      </c>
      <c r="S733" s="17">
        <v>11</v>
      </c>
      <c r="T733" s="14" t="s">
        <v>256</v>
      </c>
      <c r="U733" s="14" t="s">
        <v>257</v>
      </c>
      <c r="V733" s="14" t="s">
        <v>112</v>
      </c>
      <c r="W733" s="18">
        <v>25000000</v>
      </c>
      <c r="X733" s="18">
        <v>25000000</v>
      </c>
      <c r="Y733" s="19" t="s">
        <v>339</v>
      </c>
      <c r="Z733" s="19" t="s">
        <v>258</v>
      </c>
      <c r="AA733" s="14" t="s">
        <v>1680</v>
      </c>
      <c r="AB733" s="14" t="s">
        <v>1681</v>
      </c>
      <c r="AC733" s="14">
        <v>6012220601</v>
      </c>
      <c r="AD733" s="14" t="s">
        <v>1682</v>
      </c>
      <c r="AE733" s="82">
        <v>25000000</v>
      </c>
      <c r="AF733" s="82">
        <v>0</v>
      </c>
      <c r="AG733" s="82">
        <v>0</v>
      </c>
      <c r="AH733" s="82">
        <v>0</v>
      </c>
      <c r="AI733" s="82">
        <v>0</v>
      </c>
      <c r="AJ733" s="82">
        <v>0</v>
      </c>
      <c r="AK733" s="82">
        <v>0</v>
      </c>
      <c r="AL733" s="82">
        <v>0</v>
      </c>
      <c r="AM733" s="82">
        <v>0</v>
      </c>
      <c r="AN733" s="82">
        <v>0</v>
      </c>
      <c r="AO733" s="82">
        <v>0</v>
      </c>
      <c r="AP733" s="82">
        <v>0</v>
      </c>
      <c r="AQ733" s="82">
        <v>0</v>
      </c>
      <c r="AR733" s="82">
        <v>0</v>
      </c>
      <c r="AS733" s="82">
        <v>0</v>
      </c>
      <c r="AT733" s="82">
        <v>3700000</v>
      </c>
      <c r="AU733" s="82">
        <v>0</v>
      </c>
      <c r="AV733" s="82">
        <v>4500000</v>
      </c>
      <c r="AW733" s="82">
        <v>0</v>
      </c>
      <c r="AX733" s="82">
        <v>4500000</v>
      </c>
      <c r="AY733" s="82">
        <v>0</v>
      </c>
      <c r="AZ733" s="82">
        <v>4500000</v>
      </c>
      <c r="BA733" s="82">
        <v>0</v>
      </c>
      <c r="BB733" s="82">
        <v>7800000</v>
      </c>
      <c r="BC733" s="82">
        <f t="shared" ref="BC733:BD733" si="1461">AE733+AG733+AI733+AK733+AM733+AO733+AQ733+AS733+AU733+AW733+AY733+BA733</f>
        <v>25000000</v>
      </c>
      <c r="BD733" s="82">
        <f t="shared" si="1461"/>
        <v>25000000</v>
      </c>
      <c r="BE733" s="83">
        <f t="shared" si="1328"/>
        <v>0</v>
      </c>
      <c r="BF733" s="83">
        <f t="shared" si="1329"/>
        <v>0</v>
      </c>
      <c r="BG733" s="14" t="str">
        <f ca="1">IFERROR(__xludf.DUMMYFUNCTION("REGEXEXTRACT(O727,""^\S+\s(.+)$"")"),"Prestar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733" s="23">
        <v>25000000</v>
      </c>
      <c r="BI733" s="23"/>
      <c r="BJ733" s="23"/>
      <c r="BK733" s="23"/>
      <c r="BL733" s="23"/>
      <c r="BM733" s="23"/>
      <c r="BN733" s="23"/>
      <c r="BO733" s="23"/>
      <c r="BP733" s="23"/>
      <c r="BQ733" s="23"/>
      <c r="BR733" s="23"/>
      <c r="BS733" s="23"/>
      <c r="BT733" s="23"/>
      <c r="BU733" s="23"/>
      <c r="BV733" s="23"/>
      <c r="BW733" s="23">
        <v>3700000</v>
      </c>
      <c r="BX733" s="23"/>
      <c r="BY733" s="23">
        <v>4500000</v>
      </c>
      <c r="BZ733" s="23"/>
      <c r="CA733" s="23">
        <v>4500000</v>
      </c>
      <c r="CB733" s="23"/>
      <c r="CC733" s="23">
        <v>4500000</v>
      </c>
      <c r="CD733" s="23"/>
      <c r="CE733" s="23">
        <v>7800000</v>
      </c>
      <c r="CF733" s="28"/>
      <c r="CG733" s="28"/>
      <c r="CH733" s="25">
        <f t="shared" ref="CH733:CI733" si="1462">BH733+BJ733+BL733+BN733+BP733+BR733+BT733+BV733+BX733+BZ733+CB733+CD733+CF733</f>
        <v>25000000</v>
      </c>
      <c r="CI733" s="25">
        <f t="shared" si="1462"/>
        <v>25000000</v>
      </c>
      <c r="CJ733" s="26">
        <f t="shared" si="1331"/>
        <v>0</v>
      </c>
      <c r="CK733" s="26">
        <f t="shared" si="1332"/>
        <v>0</v>
      </c>
    </row>
    <row r="734" spans="1:89" ht="90" customHeight="1" x14ac:dyDescent="0.3">
      <c r="A734" s="13" t="s">
        <v>248</v>
      </c>
      <c r="B734" s="14" t="s">
        <v>53</v>
      </c>
      <c r="C734" s="15" t="s">
        <v>1676</v>
      </c>
      <c r="D734" s="14" t="s">
        <v>66</v>
      </c>
      <c r="E734" s="13" t="s">
        <v>250</v>
      </c>
      <c r="F734" s="13" t="s">
        <v>250</v>
      </c>
      <c r="G734" s="29" t="s">
        <v>1861</v>
      </c>
      <c r="H734" s="13" t="s">
        <v>1862</v>
      </c>
      <c r="I734" s="15" t="s">
        <v>1805</v>
      </c>
      <c r="J734" s="14" t="s">
        <v>15</v>
      </c>
      <c r="K734" s="15" t="s">
        <v>70</v>
      </c>
      <c r="L734" s="14">
        <v>55101519</v>
      </c>
      <c r="M734" s="14" t="s">
        <v>56</v>
      </c>
      <c r="N734" s="14" t="s">
        <v>951</v>
      </c>
      <c r="O734" s="15" t="s">
        <v>1863</v>
      </c>
      <c r="P734" s="14" t="s">
        <v>255</v>
      </c>
      <c r="Q734" s="14" t="s">
        <v>255</v>
      </c>
      <c r="R734" s="14" t="s">
        <v>255</v>
      </c>
      <c r="S734" s="17">
        <v>11</v>
      </c>
      <c r="T734" s="14" t="s">
        <v>256</v>
      </c>
      <c r="U734" s="14" t="s">
        <v>474</v>
      </c>
      <c r="V734" s="14" t="s">
        <v>112</v>
      </c>
      <c r="W734" s="18">
        <v>25000000</v>
      </c>
      <c r="X734" s="18">
        <v>25000000</v>
      </c>
      <c r="Y734" s="19" t="s">
        <v>339</v>
      </c>
      <c r="Z734" s="19" t="s">
        <v>258</v>
      </c>
      <c r="AA734" s="14" t="s">
        <v>1680</v>
      </c>
      <c r="AB734" s="14" t="s">
        <v>1681</v>
      </c>
      <c r="AC734" s="14">
        <v>6012220601</v>
      </c>
      <c r="AD734" s="14" t="s">
        <v>1682</v>
      </c>
      <c r="AE734" s="82">
        <v>25000000</v>
      </c>
      <c r="AF734" s="82">
        <v>0</v>
      </c>
      <c r="AG734" s="82">
        <v>0</v>
      </c>
      <c r="AH734" s="82">
        <v>1000000</v>
      </c>
      <c r="AI734" s="82">
        <v>0</v>
      </c>
      <c r="AJ734" s="82">
        <v>0</v>
      </c>
      <c r="AK734" s="82">
        <v>0</v>
      </c>
      <c r="AL734" s="82">
        <v>6000000</v>
      </c>
      <c r="AM734" s="82">
        <v>0</v>
      </c>
      <c r="AN734" s="82">
        <v>0</v>
      </c>
      <c r="AO734" s="82">
        <v>0</v>
      </c>
      <c r="AP734" s="82">
        <v>0</v>
      </c>
      <c r="AQ734" s="82">
        <v>0</v>
      </c>
      <c r="AR734" s="82">
        <v>6000000</v>
      </c>
      <c r="AS734" s="82">
        <v>0</v>
      </c>
      <c r="AT734" s="82">
        <v>0</v>
      </c>
      <c r="AU734" s="82">
        <v>0</v>
      </c>
      <c r="AV734" s="82">
        <v>0</v>
      </c>
      <c r="AW734" s="82">
        <v>0</v>
      </c>
      <c r="AX734" s="82">
        <v>6000000</v>
      </c>
      <c r="AY734" s="82">
        <v>0</v>
      </c>
      <c r="AZ734" s="82">
        <v>0</v>
      </c>
      <c r="BA734" s="82">
        <v>0</v>
      </c>
      <c r="BB734" s="82">
        <v>6000000</v>
      </c>
      <c r="BC734" s="82">
        <f t="shared" ref="BC734:BD734" si="1463">AE734+AG734+AI734+AK734+AM734+AO734+AQ734+AS734+AU734+AW734+AY734+BA734</f>
        <v>25000000</v>
      </c>
      <c r="BD734" s="82">
        <f t="shared" si="1463"/>
        <v>25000000</v>
      </c>
      <c r="BE734" s="83">
        <f t="shared" si="1328"/>
        <v>0</v>
      </c>
      <c r="BF734" s="83">
        <f t="shared" si="1329"/>
        <v>0</v>
      </c>
      <c r="BG734" s="14" t="str">
        <f ca="1">IFERROR(__xludf.DUMMYFUNCTION("REGEXEXTRACT(O728,""^\S+\s(.+)$"")"),"Prestar el servicio de publicación en el diario oficial de los actos administrativos de carácter general emitidos por la UPME.")</f>
        <v>Prestar el servicio de publicación en el diario oficial de los actos administrativos de carácter general emitidos por la UPME.</v>
      </c>
      <c r="BH734" s="23">
        <v>25000000</v>
      </c>
      <c r="BI734" s="23"/>
      <c r="BJ734" s="23"/>
      <c r="BK734" s="23">
        <v>1000000</v>
      </c>
      <c r="BL734" s="23"/>
      <c r="BM734" s="23"/>
      <c r="BN734" s="23"/>
      <c r="BO734" s="23">
        <v>6000000</v>
      </c>
      <c r="BP734" s="23"/>
      <c r="BQ734" s="23"/>
      <c r="BR734" s="23"/>
      <c r="BS734" s="23"/>
      <c r="BT734" s="23"/>
      <c r="BU734" s="23">
        <v>6000000</v>
      </c>
      <c r="BV734" s="23"/>
      <c r="BW734" s="23"/>
      <c r="BX734" s="23"/>
      <c r="BY734" s="23"/>
      <c r="BZ734" s="23"/>
      <c r="CA734" s="23">
        <v>6000000</v>
      </c>
      <c r="CB734" s="23"/>
      <c r="CC734" s="23"/>
      <c r="CD734" s="23"/>
      <c r="CE734" s="23">
        <v>6000000</v>
      </c>
      <c r="CF734" s="28"/>
      <c r="CG734" s="28"/>
      <c r="CH734" s="25">
        <f t="shared" ref="CH734:CI734" si="1464">BH734+BJ734+BL734+BN734+BP734+BR734+BT734+BV734+BX734+BZ734+CB734+CD734+CF734</f>
        <v>25000000</v>
      </c>
      <c r="CI734" s="25">
        <f t="shared" si="1464"/>
        <v>25000000</v>
      </c>
      <c r="CJ734" s="26">
        <f t="shared" si="1331"/>
        <v>0</v>
      </c>
      <c r="CK734" s="26">
        <f t="shared" si="1332"/>
        <v>0</v>
      </c>
    </row>
    <row r="735" spans="1:89" ht="90" customHeight="1" x14ac:dyDescent="0.3">
      <c r="A735" s="13" t="s">
        <v>248</v>
      </c>
      <c r="B735" s="14" t="s">
        <v>53</v>
      </c>
      <c r="C735" s="15" t="s">
        <v>1676</v>
      </c>
      <c r="D735" s="14" t="s">
        <v>66</v>
      </c>
      <c r="E735" s="13" t="s">
        <v>250</v>
      </c>
      <c r="F735" s="13" t="s">
        <v>250</v>
      </c>
      <c r="G735" s="14">
        <v>68</v>
      </c>
      <c r="H735" s="13" t="s">
        <v>1864</v>
      </c>
      <c r="I735" s="15" t="s">
        <v>1805</v>
      </c>
      <c r="J735" s="14" t="s">
        <v>15</v>
      </c>
      <c r="K735" s="15" t="s">
        <v>70</v>
      </c>
      <c r="L735" s="14">
        <v>80111713</v>
      </c>
      <c r="M735" s="14" t="s">
        <v>56</v>
      </c>
      <c r="N735" s="14" t="s">
        <v>770</v>
      </c>
      <c r="O735" s="15" t="s">
        <v>1865</v>
      </c>
      <c r="P735" s="14" t="s">
        <v>774</v>
      </c>
      <c r="Q735" s="14" t="s">
        <v>774</v>
      </c>
      <c r="R735" s="14" t="s">
        <v>1312</v>
      </c>
      <c r="S735" s="17">
        <v>4</v>
      </c>
      <c r="T735" s="14" t="s">
        <v>256</v>
      </c>
      <c r="U735" s="14" t="s">
        <v>282</v>
      </c>
      <c r="V735" s="14" t="s">
        <v>112</v>
      </c>
      <c r="W735" s="18">
        <v>16050000</v>
      </c>
      <c r="X735" s="18">
        <v>16050000</v>
      </c>
      <c r="Y735" s="19" t="s">
        <v>339</v>
      </c>
      <c r="Z735" s="19" t="s">
        <v>258</v>
      </c>
      <c r="AA735" s="14" t="s">
        <v>1680</v>
      </c>
      <c r="AB735" s="14" t="s">
        <v>1681</v>
      </c>
      <c r="AC735" s="14">
        <v>6012220601</v>
      </c>
      <c r="AD735" s="14" t="s">
        <v>1682</v>
      </c>
      <c r="AE735" s="82">
        <v>0</v>
      </c>
      <c r="AF735" s="82">
        <v>0</v>
      </c>
      <c r="AG735" s="82">
        <v>0</v>
      </c>
      <c r="AH735" s="82">
        <v>0</v>
      </c>
      <c r="AI735" s="82">
        <v>0</v>
      </c>
      <c r="AJ735" s="82">
        <v>0</v>
      </c>
      <c r="AK735" s="82">
        <v>0</v>
      </c>
      <c r="AL735" s="82">
        <v>0</v>
      </c>
      <c r="AM735" s="82">
        <v>0</v>
      </c>
      <c r="AN735" s="82">
        <v>0</v>
      </c>
      <c r="AO735" s="82">
        <v>0</v>
      </c>
      <c r="AP735" s="82">
        <v>0</v>
      </c>
      <c r="AQ735" s="82">
        <v>0</v>
      </c>
      <c r="AR735" s="82">
        <v>0</v>
      </c>
      <c r="AS735" s="82">
        <v>0</v>
      </c>
      <c r="AT735" s="82">
        <v>0</v>
      </c>
      <c r="AU735" s="82">
        <v>0</v>
      </c>
      <c r="AV735" s="82">
        <v>0</v>
      </c>
      <c r="AW735" s="82">
        <v>16050000</v>
      </c>
      <c r="AX735" s="82">
        <v>0</v>
      </c>
      <c r="AY735" s="82">
        <v>0</v>
      </c>
      <c r="AZ735" s="82">
        <v>0</v>
      </c>
      <c r="BA735" s="82">
        <v>0</v>
      </c>
      <c r="BB735" s="82">
        <v>16050000</v>
      </c>
      <c r="BC735" s="82">
        <f t="shared" ref="BC735:BD735" si="1465">AE735+AG735+AI735+AK735+AM735+AO735+AQ735+AS735+AU735+AW735+AY735+BA735</f>
        <v>16050000</v>
      </c>
      <c r="BD735" s="82">
        <f t="shared" si="1465"/>
        <v>16050000</v>
      </c>
      <c r="BE735" s="83">
        <f t="shared" si="1328"/>
        <v>0</v>
      </c>
      <c r="BF735" s="83">
        <f t="shared" si="1329"/>
        <v>0</v>
      </c>
      <c r="BG735" s="14" t="str">
        <f ca="1">IFERROR(__xludf.DUMMYFUNCTION("REGEXEXTRACT(O729,""^\S+\s(.+)$"")"),"Adquirir el licenciamiento de las herramientas colaborativas en nube para la UPME")</f>
        <v>Adquirir el licenciamiento de las herramientas colaborativas en nube para la UPME</v>
      </c>
      <c r="BH735" s="23"/>
      <c r="BI735" s="23"/>
      <c r="BJ735" s="23"/>
      <c r="BK735" s="23"/>
      <c r="BL735" s="23"/>
      <c r="BM735" s="23"/>
      <c r="BN735" s="23"/>
      <c r="BO735" s="23"/>
      <c r="BP735" s="23"/>
      <c r="BQ735" s="23"/>
      <c r="BR735" s="23"/>
      <c r="BS735" s="23"/>
      <c r="BT735" s="23"/>
      <c r="BU735" s="23"/>
      <c r="BV735" s="23"/>
      <c r="BW735" s="23"/>
      <c r="BX735" s="23"/>
      <c r="BY735" s="23"/>
      <c r="BZ735" s="23">
        <v>16050000</v>
      </c>
      <c r="CA735" s="23"/>
      <c r="CB735" s="23"/>
      <c r="CC735" s="23"/>
      <c r="CD735" s="23"/>
      <c r="CE735" s="23">
        <v>16050000</v>
      </c>
      <c r="CF735" s="28"/>
      <c r="CG735" s="28"/>
      <c r="CH735" s="25">
        <f t="shared" ref="CH735:CI735" si="1466">BH735+BJ735+BL735+BN735+BP735+BR735+BT735+BV735+BX735+BZ735+CB735+CD735+CF735</f>
        <v>16050000</v>
      </c>
      <c r="CI735" s="25">
        <f t="shared" si="1466"/>
        <v>16050000</v>
      </c>
      <c r="CJ735" s="26">
        <f t="shared" si="1331"/>
        <v>0</v>
      </c>
      <c r="CK735" s="26">
        <f t="shared" si="1332"/>
        <v>0</v>
      </c>
    </row>
    <row r="736" spans="1:89" ht="90" customHeight="1" x14ac:dyDescent="0.3">
      <c r="A736" s="13" t="s">
        <v>248</v>
      </c>
      <c r="B736" s="14" t="s">
        <v>53</v>
      </c>
      <c r="C736" s="15" t="s">
        <v>1676</v>
      </c>
      <c r="D736" s="14" t="s">
        <v>66</v>
      </c>
      <c r="E736" s="13" t="s">
        <v>250</v>
      </c>
      <c r="F736" s="13" t="s">
        <v>250</v>
      </c>
      <c r="G736" s="14">
        <v>1</v>
      </c>
      <c r="H736" s="13" t="s">
        <v>1866</v>
      </c>
      <c r="I736" s="15" t="s">
        <v>1805</v>
      </c>
      <c r="J736" s="14" t="s">
        <v>15</v>
      </c>
      <c r="K736" s="15" t="s">
        <v>70</v>
      </c>
      <c r="L736" s="14">
        <v>80111620</v>
      </c>
      <c r="M736" s="14" t="s">
        <v>56</v>
      </c>
      <c r="N736" s="14" t="s">
        <v>253</v>
      </c>
      <c r="O736" s="15" t="s">
        <v>1867</v>
      </c>
      <c r="P736" s="14" t="s">
        <v>255</v>
      </c>
      <c r="Q736" s="14" t="s">
        <v>255</v>
      </c>
      <c r="R736" s="14" t="s">
        <v>255</v>
      </c>
      <c r="S736" s="17">
        <v>11</v>
      </c>
      <c r="T736" s="14" t="s">
        <v>256</v>
      </c>
      <c r="U736" s="14" t="s">
        <v>257</v>
      </c>
      <c r="V736" s="14" t="s">
        <v>112</v>
      </c>
      <c r="W736" s="18">
        <v>28600000</v>
      </c>
      <c r="X736" s="18">
        <v>28600000</v>
      </c>
      <c r="Y736" s="19" t="s">
        <v>339</v>
      </c>
      <c r="Z736" s="19" t="s">
        <v>258</v>
      </c>
      <c r="AA736" s="14" t="s">
        <v>1680</v>
      </c>
      <c r="AB736" s="14" t="s">
        <v>1681</v>
      </c>
      <c r="AC736" s="14">
        <v>2220601</v>
      </c>
      <c r="AD736" s="14" t="s">
        <v>1682</v>
      </c>
      <c r="AE736" s="82">
        <v>28600000</v>
      </c>
      <c r="AF736" s="82">
        <v>0</v>
      </c>
      <c r="AG736" s="82">
        <v>0</v>
      </c>
      <c r="AH736" s="82">
        <v>0</v>
      </c>
      <c r="AI736" s="82">
        <v>0</v>
      </c>
      <c r="AJ736" s="82">
        <v>3600000</v>
      </c>
      <c r="AK736" s="82">
        <v>0</v>
      </c>
      <c r="AL736" s="82">
        <v>3600000</v>
      </c>
      <c r="AM736" s="82">
        <v>0</v>
      </c>
      <c r="AN736" s="82">
        <v>3600000</v>
      </c>
      <c r="AO736" s="82">
        <v>0</v>
      </c>
      <c r="AP736" s="82">
        <v>3600000</v>
      </c>
      <c r="AQ736" s="82">
        <v>0</v>
      </c>
      <c r="AR736" s="82">
        <v>3600000</v>
      </c>
      <c r="AS736" s="82">
        <v>0</v>
      </c>
      <c r="AT736" s="82">
        <v>3600000</v>
      </c>
      <c r="AU736" s="82">
        <v>0</v>
      </c>
      <c r="AV736" s="82">
        <v>3600000</v>
      </c>
      <c r="AW736" s="82">
        <v>0</v>
      </c>
      <c r="AX736" s="82">
        <v>3400000</v>
      </c>
      <c r="AY736" s="82">
        <v>0</v>
      </c>
      <c r="AZ736" s="82">
        <v>0</v>
      </c>
      <c r="BA736" s="82">
        <v>0</v>
      </c>
      <c r="BB736" s="82">
        <v>0</v>
      </c>
      <c r="BC736" s="82">
        <f t="shared" ref="BC736:BD736" si="1467">AE736+AG736+AI736+AK736+AM736+AO736+AQ736+AS736+AU736+AW736+AY736+BA736</f>
        <v>28600000</v>
      </c>
      <c r="BD736" s="82">
        <f t="shared" si="1467"/>
        <v>28600000</v>
      </c>
      <c r="BE736" s="83">
        <f t="shared" si="1328"/>
        <v>0</v>
      </c>
      <c r="BF736" s="83">
        <f t="shared" si="1329"/>
        <v>0</v>
      </c>
      <c r="BG736" s="14" t="str">
        <f ca="1">IFERROR(__xludf.DUMMYFUNCTION("REGEXEXTRACT(O730,""^\S+\s(.+)$"")"),"Prestar servicios profesionales para apoyar en la identificación y análisis de variables para planes subsectoriales, mediante la recopilación, organización y documentación de información socioambiental que contribuya a la planificación sostenible de la UP"&amp;"ME.")</f>
        <v>Prestar servicios profesionales para apoyar en la identificación y análisis de variables para planes subsectoriales, mediante la recopilación, organización y documentación de información socioambiental que contribuya a la planificación sostenible de la UPME.</v>
      </c>
      <c r="BH736" s="23">
        <v>28600000</v>
      </c>
      <c r="BI736" s="23"/>
      <c r="BJ736" s="23"/>
      <c r="BK736" s="23"/>
      <c r="BL736" s="23"/>
      <c r="BM736" s="23">
        <v>3600000</v>
      </c>
      <c r="BN736" s="23"/>
      <c r="BO736" s="23">
        <v>3600000</v>
      </c>
      <c r="BP736" s="23"/>
      <c r="BQ736" s="23">
        <v>3600000</v>
      </c>
      <c r="BR736" s="23"/>
      <c r="BS736" s="23">
        <v>3600000</v>
      </c>
      <c r="BT736" s="23"/>
      <c r="BU736" s="23">
        <v>3600000</v>
      </c>
      <c r="BV736" s="23"/>
      <c r="BW736" s="23">
        <v>3600000</v>
      </c>
      <c r="BX736" s="23"/>
      <c r="BY736" s="23">
        <v>3600000</v>
      </c>
      <c r="BZ736" s="23"/>
      <c r="CA736" s="23">
        <v>3400000</v>
      </c>
      <c r="CB736" s="23"/>
      <c r="CC736" s="23"/>
      <c r="CD736" s="23"/>
      <c r="CE736" s="23"/>
      <c r="CF736" s="28"/>
      <c r="CG736" s="28"/>
      <c r="CH736" s="25">
        <f t="shared" ref="CH736:CI736" si="1468">BH736+BJ736+BL736+BN736+BP736+BR736+BT736+BV736+BX736+BZ736+CB736+CD736+CF736</f>
        <v>28600000</v>
      </c>
      <c r="CI736" s="25">
        <f t="shared" si="1468"/>
        <v>28600000</v>
      </c>
      <c r="CJ736" s="26">
        <f t="shared" si="1331"/>
        <v>0</v>
      </c>
      <c r="CK736" s="26">
        <f t="shared" si="1332"/>
        <v>0</v>
      </c>
    </row>
    <row r="737" spans="1:89" ht="90" customHeight="1" x14ac:dyDescent="0.3">
      <c r="A737" s="13" t="s">
        <v>248</v>
      </c>
      <c r="B737" s="14" t="s">
        <v>53</v>
      </c>
      <c r="C737" s="15" t="s">
        <v>1676</v>
      </c>
      <c r="D737" s="14" t="s">
        <v>66</v>
      </c>
      <c r="E737" s="13" t="s">
        <v>250</v>
      </c>
      <c r="F737" s="13" t="s">
        <v>250</v>
      </c>
      <c r="G737" s="14">
        <v>3</v>
      </c>
      <c r="H737" s="13" t="s">
        <v>1868</v>
      </c>
      <c r="I737" s="15" t="s">
        <v>1805</v>
      </c>
      <c r="J737" s="14" t="s">
        <v>15</v>
      </c>
      <c r="K737" s="15" t="s">
        <v>84</v>
      </c>
      <c r="L737" s="14">
        <v>80111620</v>
      </c>
      <c r="M737" s="14" t="s">
        <v>56</v>
      </c>
      <c r="N737" s="14" t="s">
        <v>253</v>
      </c>
      <c r="O737" s="15" t="s">
        <v>1869</v>
      </c>
      <c r="P737" s="14" t="s">
        <v>255</v>
      </c>
      <c r="Q737" s="14" t="s">
        <v>255</v>
      </c>
      <c r="R737" s="14" t="s">
        <v>255</v>
      </c>
      <c r="S737" s="17">
        <v>11</v>
      </c>
      <c r="T737" s="14" t="s">
        <v>256</v>
      </c>
      <c r="U737" s="14" t="s">
        <v>257</v>
      </c>
      <c r="V737" s="14" t="s">
        <v>112</v>
      </c>
      <c r="W737" s="18">
        <v>11000000</v>
      </c>
      <c r="X737" s="18">
        <v>11000000</v>
      </c>
      <c r="Y737" s="19" t="s">
        <v>339</v>
      </c>
      <c r="Z737" s="19" t="s">
        <v>258</v>
      </c>
      <c r="AA737" s="14" t="s">
        <v>1680</v>
      </c>
      <c r="AB737" s="14" t="s">
        <v>1681</v>
      </c>
      <c r="AC737" s="14">
        <v>2220601</v>
      </c>
      <c r="AD737" s="14" t="s">
        <v>1682</v>
      </c>
      <c r="AE737" s="82">
        <v>11000000</v>
      </c>
      <c r="AF737" s="82">
        <v>0</v>
      </c>
      <c r="AG737" s="82">
        <v>0</v>
      </c>
      <c r="AH737" s="82">
        <v>0</v>
      </c>
      <c r="AI737" s="82">
        <v>0</v>
      </c>
      <c r="AJ737" s="82">
        <v>0</v>
      </c>
      <c r="AK737" s="82">
        <v>0</v>
      </c>
      <c r="AL737" s="82">
        <v>0</v>
      </c>
      <c r="AM737" s="82">
        <v>0</v>
      </c>
      <c r="AN737" s="82">
        <v>0</v>
      </c>
      <c r="AO737" s="82">
        <v>0</v>
      </c>
      <c r="AP737" s="82">
        <v>0</v>
      </c>
      <c r="AQ737" s="82">
        <v>0</v>
      </c>
      <c r="AR737" s="82">
        <v>0</v>
      </c>
      <c r="AS737" s="82">
        <v>0</v>
      </c>
      <c r="AT737" s="82">
        <v>0</v>
      </c>
      <c r="AU737" s="82">
        <v>0</v>
      </c>
      <c r="AV737" s="82">
        <v>0</v>
      </c>
      <c r="AW737" s="82">
        <v>0</v>
      </c>
      <c r="AX737" s="82">
        <v>200000</v>
      </c>
      <c r="AY737" s="82">
        <v>0</v>
      </c>
      <c r="AZ737" s="82">
        <v>3600000</v>
      </c>
      <c r="BA737" s="82">
        <v>0</v>
      </c>
      <c r="BB737" s="82">
        <v>7200000</v>
      </c>
      <c r="BC737" s="82">
        <f t="shared" ref="BC737:BD737" si="1469">AE737+AG737+AI737+AK737+AM737+AO737+AQ737+AS737+AU737+AW737+AY737+BA737</f>
        <v>11000000</v>
      </c>
      <c r="BD737" s="82">
        <f t="shared" si="1469"/>
        <v>11000000</v>
      </c>
      <c r="BE737" s="83">
        <f t="shared" si="1328"/>
        <v>0</v>
      </c>
      <c r="BF737" s="83">
        <f t="shared" si="1329"/>
        <v>0</v>
      </c>
      <c r="BG737" s="14" t="str">
        <f ca="1">IFERROR(__xludf.DUMMYFUNCTION("REGEXEXTRACT(O731,""^\S+\s(.+)$"")")," Prestar servicios profesionales para apoyar en la identificación y análisis de variables para planes subsectoriales, mediante la recopilación, organización y documentación de información socioambiental que contribuya a la planificación sostenible de la U"&amp;"PME.")</f>
        <v xml:space="preserve"> Prestar servicios profesionales para apoyar en la identificación y análisis de variables para planes subsectoriales, mediante la recopilación, organización y documentación de información socioambiental que contribuya a la planificación sostenible de la UPME.</v>
      </c>
      <c r="BH737" s="23">
        <v>11000000</v>
      </c>
      <c r="BI737" s="23"/>
      <c r="BJ737" s="23"/>
      <c r="BK737" s="23"/>
      <c r="BL737" s="23"/>
      <c r="BM737" s="23"/>
      <c r="BN737" s="23"/>
      <c r="BO737" s="23"/>
      <c r="BP737" s="23"/>
      <c r="BQ737" s="23"/>
      <c r="BR737" s="23"/>
      <c r="BS737" s="23"/>
      <c r="BT737" s="23"/>
      <c r="BU737" s="23"/>
      <c r="BV737" s="23"/>
      <c r="BW737" s="23"/>
      <c r="BX737" s="23"/>
      <c r="BY737" s="23"/>
      <c r="BZ737" s="23"/>
      <c r="CA737" s="23">
        <v>200000</v>
      </c>
      <c r="CB737" s="23"/>
      <c r="CC737" s="23">
        <v>3600000</v>
      </c>
      <c r="CD737" s="23"/>
      <c r="CE737" s="23">
        <v>7200000</v>
      </c>
      <c r="CF737" s="28"/>
      <c r="CG737" s="28"/>
      <c r="CH737" s="25">
        <f t="shared" ref="CH737:CI737" si="1470">BH737+BJ737+BL737+BN737+BP737+BR737+BT737+BV737+BX737+BZ737+CB737+CD737+CF737</f>
        <v>11000000</v>
      </c>
      <c r="CI737" s="25">
        <f t="shared" si="1470"/>
        <v>11000000</v>
      </c>
      <c r="CJ737" s="26">
        <f t="shared" si="1331"/>
        <v>0</v>
      </c>
      <c r="CK737" s="26">
        <f t="shared" si="1332"/>
        <v>0</v>
      </c>
    </row>
    <row r="738" spans="1:89" ht="90" customHeight="1" x14ac:dyDescent="0.3">
      <c r="A738" s="13" t="s">
        <v>248</v>
      </c>
      <c r="B738" s="14" t="s">
        <v>53</v>
      </c>
      <c r="C738" s="15" t="s">
        <v>1676</v>
      </c>
      <c r="D738" s="14" t="s">
        <v>66</v>
      </c>
      <c r="E738" s="13" t="s">
        <v>339</v>
      </c>
      <c r="F738" s="13" t="s">
        <v>250</v>
      </c>
      <c r="G738" s="14">
        <v>2</v>
      </c>
      <c r="H738" s="13" t="s">
        <v>1870</v>
      </c>
      <c r="I738" s="15" t="s">
        <v>1723</v>
      </c>
      <c r="J738" s="14" t="s">
        <v>9</v>
      </c>
      <c r="K738" s="15" t="s">
        <v>74</v>
      </c>
      <c r="L738" s="14" t="s">
        <v>1871</v>
      </c>
      <c r="M738" s="14" t="s">
        <v>57</v>
      </c>
      <c r="N738" s="14" t="s">
        <v>341</v>
      </c>
      <c r="O738" s="15" t="s">
        <v>1872</v>
      </c>
      <c r="P738" s="14" t="s">
        <v>258</v>
      </c>
      <c r="Q738" s="14" t="s">
        <v>258</v>
      </c>
      <c r="R738" s="14" t="s">
        <v>258</v>
      </c>
      <c r="S738" s="14" t="s">
        <v>258</v>
      </c>
      <c r="T738" s="14" t="s">
        <v>258</v>
      </c>
      <c r="U738" s="14" t="s">
        <v>258</v>
      </c>
      <c r="V738" s="14" t="s">
        <v>112</v>
      </c>
      <c r="W738" s="18">
        <v>5000000</v>
      </c>
      <c r="X738" s="18">
        <v>5000000</v>
      </c>
      <c r="Y738" s="19" t="s">
        <v>339</v>
      </c>
      <c r="Z738" s="19" t="s">
        <v>258</v>
      </c>
      <c r="AA738" s="14" t="s">
        <v>1680</v>
      </c>
      <c r="AB738" s="14" t="s">
        <v>1681</v>
      </c>
      <c r="AC738" s="14">
        <v>2220601</v>
      </c>
      <c r="AD738" s="14" t="s">
        <v>1682</v>
      </c>
      <c r="AE738" s="82">
        <v>0</v>
      </c>
      <c r="AF738" s="82">
        <v>0</v>
      </c>
      <c r="AG738" s="82">
        <v>0</v>
      </c>
      <c r="AH738" s="82">
        <v>0</v>
      </c>
      <c r="AI738" s="82">
        <v>0</v>
      </c>
      <c r="AJ738" s="82">
        <v>0</v>
      </c>
      <c r="AK738" s="82">
        <v>2500000</v>
      </c>
      <c r="AL738" s="82">
        <v>2500000</v>
      </c>
      <c r="AM738" s="82">
        <v>2500000</v>
      </c>
      <c r="AN738" s="82">
        <v>2500000</v>
      </c>
      <c r="AO738" s="82">
        <v>0</v>
      </c>
      <c r="AP738" s="82">
        <v>0</v>
      </c>
      <c r="AQ738" s="82">
        <v>0</v>
      </c>
      <c r="AR738" s="82">
        <v>0</v>
      </c>
      <c r="AS738" s="82">
        <v>0</v>
      </c>
      <c r="AT738" s="82">
        <v>0</v>
      </c>
      <c r="AU738" s="82">
        <v>0</v>
      </c>
      <c r="AV738" s="82">
        <v>0</v>
      </c>
      <c r="AW738" s="82">
        <v>0</v>
      </c>
      <c r="AX738" s="82">
        <v>0</v>
      </c>
      <c r="AY738" s="82">
        <v>0</v>
      </c>
      <c r="AZ738" s="82">
        <v>0</v>
      </c>
      <c r="BA738" s="82">
        <v>0</v>
      </c>
      <c r="BB738" s="82">
        <v>0</v>
      </c>
      <c r="BC738" s="82">
        <f t="shared" ref="BC738:BD738" si="1471">AE738+AG738+AI738+AK738+AM738+AO738+AQ738+AS738+AU738+AW738+AY738+BA738</f>
        <v>5000000</v>
      </c>
      <c r="BD738" s="82">
        <f t="shared" si="1471"/>
        <v>5000000</v>
      </c>
      <c r="BE738" s="83">
        <f t="shared" si="1328"/>
        <v>0</v>
      </c>
      <c r="BF738" s="83">
        <f t="shared" si="1329"/>
        <v>0</v>
      </c>
      <c r="BG738" s="14" t="str">
        <f ca="1">IFERROR(__xludf.DUMMYFUNCTION("REGEXEXTRACT(O732,""^\S+\s(.+)$"")"),"Viáticos o gastos de desplazamiento")</f>
        <v>Viáticos o gastos de desplazamiento</v>
      </c>
      <c r="BH738" s="23"/>
      <c r="BI738" s="23"/>
      <c r="BJ738" s="23"/>
      <c r="BK738" s="23"/>
      <c r="BL738" s="23"/>
      <c r="BM738" s="23"/>
      <c r="BN738" s="23">
        <v>2500000</v>
      </c>
      <c r="BO738" s="23">
        <v>2500000</v>
      </c>
      <c r="BP738" s="23">
        <v>2500000</v>
      </c>
      <c r="BQ738" s="23">
        <v>2500000</v>
      </c>
      <c r="BR738" s="23"/>
      <c r="BS738" s="23"/>
      <c r="BT738" s="23"/>
      <c r="BU738" s="23"/>
      <c r="BV738" s="23"/>
      <c r="BW738" s="23"/>
      <c r="BX738" s="23"/>
      <c r="BY738" s="23"/>
      <c r="BZ738" s="23"/>
      <c r="CA738" s="23"/>
      <c r="CB738" s="23"/>
      <c r="CC738" s="23"/>
      <c r="CD738" s="23"/>
      <c r="CE738" s="23"/>
      <c r="CF738" s="28"/>
      <c r="CG738" s="28"/>
      <c r="CH738" s="25">
        <f t="shared" ref="CH738:CI738" si="1472">BH738+BJ738+BL738+BN738+BP738+BR738+BT738+BV738+BX738+BZ738+CB738+CD738+CF738</f>
        <v>5000000</v>
      </c>
      <c r="CI738" s="25">
        <f t="shared" si="1472"/>
        <v>5000000</v>
      </c>
      <c r="CJ738" s="26">
        <f t="shared" si="1331"/>
        <v>0</v>
      </c>
      <c r="CK738" s="26">
        <f t="shared" si="1332"/>
        <v>0</v>
      </c>
    </row>
    <row r="739" spans="1:89" ht="90" customHeight="1" x14ac:dyDescent="0.3">
      <c r="A739" s="13" t="s">
        <v>248</v>
      </c>
      <c r="B739" s="14" t="s">
        <v>53</v>
      </c>
      <c r="C739" s="15" t="s">
        <v>1676</v>
      </c>
      <c r="D739" s="14" t="s">
        <v>66</v>
      </c>
      <c r="E739" s="13" t="s">
        <v>1106</v>
      </c>
      <c r="F739" s="13" t="s">
        <v>250</v>
      </c>
      <c r="G739" s="14">
        <v>17</v>
      </c>
      <c r="H739" s="13" t="s">
        <v>1873</v>
      </c>
      <c r="I739" s="15" t="s">
        <v>1678</v>
      </c>
      <c r="J739" s="14" t="s">
        <v>1874</v>
      </c>
      <c r="K739" s="15" t="s">
        <v>94</v>
      </c>
      <c r="L739" s="14">
        <v>80141607</v>
      </c>
      <c r="M739" s="14" t="s">
        <v>58</v>
      </c>
      <c r="N739" s="14" t="s">
        <v>284</v>
      </c>
      <c r="O739" s="15" t="s">
        <v>1875</v>
      </c>
      <c r="P739" s="14" t="s">
        <v>255</v>
      </c>
      <c r="Q739" s="14" t="s">
        <v>255</v>
      </c>
      <c r="R739" s="14" t="s">
        <v>255</v>
      </c>
      <c r="S739" s="14">
        <v>11</v>
      </c>
      <c r="T739" s="14" t="s">
        <v>256</v>
      </c>
      <c r="U739" s="14" t="s">
        <v>286</v>
      </c>
      <c r="V739" s="14" t="s">
        <v>113</v>
      </c>
      <c r="W739" s="18">
        <v>1000000</v>
      </c>
      <c r="X739" s="18">
        <v>1000000</v>
      </c>
      <c r="Y739" s="19" t="s">
        <v>339</v>
      </c>
      <c r="Z739" s="19" t="s">
        <v>258</v>
      </c>
      <c r="AA739" s="14" t="s">
        <v>1680</v>
      </c>
      <c r="AB739" s="14" t="s">
        <v>1681</v>
      </c>
      <c r="AC739" s="14">
        <v>2220601</v>
      </c>
      <c r="AD739" s="14" t="s">
        <v>1682</v>
      </c>
      <c r="AE739" s="82">
        <v>0</v>
      </c>
      <c r="AF739" s="82">
        <v>0</v>
      </c>
      <c r="AG739" s="82">
        <v>0</v>
      </c>
      <c r="AH739" s="82">
        <v>0</v>
      </c>
      <c r="AI739" s="82">
        <v>0</v>
      </c>
      <c r="AJ739" s="82">
        <v>0</v>
      </c>
      <c r="AK739" s="82">
        <v>0</v>
      </c>
      <c r="AL739" s="82">
        <v>0</v>
      </c>
      <c r="AM739" s="82">
        <v>0</v>
      </c>
      <c r="AN739" s="82">
        <v>0</v>
      </c>
      <c r="AO739" s="82">
        <v>0</v>
      </c>
      <c r="AP739" s="82">
        <v>0</v>
      </c>
      <c r="AQ739" s="82">
        <v>0</v>
      </c>
      <c r="AR739" s="82">
        <v>0</v>
      </c>
      <c r="AS739" s="82">
        <v>0</v>
      </c>
      <c r="AT739" s="82">
        <v>0</v>
      </c>
      <c r="AU739" s="82">
        <v>0</v>
      </c>
      <c r="AV739" s="82">
        <v>0</v>
      </c>
      <c r="AW739" s="82">
        <v>0</v>
      </c>
      <c r="AX739" s="82">
        <v>0</v>
      </c>
      <c r="AY739" s="82">
        <v>0</v>
      </c>
      <c r="AZ739" s="82">
        <v>0</v>
      </c>
      <c r="BA739" s="82">
        <v>1000000</v>
      </c>
      <c r="BB739" s="82">
        <v>1000000</v>
      </c>
      <c r="BC739" s="82">
        <f t="shared" ref="BC739:BD739" si="1473">AE739+AG739+AI739+AK739+AM739+AO739+AQ739+AS739+AU739+AW739+AY739+BA739</f>
        <v>1000000</v>
      </c>
      <c r="BD739" s="82">
        <f t="shared" si="1473"/>
        <v>1000000</v>
      </c>
      <c r="BE739" s="83">
        <f t="shared" si="1328"/>
        <v>0</v>
      </c>
      <c r="BF739" s="83">
        <f t="shared" si="1329"/>
        <v>0</v>
      </c>
      <c r="BG739" s="14" t="str">
        <f ca="1">IFERROR(__xludf.DUMMYFUNCTION("REGEXEXTRACT(O733,""^\S+\s(.+)$"")"),"Prestación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v>1000000</v>
      </c>
      <c r="CE739" s="23">
        <v>1000000</v>
      </c>
      <c r="CF739" s="28"/>
      <c r="CG739" s="28"/>
      <c r="CH739" s="25">
        <f t="shared" ref="CH739:CI739" si="1474">BH739+BJ739+BL739+BN739+BP739+BR739+BT739+BV739+BX739+BZ739+CB739+CD739+CF739</f>
        <v>1000000</v>
      </c>
      <c r="CI739" s="25">
        <f t="shared" si="1474"/>
        <v>1000000</v>
      </c>
      <c r="CJ739" s="26">
        <f t="shared" si="1331"/>
        <v>0</v>
      </c>
      <c r="CK739" s="26">
        <f t="shared" si="1332"/>
        <v>0</v>
      </c>
    </row>
    <row r="740" spans="1:89" ht="90" customHeight="1" x14ac:dyDescent="0.3">
      <c r="A740" s="13" t="s">
        <v>248</v>
      </c>
      <c r="B740" s="14" t="s">
        <v>53</v>
      </c>
      <c r="C740" s="15" t="s">
        <v>1676</v>
      </c>
      <c r="D740" s="14" t="s">
        <v>66</v>
      </c>
      <c r="E740" s="13" t="s">
        <v>1106</v>
      </c>
      <c r="F740" s="13" t="s">
        <v>250</v>
      </c>
      <c r="G740" s="14">
        <v>17</v>
      </c>
      <c r="H740" s="13" t="s">
        <v>1876</v>
      </c>
      <c r="I740" s="15" t="s">
        <v>1678</v>
      </c>
      <c r="J740" s="14" t="s">
        <v>1874</v>
      </c>
      <c r="K740" s="15" t="s">
        <v>95</v>
      </c>
      <c r="L740" s="14">
        <v>80141607</v>
      </c>
      <c r="M740" s="14" t="s">
        <v>58</v>
      </c>
      <c r="N740" s="14" t="s">
        <v>284</v>
      </c>
      <c r="O740" s="15" t="s">
        <v>1877</v>
      </c>
      <c r="P740" s="14" t="s">
        <v>255</v>
      </c>
      <c r="Q740" s="14" t="s">
        <v>255</v>
      </c>
      <c r="R740" s="14" t="s">
        <v>255</v>
      </c>
      <c r="S740" s="14">
        <v>11</v>
      </c>
      <c r="T740" s="14" t="s">
        <v>256</v>
      </c>
      <c r="U740" s="14" t="s">
        <v>1878</v>
      </c>
      <c r="V740" s="14" t="s">
        <v>113</v>
      </c>
      <c r="W740" s="18">
        <v>20000000</v>
      </c>
      <c r="X740" s="18">
        <v>20000000</v>
      </c>
      <c r="Y740" s="19" t="s">
        <v>339</v>
      </c>
      <c r="Z740" s="19" t="s">
        <v>258</v>
      </c>
      <c r="AA740" s="14" t="s">
        <v>1680</v>
      </c>
      <c r="AB740" s="14" t="s">
        <v>1681</v>
      </c>
      <c r="AC740" s="14">
        <v>2220601</v>
      </c>
      <c r="AD740" s="14" t="s">
        <v>1682</v>
      </c>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c r="BC740" s="82">
        <f t="shared" ref="BC740:BD740" si="1475">AE740+AG740+AI740+AK740+AM740+AO740+AQ740+AS740+AU740+AW740+AY740+BA740</f>
        <v>0</v>
      </c>
      <c r="BD740" s="82">
        <f t="shared" si="1475"/>
        <v>0</v>
      </c>
      <c r="BE740" s="83">
        <f t="shared" si="1328"/>
        <v>20000000</v>
      </c>
      <c r="BF740" s="83">
        <f t="shared" si="1329"/>
        <v>20000000</v>
      </c>
      <c r="BG740" s="15" t="s">
        <v>1879</v>
      </c>
      <c r="BH740" s="23">
        <v>0</v>
      </c>
      <c r="BI740" s="23">
        <v>0</v>
      </c>
      <c r="BJ740" s="23">
        <v>0</v>
      </c>
      <c r="BK740" s="23">
        <v>0</v>
      </c>
      <c r="BL740" s="23">
        <v>0</v>
      </c>
      <c r="BM740" s="23">
        <v>0</v>
      </c>
      <c r="BN740" s="23">
        <v>20000000</v>
      </c>
      <c r="BO740" s="23">
        <v>0</v>
      </c>
      <c r="BP740" s="23">
        <v>0</v>
      </c>
      <c r="BQ740" s="23">
        <v>0</v>
      </c>
      <c r="BR740" s="23">
        <v>0</v>
      </c>
      <c r="BS740" s="23">
        <v>0</v>
      </c>
      <c r="BT740" s="23">
        <v>0</v>
      </c>
      <c r="BU740" s="23">
        <v>0</v>
      </c>
      <c r="BV740" s="23">
        <v>0</v>
      </c>
      <c r="BW740" s="23">
        <v>0</v>
      </c>
      <c r="BX740" s="23">
        <v>0</v>
      </c>
      <c r="BY740" s="23">
        <v>0</v>
      </c>
      <c r="BZ740" s="23">
        <v>0</v>
      </c>
      <c r="CA740" s="23">
        <v>0</v>
      </c>
      <c r="CB740" s="23">
        <v>0</v>
      </c>
      <c r="CC740" s="23">
        <v>0</v>
      </c>
      <c r="CD740" s="23">
        <v>0</v>
      </c>
      <c r="CE740" s="23">
        <v>20000000</v>
      </c>
      <c r="CF740" s="28"/>
      <c r="CG740" s="28"/>
      <c r="CH740" s="25">
        <f t="shared" ref="CH740:CI740" si="1476">BH740+BJ740+BL740+BN740+BP740+BR740+BT740+BV740+BX740+BZ740+CB740+CD740+CF740</f>
        <v>20000000</v>
      </c>
      <c r="CI740" s="25">
        <f t="shared" si="1476"/>
        <v>20000000</v>
      </c>
      <c r="CJ740" s="26">
        <f t="shared" si="1331"/>
        <v>0</v>
      </c>
      <c r="CK740" s="26">
        <f t="shared" si="1332"/>
        <v>0</v>
      </c>
    </row>
    <row r="741" spans="1:89" ht="90" customHeight="1" x14ac:dyDescent="0.3">
      <c r="A741" s="13" t="s">
        <v>248</v>
      </c>
      <c r="B741" s="14" t="s">
        <v>53</v>
      </c>
      <c r="C741" s="15" t="s">
        <v>1676</v>
      </c>
      <c r="D741" s="14" t="s">
        <v>66</v>
      </c>
      <c r="E741" s="13" t="s">
        <v>1106</v>
      </c>
      <c r="F741" s="13" t="s">
        <v>250</v>
      </c>
      <c r="G741" s="14">
        <v>17</v>
      </c>
      <c r="H741" s="13" t="s">
        <v>1880</v>
      </c>
      <c r="I741" s="15" t="s">
        <v>1805</v>
      </c>
      <c r="J741" s="14" t="s">
        <v>15</v>
      </c>
      <c r="K741" s="15" t="s">
        <v>70</v>
      </c>
      <c r="L741" s="14" t="s">
        <v>258</v>
      </c>
      <c r="M741" s="14" t="s">
        <v>56</v>
      </c>
      <c r="N741" s="14" t="s">
        <v>341</v>
      </c>
      <c r="O741" s="15" t="s">
        <v>1881</v>
      </c>
      <c r="P741" s="14" t="s">
        <v>258</v>
      </c>
      <c r="Q741" s="14" t="s">
        <v>258</v>
      </c>
      <c r="R741" s="14" t="s">
        <v>258</v>
      </c>
      <c r="S741" s="14" t="s">
        <v>258</v>
      </c>
      <c r="T741" s="14" t="s">
        <v>258</v>
      </c>
      <c r="U741" s="14" t="s">
        <v>258</v>
      </c>
      <c r="V741" s="14" t="s">
        <v>112</v>
      </c>
      <c r="W741" s="18">
        <v>30000000</v>
      </c>
      <c r="X741" s="18">
        <v>30000000</v>
      </c>
      <c r="Y741" s="19" t="s">
        <v>339</v>
      </c>
      <c r="Z741" s="19" t="s">
        <v>258</v>
      </c>
      <c r="AA741" s="14" t="s">
        <v>1680</v>
      </c>
      <c r="AB741" s="14" t="s">
        <v>1681</v>
      </c>
      <c r="AC741" s="14">
        <v>2220601</v>
      </c>
      <c r="AD741" s="14" t="s">
        <v>1682</v>
      </c>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c r="BC741" s="82">
        <f t="shared" ref="BC741:BD741" si="1477">AE741+AG741+AI741+AK741+AM741+AO741+AQ741+AS741+AU741+AW741+AY741+BA741</f>
        <v>0</v>
      </c>
      <c r="BD741" s="82">
        <f t="shared" si="1477"/>
        <v>0</v>
      </c>
      <c r="BE741" s="83">
        <f t="shared" si="1328"/>
        <v>30000000</v>
      </c>
      <c r="BF741" s="83">
        <f t="shared" si="1329"/>
        <v>30000000</v>
      </c>
      <c r="BG741" s="14"/>
      <c r="BH741" s="23">
        <v>0</v>
      </c>
      <c r="BI741" s="23">
        <v>0</v>
      </c>
      <c r="BJ741" s="23">
        <v>2500000</v>
      </c>
      <c r="BK741" s="23">
        <v>2500000</v>
      </c>
      <c r="BL741" s="23">
        <v>2500000</v>
      </c>
      <c r="BM741" s="23">
        <v>2500000</v>
      </c>
      <c r="BN741" s="23">
        <v>2500000</v>
      </c>
      <c r="BO741" s="23">
        <v>2500000</v>
      </c>
      <c r="BP741" s="23">
        <v>2500000</v>
      </c>
      <c r="BQ741" s="23">
        <v>2500000</v>
      </c>
      <c r="BR741" s="23">
        <v>5000000</v>
      </c>
      <c r="BS741" s="23">
        <v>5000000</v>
      </c>
      <c r="BT741" s="23">
        <v>2500000</v>
      </c>
      <c r="BU741" s="23">
        <v>2500000</v>
      </c>
      <c r="BV741" s="23">
        <v>2500000</v>
      </c>
      <c r="BW741" s="23">
        <v>2500000</v>
      </c>
      <c r="BX741" s="23">
        <v>2500000</v>
      </c>
      <c r="BY741" s="23">
        <v>2500000</v>
      </c>
      <c r="BZ741" s="23">
        <v>2500000</v>
      </c>
      <c r="CA741" s="23">
        <v>2500000</v>
      </c>
      <c r="CB741" s="23">
        <v>2500000</v>
      </c>
      <c r="CC741" s="23">
        <v>2500000</v>
      </c>
      <c r="CD741" s="23">
        <v>2500000</v>
      </c>
      <c r="CE741" s="23">
        <v>2500000</v>
      </c>
      <c r="CF741" s="28"/>
      <c r="CG741" s="28"/>
      <c r="CH741" s="25">
        <f t="shared" ref="CH741:CI741" si="1478">BH741+BJ741+BL741+BN741+BP741+BR741+BT741+BV741+BX741+BZ741+CB741+CD741+CF741</f>
        <v>30000000</v>
      </c>
      <c r="CI741" s="25">
        <f t="shared" si="1478"/>
        <v>30000000</v>
      </c>
      <c r="CJ741" s="26">
        <f t="shared" si="1331"/>
        <v>0</v>
      </c>
      <c r="CK741" s="26">
        <f t="shared" si="1332"/>
        <v>0</v>
      </c>
    </row>
    <row r="742" spans="1:89" ht="90" customHeight="1" x14ac:dyDescent="0.3">
      <c r="A742" s="13" t="s">
        <v>248</v>
      </c>
      <c r="B742" s="14" t="s">
        <v>53</v>
      </c>
      <c r="C742" s="15" t="s">
        <v>1676</v>
      </c>
      <c r="D742" s="14" t="s">
        <v>66</v>
      </c>
      <c r="E742" s="13" t="s">
        <v>1106</v>
      </c>
      <c r="F742" s="13" t="s">
        <v>250</v>
      </c>
      <c r="G742" s="14">
        <v>17</v>
      </c>
      <c r="H742" s="13" t="s">
        <v>1882</v>
      </c>
      <c r="I742" s="15" t="s">
        <v>1723</v>
      </c>
      <c r="J742" s="14" t="s">
        <v>54</v>
      </c>
      <c r="K742" s="15" t="s">
        <v>92</v>
      </c>
      <c r="L742" s="14" t="s">
        <v>258</v>
      </c>
      <c r="M742" s="14" t="s">
        <v>55</v>
      </c>
      <c r="N742" s="14" t="s">
        <v>341</v>
      </c>
      <c r="O742" s="15" t="s">
        <v>1883</v>
      </c>
      <c r="P742" s="14" t="s">
        <v>258</v>
      </c>
      <c r="Q742" s="14" t="s">
        <v>258</v>
      </c>
      <c r="R742" s="14" t="s">
        <v>258</v>
      </c>
      <c r="S742" s="14" t="s">
        <v>258</v>
      </c>
      <c r="T742" s="14" t="s">
        <v>258</v>
      </c>
      <c r="U742" s="14" t="s">
        <v>258</v>
      </c>
      <c r="V742" s="14" t="s">
        <v>112</v>
      </c>
      <c r="W742" s="18">
        <v>7250000</v>
      </c>
      <c r="X742" s="18">
        <v>7250000</v>
      </c>
      <c r="Y742" s="19" t="s">
        <v>339</v>
      </c>
      <c r="Z742" s="19" t="s">
        <v>258</v>
      </c>
      <c r="AA742" s="14" t="s">
        <v>1680</v>
      </c>
      <c r="AB742" s="14" t="s">
        <v>1681</v>
      </c>
      <c r="AC742" s="14">
        <v>2220601</v>
      </c>
      <c r="AD742" s="14" t="s">
        <v>1682</v>
      </c>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f t="shared" ref="BC742:BD742" si="1479">AE742+AG742+AI742+AK742+AM742+AO742+AQ742+AS742+AU742+AW742+AY742+BA742</f>
        <v>0</v>
      </c>
      <c r="BD742" s="82">
        <f t="shared" si="1479"/>
        <v>0</v>
      </c>
      <c r="BE742" s="83">
        <f t="shared" si="1328"/>
        <v>7250000</v>
      </c>
      <c r="BF742" s="83">
        <f t="shared" si="1329"/>
        <v>7250000</v>
      </c>
      <c r="BG742" s="14"/>
      <c r="BH742" s="23">
        <v>0</v>
      </c>
      <c r="BI742" s="23">
        <v>0</v>
      </c>
      <c r="BJ742" s="23">
        <v>0</v>
      </c>
      <c r="BK742" s="23">
        <v>0</v>
      </c>
      <c r="BL742" s="23">
        <v>0</v>
      </c>
      <c r="BM742" s="23">
        <v>0</v>
      </c>
      <c r="BN742" s="23">
        <v>0</v>
      </c>
      <c r="BO742" s="23">
        <v>0</v>
      </c>
      <c r="BP742" s="23">
        <v>0</v>
      </c>
      <c r="BQ742" s="23">
        <v>0</v>
      </c>
      <c r="BR742" s="23">
        <v>1000000</v>
      </c>
      <c r="BS742" s="23">
        <v>1000000</v>
      </c>
      <c r="BT742" s="23">
        <v>1000000</v>
      </c>
      <c r="BU742" s="23">
        <v>1000000</v>
      </c>
      <c r="BV742" s="23">
        <v>1000000</v>
      </c>
      <c r="BW742" s="23">
        <v>1000000</v>
      </c>
      <c r="BX742" s="23">
        <v>1000000</v>
      </c>
      <c r="BY742" s="23">
        <v>1000000</v>
      </c>
      <c r="BZ742" s="23">
        <v>1000000</v>
      </c>
      <c r="CA742" s="23">
        <v>1000000</v>
      </c>
      <c r="CB742" s="23">
        <v>1000000</v>
      </c>
      <c r="CC742" s="23">
        <v>1000000</v>
      </c>
      <c r="CD742" s="23">
        <v>1250000</v>
      </c>
      <c r="CE742" s="23">
        <v>1250000</v>
      </c>
      <c r="CF742" s="28"/>
      <c r="CG742" s="28"/>
      <c r="CH742" s="25">
        <f t="shared" ref="CH742:CI742" si="1480">BH742+BJ742+BL742+BN742+BP742+BR742+BT742+BV742+BX742+BZ742+CB742+CD742+CF742</f>
        <v>7250000</v>
      </c>
      <c r="CI742" s="25">
        <f t="shared" si="1480"/>
        <v>7250000</v>
      </c>
      <c r="CJ742" s="26">
        <f t="shared" si="1331"/>
        <v>0</v>
      </c>
      <c r="CK742" s="26">
        <f t="shared" si="1332"/>
        <v>0</v>
      </c>
    </row>
    <row r="743" spans="1:89" ht="90" customHeight="1" x14ac:dyDescent="0.3">
      <c r="A743" s="13" t="s">
        <v>248</v>
      </c>
      <c r="B743" s="14" t="s">
        <v>53</v>
      </c>
      <c r="C743" s="15" t="s">
        <v>1676</v>
      </c>
      <c r="D743" s="14" t="s">
        <v>66</v>
      </c>
      <c r="E743" s="13" t="s">
        <v>1106</v>
      </c>
      <c r="F743" s="13" t="s">
        <v>250</v>
      </c>
      <c r="G743" s="14">
        <v>17</v>
      </c>
      <c r="H743" s="13" t="s">
        <v>1884</v>
      </c>
      <c r="I743" s="15" t="s">
        <v>1723</v>
      </c>
      <c r="J743" s="14" t="s">
        <v>54</v>
      </c>
      <c r="K743" s="15" t="s">
        <v>92</v>
      </c>
      <c r="L743" s="14">
        <v>81121503</v>
      </c>
      <c r="M743" s="14" t="s">
        <v>55</v>
      </c>
      <c r="N743" s="14" t="s">
        <v>471</v>
      </c>
      <c r="O743" s="15" t="s">
        <v>1885</v>
      </c>
      <c r="P743" s="14" t="s">
        <v>477</v>
      </c>
      <c r="Q743" s="14" t="s">
        <v>614</v>
      </c>
      <c r="R743" s="14" t="s">
        <v>774</v>
      </c>
      <c r="S743" s="14">
        <v>5</v>
      </c>
      <c r="T743" s="14" t="s">
        <v>256</v>
      </c>
      <c r="U743" s="14" t="s">
        <v>1886</v>
      </c>
      <c r="V743" s="14" t="s">
        <v>112</v>
      </c>
      <c r="W743" s="18">
        <v>6000000</v>
      </c>
      <c r="X743" s="18">
        <v>6000000</v>
      </c>
      <c r="Y743" s="19" t="s">
        <v>339</v>
      </c>
      <c r="Z743" s="19" t="s">
        <v>258</v>
      </c>
      <c r="AA743" s="14" t="s">
        <v>1680</v>
      </c>
      <c r="AB743" s="14" t="s">
        <v>1681</v>
      </c>
      <c r="AC743" s="14">
        <v>2220601</v>
      </c>
      <c r="AD743" s="14" t="s">
        <v>1682</v>
      </c>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c r="BC743" s="82">
        <f t="shared" ref="BC743:BD743" si="1481">AE743+AG743+AI743+AK743+AM743+AO743+AQ743+AS743+AU743+AW743+AY743+BA743</f>
        <v>0</v>
      </c>
      <c r="BD743" s="82">
        <f t="shared" si="1481"/>
        <v>0</v>
      </c>
      <c r="BE743" s="83">
        <f t="shared" si="1328"/>
        <v>6000000</v>
      </c>
      <c r="BF743" s="83">
        <f t="shared" si="1329"/>
        <v>6000000</v>
      </c>
      <c r="BG743" s="14"/>
      <c r="BH743" s="23">
        <v>0</v>
      </c>
      <c r="BI743" s="23">
        <v>0</v>
      </c>
      <c r="BJ743" s="23">
        <v>0</v>
      </c>
      <c r="BK743" s="23">
        <v>0</v>
      </c>
      <c r="BL743" s="23">
        <v>0</v>
      </c>
      <c r="BM743" s="23">
        <v>0</v>
      </c>
      <c r="BN743" s="23">
        <v>0</v>
      </c>
      <c r="BO743" s="23">
        <v>0</v>
      </c>
      <c r="BP743" s="23">
        <v>0</v>
      </c>
      <c r="BQ743" s="23">
        <v>0</v>
      </c>
      <c r="BR743" s="23">
        <v>0</v>
      </c>
      <c r="BS743" s="23">
        <v>0</v>
      </c>
      <c r="BT743" s="23">
        <v>6000000</v>
      </c>
      <c r="BU743" s="23">
        <v>0</v>
      </c>
      <c r="BV743" s="23">
        <v>0</v>
      </c>
      <c r="BW743" s="23">
        <v>0</v>
      </c>
      <c r="BX743" s="23">
        <v>0</v>
      </c>
      <c r="BY743" s="23">
        <v>6000000</v>
      </c>
      <c r="BZ743" s="23">
        <v>0</v>
      </c>
      <c r="CA743" s="23">
        <v>0</v>
      </c>
      <c r="CB743" s="23">
        <v>0</v>
      </c>
      <c r="CC743" s="23">
        <v>0</v>
      </c>
      <c r="CD743" s="23">
        <v>0</v>
      </c>
      <c r="CE743" s="23">
        <v>0</v>
      </c>
      <c r="CF743" s="28"/>
      <c r="CG743" s="28"/>
      <c r="CH743" s="25">
        <f t="shared" ref="CH743:CI743" si="1482">BH743+BJ743+BL743+BN743+BP743+BR743+BT743+BV743+BX743+BZ743+CB743+CD743+CF743</f>
        <v>6000000</v>
      </c>
      <c r="CI743" s="25">
        <f t="shared" si="1482"/>
        <v>6000000</v>
      </c>
      <c r="CJ743" s="26">
        <f t="shared" si="1331"/>
        <v>0</v>
      </c>
      <c r="CK743" s="26">
        <f t="shared" si="1332"/>
        <v>0</v>
      </c>
    </row>
    <row r="744" spans="1:89" ht="90" customHeight="1" x14ac:dyDescent="0.3">
      <c r="A744" s="13" t="s">
        <v>248</v>
      </c>
      <c r="B744" s="14" t="s">
        <v>53</v>
      </c>
      <c r="C744" s="15" t="s">
        <v>1676</v>
      </c>
      <c r="D744" s="14" t="s">
        <v>66</v>
      </c>
      <c r="E744" s="13" t="s">
        <v>1106</v>
      </c>
      <c r="F744" s="13" t="s">
        <v>250</v>
      </c>
      <c r="G744" s="14">
        <v>17</v>
      </c>
      <c r="H744" s="13" t="s">
        <v>1887</v>
      </c>
      <c r="I744" s="15" t="s">
        <v>1723</v>
      </c>
      <c r="J744" s="14" t="s">
        <v>54</v>
      </c>
      <c r="K744" s="15" t="s">
        <v>92</v>
      </c>
      <c r="L744" s="14" t="s">
        <v>258</v>
      </c>
      <c r="M744" s="14" t="s">
        <v>55</v>
      </c>
      <c r="N744" s="14" t="s">
        <v>341</v>
      </c>
      <c r="O744" s="15" t="s">
        <v>1888</v>
      </c>
      <c r="P744" s="14" t="s">
        <v>258</v>
      </c>
      <c r="Q744" s="14" t="s">
        <v>258</v>
      </c>
      <c r="R744" s="14" t="s">
        <v>258</v>
      </c>
      <c r="S744" s="14" t="s">
        <v>258</v>
      </c>
      <c r="T744" s="14" t="s">
        <v>258</v>
      </c>
      <c r="U744" s="14" t="s">
        <v>258</v>
      </c>
      <c r="V744" s="14" t="s">
        <v>112</v>
      </c>
      <c r="W744" s="18">
        <v>20800000</v>
      </c>
      <c r="X744" s="18">
        <v>20800000</v>
      </c>
      <c r="Y744" s="19" t="s">
        <v>339</v>
      </c>
      <c r="Z744" s="19" t="s">
        <v>258</v>
      </c>
      <c r="AA744" s="14" t="s">
        <v>1680</v>
      </c>
      <c r="AB744" s="14" t="s">
        <v>1681</v>
      </c>
      <c r="AC744" s="14">
        <v>2220601</v>
      </c>
      <c r="AD744" s="14" t="s">
        <v>1682</v>
      </c>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c r="BC744" s="82">
        <f t="shared" ref="BC744:BD744" si="1483">AE744+AG744+AI744+AK744+AM744+AO744+AQ744+AS744+AU744+AW744+AY744+BA744</f>
        <v>0</v>
      </c>
      <c r="BD744" s="82">
        <f t="shared" si="1483"/>
        <v>0</v>
      </c>
      <c r="BE744" s="83">
        <f t="shared" si="1328"/>
        <v>20800000</v>
      </c>
      <c r="BF744" s="83">
        <f t="shared" si="1329"/>
        <v>20800000</v>
      </c>
      <c r="BG744" s="14"/>
      <c r="BH744" s="23">
        <v>0</v>
      </c>
      <c r="BI744" s="23">
        <v>0</v>
      </c>
      <c r="BJ744" s="23">
        <v>0</v>
      </c>
      <c r="BK744" s="23">
        <v>0</v>
      </c>
      <c r="BL744" s="23">
        <v>0</v>
      </c>
      <c r="BM744" s="23">
        <v>0</v>
      </c>
      <c r="BN744" s="23">
        <v>1000000</v>
      </c>
      <c r="BO744" s="23">
        <v>1000000</v>
      </c>
      <c r="BP744" s="23">
        <v>1000000</v>
      </c>
      <c r="BQ744" s="23">
        <v>1000000</v>
      </c>
      <c r="BR744" s="23">
        <v>1000000</v>
      </c>
      <c r="BS744" s="23">
        <v>1000000</v>
      </c>
      <c r="BT744" s="23">
        <v>1000000</v>
      </c>
      <c r="BU744" s="23">
        <v>1000000</v>
      </c>
      <c r="BV744" s="23">
        <v>1000000</v>
      </c>
      <c r="BW744" s="23">
        <v>1000000</v>
      </c>
      <c r="BX744" s="23">
        <v>1000000</v>
      </c>
      <c r="BY744" s="23">
        <v>1000000</v>
      </c>
      <c r="BZ744" s="23">
        <v>1000000</v>
      </c>
      <c r="CA744" s="23">
        <v>1000000</v>
      </c>
      <c r="CB744" s="23">
        <v>1000000</v>
      </c>
      <c r="CC744" s="23">
        <v>1000000</v>
      </c>
      <c r="CD744" s="23">
        <v>12800000</v>
      </c>
      <c r="CE744" s="23">
        <v>12800000</v>
      </c>
      <c r="CF744" s="28"/>
      <c r="CG744" s="28"/>
      <c r="CH744" s="25">
        <f t="shared" ref="CH744:CI744" si="1484">BH744+BJ744+BL744+BN744+BP744+BR744+BT744+BV744+BX744+BZ744+CB744+CD744+CF744</f>
        <v>20800000</v>
      </c>
      <c r="CI744" s="25">
        <f t="shared" si="1484"/>
        <v>20800000</v>
      </c>
      <c r="CJ744" s="26">
        <f t="shared" si="1331"/>
        <v>0</v>
      </c>
      <c r="CK744" s="26">
        <f t="shared" si="1332"/>
        <v>0</v>
      </c>
    </row>
    <row r="745" spans="1:89" ht="90" customHeight="1" x14ac:dyDescent="0.3">
      <c r="A745" s="13" t="s">
        <v>248</v>
      </c>
      <c r="B745" s="14" t="s">
        <v>53</v>
      </c>
      <c r="C745" s="15" t="s">
        <v>1676</v>
      </c>
      <c r="D745" s="14" t="s">
        <v>66</v>
      </c>
      <c r="E745" s="13" t="s">
        <v>1106</v>
      </c>
      <c r="F745" s="13" t="s">
        <v>250</v>
      </c>
      <c r="G745" s="14">
        <v>17</v>
      </c>
      <c r="H745" s="13" t="s">
        <v>1889</v>
      </c>
      <c r="I745" s="15" t="s">
        <v>1723</v>
      </c>
      <c r="J745" s="14" t="s">
        <v>54</v>
      </c>
      <c r="K745" s="15" t="s">
        <v>92</v>
      </c>
      <c r="L745" s="14">
        <v>78111502</v>
      </c>
      <c r="M745" s="14" t="s">
        <v>55</v>
      </c>
      <c r="N745" s="14" t="s">
        <v>337</v>
      </c>
      <c r="O745" s="15" t="s">
        <v>1890</v>
      </c>
      <c r="P745" s="14" t="s">
        <v>255</v>
      </c>
      <c r="Q745" s="14" t="s">
        <v>255</v>
      </c>
      <c r="R745" s="14" t="s">
        <v>255</v>
      </c>
      <c r="S745" s="14">
        <v>11</v>
      </c>
      <c r="T745" s="14" t="s">
        <v>256</v>
      </c>
      <c r="U745" s="14" t="s">
        <v>286</v>
      </c>
      <c r="V745" s="14" t="s">
        <v>112</v>
      </c>
      <c r="W745" s="18">
        <v>19950000</v>
      </c>
      <c r="X745" s="18">
        <v>19950000</v>
      </c>
      <c r="Y745" s="19" t="s">
        <v>339</v>
      </c>
      <c r="Z745" s="19" t="s">
        <v>258</v>
      </c>
      <c r="AA745" s="14" t="s">
        <v>1680</v>
      </c>
      <c r="AB745" s="14" t="s">
        <v>1681</v>
      </c>
      <c r="AC745" s="14">
        <v>2220601</v>
      </c>
      <c r="AD745" s="14" t="s">
        <v>1682</v>
      </c>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c r="BC745" s="82">
        <f t="shared" ref="BC745:BD745" si="1485">AE745+AG745+AI745+AK745+AM745+AO745+AQ745+AS745+AU745+AW745+AY745+BA745</f>
        <v>0</v>
      </c>
      <c r="BD745" s="82">
        <f t="shared" si="1485"/>
        <v>0</v>
      </c>
      <c r="BE745" s="83">
        <f t="shared" si="1328"/>
        <v>19950000</v>
      </c>
      <c r="BF745" s="83">
        <f t="shared" si="1329"/>
        <v>19950000</v>
      </c>
      <c r="BG745" s="14"/>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8"/>
      <c r="CG745" s="28"/>
      <c r="CH745" s="25">
        <f t="shared" ref="CH745:CI745" si="1486">BH745+BJ745+BL745+BN745+BP745+BR745+BT745+BV745+BX745+BZ745+CB745+CD745+CF745</f>
        <v>0</v>
      </c>
      <c r="CI745" s="25">
        <f t="shared" si="1486"/>
        <v>0</v>
      </c>
      <c r="CJ745" s="26">
        <f t="shared" si="1331"/>
        <v>19950000</v>
      </c>
      <c r="CK745" s="26">
        <f t="shared" si="1332"/>
        <v>19950000</v>
      </c>
    </row>
    <row r="746" spans="1:89" ht="90" customHeight="1" x14ac:dyDescent="0.3">
      <c r="A746" s="13" t="s">
        <v>1891</v>
      </c>
      <c r="B746" s="14" t="s">
        <v>27</v>
      </c>
      <c r="C746" s="15" t="s">
        <v>258</v>
      </c>
      <c r="D746" s="14" t="s">
        <v>258</v>
      </c>
      <c r="E746" s="13" t="s">
        <v>250</v>
      </c>
      <c r="F746" s="13" t="s">
        <v>250</v>
      </c>
      <c r="G746" s="14">
        <v>19</v>
      </c>
      <c r="H746" s="13" t="s">
        <v>1892</v>
      </c>
      <c r="I746" s="15" t="s">
        <v>1893</v>
      </c>
      <c r="J746" s="14" t="s">
        <v>1893</v>
      </c>
      <c r="K746" s="15" t="s">
        <v>1893</v>
      </c>
      <c r="L746" s="14" t="s">
        <v>1894</v>
      </c>
      <c r="M746" s="14" t="s">
        <v>1895</v>
      </c>
      <c r="N746" s="14" t="s">
        <v>1896</v>
      </c>
      <c r="O746" s="15" t="s">
        <v>1897</v>
      </c>
      <c r="P746" s="14" t="s">
        <v>255</v>
      </c>
      <c r="Q746" s="14" t="s">
        <v>255</v>
      </c>
      <c r="R746" s="14" t="s">
        <v>255</v>
      </c>
      <c r="S746" s="17">
        <v>12</v>
      </c>
      <c r="T746" s="14" t="s">
        <v>256</v>
      </c>
      <c r="U746" s="14" t="s">
        <v>474</v>
      </c>
      <c r="V746" s="14" t="s">
        <v>112</v>
      </c>
      <c r="W746" s="84">
        <v>7379736</v>
      </c>
      <c r="X746" s="18">
        <v>7379736</v>
      </c>
      <c r="Y746" s="19" t="s">
        <v>339</v>
      </c>
      <c r="Z746" s="19" t="s">
        <v>258</v>
      </c>
      <c r="AA746" s="14" t="s">
        <v>1898</v>
      </c>
      <c r="AB746" s="14" t="s">
        <v>1899</v>
      </c>
      <c r="AC746" s="14">
        <v>6012220601</v>
      </c>
      <c r="AD746" s="14" t="s">
        <v>307</v>
      </c>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c r="BC746" s="82"/>
      <c r="BD746" s="82"/>
      <c r="BE746" s="83"/>
      <c r="BF746" s="83"/>
      <c r="BG746" s="14" t="str">
        <f ca="1">IFERROR(__xludf.DUMMYFUNCTION("REGEXEXTRACT(O740,""^\S+\s(.+)$"")"),"Prestar servicios de mantenimiento preventivo, correctivo y de emergencia a los equipos de aire acondicionado ubicados en la sede administrativa de la Upme.")</f>
        <v>Prestar servicios de mantenimiento preventivo, correctivo y de emergencia a los equipos de aire acondicionado ubicados en la sede administrativa de la Upme.</v>
      </c>
      <c r="BH746" s="27"/>
      <c r="BI746" s="27"/>
      <c r="BJ746" s="27"/>
      <c r="BK746" s="27"/>
      <c r="BL746" s="27"/>
      <c r="BM746" s="27"/>
      <c r="BN746" s="27"/>
      <c r="BO746" s="24">
        <v>1925000</v>
      </c>
      <c r="BP746" s="27"/>
      <c r="BQ746" s="27"/>
      <c r="BR746" s="27"/>
      <c r="BS746" s="24">
        <v>1925000</v>
      </c>
      <c r="BT746" s="27"/>
      <c r="BU746" s="27"/>
      <c r="BV746" s="27"/>
      <c r="BW746" s="27"/>
      <c r="BX746" s="27"/>
      <c r="BY746" s="24">
        <v>1925000</v>
      </c>
      <c r="BZ746" s="27"/>
      <c r="CA746" s="27"/>
      <c r="CB746" s="27"/>
      <c r="CC746" s="27"/>
      <c r="CD746" s="27"/>
      <c r="CE746" s="24">
        <v>1925000</v>
      </c>
      <c r="CF746" s="28"/>
      <c r="CG746" s="28"/>
      <c r="CH746" s="25">
        <f t="shared" ref="CH746:CI746" si="1487">BH746+BJ746+BL746+BN746+BP746+BR746+BT746+BV746+BX746+BZ746+CB746+CD746+CF746</f>
        <v>0</v>
      </c>
      <c r="CI746" s="25">
        <f t="shared" si="1487"/>
        <v>7700000</v>
      </c>
      <c r="CJ746" s="26">
        <f t="shared" si="1331"/>
        <v>7379736</v>
      </c>
      <c r="CK746" s="26">
        <f t="shared" si="1332"/>
        <v>-320264</v>
      </c>
    </row>
    <row r="747" spans="1:89" ht="90" customHeight="1" x14ac:dyDescent="0.3">
      <c r="A747" s="13" t="s">
        <v>1891</v>
      </c>
      <c r="B747" s="14" t="s">
        <v>27</v>
      </c>
      <c r="C747" s="15" t="s">
        <v>258</v>
      </c>
      <c r="D747" s="14" t="s">
        <v>258</v>
      </c>
      <c r="E747" s="13" t="s">
        <v>250</v>
      </c>
      <c r="F747" s="13" t="s">
        <v>250</v>
      </c>
      <c r="G747" s="14">
        <v>68</v>
      </c>
      <c r="H747" s="13" t="s">
        <v>1900</v>
      </c>
      <c r="I747" s="15" t="s">
        <v>1893</v>
      </c>
      <c r="J747" s="14" t="s">
        <v>1893</v>
      </c>
      <c r="K747" s="15" t="s">
        <v>1893</v>
      </c>
      <c r="L747" s="14" t="s">
        <v>1901</v>
      </c>
      <c r="M747" s="14" t="s">
        <v>1902</v>
      </c>
      <c r="N747" s="14" t="s">
        <v>951</v>
      </c>
      <c r="O747" s="15" t="s">
        <v>1903</v>
      </c>
      <c r="P747" s="14" t="s">
        <v>473</v>
      </c>
      <c r="Q747" s="14" t="s">
        <v>473</v>
      </c>
      <c r="R747" s="14" t="s">
        <v>468</v>
      </c>
      <c r="S747" s="17">
        <v>1</v>
      </c>
      <c r="T747" s="14" t="s">
        <v>256</v>
      </c>
      <c r="U747" s="14" t="s">
        <v>474</v>
      </c>
      <c r="V747" s="14" t="s">
        <v>112</v>
      </c>
      <c r="W747" s="18">
        <v>2600000</v>
      </c>
      <c r="X747" s="18">
        <v>2600000</v>
      </c>
      <c r="Y747" s="19" t="s">
        <v>339</v>
      </c>
      <c r="Z747" s="19" t="s">
        <v>258</v>
      </c>
      <c r="AA747" s="14" t="s">
        <v>1898</v>
      </c>
      <c r="AB747" s="14" t="s">
        <v>1899</v>
      </c>
      <c r="AC747" s="14">
        <v>6012220601</v>
      </c>
      <c r="AD747" s="14" t="s">
        <v>307</v>
      </c>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c r="BC747" s="82"/>
      <c r="BD747" s="82"/>
      <c r="BE747" s="83"/>
      <c r="BF747" s="83"/>
      <c r="BG747" s="14" t="str">
        <f ca="1">IFERROR(__xludf.DUMMYFUNCTION("REGEXEXTRACT(O741,""^\S+\s(.+)$"")"),"Adquirir el servicio de seguro obligatorio de accidente de tránsito ""SOAT"" para los dos vehículos oficiales de la Upme.")</f>
        <v>Adquirir el servicio de seguro obligatorio de accidente de tránsito "SOAT" para los dos vehículos oficiales de la Upme.</v>
      </c>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4">
        <v>2600000</v>
      </c>
      <c r="CE747" s="24">
        <v>2600000</v>
      </c>
      <c r="CF747" s="28"/>
      <c r="CG747" s="28"/>
      <c r="CH747" s="25">
        <f t="shared" ref="CH747:CI747" si="1488">BH747+BJ747+BL747+BN747+BP747+BR747+BT747+BV747+BX747+BZ747+CB747+CD747+CF747</f>
        <v>2600000</v>
      </c>
      <c r="CI747" s="25">
        <f t="shared" si="1488"/>
        <v>2600000</v>
      </c>
      <c r="CJ747" s="26">
        <f t="shared" si="1331"/>
        <v>0</v>
      </c>
      <c r="CK747" s="26">
        <f t="shared" si="1332"/>
        <v>0</v>
      </c>
    </row>
    <row r="748" spans="1:89" ht="90" customHeight="1" x14ac:dyDescent="0.3">
      <c r="A748" s="13" t="s">
        <v>1891</v>
      </c>
      <c r="B748" s="14" t="s">
        <v>27</v>
      </c>
      <c r="C748" s="15" t="s">
        <v>258</v>
      </c>
      <c r="D748" s="14" t="s">
        <v>258</v>
      </c>
      <c r="E748" s="13" t="s">
        <v>250</v>
      </c>
      <c r="F748" s="13" t="s">
        <v>250</v>
      </c>
      <c r="G748" s="14">
        <v>68</v>
      </c>
      <c r="H748" s="13" t="s">
        <v>1904</v>
      </c>
      <c r="I748" s="15" t="s">
        <v>1893</v>
      </c>
      <c r="J748" s="14" t="s">
        <v>1893</v>
      </c>
      <c r="K748" s="15" t="s">
        <v>1893</v>
      </c>
      <c r="L748" s="14" t="s">
        <v>1905</v>
      </c>
      <c r="M748" s="14" t="s">
        <v>1906</v>
      </c>
      <c r="N748" s="14" t="s">
        <v>951</v>
      </c>
      <c r="O748" s="15" t="s">
        <v>1907</v>
      </c>
      <c r="P748" s="14" t="s">
        <v>255</v>
      </c>
      <c r="Q748" s="14" t="s">
        <v>255</v>
      </c>
      <c r="R748" s="14" t="s">
        <v>255</v>
      </c>
      <c r="S748" s="17">
        <v>12</v>
      </c>
      <c r="T748" s="14" t="s">
        <v>256</v>
      </c>
      <c r="U748" s="14" t="s">
        <v>474</v>
      </c>
      <c r="V748" s="14" t="s">
        <v>112</v>
      </c>
      <c r="W748" s="18">
        <v>10000000</v>
      </c>
      <c r="X748" s="18">
        <v>10000000</v>
      </c>
      <c r="Y748" s="19" t="s">
        <v>339</v>
      </c>
      <c r="Z748" s="19" t="s">
        <v>258</v>
      </c>
      <c r="AA748" s="14" t="s">
        <v>1898</v>
      </c>
      <c r="AB748" s="14" t="s">
        <v>1899</v>
      </c>
      <c r="AC748" s="14">
        <v>6012220601</v>
      </c>
      <c r="AD748" s="14" t="s">
        <v>307</v>
      </c>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c r="BC748" s="82"/>
      <c r="BD748" s="82"/>
      <c r="BE748" s="83"/>
      <c r="BF748" s="83"/>
      <c r="BG748" s="14" t="str">
        <f ca="1">IFERROR(__xludf.DUMMYFUNCTION("REGEXEXTRACT(O742,""^\S+\s(.+)$"")"),"Suministrar la gasolina requerida a los vehículos oficiales de propiedad de la Upme.")</f>
        <v>Suministrar la gasolina requerida a los vehículos oficiales de propiedad de la Upme.</v>
      </c>
      <c r="BH748" s="27"/>
      <c r="BI748" s="27"/>
      <c r="BJ748" s="27"/>
      <c r="BK748" s="24">
        <v>900000</v>
      </c>
      <c r="BL748" s="27"/>
      <c r="BM748" s="24">
        <v>900000</v>
      </c>
      <c r="BN748" s="27"/>
      <c r="BO748" s="24">
        <v>900000</v>
      </c>
      <c r="BP748" s="27"/>
      <c r="BQ748" s="24">
        <v>900000</v>
      </c>
      <c r="BR748" s="27"/>
      <c r="BS748" s="24">
        <v>900000</v>
      </c>
      <c r="BT748" s="27"/>
      <c r="BU748" s="24">
        <v>900000</v>
      </c>
      <c r="BV748" s="27"/>
      <c r="BW748" s="24">
        <v>900000</v>
      </c>
      <c r="BX748" s="27"/>
      <c r="BY748" s="24">
        <v>900000</v>
      </c>
      <c r="BZ748" s="27"/>
      <c r="CA748" s="24">
        <v>900000</v>
      </c>
      <c r="CB748" s="27"/>
      <c r="CC748" s="24">
        <v>900000</v>
      </c>
      <c r="CD748" s="27"/>
      <c r="CE748" s="24">
        <v>1000000</v>
      </c>
      <c r="CF748" s="28"/>
      <c r="CG748" s="28"/>
      <c r="CH748" s="25">
        <f t="shared" ref="CH748:CI748" si="1489">BH748+BJ748+BL748+BN748+BP748+BR748+BT748+BV748+BX748+BZ748+CB748+CD748+CF748</f>
        <v>0</v>
      </c>
      <c r="CI748" s="25">
        <f t="shared" si="1489"/>
        <v>10000000</v>
      </c>
      <c r="CJ748" s="26">
        <f t="shared" si="1331"/>
        <v>10000000</v>
      </c>
      <c r="CK748" s="26">
        <f t="shared" si="1332"/>
        <v>0</v>
      </c>
    </row>
    <row r="749" spans="1:89" ht="90" customHeight="1" x14ac:dyDescent="0.3">
      <c r="A749" s="13" t="s">
        <v>1891</v>
      </c>
      <c r="B749" s="14" t="s">
        <v>27</v>
      </c>
      <c r="C749" s="15" t="s">
        <v>258</v>
      </c>
      <c r="D749" s="14" t="s">
        <v>258</v>
      </c>
      <c r="E749" s="13" t="s">
        <v>250</v>
      </c>
      <c r="F749" s="13" t="s">
        <v>250</v>
      </c>
      <c r="G749" s="14">
        <v>68</v>
      </c>
      <c r="H749" s="13" t="s">
        <v>1908</v>
      </c>
      <c r="I749" s="15" t="s">
        <v>1893</v>
      </c>
      <c r="J749" s="14" t="s">
        <v>1893</v>
      </c>
      <c r="K749" s="15" t="s">
        <v>1893</v>
      </c>
      <c r="L749" s="14" t="s">
        <v>1909</v>
      </c>
      <c r="M749" s="14" t="s">
        <v>1910</v>
      </c>
      <c r="N749" s="14" t="s">
        <v>951</v>
      </c>
      <c r="O749" s="15" t="s">
        <v>1911</v>
      </c>
      <c r="P749" s="14" t="s">
        <v>255</v>
      </c>
      <c r="Q749" s="14" t="s">
        <v>255</v>
      </c>
      <c r="R749" s="14" t="s">
        <v>255</v>
      </c>
      <c r="S749" s="17">
        <v>12</v>
      </c>
      <c r="T749" s="14" t="s">
        <v>256</v>
      </c>
      <c r="U749" s="14" t="s">
        <v>474</v>
      </c>
      <c r="V749" s="14" t="s">
        <v>112</v>
      </c>
      <c r="W749" s="18">
        <v>9300000</v>
      </c>
      <c r="X749" s="18">
        <v>9300000</v>
      </c>
      <c r="Y749" s="19" t="s">
        <v>339</v>
      </c>
      <c r="Z749" s="19" t="s">
        <v>258</v>
      </c>
      <c r="AA749" s="14" t="s">
        <v>1898</v>
      </c>
      <c r="AB749" s="14" t="s">
        <v>1899</v>
      </c>
      <c r="AC749" s="14">
        <v>6012220601</v>
      </c>
      <c r="AD749" s="14" t="s">
        <v>307</v>
      </c>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c r="BC749" s="82"/>
      <c r="BD749" s="82"/>
      <c r="BE749" s="83"/>
      <c r="BF749" s="83"/>
      <c r="BG749" s="14" t="str">
        <f ca="1">IFERROR(__xludf.DUMMYFUNCTION("REGEXEXTRACT(O743,""^\S+\s(.+)$"")"),"Suministrar el calzado y vestido de labor para la dotación de los servidores de la UPME para la vigencia 2026 mediante la entrega de tarjetas electrónicas canjeables.")</f>
        <v>Suministrar el calzado y vestido de labor para la dotación de los servidores de la UPME para la vigencia 2026 mediante la entrega de tarjetas electrónicas canjeables.</v>
      </c>
      <c r="BH749" s="27"/>
      <c r="BI749" s="27"/>
      <c r="BJ749" s="27"/>
      <c r="BK749" s="27"/>
      <c r="BL749" s="27"/>
      <c r="BM749" s="27"/>
      <c r="BN749" s="27"/>
      <c r="BO749" s="24">
        <v>3100000</v>
      </c>
      <c r="BP749" s="27"/>
      <c r="BQ749" s="27"/>
      <c r="BR749" s="27"/>
      <c r="BS749" s="27"/>
      <c r="BT749" s="27"/>
      <c r="BU749" s="27"/>
      <c r="BV749" s="27"/>
      <c r="BW749" s="24">
        <v>3100000</v>
      </c>
      <c r="BX749" s="27"/>
      <c r="BY749" s="27"/>
      <c r="BZ749" s="27"/>
      <c r="CA749" s="27"/>
      <c r="CB749" s="27"/>
      <c r="CC749" s="27"/>
      <c r="CD749" s="27"/>
      <c r="CE749" s="24">
        <v>3100000</v>
      </c>
      <c r="CF749" s="28"/>
      <c r="CG749" s="28"/>
      <c r="CH749" s="25">
        <f t="shared" ref="CH749:CI749" si="1490">BH749+BJ749+BL749+BN749+BP749+BR749+BT749+BV749+BX749+BZ749+CB749+CD749+CF749</f>
        <v>0</v>
      </c>
      <c r="CI749" s="25">
        <f t="shared" si="1490"/>
        <v>9300000</v>
      </c>
      <c r="CJ749" s="26">
        <f t="shared" si="1331"/>
        <v>9300000</v>
      </c>
      <c r="CK749" s="26">
        <f t="shared" si="1332"/>
        <v>0</v>
      </c>
    </row>
    <row r="750" spans="1:89" ht="90" customHeight="1" x14ac:dyDescent="0.3">
      <c r="A750" s="13" t="s">
        <v>1891</v>
      </c>
      <c r="B750" s="14" t="s">
        <v>27</v>
      </c>
      <c r="C750" s="15" t="s">
        <v>258</v>
      </c>
      <c r="D750" s="14" t="s">
        <v>258</v>
      </c>
      <c r="E750" s="13" t="s">
        <v>250</v>
      </c>
      <c r="F750" s="13" t="s">
        <v>250</v>
      </c>
      <c r="G750" s="14">
        <v>68</v>
      </c>
      <c r="H750" s="13" t="s">
        <v>1912</v>
      </c>
      <c r="I750" s="15" t="s">
        <v>1893</v>
      </c>
      <c r="J750" s="14" t="s">
        <v>1893</v>
      </c>
      <c r="K750" s="15" t="s">
        <v>1893</v>
      </c>
      <c r="L750" s="14" t="s">
        <v>1913</v>
      </c>
      <c r="M750" s="14" t="s">
        <v>1914</v>
      </c>
      <c r="N750" s="14" t="s">
        <v>951</v>
      </c>
      <c r="O750" s="15" t="s">
        <v>1915</v>
      </c>
      <c r="P750" s="14" t="s">
        <v>614</v>
      </c>
      <c r="Q750" s="14" t="s">
        <v>477</v>
      </c>
      <c r="R750" s="14" t="s">
        <v>774</v>
      </c>
      <c r="S750" s="17">
        <v>1</v>
      </c>
      <c r="T750" s="14" t="s">
        <v>256</v>
      </c>
      <c r="U750" s="14" t="s">
        <v>474</v>
      </c>
      <c r="V750" s="14" t="s">
        <v>112</v>
      </c>
      <c r="W750" s="18">
        <v>10000000</v>
      </c>
      <c r="X750" s="18">
        <v>10000000</v>
      </c>
      <c r="Y750" s="19" t="s">
        <v>339</v>
      </c>
      <c r="Z750" s="19" t="s">
        <v>258</v>
      </c>
      <c r="AA750" s="14" t="s">
        <v>1898</v>
      </c>
      <c r="AB750" s="14" t="s">
        <v>1899</v>
      </c>
      <c r="AC750" s="14">
        <v>6012220601</v>
      </c>
      <c r="AD750" s="14" t="s">
        <v>307</v>
      </c>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c r="BC750" s="82"/>
      <c r="BD750" s="82"/>
      <c r="BE750" s="83"/>
      <c r="BF750" s="83"/>
      <c r="BG750" s="14" t="str">
        <f ca="1">IFERROR(__xludf.DUMMYFUNCTION("REGEXEXTRACT(O744,""^\S+\s(.+)$"")"),"Adquirir elementos de oficina y papelería requeridos por los servidores de la Upme.")</f>
        <v>Adquirir elementos de oficina y papelería requeridos por los servidores de la Upme.</v>
      </c>
      <c r="BH750" s="27"/>
      <c r="BI750" s="27"/>
      <c r="BJ750" s="27"/>
      <c r="BK750" s="27"/>
      <c r="BL750" s="27"/>
      <c r="BM750" s="27"/>
      <c r="BN750" s="27"/>
      <c r="BO750" s="27"/>
      <c r="BP750" s="27"/>
      <c r="BQ750" s="27"/>
      <c r="BR750" s="27"/>
      <c r="BS750" s="27"/>
      <c r="BT750" s="27"/>
      <c r="BU750" s="27"/>
      <c r="BV750" s="27"/>
      <c r="BW750" s="27"/>
      <c r="BX750" s="27"/>
      <c r="BY750" s="24">
        <v>10000000</v>
      </c>
      <c r="BZ750" s="27"/>
      <c r="CA750" s="27"/>
      <c r="CB750" s="27"/>
      <c r="CC750" s="27"/>
      <c r="CD750" s="27"/>
      <c r="CE750" s="27"/>
      <c r="CF750" s="28"/>
      <c r="CG750" s="28"/>
      <c r="CH750" s="25">
        <f t="shared" ref="CH750:CI750" si="1491">BH750+BJ750+BL750+BN750+BP750+BR750+BT750+BV750+BX750+BZ750+CB750+CD750+CF750</f>
        <v>0</v>
      </c>
      <c r="CI750" s="25">
        <f t="shared" si="1491"/>
        <v>10000000</v>
      </c>
      <c r="CJ750" s="26">
        <f t="shared" si="1331"/>
        <v>10000000</v>
      </c>
      <c r="CK750" s="26">
        <f t="shared" si="1332"/>
        <v>0</v>
      </c>
    </row>
    <row r="751" spans="1:89" ht="90" customHeight="1" x14ac:dyDescent="0.3">
      <c r="A751" s="13" t="s">
        <v>1891</v>
      </c>
      <c r="B751" s="14" t="s">
        <v>27</v>
      </c>
      <c r="C751" s="15" t="s">
        <v>258</v>
      </c>
      <c r="D751" s="14" t="s">
        <v>258</v>
      </c>
      <c r="E751" s="13" t="s">
        <v>250</v>
      </c>
      <c r="F751" s="13" t="s">
        <v>250</v>
      </c>
      <c r="G751" s="14">
        <v>12</v>
      </c>
      <c r="H751" s="13" t="s">
        <v>1916</v>
      </c>
      <c r="I751" s="15" t="s">
        <v>1893</v>
      </c>
      <c r="J751" s="14" t="s">
        <v>1893</v>
      </c>
      <c r="K751" s="15" t="s">
        <v>1893</v>
      </c>
      <c r="L751" s="14" t="s">
        <v>1917</v>
      </c>
      <c r="M751" s="14" t="s">
        <v>1918</v>
      </c>
      <c r="N751" s="14" t="s">
        <v>1919</v>
      </c>
      <c r="O751" s="15" t="s">
        <v>1920</v>
      </c>
      <c r="P751" s="14" t="s">
        <v>477</v>
      </c>
      <c r="Q751" s="14" t="s">
        <v>477</v>
      </c>
      <c r="R751" s="14" t="s">
        <v>614</v>
      </c>
      <c r="S751" s="17">
        <v>12</v>
      </c>
      <c r="T751" s="14" t="s">
        <v>256</v>
      </c>
      <c r="U751" s="14" t="s">
        <v>474</v>
      </c>
      <c r="V751" s="14" t="s">
        <v>112</v>
      </c>
      <c r="W751" s="18">
        <v>29198590</v>
      </c>
      <c r="X751" s="18">
        <v>29198590</v>
      </c>
      <c r="Y751" s="19" t="s">
        <v>339</v>
      </c>
      <c r="Z751" s="19" t="s">
        <v>258</v>
      </c>
      <c r="AA751" s="14" t="s">
        <v>1898</v>
      </c>
      <c r="AB751" s="14" t="s">
        <v>1899</v>
      </c>
      <c r="AC751" s="14">
        <v>6012220601</v>
      </c>
      <c r="AD751" s="14" t="s">
        <v>307</v>
      </c>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c r="BC751" s="82"/>
      <c r="BD751" s="82"/>
      <c r="BE751" s="83"/>
      <c r="BF751" s="83"/>
      <c r="BG751" s="14" t="str">
        <f ca="1">IFERROR(__xludf.DUMMYFUNCTION("REGEXEXTRACT(O745,""^\S+\s(.+)$"")"),"Prestar el servicio de arrendamiento para la administración integral del archivo central de la Upme y su respectivo bodegaje.")</f>
        <v>Prestar el servicio de arrendamiento para la administración integral del archivo central de la Upme y su respectivo bodegaje.</v>
      </c>
      <c r="BH751" s="27"/>
      <c r="BI751" s="27"/>
      <c r="BJ751" s="27"/>
      <c r="BK751" s="27"/>
      <c r="BL751" s="27"/>
      <c r="BM751" s="27"/>
      <c r="BN751" s="27"/>
      <c r="BO751" s="27"/>
      <c r="BP751" s="27"/>
      <c r="BQ751" s="27"/>
      <c r="BR751" s="27"/>
      <c r="BS751" s="27"/>
      <c r="BT751" s="24">
        <v>60000000</v>
      </c>
      <c r="BU751" s="24">
        <v>10000000</v>
      </c>
      <c r="BV751" s="27"/>
      <c r="BW751" s="24">
        <v>10000000</v>
      </c>
      <c r="BX751" s="27"/>
      <c r="BY751" s="24">
        <v>10000000</v>
      </c>
      <c r="BZ751" s="27"/>
      <c r="CA751" s="24">
        <v>10000000</v>
      </c>
      <c r="CB751" s="27"/>
      <c r="CC751" s="24">
        <v>10000000</v>
      </c>
      <c r="CD751" s="27"/>
      <c r="CE751" s="24">
        <v>10000000</v>
      </c>
      <c r="CF751" s="28"/>
      <c r="CG751" s="28"/>
      <c r="CH751" s="25">
        <f t="shared" ref="CH751:CI751" si="1492">BH751+BJ751+BL751+BN751+BP751+BR751+BT751+BV751+BX751+BZ751+CB751+CD751+CF751</f>
        <v>60000000</v>
      </c>
      <c r="CI751" s="25">
        <f t="shared" si="1492"/>
        <v>60000000</v>
      </c>
      <c r="CJ751" s="26">
        <f t="shared" si="1331"/>
        <v>-30801410</v>
      </c>
      <c r="CK751" s="26">
        <f t="shared" si="1332"/>
        <v>-30801410</v>
      </c>
    </row>
    <row r="752" spans="1:89" ht="90" customHeight="1" x14ac:dyDescent="0.3">
      <c r="A752" s="13" t="s">
        <v>1891</v>
      </c>
      <c r="B752" s="14" t="s">
        <v>27</v>
      </c>
      <c r="C752" s="15" t="s">
        <v>258</v>
      </c>
      <c r="D752" s="14" t="s">
        <v>258</v>
      </c>
      <c r="E752" s="13" t="s">
        <v>250</v>
      </c>
      <c r="F752" s="13" t="s">
        <v>250</v>
      </c>
      <c r="G752" s="14">
        <v>68</v>
      </c>
      <c r="H752" s="13" t="s">
        <v>1921</v>
      </c>
      <c r="I752" s="15" t="s">
        <v>1893</v>
      </c>
      <c r="J752" s="14" t="s">
        <v>1893</v>
      </c>
      <c r="K752" s="15" t="s">
        <v>1893</v>
      </c>
      <c r="L752" s="14" t="s">
        <v>1922</v>
      </c>
      <c r="M752" s="14" t="s">
        <v>1923</v>
      </c>
      <c r="N752" s="14" t="s">
        <v>951</v>
      </c>
      <c r="O752" s="15" t="s">
        <v>1924</v>
      </c>
      <c r="P752" s="14" t="s">
        <v>477</v>
      </c>
      <c r="Q752" s="14" t="s">
        <v>477</v>
      </c>
      <c r="R752" s="14" t="s">
        <v>774</v>
      </c>
      <c r="S752" s="17">
        <v>5</v>
      </c>
      <c r="T752" s="14" t="s">
        <v>256</v>
      </c>
      <c r="U752" s="14" t="s">
        <v>474</v>
      </c>
      <c r="V752" s="14" t="s">
        <v>112</v>
      </c>
      <c r="W752" s="18">
        <v>20000000</v>
      </c>
      <c r="X752" s="18">
        <v>20000000</v>
      </c>
      <c r="Y752" s="19" t="s">
        <v>339</v>
      </c>
      <c r="Z752" s="19" t="s">
        <v>258</v>
      </c>
      <c r="AA752" s="14" t="s">
        <v>1898</v>
      </c>
      <c r="AB752" s="14" t="s">
        <v>1899</v>
      </c>
      <c r="AC752" s="14">
        <v>6012220601</v>
      </c>
      <c r="AD752" s="14" t="s">
        <v>307</v>
      </c>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c r="BC752" s="82"/>
      <c r="BD752" s="82"/>
      <c r="BE752" s="83"/>
      <c r="BF752" s="83"/>
      <c r="BG752" s="14" t="str">
        <f ca="1">IFERROR(__xludf.DUMMYFUNCTION("REGEXEXTRACT(O746,""^\S+\s(.+)$"")"),"Prestar el servicio de publicación en el diario oficial de los actos administrativos de carácter general emitidos por la UPME.")</f>
        <v>Prestar el servicio de publicación en el diario oficial de los actos administrativos de carácter general emitidos por la UPME.</v>
      </c>
      <c r="BH752" s="27"/>
      <c r="BI752" s="27"/>
      <c r="BJ752" s="27"/>
      <c r="BK752" s="27"/>
      <c r="BL752" s="27"/>
      <c r="BM752" s="27"/>
      <c r="BN752" s="27"/>
      <c r="BO752" s="27"/>
      <c r="BP752" s="27"/>
      <c r="BQ752" s="27"/>
      <c r="BR752" s="27"/>
      <c r="BS752" s="27"/>
      <c r="BT752" s="27"/>
      <c r="BU752" s="27"/>
      <c r="BV752" s="27"/>
      <c r="BW752" s="24">
        <v>4000000</v>
      </c>
      <c r="BX752" s="27"/>
      <c r="BY752" s="24">
        <v>4000000</v>
      </c>
      <c r="BZ752" s="27"/>
      <c r="CA752" s="24">
        <v>4000000</v>
      </c>
      <c r="CB752" s="27"/>
      <c r="CC752" s="24">
        <v>4000000</v>
      </c>
      <c r="CD752" s="27"/>
      <c r="CE752" s="24">
        <v>4000000</v>
      </c>
      <c r="CF752" s="28"/>
      <c r="CG752" s="28"/>
      <c r="CH752" s="25">
        <f t="shared" ref="CH752:CI752" si="1493">BH752+BJ752+BL752+BN752+BP752+BR752+BT752+BV752+BX752+BZ752+CB752+CD752+CF752</f>
        <v>0</v>
      </c>
      <c r="CI752" s="25">
        <f t="shared" si="1493"/>
        <v>20000000</v>
      </c>
      <c r="CJ752" s="26">
        <f t="shared" si="1331"/>
        <v>20000000</v>
      </c>
      <c r="CK752" s="26">
        <f t="shared" si="1332"/>
        <v>0</v>
      </c>
    </row>
    <row r="753" spans="1:89" ht="90" customHeight="1" x14ac:dyDescent="0.3">
      <c r="A753" s="13" t="s">
        <v>1891</v>
      </c>
      <c r="B753" s="14" t="s">
        <v>27</v>
      </c>
      <c r="C753" s="15" t="s">
        <v>258</v>
      </c>
      <c r="D753" s="14" t="s">
        <v>258</v>
      </c>
      <c r="E753" s="13" t="s">
        <v>250</v>
      </c>
      <c r="F753" s="13" t="s">
        <v>250</v>
      </c>
      <c r="G753" s="14">
        <v>19</v>
      </c>
      <c r="H753" s="13" t="s">
        <v>1925</v>
      </c>
      <c r="I753" s="15" t="s">
        <v>1893</v>
      </c>
      <c r="J753" s="14" t="s">
        <v>1893</v>
      </c>
      <c r="K753" s="15" t="s">
        <v>1893</v>
      </c>
      <c r="L753" s="14" t="s">
        <v>1926</v>
      </c>
      <c r="M753" s="14" t="s">
        <v>1927</v>
      </c>
      <c r="N753" s="14" t="s">
        <v>253</v>
      </c>
      <c r="O753" s="15" t="s">
        <v>1928</v>
      </c>
      <c r="P753" s="14" t="s">
        <v>255</v>
      </c>
      <c r="Q753" s="14" t="s">
        <v>255</v>
      </c>
      <c r="R753" s="14" t="s">
        <v>255</v>
      </c>
      <c r="S753" s="17" t="s">
        <v>1929</v>
      </c>
      <c r="T753" s="14" t="s">
        <v>256</v>
      </c>
      <c r="U753" s="14" t="s">
        <v>474</v>
      </c>
      <c r="V753" s="14" t="s">
        <v>112</v>
      </c>
      <c r="W753" s="84">
        <v>42900000</v>
      </c>
      <c r="X753" s="18">
        <v>42900000</v>
      </c>
      <c r="Y753" s="19" t="s">
        <v>339</v>
      </c>
      <c r="Z753" s="19" t="s">
        <v>258</v>
      </c>
      <c r="AA753" s="14" t="s">
        <v>1898</v>
      </c>
      <c r="AB753" s="14" t="s">
        <v>1899</v>
      </c>
      <c r="AC753" s="14">
        <v>6012220601</v>
      </c>
      <c r="AD753" s="14" t="s">
        <v>307</v>
      </c>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c r="BC753" s="82"/>
      <c r="BD753" s="82"/>
      <c r="BE753" s="83"/>
      <c r="BF753" s="83"/>
      <c r="BG753" s="14" t="str">
        <f ca="1">IFERROR(__xludf.DUMMYFUNCTION("REGEXEXTRACT(O747,""^\S+\s(.+)$"")"),"Brindar apoyo en los procesos administrativos, documentales y de servicio al ciudadano en el marco de la Modernización de Procesos de la Entidad UPME")</f>
        <v>Brindar apoyo en los procesos administrativos, documentales y de servicio al ciudadano en el marco de la Modernización de Procesos de la Entidad UPME</v>
      </c>
      <c r="BH753" s="27"/>
      <c r="BI753" s="27"/>
      <c r="BJ753" s="27"/>
      <c r="BK753" s="24">
        <v>1950000</v>
      </c>
      <c r="BL753" s="27"/>
      <c r="BM753" s="24">
        <v>3900000</v>
      </c>
      <c r="BN753" s="27"/>
      <c r="BO753" s="24">
        <v>3900000</v>
      </c>
      <c r="BP753" s="27"/>
      <c r="BQ753" s="24">
        <v>3900000</v>
      </c>
      <c r="BR753" s="27"/>
      <c r="BS753" s="24">
        <v>3900000</v>
      </c>
      <c r="BT753" s="27"/>
      <c r="BU753" s="24">
        <v>3900000</v>
      </c>
      <c r="BV753" s="27"/>
      <c r="BW753" s="24">
        <v>3900000</v>
      </c>
      <c r="BX753" s="27"/>
      <c r="BY753" s="24">
        <v>3900000</v>
      </c>
      <c r="BZ753" s="27"/>
      <c r="CA753" s="24">
        <v>3900000</v>
      </c>
      <c r="CB753" s="27"/>
      <c r="CC753" s="24">
        <v>3900000</v>
      </c>
      <c r="CD753" s="27"/>
      <c r="CE753" s="24">
        <v>7800000</v>
      </c>
      <c r="CF753" s="28"/>
      <c r="CG753" s="28"/>
      <c r="CH753" s="25">
        <f t="shared" ref="CH753:CI753" si="1494">BH753+BJ753+BL753+BN753+BP753+BR753+BT753+BV753+BX753+BZ753+CB753+CD753+CF753</f>
        <v>0</v>
      </c>
      <c r="CI753" s="25">
        <f t="shared" si="1494"/>
        <v>44850000</v>
      </c>
      <c r="CJ753" s="26">
        <f t="shared" si="1331"/>
        <v>42900000</v>
      </c>
      <c r="CK753" s="26">
        <f t="shared" si="1332"/>
        <v>-1950000</v>
      </c>
    </row>
    <row r="754" spans="1:89" ht="90" customHeight="1" x14ac:dyDescent="0.3">
      <c r="A754" s="13" t="s">
        <v>1891</v>
      </c>
      <c r="B754" s="14" t="s">
        <v>27</v>
      </c>
      <c r="C754" s="15" t="s">
        <v>258</v>
      </c>
      <c r="D754" s="14" t="s">
        <v>258</v>
      </c>
      <c r="E754" s="13" t="s">
        <v>250</v>
      </c>
      <c r="F754" s="13" t="s">
        <v>250</v>
      </c>
      <c r="G754" s="14">
        <v>68</v>
      </c>
      <c r="H754" s="13" t="s">
        <v>1930</v>
      </c>
      <c r="I754" s="15" t="s">
        <v>1893</v>
      </c>
      <c r="J754" s="14" t="s">
        <v>1893</v>
      </c>
      <c r="K754" s="15" t="s">
        <v>1893</v>
      </c>
      <c r="L754" s="14" t="s">
        <v>1926</v>
      </c>
      <c r="M754" s="14" t="s">
        <v>1927</v>
      </c>
      <c r="N754" s="14" t="s">
        <v>253</v>
      </c>
      <c r="O754" s="15" t="s">
        <v>1931</v>
      </c>
      <c r="P754" s="14" t="s">
        <v>255</v>
      </c>
      <c r="Q754" s="14" t="s">
        <v>255</v>
      </c>
      <c r="R754" s="14" t="s">
        <v>255</v>
      </c>
      <c r="S754" s="17">
        <v>6</v>
      </c>
      <c r="T754" s="14" t="s">
        <v>256</v>
      </c>
      <c r="U754" s="14" t="s">
        <v>257</v>
      </c>
      <c r="V754" s="14" t="s">
        <v>112</v>
      </c>
      <c r="W754" s="18">
        <v>36000000</v>
      </c>
      <c r="X754" s="18">
        <v>36000000</v>
      </c>
      <c r="Y754" s="19" t="s">
        <v>339</v>
      </c>
      <c r="Z754" s="19" t="s">
        <v>258</v>
      </c>
      <c r="AA754" s="14" t="s">
        <v>1898</v>
      </c>
      <c r="AB754" s="14" t="s">
        <v>1899</v>
      </c>
      <c r="AC754" s="14">
        <v>6012220601</v>
      </c>
      <c r="AD754" s="14" t="s">
        <v>307</v>
      </c>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c r="BC754" s="82"/>
      <c r="BD754" s="82"/>
      <c r="BE754" s="83"/>
      <c r="BF754" s="83"/>
      <c r="BG754" s="14" t="str">
        <f ca="1">IFERROR(__xludf.DUMMYFUNCTION("REGEXEXTRACT(O748,""^\S+\s(.+)$"")"),"Prestar servicios profesionales en el apoyo a la supervisión de contratos, control de pagos y seguimiento a la ejecución del PAA y correcto funcionamiento de bienes y servicios requeridos de la UPME.")</f>
        <v>Prestar servicios profesionales en el apoyo a la supervisión de contratos, control de pagos y seguimiento a la ejecución del PAA y correcto funcionamiento de bienes y servicios requeridos de la UPME.</v>
      </c>
      <c r="BH754" s="27"/>
      <c r="BI754" s="27"/>
      <c r="BJ754" s="27"/>
      <c r="BK754" s="24">
        <v>3000000</v>
      </c>
      <c r="BL754" s="27"/>
      <c r="BM754" s="24">
        <v>6000000</v>
      </c>
      <c r="BN754" s="27"/>
      <c r="BO754" s="24">
        <v>6000000</v>
      </c>
      <c r="BP754" s="27"/>
      <c r="BQ754" s="24">
        <v>6000000</v>
      </c>
      <c r="BR754" s="27"/>
      <c r="BS754" s="24">
        <v>6000000</v>
      </c>
      <c r="BT754" s="27"/>
      <c r="BU754" s="24">
        <v>6000000</v>
      </c>
      <c r="BV754" s="27"/>
      <c r="BW754" s="24">
        <v>3000000</v>
      </c>
      <c r="BX754" s="27"/>
      <c r="BY754" s="27"/>
      <c r="BZ754" s="27"/>
      <c r="CA754" s="27"/>
      <c r="CB754" s="27"/>
      <c r="CC754" s="27"/>
      <c r="CD754" s="27"/>
      <c r="CE754" s="27"/>
      <c r="CF754" s="28"/>
      <c r="CG754" s="28"/>
      <c r="CH754" s="25">
        <f t="shared" ref="CH754:CI754" si="1495">BH754+BJ754+BL754+BN754+BP754+BR754+BT754+BV754+BX754+BZ754+CB754+CD754+CF754</f>
        <v>0</v>
      </c>
      <c r="CI754" s="25">
        <f t="shared" si="1495"/>
        <v>36000000</v>
      </c>
      <c r="CJ754" s="26">
        <f t="shared" si="1331"/>
        <v>36000000</v>
      </c>
      <c r="CK754" s="26">
        <f t="shared" si="1332"/>
        <v>0</v>
      </c>
    </row>
    <row r="755" spans="1:89" ht="90" customHeight="1" x14ac:dyDescent="0.3">
      <c r="A755" s="13" t="s">
        <v>1891</v>
      </c>
      <c r="B755" s="14" t="s">
        <v>27</v>
      </c>
      <c r="C755" s="15" t="s">
        <v>258</v>
      </c>
      <c r="D755" s="14" t="s">
        <v>258</v>
      </c>
      <c r="E755" s="13" t="s">
        <v>250</v>
      </c>
      <c r="F755" s="13" t="s">
        <v>250</v>
      </c>
      <c r="G755" s="14">
        <v>68</v>
      </c>
      <c r="H755" s="13" t="s">
        <v>1932</v>
      </c>
      <c r="I755" s="15" t="s">
        <v>1893</v>
      </c>
      <c r="J755" s="14" t="s">
        <v>1893</v>
      </c>
      <c r="K755" s="15" t="s">
        <v>1893</v>
      </c>
      <c r="L755" s="14" t="s">
        <v>1926</v>
      </c>
      <c r="M755" s="14" t="s">
        <v>1927</v>
      </c>
      <c r="N755" s="14" t="s">
        <v>253</v>
      </c>
      <c r="O755" s="15" t="s">
        <v>1933</v>
      </c>
      <c r="P755" s="14" t="s">
        <v>614</v>
      </c>
      <c r="Q755" s="14" t="s">
        <v>614</v>
      </c>
      <c r="R755" s="14" t="s">
        <v>774</v>
      </c>
      <c r="S755" s="17">
        <v>5</v>
      </c>
      <c r="T755" s="14" t="s">
        <v>256</v>
      </c>
      <c r="U755" s="14" t="s">
        <v>257</v>
      </c>
      <c r="V755" s="14" t="s">
        <v>112</v>
      </c>
      <c r="W755" s="18">
        <v>26000000</v>
      </c>
      <c r="X755" s="18">
        <v>26000000</v>
      </c>
      <c r="Y755" s="19" t="s">
        <v>339</v>
      </c>
      <c r="Z755" s="19" t="s">
        <v>258</v>
      </c>
      <c r="AA755" s="14" t="s">
        <v>1898</v>
      </c>
      <c r="AB755" s="14" t="s">
        <v>1899</v>
      </c>
      <c r="AC755" s="14">
        <v>6012220601</v>
      </c>
      <c r="AD755" s="14" t="s">
        <v>307</v>
      </c>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c r="BC755" s="82"/>
      <c r="BD755" s="82"/>
      <c r="BE755" s="83"/>
      <c r="BF755" s="83"/>
      <c r="BG755" s="14" t="str">
        <f ca="1">IFERROR(__xludf.DUMMYFUNCTION("REGEXEXTRACT(O749,""^\S+\s(.+)$"")"),"Prestar servicios profesionales en la interventoría de la tercera fase de adecuaciones a la infraestructura de la sede administrativa de la Upme.")</f>
        <v>Prestar servicios profesionales en la interventoría de la tercera fase de adecuaciones a la infraestructura de la sede administrativa de la Upme.</v>
      </c>
      <c r="BH755" s="27"/>
      <c r="BI755" s="27"/>
      <c r="BJ755" s="27"/>
      <c r="BK755" s="27"/>
      <c r="BL755" s="27"/>
      <c r="BM755" s="27"/>
      <c r="BN755" s="27"/>
      <c r="BO755" s="27"/>
      <c r="BP755" s="27"/>
      <c r="BQ755" s="24">
        <v>6500000</v>
      </c>
      <c r="BR755" s="27"/>
      <c r="BS755" s="24">
        <v>6500000</v>
      </c>
      <c r="BT755" s="27"/>
      <c r="BU755" s="24">
        <v>6500000</v>
      </c>
      <c r="BV755" s="27"/>
      <c r="BW755" s="24">
        <v>6500000</v>
      </c>
      <c r="BX755" s="27"/>
      <c r="BY755" s="27"/>
      <c r="BZ755" s="27"/>
      <c r="CA755" s="27"/>
      <c r="CB755" s="27"/>
      <c r="CC755" s="27"/>
      <c r="CD755" s="27"/>
      <c r="CE755" s="27"/>
      <c r="CF755" s="28"/>
      <c r="CG755" s="28"/>
      <c r="CH755" s="25">
        <f t="shared" ref="CH755:CI755" si="1496">BH755+BJ755+BL755+BN755+BP755+BR755+BT755+BV755+BX755+BZ755+CB755+CD755+CF755</f>
        <v>0</v>
      </c>
      <c r="CI755" s="25">
        <f t="shared" si="1496"/>
        <v>26000000</v>
      </c>
      <c r="CJ755" s="26">
        <f t="shared" si="1331"/>
        <v>26000000</v>
      </c>
      <c r="CK755" s="26">
        <f t="shared" si="1332"/>
        <v>0</v>
      </c>
    </row>
    <row r="756" spans="1:89" ht="90" customHeight="1" x14ac:dyDescent="0.3">
      <c r="A756" s="13" t="s">
        <v>1891</v>
      </c>
      <c r="B756" s="14" t="s">
        <v>27</v>
      </c>
      <c r="C756" s="15" t="s">
        <v>258</v>
      </c>
      <c r="D756" s="14" t="s">
        <v>258</v>
      </c>
      <c r="E756" s="13" t="s">
        <v>250</v>
      </c>
      <c r="F756" s="13" t="s">
        <v>250</v>
      </c>
      <c r="G756" s="14">
        <v>68</v>
      </c>
      <c r="H756" s="13" t="s">
        <v>1934</v>
      </c>
      <c r="I756" s="15" t="s">
        <v>1893</v>
      </c>
      <c r="J756" s="14" t="s">
        <v>1893</v>
      </c>
      <c r="K756" s="15" t="s">
        <v>1893</v>
      </c>
      <c r="L756" s="14" t="s">
        <v>1926</v>
      </c>
      <c r="M756" s="14" t="s">
        <v>1927</v>
      </c>
      <c r="N756" s="14" t="s">
        <v>253</v>
      </c>
      <c r="O756" s="15" t="s">
        <v>1935</v>
      </c>
      <c r="P756" s="14" t="s">
        <v>255</v>
      </c>
      <c r="Q756" s="14" t="s">
        <v>255</v>
      </c>
      <c r="R756" s="14" t="s">
        <v>255</v>
      </c>
      <c r="S756" s="17">
        <v>6</v>
      </c>
      <c r="T756" s="14" t="s">
        <v>256</v>
      </c>
      <c r="U756" s="14" t="s">
        <v>257</v>
      </c>
      <c r="V756" s="14" t="s">
        <v>112</v>
      </c>
      <c r="W756" s="18">
        <v>36000000</v>
      </c>
      <c r="X756" s="18">
        <v>36000000</v>
      </c>
      <c r="Y756" s="19" t="s">
        <v>339</v>
      </c>
      <c r="Z756" s="19" t="s">
        <v>258</v>
      </c>
      <c r="AA756" s="14" t="s">
        <v>1898</v>
      </c>
      <c r="AB756" s="14" t="s">
        <v>1899</v>
      </c>
      <c r="AC756" s="14">
        <v>6012220601</v>
      </c>
      <c r="AD756" s="14" t="s">
        <v>307</v>
      </c>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c r="BC756" s="82"/>
      <c r="BD756" s="82"/>
      <c r="BE756" s="83"/>
      <c r="BF756" s="83"/>
      <c r="BG756" s="14" t="str">
        <f ca="1">IFERROR(__xludf.DUMMYFUNCTION("REGEXEXTRACT(O750,""^\S+\s(.+)$"")"),"Prestar los servicios profesionales para apoyar las actividades relacionadas con la gestión administrativa de la Secretaría General de la UPME.")</f>
        <v>Prestar los servicios profesionales para apoyar las actividades relacionadas con la gestión administrativa de la Secretaría General de la UPME.</v>
      </c>
      <c r="BH756" s="27"/>
      <c r="BI756" s="27"/>
      <c r="BJ756" s="27"/>
      <c r="BK756" s="24">
        <v>3000000</v>
      </c>
      <c r="BL756" s="27"/>
      <c r="BM756" s="24">
        <v>6000000</v>
      </c>
      <c r="BN756" s="27"/>
      <c r="BO756" s="24">
        <v>6000000</v>
      </c>
      <c r="BP756" s="27"/>
      <c r="BQ756" s="24">
        <v>6000000</v>
      </c>
      <c r="BR756" s="27"/>
      <c r="BS756" s="24">
        <v>6000000</v>
      </c>
      <c r="BT756" s="27"/>
      <c r="BU756" s="24">
        <v>6000000</v>
      </c>
      <c r="BV756" s="27"/>
      <c r="BW756" s="24">
        <v>3000000</v>
      </c>
      <c r="BX756" s="27"/>
      <c r="BY756" s="27"/>
      <c r="BZ756" s="27"/>
      <c r="CA756" s="27"/>
      <c r="CB756" s="27"/>
      <c r="CC756" s="27"/>
      <c r="CD756" s="27"/>
      <c r="CE756" s="27"/>
      <c r="CF756" s="28"/>
      <c r="CG756" s="28"/>
      <c r="CH756" s="25">
        <f t="shared" ref="CH756:CI756" si="1497">BH756+BJ756+BL756+BN756+BP756+BR756+BT756+BV756+BX756+BZ756+CB756+CD756+CF756</f>
        <v>0</v>
      </c>
      <c r="CI756" s="25">
        <f t="shared" si="1497"/>
        <v>36000000</v>
      </c>
      <c r="CJ756" s="26">
        <f t="shared" si="1331"/>
        <v>36000000</v>
      </c>
      <c r="CK756" s="26">
        <f t="shared" si="1332"/>
        <v>0</v>
      </c>
    </row>
    <row r="757" spans="1:89" ht="90" customHeight="1" x14ac:dyDescent="0.3">
      <c r="A757" s="13" t="s">
        <v>1891</v>
      </c>
      <c r="B757" s="14" t="s">
        <v>27</v>
      </c>
      <c r="C757" s="15" t="s">
        <v>258</v>
      </c>
      <c r="D757" s="14" t="s">
        <v>258</v>
      </c>
      <c r="E757" s="13" t="s">
        <v>250</v>
      </c>
      <c r="F757" s="13" t="s">
        <v>250</v>
      </c>
      <c r="G757" s="14">
        <v>19</v>
      </c>
      <c r="H757" s="13" t="s">
        <v>1936</v>
      </c>
      <c r="I757" s="15" t="s">
        <v>1893</v>
      </c>
      <c r="J757" s="14" t="s">
        <v>1893</v>
      </c>
      <c r="K757" s="15" t="s">
        <v>1893</v>
      </c>
      <c r="L757" s="14" t="s">
        <v>1937</v>
      </c>
      <c r="M757" s="14" t="s">
        <v>1895</v>
      </c>
      <c r="N757" s="14" t="s">
        <v>1896</v>
      </c>
      <c r="O757" s="15" t="s">
        <v>1938</v>
      </c>
      <c r="P757" s="14" t="s">
        <v>255</v>
      </c>
      <c r="Q757" s="14" t="s">
        <v>255</v>
      </c>
      <c r="R757" s="14" t="s">
        <v>255</v>
      </c>
      <c r="S757" s="17">
        <v>12</v>
      </c>
      <c r="T757" s="14" t="s">
        <v>256</v>
      </c>
      <c r="U757" s="14" t="s">
        <v>474</v>
      </c>
      <c r="V757" s="14" t="s">
        <v>112</v>
      </c>
      <c r="W757" s="84">
        <v>21745650</v>
      </c>
      <c r="X757" s="18">
        <v>21745650</v>
      </c>
      <c r="Y757" s="19" t="s">
        <v>339</v>
      </c>
      <c r="Z757" s="19" t="s">
        <v>258</v>
      </c>
      <c r="AA757" s="14" t="s">
        <v>1898</v>
      </c>
      <c r="AB757" s="14" t="s">
        <v>1899</v>
      </c>
      <c r="AC757" s="14">
        <v>6012220601</v>
      </c>
      <c r="AD757" s="14" t="s">
        <v>307</v>
      </c>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c r="BC757" s="82"/>
      <c r="BD757" s="82"/>
      <c r="BE757" s="83"/>
      <c r="BF757" s="83"/>
      <c r="BG757" s="14" t="str">
        <f ca="1">IFERROR(__xludf.DUMMYFUNCTION("REGEXEXTRACT(O751,""^\S+\s(.+)$"")"),"Prestar servicios de mantenimiento preventivo y correctivo en el sistema de protección de red contraincendios en las instalaciones de la UPME.")</f>
        <v>Prestar servicios de mantenimiento preventivo y correctivo en el sistema de protección de red contraincendios en las instalaciones de la UPME.</v>
      </c>
      <c r="BH757" s="27"/>
      <c r="BI757" s="27"/>
      <c r="BJ757" s="27"/>
      <c r="BK757" s="27"/>
      <c r="BL757" s="27"/>
      <c r="BM757" s="27"/>
      <c r="BN757" s="27"/>
      <c r="BO757" s="24">
        <v>7566667</v>
      </c>
      <c r="BP757" s="27"/>
      <c r="BQ757" s="27"/>
      <c r="BR757" s="27"/>
      <c r="BS757" s="27"/>
      <c r="BT757" s="27"/>
      <c r="BU757" s="27"/>
      <c r="BV757" s="27"/>
      <c r="BW757" s="24">
        <v>7566667</v>
      </c>
      <c r="BX757" s="27"/>
      <c r="BY757" s="27"/>
      <c r="BZ757" s="27"/>
      <c r="CA757" s="27"/>
      <c r="CB757" s="27"/>
      <c r="CC757" s="24">
        <v>7566666</v>
      </c>
      <c r="CD757" s="27"/>
      <c r="CE757" s="27"/>
      <c r="CF757" s="28"/>
      <c r="CG757" s="28"/>
      <c r="CH757" s="25">
        <f t="shared" ref="CH757:CI757" si="1498">BH757+BJ757+BL757+BN757+BP757+BR757+BT757+BV757+BX757+BZ757+CB757+CD757+CF757</f>
        <v>0</v>
      </c>
      <c r="CI757" s="25">
        <f t="shared" si="1498"/>
        <v>22700000</v>
      </c>
      <c r="CJ757" s="26">
        <f t="shared" si="1331"/>
        <v>21745650</v>
      </c>
      <c r="CK757" s="26">
        <f t="shared" si="1332"/>
        <v>-954350</v>
      </c>
    </row>
    <row r="758" spans="1:89" ht="90" customHeight="1" x14ac:dyDescent="0.3">
      <c r="A758" s="13" t="s">
        <v>1891</v>
      </c>
      <c r="B758" s="14" t="s">
        <v>27</v>
      </c>
      <c r="C758" s="15" t="s">
        <v>258</v>
      </c>
      <c r="D758" s="14" t="s">
        <v>258</v>
      </c>
      <c r="E758" s="13" t="s">
        <v>250</v>
      </c>
      <c r="F758" s="13" t="s">
        <v>250</v>
      </c>
      <c r="G758" s="14">
        <v>19</v>
      </c>
      <c r="H758" s="13" t="s">
        <v>1939</v>
      </c>
      <c r="I758" s="15" t="s">
        <v>1893</v>
      </c>
      <c r="J758" s="14" t="s">
        <v>1893</v>
      </c>
      <c r="K758" s="15" t="s">
        <v>1893</v>
      </c>
      <c r="L758" s="14" t="s">
        <v>1926</v>
      </c>
      <c r="M758" s="14" t="s">
        <v>1940</v>
      </c>
      <c r="N758" s="14" t="s">
        <v>253</v>
      </c>
      <c r="O758" s="15" t="s">
        <v>1941</v>
      </c>
      <c r="P758" s="14" t="s">
        <v>255</v>
      </c>
      <c r="Q758" s="14" t="s">
        <v>255</v>
      </c>
      <c r="R758" s="14" t="s">
        <v>255</v>
      </c>
      <c r="S758" s="17" t="s">
        <v>1929</v>
      </c>
      <c r="T758" s="14" t="s">
        <v>256</v>
      </c>
      <c r="U758" s="14" t="s">
        <v>257</v>
      </c>
      <c r="V758" s="14" t="s">
        <v>112</v>
      </c>
      <c r="W758" s="84">
        <v>60500000</v>
      </c>
      <c r="X758" s="18">
        <v>60500000</v>
      </c>
      <c r="Y758" s="19" t="s">
        <v>339</v>
      </c>
      <c r="Z758" s="19" t="s">
        <v>258</v>
      </c>
      <c r="AA758" s="14" t="s">
        <v>1898</v>
      </c>
      <c r="AB758" s="14" t="s">
        <v>1899</v>
      </c>
      <c r="AC758" s="14">
        <v>6012220601</v>
      </c>
      <c r="AD758" s="14" t="s">
        <v>307</v>
      </c>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c r="BC758" s="82"/>
      <c r="BD758" s="82"/>
      <c r="BE758" s="83"/>
      <c r="BF758" s="83"/>
      <c r="BG758" s="14" t="str">
        <f ca="1">IFERROR(__xludf.DUMMYFUNCTION("REGEXEXTRACT(O752,""^\S+\s(.+)$"")"),"Prestar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758" s="27"/>
      <c r="BI758" s="27"/>
      <c r="BJ758" s="27"/>
      <c r="BK758" s="24">
        <v>2750000</v>
      </c>
      <c r="BL758" s="27"/>
      <c r="BM758" s="24">
        <v>5500000</v>
      </c>
      <c r="BN758" s="27"/>
      <c r="BO758" s="24">
        <v>5500000</v>
      </c>
      <c r="BP758" s="27"/>
      <c r="BQ758" s="24">
        <v>5500000</v>
      </c>
      <c r="BR758" s="27"/>
      <c r="BS758" s="24">
        <v>5500000</v>
      </c>
      <c r="BT758" s="27"/>
      <c r="BU758" s="24">
        <v>5500000</v>
      </c>
      <c r="BV758" s="27"/>
      <c r="BW758" s="24">
        <v>5500000</v>
      </c>
      <c r="BX758" s="27"/>
      <c r="BY758" s="24">
        <v>5500000</v>
      </c>
      <c r="BZ758" s="27"/>
      <c r="CA758" s="24">
        <v>5500000</v>
      </c>
      <c r="CB758" s="27"/>
      <c r="CC758" s="24">
        <v>5500000</v>
      </c>
      <c r="CD758" s="27"/>
      <c r="CE758" s="24">
        <v>11000000</v>
      </c>
      <c r="CF758" s="28"/>
      <c r="CG758" s="28"/>
      <c r="CH758" s="25">
        <f t="shared" ref="CH758:CI758" si="1499">BH758+BJ758+BL758+BN758+BP758+BR758+BT758+BV758+BX758+BZ758+CB758+CD758+CF758</f>
        <v>0</v>
      </c>
      <c r="CI758" s="25">
        <f t="shared" si="1499"/>
        <v>63250000</v>
      </c>
      <c r="CJ758" s="26">
        <f t="shared" si="1331"/>
        <v>60500000</v>
      </c>
      <c r="CK758" s="26">
        <f t="shared" si="1332"/>
        <v>-2750000</v>
      </c>
    </row>
    <row r="759" spans="1:89" ht="90" customHeight="1" x14ac:dyDescent="0.3">
      <c r="A759" s="13" t="s">
        <v>1891</v>
      </c>
      <c r="B759" s="14" t="s">
        <v>27</v>
      </c>
      <c r="C759" s="15" t="s">
        <v>258</v>
      </c>
      <c r="D759" s="14" t="s">
        <v>258</v>
      </c>
      <c r="E759" s="13" t="s">
        <v>250</v>
      </c>
      <c r="F759" s="13" t="s">
        <v>250</v>
      </c>
      <c r="G759" s="14">
        <v>68</v>
      </c>
      <c r="H759" s="13" t="s">
        <v>1942</v>
      </c>
      <c r="I759" s="15" t="s">
        <v>1893</v>
      </c>
      <c r="J759" s="14" t="s">
        <v>1893</v>
      </c>
      <c r="K759" s="15" t="s">
        <v>1893</v>
      </c>
      <c r="L759" s="14" t="s">
        <v>1943</v>
      </c>
      <c r="M759" s="14" t="s">
        <v>1902</v>
      </c>
      <c r="N759" s="14" t="s">
        <v>951</v>
      </c>
      <c r="O759" s="15" t="s">
        <v>1944</v>
      </c>
      <c r="P759" s="14" t="s">
        <v>255</v>
      </c>
      <c r="Q759" s="14" t="s">
        <v>255</v>
      </c>
      <c r="R759" s="14" t="s">
        <v>255</v>
      </c>
      <c r="S759" s="17">
        <v>12</v>
      </c>
      <c r="T759" s="14" t="s">
        <v>256</v>
      </c>
      <c r="U759" s="14" t="s">
        <v>347</v>
      </c>
      <c r="V759" s="14" t="s">
        <v>112</v>
      </c>
      <c r="W759" s="18">
        <v>0</v>
      </c>
      <c r="X759" s="18">
        <v>0</v>
      </c>
      <c r="Y759" s="19" t="s">
        <v>339</v>
      </c>
      <c r="Z759" s="19" t="s">
        <v>258</v>
      </c>
      <c r="AA759" s="14" t="s">
        <v>1898</v>
      </c>
      <c r="AB759" s="14" t="s">
        <v>1899</v>
      </c>
      <c r="AC759" s="14">
        <v>6012220601</v>
      </c>
      <c r="AD759" s="14" t="s">
        <v>307</v>
      </c>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c r="BC759" s="82"/>
      <c r="BD759" s="82"/>
      <c r="BE759" s="83"/>
      <c r="BF759" s="83"/>
      <c r="BG759" s="14" t="str">
        <f ca="1">IFERROR(__xludf.DUMMYFUNCTION("REGEXEXTRACT(O753,""^\S+\s(.+)$"")"),"Prestar servicios de intermediación y asesoría en la formulación y manejo de los programas de seguros para la Upme.")</f>
        <v>Prestar servicios de intermediación y asesoría en la formulación y manejo de los programas de seguros para la Upme.</v>
      </c>
      <c r="BH759" s="27"/>
      <c r="BI759" s="27"/>
      <c r="BJ759" s="27"/>
      <c r="BK759" s="27"/>
      <c r="BL759" s="27"/>
      <c r="BM759" s="27"/>
      <c r="BN759" s="27"/>
      <c r="BO759" s="27"/>
      <c r="BP759" s="27"/>
      <c r="BQ759" s="27"/>
      <c r="BR759" s="27"/>
      <c r="BS759" s="27"/>
      <c r="BT759" s="27"/>
      <c r="BU759" s="27"/>
      <c r="BV759" s="27"/>
      <c r="BW759" s="27"/>
      <c r="BX759" s="27"/>
      <c r="BY759" s="27"/>
      <c r="BZ759" s="27"/>
      <c r="CA759" s="27"/>
      <c r="CB759" s="27"/>
      <c r="CC759" s="27"/>
      <c r="CD759" s="27"/>
      <c r="CE759" s="27"/>
      <c r="CF759" s="28"/>
      <c r="CG759" s="28"/>
      <c r="CH759" s="25">
        <f t="shared" ref="CH759:CI759" si="1500">BH759+BJ759+BL759+BN759+BP759+BR759+BT759+BV759+BX759+BZ759+CB759+CD759+CF759</f>
        <v>0</v>
      </c>
      <c r="CI759" s="25">
        <f t="shared" si="1500"/>
        <v>0</v>
      </c>
      <c r="CJ759" s="26">
        <f t="shared" si="1331"/>
        <v>0</v>
      </c>
      <c r="CK759" s="26">
        <f t="shared" si="1332"/>
        <v>0</v>
      </c>
    </row>
    <row r="760" spans="1:89" ht="90" customHeight="1" x14ac:dyDescent="0.3">
      <c r="A760" s="13" t="s">
        <v>1891</v>
      </c>
      <c r="B760" s="14" t="s">
        <v>27</v>
      </c>
      <c r="C760" s="15" t="s">
        <v>258</v>
      </c>
      <c r="D760" s="14" t="s">
        <v>258</v>
      </c>
      <c r="E760" s="13" t="s">
        <v>250</v>
      </c>
      <c r="F760" s="13" t="s">
        <v>250</v>
      </c>
      <c r="G760" s="14">
        <v>68</v>
      </c>
      <c r="H760" s="13" t="s">
        <v>1945</v>
      </c>
      <c r="I760" s="15" t="s">
        <v>1893</v>
      </c>
      <c r="J760" s="14" t="s">
        <v>1893</v>
      </c>
      <c r="K760" s="15" t="s">
        <v>1893</v>
      </c>
      <c r="L760" s="14" t="s">
        <v>1943</v>
      </c>
      <c r="M760" s="14" t="s">
        <v>1902</v>
      </c>
      <c r="N760" s="14" t="s">
        <v>951</v>
      </c>
      <c r="O760" s="15" t="s">
        <v>1946</v>
      </c>
      <c r="P760" s="14" t="s">
        <v>549</v>
      </c>
      <c r="Q760" s="14" t="s">
        <v>549</v>
      </c>
      <c r="R760" s="14" t="s">
        <v>549</v>
      </c>
      <c r="S760" s="17">
        <v>12</v>
      </c>
      <c r="T760" s="14" t="s">
        <v>256</v>
      </c>
      <c r="U760" s="14" t="s">
        <v>474</v>
      </c>
      <c r="V760" s="14" t="s">
        <v>112</v>
      </c>
      <c r="W760" s="18">
        <v>310000000</v>
      </c>
      <c r="X760" s="18">
        <v>310000000</v>
      </c>
      <c r="Y760" s="19" t="s">
        <v>339</v>
      </c>
      <c r="Z760" s="19" t="s">
        <v>258</v>
      </c>
      <c r="AA760" s="14" t="s">
        <v>1898</v>
      </c>
      <c r="AB760" s="14" t="s">
        <v>1899</v>
      </c>
      <c r="AC760" s="14">
        <v>6012220601</v>
      </c>
      <c r="AD760" s="14" t="s">
        <v>307</v>
      </c>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c r="BC760" s="82"/>
      <c r="BD760" s="82"/>
      <c r="BE760" s="83"/>
      <c r="BF760" s="83"/>
      <c r="BG760" s="14" t="str">
        <f ca="1">IFERROR(__xludf.DUMMYFUNCTION("REGEXEXTRACT(O754,""^\S+\s(.+)$"")"),"Adquirir las pólizas de seguros que amparen los bienes muebles, inmuebles e intereses patrimoniales asegurables de propiedad de la Upme y de aquellos por los que sea o llegase a ser legalmente responsable a nivel nacional.")</f>
        <v>Adquirir las pólizas de seguros que amparen los bienes muebles, inmuebles e intereses patrimoniales asegurables de propiedad de la Upme y de aquellos por los que sea o llegase a ser legalmente responsable a nivel nacional.</v>
      </c>
      <c r="BH760" s="27"/>
      <c r="BI760" s="27"/>
      <c r="BJ760" s="27"/>
      <c r="BK760" s="27"/>
      <c r="BL760" s="27"/>
      <c r="BM760" s="27"/>
      <c r="BN760" s="27"/>
      <c r="BO760" s="27"/>
      <c r="BP760" s="27"/>
      <c r="BQ760" s="24">
        <v>310000000</v>
      </c>
      <c r="BR760" s="27"/>
      <c r="BS760" s="27"/>
      <c r="BT760" s="27"/>
      <c r="BU760" s="27"/>
      <c r="BV760" s="27"/>
      <c r="BW760" s="27"/>
      <c r="BX760" s="27"/>
      <c r="BY760" s="27"/>
      <c r="BZ760" s="27"/>
      <c r="CA760" s="27"/>
      <c r="CB760" s="27"/>
      <c r="CC760" s="27"/>
      <c r="CD760" s="27"/>
      <c r="CE760" s="27"/>
      <c r="CF760" s="28"/>
      <c r="CG760" s="28"/>
      <c r="CH760" s="25">
        <f t="shared" ref="CH760:CI760" si="1501">BH760+BJ760+BL760+BN760+BP760+BR760+BT760+BV760+BX760+BZ760+CB760+CD760+CF760</f>
        <v>0</v>
      </c>
      <c r="CI760" s="25">
        <f t="shared" si="1501"/>
        <v>310000000</v>
      </c>
      <c r="CJ760" s="26">
        <f t="shared" si="1331"/>
        <v>310000000</v>
      </c>
      <c r="CK760" s="26">
        <f t="shared" si="1332"/>
        <v>0</v>
      </c>
    </row>
    <row r="761" spans="1:89" ht="90" customHeight="1" x14ac:dyDescent="0.3">
      <c r="A761" s="13" t="s">
        <v>1891</v>
      </c>
      <c r="B761" s="14" t="s">
        <v>27</v>
      </c>
      <c r="C761" s="15" t="s">
        <v>258</v>
      </c>
      <c r="D761" s="14" t="s">
        <v>258</v>
      </c>
      <c r="E761" s="13" t="s">
        <v>250</v>
      </c>
      <c r="F761" s="13" t="s">
        <v>250</v>
      </c>
      <c r="G761" s="14">
        <v>6</v>
      </c>
      <c r="H761" s="13" t="s">
        <v>1947</v>
      </c>
      <c r="I761" s="15" t="s">
        <v>1893</v>
      </c>
      <c r="J761" s="14" t="s">
        <v>1893</v>
      </c>
      <c r="K761" s="15" t="s">
        <v>1893</v>
      </c>
      <c r="L761" s="14" t="s">
        <v>1948</v>
      </c>
      <c r="M761" s="14" t="s">
        <v>1949</v>
      </c>
      <c r="N761" s="14" t="s">
        <v>951</v>
      </c>
      <c r="O761" s="15" t="s">
        <v>1950</v>
      </c>
      <c r="P761" s="14" t="s">
        <v>255</v>
      </c>
      <c r="Q761" s="14" t="s">
        <v>255</v>
      </c>
      <c r="R761" s="14" t="s">
        <v>255</v>
      </c>
      <c r="S761" s="17">
        <v>12</v>
      </c>
      <c r="T761" s="14" t="s">
        <v>256</v>
      </c>
      <c r="U761" s="14" t="s">
        <v>474</v>
      </c>
      <c r="V761" s="14" t="s">
        <v>112</v>
      </c>
      <c r="W761" s="18">
        <v>0</v>
      </c>
      <c r="X761" s="18">
        <v>0</v>
      </c>
      <c r="Y761" s="19" t="s">
        <v>339</v>
      </c>
      <c r="Z761" s="19" t="s">
        <v>258</v>
      </c>
      <c r="AA761" s="14" t="s">
        <v>1898</v>
      </c>
      <c r="AB761" s="14" t="s">
        <v>1899</v>
      </c>
      <c r="AC761" s="14">
        <v>6012220601</v>
      </c>
      <c r="AD761" s="14" t="s">
        <v>307</v>
      </c>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c r="BC761" s="82"/>
      <c r="BD761" s="82"/>
      <c r="BE761" s="83"/>
      <c r="BF761" s="83"/>
      <c r="BG761" s="14" t="str">
        <f ca="1">IFERROR(__xludf.DUMMYFUNCTION("REGEXEXTRACT(O755,""^\S+\s(.+)$"")"),"Prestar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						")</f>
        <v xml:space="preserve">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						</v>
      </c>
      <c r="BH761" s="27"/>
      <c r="BI761" s="27"/>
      <c r="BJ761" s="24">
        <v>0</v>
      </c>
      <c r="BK761" s="24">
        <v>0</v>
      </c>
      <c r="BL761" s="24">
        <v>0</v>
      </c>
      <c r="BM761" s="24">
        <v>0</v>
      </c>
      <c r="BN761" s="24">
        <v>0</v>
      </c>
      <c r="BO761" s="24">
        <v>0</v>
      </c>
      <c r="BP761" s="24">
        <v>0</v>
      </c>
      <c r="BQ761" s="24">
        <v>0</v>
      </c>
      <c r="BR761" s="24">
        <v>0</v>
      </c>
      <c r="BS761" s="24">
        <v>0</v>
      </c>
      <c r="BT761" s="24">
        <v>0</v>
      </c>
      <c r="BU761" s="24">
        <v>0</v>
      </c>
      <c r="BV761" s="24">
        <v>0</v>
      </c>
      <c r="BW761" s="24">
        <v>0</v>
      </c>
      <c r="BX761" s="24">
        <v>0</v>
      </c>
      <c r="BY761" s="24">
        <v>0</v>
      </c>
      <c r="BZ761" s="24">
        <v>0</v>
      </c>
      <c r="CA761" s="24">
        <v>0</v>
      </c>
      <c r="CB761" s="24">
        <v>0</v>
      </c>
      <c r="CC761" s="24">
        <v>0</v>
      </c>
      <c r="CD761" s="24">
        <v>0</v>
      </c>
      <c r="CE761" s="24">
        <v>0</v>
      </c>
      <c r="CF761" s="28"/>
      <c r="CG761" s="28"/>
      <c r="CH761" s="25">
        <f t="shared" ref="CH761:CI761" si="1502">BH761+BJ761+BL761+BN761+BP761+BR761+BT761+BV761+BX761+BZ761+CB761+CD761+CF761</f>
        <v>0</v>
      </c>
      <c r="CI761" s="25">
        <f t="shared" si="1502"/>
        <v>0</v>
      </c>
      <c r="CJ761" s="26">
        <f t="shared" si="1331"/>
        <v>0</v>
      </c>
      <c r="CK761" s="26">
        <f t="shared" si="1332"/>
        <v>0</v>
      </c>
    </row>
    <row r="762" spans="1:89" ht="90" customHeight="1" x14ac:dyDescent="0.3">
      <c r="A762" s="13" t="s">
        <v>1891</v>
      </c>
      <c r="B762" s="14" t="s">
        <v>27</v>
      </c>
      <c r="C762" s="15" t="s">
        <v>258</v>
      </c>
      <c r="D762" s="14" t="s">
        <v>258</v>
      </c>
      <c r="E762" s="13" t="s">
        <v>250</v>
      </c>
      <c r="F762" s="13" t="s">
        <v>250</v>
      </c>
      <c r="G762" s="14">
        <v>68</v>
      </c>
      <c r="H762" s="13" t="s">
        <v>1951</v>
      </c>
      <c r="I762" s="15" t="s">
        <v>1893</v>
      </c>
      <c r="J762" s="14" t="s">
        <v>1893</v>
      </c>
      <c r="K762" s="15" t="s">
        <v>1893</v>
      </c>
      <c r="L762" s="14">
        <v>92101501</v>
      </c>
      <c r="M762" s="14" t="s">
        <v>1952</v>
      </c>
      <c r="N762" s="14" t="s">
        <v>951</v>
      </c>
      <c r="O762" s="15" t="s">
        <v>1953</v>
      </c>
      <c r="P762" s="14" t="s">
        <v>281</v>
      </c>
      <c r="Q762" s="14" t="s">
        <v>281</v>
      </c>
      <c r="R762" s="14" t="s">
        <v>774</v>
      </c>
      <c r="S762" s="17">
        <v>5</v>
      </c>
      <c r="T762" s="14" t="s">
        <v>256</v>
      </c>
      <c r="U762" s="14" t="s">
        <v>474</v>
      </c>
      <c r="V762" s="14" t="s">
        <v>112</v>
      </c>
      <c r="W762" s="18">
        <v>48200000</v>
      </c>
      <c r="X762" s="18">
        <v>48200000</v>
      </c>
      <c r="Y762" s="19" t="s">
        <v>339</v>
      </c>
      <c r="Z762" s="19" t="s">
        <v>258</v>
      </c>
      <c r="AA762" s="14" t="s">
        <v>1898</v>
      </c>
      <c r="AB762" s="14" t="s">
        <v>1899</v>
      </c>
      <c r="AC762" s="14">
        <v>6012220601</v>
      </c>
      <c r="AD762" s="14" t="s">
        <v>307</v>
      </c>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c r="BC762" s="82"/>
      <c r="BD762" s="82"/>
      <c r="BE762" s="83"/>
      <c r="BF762" s="83"/>
      <c r="BG762" s="14" t="str">
        <f ca="1">IFERROR(__xludf.DUMMYFUNCTION("REGEXEXTRACT(O756,""^\S+\s(.+)$"")"),"Prestar el servicio integral de recepción, seguridad privada y vigilancia en la sede de la Upme.")</f>
        <v>Prestar el servicio integral de recepción, seguridad privada y vigilancia en la sede de la Upme.</v>
      </c>
      <c r="BH762" s="27"/>
      <c r="BI762" s="27"/>
      <c r="BJ762" s="27"/>
      <c r="BK762" s="27"/>
      <c r="BL762" s="27"/>
      <c r="BM762" s="27"/>
      <c r="BN762" s="27"/>
      <c r="BO762" s="27"/>
      <c r="BP762" s="27"/>
      <c r="BQ762" s="27"/>
      <c r="BR762" s="27"/>
      <c r="BS762" s="27"/>
      <c r="BT762" s="27"/>
      <c r="BU762" s="27"/>
      <c r="BV762" s="27"/>
      <c r="BW762" s="24">
        <v>9640000</v>
      </c>
      <c r="BX762" s="27"/>
      <c r="BY762" s="24">
        <v>9640000</v>
      </c>
      <c r="BZ762" s="27"/>
      <c r="CA762" s="24">
        <v>9640000</v>
      </c>
      <c r="CB762" s="27"/>
      <c r="CC762" s="24">
        <v>9640000</v>
      </c>
      <c r="CD762" s="27"/>
      <c r="CE762" s="24">
        <v>9640000</v>
      </c>
      <c r="CF762" s="28"/>
      <c r="CG762" s="28"/>
      <c r="CH762" s="25">
        <f t="shared" ref="CH762:CI762" si="1503">BH762+BJ762+BL762+BN762+BP762+BR762+BT762+BV762+BX762+BZ762+CB762+CD762+CF762</f>
        <v>0</v>
      </c>
      <c r="CI762" s="25">
        <f t="shared" si="1503"/>
        <v>48200000</v>
      </c>
      <c r="CJ762" s="26">
        <f t="shared" si="1331"/>
        <v>48200000</v>
      </c>
      <c r="CK762" s="26">
        <f t="shared" si="1332"/>
        <v>0</v>
      </c>
    </row>
    <row r="763" spans="1:89" ht="90" customHeight="1" x14ac:dyDescent="0.3">
      <c r="A763" s="13" t="s">
        <v>1891</v>
      </c>
      <c r="B763" s="14" t="s">
        <v>27</v>
      </c>
      <c r="C763" s="15" t="s">
        <v>258</v>
      </c>
      <c r="D763" s="14" t="s">
        <v>258</v>
      </c>
      <c r="E763" s="13" t="s">
        <v>250</v>
      </c>
      <c r="F763" s="13" t="s">
        <v>250</v>
      </c>
      <c r="G763" s="14">
        <v>10</v>
      </c>
      <c r="H763" s="13" t="s">
        <v>1954</v>
      </c>
      <c r="I763" s="15" t="s">
        <v>1893</v>
      </c>
      <c r="J763" s="14" t="s">
        <v>1893</v>
      </c>
      <c r="K763" s="15" t="s">
        <v>1893</v>
      </c>
      <c r="L763" s="14" t="s">
        <v>1955</v>
      </c>
      <c r="M763" s="14" t="s">
        <v>1956</v>
      </c>
      <c r="N763" s="14" t="s">
        <v>951</v>
      </c>
      <c r="O763" s="15" t="s">
        <v>1957</v>
      </c>
      <c r="P763" s="14" t="s">
        <v>614</v>
      </c>
      <c r="Q763" s="14" t="s">
        <v>614</v>
      </c>
      <c r="R763" s="14" t="s">
        <v>774</v>
      </c>
      <c r="S763" s="17">
        <v>5</v>
      </c>
      <c r="T763" s="14" t="s">
        <v>256</v>
      </c>
      <c r="U763" s="14" t="s">
        <v>1313</v>
      </c>
      <c r="V763" s="14" t="s">
        <v>112</v>
      </c>
      <c r="W763" s="18">
        <v>281036348</v>
      </c>
      <c r="X763" s="18">
        <v>281036348</v>
      </c>
      <c r="Y763" s="19" t="s">
        <v>339</v>
      </c>
      <c r="Z763" s="19" t="s">
        <v>258</v>
      </c>
      <c r="AA763" s="14" t="s">
        <v>1898</v>
      </c>
      <c r="AB763" s="14" t="s">
        <v>1899</v>
      </c>
      <c r="AC763" s="14">
        <v>6012220601</v>
      </c>
      <c r="AD763" s="14" t="s">
        <v>307</v>
      </c>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c r="BC763" s="82"/>
      <c r="BD763" s="82"/>
      <c r="BE763" s="83"/>
      <c r="BF763" s="83"/>
      <c r="BG763" s="14" t="str">
        <f ca="1">IFERROR(__xludf.DUMMYFUNCTION("REGEXEXTRACT(O757,""^\S+\s(.+)$"")"),"Adelantar la tercera fase de las adecuaciones a la infraestructura de la sede administrativa de la Upme.")</f>
        <v>Adelantar la tercera fase de las adecuaciones a la infraestructura de la sede administrativa de la Upme.</v>
      </c>
      <c r="BH763" s="27"/>
      <c r="BI763" s="27"/>
      <c r="BJ763" s="27">
        <v>0</v>
      </c>
      <c r="BK763" s="27">
        <v>0</v>
      </c>
      <c r="BL763" s="27">
        <v>0</v>
      </c>
      <c r="BM763" s="27">
        <v>0</v>
      </c>
      <c r="BN763" s="27">
        <v>0</v>
      </c>
      <c r="BO763" s="27">
        <v>0</v>
      </c>
      <c r="BP763" s="27">
        <v>0</v>
      </c>
      <c r="BQ763" s="27">
        <v>0</v>
      </c>
      <c r="BR763" s="27">
        <v>0</v>
      </c>
      <c r="BS763" s="24">
        <v>0</v>
      </c>
      <c r="BT763" s="27">
        <v>0</v>
      </c>
      <c r="BU763" s="24">
        <v>0</v>
      </c>
      <c r="BV763" s="23">
        <v>281036348</v>
      </c>
      <c r="BW763" s="24">
        <v>0</v>
      </c>
      <c r="BX763" s="27">
        <v>0</v>
      </c>
      <c r="BY763" s="23">
        <v>56207270</v>
      </c>
      <c r="BZ763" s="27">
        <v>0</v>
      </c>
      <c r="CA763" s="23">
        <v>56207270</v>
      </c>
      <c r="CB763" s="27">
        <v>0</v>
      </c>
      <c r="CC763" s="23">
        <v>56207270</v>
      </c>
      <c r="CD763" s="27">
        <v>0</v>
      </c>
      <c r="CE763" s="23">
        <v>112414538</v>
      </c>
      <c r="CF763" s="28"/>
      <c r="CG763" s="28"/>
      <c r="CH763" s="25">
        <f t="shared" ref="CH763:CI763" si="1504">BH763+BJ763+BL763+BN763+BP763+BR763+BT763+BV763+BX763+BZ763+CB763+CD763+CF763</f>
        <v>281036348</v>
      </c>
      <c r="CI763" s="25">
        <f t="shared" si="1504"/>
        <v>281036348</v>
      </c>
      <c r="CJ763" s="26">
        <f t="shared" si="1331"/>
        <v>0</v>
      </c>
      <c r="CK763" s="26">
        <f t="shared" si="1332"/>
        <v>0</v>
      </c>
    </row>
    <row r="764" spans="1:89" ht="90" customHeight="1" x14ac:dyDescent="0.3">
      <c r="A764" s="13" t="s">
        <v>1891</v>
      </c>
      <c r="B764" s="14" t="s">
        <v>27</v>
      </c>
      <c r="C764" s="15" t="s">
        <v>258</v>
      </c>
      <c r="D764" s="14" t="s">
        <v>258</v>
      </c>
      <c r="E764" s="13" t="s">
        <v>250</v>
      </c>
      <c r="F764" s="13" t="s">
        <v>250</v>
      </c>
      <c r="G764" s="14">
        <v>68</v>
      </c>
      <c r="H764" s="13" t="s">
        <v>1958</v>
      </c>
      <c r="I764" s="15" t="s">
        <v>1893</v>
      </c>
      <c r="J764" s="14" t="s">
        <v>1893</v>
      </c>
      <c r="K764" s="15" t="s">
        <v>1893</v>
      </c>
      <c r="L764" s="14" t="s">
        <v>1959</v>
      </c>
      <c r="M764" s="14" t="s">
        <v>1952</v>
      </c>
      <c r="N764" s="14" t="s">
        <v>951</v>
      </c>
      <c r="O764" s="15" t="s">
        <v>1960</v>
      </c>
      <c r="P764" s="14" t="s">
        <v>281</v>
      </c>
      <c r="Q764" s="14" t="s">
        <v>281</v>
      </c>
      <c r="R764" s="14" t="s">
        <v>774</v>
      </c>
      <c r="S764" s="17">
        <v>5</v>
      </c>
      <c r="T764" s="14" t="s">
        <v>256</v>
      </c>
      <c r="U764" s="14" t="s">
        <v>1961</v>
      </c>
      <c r="V764" s="14" t="s">
        <v>112</v>
      </c>
      <c r="W764" s="18">
        <v>133000000</v>
      </c>
      <c r="X764" s="18">
        <v>133000000</v>
      </c>
      <c r="Y764" s="19" t="s">
        <v>339</v>
      </c>
      <c r="Z764" s="19" t="s">
        <v>258</v>
      </c>
      <c r="AA764" s="14" t="s">
        <v>1898</v>
      </c>
      <c r="AB764" s="14" t="s">
        <v>1899</v>
      </c>
      <c r="AC764" s="14">
        <v>6012220601</v>
      </c>
      <c r="AD764" s="14" t="s">
        <v>307</v>
      </c>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c r="BC764" s="82"/>
      <c r="BD764" s="82"/>
      <c r="BE764" s="83"/>
      <c r="BF764" s="83"/>
      <c r="BG764" s="14" t="str">
        <f ca="1">IFERROR(__xludf.DUMMYFUNCTION("REGEXEXTRACT(O758,""^\S+\s(.+)$"")"),"Prestar el servicio integral de aseo y cafetería para la Upme incluidos los insumos básicos de aseo y cafetería requeridos.")</f>
        <v>Prestar el servicio integral de aseo y cafetería para la Upme incluidos los insumos básicos de aseo y cafetería requeridos.</v>
      </c>
      <c r="BH764" s="27"/>
      <c r="BI764" s="27"/>
      <c r="BJ764" s="27"/>
      <c r="BK764" s="27"/>
      <c r="BL764" s="27"/>
      <c r="BM764" s="27"/>
      <c r="BN764" s="27"/>
      <c r="BO764" s="27"/>
      <c r="BP764" s="27"/>
      <c r="BQ764" s="27"/>
      <c r="BR764" s="27"/>
      <c r="BS764" s="27"/>
      <c r="BT764" s="27"/>
      <c r="BU764" s="27"/>
      <c r="BV764" s="27"/>
      <c r="BW764" s="24">
        <v>26600000</v>
      </c>
      <c r="BX764" s="27"/>
      <c r="BY764" s="24">
        <v>26600000</v>
      </c>
      <c r="BZ764" s="27"/>
      <c r="CA764" s="24">
        <v>26600000</v>
      </c>
      <c r="CB764" s="27"/>
      <c r="CC764" s="24">
        <v>26600000</v>
      </c>
      <c r="CD764" s="27"/>
      <c r="CE764" s="24">
        <v>26600000</v>
      </c>
      <c r="CF764" s="28"/>
      <c r="CG764" s="28"/>
      <c r="CH764" s="25">
        <f t="shared" ref="CH764:CI764" si="1505">BH764+BJ764+BL764+BN764+BP764+BR764+BT764+BV764+BX764+BZ764+CB764+CD764+CF764</f>
        <v>0</v>
      </c>
      <c r="CI764" s="25">
        <f t="shared" si="1505"/>
        <v>133000000</v>
      </c>
      <c r="CJ764" s="26">
        <f t="shared" si="1331"/>
        <v>133000000</v>
      </c>
      <c r="CK764" s="26">
        <f t="shared" si="1332"/>
        <v>0</v>
      </c>
    </row>
    <row r="765" spans="1:89" ht="90" customHeight="1" x14ac:dyDescent="0.3">
      <c r="A765" s="13" t="s">
        <v>1891</v>
      </c>
      <c r="B765" s="14" t="s">
        <v>27</v>
      </c>
      <c r="C765" s="15" t="s">
        <v>258</v>
      </c>
      <c r="D765" s="14" t="s">
        <v>258</v>
      </c>
      <c r="E765" s="13" t="s">
        <v>250</v>
      </c>
      <c r="F765" s="13" t="s">
        <v>250</v>
      </c>
      <c r="G765" s="14">
        <v>68</v>
      </c>
      <c r="H765" s="13" t="s">
        <v>1962</v>
      </c>
      <c r="I765" s="15" t="s">
        <v>1893</v>
      </c>
      <c r="J765" s="14" t="s">
        <v>1893</v>
      </c>
      <c r="K765" s="15" t="s">
        <v>1893</v>
      </c>
      <c r="L765" s="14" t="s">
        <v>1963</v>
      </c>
      <c r="M765" s="14" t="s">
        <v>1964</v>
      </c>
      <c r="N765" s="14" t="s">
        <v>951</v>
      </c>
      <c r="O765" s="15" t="s">
        <v>1965</v>
      </c>
      <c r="P765" s="14" t="s">
        <v>774</v>
      </c>
      <c r="Q765" s="14" t="s">
        <v>774</v>
      </c>
      <c r="R765" s="14" t="s">
        <v>774</v>
      </c>
      <c r="S765" s="17">
        <v>5</v>
      </c>
      <c r="T765" s="14" t="s">
        <v>256</v>
      </c>
      <c r="U765" s="14" t="s">
        <v>474</v>
      </c>
      <c r="V765" s="14" t="s">
        <v>112</v>
      </c>
      <c r="W765" s="18">
        <v>4500000</v>
      </c>
      <c r="X765" s="18">
        <v>4500000</v>
      </c>
      <c r="Y765" s="19" t="s">
        <v>339</v>
      </c>
      <c r="Z765" s="19" t="s">
        <v>258</v>
      </c>
      <c r="AA765" s="14" t="s">
        <v>1966</v>
      </c>
      <c r="AB765" s="14" t="s">
        <v>1967</v>
      </c>
      <c r="AC765" s="14">
        <v>6012220601</v>
      </c>
      <c r="AD765" s="14" t="s">
        <v>1968</v>
      </c>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c r="BC765" s="82"/>
      <c r="BD765" s="82"/>
      <c r="BE765" s="83"/>
      <c r="BF765" s="83"/>
      <c r="BG765" s="14" t="str">
        <f ca="1">IFERROR(__xludf.DUMMYFUNCTION("REGEXEXTRACT(O759,""^\S+\s(.+)$"")"),"Adquirir los insumos y elementos necesarios para dotar los botiquines de las brigadas de emergencia y comprar los elementos de bioseguridad para los servidores públicos de la Upme.")</f>
        <v>Adquirir los insumos y elementos necesarios para dotar los botiquines de las brigadas de emergencia y comprar los elementos de bioseguridad para los servidores públicos de la Upme.</v>
      </c>
      <c r="BH765" s="27"/>
      <c r="BI765" s="27"/>
      <c r="BJ765" s="27"/>
      <c r="BK765" s="27"/>
      <c r="BL765" s="27"/>
      <c r="BM765" s="27"/>
      <c r="BN765" s="27"/>
      <c r="BO765" s="27"/>
      <c r="BP765" s="27"/>
      <c r="BQ765" s="27"/>
      <c r="BR765" s="27"/>
      <c r="BS765" s="27"/>
      <c r="BT765" s="27"/>
      <c r="BU765" s="27"/>
      <c r="BV765" s="27"/>
      <c r="BW765" s="27"/>
      <c r="BX765" s="27"/>
      <c r="BY765" s="24">
        <v>1500000</v>
      </c>
      <c r="BZ765" s="27"/>
      <c r="CA765" s="24">
        <v>1500000</v>
      </c>
      <c r="CB765" s="27"/>
      <c r="CC765" s="24">
        <v>1500000</v>
      </c>
      <c r="CD765" s="27"/>
      <c r="CE765" s="27"/>
      <c r="CF765" s="28"/>
      <c r="CG765" s="28"/>
      <c r="CH765" s="25">
        <f t="shared" ref="CH765:CI765" si="1506">BH765+BJ765+BL765+BN765+BP765+BR765+BT765+BV765+BX765+BZ765+CB765+CD765+CF765</f>
        <v>0</v>
      </c>
      <c r="CI765" s="25">
        <f t="shared" si="1506"/>
        <v>4500000</v>
      </c>
      <c r="CJ765" s="26">
        <f t="shared" si="1331"/>
        <v>4500000</v>
      </c>
      <c r="CK765" s="26">
        <f t="shared" si="1332"/>
        <v>0</v>
      </c>
    </row>
    <row r="766" spans="1:89" ht="90" customHeight="1" x14ac:dyDescent="0.3">
      <c r="A766" s="13" t="s">
        <v>1891</v>
      </c>
      <c r="B766" s="14" t="s">
        <v>27</v>
      </c>
      <c r="C766" s="15" t="s">
        <v>258</v>
      </c>
      <c r="D766" s="14" t="s">
        <v>258</v>
      </c>
      <c r="E766" s="13" t="s">
        <v>250</v>
      </c>
      <c r="F766" s="13" t="s">
        <v>250</v>
      </c>
      <c r="G766" s="14">
        <v>68</v>
      </c>
      <c r="H766" s="13" t="s">
        <v>1969</v>
      </c>
      <c r="I766" s="15" t="s">
        <v>1893</v>
      </c>
      <c r="J766" s="14" t="s">
        <v>1893</v>
      </c>
      <c r="K766" s="15" t="s">
        <v>1893</v>
      </c>
      <c r="L766" s="14" t="s">
        <v>1970</v>
      </c>
      <c r="M766" s="14" t="s">
        <v>1971</v>
      </c>
      <c r="N766" s="14" t="s">
        <v>951</v>
      </c>
      <c r="O766" s="15" t="s">
        <v>1972</v>
      </c>
      <c r="P766" s="14" t="s">
        <v>1312</v>
      </c>
      <c r="Q766" s="14" t="s">
        <v>1312</v>
      </c>
      <c r="R766" s="14" t="s">
        <v>1312</v>
      </c>
      <c r="S766" s="17">
        <v>4</v>
      </c>
      <c r="T766" s="14" t="s">
        <v>256</v>
      </c>
      <c r="U766" s="14" t="s">
        <v>474</v>
      </c>
      <c r="V766" s="14" t="s">
        <v>112</v>
      </c>
      <c r="W766" s="18">
        <v>45000000</v>
      </c>
      <c r="X766" s="18">
        <v>45000000</v>
      </c>
      <c r="Y766" s="19" t="s">
        <v>339</v>
      </c>
      <c r="Z766" s="19" t="s">
        <v>258</v>
      </c>
      <c r="AA766" s="14" t="s">
        <v>1966</v>
      </c>
      <c r="AB766" s="14" t="s">
        <v>1967</v>
      </c>
      <c r="AC766" s="14">
        <v>6012220601</v>
      </c>
      <c r="AD766" s="14" t="s">
        <v>1968</v>
      </c>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c r="BC766" s="82"/>
      <c r="BD766" s="82"/>
      <c r="BE766" s="83"/>
      <c r="BF766" s="83"/>
      <c r="BG766" s="14" t="str">
        <f ca="1">IFERROR(__xludf.DUMMYFUNCTION("REGEXEXTRACT(O760,""^\S+\s(.+)$"")"),"Prestar los servicios requeridos para gestionar los exámenes médicos periódicos ocupacionales de la vigencia 2026 para los servidores públicos de la Upme.")</f>
        <v>Prestar los servicios requeridos para gestionar los exámenes médicos periódicos ocupacionales de la vigencia 2026 para los servidores públicos de la Upme.</v>
      </c>
      <c r="BH766" s="27"/>
      <c r="BI766" s="27"/>
      <c r="BJ766" s="27"/>
      <c r="BK766" s="27"/>
      <c r="BL766" s="27"/>
      <c r="BM766" s="27"/>
      <c r="BN766" s="27"/>
      <c r="BO766" s="27"/>
      <c r="BP766" s="27"/>
      <c r="BQ766" s="27"/>
      <c r="BR766" s="27"/>
      <c r="BS766" s="27"/>
      <c r="BT766" s="27"/>
      <c r="BU766" s="27"/>
      <c r="BV766" s="27"/>
      <c r="BW766" s="27"/>
      <c r="BX766" s="27"/>
      <c r="BY766" s="27"/>
      <c r="BZ766" s="27"/>
      <c r="CA766" s="24">
        <v>15000000</v>
      </c>
      <c r="CB766" s="27"/>
      <c r="CC766" s="24">
        <v>15000000</v>
      </c>
      <c r="CD766" s="27"/>
      <c r="CE766" s="24">
        <v>15000000</v>
      </c>
      <c r="CF766" s="28"/>
      <c r="CG766" s="28"/>
      <c r="CH766" s="25">
        <f t="shared" ref="CH766:CI766" si="1507">BH766+BJ766+BL766+BN766+BP766+BR766+BT766+BV766+BX766+BZ766+CB766+CD766+CF766</f>
        <v>0</v>
      </c>
      <c r="CI766" s="25">
        <f t="shared" si="1507"/>
        <v>45000000</v>
      </c>
      <c r="CJ766" s="26">
        <f t="shared" si="1331"/>
        <v>45000000</v>
      </c>
      <c r="CK766" s="26">
        <f t="shared" si="1332"/>
        <v>0</v>
      </c>
    </row>
    <row r="767" spans="1:89" ht="90" customHeight="1" x14ac:dyDescent="0.3">
      <c r="A767" s="13" t="s">
        <v>1891</v>
      </c>
      <c r="B767" s="14" t="s">
        <v>27</v>
      </c>
      <c r="C767" s="15" t="s">
        <v>258</v>
      </c>
      <c r="D767" s="14" t="s">
        <v>258</v>
      </c>
      <c r="E767" s="13" t="s">
        <v>250</v>
      </c>
      <c r="F767" s="13" t="s">
        <v>250</v>
      </c>
      <c r="G767" s="14">
        <v>68</v>
      </c>
      <c r="H767" s="13" t="s">
        <v>1973</v>
      </c>
      <c r="I767" s="15" t="s">
        <v>1893</v>
      </c>
      <c r="J767" s="14" t="s">
        <v>1893</v>
      </c>
      <c r="K767" s="15" t="s">
        <v>1893</v>
      </c>
      <c r="L767" s="14" t="s">
        <v>1974</v>
      </c>
      <c r="M767" s="14" t="s">
        <v>1971</v>
      </c>
      <c r="N767" s="14" t="s">
        <v>951</v>
      </c>
      <c r="O767" s="15" t="s">
        <v>1975</v>
      </c>
      <c r="P767" s="14" t="s">
        <v>255</v>
      </c>
      <c r="Q767" s="14" t="s">
        <v>255</v>
      </c>
      <c r="R767" s="14" t="s">
        <v>255</v>
      </c>
      <c r="S767" s="17">
        <v>12</v>
      </c>
      <c r="T767" s="14" t="s">
        <v>256</v>
      </c>
      <c r="U767" s="14" t="s">
        <v>474</v>
      </c>
      <c r="V767" s="14" t="s">
        <v>112</v>
      </c>
      <c r="W767" s="18">
        <v>20000000</v>
      </c>
      <c r="X767" s="18">
        <v>20000000</v>
      </c>
      <c r="Y767" s="19" t="s">
        <v>339</v>
      </c>
      <c r="Z767" s="19" t="s">
        <v>258</v>
      </c>
      <c r="AA767" s="14" t="s">
        <v>1966</v>
      </c>
      <c r="AB767" s="14" t="s">
        <v>1967</v>
      </c>
      <c r="AC767" s="14">
        <v>6012220601</v>
      </c>
      <c r="AD767" s="14" t="s">
        <v>1968</v>
      </c>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c r="BC767" s="82"/>
      <c r="BD767" s="82"/>
      <c r="BE767" s="83"/>
      <c r="BF767" s="83"/>
      <c r="BG767" s="14" t="str">
        <f ca="1">IFERROR(__xludf.DUMMYFUNCTION("REGEXEXTRACT(O761,""^\S+\s(.+)$"")"),"Prestar los servicios requeridos para gestionar los exámenes médicos de vinculación y desvinculación de los funcionarios de la Upme.")</f>
        <v>Prestar los servicios requeridos para gestionar los exámenes médicos de vinculación y desvinculación de los funcionarios de la Upme.</v>
      </c>
      <c r="BH767" s="27"/>
      <c r="BI767" s="27"/>
      <c r="BJ767" s="27"/>
      <c r="BK767" s="27"/>
      <c r="BL767" s="27"/>
      <c r="BM767" s="27"/>
      <c r="BN767" s="27"/>
      <c r="BO767" s="24">
        <v>4000000</v>
      </c>
      <c r="BP767" s="27"/>
      <c r="BQ767" s="27"/>
      <c r="BR767" s="27"/>
      <c r="BS767" s="24">
        <v>4000000</v>
      </c>
      <c r="BT767" s="27"/>
      <c r="BU767" s="27"/>
      <c r="BV767" s="27"/>
      <c r="BW767" s="24">
        <v>4000000</v>
      </c>
      <c r="BX767" s="27"/>
      <c r="BY767" s="27"/>
      <c r="BZ767" s="27"/>
      <c r="CA767" s="24">
        <v>4000000</v>
      </c>
      <c r="CB767" s="27"/>
      <c r="CC767" s="27"/>
      <c r="CD767" s="27"/>
      <c r="CE767" s="24">
        <v>4000000</v>
      </c>
      <c r="CF767" s="28"/>
      <c r="CG767" s="28"/>
      <c r="CH767" s="25">
        <f t="shared" ref="CH767:CI767" si="1508">BH767+BJ767+BL767+BN767+BP767+BR767+BT767+BV767+BX767+BZ767+CB767+CD767+CF767</f>
        <v>0</v>
      </c>
      <c r="CI767" s="25">
        <f t="shared" si="1508"/>
        <v>20000000</v>
      </c>
      <c r="CJ767" s="26">
        <f t="shared" si="1331"/>
        <v>20000000</v>
      </c>
      <c r="CK767" s="26">
        <f t="shared" si="1332"/>
        <v>0</v>
      </c>
    </row>
    <row r="768" spans="1:89" ht="90" customHeight="1" x14ac:dyDescent="0.3">
      <c r="A768" s="13" t="s">
        <v>1891</v>
      </c>
      <c r="B768" s="14" t="s">
        <v>27</v>
      </c>
      <c r="C768" s="15" t="s">
        <v>258</v>
      </c>
      <c r="D768" s="14" t="s">
        <v>258</v>
      </c>
      <c r="E768" s="13" t="s">
        <v>250</v>
      </c>
      <c r="F768" s="13" t="s">
        <v>250</v>
      </c>
      <c r="G768" s="14">
        <v>68</v>
      </c>
      <c r="H768" s="13" t="s">
        <v>1976</v>
      </c>
      <c r="I768" s="15" t="s">
        <v>1893</v>
      </c>
      <c r="J768" s="14" t="s">
        <v>1893</v>
      </c>
      <c r="K768" s="15" t="s">
        <v>1893</v>
      </c>
      <c r="L768" s="14" t="s">
        <v>1977</v>
      </c>
      <c r="M768" s="14" t="s">
        <v>1895</v>
      </c>
      <c r="N768" s="14" t="s">
        <v>1896</v>
      </c>
      <c r="O768" s="15" t="s">
        <v>1978</v>
      </c>
      <c r="P768" s="14" t="s">
        <v>255</v>
      </c>
      <c r="Q768" s="14" t="s">
        <v>255</v>
      </c>
      <c r="R768" s="14" t="s">
        <v>255</v>
      </c>
      <c r="S768" s="17">
        <v>12</v>
      </c>
      <c r="T768" s="14" t="s">
        <v>256</v>
      </c>
      <c r="U768" s="14" t="s">
        <v>474</v>
      </c>
      <c r="V768" s="14" t="s">
        <v>112</v>
      </c>
      <c r="W768" s="18">
        <v>27300000</v>
      </c>
      <c r="X768" s="18">
        <v>27300000</v>
      </c>
      <c r="Y768" s="19" t="s">
        <v>339</v>
      </c>
      <c r="Z768" s="19" t="s">
        <v>258</v>
      </c>
      <c r="AA768" s="14" t="s">
        <v>1898</v>
      </c>
      <c r="AB768" s="14" t="s">
        <v>1899</v>
      </c>
      <c r="AC768" s="14">
        <v>6012220601</v>
      </c>
      <c r="AD768" s="14" t="s">
        <v>307</v>
      </c>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c r="BC768" s="82"/>
      <c r="BD768" s="82"/>
      <c r="BE768" s="83"/>
      <c r="BF768" s="83"/>
      <c r="BG768" s="14" t="str">
        <f ca="1">IFERROR(__xludf.DUMMYFUNCTION("REGEXEXTRACT(O762,""^\S+\s(.+)$"")"),"Prestar servicios de mantenimiento preventivo y correctivo para los dos vehículos oficiales de propiedad de la Upme.")</f>
        <v>Prestar servicios de mantenimiento preventivo y correctivo para los dos vehículos oficiales de propiedad de la Upme.</v>
      </c>
      <c r="BH768" s="27"/>
      <c r="BI768" s="27"/>
      <c r="BJ768" s="27"/>
      <c r="BK768" s="27"/>
      <c r="BL768" s="27"/>
      <c r="BM768" s="27"/>
      <c r="BN768" s="27"/>
      <c r="BO768" s="27"/>
      <c r="BP768" s="27"/>
      <c r="BQ768" s="27"/>
      <c r="BR768" s="27"/>
      <c r="BS768" s="27"/>
      <c r="BT768" s="27"/>
      <c r="BU768" s="24">
        <v>9000000</v>
      </c>
      <c r="BV768" s="27"/>
      <c r="BW768" s="27"/>
      <c r="BX768" s="27"/>
      <c r="BY768" s="24">
        <v>9000000</v>
      </c>
      <c r="BZ768" s="27"/>
      <c r="CA768" s="27"/>
      <c r="CB768" s="27"/>
      <c r="CC768" s="27"/>
      <c r="CD768" s="27"/>
      <c r="CE768" s="24">
        <v>9300000</v>
      </c>
      <c r="CF768" s="28"/>
      <c r="CG768" s="28"/>
      <c r="CH768" s="25">
        <f t="shared" ref="CH768:CI768" si="1509">BH768+BJ768+BL768+BN768+BP768+BR768+BT768+BV768+BX768+BZ768+CB768+CD768+CF768</f>
        <v>0</v>
      </c>
      <c r="CI768" s="25">
        <f t="shared" si="1509"/>
        <v>27300000</v>
      </c>
      <c r="CJ768" s="26">
        <f t="shared" si="1331"/>
        <v>27300000</v>
      </c>
      <c r="CK768" s="26">
        <f t="shared" si="1332"/>
        <v>0</v>
      </c>
    </row>
    <row r="769" spans="1:89" ht="90" customHeight="1" x14ac:dyDescent="0.3">
      <c r="A769" s="13" t="s">
        <v>1891</v>
      </c>
      <c r="B769" s="14" t="s">
        <v>27</v>
      </c>
      <c r="C769" s="15" t="s">
        <v>258</v>
      </c>
      <c r="D769" s="14" t="s">
        <v>258</v>
      </c>
      <c r="E769" s="13" t="s">
        <v>250</v>
      </c>
      <c r="F769" s="13" t="s">
        <v>250</v>
      </c>
      <c r="G769" s="29" t="s">
        <v>1979</v>
      </c>
      <c r="H769" s="13" t="s">
        <v>1980</v>
      </c>
      <c r="I769" s="15" t="s">
        <v>1893</v>
      </c>
      <c r="J769" s="14" t="s">
        <v>1893</v>
      </c>
      <c r="K769" s="15" t="s">
        <v>1893</v>
      </c>
      <c r="L769" s="14">
        <v>80111620</v>
      </c>
      <c r="M769" s="14" t="s">
        <v>1981</v>
      </c>
      <c r="N769" s="14" t="s">
        <v>951</v>
      </c>
      <c r="O769" s="15" t="s">
        <v>1982</v>
      </c>
      <c r="P769" s="14" t="s">
        <v>255</v>
      </c>
      <c r="Q769" s="14" t="s">
        <v>255</v>
      </c>
      <c r="R769" s="14" t="s">
        <v>255</v>
      </c>
      <c r="S769" s="17">
        <v>12</v>
      </c>
      <c r="T769" s="14" t="s">
        <v>256</v>
      </c>
      <c r="U769" s="14" t="s">
        <v>474</v>
      </c>
      <c r="V769" s="14" t="s">
        <v>112</v>
      </c>
      <c r="W769" s="18">
        <v>196528500</v>
      </c>
      <c r="X769" s="18">
        <v>196528500</v>
      </c>
      <c r="Y769" s="19" t="s">
        <v>339</v>
      </c>
      <c r="Z769" s="19" t="s">
        <v>258</v>
      </c>
      <c r="AA769" s="14" t="s">
        <v>1966</v>
      </c>
      <c r="AB769" s="14" t="s">
        <v>1967</v>
      </c>
      <c r="AC769" s="14">
        <v>6012220601</v>
      </c>
      <c r="AD769" s="14" t="s">
        <v>1968</v>
      </c>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c r="BC769" s="82"/>
      <c r="BD769" s="82"/>
      <c r="BE769" s="83"/>
      <c r="BF769" s="83"/>
      <c r="BG769" s="14" t="str">
        <f ca="1">IFERROR(__xludf.DUMMYFUNCTION("REGEXEXTRACT(O763,""^\S+\s(.+)$"")"),"Contratar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769" s="27"/>
      <c r="BI769" s="27"/>
      <c r="BJ769" s="27"/>
      <c r="BK769" s="27"/>
      <c r="BL769" s="27"/>
      <c r="BM769" s="27"/>
      <c r="BN769" s="27"/>
      <c r="BO769" s="27"/>
      <c r="BP769" s="27"/>
      <c r="BQ769" s="27"/>
      <c r="BR769" s="27"/>
      <c r="BS769" s="27"/>
      <c r="BT769" s="27"/>
      <c r="BU769" s="24">
        <v>32754750</v>
      </c>
      <c r="BV769" s="27"/>
      <c r="BW769" s="24">
        <v>32754750</v>
      </c>
      <c r="BX769" s="27"/>
      <c r="BY769" s="24">
        <v>32754750</v>
      </c>
      <c r="BZ769" s="27"/>
      <c r="CA769" s="24">
        <v>32754750</v>
      </c>
      <c r="CB769" s="27"/>
      <c r="CC769" s="24">
        <v>32754750</v>
      </c>
      <c r="CD769" s="27"/>
      <c r="CE769" s="24">
        <v>32754750</v>
      </c>
      <c r="CF769" s="28"/>
      <c r="CG769" s="28"/>
      <c r="CH769" s="25">
        <f t="shared" ref="CH769:CI769" si="1510">BH769+BJ769+BL769+BN769+BP769+BR769+BT769+BV769+BX769+BZ769+CB769+CD769+CF769</f>
        <v>0</v>
      </c>
      <c r="CI769" s="25">
        <f t="shared" si="1510"/>
        <v>196528500</v>
      </c>
      <c r="CJ769" s="26">
        <f t="shared" si="1331"/>
        <v>196528500</v>
      </c>
      <c r="CK769" s="26">
        <f t="shared" si="1332"/>
        <v>0</v>
      </c>
    </row>
    <row r="770" spans="1:89" ht="90" customHeight="1" x14ac:dyDescent="0.3">
      <c r="A770" s="13" t="s">
        <v>1891</v>
      </c>
      <c r="B770" s="14" t="s">
        <v>27</v>
      </c>
      <c r="C770" s="15" t="s">
        <v>258</v>
      </c>
      <c r="D770" s="14" t="s">
        <v>258</v>
      </c>
      <c r="E770" s="13" t="s">
        <v>250</v>
      </c>
      <c r="F770" s="13" t="s">
        <v>250</v>
      </c>
      <c r="G770" s="14">
        <v>68</v>
      </c>
      <c r="H770" s="13" t="s">
        <v>1983</v>
      </c>
      <c r="I770" s="15" t="s">
        <v>1893</v>
      </c>
      <c r="J770" s="14" t="s">
        <v>1893</v>
      </c>
      <c r="K770" s="15" t="s">
        <v>1893</v>
      </c>
      <c r="L770" s="14" t="s">
        <v>1984</v>
      </c>
      <c r="M770" s="14" t="s">
        <v>1971</v>
      </c>
      <c r="N770" s="14" t="s">
        <v>951</v>
      </c>
      <c r="O770" s="15" t="s">
        <v>1985</v>
      </c>
      <c r="P770" s="14" t="s">
        <v>774</v>
      </c>
      <c r="Q770" s="14" t="s">
        <v>774</v>
      </c>
      <c r="R770" s="14" t="s">
        <v>774</v>
      </c>
      <c r="S770" s="17">
        <v>5</v>
      </c>
      <c r="T770" s="14" t="s">
        <v>256</v>
      </c>
      <c r="U770" s="14" t="s">
        <v>474</v>
      </c>
      <c r="V770" s="14" t="s">
        <v>112</v>
      </c>
      <c r="W770" s="18">
        <v>6500000</v>
      </c>
      <c r="X770" s="18">
        <v>6500000</v>
      </c>
      <c r="Y770" s="19" t="s">
        <v>339</v>
      </c>
      <c r="Z770" s="19" t="s">
        <v>258</v>
      </c>
      <c r="AA770" s="14" t="s">
        <v>1966</v>
      </c>
      <c r="AB770" s="14" t="s">
        <v>1967</v>
      </c>
      <c r="AC770" s="14">
        <v>6012220601</v>
      </c>
      <c r="AD770" s="14" t="s">
        <v>1968</v>
      </c>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c r="BC770" s="82"/>
      <c r="BD770" s="82"/>
      <c r="BE770" s="83"/>
      <c r="BF770" s="83"/>
      <c r="BG770" s="14" t="str">
        <f ca="1">IFERROR(__xludf.DUMMYFUNCTION("REGEXEXTRACT(O764,""^\S+\s(.+)$"")"),"Prestar servicios profesionales de área protegida (SAP) para las personas que se encuentren en las instalaciones de la Upme en caso de presentarse una emergencia y/o urgencia como parte del Plan de Emergencia de la Entidad.")</f>
        <v>Prestar servicios profesionales de área protegida (SAP) para las personas que se encuentren en las instalaciones de la Upme en caso de presentarse una emergencia y/o urgencia como parte del Plan de Emergencia de la Entidad.</v>
      </c>
      <c r="BH770" s="27"/>
      <c r="BI770" s="27"/>
      <c r="BJ770" s="27"/>
      <c r="BK770" s="27"/>
      <c r="BL770" s="27"/>
      <c r="BM770" s="27"/>
      <c r="BN770" s="27"/>
      <c r="BO770" s="27"/>
      <c r="BP770" s="27"/>
      <c r="BQ770" s="27"/>
      <c r="BR770" s="27"/>
      <c r="BS770" s="27"/>
      <c r="BT770" s="27"/>
      <c r="BU770" s="27"/>
      <c r="BV770" s="27"/>
      <c r="BW770" s="27"/>
      <c r="BX770" s="27"/>
      <c r="BY770" s="24">
        <v>1625000</v>
      </c>
      <c r="BZ770" s="27"/>
      <c r="CA770" s="24">
        <v>1625000</v>
      </c>
      <c r="CB770" s="27"/>
      <c r="CC770" s="24">
        <v>1625000</v>
      </c>
      <c r="CD770" s="27"/>
      <c r="CE770" s="24">
        <v>1625000</v>
      </c>
      <c r="CF770" s="28"/>
      <c r="CG770" s="28"/>
      <c r="CH770" s="25">
        <f t="shared" ref="CH770:CI770" si="1511">BH770+BJ770+BL770+BN770+BP770+BR770+BT770+BV770+BX770+BZ770+CB770+CD770+CF770</f>
        <v>0</v>
      </c>
      <c r="CI770" s="25">
        <f t="shared" si="1511"/>
        <v>6500000</v>
      </c>
      <c r="CJ770" s="26">
        <f t="shared" si="1331"/>
        <v>6500000</v>
      </c>
      <c r="CK770" s="26">
        <f t="shared" si="1332"/>
        <v>0</v>
      </c>
    </row>
    <row r="771" spans="1:89" ht="90" customHeight="1" x14ac:dyDescent="0.3">
      <c r="A771" s="13" t="s">
        <v>1891</v>
      </c>
      <c r="B771" s="14" t="s">
        <v>27</v>
      </c>
      <c r="C771" s="15" t="s">
        <v>258</v>
      </c>
      <c r="D771" s="14" t="s">
        <v>258</v>
      </c>
      <c r="E771" s="13" t="s">
        <v>250</v>
      </c>
      <c r="F771" s="13" t="s">
        <v>250</v>
      </c>
      <c r="G771" s="14">
        <v>19</v>
      </c>
      <c r="H771" s="13" t="s">
        <v>1986</v>
      </c>
      <c r="I771" s="15" t="s">
        <v>1893</v>
      </c>
      <c r="J771" s="14" t="s">
        <v>1893</v>
      </c>
      <c r="K771" s="15" t="s">
        <v>1893</v>
      </c>
      <c r="L771" s="14">
        <v>93141506</v>
      </c>
      <c r="M771" s="14" t="s">
        <v>1987</v>
      </c>
      <c r="N771" s="14" t="s">
        <v>951</v>
      </c>
      <c r="O771" s="15" t="s">
        <v>1988</v>
      </c>
      <c r="P771" s="14" t="s">
        <v>255</v>
      </c>
      <c r="Q771" s="14" t="s">
        <v>255</v>
      </c>
      <c r="R771" s="14" t="s">
        <v>255</v>
      </c>
      <c r="S771" s="17">
        <v>12</v>
      </c>
      <c r="T771" s="14" t="s">
        <v>256</v>
      </c>
      <c r="U771" s="14" t="s">
        <v>257</v>
      </c>
      <c r="V771" s="14" t="s">
        <v>112</v>
      </c>
      <c r="W771" s="84">
        <v>277094836</v>
      </c>
      <c r="X771" s="18">
        <v>277094836</v>
      </c>
      <c r="Y771" s="19" t="s">
        <v>339</v>
      </c>
      <c r="Z771" s="19" t="s">
        <v>258</v>
      </c>
      <c r="AA771" s="14" t="s">
        <v>1966</v>
      </c>
      <c r="AB771" s="14" t="s">
        <v>1967</v>
      </c>
      <c r="AC771" s="14">
        <v>6012220601</v>
      </c>
      <c r="AD771" s="14" t="s">
        <v>1968</v>
      </c>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c r="BC771" s="82"/>
      <c r="BD771" s="82"/>
      <c r="BE771" s="83"/>
      <c r="BF771" s="83"/>
      <c r="BG771" s="14" t="str">
        <f ca="1">IFERROR(__xludf.DUMMYFUNCTION("REGEXEXTRACT(O765,""^\S+\s(.+)$"")"),"Prestar los servicios logísticos en la organización y ejecución de las actividades programadas en el Plan de bienestar social, estímulos e incentivos para los servidores de la Upme y sus familias durante la vigencia 2026.")</f>
        <v>Prestar los servicios logísticos en la organización y ejecución de las actividades programadas en el Plan de bienestar social, estímulos e incentivos para los servidores de la Upme y sus familias durante la vigencia 2026.</v>
      </c>
      <c r="BH771" s="27"/>
      <c r="BI771" s="27"/>
      <c r="BJ771" s="27"/>
      <c r="BK771" s="27"/>
      <c r="BL771" s="27"/>
      <c r="BM771" s="27"/>
      <c r="BN771" s="27"/>
      <c r="BO771" s="27"/>
      <c r="BP771" s="27"/>
      <c r="BQ771" s="27"/>
      <c r="BR771" s="27"/>
      <c r="BS771" s="27"/>
      <c r="BT771" s="27"/>
      <c r="BU771" s="27"/>
      <c r="BV771" s="27"/>
      <c r="BW771" s="27"/>
      <c r="BX771" s="27"/>
      <c r="BY771" s="24">
        <v>69273710</v>
      </c>
      <c r="BZ771" s="27"/>
      <c r="CA771" s="24">
        <v>69273710</v>
      </c>
      <c r="CB771" s="27"/>
      <c r="CC771" s="24">
        <v>69273710</v>
      </c>
      <c r="CD771" s="27"/>
      <c r="CE771" s="24">
        <v>69273710</v>
      </c>
      <c r="CF771" s="28"/>
      <c r="CG771" s="28"/>
      <c r="CH771" s="25">
        <f t="shared" ref="CH771:CI771" si="1512">BH771+BJ771+BL771+BN771+BP771+BR771+BT771+BV771+BX771+BZ771+CB771+CD771+CF771</f>
        <v>0</v>
      </c>
      <c r="CI771" s="25">
        <f t="shared" si="1512"/>
        <v>277094840</v>
      </c>
      <c r="CJ771" s="26">
        <f t="shared" si="1331"/>
        <v>277094836</v>
      </c>
      <c r="CK771" s="26">
        <f t="shared" si="1332"/>
        <v>-4</v>
      </c>
    </row>
    <row r="772" spans="1:89" ht="90" customHeight="1" x14ac:dyDescent="0.3">
      <c r="A772" s="13" t="s">
        <v>1891</v>
      </c>
      <c r="B772" s="14" t="s">
        <v>27</v>
      </c>
      <c r="C772" s="15" t="s">
        <v>258</v>
      </c>
      <c r="D772" s="14" t="s">
        <v>258</v>
      </c>
      <c r="E772" s="13" t="s">
        <v>250</v>
      </c>
      <c r="F772" s="13" t="s">
        <v>250</v>
      </c>
      <c r="G772" s="14">
        <v>13</v>
      </c>
      <c r="H772" s="13" t="s">
        <v>1989</v>
      </c>
      <c r="I772" s="15" t="s">
        <v>1893</v>
      </c>
      <c r="J772" s="14" t="s">
        <v>1893</v>
      </c>
      <c r="K772" s="15" t="s">
        <v>1893</v>
      </c>
      <c r="L772" s="14">
        <v>80111620</v>
      </c>
      <c r="M772" s="14" t="s">
        <v>1981</v>
      </c>
      <c r="N772" s="14" t="s">
        <v>951</v>
      </c>
      <c r="O772" s="15" t="s">
        <v>1990</v>
      </c>
      <c r="P772" s="14" t="s">
        <v>255</v>
      </c>
      <c r="Q772" s="14" t="s">
        <v>255</v>
      </c>
      <c r="R772" s="14" t="s">
        <v>255</v>
      </c>
      <c r="S772" s="17">
        <v>12</v>
      </c>
      <c r="T772" s="14" t="s">
        <v>256</v>
      </c>
      <c r="U772" s="14" t="s">
        <v>286</v>
      </c>
      <c r="V772" s="14" t="s">
        <v>112</v>
      </c>
      <c r="W772" s="18">
        <v>15000000</v>
      </c>
      <c r="X772" s="18">
        <v>15000000</v>
      </c>
      <c r="Y772" s="19" t="s">
        <v>339</v>
      </c>
      <c r="Z772" s="19" t="s">
        <v>258</v>
      </c>
      <c r="AA772" s="14" t="s">
        <v>1966</v>
      </c>
      <c r="AB772" s="14" t="s">
        <v>1967</v>
      </c>
      <c r="AC772" s="14">
        <v>6012220601</v>
      </c>
      <c r="AD772" s="14" t="s">
        <v>1968</v>
      </c>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c r="BC772" s="82"/>
      <c r="BD772" s="82"/>
      <c r="BE772" s="83"/>
      <c r="BF772" s="83"/>
      <c r="BG772" s="14" t="str">
        <f ca="1">IFERROR(__xludf.DUMMYFUNCTION("REGEXEXTRACT(O766,""^\S+\s(.+)$"")"),"Contratar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772" s="27"/>
      <c r="BI772" s="27"/>
      <c r="BJ772" s="27"/>
      <c r="BK772" s="27"/>
      <c r="BL772" s="27"/>
      <c r="BM772" s="27"/>
      <c r="BN772" s="27"/>
      <c r="BO772" s="27"/>
      <c r="BP772" s="27"/>
      <c r="BQ772" s="24">
        <v>15000000</v>
      </c>
      <c r="BR772" s="27"/>
      <c r="BS772" s="27"/>
      <c r="BT772" s="27"/>
      <c r="BU772" s="27"/>
      <c r="BV772" s="27"/>
      <c r="BW772" s="27"/>
      <c r="BX772" s="27"/>
      <c r="BY772" s="27"/>
      <c r="BZ772" s="27"/>
      <c r="CA772" s="27"/>
      <c r="CB772" s="27"/>
      <c r="CC772" s="27"/>
      <c r="CD772" s="27"/>
      <c r="CE772" s="27"/>
      <c r="CF772" s="28"/>
      <c r="CG772" s="28"/>
      <c r="CH772" s="25">
        <f t="shared" ref="CH772:CI772" si="1513">BH772+BJ772+BL772+BN772+BP772+BR772+BT772+BV772+BX772+BZ772+CB772+CD772+CF772</f>
        <v>0</v>
      </c>
      <c r="CI772" s="25">
        <f t="shared" si="1513"/>
        <v>15000000</v>
      </c>
      <c r="CJ772" s="26">
        <f t="shared" si="1331"/>
        <v>15000000</v>
      </c>
      <c r="CK772" s="26">
        <f t="shared" si="1332"/>
        <v>0</v>
      </c>
    </row>
    <row r="773" spans="1:89" ht="90" customHeight="1" x14ac:dyDescent="0.3">
      <c r="A773" s="13" t="s">
        <v>1891</v>
      </c>
      <c r="B773" s="14" t="s">
        <v>27</v>
      </c>
      <c r="C773" s="15" t="s">
        <v>258</v>
      </c>
      <c r="D773" s="14" t="s">
        <v>258</v>
      </c>
      <c r="E773" s="13" t="s">
        <v>250</v>
      </c>
      <c r="F773" s="13" t="s">
        <v>250</v>
      </c>
      <c r="G773" s="14">
        <v>19</v>
      </c>
      <c r="H773" s="13" t="s">
        <v>1991</v>
      </c>
      <c r="I773" s="15" t="s">
        <v>1893</v>
      </c>
      <c r="J773" s="14" t="s">
        <v>1893</v>
      </c>
      <c r="K773" s="15" t="s">
        <v>1893</v>
      </c>
      <c r="L773" s="14" t="s">
        <v>1926</v>
      </c>
      <c r="M773" s="14" t="s">
        <v>1927</v>
      </c>
      <c r="N773" s="14" t="s">
        <v>253</v>
      </c>
      <c r="O773" s="15" t="s">
        <v>1992</v>
      </c>
      <c r="P773" s="14" t="s">
        <v>255</v>
      </c>
      <c r="Q773" s="14" t="s">
        <v>255</v>
      </c>
      <c r="R773" s="14" t="s">
        <v>255</v>
      </c>
      <c r="S773" s="17" t="s">
        <v>1929</v>
      </c>
      <c r="T773" s="14" t="s">
        <v>256</v>
      </c>
      <c r="U773" s="14" t="s">
        <v>257</v>
      </c>
      <c r="V773" s="14" t="s">
        <v>112</v>
      </c>
      <c r="W773" s="84">
        <v>55289850</v>
      </c>
      <c r="X773" s="18">
        <v>55289850</v>
      </c>
      <c r="Y773" s="19" t="s">
        <v>339</v>
      </c>
      <c r="Z773" s="19" t="s">
        <v>258</v>
      </c>
      <c r="AA773" s="14" t="s">
        <v>1898</v>
      </c>
      <c r="AB773" s="14" t="s">
        <v>1899</v>
      </c>
      <c r="AC773" s="14">
        <v>6012220601</v>
      </c>
      <c r="AD773" s="14" t="s">
        <v>307</v>
      </c>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c r="BC773" s="82"/>
      <c r="BD773" s="82"/>
      <c r="BE773" s="83"/>
      <c r="BF773" s="83"/>
      <c r="BG773" s="14" t="str">
        <f ca="1">IFERROR(__xludf.DUMMYFUNCTION("REGEXEXTRACT(O767,""^\S+\s(.+)$"")"),"Prestar los servicios profesionales al Grupo Interno de Trabajo de Gestión Administrativa y Servicio al Ciudadano en el levantamiento, verificación, consolidación, análisis de información y procesos administrativos a cargo")</f>
        <v>Prestar los servicios profesionales al Grupo Interno de Trabajo de Gestión Administrativa y Servicio al Ciudadano en el levantamiento, verificación, consolidación, análisis de información y procesos administrativos a cargo</v>
      </c>
      <c r="BH773" s="27"/>
      <c r="BI773" s="27"/>
      <c r="BJ773" s="27"/>
      <c r="BK773" s="24">
        <v>2750000</v>
      </c>
      <c r="BL773" s="27"/>
      <c r="BM773" s="24">
        <v>5500000</v>
      </c>
      <c r="BN773" s="27"/>
      <c r="BO773" s="24">
        <v>5500000</v>
      </c>
      <c r="BP773" s="27"/>
      <c r="BQ773" s="24">
        <v>5500000</v>
      </c>
      <c r="BR773" s="27"/>
      <c r="BS773" s="24">
        <v>5500000</v>
      </c>
      <c r="BT773" s="27"/>
      <c r="BU773" s="24">
        <v>5500000</v>
      </c>
      <c r="BV773" s="27"/>
      <c r="BW773" s="24">
        <v>5500000</v>
      </c>
      <c r="BX773" s="27"/>
      <c r="BY773" s="24">
        <v>5500000</v>
      </c>
      <c r="BZ773" s="27"/>
      <c r="CA773" s="24">
        <v>5500000</v>
      </c>
      <c r="CB773" s="27"/>
      <c r="CC773" s="24">
        <v>5500000</v>
      </c>
      <c r="CD773" s="27"/>
      <c r="CE773" s="24">
        <v>11000000</v>
      </c>
      <c r="CF773" s="28"/>
      <c r="CG773" s="28"/>
      <c r="CH773" s="25">
        <f t="shared" ref="CH773:CI773" si="1514">BH773+BJ773+BL773+BN773+BP773+BR773+BT773+BV773+BX773+BZ773+CB773+CD773+CF773</f>
        <v>0</v>
      </c>
      <c r="CI773" s="25">
        <f t="shared" si="1514"/>
        <v>63250000</v>
      </c>
      <c r="CJ773" s="26">
        <f t="shared" si="1331"/>
        <v>55289850</v>
      </c>
      <c r="CK773" s="26">
        <f t="shared" si="1332"/>
        <v>-7960150</v>
      </c>
    </row>
    <row r="774" spans="1:89" ht="90" customHeight="1" x14ac:dyDescent="0.3">
      <c r="A774" s="13" t="s">
        <v>1891</v>
      </c>
      <c r="B774" s="14" t="s">
        <v>27</v>
      </c>
      <c r="C774" s="15" t="s">
        <v>258</v>
      </c>
      <c r="D774" s="14" t="s">
        <v>258</v>
      </c>
      <c r="E774" s="13" t="s">
        <v>250</v>
      </c>
      <c r="F774" s="13" t="s">
        <v>250</v>
      </c>
      <c r="G774" s="14">
        <v>6</v>
      </c>
      <c r="H774" s="13" t="s">
        <v>1993</v>
      </c>
      <c r="I774" s="15" t="s">
        <v>1893</v>
      </c>
      <c r="J774" s="14" t="s">
        <v>1893</v>
      </c>
      <c r="K774" s="15" t="s">
        <v>1893</v>
      </c>
      <c r="L774" s="14" t="s">
        <v>1926</v>
      </c>
      <c r="M774" s="14" t="s">
        <v>1940</v>
      </c>
      <c r="N774" s="14" t="s">
        <v>253</v>
      </c>
      <c r="O774" s="15" t="s">
        <v>1994</v>
      </c>
      <c r="P774" s="14" t="s">
        <v>255</v>
      </c>
      <c r="Q774" s="14" t="s">
        <v>255</v>
      </c>
      <c r="R774" s="14" t="s">
        <v>255</v>
      </c>
      <c r="S774" s="17">
        <v>6</v>
      </c>
      <c r="T774" s="14" t="s">
        <v>256</v>
      </c>
      <c r="U774" s="14" t="s">
        <v>257</v>
      </c>
      <c r="V774" s="14" t="s">
        <v>112</v>
      </c>
      <c r="W774" s="18">
        <v>36000000</v>
      </c>
      <c r="X774" s="18">
        <v>36000000</v>
      </c>
      <c r="Y774" s="19" t="s">
        <v>339</v>
      </c>
      <c r="Z774" s="19" t="s">
        <v>258</v>
      </c>
      <c r="AA774" s="14" t="s">
        <v>888</v>
      </c>
      <c r="AB774" s="14" t="s">
        <v>1995</v>
      </c>
      <c r="AC774" s="14">
        <v>6012220601</v>
      </c>
      <c r="AD774" s="14" t="s">
        <v>1996</v>
      </c>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c r="BC774" s="82"/>
      <c r="BD774" s="82"/>
      <c r="BE774" s="83"/>
      <c r="BF774" s="83"/>
      <c r="BG774" s="14" t="str">
        <f ca="1">IFERROR(__xludf.DUMMYFUNCTION("REGEXEXTRACT(O768,""^\S+\s(.+)$"")"),"Prestar servicios profesionales orientados a fortalecer la apropiación, comprensión y adecuada aplicación del proceso contable de la entidad")</f>
        <v>Prestar servicios profesionales orientados a fortalecer la apropiación, comprensión y adecuada aplicación del proceso contable de la entidad</v>
      </c>
      <c r="BH774" s="27"/>
      <c r="BI774" s="27"/>
      <c r="BJ774" s="27"/>
      <c r="BK774" s="24">
        <v>3000000</v>
      </c>
      <c r="BL774" s="27"/>
      <c r="BM774" s="24">
        <v>6000000</v>
      </c>
      <c r="BN774" s="27"/>
      <c r="BO774" s="24">
        <v>6000000</v>
      </c>
      <c r="BP774" s="27"/>
      <c r="BQ774" s="24">
        <v>6000000</v>
      </c>
      <c r="BR774" s="27"/>
      <c r="BS774" s="24">
        <v>6000000</v>
      </c>
      <c r="BT774" s="27"/>
      <c r="BU774" s="24">
        <v>6000000</v>
      </c>
      <c r="BV774" s="27"/>
      <c r="BW774" s="24">
        <v>3000000</v>
      </c>
      <c r="BX774" s="27"/>
      <c r="BY774" s="27"/>
      <c r="BZ774" s="27"/>
      <c r="CA774" s="27"/>
      <c r="CB774" s="27"/>
      <c r="CC774" s="27"/>
      <c r="CD774" s="27"/>
      <c r="CE774" s="27"/>
      <c r="CF774" s="28"/>
      <c r="CG774" s="28"/>
      <c r="CH774" s="25">
        <f t="shared" ref="CH774:CI774" si="1515">BH774+BJ774+BL774+BN774+BP774+BR774+BT774+BV774+BX774+BZ774+CB774+CD774+CF774</f>
        <v>0</v>
      </c>
      <c r="CI774" s="25">
        <f t="shared" si="1515"/>
        <v>36000000</v>
      </c>
      <c r="CJ774" s="26">
        <f t="shared" si="1331"/>
        <v>36000000</v>
      </c>
      <c r="CK774" s="26">
        <f t="shared" si="1332"/>
        <v>0</v>
      </c>
    </row>
    <row r="775" spans="1:89" ht="90" customHeight="1" x14ac:dyDescent="0.3">
      <c r="A775" s="13" t="s">
        <v>1891</v>
      </c>
      <c r="B775" s="14" t="s">
        <v>27</v>
      </c>
      <c r="C775" s="15" t="s">
        <v>258</v>
      </c>
      <c r="D775" s="14" t="s">
        <v>258</v>
      </c>
      <c r="E775" s="13" t="s">
        <v>250</v>
      </c>
      <c r="F775" s="13" t="s">
        <v>250</v>
      </c>
      <c r="G775" s="14">
        <v>19</v>
      </c>
      <c r="H775" s="13" t="s">
        <v>1997</v>
      </c>
      <c r="I775" s="15" t="s">
        <v>1893</v>
      </c>
      <c r="J775" s="14" t="s">
        <v>1893</v>
      </c>
      <c r="K775" s="15" t="s">
        <v>1893</v>
      </c>
      <c r="L775" s="14">
        <v>72151514</v>
      </c>
      <c r="M775" s="14" t="s">
        <v>1895</v>
      </c>
      <c r="N775" s="14" t="s">
        <v>1896</v>
      </c>
      <c r="O775" s="15" t="s">
        <v>1998</v>
      </c>
      <c r="P775" s="14" t="s">
        <v>255</v>
      </c>
      <c r="Q775" s="14" t="s">
        <v>255</v>
      </c>
      <c r="R775" s="14" t="s">
        <v>255</v>
      </c>
      <c r="S775" s="17">
        <v>12</v>
      </c>
      <c r="T775" s="14" t="s">
        <v>256</v>
      </c>
      <c r="U775" s="14" t="s">
        <v>474</v>
      </c>
      <c r="V775" s="14" t="s">
        <v>112</v>
      </c>
      <c r="W775" s="84">
        <v>19036348</v>
      </c>
      <c r="X775" s="18">
        <v>19036348</v>
      </c>
      <c r="Y775" s="19" t="s">
        <v>339</v>
      </c>
      <c r="Z775" s="19" t="s">
        <v>258</v>
      </c>
      <c r="AA775" s="14" t="s">
        <v>1898</v>
      </c>
      <c r="AB775" s="14" t="s">
        <v>1899</v>
      </c>
      <c r="AC775" s="14">
        <v>6012220601</v>
      </c>
      <c r="AD775" s="14" t="s">
        <v>307</v>
      </c>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c r="BC775" s="82"/>
      <c r="BD775" s="82"/>
      <c r="BE775" s="83"/>
      <c r="BF775" s="83"/>
      <c r="BG775" s="14" t="str">
        <f ca="1">IFERROR(__xludf.DUMMYFUNCTION("REGEXEXTRACT(O769,""^\S+\s(.+)$"")"),"Prestar el servicio de mantenimiento preventivo y correctivo que garantice el correcto funcionamiento de las UPS de propiedad de la Upme.")</f>
        <v>Prestar el servicio de mantenimiento preventivo y correctivo que garantice el correcto funcionamiento de las UPS de propiedad de la Upme.</v>
      </c>
      <c r="BH775" s="27"/>
      <c r="BI775" s="27"/>
      <c r="BJ775" s="27"/>
      <c r="BK775" s="27"/>
      <c r="BL775" s="27"/>
      <c r="BM775" s="27"/>
      <c r="BN775" s="27"/>
      <c r="BO775" s="27"/>
      <c r="BP775" s="27"/>
      <c r="BQ775" s="27"/>
      <c r="BR775" s="27"/>
      <c r="BS775" s="27"/>
      <c r="BT775" s="27"/>
      <c r="BU775" s="27"/>
      <c r="BV775" s="27"/>
      <c r="BW775" s="24">
        <v>5000000</v>
      </c>
      <c r="BX775" s="27"/>
      <c r="BY775" s="24">
        <v>5000000</v>
      </c>
      <c r="BZ775" s="27"/>
      <c r="CA775" s="24">
        <v>5000000</v>
      </c>
      <c r="CB775" s="27"/>
      <c r="CC775" s="27"/>
      <c r="CD775" s="27"/>
      <c r="CE775" s="24">
        <v>5000000</v>
      </c>
      <c r="CF775" s="28"/>
      <c r="CG775" s="28"/>
      <c r="CH775" s="25">
        <f t="shared" ref="CH775:CI775" si="1516">BH775+BJ775+BL775+BN775+BP775+BR775+BT775+BV775+BX775+BZ775+CB775+CD775+CF775</f>
        <v>0</v>
      </c>
      <c r="CI775" s="25">
        <f t="shared" si="1516"/>
        <v>20000000</v>
      </c>
      <c r="CJ775" s="26">
        <f t="shared" si="1331"/>
        <v>19036348</v>
      </c>
      <c r="CK775" s="26">
        <f t="shared" si="1332"/>
        <v>-963652</v>
      </c>
    </row>
    <row r="776" spans="1:89" ht="90" customHeight="1" x14ac:dyDescent="0.3">
      <c r="A776" s="13" t="s">
        <v>1891</v>
      </c>
      <c r="B776" s="14" t="s">
        <v>27</v>
      </c>
      <c r="C776" s="15" t="s">
        <v>258</v>
      </c>
      <c r="D776" s="14" t="s">
        <v>258</v>
      </c>
      <c r="E776" s="13" t="s">
        <v>250</v>
      </c>
      <c r="F776" s="13" t="s">
        <v>250</v>
      </c>
      <c r="G776" s="14">
        <v>10</v>
      </c>
      <c r="H776" s="13" t="s">
        <v>1999</v>
      </c>
      <c r="I776" s="15" t="s">
        <v>1893</v>
      </c>
      <c r="J776" s="14" t="s">
        <v>1893</v>
      </c>
      <c r="K776" s="15" t="s">
        <v>1893</v>
      </c>
      <c r="L776" s="14" t="s">
        <v>2000</v>
      </c>
      <c r="M776" s="14" t="s">
        <v>1895</v>
      </c>
      <c r="N776" s="14" t="s">
        <v>1896</v>
      </c>
      <c r="O776" s="15" t="s">
        <v>2001</v>
      </c>
      <c r="P776" s="14" t="s">
        <v>255</v>
      </c>
      <c r="Q776" s="14" t="s">
        <v>255</v>
      </c>
      <c r="R776" s="14" t="s">
        <v>255</v>
      </c>
      <c r="S776" s="17">
        <v>12</v>
      </c>
      <c r="T776" s="14" t="s">
        <v>256</v>
      </c>
      <c r="U776" s="14" t="s">
        <v>474</v>
      </c>
      <c r="V776" s="14" t="s">
        <v>112</v>
      </c>
      <c r="W776" s="18">
        <v>3963652</v>
      </c>
      <c r="X776" s="18">
        <v>3963652</v>
      </c>
      <c r="Y776" s="19" t="s">
        <v>339</v>
      </c>
      <c r="Z776" s="19" t="s">
        <v>258</v>
      </c>
      <c r="AA776" s="14" t="s">
        <v>1898</v>
      </c>
      <c r="AB776" s="14" t="s">
        <v>1899</v>
      </c>
      <c r="AC776" s="14">
        <v>6012220601</v>
      </c>
      <c r="AD776" s="14" t="s">
        <v>307</v>
      </c>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c r="BC776" s="82"/>
      <c r="BD776" s="82"/>
      <c r="BE776" s="83"/>
      <c r="BF776" s="83"/>
      <c r="BG776" s="14" t="str">
        <f ca="1">IFERROR(__xludf.DUMMYFUNCTION("REGEXEXTRACT(O770,""^\S+\s(.+)$"")"),"Prestar el servicio de mantenimiento preventivo y correctivo del sistema de monitoreo ambiental instalado en el centro de cómputo de la Upme.")</f>
        <v>Prestar el servicio de mantenimiento preventivo y correctivo del sistema de monitoreo ambiental instalado en el centro de cómputo de la Upme.</v>
      </c>
      <c r="BH776" s="27"/>
      <c r="BI776" s="27"/>
      <c r="BJ776" s="27">
        <v>0</v>
      </c>
      <c r="BK776" s="27">
        <v>0</v>
      </c>
      <c r="BL776" s="27">
        <v>0</v>
      </c>
      <c r="BM776" s="23">
        <v>3963652</v>
      </c>
      <c r="BN776" s="27">
        <v>0</v>
      </c>
      <c r="BO776" s="24">
        <v>0</v>
      </c>
      <c r="BP776" s="27">
        <v>0</v>
      </c>
      <c r="BQ776" s="27">
        <v>0</v>
      </c>
      <c r="BR776" s="27">
        <v>0</v>
      </c>
      <c r="BS776" s="24">
        <v>0</v>
      </c>
      <c r="BT776" s="27">
        <v>0</v>
      </c>
      <c r="BU776" s="27">
        <v>0</v>
      </c>
      <c r="BV776" s="27">
        <v>0</v>
      </c>
      <c r="BW776" s="27">
        <v>0</v>
      </c>
      <c r="BX776" s="27">
        <v>0</v>
      </c>
      <c r="BY776" s="24">
        <v>0</v>
      </c>
      <c r="BZ776" s="27">
        <v>0</v>
      </c>
      <c r="CA776" s="27">
        <v>0</v>
      </c>
      <c r="CB776" s="27">
        <v>0</v>
      </c>
      <c r="CC776" s="27">
        <v>0</v>
      </c>
      <c r="CD776" s="27">
        <v>0</v>
      </c>
      <c r="CE776" s="24">
        <v>0</v>
      </c>
      <c r="CF776" s="28"/>
      <c r="CG776" s="28"/>
      <c r="CH776" s="25">
        <f t="shared" ref="CH776:CI776" si="1517">BH776+BJ776+BL776+BN776+BP776+BR776+BT776+BV776+BX776+BZ776+CB776+CD776+CF776</f>
        <v>0</v>
      </c>
      <c r="CI776" s="25">
        <f t="shared" si="1517"/>
        <v>3963652</v>
      </c>
      <c r="CJ776" s="26">
        <f t="shared" si="1331"/>
        <v>3963652</v>
      </c>
      <c r="CK776" s="26">
        <f t="shared" si="1332"/>
        <v>0</v>
      </c>
    </row>
    <row r="777" spans="1:89" ht="90" customHeight="1" x14ac:dyDescent="0.3">
      <c r="A777" s="13" t="s">
        <v>1891</v>
      </c>
      <c r="B777" s="14" t="s">
        <v>27</v>
      </c>
      <c r="C777" s="15" t="s">
        <v>258</v>
      </c>
      <c r="D777" s="14" t="s">
        <v>258</v>
      </c>
      <c r="E777" s="13" t="s">
        <v>250</v>
      </c>
      <c r="F777" s="13" t="s">
        <v>250</v>
      </c>
      <c r="G777" s="14">
        <v>19</v>
      </c>
      <c r="H777" s="13" t="s">
        <v>2002</v>
      </c>
      <c r="I777" s="15" t="s">
        <v>1893</v>
      </c>
      <c r="J777" s="14" t="s">
        <v>1893</v>
      </c>
      <c r="K777" s="15" t="s">
        <v>1893</v>
      </c>
      <c r="L777" s="14">
        <v>81112101</v>
      </c>
      <c r="M777" s="14" t="s">
        <v>2003</v>
      </c>
      <c r="N777" s="14" t="s">
        <v>951</v>
      </c>
      <c r="O777" s="15" t="s">
        <v>2004</v>
      </c>
      <c r="P777" s="14" t="s">
        <v>280</v>
      </c>
      <c r="Q777" s="14" t="s">
        <v>281</v>
      </c>
      <c r="R777" s="14" t="s">
        <v>1158</v>
      </c>
      <c r="S777" s="17">
        <v>6</v>
      </c>
      <c r="T777" s="14" t="s">
        <v>256</v>
      </c>
      <c r="U777" s="14" t="s">
        <v>1961</v>
      </c>
      <c r="V777" s="14" t="s">
        <v>112</v>
      </c>
      <c r="W777" s="84">
        <v>78228577</v>
      </c>
      <c r="X777" s="18">
        <v>78228577</v>
      </c>
      <c r="Y777" s="19" t="s">
        <v>339</v>
      </c>
      <c r="Z777" s="19" t="s">
        <v>258</v>
      </c>
      <c r="AA777" s="14" t="s">
        <v>1898</v>
      </c>
      <c r="AB777" s="14" t="s">
        <v>1899</v>
      </c>
      <c r="AC777" s="14">
        <v>6012220601</v>
      </c>
      <c r="AD777" s="14" t="s">
        <v>307</v>
      </c>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c r="BC777" s="82"/>
      <c r="BD777" s="82"/>
      <c r="BE777" s="83"/>
      <c r="BF777" s="83"/>
      <c r="BG777" s="14" t="str">
        <f ca="1">IFERROR(__xludf.DUMMYFUNCTION("REGEXEXTRACT(O771,""^\S+\s(.+)$"")"),"Prestar el servicio de internet dedicado en la Upme.")</f>
        <v>Prestar el servicio de internet dedicado en la Upme.</v>
      </c>
      <c r="BH777" s="27"/>
      <c r="BI777" s="27"/>
      <c r="BJ777" s="27"/>
      <c r="BK777" s="27"/>
      <c r="BL777" s="27"/>
      <c r="BM777" s="27"/>
      <c r="BN777" s="27"/>
      <c r="BO777" s="27"/>
      <c r="BP777" s="27"/>
      <c r="BQ777" s="27"/>
      <c r="BR777" s="27"/>
      <c r="BS777" s="27"/>
      <c r="BT777" s="27"/>
      <c r="BU777" s="24">
        <v>6000000</v>
      </c>
      <c r="BV777" s="27"/>
      <c r="BW777" s="24">
        <v>6000000</v>
      </c>
      <c r="BX777" s="27"/>
      <c r="BY777" s="24">
        <v>6000000</v>
      </c>
      <c r="BZ777" s="27"/>
      <c r="CA777" s="24">
        <v>6000000</v>
      </c>
      <c r="CB777" s="27"/>
      <c r="CC777" s="24">
        <v>6000000</v>
      </c>
      <c r="CD777" s="27"/>
      <c r="CE777" s="24">
        <v>20000000</v>
      </c>
      <c r="CF777" s="28"/>
      <c r="CG777" s="28"/>
      <c r="CH777" s="25">
        <f t="shared" ref="CH777:CI777" si="1518">BH777+BJ777+BL777+BN777+BP777+BR777+BT777+BV777+BX777+BZ777+CB777+CD777+CF777</f>
        <v>0</v>
      </c>
      <c r="CI777" s="25">
        <f t="shared" si="1518"/>
        <v>50000000</v>
      </c>
      <c r="CJ777" s="26">
        <f t="shared" si="1331"/>
        <v>78228577</v>
      </c>
      <c r="CK777" s="26">
        <f t="shared" si="1332"/>
        <v>28228577</v>
      </c>
    </row>
    <row r="778" spans="1:89" ht="90" customHeight="1" x14ac:dyDescent="0.3">
      <c r="A778" s="13" t="s">
        <v>1891</v>
      </c>
      <c r="B778" s="14" t="s">
        <v>27</v>
      </c>
      <c r="C778" s="15" t="s">
        <v>258</v>
      </c>
      <c r="D778" s="14" t="s">
        <v>258</v>
      </c>
      <c r="E778" s="13" t="s">
        <v>250</v>
      </c>
      <c r="F778" s="13" t="s">
        <v>250</v>
      </c>
      <c r="G778" s="14">
        <v>19</v>
      </c>
      <c r="H778" s="13" t="s">
        <v>2005</v>
      </c>
      <c r="I778" s="15" t="s">
        <v>1893</v>
      </c>
      <c r="J778" s="14" t="s">
        <v>1893</v>
      </c>
      <c r="K778" s="15" t="s">
        <v>1893</v>
      </c>
      <c r="L778" s="14" t="s">
        <v>1926</v>
      </c>
      <c r="M778" s="14" t="s">
        <v>1927</v>
      </c>
      <c r="N778" s="14" t="s">
        <v>253</v>
      </c>
      <c r="O778" s="15" t="s">
        <v>2006</v>
      </c>
      <c r="P778" s="14" t="s">
        <v>255</v>
      </c>
      <c r="Q778" s="14" t="s">
        <v>255</v>
      </c>
      <c r="R778" s="14" t="s">
        <v>255</v>
      </c>
      <c r="S778" s="17" t="s">
        <v>1929</v>
      </c>
      <c r="T778" s="14" t="s">
        <v>256</v>
      </c>
      <c r="U778" s="14" t="s">
        <v>257</v>
      </c>
      <c r="V778" s="14" t="s">
        <v>112</v>
      </c>
      <c r="W778" s="84">
        <v>77000000</v>
      </c>
      <c r="X778" s="18">
        <v>77000000</v>
      </c>
      <c r="Y778" s="19" t="s">
        <v>339</v>
      </c>
      <c r="Z778" s="19" t="s">
        <v>258</v>
      </c>
      <c r="AA778" s="14" t="s">
        <v>2007</v>
      </c>
      <c r="AB778" s="14" t="s">
        <v>1681</v>
      </c>
      <c r="AC778" s="14">
        <v>6012220601</v>
      </c>
      <c r="AD778" s="14" t="s">
        <v>1682</v>
      </c>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c r="BC778" s="82"/>
      <c r="BD778" s="82"/>
      <c r="BE778" s="83"/>
      <c r="BF778" s="83"/>
      <c r="BG778" s="14" t="str">
        <f ca="1">IFERROR(__xludf.DUMMYFUNCTION("REGEXEXTRACT(O772,""^\S+\s(.+)$"")"),"Prestar servicios profesionales para brindar apoyo en la presentación de informes, seguimiento plan estratégico institucional, plan anual de adquisiciones y apoyo en documentos especialmente en la Secretaría General y en la Subdirección de Minería")</f>
        <v>Prestar servicios profesionales para brindar apoyo en la presentación de informes, seguimiento plan estratégico institucional, plan anual de adquisiciones y apoyo en documentos especialmente en la Secretaría General y en la Subdirección de Minería</v>
      </c>
      <c r="BH778" s="27"/>
      <c r="BI778" s="27"/>
      <c r="BJ778" s="27"/>
      <c r="BK778" s="24">
        <v>3500000</v>
      </c>
      <c r="BL778" s="27"/>
      <c r="BM778" s="24">
        <v>7000000</v>
      </c>
      <c r="BN778" s="27"/>
      <c r="BO778" s="24">
        <v>7000000</v>
      </c>
      <c r="BP778" s="27"/>
      <c r="BQ778" s="24">
        <v>7000000</v>
      </c>
      <c r="BR778" s="27"/>
      <c r="BS778" s="24">
        <v>7000000</v>
      </c>
      <c r="BT778" s="27"/>
      <c r="BU778" s="24">
        <v>7000000</v>
      </c>
      <c r="BV778" s="27"/>
      <c r="BW778" s="24">
        <v>7000000</v>
      </c>
      <c r="BX778" s="27"/>
      <c r="BY778" s="24">
        <v>7000000</v>
      </c>
      <c r="BZ778" s="27"/>
      <c r="CA778" s="24">
        <v>7000000</v>
      </c>
      <c r="CB778" s="27"/>
      <c r="CC778" s="24">
        <v>7000000</v>
      </c>
      <c r="CD778" s="27"/>
      <c r="CE778" s="24">
        <v>14000000</v>
      </c>
      <c r="CF778" s="28"/>
      <c r="CG778" s="28"/>
      <c r="CH778" s="25">
        <f t="shared" ref="CH778:CI778" si="1519">BH778+BJ778+BL778+BN778+BP778+BR778+BT778+BV778+BX778+BZ778+CB778+CD778+CF778</f>
        <v>0</v>
      </c>
      <c r="CI778" s="25">
        <f t="shared" si="1519"/>
        <v>80500000</v>
      </c>
      <c r="CJ778" s="26">
        <f t="shared" si="1331"/>
        <v>77000000</v>
      </c>
      <c r="CK778" s="26">
        <f t="shared" si="1332"/>
        <v>-3500000</v>
      </c>
    </row>
    <row r="779" spans="1:89" ht="90" customHeight="1" x14ac:dyDescent="0.3">
      <c r="A779" s="13" t="s">
        <v>1891</v>
      </c>
      <c r="B779" s="14" t="s">
        <v>27</v>
      </c>
      <c r="C779" s="15" t="s">
        <v>258</v>
      </c>
      <c r="D779" s="14" t="s">
        <v>258</v>
      </c>
      <c r="E779" s="13" t="s">
        <v>250</v>
      </c>
      <c r="F779" s="13" t="s">
        <v>250</v>
      </c>
      <c r="G779" s="14">
        <v>68</v>
      </c>
      <c r="H779" s="13" t="s">
        <v>2008</v>
      </c>
      <c r="I779" s="15" t="s">
        <v>1893</v>
      </c>
      <c r="J779" s="14" t="s">
        <v>1893</v>
      </c>
      <c r="K779" s="15" t="s">
        <v>1893</v>
      </c>
      <c r="L779" s="14" t="s">
        <v>2009</v>
      </c>
      <c r="M779" s="14" t="s">
        <v>1895</v>
      </c>
      <c r="N779" s="14" t="s">
        <v>1896</v>
      </c>
      <c r="O779" s="15" t="s">
        <v>2010</v>
      </c>
      <c r="P779" s="14" t="s">
        <v>1312</v>
      </c>
      <c r="Q779" s="14" t="s">
        <v>473</v>
      </c>
      <c r="R779" s="14" t="s">
        <v>473</v>
      </c>
      <c r="S779" s="17">
        <v>1</v>
      </c>
      <c r="T779" s="14" t="s">
        <v>256</v>
      </c>
      <c r="U779" s="14" t="s">
        <v>474</v>
      </c>
      <c r="V779" s="14" t="s">
        <v>112</v>
      </c>
      <c r="W779" s="18">
        <v>3700000</v>
      </c>
      <c r="X779" s="18">
        <v>3700000</v>
      </c>
      <c r="Y779" s="19" t="s">
        <v>339</v>
      </c>
      <c r="Z779" s="19" t="s">
        <v>258</v>
      </c>
      <c r="AA779" s="14" t="s">
        <v>1898</v>
      </c>
      <c r="AB779" s="14" t="s">
        <v>1899</v>
      </c>
      <c r="AC779" s="14">
        <v>6012220601</v>
      </c>
      <c r="AD779" s="14" t="s">
        <v>307</v>
      </c>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c r="BC779" s="82"/>
      <c r="BD779" s="82"/>
      <c r="BE779" s="83"/>
      <c r="BF779" s="83"/>
      <c r="BG779" s="14" t="str">
        <f ca="1">IFERROR(__xludf.DUMMYFUNCTION("REGEXEXTRACT(O773,""^\S+\s(.+)$"")"),"Prestar servicios de recarga y mantenimiento de extintores de la Upme.")</f>
        <v>Prestar servicios de recarga y mantenimiento de extintores de la Upme.</v>
      </c>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4">
        <v>3700000</v>
      </c>
      <c r="CD779" s="27"/>
      <c r="CE779" s="27"/>
      <c r="CF779" s="28"/>
      <c r="CG779" s="28"/>
      <c r="CH779" s="25">
        <f t="shared" ref="CH779:CI779" si="1520">BH779+BJ779+BL779+BN779+BP779+BR779+BT779+BV779+BX779+BZ779+CB779+CD779+CF779</f>
        <v>0</v>
      </c>
      <c r="CI779" s="25">
        <f t="shared" si="1520"/>
        <v>3700000</v>
      </c>
      <c r="CJ779" s="26">
        <f t="shared" si="1331"/>
        <v>3700000</v>
      </c>
      <c r="CK779" s="26">
        <f t="shared" si="1332"/>
        <v>0</v>
      </c>
    </row>
    <row r="780" spans="1:89" ht="90" customHeight="1" x14ac:dyDescent="0.3">
      <c r="A780" s="13" t="s">
        <v>1891</v>
      </c>
      <c r="B780" s="14" t="s">
        <v>27</v>
      </c>
      <c r="C780" s="15" t="s">
        <v>258</v>
      </c>
      <c r="D780" s="14" t="s">
        <v>258</v>
      </c>
      <c r="E780" s="13" t="s">
        <v>250</v>
      </c>
      <c r="F780" s="13" t="s">
        <v>250</v>
      </c>
      <c r="G780" s="14">
        <v>68</v>
      </c>
      <c r="H780" s="13" t="s">
        <v>2011</v>
      </c>
      <c r="I780" s="15" t="s">
        <v>1893</v>
      </c>
      <c r="J780" s="14" t="s">
        <v>1893</v>
      </c>
      <c r="K780" s="15" t="s">
        <v>1893</v>
      </c>
      <c r="L780" s="14" t="s">
        <v>1926</v>
      </c>
      <c r="M780" s="14" t="s">
        <v>1927</v>
      </c>
      <c r="N780" s="14" t="s">
        <v>253</v>
      </c>
      <c r="O780" s="15" t="s">
        <v>2012</v>
      </c>
      <c r="P780" s="14" t="s">
        <v>255</v>
      </c>
      <c r="Q780" s="14" t="s">
        <v>255</v>
      </c>
      <c r="R780" s="14" t="s">
        <v>255</v>
      </c>
      <c r="S780" s="17" t="s">
        <v>1929</v>
      </c>
      <c r="T780" s="14" t="s">
        <v>256</v>
      </c>
      <c r="U780" s="14" t="s">
        <v>257</v>
      </c>
      <c r="V780" s="14" t="s">
        <v>112</v>
      </c>
      <c r="W780" s="18">
        <v>156400000</v>
      </c>
      <c r="X780" s="18">
        <v>156400000</v>
      </c>
      <c r="Y780" s="19" t="s">
        <v>339</v>
      </c>
      <c r="Z780" s="19" t="s">
        <v>258</v>
      </c>
      <c r="AA780" s="14" t="s">
        <v>2013</v>
      </c>
      <c r="AB780" s="14" t="s">
        <v>881</v>
      </c>
      <c r="AC780" s="14">
        <v>6012220601</v>
      </c>
      <c r="AD780" s="14" t="s">
        <v>311</v>
      </c>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c r="BC780" s="82"/>
      <c r="BD780" s="82"/>
      <c r="BE780" s="83"/>
      <c r="BF780" s="83"/>
      <c r="BG780" s="14" t="str">
        <f ca="1">IFERROR(__xludf.DUMMYFUNCTION("REGEXEXTRACT(O774,""^\S+\s(.+)$"")"),"Prestar servicios profesionales de asesoría estratégica a la Secretaría General de la Unidad de Planeación Minero Energética UPME, orientados al fortalecimiento de la gestión pública y la gestión del talento humano, mediante la formulación de lineamientos"&amp;", recomendaciones técnicas y acompañamiento especializado para la toma de decisiones, en concordancia con el MIPG, la normatividad vigente y los objetivos institucionales.")</f>
        <v>Prestar servicios profesionales de asesoría estratégica a la Secretaría General de la Unidad de Planeación Minero Energética UPME, orientados al fortalecimiento de la gestión pública y la gestión del talento humano, mediante la formulación de lineamientos, recomendaciones técnicas y acompañamiento especializado para la toma de decisiones, en concordancia con el MIPG, la normatividad vigente y los objetivos institucionales.</v>
      </c>
      <c r="BH780" s="27"/>
      <c r="BI780" s="27"/>
      <c r="BJ780" s="27"/>
      <c r="BK780" s="24">
        <v>6800000</v>
      </c>
      <c r="BL780" s="27"/>
      <c r="BM780" s="24">
        <v>13600000</v>
      </c>
      <c r="BN780" s="27"/>
      <c r="BO780" s="24">
        <v>13600000</v>
      </c>
      <c r="BP780" s="27"/>
      <c r="BQ780" s="24">
        <v>13600000</v>
      </c>
      <c r="BR780" s="27"/>
      <c r="BS780" s="24">
        <v>13600000</v>
      </c>
      <c r="BT780" s="27"/>
      <c r="BU780" s="24">
        <v>13600000</v>
      </c>
      <c r="BV780" s="27"/>
      <c r="BW780" s="24">
        <v>13600000</v>
      </c>
      <c r="BX780" s="27"/>
      <c r="BY780" s="24">
        <v>13600000</v>
      </c>
      <c r="BZ780" s="27"/>
      <c r="CA780" s="24">
        <v>13600000</v>
      </c>
      <c r="CB780" s="27"/>
      <c r="CC780" s="24">
        <v>13600000</v>
      </c>
      <c r="CD780" s="27"/>
      <c r="CE780" s="24">
        <v>27200000</v>
      </c>
      <c r="CF780" s="28"/>
      <c r="CG780" s="28"/>
      <c r="CH780" s="25">
        <f t="shared" ref="CH780:CI780" si="1521">BH780+BJ780+BL780+BN780+BP780+BR780+BT780+BV780+BX780+BZ780+CB780+CD780+CF780</f>
        <v>0</v>
      </c>
      <c r="CI780" s="25">
        <f t="shared" si="1521"/>
        <v>156400000</v>
      </c>
      <c r="CJ780" s="26">
        <f t="shared" si="1331"/>
        <v>156400000</v>
      </c>
      <c r="CK780" s="26">
        <f t="shared" si="1332"/>
        <v>0</v>
      </c>
    </row>
    <row r="781" spans="1:89" ht="90" customHeight="1" x14ac:dyDescent="0.3">
      <c r="A781" s="13" t="s">
        <v>1891</v>
      </c>
      <c r="B781" s="14" t="s">
        <v>27</v>
      </c>
      <c r="C781" s="15" t="s">
        <v>258</v>
      </c>
      <c r="D781" s="14" t="s">
        <v>258</v>
      </c>
      <c r="E781" s="13" t="s">
        <v>250</v>
      </c>
      <c r="F781" s="13" t="s">
        <v>250</v>
      </c>
      <c r="G781" s="14">
        <v>19</v>
      </c>
      <c r="H781" s="13" t="s">
        <v>2014</v>
      </c>
      <c r="I781" s="15" t="s">
        <v>1893</v>
      </c>
      <c r="J781" s="14" t="s">
        <v>1893</v>
      </c>
      <c r="K781" s="15" t="s">
        <v>1893</v>
      </c>
      <c r="L781" s="14" t="s">
        <v>1926</v>
      </c>
      <c r="M781" s="14" t="s">
        <v>1927</v>
      </c>
      <c r="N781" s="14" t="s">
        <v>253</v>
      </c>
      <c r="O781" s="15" t="s">
        <v>2015</v>
      </c>
      <c r="P781" s="14" t="s">
        <v>255</v>
      </c>
      <c r="Q781" s="14" t="s">
        <v>255</v>
      </c>
      <c r="R781" s="14" t="s">
        <v>255</v>
      </c>
      <c r="S781" s="17" t="s">
        <v>1929</v>
      </c>
      <c r="T781" s="14" t="s">
        <v>256</v>
      </c>
      <c r="U781" s="14" t="s">
        <v>474</v>
      </c>
      <c r="V781" s="14" t="s">
        <v>112</v>
      </c>
      <c r="W781" s="84">
        <v>21016800</v>
      </c>
      <c r="X781" s="18">
        <v>21016800</v>
      </c>
      <c r="Y781" s="19" t="s">
        <v>339</v>
      </c>
      <c r="Z781" s="19" t="s">
        <v>258</v>
      </c>
      <c r="AA781" s="14" t="s">
        <v>1898</v>
      </c>
      <c r="AB781" s="14" t="s">
        <v>1899</v>
      </c>
      <c r="AC781" s="14">
        <v>6012220601</v>
      </c>
      <c r="AD781" s="14" t="s">
        <v>307</v>
      </c>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c r="BC781" s="82"/>
      <c r="BD781" s="82"/>
      <c r="BE781" s="83"/>
      <c r="BF781" s="83"/>
      <c r="BG781" s="14" t="str">
        <f ca="1">IFERROR(__xludf.DUMMYFUNCTION("REGEXEXTRACT(O775,""^\S+\s(.+)$"")"),"Brindar el servicio de apoyo en todo lo relacionado con la gestión administrativa, la gestión documental, el manejo de la correspondencia y requeridos por la Unidad de Planeación Minero-Energética - UPME")</f>
        <v>Brindar el servicio de apoyo en todo lo relacionado con la gestión administrativa, la gestión documental, el manejo de la correspondencia y requeridos por la Unidad de Planeación Minero-Energética - UPME</v>
      </c>
      <c r="BH781" s="27"/>
      <c r="BI781" s="27"/>
      <c r="BJ781" s="27"/>
      <c r="BK781" s="24">
        <v>950000</v>
      </c>
      <c r="BL781" s="27"/>
      <c r="BM781" s="24">
        <v>1900000</v>
      </c>
      <c r="BN781" s="27"/>
      <c r="BO781" s="24">
        <v>1900000</v>
      </c>
      <c r="BP781" s="27"/>
      <c r="BQ781" s="24">
        <v>1900000</v>
      </c>
      <c r="BR781" s="27"/>
      <c r="BS781" s="24">
        <v>1900000</v>
      </c>
      <c r="BT781" s="27"/>
      <c r="BU781" s="24">
        <v>1900000</v>
      </c>
      <c r="BV781" s="27"/>
      <c r="BW781" s="24">
        <v>1900000</v>
      </c>
      <c r="BX781" s="27"/>
      <c r="BY781" s="24">
        <v>1900000</v>
      </c>
      <c r="BZ781" s="27"/>
      <c r="CA781" s="24">
        <v>1900000</v>
      </c>
      <c r="CB781" s="27"/>
      <c r="CC781" s="24">
        <v>1900000</v>
      </c>
      <c r="CD781" s="27"/>
      <c r="CE781" s="24">
        <v>3800000</v>
      </c>
      <c r="CF781" s="28"/>
      <c r="CG781" s="28"/>
      <c r="CH781" s="25">
        <f t="shared" ref="CH781:CI781" si="1522">BH781+BJ781+BL781+BN781+BP781+BR781+BT781+BV781+BX781+BZ781+CB781+CD781+CF781</f>
        <v>0</v>
      </c>
      <c r="CI781" s="25">
        <f t="shared" si="1522"/>
        <v>21850000</v>
      </c>
      <c r="CJ781" s="26">
        <f t="shared" si="1331"/>
        <v>21016800</v>
      </c>
      <c r="CK781" s="26">
        <f t="shared" si="1332"/>
        <v>-833200</v>
      </c>
    </row>
    <row r="782" spans="1:89" ht="90" customHeight="1" x14ac:dyDescent="0.3">
      <c r="A782" s="13" t="s">
        <v>1891</v>
      </c>
      <c r="B782" s="14" t="s">
        <v>27</v>
      </c>
      <c r="C782" s="15" t="s">
        <v>258</v>
      </c>
      <c r="D782" s="14" t="s">
        <v>258</v>
      </c>
      <c r="E782" s="13" t="s">
        <v>250</v>
      </c>
      <c r="F782" s="13" t="s">
        <v>250</v>
      </c>
      <c r="G782" s="14">
        <v>6</v>
      </c>
      <c r="H782" s="13" t="s">
        <v>2016</v>
      </c>
      <c r="I782" s="15" t="s">
        <v>1893</v>
      </c>
      <c r="J782" s="14" t="s">
        <v>1893</v>
      </c>
      <c r="K782" s="15" t="s">
        <v>1893</v>
      </c>
      <c r="L782" s="14" t="s">
        <v>1948</v>
      </c>
      <c r="M782" s="14" t="s">
        <v>1949</v>
      </c>
      <c r="N782" s="14" t="s">
        <v>253</v>
      </c>
      <c r="O782" s="15" t="s">
        <v>2017</v>
      </c>
      <c r="P782" s="14" t="s">
        <v>255</v>
      </c>
      <c r="Q782" s="14" t="s">
        <v>255</v>
      </c>
      <c r="R782" s="14" t="s">
        <v>255</v>
      </c>
      <c r="S782" s="17">
        <v>12</v>
      </c>
      <c r="T782" s="14" t="s">
        <v>256</v>
      </c>
      <c r="U782" s="14" t="s">
        <v>474</v>
      </c>
      <c r="V782" s="14" t="s">
        <v>112</v>
      </c>
      <c r="W782" s="18">
        <v>82300000</v>
      </c>
      <c r="X782" s="18">
        <v>82300000</v>
      </c>
      <c r="Y782" s="19" t="s">
        <v>339</v>
      </c>
      <c r="Z782" s="19" t="s">
        <v>258</v>
      </c>
      <c r="AA782" s="14" t="s">
        <v>1898</v>
      </c>
      <c r="AB782" s="14" t="s">
        <v>1899</v>
      </c>
      <c r="AC782" s="14">
        <v>6012220601</v>
      </c>
      <c r="AD782" s="14" t="s">
        <v>307</v>
      </c>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c r="BC782" s="82"/>
      <c r="BD782" s="82"/>
      <c r="BE782" s="83"/>
      <c r="BF782" s="83"/>
      <c r="BG782" s="14" t="str">
        <f ca="1">IFERROR(__xludf.DUMMYFUNCTION("REGEXEXTRACT(O776,""^\S+\s(.+)$"")"),"Prestar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782" s="27"/>
      <c r="BI782" s="27"/>
      <c r="BJ782" s="27">
        <v>0</v>
      </c>
      <c r="BK782" s="24">
        <v>6858333</v>
      </c>
      <c r="BL782" s="27">
        <v>0</v>
      </c>
      <c r="BM782" s="24">
        <v>6858333</v>
      </c>
      <c r="BN782" s="27">
        <v>0</v>
      </c>
      <c r="BO782" s="24">
        <v>6858333</v>
      </c>
      <c r="BP782" s="27">
        <v>0</v>
      </c>
      <c r="BQ782" s="24">
        <v>6858333</v>
      </c>
      <c r="BR782" s="27">
        <v>0</v>
      </c>
      <c r="BS782" s="24">
        <v>6858333</v>
      </c>
      <c r="BT782" s="27">
        <v>0</v>
      </c>
      <c r="BU782" s="24">
        <v>6858333</v>
      </c>
      <c r="BV782" s="27">
        <v>0</v>
      </c>
      <c r="BW782" s="24">
        <v>6858333</v>
      </c>
      <c r="BX782" s="27">
        <v>0</v>
      </c>
      <c r="BY782" s="24">
        <v>6858333</v>
      </c>
      <c r="BZ782" s="27">
        <v>0</v>
      </c>
      <c r="CA782" s="24">
        <v>6858333</v>
      </c>
      <c r="CB782" s="27">
        <v>0</v>
      </c>
      <c r="CC782" s="24">
        <v>6858333</v>
      </c>
      <c r="CD782" s="27">
        <v>0</v>
      </c>
      <c r="CE782" s="24">
        <v>13716670</v>
      </c>
      <c r="CF782" s="28"/>
      <c r="CG782" s="28"/>
      <c r="CH782" s="25">
        <f t="shared" ref="CH782:CI782" si="1523">BH782+BJ782+BL782+BN782+BP782+BR782+BT782+BV782+BX782+BZ782+CB782+CD782+CF782</f>
        <v>0</v>
      </c>
      <c r="CI782" s="25">
        <f t="shared" si="1523"/>
        <v>82300000</v>
      </c>
      <c r="CJ782" s="26">
        <f t="shared" si="1331"/>
        <v>82300000</v>
      </c>
      <c r="CK782" s="26">
        <f t="shared" si="1332"/>
        <v>0</v>
      </c>
    </row>
    <row r="783" spans="1:89" ht="90" customHeight="1" x14ac:dyDescent="0.3">
      <c r="A783" s="13" t="s">
        <v>1891</v>
      </c>
      <c r="B783" s="14" t="s">
        <v>27</v>
      </c>
      <c r="C783" s="15" t="s">
        <v>258</v>
      </c>
      <c r="D783" s="14" t="s">
        <v>258</v>
      </c>
      <c r="E783" s="13" t="s">
        <v>250</v>
      </c>
      <c r="F783" s="13" t="s">
        <v>250</v>
      </c>
      <c r="G783" s="14">
        <v>12</v>
      </c>
      <c r="H783" s="13" t="s">
        <v>2018</v>
      </c>
      <c r="I783" s="15" t="s">
        <v>1893</v>
      </c>
      <c r="J783" s="14" t="s">
        <v>1893</v>
      </c>
      <c r="K783" s="15" t="s">
        <v>1893</v>
      </c>
      <c r="L783" s="14">
        <v>80131500</v>
      </c>
      <c r="M783" s="14" t="s">
        <v>1918</v>
      </c>
      <c r="N783" s="14" t="s">
        <v>1919</v>
      </c>
      <c r="O783" s="15" t="s">
        <v>2019</v>
      </c>
      <c r="P783" s="14" t="s">
        <v>255</v>
      </c>
      <c r="Q783" s="14" t="s">
        <v>255</v>
      </c>
      <c r="R783" s="14" t="s">
        <v>255</v>
      </c>
      <c r="S783" s="17">
        <v>7</v>
      </c>
      <c r="T783" s="14" t="s">
        <v>256</v>
      </c>
      <c r="U783" s="14" t="s">
        <v>511</v>
      </c>
      <c r="V783" s="14" t="s">
        <v>112</v>
      </c>
      <c r="W783" s="18">
        <v>90801410</v>
      </c>
      <c r="X783" s="18">
        <v>90801410</v>
      </c>
      <c r="Y783" s="19" t="s">
        <v>339</v>
      </c>
      <c r="Z783" s="19" t="s">
        <v>258</v>
      </c>
      <c r="AA783" s="14" t="s">
        <v>1898</v>
      </c>
      <c r="AB783" s="14" t="s">
        <v>1899</v>
      </c>
      <c r="AC783" s="14">
        <v>6012220601</v>
      </c>
      <c r="AD783" s="14" t="s">
        <v>307</v>
      </c>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c r="BC783" s="82"/>
      <c r="BD783" s="82"/>
      <c r="BE783" s="83"/>
      <c r="BF783" s="83"/>
      <c r="BG783" s="14" t="str">
        <f ca="1">IFERROR(__xludf.DUMMYFUNCTION("REGEXEXTRACT(O777,""^\S+\s(.+)$"")"),"Prestar el servicio de arrendamiento para bodegaje y administración integral del archivo central de la UPME")</f>
        <v>Prestar el servicio de arrendamiento para bodegaje y administración integral del archivo central de la UPME</v>
      </c>
      <c r="BH783" s="27"/>
      <c r="BI783" s="27"/>
      <c r="BJ783" s="27"/>
      <c r="BK783" s="24"/>
      <c r="BL783" s="27"/>
      <c r="BM783" s="24"/>
      <c r="BN783" s="27"/>
      <c r="BO783" s="24"/>
      <c r="BP783" s="27"/>
      <c r="BQ783" s="24"/>
      <c r="BR783" s="27"/>
      <c r="BS783" s="24"/>
      <c r="BT783" s="27"/>
      <c r="BU783" s="24"/>
      <c r="BV783" s="27"/>
      <c r="BW783" s="24"/>
      <c r="BX783" s="27"/>
      <c r="BY783" s="24"/>
      <c r="BZ783" s="27"/>
      <c r="CA783" s="24"/>
      <c r="CB783" s="27"/>
      <c r="CC783" s="24"/>
      <c r="CD783" s="27"/>
      <c r="CE783" s="24"/>
      <c r="CF783" s="28"/>
      <c r="CG783" s="28"/>
      <c r="CH783" s="25">
        <f t="shared" ref="CH783:CI783" si="1524">BH783+BJ783+BL783+BN783+BP783+BR783+BT783+BV783+BX783+BZ783+CB783+CD783+CF783</f>
        <v>0</v>
      </c>
      <c r="CI783" s="25">
        <f t="shared" si="1524"/>
        <v>0</v>
      </c>
      <c r="CJ783" s="26">
        <f t="shared" si="1331"/>
        <v>90801410</v>
      </c>
      <c r="CK783" s="26">
        <f t="shared" si="1332"/>
        <v>90801410</v>
      </c>
    </row>
    <row r="784" spans="1:89" ht="90" customHeight="1" x14ac:dyDescent="0.3">
      <c r="A784" s="13" t="s">
        <v>1891</v>
      </c>
      <c r="B784" s="14" t="s">
        <v>27</v>
      </c>
      <c r="C784" s="15" t="s">
        <v>258</v>
      </c>
      <c r="D784" s="14" t="s">
        <v>258</v>
      </c>
      <c r="E784" s="13" t="s">
        <v>250</v>
      </c>
      <c r="F784" s="13" t="s">
        <v>250</v>
      </c>
      <c r="G784" s="14">
        <v>19</v>
      </c>
      <c r="H784" s="13" t="s">
        <v>2020</v>
      </c>
      <c r="I784" s="15" t="s">
        <v>1893</v>
      </c>
      <c r="J784" s="14" t="s">
        <v>1893</v>
      </c>
      <c r="K784" s="15" t="s">
        <v>1893</v>
      </c>
      <c r="L784" s="14" t="s">
        <v>258</v>
      </c>
      <c r="M784" s="14" t="s">
        <v>2021</v>
      </c>
      <c r="N784" s="14" t="s">
        <v>951</v>
      </c>
      <c r="O784" s="15" t="s">
        <v>2022</v>
      </c>
      <c r="P784" s="14" t="s">
        <v>255</v>
      </c>
      <c r="Q784" s="14" t="s">
        <v>255</v>
      </c>
      <c r="R784" s="14" t="s">
        <v>255</v>
      </c>
      <c r="S784" s="17">
        <v>7</v>
      </c>
      <c r="T784" s="14" t="s">
        <v>256</v>
      </c>
      <c r="U784" s="14" t="s">
        <v>511</v>
      </c>
      <c r="V784" s="14" t="s">
        <v>112</v>
      </c>
      <c r="W784" s="18">
        <v>41173443</v>
      </c>
      <c r="X784" s="18">
        <v>41173443</v>
      </c>
      <c r="Y784" s="19" t="s">
        <v>339</v>
      </c>
      <c r="Z784" s="19" t="s">
        <v>258</v>
      </c>
      <c r="AA784" s="14" t="s">
        <v>1898</v>
      </c>
      <c r="AB784" s="14" t="s">
        <v>1899</v>
      </c>
      <c r="AC784" s="14">
        <v>6012220601</v>
      </c>
      <c r="AD784" s="14" t="s">
        <v>307</v>
      </c>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c r="BC784" s="82"/>
      <c r="BD784" s="82"/>
      <c r="BE784" s="83"/>
      <c r="BF784" s="83"/>
      <c r="BG784" s="14"/>
      <c r="BH784" s="27"/>
      <c r="BI784" s="27"/>
      <c r="BJ784" s="27"/>
      <c r="BK784" s="24"/>
      <c r="BL784" s="27"/>
      <c r="BM784" s="24"/>
      <c r="BN784" s="27"/>
      <c r="BO784" s="24"/>
      <c r="BP784" s="27"/>
      <c r="BQ784" s="24"/>
      <c r="BR784" s="27"/>
      <c r="BS784" s="24"/>
      <c r="BT784" s="27"/>
      <c r="BU784" s="24"/>
      <c r="BV784" s="27"/>
      <c r="BW784" s="24"/>
      <c r="BX784" s="27"/>
      <c r="BY784" s="24"/>
      <c r="BZ784" s="27"/>
      <c r="CA784" s="24"/>
      <c r="CB784" s="27"/>
      <c r="CC784" s="24"/>
      <c r="CD784" s="27"/>
      <c r="CE784" s="24"/>
      <c r="CF784" s="28"/>
      <c r="CG784" s="28"/>
      <c r="CH784" s="25"/>
      <c r="CI784" s="25"/>
      <c r="CJ784" s="26"/>
      <c r="CK784" s="26"/>
    </row>
    <row r="785" spans="1:89" ht="90" customHeight="1" x14ac:dyDescent="0.3">
      <c r="A785" s="13" t="s">
        <v>1891</v>
      </c>
      <c r="B785" s="14" t="s">
        <v>27</v>
      </c>
      <c r="C785" s="15" t="s">
        <v>258</v>
      </c>
      <c r="D785" s="14" t="s">
        <v>258</v>
      </c>
      <c r="E785" s="13" t="s">
        <v>250</v>
      </c>
      <c r="F785" s="13" t="s">
        <v>250</v>
      </c>
      <c r="G785" s="14">
        <v>19</v>
      </c>
      <c r="H785" s="13" t="s">
        <v>2023</v>
      </c>
      <c r="I785" s="15" t="s">
        <v>1893</v>
      </c>
      <c r="J785" s="14" t="s">
        <v>1893</v>
      </c>
      <c r="K785" s="15" t="s">
        <v>1893</v>
      </c>
      <c r="L785" s="14" t="s">
        <v>258</v>
      </c>
      <c r="M785" s="14" t="s">
        <v>2021</v>
      </c>
      <c r="N785" s="14" t="s">
        <v>951</v>
      </c>
      <c r="O785" s="15" t="s">
        <v>2024</v>
      </c>
      <c r="P785" s="14" t="s">
        <v>255</v>
      </c>
      <c r="Q785" s="14" t="s">
        <v>255</v>
      </c>
      <c r="R785" s="14" t="s">
        <v>255</v>
      </c>
      <c r="S785" s="17">
        <v>7</v>
      </c>
      <c r="T785" s="14" t="s">
        <v>256</v>
      </c>
      <c r="U785" s="14" t="s">
        <v>1961</v>
      </c>
      <c r="V785" s="14" t="s">
        <v>112</v>
      </c>
      <c r="W785" s="18">
        <v>133821897</v>
      </c>
      <c r="X785" s="18">
        <v>133821897</v>
      </c>
      <c r="Y785" s="19" t="s">
        <v>339</v>
      </c>
      <c r="Z785" s="19" t="s">
        <v>258</v>
      </c>
      <c r="AA785" s="14" t="s">
        <v>1898</v>
      </c>
      <c r="AB785" s="14" t="s">
        <v>1899</v>
      </c>
      <c r="AC785" s="14">
        <v>6012220601</v>
      </c>
      <c r="AD785" s="14" t="s">
        <v>307</v>
      </c>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c r="BC785" s="82"/>
      <c r="BD785" s="82"/>
      <c r="BE785" s="83"/>
      <c r="BF785" s="83"/>
      <c r="BG785" s="14"/>
      <c r="BH785" s="27"/>
      <c r="BI785" s="27"/>
      <c r="BJ785" s="27"/>
      <c r="BK785" s="24"/>
      <c r="BL785" s="27"/>
      <c r="BM785" s="24"/>
      <c r="BN785" s="27"/>
      <c r="BO785" s="24"/>
      <c r="BP785" s="27"/>
      <c r="BQ785" s="24"/>
      <c r="BR785" s="27"/>
      <c r="BS785" s="24"/>
      <c r="BT785" s="27"/>
      <c r="BU785" s="24"/>
      <c r="BV785" s="27"/>
      <c r="BW785" s="24"/>
      <c r="BX785" s="27"/>
      <c r="BY785" s="24"/>
      <c r="BZ785" s="27"/>
      <c r="CA785" s="24"/>
      <c r="CB785" s="27"/>
      <c r="CC785" s="24"/>
      <c r="CD785" s="27"/>
      <c r="CE785" s="24"/>
      <c r="CF785" s="28"/>
      <c r="CG785" s="28"/>
      <c r="CH785" s="25"/>
      <c r="CI785" s="25"/>
      <c r="CJ785" s="26"/>
      <c r="CK785" s="26"/>
    </row>
    <row r="786" spans="1:89" ht="90" customHeight="1" x14ac:dyDescent="0.3">
      <c r="A786" s="13" t="s">
        <v>1891</v>
      </c>
      <c r="B786" s="14" t="s">
        <v>27</v>
      </c>
      <c r="C786" s="15" t="s">
        <v>258</v>
      </c>
      <c r="D786" s="14" t="s">
        <v>258</v>
      </c>
      <c r="E786" s="13" t="s">
        <v>250</v>
      </c>
      <c r="F786" s="13" t="s">
        <v>250</v>
      </c>
      <c r="G786" s="14">
        <v>68</v>
      </c>
      <c r="H786" s="13" t="s">
        <v>2025</v>
      </c>
      <c r="I786" s="15" t="s">
        <v>1893</v>
      </c>
      <c r="J786" s="14" t="s">
        <v>1893</v>
      </c>
      <c r="K786" s="15" t="s">
        <v>1893</v>
      </c>
      <c r="L786" s="14" t="s">
        <v>2026</v>
      </c>
      <c r="M786" s="14" t="s">
        <v>1895</v>
      </c>
      <c r="N786" s="14" t="s">
        <v>1896</v>
      </c>
      <c r="O786" s="15" t="s">
        <v>2027</v>
      </c>
      <c r="P786" s="14" t="s">
        <v>255</v>
      </c>
      <c r="Q786" s="14" t="s">
        <v>255</v>
      </c>
      <c r="R786" s="14" t="s">
        <v>255</v>
      </c>
      <c r="S786" s="17">
        <v>12</v>
      </c>
      <c r="T786" s="14" t="s">
        <v>256</v>
      </c>
      <c r="U786" s="14" t="s">
        <v>474</v>
      </c>
      <c r="V786" s="14" t="s">
        <v>112</v>
      </c>
      <c r="W786" s="18">
        <v>5000000</v>
      </c>
      <c r="X786" s="18">
        <v>5000000</v>
      </c>
      <c r="Y786" s="19" t="s">
        <v>339</v>
      </c>
      <c r="Z786" s="19" t="s">
        <v>258</v>
      </c>
      <c r="AA786" s="14" t="s">
        <v>1898</v>
      </c>
      <c r="AB786" s="14" t="s">
        <v>1899</v>
      </c>
      <c r="AC786" s="14">
        <v>6012220601</v>
      </c>
      <c r="AD786" s="14" t="s">
        <v>307</v>
      </c>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c r="BC786" s="82"/>
      <c r="BD786" s="82"/>
      <c r="BE786" s="83"/>
      <c r="BF786" s="83"/>
      <c r="BG786" s="14" t="str">
        <f ca="1">IFERROR(__xludf.DUMMYFUNCTION("REGEXEXTRACT(O780,""^\S+\s(.+)$"")"),"Prestar servicios de mantenimiento preventivo y correctivo incluidos los repuestos requeridos para las impresoras, escáneres y fotocopiadoras de propiedad de la Upme.")</f>
        <v>Prestar servicios de mantenimiento preventivo y correctivo incluidos los repuestos requeridos para las impresoras, escáneres y fotocopiadoras de propiedad de la Upme.</v>
      </c>
      <c r="BH786" s="27"/>
      <c r="BI786" s="27"/>
      <c r="BJ786" s="27"/>
      <c r="BK786" s="27"/>
      <c r="BL786" s="27"/>
      <c r="BM786" s="27"/>
      <c r="BN786" s="27"/>
      <c r="BO786" s="27"/>
      <c r="BP786" s="27"/>
      <c r="BQ786" s="24">
        <v>5000000</v>
      </c>
      <c r="BR786" s="27"/>
      <c r="BS786" s="27"/>
      <c r="BT786" s="27"/>
      <c r="BU786" s="27"/>
      <c r="BV786" s="27"/>
      <c r="BW786" s="27"/>
      <c r="BX786" s="27"/>
      <c r="BY786" s="27"/>
      <c r="BZ786" s="27"/>
      <c r="CA786" s="27"/>
      <c r="CB786" s="27"/>
      <c r="CC786" s="27"/>
      <c r="CD786" s="27"/>
      <c r="CE786" s="27"/>
      <c r="CF786" s="28"/>
      <c r="CG786" s="28"/>
      <c r="CH786" s="25">
        <f t="shared" ref="CH786:CI786" si="1525">BH786+BJ786+BL786+BN786+BP786+BR786+BT786+BV786+BX786+BZ786+CB786+CD786+CF786</f>
        <v>0</v>
      </c>
      <c r="CI786" s="25">
        <f t="shared" si="1525"/>
        <v>5000000</v>
      </c>
      <c r="CJ786" s="26">
        <f t="shared" ref="CJ786:CJ924" si="1526">X786-CH786</f>
        <v>5000000</v>
      </c>
      <c r="CK786" s="26">
        <f t="shared" ref="CK786:CK924" si="1527">X786-CI786</f>
        <v>0</v>
      </c>
    </row>
    <row r="787" spans="1:89" ht="90" customHeight="1" x14ac:dyDescent="0.3">
      <c r="A787" s="13" t="s">
        <v>1891</v>
      </c>
      <c r="B787" s="14" t="s">
        <v>27</v>
      </c>
      <c r="C787" s="15" t="s">
        <v>258</v>
      </c>
      <c r="D787" s="14" t="s">
        <v>258</v>
      </c>
      <c r="E787" s="13" t="s">
        <v>250</v>
      </c>
      <c r="F787" s="13" t="s">
        <v>250</v>
      </c>
      <c r="G787" s="14">
        <v>68</v>
      </c>
      <c r="H787" s="13" t="s">
        <v>2028</v>
      </c>
      <c r="I787" s="15" t="s">
        <v>1893</v>
      </c>
      <c r="J787" s="14" t="s">
        <v>1893</v>
      </c>
      <c r="K787" s="15" t="s">
        <v>1893</v>
      </c>
      <c r="L787" s="14" t="s">
        <v>2029</v>
      </c>
      <c r="M787" s="14" t="s">
        <v>1895</v>
      </c>
      <c r="N787" s="14" t="s">
        <v>1896</v>
      </c>
      <c r="O787" s="15" t="s">
        <v>2030</v>
      </c>
      <c r="P787" s="14" t="s">
        <v>255</v>
      </c>
      <c r="Q787" s="14" t="s">
        <v>255</v>
      </c>
      <c r="R787" s="14" t="s">
        <v>255</v>
      </c>
      <c r="S787" s="17">
        <v>12</v>
      </c>
      <c r="T787" s="14" t="s">
        <v>256</v>
      </c>
      <c r="U787" s="14" t="s">
        <v>474</v>
      </c>
      <c r="V787" s="14" t="s">
        <v>112</v>
      </c>
      <c r="W787" s="18">
        <v>4000000</v>
      </c>
      <c r="X787" s="18">
        <v>4000000</v>
      </c>
      <c r="Y787" s="19" t="s">
        <v>339</v>
      </c>
      <c r="Z787" s="19" t="s">
        <v>258</v>
      </c>
      <c r="AA787" s="14" t="s">
        <v>1898</v>
      </c>
      <c r="AB787" s="14" t="s">
        <v>1899</v>
      </c>
      <c r="AC787" s="14">
        <v>6012220601</v>
      </c>
      <c r="AD787" s="14" t="s">
        <v>307</v>
      </c>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c r="BC787" s="82"/>
      <c r="BD787" s="82"/>
      <c r="BE787" s="83"/>
      <c r="BF787" s="83"/>
      <c r="BG787" s="14" t="str">
        <f ca="1">IFERROR(__xludf.DUMMYFUNCTION("REGEXEXTRACT(O781,""^\S+\s(.+)$"")"),"Prestar servicios de mantenimiento preventivo y correctivo del sistema de cámaras de video -CCTV instalados en la Sede de la Upme.")</f>
        <v>Prestar servicios de mantenimiento preventivo y correctivo del sistema de cámaras de video -CCTV instalados en la Sede de la Upme.</v>
      </c>
      <c r="BH787" s="27"/>
      <c r="BI787" s="27"/>
      <c r="BJ787" s="27"/>
      <c r="BK787" s="27"/>
      <c r="BL787" s="27"/>
      <c r="BM787" s="27"/>
      <c r="BN787" s="27"/>
      <c r="BO787" s="24">
        <v>2000000</v>
      </c>
      <c r="BP787" s="27"/>
      <c r="BQ787" s="27"/>
      <c r="BR787" s="27"/>
      <c r="BS787" s="27"/>
      <c r="BT787" s="27"/>
      <c r="BU787" s="27"/>
      <c r="BV787" s="27"/>
      <c r="BW787" s="24">
        <v>2000000</v>
      </c>
      <c r="BX787" s="27"/>
      <c r="BY787" s="27"/>
      <c r="BZ787" s="27"/>
      <c r="CA787" s="27"/>
      <c r="CB787" s="27"/>
      <c r="CC787" s="27"/>
      <c r="CD787" s="27"/>
      <c r="CE787" s="27"/>
      <c r="CF787" s="28"/>
      <c r="CG787" s="28"/>
      <c r="CH787" s="25">
        <f t="shared" ref="CH787:CI787" si="1528">BH787+BJ787+BL787+BN787+BP787+BR787+BT787+BV787+BX787+BZ787+CB787+CD787+CF787</f>
        <v>0</v>
      </c>
      <c r="CI787" s="25">
        <f t="shared" si="1528"/>
        <v>4000000</v>
      </c>
      <c r="CJ787" s="26">
        <f t="shared" si="1526"/>
        <v>4000000</v>
      </c>
      <c r="CK787" s="26">
        <f t="shared" si="1527"/>
        <v>0</v>
      </c>
    </row>
    <row r="788" spans="1:89" ht="90" customHeight="1" x14ac:dyDescent="0.3">
      <c r="A788" s="13" t="s">
        <v>1891</v>
      </c>
      <c r="B788" s="14" t="s">
        <v>27</v>
      </c>
      <c r="C788" s="15" t="s">
        <v>258</v>
      </c>
      <c r="D788" s="14" t="s">
        <v>258</v>
      </c>
      <c r="E788" s="13" t="s">
        <v>250</v>
      </c>
      <c r="F788" s="13" t="s">
        <v>250</v>
      </c>
      <c r="G788" s="14">
        <v>19</v>
      </c>
      <c r="H788" s="13" t="s">
        <v>2031</v>
      </c>
      <c r="I788" s="15" t="s">
        <v>1893</v>
      </c>
      <c r="J788" s="14" t="s">
        <v>1893</v>
      </c>
      <c r="K788" s="15" t="s">
        <v>1893</v>
      </c>
      <c r="L788" s="14" t="s">
        <v>2032</v>
      </c>
      <c r="M788" s="14" t="s">
        <v>1895</v>
      </c>
      <c r="N788" s="14" t="s">
        <v>1896</v>
      </c>
      <c r="O788" s="15" t="s">
        <v>2033</v>
      </c>
      <c r="P788" s="14" t="s">
        <v>255</v>
      </c>
      <c r="Q788" s="14" t="s">
        <v>255</v>
      </c>
      <c r="R788" s="14" t="s">
        <v>255</v>
      </c>
      <c r="S788" s="17">
        <v>12</v>
      </c>
      <c r="T788" s="14" t="s">
        <v>256</v>
      </c>
      <c r="U788" s="14" t="s">
        <v>474</v>
      </c>
      <c r="V788" s="14" t="s">
        <v>112</v>
      </c>
      <c r="W788" s="18">
        <v>29811401</v>
      </c>
      <c r="X788" s="18">
        <v>29811401</v>
      </c>
      <c r="Y788" s="19" t="s">
        <v>339</v>
      </c>
      <c r="Z788" s="19" t="s">
        <v>258</v>
      </c>
      <c r="AA788" s="14" t="s">
        <v>1898</v>
      </c>
      <c r="AB788" s="14" t="s">
        <v>1899</v>
      </c>
      <c r="AC788" s="14">
        <v>6012220601</v>
      </c>
      <c r="AD788" s="14" t="s">
        <v>307</v>
      </c>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c r="BC788" s="82"/>
      <c r="BD788" s="82"/>
      <c r="BE788" s="83"/>
      <c r="BF788" s="83"/>
      <c r="BG788" s="14" t="str">
        <f ca="1">IFERROR(__xludf.DUMMYFUNCTION("REGEXEXTRACT(O782,""^\S+\s(.+)$"")"),"Prestar servicios de arreglos locativos requeridos en la Sede de la Upme.")</f>
        <v>Prestar servicios de arreglos locativos requeridos en la Sede de la Upme.</v>
      </c>
      <c r="BH788" s="27"/>
      <c r="BI788" s="27"/>
      <c r="BJ788" s="27"/>
      <c r="BK788" s="27"/>
      <c r="BL788" s="27"/>
      <c r="BM788" s="27"/>
      <c r="BN788" s="27"/>
      <c r="BO788" s="27"/>
      <c r="BP788" s="27"/>
      <c r="BQ788" s="24">
        <v>10875000</v>
      </c>
      <c r="BR788" s="27"/>
      <c r="BS788" s="27"/>
      <c r="BT788" s="27"/>
      <c r="BU788" s="24">
        <v>10875000</v>
      </c>
      <c r="BV788" s="27"/>
      <c r="BW788" s="27"/>
      <c r="BX788" s="27"/>
      <c r="BY788" s="24">
        <v>10875000</v>
      </c>
      <c r="BZ788" s="27"/>
      <c r="CA788" s="27"/>
      <c r="CB788" s="27"/>
      <c r="CC788" s="24">
        <v>10875000</v>
      </c>
      <c r="CD788" s="27"/>
      <c r="CE788" s="27"/>
      <c r="CF788" s="28"/>
      <c r="CG788" s="28"/>
      <c r="CH788" s="25">
        <f t="shared" ref="CH788:CI788" si="1529">BH788+BJ788+BL788+BN788+BP788+BR788+BT788+BV788+BX788+BZ788+CB788+CD788+CF788</f>
        <v>0</v>
      </c>
      <c r="CI788" s="25">
        <f t="shared" si="1529"/>
        <v>43500000</v>
      </c>
      <c r="CJ788" s="26">
        <f t="shared" si="1526"/>
        <v>29811401</v>
      </c>
      <c r="CK788" s="26">
        <f t="shared" si="1527"/>
        <v>-13688599</v>
      </c>
    </row>
    <row r="789" spans="1:89" ht="90" customHeight="1" x14ac:dyDescent="0.3">
      <c r="A789" s="13" t="s">
        <v>1891</v>
      </c>
      <c r="B789" s="14" t="s">
        <v>27</v>
      </c>
      <c r="C789" s="15" t="s">
        <v>258</v>
      </c>
      <c r="D789" s="14" t="s">
        <v>258</v>
      </c>
      <c r="E789" s="13" t="s">
        <v>250</v>
      </c>
      <c r="F789" s="13" t="s">
        <v>250</v>
      </c>
      <c r="G789" s="14">
        <v>68</v>
      </c>
      <c r="H789" s="13" t="s">
        <v>2034</v>
      </c>
      <c r="I789" s="15" t="s">
        <v>1893</v>
      </c>
      <c r="J789" s="14" t="s">
        <v>1893</v>
      </c>
      <c r="K789" s="15" t="s">
        <v>1893</v>
      </c>
      <c r="L789" s="14" t="s">
        <v>2035</v>
      </c>
      <c r="M789" s="14" t="s">
        <v>1914</v>
      </c>
      <c r="N789" s="14" t="s">
        <v>951</v>
      </c>
      <c r="O789" s="15" t="s">
        <v>2036</v>
      </c>
      <c r="P789" s="14" t="s">
        <v>614</v>
      </c>
      <c r="Q789" s="14" t="s">
        <v>477</v>
      </c>
      <c r="R789" s="14" t="s">
        <v>774</v>
      </c>
      <c r="S789" s="17">
        <v>1</v>
      </c>
      <c r="T789" s="14" t="s">
        <v>256</v>
      </c>
      <c r="U789" s="14" t="s">
        <v>474</v>
      </c>
      <c r="V789" s="14" t="s">
        <v>112</v>
      </c>
      <c r="W789" s="18">
        <v>7000000</v>
      </c>
      <c r="X789" s="18">
        <v>7000000</v>
      </c>
      <c r="Y789" s="19" t="s">
        <v>339</v>
      </c>
      <c r="Z789" s="19" t="s">
        <v>258</v>
      </c>
      <c r="AA789" s="14" t="s">
        <v>1898</v>
      </c>
      <c r="AB789" s="14" t="s">
        <v>1899</v>
      </c>
      <c r="AC789" s="14">
        <v>6012220601</v>
      </c>
      <c r="AD789" s="14" t="s">
        <v>307</v>
      </c>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c r="BC789" s="82"/>
      <c r="BD789" s="82"/>
      <c r="BE789" s="83"/>
      <c r="BF789" s="83"/>
      <c r="BG789" s="14" t="str">
        <f ca="1">IFERROR(__xludf.DUMMYFUNCTION("REGEXEXTRACT(O783,""^\S+\s(.+)$"")"),"Adquirir elementos requeridos para impresoras y/o fotocopiadoras (Toners) de la Upme.")</f>
        <v>Adquirir elementos requeridos para impresoras y/o fotocopiadoras (Toners) de la Upme.</v>
      </c>
      <c r="BH789" s="27"/>
      <c r="BI789" s="27"/>
      <c r="BJ789" s="27"/>
      <c r="BK789" s="27"/>
      <c r="BL789" s="27"/>
      <c r="BM789" s="27"/>
      <c r="BN789" s="27"/>
      <c r="BO789" s="27"/>
      <c r="BP789" s="27"/>
      <c r="BQ789" s="27"/>
      <c r="BR789" s="27"/>
      <c r="BS789" s="27"/>
      <c r="BT789" s="27"/>
      <c r="BU789" s="27"/>
      <c r="BV789" s="27"/>
      <c r="BW789" s="27"/>
      <c r="BX789" s="27"/>
      <c r="BY789" s="24">
        <v>7000000</v>
      </c>
      <c r="BZ789" s="27"/>
      <c r="CA789" s="27"/>
      <c r="CB789" s="27"/>
      <c r="CC789" s="27"/>
      <c r="CD789" s="27"/>
      <c r="CE789" s="27"/>
      <c r="CF789" s="28"/>
      <c r="CG789" s="28"/>
      <c r="CH789" s="25">
        <f t="shared" ref="CH789:CI789" si="1530">BH789+BJ789+BL789+BN789+BP789+BR789+BT789+BV789+BX789+BZ789+CB789+CD789+CF789</f>
        <v>0</v>
      </c>
      <c r="CI789" s="25">
        <f t="shared" si="1530"/>
        <v>7000000</v>
      </c>
      <c r="CJ789" s="26">
        <f t="shared" si="1526"/>
        <v>7000000</v>
      </c>
      <c r="CK789" s="26">
        <f t="shared" si="1527"/>
        <v>0</v>
      </c>
    </row>
    <row r="790" spans="1:89" ht="90" customHeight="1" x14ac:dyDescent="0.3">
      <c r="A790" s="13" t="s">
        <v>1891</v>
      </c>
      <c r="B790" s="14" t="s">
        <v>27</v>
      </c>
      <c r="C790" s="15" t="s">
        <v>258</v>
      </c>
      <c r="D790" s="14" t="s">
        <v>258</v>
      </c>
      <c r="E790" s="13" t="s">
        <v>250</v>
      </c>
      <c r="F790" s="13" t="s">
        <v>250</v>
      </c>
      <c r="G790" s="14">
        <v>68</v>
      </c>
      <c r="H790" s="13" t="s">
        <v>2037</v>
      </c>
      <c r="I790" s="15" t="s">
        <v>1893</v>
      </c>
      <c r="J790" s="14" t="s">
        <v>1893</v>
      </c>
      <c r="K790" s="15" t="s">
        <v>1893</v>
      </c>
      <c r="L790" s="14" t="s">
        <v>2038</v>
      </c>
      <c r="M790" s="14" t="s">
        <v>2039</v>
      </c>
      <c r="N790" s="14" t="s">
        <v>951</v>
      </c>
      <c r="O790" s="15" t="s">
        <v>2040</v>
      </c>
      <c r="P790" s="14" t="s">
        <v>255</v>
      </c>
      <c r="Q790" s="14" t="s">
        <v>255</v>
      </c>
      <c r="R790" s="14" t="s">
        <v>255</v>
      </c>
      <c r="S790" s="17">
        <v>12</v>
      </c>
      <c r="T790" s="14" t="s">
        <v>256</v>
      </c>
      <c r="U790" s="14" t="s">
        <v>474</v>
      </c>
      <c r="V790" s="14" t="s">
        <v>112</v>
      </c>
      <c r="W790" s="18">
        <v>10000000</v>
      </c>
      <c r="X790" s="18">
        <v>10000000</v>
      </c>
      <c r="Y790" s="19" t="s">
        <v>339</v>
      </c>
      <c r="Z790" s="19" t="s">
        <v>258</v>
      </c>
      <c r="AA790" s="14" t="s">
        <v>1898</v>
      </c>
      <c r="AB790" s="14" t="s">
        <v>1899</v>
      </c>
      <c r="AC790" s="14">
        <v>6012220601</v>
      </c>
      <c r="AD790" s="14" t="s">
        <v>307</v>
      </c>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c r="BC790" s="82"/>
      <c r="BD790" s="82"/>
      <c r="BE790" s="83"/>
      <c r="BF790" s="83"/>
      <c r="BG790" s="14" t="str">
        <f ca="1">IFERROR(__xludf.DUMMYFUNCTION("REGEXEXTRACT(O784,""^\S+\s(.+)$"")"),"Prestar apoyo logístico para atender las reuniones del Consejo Directivo de la Upme o las que determine la Dirección general para apoyar actividades del sector en la vigencia 2026.")</f>
        <v>Prestar apoyo logístico para atender las reuniones del Consejo Directivo de la Upme o las que determine la Dirección general para apoyar actividades del sector en la vigencia 2026.</v>
      </c>
      <c r="BH790" s="27"/>
      <c r="BI790" s="27"/>
      <c r="BJ790" s="27"/>
      <c r="BK790" s="27"/>
      <c r="BL790" s="27"/>
      <c r="BM790" s="24">
        <v>1000000</v>
      </c>
      <c r="BN790" s="27"/>
      <c r="BO790" s="24">
        <v>1000000</v>
      </c>
      <c r="BP790" s="27"/>
      <c r="BQ790" s="24">
        <v>1000000</v>
      </c>
      <c r="BR790" s="27"/>
      <c r="BS790" s="24">
        <v>1000000</v>
      </c>
      <c r="BT790" s="27"/>
      <c r="BU790" s="24">
        <v>1000000</v>
      </c>
      <c r="BV790" s="27"/>
      <c r="BW790" s="24">
        <v>1000000</v>
      </c>
      <c r="BX790" s="27"/>
      <c r="BY790" s="24">
        <v>1000000</v>
      </c>
      <c r="BZ790" s="27"/>
      <c r="CA790" s="24">
        <v>1000000</v>
      </c>
      <c r="CB790" s="27"/>
      <c r="CC790" s="24">
        <v>1000000</v>
      </c>
      <c r="CD790" s="27"/>
      <c r="CE790" s="24">
        <v>1000000</v>
      </c>
      <c r="CF790" s="28"/>
      <c r="CG790" s="28"/>
      <c r="CH790" s="25">
        <f t="shared" ref="CH790:CI790" si="1531">BH790+BJ790+BL790+BN790+BP790+BR790+BT790+BV790+BX790+BZ790+CB790+CD790+CF790</f>
        <v>0</v>
      </c>
      <c r="CI790" s="25">
        <f t="shared" si="1531"/>
        <v>10000000</v>
      </c>
      <c r="CJ790" s="26">
        <f t="shared" si="1526"/>
        <v>10000000</v>
      </c>
      <c r="CK790" s="26">
        <f t="shared" si="1527"/>
        <v>0</v>
      </c>
    </row>
    <row r="791" spans="1:89" ht="90" customHeight="1" x14ac:dyDescent="0.3">
      <c r="A791" s="13" t="s">
        <v>1891</v>
      </c>
      <c r="B791" s="14" t="s">
        <v>30</v>
      </c>
      <c r="C791" s="15" t="s">
        <v>258</v>
      </c>
      <c r="D791" s="14" t="s">
        <v>258</v>
      </c>
      <c r="E791" s="13" t="s">
        <v>250</v>
      </c>
      <c r="F791" s="13" t="s">
        <v>250</v>
      </c>
      <c r="G791" s="14">
        <v>68</v>
      </c>
      <c r="H791" s="13" t="s">
        <v>2041</v>
      </c>
      <c r="I791" s="15" t="s">
        <v>1893</v>
      </c>
      <c r="J791" s="14" t="s">
        <v>1893</v>
      </c>
      <c r="K791" s="15" t="s">
        <v>1893</v>
      </c>
      <c r="L791" s="14">
        <v>80111620</v>
      </c>
      <c r="M791" s="14" t="s">
        <v>2042</v>
      </c>
      <c r="N791" s="14" t="s">
        <v>253</v>
      </c>
      <c r="O791" s="15" t="s">
        <v>2043</v>
      </c>
      <c r="P791" s="14" t="s">
        <v>255</v>
      </c>
      <c r="Q791" s="14" t="s">
        <v>255</v>
      </c>
      <c r="R791" s="14" t="s">
        <v>255</v>
      </c>
      <c r="S791" s="17">
        <v>11.5</v>
      </c>
      <c r="T791" s="14" t="s">
        <v>256</v>
      </c>
      <c r="U791" s="14" t="s">
        <v>257</v>
      </c>
      <c r="V791" s="14" t="s">
        <v>112</v>
      </c>
      <c r="W791" s="18">
        <v>69000000</v>
      </c>
      <c r="X791" s="18">
        <v>69000000</v>
      </c>
      <c r="Y791" s="19" t="s">
        <v>339</v>
      </c>
      <c r="Z791" s="19" t="s">
        <v>258</v>
      </c>
      <c r="AA791" s="14" t="s">
        <v>971</v>
      </c>
      <c r="AB791" s="14" t="s">
        <v>972</v>
      </c>
      <c r="AC791" s="14">
        <v>6012220601</v>
      </c>
      <c r="AD791" s="14" t="s">
        <v>973</v>
      </c>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c r="BC791" s="82"/>
      <c r="BD791" s="82"/>
      <c r="BE791" s="83"/>
      <c r="BF791" s="83"/>
      <c r="BG791" s="14" t="str">
        <f ca="1">IFERROR(__xludf.DUMMYFUNCTION("REGEXEXTRACT(O785,""^\S+\s(.+)$"")"),"Prestar servicios profesionales para la gestión de requerimientos contractuales y demás actividades administrativas requeridas por la Subdirección de Demanda.")</f>
        <v>Prestar servicios profesionales para la gestión de requerimientos contractuales y demás actividades administrativas requeridas por la Subdirección de Demanda.</v>
      </c>
      <c r="BH791" s="24"/>
      <c r="BI791" s="24"/>
      <c r="BJ791" s="24"/>
      <c r="BK791" s="24">
        <v>3000000</v>
      </c>
      <c r="BL791" s="24"/>
      <c r="BM791" s="24">
        <v>6000000</v>
      </c>
      <c r="BN791" s="24"/>
      <c r="BO791" s="24">
        <v>6000000</v>
      </c>
      <c r="BP791" s="24"/>
      <c r="BQ791" s="24">
        <v>6000000</v>
      </c>
      <c r="BR791" s="24"/>
      <c r="BS791" s="24">
        <v>6000000</v>
      </c>
      <c r="BT791" s="24"/>
      <c r="BU791" s="24">
        <v>6000000</v>
      </c>
      <c r="BV791" s="24"/>
      <c r="BW791" s="24">
        <v>6000000</v>
      </c>
      <c r="BX791" s="24"/>
      <c r="BY791" s="24">
        <v>6000000</v>
      </c>
      <c r="BZ791" s="24"/>
      <c r="CA791" s="24">
        <v>6000000</v>
      </c>
      <c r="CB791" s="24"/>
      <c r="CC791" s="24">
        <v>6000000</v>
      </c>
      <c r="CD791" s="24"/>
      <c r="CE791" s="24">
        <v>12000000</v>
      </c>
      <c r="CF791" s="28"/>
      <c r="CG791" s="28"/>
      <c r="CH791" s="25">
        <f t="shared" ref="CH791:CI791" si="1532">BH791+BJ791+BL791+BN791+BP791+BR791+BT791+BV791+BX791+BZ791+CB791+CD791+CF791</f>
        <v>0</v>
      </c>
      <c r="CI791" s="25">
        <f t="shared" si="1532"/>
        <v>69000000</v>
      </c>
      <c r="CJ791" s="26">
        <f t="shared" si="1526"/>
        <v>69000000</v>
      </c>
      <c r="CK791" s="26">
        <f t="shared" si="1527"/>
        <v>0</v>
      </c>
    </row>
    <row r="792" spans="1:89" ht="90" customHeight="1" x14ac:dyDescent="0.3">
      <c r="A792" s="13" t="s">
        <v>1891</v>
      </c>
      <c r="B792" s="14" t="s">
        <v>30</v>
      </c>
      <c r="C792" s="15" t="s">
        <v>258</v>
      </c>
      <c r="D792" s="14" t="s">
        <v>258</v>
      </c>
      <c r="E792" s="13" t="s">
        <v>250</v>
      </c>
      <c r="F792" s="13" t="s">
        <v>250</v>
      </c>
      <c r="G792" s="14">
        <v>9</v>
      </c>
      <c r="H792" s="13" t="s">
        <v>2044</v>
      </c>
      <c r="I792" s="15" t="s">
        <v>1893</v>
      </c>
      <c r="J792" s="14" t="s">
        <v>1893</v>
      </c>
      <c r="K792" s="15" t="s">
        <v>1893</v>
      </c>
      <c r="L792" s="14">
        <v>80111620</v>
      </c>
      <c r="M792" s="14" t="s">
        <v>2045</v>
      </c>
      <c r="N792" s="14" t="s">
        <v>253</v>
      </c>
      <c r="O792" s="15" t="s">
        <v>2046</v>
      </c>
      <c r="P792" s="14" t="s">
        <v>255</v>
      </c>
      <c r="Q792" s="14" t="s">
        <v>255</v>
      </c>
      <c r="R792" s="14" t="s">
        <v>255</v>
      </c>
      <c r="S792" s="17">
        <v>5</v>
      </c>
      <c r="T792" s="14" t="s">
        <v>256</v>
      </c>
      <c r="U792" s="14" t="s">
        <v>257</v>
      </c>
      <c r="V792" s="14" t="s">
        <v>112</v>
      </c>
      <c r="W792" s="18">
        <v>43500000</v>
      </c>
      <c r="X792" s="18">
        <v>43500000</v>
      </c>
      <c r="Y792" s="19" t="s">
        <v>339</v>
      </c>
      <c r="Z792" s="19" t="s">
        <v>258</v>
      </c>
      <c r="AA792" s="14" t="s">
        <v>971</v>
      </c>
      <c r="AB792" s="14" t="s">
        <v>972</v>
      </c>
      <c r="AC792" s="14">
        <v>6012220601</v>
      </c>
      <c r="AD792" s="14" t="s">
        <v>973</v>
      </c>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c r="BC792" s="82"/>
      <c r="BD792" s="82"/>
      <c r="BE792" s="83"/>
      <c r="BF792" s="83"/>
      <c r="BG792" s="14" t="str">
        <f ca="1">IFERROR(__xludf.DUMMYFUNCTION("REGEXEXTRACT(O786,""^\S+\s(.+)$"")"),"Prestar servicios profesionales para la evaluación y análisis de la información de los proyectos de Gestión Eficiente de la Energía, así como para la elaboración,  consolidación y análisis de reportes de implementación de las medidas de eficiencia energét"&amp;"ica en edificaciones públicas")</f>
        <v>Prestar servicios profesionales para la evaluación y análisis de la información de los proyectos de Gestión Eficiente de la Energía, así como para la elaboración,  consolidación y análisis de reportes de implementación de las medidas de eficiencia energética en edificaciones públicas</v>
      </c>
      <c r="BH792" s="24"/>
      <c r="BI792" s="24"/>
      <c r="BJ792" s="24"/>
      <c r="BK792" s="24">
        <v>-52200000</v>
      </c>
      <c r="BL792" s="24"/>
      <c r="BM792" s="24">
        <v>8700000</v>
      </c>
      <c r="BN792" s="24"/>
      <c r="BO792" s="24">
        <v>8700000</v>
      </c>
      <c r="BP792" s="24"/>
      <c r="BQ792" s="24">
        <v>8700000</v>
      </c>
      <c r="BR792" s="24"/>
      <c r="BS792" s="24">
        <v>8700000</v>
      </c>
      <c r="BT792" s="24"/>
      <c r="BU792" s="24">
        <v>8700000</v>
      </c>
      <c r="BV792" s="24"/>
      <c r="BW792" s="24">
        <v>8700000</v>
      </c>
      <c r="BX792" s="24"/>
      <c r="BY792" s="24">
        <v>8700000</v>
      </c>
      <c r="BZ792" s="24"/>
      <c r="CA792" s="24">
        <v>8700000</v>
      </c>
      <c r="CB792" s="24"/>
      <c r="CC792" s="24">
        <v>8700000</v>
      </c>
      <c r="CD792" s="24"/>
      <c r="CE792" s="24">
        <v>17400000</v>
      </c>
      <c r="CF792" s="28"/>
      <c r="CG792" s="28"/>
      <c r="CH792" s="25">
        <f t="shared" ref="CH792:CI792" si="1533">BH792+BJ792+BL792+BN792+BP792+BR792+BT792+BV792+BX792+BZ792+CB792+CD792+CF792</f>
        <v>0</v>
      </c>
      <c r="CI792" s="25">
        <f t="shared" si="1533"/>
        <v>43500000</v>
      </c>
      <c r="CJ792" s="26">
        <f t="shared" si="1526"/>
        <v>43500000</v>
      </c>
      <c r="CK792" s="26">
        <f t="shared" si="1527"/>
        <v>0</v>
      </c>
    </row>
    <row r="793" spans="1:89" ht="90" customHeight="1" x14ac:dyDescent="0.3">
      <c r="A793" s="13" t="s">
        <v>1891</v>
      </c>
      <c r="B793" s="14" t="s">
        <v>30</v>
      </c>
      <c r="C793" s="15" t="s">
        <v>258</v>
      </c>
      <c r="D793" s="14" t="s">
        <v>258</v>
      </c>
      <c r="E793" s="13" t="s">
        <v>250</v>
      </c>
      <c r="F793" s="13" t="s">
        <v>250</v>
      </c>
      <c r="G793" s="14">
        <v>68</v>
      </c>
      <c r="H793" s="13" t="s">
        <v>2047</v>
      </c>
      <c r="I793" s="15" t="s">
        <v>1893</v>
      </c>
      <c r="J793" s="14" t="s">
        <v>1893</v>
      </c>
      <c r="K793" s="15" t="s">
        <v>1893</v>
      </c>
      <c r="L793" s="14">
        <v>80111620</v>
      </c>
      <c r="M793" s="14" t="s">
        <v>2045</v>
      </c>
      <c r="N793" s="14" t="s">
        <v>253</v>
      </c>
      <c r="O793" s="15" t="s">
        <v>2048</v>
      </c>
      <c r="P793" s="14" t="s">
        <v>255</v>
      </c>
      <c r="Q793" s="14" t="s">
        <v>255</v>
      </c>
      <c r="R793" s="14" t="s">
        <v>255</v>
      </c>
      <c r="S793" s="17">
        <v>11.5</v>
      </c>
      <c r="T793" s="14" t="s">
        <v>256</v>
      </c>
      <c r="U793" s="14" t="s">
        <v>257</v>
      </c>
      <c r="V793" s="14" t="s">
        <v>112</v>
      </c>
      <c r="W793" s="18">
        <v>7581655</v>
      </c>
      <c r="X793" s="18">
        <v>7581655</v>
      </c>
      <c r="Y793" s="19" t="s">
        <v>339</v>
      </c>
      <c r="Z793" s="19" t="s">
        <v>258</v>
      </c>
      <c r="AA793" s="14" t="s">
        <v>971</v>
      </c>
      <c r="AB793" s="14" t="s">
        <v>972</v>
      </c>
      <c r="AC793" s="14">
        <v>6012220601</v>
      </c>
      <c r="AD793" s="14" t="s">
        <v>973</v>
      </c>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c r="BC793" s="82"/>
      <c r="BD793" s="82"/>
      <c r="BE793" s="83"/>
      <c r="BF793" s="83"/>
      <c r="BG793" s="14" t="str">
        <f ca="1">IFERROR(__xludf.DUMMYFUNCTION("REGEXEXTRACT(O787,""^\S+\s(.+)$"")"),"Prestar servicios profesionales orientados al fortalecimiento del componente de Información y Comunicación del Modelo Estandar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v>
      </c>
      <c r="BH793" s="24"/>
      <c r="BI793" s="24"/>
      <c r="BJ793" s="24"/>
      <c r="BK793" s="24"/>
      <c r="BL793" s="24"/>
      <c r="BM793" s="24"/>
      <c r="BN793" s="24"/>
      <c r="BO793" s="24"/>
      <c r="BP793" s="24"/>
      <c r="BQ793" s="24"/>
      <c r="BR793" s="24"/>
      <c r="BS793" s="24"/>
      <c r="BT793" s="35">
        <v>7581655</v>
      </c>
      <c r="BU793" s="24"/>
      <c r="BV793" s="24"/>
      <c r="BW793" s="24"/>
      <c r="BX793" s="24"/>
      <c r="BY793" s="24"/>
      <c r="BZ793" s="24"/>
      <c r="CA793" s="35">
        <v>3000000</v>
      </c>
      <c r="CB793" s="27"/>
      <c r="CC793" s="35">
        <v>3000000</v>
      </c>
      <c r="CD793" s="24"/>
      <c r="CE793" s="24">
        <v>1581655</v>
      </c>
      <c r="CF793" s="28"/>
      <c r="CG793" s="28"/>
      <c r="CH793" s="25">
        <f t="shared" ref="CH793:CI793" si="1534">BH793+BJ793+BL793+BN793+BP793+BR793+BT793+BV793+BX793+BZ793+CB793+CD793+CF793</f>
        <v>7581655</v>
      </c>
      <c r="CI793" s="25">
        <f t="shared" si="1534"/>
        <v>7581655</v>
      </c>
      <c r="CJ793" s="26">
        <f t="shared" si="1526"/>
        <v>0</v>
      </c>
      <c r="CK793" s="26">
        <f t="shared" si="1527"/>
        <v>0</v>
      </c>
    </row>
    <row r="794" spans="1:89" ht="90" customHeight="1" x14ac:dyDescent="0.3">
      <c r="A794" s="13" t="s">
        <v>1891</v>
      </c>
      <c r="B794" s="14" t="s">
        <v>30</v>
      </c>
      <c r="C794" s="15" t="s">
        <v>258</v>
      </c>
      <c r="D794" s="14" t="s">
        <v>258</v>
      </c>
      <c r="E794" s="13" t="s">
        <v>250</v>
      </c>
      <c r="F794" s="13" t="s">
        <v>250</v>
      </c>
      <c r="G794" s="14">
        <v>68</v>
      </c>
      <c r="H794" s="13" t="s">
        <v>2049</v>
      </c>
      <c r="I794" s="15" t="s">
        <v>1893</v>
      </c>
      <c r="J794" s="14" t="s">
        <v>1893</v>
      </c>
      <c r="K794" s="15" t="s">
        <v>1893</v>
      </c>
      <c r="L794" s="14">
        <v>80111620</v>
      </c>
      <c r="M794" s="14" t="s">
        <v>2045</v>
      </c>
      <c r="N794" s="14" t="s">
        <v>253</v>
      </c>
      <c r="O794" s="15" t="s">
        <v>2050</v>
      </c>
      <c r="P794" s="14" t="s">
        <v>255</v>
      </c>
      <c r="Q794" s="14" t="s">
        <v>255</v>
      </c>
      <c r="R794" s="14" t="s">
        <v>255</v>
      </c>
      <c r="S794" s="17">
        <v>11.4</v>
      </c>
      <c r="T794" s="14" t="s">
        <v>256</v>
      </c>
      <c r="U794" s="14" t="s">
        <v>257</v>
      </c>
      <c r="V794" s="14" t="s">
        <v>112</v>
      </c>
      <c r="W794" s="18">
        <v>114000000</v>
      </c>
      <c r="X794" s="18">
        <v>114000000</v>
      </c>
      <c r="Y794" s="19" t="s">
        <v>339</v>
      </c>
      <c r="Z794" s="19" t="s">
        <v>258</v>
      </c>
      <c r="AA794" s="14" t="s">
        <v>971</v>
      </c>
      <c r="AB794" s="14" t="s">
        <v>972</v>
      </c>
      <c r="AC794" s="14">
        <v>6012220602</v>
      </c>
      <c r="AD794" s="14" t="s">
        <v>973</v>
      </c>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c r="BC794" s="82"/>
      <c r="BD794" s="82"/>
      <c r="BE794" s="83"/>
      <c r="BF794" s="83"/>
      <c r="BG794" s="14" t="str">
        <f ca="1">IFERROR(__xludf.DUMMYFUNCTION("REGEXEXTRACT(O788,""^\S+\s(.+)$"")"),"Prestar servicios profesionales para apoyar la gestión de la comunicación institucional de la UPME, mediante la elaboración, implementación y seguimiento de estrategias de comunicación interna y externa, gestión de medios y opinión pública, desarrollo de "&amp;"contenidos y material informativo, y asesoría en campañas de divulgación, fortaleciendo la imagen institucional y contribuyendo al cumplimiento de los objetivos misionales de la Entidad")</f>
        <v>Prestar servicios profesionales para apoyar la gestión de la comunicación institucional de la UPME, mediante la elaboración, implementación y seguimiento de estrategias de comunicación interna y externa, gestión de medios y opinión pública, desarrollo de contenidos y material informativo, y asesoría en campañas de divulgación, fortaleciendo la imagen institucional y contribuyendo al cumplimiento de los objetivos misionales de la Entidad</v>
      </c>
      <c r="BH794" s="24"/>
      <c r="BI794" s="24"/>
      <c r="BJ794" s="24"/>
      <c r="BK794" s="24">
        <v>4000000</v>
      </c>
      <c r="BL794" s="24"/>
      <c r="BM794" s="24">
        <v>10000000</v>
      </c>
      <c r="BN794" s="24"/>
      <c r="BO794" s="24">
        <v>10000000</v>
      </c>
      <c r="BP794" s="24"/>
      <c r="BQ794" s="24">
        <v>10000000</v>
      </c>
      <c r="BR794" s="24"/>
      <c r="BS794" s="24">
        <v>10000000</v>
      </c>
      <c r="BT794" s="24"/>
      <c r="BU794" s="24">
        <v>10000000</v>
      </c>
      <c r="BV794" s="24"/>
      <c r="BW794" s="24">
        <v>10000000</v>
      </c>
      <c r="BX794" s="24"/>
      <c r="BY794" s="24">
        <v>10000000</v>
      </c>
      <c r="BZ794" s="24"/>
      <c r="CA794" s="24">
        <v>10000000</v>
      </c>
      <c r="CB794" s="24"/>
      <c r="CC794" s="24">
        <v>10000000</v>
      </c>
      <c r="CD794" s="24"/>
      <c r="CE794" s="24">
        <v>20000000</v>
      </c>
      <c r="CF794" s="28"/>
      <c r="CG794" s="28"/>
      <c r="CH794" s="25">
        <f t="shared" ref="CH794:CI794" si="1535">BH794+BJ794+BL794+BN794+BP794+BR794+BT794+BV794+BX794+BZ794+CB794+CD794+CF794</f>
        <v>0</v>
      </c>
      <c r="CI794" s="25">
        <f t="shared" si="1535"/>
        <v>114000000</v>
      </c>
      <c r="CJ794" s="26">
        <f t="shared" si="1526"/>
        <v>114000000</v>
      </c>
      <c r="CK794" s="26">
        <f t="shared" si="1527"/>
        <v>0</v>
      </c>
    </row>
    <row r="795" spans="1:89" ht="90" customHeight="1" x14ac:dyDescent="0.3">
      <c r="A795" s="13" t="s">
        <v>1891</v>
      </c>
      <c r="B795" s="14" t="s">
        <v>30</v>
      </c>
      <c r="C795" s="15" t="s">
        <v>258</v>
      </c>
      <c r="D795" s="14" t="s">
        <v>258</v>
      </c>
      <c r="E795" s="13" t="s">
        <v>250</v>
      </c>
      <c r="F795" s="13" t="s">
        <v>250</v>
      </c>
      <c r="G795" s="14">
        <v>68</v>
      </c>
      <c r="H795" s="13" t="s">
        <v>2051</v>
      </c>
      <c r="I795" s="15" t="s">
        <v>1893</v>
      </c>
      <c r="J795" s="14" t="s">
        <v>1893</v>
      </c>
      <c r="K795" s="15" t="s">
        <v>1893</v>
      </c>
      <c r="L795" s="14">
        <v>80111620</v>
      </c>
      <c r="M795" s="14" t="s">
        <v>2045</v>
      </c>
      <c r="N795" s="14" t="s">
        <v>253</v>
      </c>
      <c r="O795" s="15" t="s">
        <v>2052</v>
      </c>
      <c r="P795" s="14" t="s">
        <v>255</v>
      </c>
      <c r="Q795" s="14" t="s">
        <v>255</v>
      </c>
      <c r="R795" s="14" t="s">
        <v>255</v>
      </c>
      <c r="S795" s="17">
        <v>11.5</v>
      </c>
      <c r="T795" s="14" t="s">
        <v>256</v>
      </c>
      <c r="U795" s="14" t="s">
        <v>257</v>
      </c>
      <c r="V795" s="14" t="s">
        <v>112</v>
      </c>
      <c r="W795" s="18">
        <v>92000000</v>
      </c>
      <c r="X795" s="18">
        <v>92000000</v>
      </c>
      <c r="Y795" s="19" t="s">
        <v>339</v>
      </c>
      <c r="Z795" s="19" t="s">
        <v>258</v>
      </c>
      <c r="AA795" s="14" t="s">
        <v>971</v>
      </c>
      <c r="AB795" s="14" t="s">
        <v>972</v>
      </c>
      <c r="AC795" s="14">
        <v>6012220603</v>
      </c>
      <c r="AD795" s="14" t="s">
        <v>973</v>
      </c>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c r="BC795" s="82"/>
      <c r="BD795" s="82"/>
      <c r="BE795" s="83"/>
      <c r="BF795" s="83"/>
      <c r="BG795" s="14" t="str">
        <f ca="1">IFERROR(__xludf.DUMMYFUNCTION("REGEXEXTRACT(O789,""^\S+\s(.+)$"")"),"Prestación de servicios profesionales de estructuración gráfica de documentos, diseño digital, presentaciones de diversa índole que sean requeridos por el área de comunicaciones")</f>
        <v>Prestación de servicios profesionales de estructuración gráfica de documentos, diseño digital, presentaciones de diversa índole que sean requeridos por el área de comunicaciones</v>
      </c>
      <c r="BH795" s="24"/>
      <c r="BI795" s="24"/>
      <c r="BJ795" s="24"/>
      <c r="BK795" s="24">
        <v>4000000</v>
      </c>
      <c r="BL795" s="24"/>
      <c r="BM795" s="24">
        <v>8000000</v>
      </c>
      <c r="BN795" s="24"/>
      <c r="BO795" s="24">
        <v>8000000</v>
      </c>
      <c r="BP795" s="24"/>
      <c r="BQ795" s="24">
        <v>8000000</v>
      </c>
      <c r="BR795" s="24"/>
      <c r="BS795" s="24">
        <v>8000000</v>
      </c>
      <c r="BT795" s="24"/>
      <c r="BU795" s="24">
        <v>8000000</v>
      </c>
      <c r="BV795" s="24"/>
      <c r="BW795" s="24">
        <v>8000000</v>
      </c>
      <c r="BX795" s="24"/>
      <c r="BY795" s="24">
        <v>8000000</v>
      </c>
      <c r="BZ795" s="24"/>
      <c r="CA795" s="24">
        <v>8000000</v>
      </c>
      <c r="CB795" s="24"/>
      <c r="CC795" s="24">
        <v>8000000</v>
      </c>
      <c r="CD795" s="24"/>
      <c r="CE795" s="24">
        <v>16000000</v>
      </c>
      <c r="CF795" s="28"/>
      <c r="CG795" s="28"/>
      <c r="CH795" s="25">
        <f t="shared" ref="CH795:CI795" si="1536">BH795+BJ795+BL795+BN795+BP795+BR795+BT795+BV795+BX795+BZ795+CB795+CD795+CF795</f>
        <v>0</v>
      </c>
      <c r="CI795" s="25">
        <f t="shared" si="1536"/>
        <v>92000000</v>
      </c>
      <c r="CJ795" s="26">
        <f t="shared" si="1526"/>
        <v>92000000</v>
      </c>
      <c r="CK795" s="26">
        <f t="shared" si="1527"/>
        <v>0</v>
      </c>
    </row>
    <row r="796" spans="1:89" ht="90" customHeight="1" x14ac:dyDescent="0.3">
      <c r="A796" s="13" t="s">
        <v>1891</v>
      </c>
      <c r="B796" s="14" t="s">
        <v>30</v>
      </c>
      <c r="C796" s="15" t="s">
        <v>258</v>
      </c>
      <c r="D796" s="14" t="s">
        <v>258</v>
      </c>
      <c r="E796" s="13" t="s">
        <v>250</v>
      </c>
      <c r="F796" s="13" t="s">
        <v>250</v>
      </c>
      <c r="G796" s="14">
        <v>68</v>
      </c>
      <c r="H796" s="13" t="s">
        <v>2053</v>
      </c>
      <c r="I796" s="15" t="s">
        <v>1893</v>
      </c>
      <c r="J796" s="14" t="s">
        <v>1893</v>
      </c>
      <c r="K796" s="15" t="s">
        <v>1893</v>
      </c>
      <c r="L796" s="14">
        <v>80111620</v>
      </c>
      <c r="M796" s="14" t="s">
        <v>2045</v>
      </c>
      <c r="N796" s="14" t="s">
        <v>253</v>
      </c>
      <c r="O796" s="15" t="s">
        <v>2054</v>
      </c>
      <c r="P796" s="14" t="s">
        <v>255</v>
      </c>
      <c r="Q796" s="14" t="s">
        <v>255</v>
      </c>
      <c r="R796" s="14" t="s">
        <v>255</v>
      </c>
      <c r="S796" s="17">
        <v>11.5</v>
      </c>
      <c r="T796" s="14" t="s">
        <v>256</v>
      </c>
      <c r="U796" s="14" t="s">
        <v>257</v>
      </c>
      <c r="V796" s="14" t="s">
        <v>112</v>
      </c>
      <c r="W796" s="18">
        <v>92000000</v>
      </c>
      <c r="X796" s="18">
        <v>92000000</v>
      </c>
      <c r="Y796" s="19" t="s">
        <v>339</v>
      </c>
      <c r="Z796" s="19" t="s">
        <v>258</v>
      </c>
      <c r="AA796" s="14" t="s">
        <v>971</v>
      </c>
      <c r="AB796" s="14" t="s">
        <v>972</v>
      </c>
      <c r="AC796" s="14">
        <v>6012220604</v>
      </c>
      <c r="AD796" s="14" t="s">
        <v>973</v>
      </c>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c r="BC796" s="82"/>
      <c r="BD796" s="82"/>
      <c r="BE796" s="83"/>
      <c r="BF796" s="83"/>
      <c r="BG796" s="14" t="str">
        <f ca="1">IFERROR(__xludf.DUMMYFUNCTION("REGEXEXTRACT(O790,""^\S+\s(.+)$"")"),"Prestar servicios profesionales para la creación de contenido, divulgación y socialización de los proyectos, planes y gestión de la UPME.")</f>
        <v>Prestar servicios profesionales para la creación de contenido, divulgación y socialización de los proyectos, planes y gestión de la UPME.</v>
      </c>
      <c r="BH796" s="27"/>
      <c r="BI796" s="27"/>
      <c r="BJ796" s="27"/>
      <c r="BK796" s="24">
        <v>4000000</v>
      </c>
      <c r="BL796" s="27"/>
      <c r="BM796" s="24">
        <v>8000000</v>
      </c>
      <c r="BN796" s="27"/>
      <c r="BO796" s="24">
        <v>8000000</v>
      </c>
      <c r="BP796" s="27"/>
      <c r="BQ796" s="24">
        <v>8000000</v>
      </c>
      <c r="BR796" s="27"/>
      <c r="BS796" s="24">
        <v>8000000</v>
      </c>
      <c r="BT796" s="27"/>
      <c r="BU796" s="24">
        <v>8000000</v>
      </c>
      <c r="BV796" s="27"/>
      <c r="BW796" s="24">
        <v>8000000</v>
      </c>
      <c r="BX796" s="27"/>
      <c r="BY796" s="24">
        <v>8000000</v>
      </c>
      <c r="BZ796" s="27"/>
      <c r="CA796" s="24">
        <v>8000000</v>
      </c>
      <c r="CB796" s="27"/>
      <c r="CC796" s="24">
        <v>8000000</v>
      </c>
      <c r="CD796" s="27"/>
      <c r="CE796" s="24">
        <v>16000000</v>
      </c>
      <c r="CF796" s="28"/>
      <c r="CG796" s="28"/>
      <c r="CH796" s="25">
        <f t="shared" ref="CH796:CI796" si="1537">BH796+BJ796+BL796+BN796+BP796+BR796+BT796+BV796+BX796+BZ796+CB796+CD796+CF796</f>
        <v>0</v>
      </c>
      <c r="CI796" s="25">
        <f t="shared" si="1537"/>
        <v>92000000</v>
      </c>
      <c r="CJ796" s="26">
        <f t="shared" si="1526"/>
        <v>92000000</v>
      </c>
      <c r="CK796" s="26">
        <f t="shared" si="1527"/>
        <v>0</v>
      </c>
    </row>
    <row r="797" spans="1:89" ht="90" customHeight="1" x14ac:dyDescent="0.3">
      <c r="A797" s="13" t="s">
        <v>1891</v>
      </c>
      <c r="B797" s="14" t="s">
        <v>30</v>
      </c>
      <c r="C797" s="15" t="s">
        <v>258</v>
      </c>
      <c r="D797" s="14" t="s">
        <v>258</v>
      </c>
      <c r="E797" s="13" t="s">
        <v>250</v>
      </c>
      <c r="F797" s="13" t="s">
        <v>250</v>
      </c>
      <c r="G797" s="14">
        <v>1</v>
      </c>
      <c r="H797" s="13" t="s">
        <v>2055</v>
      </c>
      <c r="I797" s="15" t="s">
        <v>1893</v>
      </c>
      <c r="J797" s="14" t="s">
        <v>1893</v>
      </c>
      <c r="K797" s="15" t="s">
        <v>1893</v>
      </c>
      <c r="L797" s="14">
        <v>80111620</v>
      </c>
      <c r="M797" s="14" t="s">
        <v>2045</v>
      </c>
      <c r="N797" s="14" t="s">
        <v>253</v>
      </c>
      <c r="O797" s="15" t="s">
        <v>2056</v>
      </c>
      <c r="P797" s="14" t="s">
        <v>255</v>
      </c>
      <c r="Q797" s="14" t="s">
        <v>255</v>
      </c>
      <c r="R797" s="14" t="s">
        <v>255</v>
      </c>
      <c r="S797" s="17">
        <v>11.5</v>
      </c>
      <c r="T797" s="14" t="s">
        <v>256</v>
      </c>
      <c r="U797" s="14" t="s">
        <v>257</v>
      </c>
      <c r="V797" s="14" t="s">
        <v>112</v>
      </c>
      <c r="W797" s="18">
        <v>57500000</v>
      </c>
      <c r="X797" s="18">
        <v>57500000</v>
      </c>
      <c r="Y797" s="19" t="s">
        <v>339</v>
      </c>
      <c r="Z797" s="19" t="s">
        <v>258</v>
      </c>
      <c r="AA797" s="14" t="s">
        <v>971</v>
      </c>
      <c r="AB797" s="14" t="s">
        <v>972</v>
      </c>
      <c r="AC797" s="14">
        <v>6012220605</v>
      </c>
      <c r="AD797" s="14" t="s">
        <v>973</v>
      </c>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c r="BC797" s="82"/>
      <c r="BD797" s="82"/>
      <c r="BE797" s="83"/>
      <c r="BF797" s="83"/>
      <c r="BG797" s="14" t="str">
        <f ca="1">IFERROR(__xludf.DUMMYFUNCTION("REGEXEXTRACT(O791,""^\S+\s(.+)$"")"),"Prestar servicios de apoyo a la gestión para la UPME en la creación de contenidos audiovisuales destinados a los diferentes canales de comunicación de la entidad, en atención a sus necesidades institucionales.")</f>
        <v>Prestar servicios de apoyo a la gestión para la UPME en la creación de contenidos audiovisuales destinados a los diferentes canales de comunicación de la entidad, en atención a sus necesidades institucionales.</v>
      </c>
      <c r="BH797" s="27"/>
      <c r="BI797" s="27"/>
      <c r="BJ797" s="27"/>
      <c r="BK797" s="24">
        <v>2500000</v>
      </c>
      <c r="BL797" s="27"/>
      <c r="BM797" s="24">
        <v>5000000</v>
      </c>
      <c r="BN797" s="27"/>
      <c r="BO797" s="24">
        <v>5000000</v>
      </c>
      <c r="BP797" s="27"/>
      <c r="BQ797" s="24">
        <v>5000000</v>
      </c>
      <c r="BR797" s="27"/>
      <c r="BS797" s="24">
        <v>5000000</v>
      </c>
      <c r="BT797" s="27"/>
      <c r="BU797" s="24">
        <v>5000000</v>
      </c>
      <c r="BV797" s="27"/>
      <c r="BW797" s="24">
        <v>5000000</v>
      </c>
      <c r="BX797" s="27"/>
      <c r="BY797" s="24">
        <v>5000000</v>
      </c>
      <c r="BZ797" s="27"/>
      <c r="CA797" s="24">
        <v>5000000</v>
      </c>
      <c r="CB797" s="27"/>
      <c r="CC797" s="24">
        <v>5000000</v>
      </c>
      <c r="CD797" s="27"/>
      <c r="CE797" s="24">
        <v>10000000</v>
      </c>
      <c r="CF797" s="28"/>
      <c r="CG797" s="28"/>
      <c r="CH797" s="25">
        <f t="shared" ref="CH797:CI797" si="1538">BH797+BJ797+BL797+BN797+BP797+BR797+BT797+BV797+BX797+BZ797+CB797+CD797+CF797</f>
        <v>0</v>
      </c>
      <c r="CI797" s="25">
        <f t="shared" si="1538"/>
        <v>57500000</v>
      </c>
      <c r="CJ797" s="26">
        <f t="shared" si="1526"/>
        <v>57500000</v>
      </c>
      <c r="CK797" s="26">
        <f t="shared" si="1527"/>
        <v>0</v>
      </c>
    </row>
    <row r="798" spans="1:89" ht="90" customHeight="1" x14ac:dyDescent="0.3">
      <c r="A798" s="13" t="s">
        <v>1891</v>
      </c>
      <c r="B798" s="14" t="s">
        <v>30</v>
      </c>
      <c r="C798" s="15" t="s">
        <v>258</v>
      </c>
      <c r="D798" s="14" t="s">
        <v>258</v>
      </c>
      <c r="E798" s="13" t="s">
        <v>250</v>
      </c>
      <c r="F798" s="13" t="s">
        <v>250</v>
      </c>
      <c r="G798" s="14">
        <v>68</v>
      </c>
      <c r="H798" s="13" t="s">
        <v>2057</v>
      </c>
      <c r="I798" s="15" t="s">
        <v>1893</v>
      </c>
      <c r="J798" s="14" t="s">
        <v>1893</v>
      </c>
      <c r="K798" s="15" t="s">
        <v>1893</v>
      </c>
      <c r="L798" s="14">
        <v>80111620</v>
      </c>
      <c r="M798" s="14" t="s">
        <v>2045</v>
      </c>
      <c r="N798" s="14" t="s">
        <v>253</v>
      </c>
      <c r="O798" s="15" t="s">
        <v>2058</v>
      </c>
      <c r="P798" s="14" t="s">
        <v>255</v>
      </c>
      <c r="Q798" s="14" t="s">
        <v>255</v>
      </c>
      <c r="R798" s="14" t="s">
        <v>255</v>
      </c>
      <c r="S798" s="17">
        <v>11.4</v>
      </c>
      <c r="T798" s="14" t="s">
        <v>256</v>
      </c>
      <c r="U798" s="14" t="s">
        <v>257</v>
      </c>
      <c r="V798" s="14" t="s">
        <v>112</v>
      </c>
      <c r="W798" s="18">
        <v>57000000</v>
      </c>
      <c r="X798" s="18">
        <v>57000000</v>
      </c>
      <c r="Y798" s="19" t="s">
        <v>339</v>
      </c>
      <c r="Z798" s="19" t="s">
        <v>258</v>
      </c>
      <c r="AA798" s="14" t="s">
        <v>971</v>
      </c>
      <c r="AB798" s="14" t="s">
        <v>972</v>
      </c>
      <c r="AC798" s="14">
        <v>6012220606</v>
      </c>
      <c r="AD798" s="14" t="s">
        <v>973</v>
      </c>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c r="BC798" s="82"/>
      <c r="BD798" s="82"/>
      <c r="BE798" s="83"/>
      <c r="BF798" s="83"/>
      <c r="BG798" s="14" t="str">
        <f ca="1">IFERROR(__xludf.DUMMYFUNCTION("REGEXEXTRACT(O792,""^\S+\s(.+)$"")"),"Prestación de servicios de apoyo a la gestión para contribuir en la realización de contenido multimedia y la consolidación del banco de contenido para los portales interactivos en desarrollo de la entidad")</f>
        <v>Prestación de servicios de apoyo a la gestión para contribuir en la realización de contenido multimedia y la consolidación del banco de contenido para los portales interactivos en desarrollo de la entidad</v>
      </c>
      <c r="BH798" s="27"/>
      <c r="BI798" s="27"/>
      <c r="BJ798" s="27"/>
      <c r="BK798" s="24">
        <v>2000000</v>
      </c>
      <c r="BL798" s="27"/>
      <c r="BM798" s="24">
        <v>5000000</v>
      </c>
      <c r="BN798" s="27"/>
      <c r="BO798" s="24">
        <v>5000000</v>
      </c>
      <c r="BP798" s="27"/>
      <c r="BQ798" s="24">
        <v>5000000</v>
      </c>
      <c r="BR798" s="27"/>
      <c r="BS798" s="24">
        <v>5000000</v>
      </c>
      <c r="BT798" s="27"/>
      <c r="BU798" s="24">
        <v>5000000</v>
      </c>
      <c r="BV798" s="27"/>
      <c r="BW798" s="24">
        <v>5000000</v>
      </c>
      <c r="BX798" s="27"/>
      <c r="BY798" s="24">
        <v>5000000</v>
      </c>
      <c r="BZ798" s="27"/>
      <c r="CA798" s="24">
        <v>5000000</v>
      </c>
      <c r="CB798" s="27"/>
      <c r="CC798" s="24">
        <v>5000000</v>
      </c>
      <c r="CD798" s="27"/>
      <c r="CE798" s="24">
        <v>10000000</v>
      </c>
      <c r="CF798" s="28"/>
      <c r="CG798" s="28"/>
      <c r="CH798" s="25">
        <f t="shared" ref="CH798:CI798" si="1539">BH798+BJ798+BL798+BN798+BP798+BR798+BT798+BV798+BX798+BZ798+CB798+CD798+CF798</f>
        <v>0</v>
      </c>
      <c r="CI798" s="25">
        <f t="shared" si="1539"/>
        <v>57000000</v>
      </c>
      <c r="CJ798" s="26">
        <f t="shared" si="1526"/>
        <v>57000000</v>
      </c>
      <c r="CK798" s="26">
        <f t="shared" si="1527"/>
        <v>0</v>
      </c>
    </row>
    <row r="799" spans="1:89" ht="90" customHeight="1" x14ac:dyDescent="0.3">
      <c r="A799" s="13" t="s">
        <v>1891</v>
      </c>
      <c r="B799" s="14" t="s">
        <v>30</v>
      </c>
      <c r="C799" s="15" t="s">
        <v>258</v>
      </c>
      <c r="D799" s="14" t="s">
        <v>258</v>
      </c>
      <c r="E799" s="13" t="s">
        <v>250</v>
      </c>
      <c r="F799" s="13" t="s">
        <v>250</v>
      </c>
      <c r="G799" s="14">
        <v>68</v>
      </c>
      <c r="H799" s="13" t="s">
        <v>2059</v>
      </c>
      <c r="I799" s="15" t="s">
        <v>1893</v>
      </c>
      <c r="J799" s="14" t="s">
        <v>1893</v>
      </c>
      <c r="K799" s="15" t="s">
        <v>1893</v>
      </c>
      <c r="L799" s="14">
        <v>80111620</v>
      </c>
      <c r="M799" s="14" t="s">
        <v>2045</v>
      </c>
      <c r="N799" s="14" t="s">
        <v>253</v>
      </c>
      <c r="O799" s="15" t="s">
        <v>2060</v>
      </c>
      <c r="P799" s="14" t="s">
        <v>255</v>
      </c>
      <c r="Q799" s="14" t="s">
        <v>255</v>
      </c>
      <c r="R799" s="14" t="s">
        <v>255</v>
      </c>
      <c r="S799" s="17">
        <v>11.5</v>
      </c>
      <c r="T799" s="14" t="s">
        <v>256</v>
      </c>
      <c r="U799" s="14" t="s">
        <v>257</v>
      </c>
      <c r="V799" s="14" t="s">
        <v>112</v>
      </c>
      <c r="W799" s="18">
        <v>69000000</v>
      </c>
      <c r="X799" s="18">
        <v>69000000</v>
      </c>
      <c r="Y799" s="19" t="s">
        <v>339</v>
      </c>
      <c r="Z799" s="19" t="s">
        <v>258</v>
      </c>
      <c r="AA799" s="14" t="s">
        <v>971</v>
      </c>
      <c r="AB799" s="14" t="s">
        <v>972</v>
      </c>
      <c r="AC799" s="14">
        <v>6012220601</v>
      </c>
      <c r="AD799" s="14" t="s">
        <v>973</v>
      </c>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3"/>
      <c r="BF799" s="83"/>
      <c r="BG799" s="14" t="str">
        <f ca="1">IFERROR(__xludf.DUMMYFUNCTION("REGEXEXTRACT(O793,""^\S+\s(.+)$"")"),"Prestar servicios profesionales para la gestión y fortalecimiento de la presencia digital, mediante la elaboración de contenido y su divulgación para la implementación de estrategias de comunicación digital, campañas de posicionamiento institucional y adm"&amp;"inistración de sus canales y comunidades en redes sociales de las diferentes subdirecciones y Dirección General.")</f>
        <v>Prestar servicios profesionales para la gestión y fortalecimiento de la presencia digital, mediante la elaboración de contenido y su divulgación para la implementación de estrategias de comunicación digital, campañas de posicionamiento institucional y administración de sus canales y comunidades en redes sociales de las diferentes subdirecciones y Dirección General.</v>
      </c>
      <c r="BH799" s="27"/>
      <c r="BI799" s="27"/>
      <c r="BJ799" s="27"/>
      <c r="BK799" s="24">
        <v>3000000</v>
      </c>
      <c r="BL799" s="27"/>
      <c r="BM799" s="24">
        <v>6000000</v>
      </c>
      <c r="BN799" s="27"/>
      <c r="BO799" s="24">
        <v>6000000</v>
      </c>
      <c r="BP799" s="27"/>
      <c r="BQ799" s="24">
        <v>6000000</v>
      </c>
      <c r="BR799" s="27"/>
      <c r="BS799" s="24">
        <v>6000000</v>
      </c>
      <c r="BT799" s="27"/>
      <c r="BU799" s="24">
        <v>6000000</v>
      </c>
      <c r="BV799" s="27"/>
      <c r="BW799" s="24">
        <v>6000000</v>
      </c>
      <c r="BX799" s="27"/>
      <c r="BY799" s="24">
        <v>6000000</v>
      </c>
      <c r="BZ799" s="27"/>
      <c r="CA799" s="24">
        <v>6000000</v>
      </c>
      <c r="CB799" s="27"/>
      <c r="CC799" s="24">
        <v>6000000</v>
      </c>
      <c r="CD799" s="27"/>
      <c r="CE799" s="24">
        <v>12000000</v>
      </c>
      <c r="CF799" s="28"/>
      <c r="CG799" s="28"/>
      <c r="CH799" s="25">
        <f t="shared" ref="CH799:CI799" si="1540">BH799+BJ799+BL799+BN799+BP799+BR799+BT799+BV799+BX799+BZ799+CB799+CD799+CF799</f>
        <v>0</v>
      </c>
      <c r="CI799" s="25">
        <f t="shared" si="1540"/>
        <v>69000000</v>
      </c>
      <c r="CJ799" s="26">
        <f t="shared" si="1526"/>
        <v>69000000</v>
      </c>
      <c r="CK799" s="26">
        <f t="shared" si="1527"/>
        <v>0</v>
      </c>
    </row>
    <row r="800" spans="1:89" ht="90" customHeight="1" x14ac:dyDescent="0.3">
      <c r="A800" s="13" t="s">
        <v>1891</v>
      </c>
      <c r="B800" s="14" t="s">
        <v>30</v>
      </c>
      <c r="C800" s="15" t="s">
        <v>258</v>
      </c>
      <c r="D800" s="14" t="s">
        <v>258</v>
      </c>
      <c r="E800" s="13" t="s">
        <v>250</v>
      </c>
      <c r="F800" s="13" t="s">
        <v>250</v>
      </c>
      <c r="G800" s="14">
        <v>68</v>
      </c>
      <c r="H800" s="13" t="s">
        <v>2061</v>
      </c>
      <c r="I800" s="15" t="s">
        <v>1893</v>
      </c>
      <c r="J800" s="14" t="s">
        <v>1893</v>
      </c>
      <c r="K800" s="15" t="s">
        <v>1893</v>
      </c>
      <c r="L800" s="14">
        <v>80111620</v>
      </c>
      <c r="M800" s="14" t="s">
        <v>2045</v>
      </c>
      <c r="N800" s="14" t="s">
        <v>253</v>
      </c>
      <c r="O800" s="15" t="s">
        <v>2062</v>
      </c>
      <c r="P800" s="14" t="s">
        <v>255</v>
      </c>
      <c r="Q800" s="14" t="s">
        <v>255</v>
      </c>
      <c r="R800" s="14" t="s">
        <v>255</v>
      </c>
      <c r="S800" s="17">
        <v>11.5</v>
      </c>
      <c r="T800" s="14" t="s">
        <v>256</v>
      </c>
      <c r="U800" s="14" t="s">
        <v>257</v>
      </c>
      <c r="V800" s="14" t="s">
        <v>112</v>
      </c>
      <c r="W800" s="18">
        <v>74750000</v>
      </c>
      <c r="X800" s="18">
        <v>74750000</v>
      </c>
      <c r="Y800" s="19" t="s">
        <v>339</v>
      </c>
      <c r="Z800" s="19" t="s">
        <v>258</v>
      </c>
      <c r="AA800" s="14" t="s">
        <v>971</v>
      </c>
      <c r="AB800" s="14" t="s">
        <v>972</v>
      </c>
      <c r="AC800" s="14">
        <v>6012220601</v>
      </c>
      <c r="AD800" s="14" t="s">
        <v>973</v>
      </c>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c r="BC800" s="82"/>
      <c r="BD800" s="82"/>
      <c r="BE800" s="83"/>
      <c r="BF800" s="83"/>
      <c r="BG800" s="14" t="str">
        <f ca="1">IFERROR(__xludf.DUMMYFUNCTION("REGEXEXTRACT(O794,""^\S+\s(.+)$"")"),"Prestar servicios profesionales de apoyo al área de comunicaciones en el diseño, desarrollo y producción de materiales audiovisuales, animaciones, piezas gráficas y contenidos digitales, orientados a fortalecer la identidad visual institucional y la divul"&amp;"gación estratégica de la información técnica y misional de la UPME.")</f>
        <v>Prestar servicios profesionales de apoyo al área de comunicaciones en el diseño, desarrollo y producción de materiales audiovisuales, animaciones, piezas gráficas y contenidos digitales, orientados a fortalecer la identidad visual institucional y la divulgación estratégica de la información técnica y misional de la UPME.</v>
      </c>
      <c r="BH800" s="27"/>
      <c r="BI800" s="27"/>
      <c r="BJ800" s="27"/>
      <c r="BK800" s="24">
        <v>3250000</v>
      </c>
      <c r="BL800" s="27"/>
      <c r="BM800" s="24">
        <v>6500000</v>
      </c>
      <c r="BN800" s="27"/>
      <c r="BO800" s="24">
        <v>6500000</v>
      </c>
      <c r="BP800" s="27"/>
      <c r="BQ800" s="24">
        <v>6500000</v>
      </c>
      <c r="BR800" s="27"/>
      <c r="BS800" s="24">
        <v>6500000</v>
      </c>
      <c r="BT800" s="27"/>
      <c r="BU800" s="24">
        <v>6500000</v>
      </c>
      <c r="BV800" s="27"/>
      <c r="BW800" s="24">
        <v>6500000</v>
      </c>
      <c r="BX800" s="27"/>
      <c r="BY800" s="24">
        <v>6500000</v>
      </c>
      <c r="BZ800" s="27"/>
      <c r="CA800" s="24">
        <v>6500000</v>
      </c>
      <c r="CB800" s="27"/>
      <c r="CC800" s="24">
        <v>6500000</v>
      </c>
      <c r="CD800" s="27"/>
      <c r="CE800" s="24">
        <v>13000000</v>
      </c>
      <c r="CF800" s="28"/>
      <c r="CG800" s="28"/>
      <c r="CH800" s="25">
        <f t="shared" ref="CH800:CI800" si="1541">BH800+BJ800+BL800+BN800+BP800+BR800+BT800+BV800+BX800+BZ800+CB800+CD800+CF800</f>
        <v>0</v>
      </c>
      <c r="CI800" s="25">
        <f t="shared" si="1541"/>
        <v>74750000</v>
      </c>
      <c r="CJ800" s="26">
        <f t="shared" si="1526"/>
        <v>74750000</v>
      </c>
      <c r="CK800" s="26">
        <f t="shared" si="1527"/>
        <v>0</v>
      </c>
    </row>
    <row r="801" spans="1:89" ht="90" customHeight="1" x14ac:dyDescent="0.3">
      <c r="A801" s="13" t="s">
        <v>1891</v>
      </c>
      <c r="B801" s="14" t="s">
        <v>30</v>
      </c>
      <c r="C801" s="15" t="s">
        <v>258</v>
      </c>
      <c r="D801" s="14" t="s">
        <v>258</v>
      </c>
      <c r="E801" s="13" t="s">
        <v>250</v>
      </c>
      <c r="F801" s="13" t="s">
        <v>250</v>
      </c>
      <c r="G801" s="14">
        <v>68</v>
      </c>
      <c r="H801" s="13" t="s">
        <v>2063</v>
      </c>
      <c r="I801" s="15" t="s">
        <v>1893</v>
      </c>
      <c r="J801" s="14" t="s">
        <v>1893</v>
      </c>
      <c r="K801" s="15" t="s">
        <v>1893</v>
      </c>
      <c r="L801" s="14">
        <v>80111620</v>
      </c>
      <c r="M801" s="14" t="s">
        <v>2045</v>
      </c>
      <c r="N801" s="14" t="s">
        <v>253</v>
      </c>
      <c r="O801" s="15" t="s">
        <v>2064</v>
      </c>
      <c r="P801" s="14" t="s">
        <v>614</v>
      </c>
      <c r="Q801" s="14" t="s">
        <v>614</v>
      </c>
      <c r="R801" s="14" t="s">
        <v>614</v>
      </c>
      <c r="S801" s="17">
        <v>5</v>
      </c>
      <c r="T801" s="14" t="s">
        <v>256</v>
      </c>
      <c r="U801" s="14" t="s">
        <v>257</v>
      </c>
      <c r="V801" s="14" t="s">
        <v>112</v>
      </c>
      <c r="W801" s="18">
        <v>55000000</v>
      </c>
      <c r="X801" s="18">
        <v>55000000</v>
      </c>
      <c r="Y801" s="19" t="s">
        <v>339</v>
      </c>
      <c r="Z801" s="19" t="s">
        <v>258</v>
      </c>
      <c r="AA801" s="14" t="s">
        <v>971</v>
      </c>
      <c r="AB801" s="14" t="s">
        <v>972</v>
      </c>
      <c r="AC801" s="14">
        <v>6012220601</v>
      </c>
      <c r="AD801" s="14" t="s">
        <v>973</v>
      </c>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c r="BC801" s="82"/>
      <c r="BD801" s="82"/>
      <c r="BE801" s="83"/>
      <c r="BF801" s="83"/>
      <c r="BG801" s="14" t="str">
        <f ca="1">IFERROR(__xludf.DUMMYFUNCTION("REGEXEXTRACT(O795,""^\S+\s(.+)$"")"),"Prestar los servicios profesionales para la formulación, actualización y seguimiento a la ejecución presupuestal, procesos contractuales, planes institucionales y proyectos de inversión de la Unidad de Planeación Minero Energética asignados, así como los "&amp;"relacionados con proyectos de Fuentes No Convencionales de Energía, Gestión Eficiente de la Energía e Hidrógeno.")</f>
        <v>Prestar los servicios profesionales para la formulación, actualización y seguimiento a la ejecución presupuestal, procesos contractuales, planes institucionales y proyectos de inversión de la Unidad de Planeación Minero Energética asignados, así como los relacionados con proyectos de Fuentes No Convencionales de Energía, Gestión Eficiente de la Energía e Hidrógeno.</v>
      </c>
      <c r="BH801" s="27"/>
      <c r="BI801" s="27"/>
      <c r="BJ801" s="27"/>
      <c r="BK801" s="27"/>
      <c r="BL801" s="27"/>
      <c r="BM801" s="27"/>
      <c r="BN801" s="27"/>
      <c r="BO801" s="27"/>
      <c r="BP801" s="27"/>
      <c r="BQ801" s="27"/>
      <c r="BR801" s="27"/>
      <c r="BS801" s="27"/>
      <c r="BT801" s="24">
        <v>55000000</v>
      </c>
      <c r="BU801" s="27"/>
      <c r="BV801" s="27"/>
      <c r="BW801" s="27"/>
      <c r="BX801" s="27"/>
      <c r="BY801" s="24">
        <v>11000000</v>
      </c>
      <c r="BZ801" s="27"/>
      <c r="CA801" s="24">
        <v>11000000</v>
      </c>
      <c r="CB801" s="27"/>
      <c r="CC801" s="24">
        <v>11000000</v>
      </c>
      <c r="CD801" s="27"/>
      <c r="CE801" s="24">
        <v>22000000</v>
      </c>
      <c r="CF801" s="28"/>
      <c r="CG801" s="28"/>
      <c r="CH801" s="25">
        <f t="shared" ref="CH801:CI801" si="1542">BH801+BJ801+BL801+BN801+BP801+BR801+BT801+BV801+BX801+BZ801+CB801+CD801+CF801</f>
        <v>55000000</v>
      </c>
      <c r="CI801" s="25">
        <f t="shared" si="1542"/>
        <v>55000000</v>
      </c>
      <c r="CJ801" s="26">
        <f t="shared" si="1526"/>
        <v>0</v>
      </c>
      <c r="CK801" s="26">
        <f t="shared" si="1527"/>
        <v>0</v>
      </c>
    </row>
    <row r="802" spans="1:89" ht="90" customHeight="1" x14ac:dyDescent="0.3">
      <c r="A802" s="13" t="s">
        <v>1891</v>
      </c>
      <c r="B802" s="14" t="s">
        <v>30</v>
      </c>
      <c r="C802" s="15" t="s">
        <v>258</v>
      </c>
      <c r="D802" s="14" t="s">
        <v>258</v>
      </c>
      <c r="E802" s="13" t="s">
        <v>250</v>
      </c>
      <c r="F802" s="13" t="s">
        <v>250</v>
      </c>
      <c r="G802" s="14">
        <v>68</v>
      </c>
      <c r="H802" s="13" t="s">
        <v>2065</v>
      </c>
      <c r="I802" s="15" t="s">
        <v>1893</v>
      </c>
      <c r="J802" s="14" t="s">
        <v>1893</v>
      </c>
      <c r="K802" s="15" t="s">
        <v>1893</v>
      </c>
      <c r="L802" s="14">
        <v>80111620</v>
      </c>
      <c r="M802" s="14" t="s">
        <v>2045</v>
      </c>
      <c r="N802" s="14" t="s">
        <v>253</v>
      </c>
      <c r="O802" s="15" t="s">
        <v>2066</v>
      </c>
      <c r="P802" s="14" t="s">
        <v>255</v>
      </c>
      <c r="Q802" s="14" t="s">
        <v>255</v>
      </c>
      <c r="R802" s="14" t="s">
        <v>255</v>
      </c>
      <c r="S802" s="17">
        <v>11.5</v>
      </c>
      <c r="T802" s="14" t="s">
        <v>256</v>
      </c>
      <c r="U802" s="14" t="s">
        <v>257</v>
      </c>
      <c r="V802" s="14" t="s">
        <v>112</v>
      </c>
      <c r="W802" s="18">
        <v>92000000</v>
      </c>
      <c r="X802" s="18">
        <v>92000000</v>
      </c>
      <c r="Y802" s="19" t="s">
        <v>339</v>
      </c>
      <c r="Z802" s="19" t="s">
        <v>258</v>
      </c>
      <c r="AA802" s="14" t="s">
        <v>971</v>
      </c>
      <c r="AB802" s="14" t="s">
        <v>972</v>
      </c>
      <c r="AC802" s="14">
        <v>6012220601</v>
      </c>
      <c r="AD802" s="14" t="s">
        <v>973</v>
      </c>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c r="BC802" s="82"/>
      <c r="BD802" s="82"/>
      <c r="BE802" s="83"/>
      <c r="BF802" s="83"/>
      <c r="BG802" s="14" t="str">
        <f ca="1">IFERROR(__xludf.DUMMYFUNCTION("REGEXEXTRACT(O796,""^\S+\s(.+)$"")"),"Prestar servicios profesionales en la ejecución y seguimiento a las acciones de cooperación relacionadas con la implementación y la actualización de la Estrategia Institucional de Cooperación Internacional de la UPME.")</f>
        <v>Prestar servicios profesionales en la ejecución y seguimiento a las acciones de cooperación relacionadas con la implementación y la actualización de la Estrategia Institucional de Cooperación Internacional de la UPME.</v>
      </c>
      <c r="BH802" s="27"/>
      <c r="BI802" s="27"/>
      <c r="BJ802" s="27"/>
      <c r="BK802" s="24">
        <v>4000000</v>
      </c>
      <c r="BL802" s="27"/>
      <c r="BM802" s="24">
        <v>8000000</v>
      </c>
      <c r="BN802" s="27"/>
      <c r="BO802" s="24">
        <v>8000000</v>
      </c>
      <c r="BP802" s="27"/>
      <c r="BQ802" s="24">
        <v>8000000</v>
      </c>
      <c r="BR802" s="27"/>
      <c r="BS802" s="24">
        <v>8000000</v>
      </c>
      <c r="BT802" s="27"/>
      <c r="BU802" s="24">
        <v>8000000</v>
      </c>
      <c r="BV802" s="27"/>
      <c r="BW802" s="24">
        <v>8000000</v>
      </c>
      <c r="BX802" s="27"/>
      <c r="BY802" s="24">
        <v>8000000</v>
      </c>
      <c r="BZ802" s="27"/>
      <c r="CA802" s="24">
        <v>8000000</v>
      </c>
      <c r="CB802" s="27"/>
      <c r="CC802" s="24">
        <v>8000000</v>
      </c>
      <c r="CD802" s="27"/>
      <c r="CE802" s="24">
        <v>16000000</v>
      </c>
      <c r="CF802" s="28"/>
      <c r="CG802" s="28"/>
      <c r="CH802" s="25">
        <f t="shared" ref="CH802:CI802" si="1543">BH802+BJ802+BL802+BN802+BP802+BR802+BT802+BV802+BX802+BZ802+CB802+CD802+CF802</f>
        <v>0</v>
      </c>
      <c r="CI802" s="25">
        <f t="shared" si="1543"/>
        <v>92000000</v>
      </c>
      <c r="CJ802" s="26">
        <f t="shared" si="1526"/>
        <v>92000000</v>
      </c>
      <c r="CK802" s="26">
        <f t="shared" si="1527"/>
        <v>0</v>
      </c>
    </row>
    <row r="803" spans="1:89" ht="90" customHeight="1" x14ac:dyDescent="0.3">
      <c r="A803" s="13" t="s">
        <v>1891</v>
      </c>
      <c r="B803" s="14" t="s">
        <v>30</v>
      </c>
      <c r="C803" s="15" t="s">
        <v>258</v>
      </c>
      <c r="D803" s="14" t="s">
        <v>258</v>
      </c>
      <c r="E803" s="13" t="s">
        <v>250</v>
      </c>
      <c r="F803" s="13" t="s">
        <v>250</v>
      </c>
      <c r="G803" s="14">
        <v>68</v>
      </c>
      <c r="H803" s="13" t="s">
        <v>2067</v>
      </c>
      <c r="I803" s="15" t="s">
        <v>1893</v>
      </c>
      <c r="J803" s="14" t="s">
        <v>1893</v>
      </c>
      <c r="K803" s="15" t="s">
        <v>1893</v>
      </c>
      <c r="L803" s="14">
        <v>80111620</v>
      </c>
      <c r="M803" s="14" t="s">
        <v>2045</v>
      </c>
      <c r="N803" s="14" t="s">
        <v>253</v>
      </c>
      <c r="O803" s="15" t="s">
        <v>2068</v>
      </c>
      <c r="P803" s="14" t="s">
        <v>255</v>
      </c>
      <c r="Q803" s="14" t="s">
        <v>255</v>
      </c>
      <c r="R803" s="14" t="s">
        <v>255</v>
      </c>
      <c r="S803" s="17">
        <v>11.2</v>
      </c>
      <c r="T803" s="14" t="s">
        <v>256</v>
      </c>
      <c r="U803" s="14" t="s">
        <v>257</v>
      </c>
      <c r="V803" s="14" t="s">
        <v>112</v>
      </c>
      <c r="W803" s="18">
        <v>36792000</v>
      </c>
      <c r="X803" s="18">
        <v>36792000</v>
      </c>
      <c r="Y803" s="19" t="s">
        <v>339</v>
      </c>
      <c r="Z803" s="19" t="s">
        <v>258</v>
      </c>
      <c r="AA803" s="14" t="s">
        <v>971</v>
      </c>
      <c r="AB803" s="14" t="s">
        <v>972</v>
      </c>
      <c r="AC803" s="14">
        <v>6012220601</v>
      </c>
      <c r="AD803" s="14" t="s">
        <v>973</v>
      </c>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c r="BC803" s="82"/>
      <c r="BD803" s="82"/>
      <c r="BE803" s="83"/>
      <c r="BF803" s="83"/>
      <c r="BG803" s="14" t="str">
        <f ca="1">IFERROR(__xludf.DUMMYFUNCTION("REGEXEXTRACT(O797,""^\S+\s(.+)$"")"),"Prestar servicios profesionales en pedagogía, para apoyar en el diseño, planeación y ejecución de procesos de capacitación interna y externa, así como en la elaboración y actualización de materiales pedagógicos y recursos didácticos asociados al trámite d"&amp;"e incentivos tributarios")</f>
        <v>Prestar servicios profesionales en pedagogía, para apoyar en el diseño, planeación y ejecución de procesos de capacitación interna y externa, así como en la elaboración y actualización de materiales pedagógicos y recursos didácticos asociados al trámite de incentivos tributarios</v>
      </c>
      <c r="BH803" s="24"/>
      <c r="BI803" s="24"/>
      <c r="BJ803" s="24"/>
      <c r="BK803" s="24">
        <v>657000</v>
      </c>
      <c r="BL803" s="24"/>
      <c r="BM803" s="24">
        <v>3285000</v>
      </c>
      <c r="BN803" s="24"/>
      <c r="BO803" s="24">
        <v>3285000</v>
      </c>
      <c r="BP803" s="24"/>
      <c r="BQ803" s="24">
        <v>3285000</v>
      </c>
      <c r="BR803" s="24"/>
      <c r="BS803" s="24">
        <v>3285000</v>
      </c>
      <c r="BT803" s="24"/>
      <c r="BU803" s="24">
        <v>3285000</v>
      </c>
      <c r="BV803" s="24"/>
      <c r="BW803" s="24">
        <v>3285000</v>
      </c>
      <c r="BX803" s="24"/>
      <c r="BY803" s="24">
        <v>3285000</v>
      </c>
      <c r="BZ803" s="24"/>
      <c r="CA803" s="24">
        <v>3285000</v>
      </c>
      <c r="CB803" s="24"/>
      <c r="CC803" s="24">
        <v>3285000</v>
      </c>
      <c r="CD803" s="24"/>
      <c r="CE803" s="24">
        <v>6570000</v>
      </c>
      <c r="CF803" s="28"/>
      <c r="CG803" s="28"/>
      <c r="CH803" s="25">
        <f t="shared" ref="CH803:CI803" si="1544">BH803+BJ803+BL803+BN803+BP803+BR803+BT803+BV803+BX803+BZ803+CB803+CD803+CF803</f>
        <v>0</v>
      </c>
      <c r="CI803" s="25">
        <f t="shared" si="1544"/>
        <v>36792000</v>
      </c>
      <c r="CJ803" s="26">
        <f t="shared" si="1526"/>
        <v>36792000</v>
      </c>
      <c r="CK803" s="26">
        <f t="shared" si="1527"/>
        <v>0</v>
      </c>
    </row>
    <row r="804" spans="1:89" ht="90" customHeight="1" x14ac:dyDescent="0.3">
      <c r="A804" s="13" t="s">
        <v>1891</v>
      </c>
      <c r="B804" s="14" t="s">
        <v>30</v>
      </c>
      <c r="C804" s="15" t="s">
        <v>258</v>
      </c>
      <c r="D804" s="14" t="s">
        <v>258</v>
      </c>
      <c r="E804" s="13" t="s">
        <v>250</v>
      </c>
      <c r="F804" s="13" t="s">
        <v>250</v>
      </c>
      <c r="G804" s="14">
        <v>68</v>
      </c>
      <c r="H804" s="13" t="s">
        <v>2069</v>
      </c>
      <c r="I804" s="15" t="s">
        <v>1893</v>
      </c>
      <c r="J804" s="14" t="s">
        <v>1893</v>
      </c>
      <c r="K804" s="15" t="s">
        <v>1893</v>
      </c>
      <c r="L804" s="14">
        <v>80111620</v>
      </c>
      <c r="M804" s="14" t="s">
        <v>2042</v>
      </c>
      <c r="N804" s="14" t="s">
        <v>253</v>
      </c>
      <c r="O804" s="15" t="s">
        <v>2070</v>
      </c>
      <c r="P804" s="14" t="s">
        <v>614</v>
      </c>
      <c r="Q804" s="14" t="s">
        <v>614</v>
      </c>
      <c r="R804" s="14" t="s">
        <v>614</v>
      </c>
      <c r="S804" s="17">
        <v>5</v>
      </c>
      <c r="T804" s="14" t="s">
        <v>256</v>
      </c>
      <c r="U804" s="14" t="s">
        <v>257</v>
      </c>
      <c r="V804" s="14" t="s">
        <v>112</v>
      </c>
      <c r="W804" s="18">
        <v>44431815</v>
      </c>
      <c r="X804" s="18">
        <v>44431815</v>
      </c>
      <c r="Y804" s="19" t="s">
        <v>339</v>
      </c>
      <c r="Z804" s="19" t="s">
        <v>258</v>
      </c>
      <c r="AA804" s="14" t="s">
        <v>884</v>
      </c>
      <c r="AB804" s="14" t="s">
        <v>2071</v>
      </c>
      <c r="AC804" s="14">
        <v>6012220601</v>
      </c>
      <c r="AD804" s="14" t="s">
        <v>369</v>
      </c>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c r="BC804" s="82"/>
      <c r="BD804" s="82"/>
      <c r="BE804" s="83"/>
      <c r="BF804" s="83"/>
      <c r="BG804" s="14" t="str">
        <f ca="1">IFERROR(__xludf.DUMMYFUNCTION("REGEXEXTRACT(O798,""^\S+\s(.+)$"")"),"Prestar los servicios profesionales para el acompañamiento y seguimiento jurídico a las etapas pre contractual, contractual y pos contractual, así como, reporte de información")</f>
        <v>Prestar los servicios profesionales para el acompañamiento y seguimiento jurídico a las etapas pre contractual, contractual y pos contractual, así como, reporte de información</v>
      </c>
      <c r="BH804" s="27"/>
      <c r="BI804" s="27"/>
      <c r="BJ804" s="27"/>
      <c r="BK804" s="27"/>
      <c r="BL804" s="27"/>
      <c r="BM804" s="27"/>
      <c r="BN804" s="27"/>
      <c r="BO804" s="27"/>
      <c r="BP804" s="27"/>
      <c r="BQ804" s="27"/>
      <c r="BR804" s="27"/>
      <c r="BS804" s="27"/>
      <c r="BT804" s="24">
        <v>44431815</v>
      </c>
      <c r="BU804" s="27"/>
      <c r="BV804" s="27"/>
      <c r="BW804" s="27"/>
      <c r="BX804" s="27"/>
      <c r="BY804" s="24">
        <v>8886363</v>
      </c>
      <c r="BZ804" s="27"/>
      <c r="CA804" s="24">
        <v>8886363</v>
      </c>
      <c r="CB804" s="27"/>
      <c r="CC804" s="24">
        <v>8886363</v>
      </c>
      <c r="CD804" s="27"/>
      <c r="CE804" s="24">
        <v>17772726</v>
      </c>
      <c r="CF804" s="28"/>
      <c r="CG804" s="28"/>
      <c r="CH804" s="25">
        <f t="shared" ref="CH804:CI804" si="1545">BH804+BJ804+BL804+BN804+BP804+BR804+BT804+BV804+BX804+BZ804+CB804+CD804+CF804</f>
        <v>44431815</v>
      </c>
      <c r="CI804" s="25">
        <f t="shared" si="1545"/>
        <v>44431815</v>
      </c>
      <c r="CJ804" s="26">
        <f t="shared" si="1526"/>
        <v>0</v>
      </c>
      <c r="CK804" s="26">
        <f t="shared" si="1527"/>
        <v>0</v>
      </c>
    </row>
    <row r="805" spans="1:89" ht="90" customHeight="1" x14ac:dyDescent="0.3">
      <c r="A805" s="13" t="s">
        <v>1891</v>
      </c>
      <c r="B805" s="14" t="s">
        <v>30</v>
      </c>
      <c r="C805" s="15" t="s">
        <v>258</v>
      </c>
      <c r="D805" s="14" t="s">
        <v>258</v>
      </c>
      <c r="E805" s="13" t="s">
        <v>250</v>
      </c>
      <c r="F805" s="13" t="s">
        <v>250</v>
      </c>
      <c r="G805" s="14">
        <v>9</v>
      </c>
      <c r="H805" s="13" t="s">
        <v>2072</v>
      </c>
      <c r="I805" s="15" t="s">
        <v>1893</v>
      </c>
      <c r="J805" s="14" t="s">
        <v>1893</v>
      </c>
      <c r="K805" s="15" t="s">
        <v>1893</v>
      </c>
      <c r="L805" s="14">
        <v>80111620</v>
      </c>
      <c r="M805" s="14" t="s">
        <v>2042</v>
      </c>
      <c r="N805" s="14" t="s">
        <v>253</v>
      </c>
      <c r="O805" s="15" t="s">
        <v>2073</v>
      </c>
      <c r="P805" s="14" t="s">
        <v>255</v>
      </c>
      <c r="Q805" s="14" t="s">
        <v>255</v>
      </c>
      <c r="R805" s="14" t="s">
        <v>255</v>
      </c>
      <c r="S805" s="17">
        <v>11.5</v>
      </c>
      <c r="T805" s="14" t="s">
        <v>256</v>
      </c>
      <c r="U805" s="14" t="s">
        <v>257</v>
      </c>
      <c r="V805" s="14" t="s">
        <v>112</v>
      </c>
      <c r="W805" s="18">
        <v>36000000</v>
      </c>
      <c r="X805" s="18">
        <v>36000000</v>
      </c>
      <c r="Y805" s="19" t="s">
        <v>339</v>
      </c>
      <c r="Z805" s="19" t="s">
        <v>258</v>
      </c>
      <c r="AA805" s="14" t="s">
        <v>884</v>
      </c>
      <c r="AB805" s="14" t="s">
        <v>2071</v>
      </c>
      <c r="AC805" s="14">
        <v>6012220601</v>
      </c>
      <c r="AD805" s="14" t="s">
        <v>369</v>
      </c>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c r="BC805" s="82"/>
      <c r="BD805" s="82"/>
      <c r="BE805" s="83"/>
      <c r="BF805" s="83"/>
      <c r="BG805" s="14" t="str">
        <f ca="1">IFERROR(__xludf.DUMMYFUNCTION("REGEXEXTRACT(O799,""^\S+\s(.+)$"")"),"Prestar servicios profesionales para la gestión de las fases contractuales de la entidad, con especial énfasis en los asuntos relativos a la Subdirección de Demanda, en asocio con el GIT de Gestión Contractual.")</f>
        <v>Prestar servicios profesionales para la gestión de las fases contractuales de la entidad, con especial énfasis en los asuntos relativos a la Subdirección de Demanda, en asocio con el GIT de Gestión Contractual.</v>
      </c>
      <c r="BH805" s="27"/>
      <c r="BI805" s="27"/>
      <c r="BJ805" s="27"/>
      <c r="BK805" s="24">
        <v>3500000</v>
      </c>
      <c r="BL805" s="27"/>
      <c r="BM805" s="24">
        <v>7000000</v>
      </c>
      <c r="BN805" s="27"/>
      <c r="BO805" s="24">
        <v>7000000</v>
      </c>
      <c r="BP805" s="27"/>
      <c r="BQ805" s="24">
        <v>7000000</v>
      </c>
      <c r="BR805" s="27"/>
      <c r="BS805" s="24">
        <v>7000000</v>
      </c>
      <c r="BT805" s="27"/>
      <c r="BU805" s="24">
        <v>7000000</v>
      </c>
      <c r="BV805" s="27"/>
      <c r="BW805" s="24">
        <v>7000000</v>
      </c>
      <c r="BX805" s="27"/>
      <c r="BY805" s="24">
        <v>7000000</v>
      </c>
      <c r="BZ805" s="27"/>
      <c r="CA805" s="24">
        <v>7000000</v>
      </c>
      <c r="CB805" s="27"/>
      <c r="CC805" s="24">
        <v>7000000</v>
      </c>
      <c r="CD805" s="27"/>
      <c r="CE805" s="24">
        <v>14000000</v>
      </c>
      <c r="CF805" s="28"/>
      <c r="CG805" s="28"/>
      <c r="CH805" s="25">
        <f t="shared" ref="CH805:CI805" si="1546">BH805+BJ805+BL805+BN805+BP805+BR805+BT805+BV805+BX805+BZ805+CB805+CD805+CF805</f>
        <v>0</v>
      </c>
      <c r="CI805" s="25">
        <f t="shared" si="1546"/>
        <v>80500000</v>
      </c>
      <c r="CJ805" s="26">
        <f t="shared" si="1526"/>
        <v>36000000</v>
      </c>
      <c r="CK805" s="26">
        <f t="shared" si="1527"/>
        <v>-44500000</v>
      </c>
    </row>
    <row r="806" spans="1:89" ht="90" customHeight="1" x14ac:dyDescent="0.3">
      <c r="A806" s="13" t="s">
        <v>1891</v>
      </c>
      <c r="B806" s="14" t="s">
        <v>30</v>
      </c>
      <c r="C806" s="15" t="s">
        <v>258</v>
      </c>
      <c r="D806" s="14" t="s">
        <v>258</v>
      </c>
      <c r="E806" s="13" t="s">
        <v>250</v>
      </c>
      <c r="F806" s="13" t="s">
        <v>250</v>
      </c>
      <c r="G806" s="14">
        <v>68</v>
      </c>
      <c r="H806" s="13" t="s">
        <v>2074</v>
      </c>
      <c r="I806" s="15" t="s">
        <v>1893</v>
      </c>
      <c r="J806" s="14" t="s">
        <v>1893</v>
      </c>
      <c r="K806" s="15" t="s">
        <v>1893</v>
      </c>
      <c r="L806" s="14">
        <v>80111620</v>
      </c>
      <c r="M806" s="14" t="s">
        <v>2042</v>
      </c>
      <c r="N806" s="14" t="s">
        <v>253</v>
      </c>
      <c r="O806" s="15" t="s">
        <v>2075</v>
      </c>
      <c r="P806" s="14" t="s">
        <v>255</v>
      </c>
      <c r="Q806" s="14" t="s">
        <v>255</v>
      </c>
      <c r="R806" s="14" t="s">
        <v>255</v>
      </c>
      <c r="S806" s="17">
        <v>11.5</v>
      </c>
      <c r="T806" s="14" t="s">
        <v>256</v>
      </c>
      <c r="U806" s="14" t="s">
        <v>257</v>
      </c>
      <c r="V806" s="14" t="s">
        <v>112</v>
      </c>
      <c r="W806" s="18">
        <v>66010000</v>
      </c>
      <c r="X806" s="18">
        <v>66010000</v>
      </c>
      <c r="Y806" s="19" t="s">
        <v>339</v>
      </c>
      <c r="Z806" s="19" t="s">
        <v>258</v>
      </c>
      <c r="AA806" s="14" t="s">
        <v>884</v>
      </c>
      <c r="AB806" s="14" t="s">
        <v>2071</v>
      </c>
      <c r="AC806" s="14">
        <v>6012220601</v>
      </c>
      <c r="AD806" s="14" t="s">
        <v>369</v>
      </c>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c r="BC806" s="82"/>
      <c r="BD806" s="82"/>
      <c r="BE806" s="83"/>
      <c r="BF806" s="83"/>
      <c r="BG806" s="14" t="str">
        <f ca="1">IFERROR(__xludf.DUMMYFUNCTION("REGEXEXTRACT(O800,""^\S+\s(.+)$"")"),"Prestar servicios profesionales para apoyar los procesos contractuales de la entidad en sus diferentes etapas, así como mantener actualizados los expedientes contractuales, bases de datos y sistemas de gestión documental del GIT de Gestión Contractual")</f>
        <v>Prestar servicios profesionales para apoyar los procesos contractuales de la entidad en sus diferentes etapas, así como mantener actualizados los expedientes contractuales, bases de datos y sistemas de gestión documental del GIT de Gestión Contractual</v>
      </c>
      <c r="BH806" s="27"/>
      <c r="BI806" s="27"/>
      <c r="BJ806" s="27"/>
      <c r="BK806" s="24">
        <v>2870000</v>
      </c>
      <c r="BL806" s="27"/>
      <c r="BM806" s="24">
        <v>5740000</v>
      </c>
      <c r="BN806" s="27"/>
      <c r="BO806" s="24">
        <v>5740000</v>
      </c>
      <c r="BP806" s="27"/>
      <c r="BQ806" s="24">
        <v>5740000</v>
      </c>
      <c r="BR806" s="27"/>
      <c r="BS806" s="24">
        <v>5740000</v>
      </c>
      <c r="BT806" s="27"/>
      <c r="BU806" s="24">
        <v>5740000</v>
      </c>
      <c r="BV806" s="27"/>
      <c r="BW806" s="24">
        <v>5740000</v>
      </c>
      <c r="BX806" s="27"/>
      <c r="BY806" s="24">
        <v>5740000</v>
      </c>
      <c r="BZ806" s="27"/>
      <c r="CA806" s="24">
        <v>5740000</v>
      </c>
      <c r="CB806" s="27"/>
      <c r="CC806" s="24">
        <v>5740000</v>
      </c>
      <c r="CD806" s="27"/>
      <c r="CE806" s="24">
        <v>11480000</v>
      </c>
      <c r="CF806" s="28"/>
      <c r="CG806" s="28"/>
      <c r="CH806" s="25">
        <f t="shared" ref="CH806:CI806" si="1547">BH806+BJ806+BL806+BN806+BP806+BR806+BT806+BV806+BX806+BZ806+CB806+CD806+CF806</f>
        <v>0</v>
      </c>
      <c r="CI806" s="25">
        <f t="shared" si="1547"/>
        <v>66010000</v>
      </c>
      <c r="CJ806" s="26">
        <f t="shared" si="1526"/>
        <v>66010000</v>
      </c>
      <c r="CK806" s="26">
        <f t="shared" si="1527"/>
        <v>0</v>
      </c>
    </row>
    <row r="807" spans="1:89" ht="90" customHeight="1" x14ac:dyDescent="0.3">
      <c r="A807" s="13" t="s">
        <v>1891</v>
      </c>
      <c r="B807" s="14" t="s">
        <v>30</v>
      </c>
      <c r="C807" s="15" t="s">
        <v>258</v>
      </c>
      <c r="D807" s="14" t="s">
        <v>258</v>
      </c>
      <c r="E807" s="13" t="s">
        <v>250</v>
      </c>
      <c r="F807" s="13" t="s">
        <v>250</v>
      </c>
      <c r="G807" s="14">
        <v>68</v>
      </c>
      <c r="H807" s="13" t="s">
        <v>2076</v>
      </c>
      <c r="I807" s="15" t="s">
        <v>1893</v>
      </c>
      <c r="J807" s="14" t="s">
        <v>1893</v>
      </c>
      <c r="K807" s="15" t="s">
        <v>1893</v>
      </c>
      <c r="L807" s="14">
        <v>80111620</v>
      </c>
      <c r="M807" s="14" t="s">
        <v>2045</v>
      </c>
      <c r="N807" s="14" t="s">
        <v>253</v>
      </c>
      <c r="O807" s="15" t="s">
        <v>2077</v>
      </c>
      <c r="P807" s="14" t="s">
        <v>255</v>
      </c>
      <c r="Q807" s="14" t="s">
        <v>255</v>
      </c>
      <c r="R807" s="14" t="s">
        <v>255</v>
      </c>
      <c r="S807" s="17">
        <v>6</v>
      </c>
      <c r="T807" s="14" t="s">
        <v>256</v>
      </c>
      <c r="U807" s="14" t="s">
        <v>257</v>
      </c>
      <c r="V807" s="14" t="s">
        <v>112</v>
      </c>
      <c r="W807" s="18">
        <v>21689335</v>
      </c>
      <c r="X807" s="18">
        <v>21689335</v>
      </c>
      <c r="Y807" s="19" t="s">
        <v>339</v>
      </c>
      <c r="Z807" s="19" t="s">
        <v>258</v>
      </c>
      <c r="AA807" s="14" t="s">
        <v>910</v>
      </c>
      <c r="AB807" s="14" t="s">
        <v>911</v>
      </c>
      <c r="AC807" s="14">
        <v>6012220601</v>
      </c>
      <c r="AD807" s="14" t="s">
        <v>307</v>
      </c>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c r="BC807" s="82"/>
      <c r="BD807" s="82"/>
      <c r="BE807" s="83"/>
      <c r="BF807" s="83"/>
      <c r="BG807" s="14" t="str">
        <f ca="1">IFERROR(__xludf.DUMMYFUNCTION("REGEXEXTRACT(O801,""^\S+\s(.+)$"")"),"Prestar el servicio de apoyo en todo lo relacionado con los asuntos de correspondencia de los trámites relacionados con los certificados de proyectos de Fuentes no Convencionales de Energía y Gestión Eficiente de la Energía y demás asuntos de la Entidad")</f>
        <v>Prestar el servicio de apoyo en todo lo relacionado con los asuntos de correspondencia de los trámites relacionados con los certificados de proyectos de Fuentes no Convencionales de Energía y Gestión Eficiente de la Energía y demás asuntos de la Entidad</v>
      </c>
      <c r="BH807" s="27"/>
      <c r="BI807" s="27"/>
      <c r="BJ807" s="27"/>
      <c r="BK807" s="24">
        <v>1807445</v>
      </c>
      <c r="BL807" s="27"/>
      <c r="BM807" s="24">
        <v>3614889</v>
      </c>
      <c r="BN807" s="27"/>
      <c r="BO807" s="24">
        <v>3614889</v>
      </c>
      <c r="BP807" s="27"/>
      <c r="BQ807" s="24">
        <v>3614889</v>
      </c>
      <c r="BR807" s="27"/>
      <c r="BS807" s="24">
        <v>3614889</v>
      </c>
      <c r="BT807" s="27"/>
      <c r="BU807" s="24">
        <v>3614889</v>
      </c>
      <c r="BV807" s="27"/>
      <c r="BW807" s="24">
        <v>1807445</v>
      </c>
      <c r="BX807" s="27"/>
      <c r="BY807" s="27"/>
      <c r="BZ807" s="27"/>
      <c r="CA807" s="27"/>
      <c r="CB807" s="27"/>
      <c r="CC807" s="27"/>
      <c r="CD807" s="27"/>
      <c r="CE807" s="27"/>
      <c r="CF807" s="28"/>
      <c r="CG807" s="28"/>
      <c r="CH807" s="25">
        <f t="shared" ref="CH807:CI807" si="1548">BH807+BJ807+BL807+BN807+BP807+BR807+BT807+BV807+BX807+BZ807+CB807+CD807+CF807</f>
        <v>0</v>
      </c>
      <c r="CI807" s="25">
        <f t="shared" si="1548"/>
        <v>21689335</v>
      </c>
      <c r="CJ807" s="26">
        <f t="shared" si="1526"/>
        <v>21689335</v>
      </c>
      <c r="CK807" s="26">
        <f t="shared" si="1527"/>
        <v>0</v>
      </c>
    </row>
    <row r="808" spans="1:89" ht="90" customHeight="1" x14ac:dyDescent="0.3">
      <c r="A808" s="13" t="s">
        <v>1891</v>
      </c>
      <c r="B808" s="14" t="s">
        <v>30</v>
      </c>
      <c r="C808" s="15" t="s">
        <v>258</v>
      </c>
      <c r="D808" s="14" t="s">
        <v>258</v>
      </c>
      <c r="E808" s="13" t="s">
        <v>250</v>
      </c>
      <c r="F808" s="13" t="s">
        <v>250</v>
      </c>
      <c r="G808" s="14">
        <v>68</v>
      </c>
      <c r="H808" s="13" t="s">
        <v>2078</v>
      </c>
      <c r="I808" s="15" t="s">
        <v>1893</v>
      </c>
      <c r="J808" s="14" t="s">
        <v>1893</v>
      </c>
      <c r="K808" s="15" t="s">
        <v>1893</v>
      </c>
      <c r="L808" s="14">
        <v>80111620</v>
      </c>
      <c r="M808" s="14" t="s">
        <v>2045</v>
      </c>
      <c r="N808" s="14" t="s">
        <v>253</v>
      </c>
      <c r="O808" s="15" t="s">
        <v>2079</v>
      </c>
      <c r="P808" s="14" t="s">
        <v>255</v>
      </c>
      <c r="Q808" s="14" t="s">
        <v>255</v>
      </c>
      <c r="R808" s="14" t="s">
        <v>255</v>
      </c>
      <c r="S808" s="17">
        <v>11.5</v>
      </c>
      <c r="T808" s="14" t="s">
        <v>256</v>
      </c>
      <c r="U808" s="14" t="s">
        <v>257</v>
      </c>
      <c r="V808" s="14" t="s">
        <v>112</v>
      </c>
      <c r="W808" s="18">
        <v>47428088</v>
      </c>
      <c r="X808" s="18">
        <v>47428088</v>
      </c>
      <c r="Y808" s="19" t="s">
        <v>339</v>
      </c>
      <c r="Z808" s="19" t="s">
        <v>258</v>
      </c>
      <c r="AA808" s="14" t="s">
        <v>910</v>
      </c>
      <c r="AB808" s="14" t="s">
        <v>911</v>
      </c>
      <c r="AC808" s="14">
        <v>6012220601</v>
      </c>
      <c r="AD808" s="14" t="s">
        <v>307</v>
      </c>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c r="BC808" s="82"/>
      <c r="BD808" s="82"/>
      <c r="BE808" s="83"/>
      <c r="BF808" s="83"/>
      <c r="BG808" s="14" t="str">
        <f ca="1">IFERROR(__xludf.DUMMYFUNCTION("REGEXEXTRACT(O802,""^\S+\s(.+)$"")"),"Prestar los servicios profesionales para apoyar y tramitar las actividades asociadas con el proceso de atención al ciudadano y la política de participación ciudadana y los planes institucionales de la UPME.s de Energía y Gestión Eficiente de la Energía y "&amp;"demás asuntos de la Entidad")</f>
        <v>Prestar los servicios profesionales para apoyar y tramitar las actividades asociadas con el proceso de atención al ciudadano y la política de participación ciudadana y los planes institucionales de la UPME.s de Energía y Gestión Eficiente de la Energía y demás asuntos de la Entidad</v>
      </c>
      <c r="BH808" s="27"/>
      <c r="BI808" s="27"/>
      <c r="BJ808" s="27"/>
      <c r="BK808" s="24">
        <v>2062091</v>
      </c>
      <c r="BL808" s="27"/>
      <c r="BM808" s="24">
        <v>4124181</v>
      </c>
      <c r="BN808" s="27"/>
      <c r="BO808" s="24">
        <v>4124181</v>
      </c>
      <c r="BP808" s="27"/>
      <c r="BQ808" s="24">
        <v>4124181</v>
      </c>
      <c r="BR808" s="27"/>
      <c r="BS808" s="24">
        <v>4124181</v>
      </c>
      <c r="BT808" s="27"/>
      <c r="BU808" s="24">
        <v>4124181</v>
      </c>
      <c r="BV808" s="27"/>
      <c r="BW808" s="24">
        <v>4124181</v>
      </c>
      <c r="BX808" s="27"/>
      <c r="BY808" s="24">
        <v>4124181</v>
      </c>
      <c r="BZ808" s="27"/>
      <c r="CA808" s="24">
        <v>4124181</v>
      </c>
      <c r="CB808" s="27"/>
      <c r="CC808" s="24">
        <v>4124181</v>
      </c>
      <c r="CD808" s="27"/>
      <c r="CE808" s="24">
        <v>8248368</v>
      </c>
      <c r="CF808" s="28"/>
      <c r="CG808" s="28"/>
      <c r="CH808" s="25">
        <f t="shared" ref="CH808:CI808" si="1549">BH808+BJ808+BL808+BN808+BP808+BR808+BT808+BV808+BX808+BZ808+CB808+CD808+CF808</f>
        <v>0</v>
      </c>
      <c r="CI808" s="25">
        <f t="shared" si="1549"/>
        <v>47428088</v>
      </c>
      <c r="CJ808" s="26">
        <f t="shared" si="1526"/>
        <v>47428088</v>
      </c>
      <c r="CK808" s="26">
        <f t="shared" si="1527"/>
        <v>0</v>
      </c>
    </row>
    <row r="809" spans="1:89" ht="90" customHeight="1" x14ac:dyDescent="0.3">
      <c r="A809" s="13" t="s">
        <v>1891</v>
      </c>
      <c r="B809" s="14" t="s">
        <v>30</v>
      </c>
      <c r="C809" s="15" t="s">
        <v>258</v>
      </c>
      <c r="D809" s="14" t="s">
        <v>258</v>
      </c>
      <c r="E809" s="13" t="s">
        <v>250</v>
      </c>
      <c r="F809" s="13" t="s">
        <v>250</v>
      </c>
      <c r="G809" s="14">
        <v>5</v>
      </c>
      <c r="H809" s="13" t="s">
        <v>2080</v>
      </c>
      <c r="I809" s="15" t="s">
        <v>1893</v>
      </c>
      <c r="J809" s="14" t="s">
        <v>1893</v>
      </c>
      <c r="K809" s="15" t="s">
        <v>1893</v>
      </c>
      <c r="L809" s="14">
        <v>80111620</v>
      </c>
      <c r="M809" s="14" t="s">
        <v>2045</v>
      </c>
      <c r="N809" s="14" t="s">
        <v>253</v>
      </c>
      <c r="O809" s="15" t="s">
        <v>2081</v>
      </c>
      <c r="P809" s="14" t="s">
        <v>255</v>
      </c>
      <c r="Q809" s="14" t="s">
        <v>255</v>
      </c>
      <c r="R809" s="14" t="s">
        <v>255</v>
      </c>
      <c r="S809" s="17">
        <v>11.5</v>
      </c>
      <c r="T809" s="14" t="s">
        <v>256</v>
      </c>
      <c r="U809" s="14" t="s">
        <v>257</v>
      </c>
      <c r="V809" s="14" t="s">
        <v>112</v>
      </c>
      <c r="W809" s="18">
        <v>31304750</v>
      </c>
      <c r="X809" s="18">
        <v>31304750</v>
      </c>
      <c r="Y809" s="19" t="s">
        <v>339</v>
      </c>
      <c r="Z809" s="19" t="s">
        <v>258</v>
      </c>
      <c r="AA809" s="14" t="s">
        <v>888</v>
      </c>
      <c r="AB809" s="14" t="s">
        <v>1995</v>
      </c>
      <c r="AC809" s="14">
        <v>6012220601</v>
      </c>
      <c r="AD809" s="14" t="s">
        <v>890</v>
      </c>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c r="BC809" s="82"/>
      <c r="BD809" s="82"/>
      <c r="BE809" s="83"/>
      <c r="BF809" s="83"/>
      <c r="BG809" s="14" t="str">
        <f ca="1">IFERROR(__xludf.DUMMYFUNCTION("REGEXEXTRACT(O803,""^\S+\s(.+)$"")"),"Prestar los servicios profesionales Para el desarrollo de actividades relacionadas con el seguimiento  analisis y control a la ejecucion presupuestal, Plan anualizado de caja y a los procesos tesorales de la entidad")</f>
        <v>Prestar los servicios profesionales Para el desarrollo de actividades relacionadas con el seguimiento  analisis y control a la ejecucion presupuestal, Plan anualizado de caja y a los procesos tesorales de la entidad</v>
      </c>
      <c r="BH809" s="27"/>
      <c r="BI809" s="27"/>
      <c r="BJ809" s="27">
        <v>0</v>
      </c>
      <c r="BK809" s="24">
        <v>1361078</v>
      </c>
      <c r="BL809" s="27">
        <v>0</v>
      </c>
      <c r="BM809" s="24">
        <v>2722152</v>
      </c>
      <c r="BN809" s="27">
        <v>0</v>
      </c>
      <c r="BO809" s="24">
        <v>2722152</v>
      </c>
      <c r="BP809" s="27">
        <v>0</v>
      </c>
      <c r="BQ809" s="24">
        <v>2722152</v>
      </c>
      <c r="BR809" s="27">
        <v>0</v>
      </c>
      <c r="BS809" s="24">
        <v>2722152</v>
      </c>
      <c r="BT809" s="27">
        <v>0</v>
      </c>
      <c r="BU809" s="24">
        <v>2722152</v>
      </c>
      <c r="BV809" s="27">
        <v>0</v>
      </c>
      <c r="BW809" s="24">
        <v>2722152</v>
      </c>
      <c r="BX809" s="27">
        <v>0</v>
      </c>
      <c r="BY809" s="24">
        <v>2722152</v>
      </c>
      <c r="BZ809" s="27">
        <v>0</v>
      </c>
      <c r="CA809" s="24">
        <v>2722152</v>
      </c>
      <c r="CB809" s="27">
        <v>0</v>
      </c>
      <c r="CC809" s="24">
        <v>2722152</v>
      </c>
      <c r="CD809" s="27">
        <v>0</v>
      </c>
      <c r="CE809" s="24">
        <v>5444304</v>
      </c>
      <c r="CF809" s="28"/>
      <c r="CG809" s="28"/>
      <c r="CH809" s="25">
        <f t="shared" ref="CH809:CI809" si="1550">BH809+BJ809+BL809+BN809+BP809+BR809+BT809+BV809+BX809+BZ809+CB809+CD809+CF809</f>
        <v>0</v>
      </c>
      <c r="CI809" s="25">
        <f t="shared" si="1550"/>
        <v>31304750</v>
      </c>
      <c r="CJ809" s="26">
        <f t="shared" si="1526"/>
        <v>31304750</v>
      </c>
      <c r="CK809" s="26">
        <f t="shared" si="1527"/>
        <v>0</v>
      </c>
    </row>
    <row r="810" spans="1:89" ht="90" customHeight="1" x14ac:dyDescent="0.3">
      <c r="A810" s="13" t="s">
        <v>1891</v>
      </c>
      <c r="B810" s="14" t="s">
        <v>30</v>
      </c>
      <c r="C810" s="15" t="s">
        <v>258</v>
      </c>
      <c r="D810" s="14" t="s">
        <v>258</v>
      </c>
      <c r="E810" s="13" t="s">
        <v>250</v>
      </c>
      <c r="F810" s="13" t="s">
        <v>250</v>
      </c>
      <c r="G810" s="14">
        <v>68</v>
      </c>
      <c r="H810" s="13" t="s">
        <v>2082</v>
      </c>
      <c r="I810" s="15" t="s">
        <v>1893</v>
      </c>
      <c r="J810" s="14" t="s">
        <v>1893</v>
      </c>
      <c r="K810" s="15" t="s">
        <v>1893</v>
      </c>
      <c r="L810" s="14">
        <v>80111620</v>
      </c>
      <c r="M810" s="14" t="s">
        <v>2045</v>
      </c>
      <c r="N810" s="14" t="s">
        <v>253</v>
      </c>
      <c r="O810" s="15" t="s">
        <v>2083</v>
      </c>
      <c r="P810" s="14" t="s">
        <v>255</v>
      </c>
      <c r="Q810" s="14" t="s">
        <v>255</v>
      </c>
      <c r="R810" s="14" t="s">
        <v>255</v>
      </c>
      <c r="S810" s="17">
        <v>11.5</v>
      </c>
      <c r="T810" s="14" t="s">
        <v>256</v>
      </c>
      <c r="U810" s="14" t="s">
        <v>257</v>
      </c>
      <c r="V810" s="14" t="s">
        <v>112</v>
      </c>
      <c r="W810" s="18">
        <v>83911360</v>
      </c>
      <c r="X810" s="18">
        <v>83911360</v>
      </c>
      <c r="Y810" s="19" t="s">
        <v>339</v>
      </c>
      <c r="Z810" s="19" t="s">
        <v>258</v>
      </c>
      <c r="AA810" s="14" t="s">
        <v>888</v>
      </c>
      <c r="AB810" s="14" t="s">
        <v>1995</v>
      </c>
      <c r="AC810" s="14">
        <v>6012220601</v>
      </c>
      <c r="AD810" s="14" t="s">
        <v>890</v>
      </c>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c r="BC810" s="82"/>
      <c r="BD810" s="82"/>
      <c r="BE810" s="83"/>
      <c r="BF810" s="83"/>
      <c r="BG810" s="14" t="str">
        <f ca="1">IFERROR(__xludf.DUMMYFUNCTION("REGEXEXTRACT(O804,""^\S+\s(.+)$"")"),"Prestar los servicios profesionales para el desarrollo de actividades relacionadas con la gestión y el seguimiento presupuestal en el marco del direccionamiento estratégico de la Entidad.")</f>
        <v>Prestar los servicios profesionales para el desarrollo de actividades relacionadas con la gestión y el seguimiento presupuestal en el marco del direccionamiento estratégico de la Entidad.</v>
      </c>
      <c r="BH810" s="27"/>
      <c r="BI810" s="27"/>
      <c r="BJ810" s="27"/>
      <c r="BK810" s="24">
        <v>3648320</v>
      </c>
      <c r="BL810" s="27"/>
      <c r="BM810" s="24">
        <v>7296640</v>
      </c>
      <c r="BN810" s="27"/>
      <c r="BO810" s="24">
        <v>7296640</v>
      </c>
      <c r="BP810" s="27"/>
      <c r="BQ810" s="24">
        <v>7296640</v>
      </c>
      <c r="BR810" s="27"/>
      <c r="BS810" s="24">
        <v>7296640</v>
      </c>
      <c r="BT810" s="27"/>
      <c r="BU810" s="24">
        <v>7296640</v>
      </c>
      <c r="BV810" s="27"/>
      <c r="BW810" s="24">
        <v>7296640</v>
      </c>
      <c r="BX810" s="27"/>
      <c r="BY810" s="24">
        <v>7296640</v>
      </c>
      <c r="BZ810" s="27"/>
      <c r="CA810" s="24">
        <v>7296640</v>
      </c>
      <c r="CB810" s="27"/>
      <c r="CC810" s="24">
        <v>7296640</v>
      </c>
      <c r="CD810" s="27"/>
      <c r="CE810" s="24">
        <v>14593280</v>
      </c>
      <c r="CF810" s="28"/>
      <c r="CG810" s="28"/>
      <c r="CH810" s="25">
        <f t="shared" ref="CH810:CI810" si="1551">BH810+BJ810+BL810+BN810+BP810+BR810+BT810+BV810+BX810+BZ810+CB810+CD810+CF810</f>
        <v>0</v>
      </c>
      <c r="CI810" s="25">
        <f t="shared" si="1551"/>
        <v>83911360</v>
      </c>
      <c r="CJ810" s="26">
        <f t="shared" si="1526"/>
        <v>83911360</v>
      </c>
      <c r="CK810" s="26">
        <f t="shared" si="1527"/>
        <v>0</v>
      </c>
    </row>
    <row r="811" spans="1:89" ht="90" customHeight="1" x14ac:dyDescent="0.3">
      <c r="A811" s="13" t="s">
        <v>1891</v>
      </c>
      <c r="B811" s="14" t="s">
        <v>30</v>
      </c>
      <c r="C811" s="15" t="s">
        <v>258</v>
      </c>
      <c r="D811" s="14" t="s">
        <v>258</v>
      </c>
      <c r="E811" s="13" t="s">
        <v>250</v>
      </c>
      <c r="F811" s="13" t="s">
        <v>250</v>
      </c>
      <c r="G811" s="14">
        <v>68</v>
      </c>
      <c r="H811" s="13" t="s">
        <v>2084</v>
      </c>
      <c r="I811" s="15" t="s">
        <v>1893</v>
      </c>
      <c r="J811" s="14" t="s">
        <v>1893</v>
      </c>
      <c r="K811" s="15" t="s">
        <v>1893</v>
      </c>
      <c r="L811" s="14">
        <v>80111620</v>
      </c>
      <c r="M811" s="14" t="s">
        <v>2045</v>
      </c>
      <c r="N811" s="14" t="s">
        <v>253</v>
      </c>
      <c r="O811" s="15" t="s">
        <v>2085</v>
      </c>
      <c r="P811" s="14" t="s">
        <v>255</v>
      </c>
      <c r="Q811" s="14" t="s">
        <v>255</v>
      </c>
      <c r="R811" s="14" t="s">
        <v>255</v>
      </c>
      <c r="S811" s="17">
        <v>6</v>
      </c>
      <c r="T811" s="14" t="s">
        <v>256</v>
      </c>
      <c r="U811" s="14" t="s">
        <v>257</v>
      </c>
      <c r="V811" s="14" t="s">
        <v>112</v>
      </c>
      <c r="W811" s="18">
        <v>19524960</v>
      </c>
      <c r="X811" s="18">
        <v>19524960</v>
      </c>
      <c r="Y811" s="19" t="s">
        <v>339</v>
      </c>
      <c r="Z811" s="19" t="s">
        <v>258</v>
      </c>
      <c r="AA811" s="14" t="s">
        <v>888</v>
      </c>
      <c r="AB811" s="14" t="s">
        <v>1995</v>
      </c>
      <c r="AC811" s="14">
        <v>6012220601</v>
      </c>
      <c r="AD811" s="14" t="s">
        <v>890</v>
      </c>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c r="BC811" s="82"/>
      <c r="BD811" s="82"/>
      <c r="BE811" s="83"/>
      <c r="BF811" s="83"/>
      <c r="BG811" s="14" t="str">
        <f ca="1">IFERROR(__xludf.DUMMYFUNCTION("REGEXEXTRACT(O805,""^\S+\s(.+)$"")"),"Prestar los servicios profesionales para el apoyo administrativo relacionados con el contrato de la fiducia mercantil, gestión de tesorería y contable a cargo de GIT de gestión financiera.")</f>
        <v>Prestar los servicios profesionales para el apoyo administrativo relacionados con el contrato de la fiducia mercantil, gestión de tesorería y contable a cargo de GIT de gestión financiera.</v>
      </c>
      <c r="BH811" s="27"/>
      <c r="BI811" s="27"/>
      <c r="BJ811" s="27"/>
      <c r="BK811" s="24">
        <v>1627080</v>
      </c>
      <c r="BL811" s="27"/>
      <c r="BM811" s="24">
        <v>3254160</v>
      </c>
      <c r="BN811" s="27"/>
      <c r="BO811" s="24">
        <v>3254160</v>
      </c>
      <c r="BP811" s="27"/>
      <c r="BQ811" s="24">
        <v>3254160</v>
      </c>
      <c r="BR811" s="27"/>
      <c r="BS811" s="24">
        <v>3254160</v>
      </c>
      <c r="BT811" s="27"/>
      <c r="BU811" s="24">
        <v>3254160</v>
      </c>
      <c r="BV811" s="27"/>
      <c r="BW811" s="24">
        <v>1627080</v>
      </c>
      <c r="BX811" s="27"/>
      <c r="BY811" s="27"/>
      <c r="BZ811" s="27"/>
      <c r="CA811" s="27"/>
      <c r="CB811" s="27"/>
      <c r="CC811" s="27"/>
      <c r="CD811" s="27"/>
      <c r="CE811" s="27"/>
      <c r="CF811" s="28"/>
      <c r="CG811" s="28"/>
      <c r="CH811" s="25">
        <f t="shared" ref="CH811:CI811" si="1552">BH811+BJ811+BL811+BN811+BP811+BR811+BT811+BV811+BX811+BZ811+CB811+CD811+CF811</f>
        <v>0</v>
      </c>
      <c r="CI811" s="25">
        <f t="shared" si="1552"/>
        <v>19524960</v>
      </c>
      <c r="CJ811" s="26">
        <f t="shared" si="1526"/>
        <v>19524960</v>
      </c>
      <c r="CK811" s="26">
        <f t="shared" si="1527"/>
        <v>0</v>
      </c>
    </row>
    <row r="812" spans="1:89" ht="90" customHeight="1" x14ac:dyDescent="0.3">
      <c r="A812" s="13" t="s">
        <v>1891</v>
      </c>
      <c r="B812" s="14" t="s">
        <v>30</v>
      </c>
      <c r="C812" s="15" t="s">
        <v>258</v>
      </c>
      <c r="D812" s="14" t="s">
        <v>258</v>
      </c>
      <c r="E812" s="13" t="s">
        <v>250</v>
      </c>
      <c r="F812" s="13" t="s">
        <v>250</v>
      </c>
      <c r="G812" s="14">
        <v>68</v>
      </c>
      <c r="H812" s="13" t="s">
        <v>2086</v>
      </c>
      <c r="I812" s="15" t="s">
        <v>1893</v>
      </c>
      <c r="J812" s="14" t="s">
        <v>1893</v>
      </c>
      <c r="K812" s="15" t="s">
        <v>1893</v>
      </c>
      <c r="L812" s="14">
        <v>80111620</v>
      </c>
      <c r="M812" s="14" t="s">
        <v>2042</v>
      </c>
      <c r="N812" s="14" t="s">
        <v>253</v>
      </c>
      <c r="O812" s="15" t="s">
        <v>2087</v>
      </c>
      <c r="P812" s="14" t="s">
        <v>255</v>
      </c>
      <c r="Q812" s="14" t="s">
        <v>255</v>
      </c>
      <c r="R812" s="14" t="s">
        <v>255</v>
      </c>
      <c r="S812" s="17">
        <v>11.5</v>
      </c>
      <c r="T812" s="14" t="s">
        <v>256</v>
      </c>
      <c r="U812" s="14" t="s">
        <v>257</v>
      </c>
      <c r="V812" s="14" t="s">
        <v>112</v>
      </c>
      <c r="W812" s="18">
        <v>84718200</v>
      </c>
      <c r="X812" s="18">
        <v>84718200</v>
      </c>
      <c r="Y812" s="19" t="s">
        <v>339</v>
      </c>
      <c r="Z812" s="19" t="s">
        <v>258</v>
      </c>
      <c r="AA812" s="14" t="s">
        <v>888</v>
      </c>
      <c r="AB812" s="14" t="s">
        <v>1995</v>
      </c>
      <c r="AC812" s="14">
        <v>6012220601</v>
      </c>
      <c r="AD812" s="14" t="s">
        <v>890</v>
      </c>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c r="BC812" s="82"/>
      <c r="BD812" s="82"/>
      <c r="BE812" s="83"/>
      <c r="BF812" s="83"/>
      <c r="BG812" s="14" t="str">
        <f ca="1">IFERROR(__xludf.DUMMYFUNCTION("REGEXEXTRACT(O806,""^\S+\s(.+)$"")"),"Prestar los servicios profesionales para el desarrollo de actividades relacionadas con la gestión tributaria de la entidad a cargo del Grupo Interno de Trabajo de Gestión Financiera de la Secretaría General, todo de conformidad con lo señalado en los estu"&amp;"dios previos y la propuesta, los cuales forman parte integral del contrato.")</f>
        <v>Prestar los servicios profesionales para el desarrollo de actividades relacionadas con la gestión tributaria de la entidad a cargo del Grupo Interno de Trabajo de Gestión Financiera de la Secretaría General, todo de conformidad con lo señalado en los estudios previos y la propuesta, los cuales forman parte integral del contrato.</v>
      </c>
      <c r="BH812" s="27"/>
      <c r="BI812" s="27"/>
      <c r="BJ812" s="27"/>
      <c r="BK812" s="24">
        <v>3683400</v>
      </c>
      <c r="BL812" s="27"/>
      <c r="BM812" s="24">
        <v>7366800</v>
      </c>
      <c r="BN812" s="27"/>
      <c r="BO812" s="24">
        <v>7366800</v>
      </c>
      <c r="BP812" s="27"/>
      <c r="BQ812" s="24">
        <v>7366800</v>
      </c>
      <c r="BR812" s="27"/>
      <c r="BS812" s="24">
        <v>7366800</v>
      </c>
      <c r="BT812" s="27"/>
      <c r="BU812" s="24">
        <v>7366800</v>
      </c>
      <c r="BV812" s="27"/>
      <c r="BW812" s="24">
        <v>7366800</v>
      </c>
      <c r="BX812" s="27"/>
      <c r="BY812" s="24">
        <v>7366800</v>
      </c>
      <c r="BZ812" s="27"/>
      <c r="CA812" s="24">
        <v>7366800</v>
      </c>
      <c r="CB812" s="27"/>
      <c r="CC812" s="24">
        <v>7366800</v>
      </c>
      <c r="CD812" s="27"/>
      <c r="CE812" s="24">
        <v>14733600</v>
      </c>
      <c r="CF812" s="28"/>
      <c r="CG812" s="28"/>
      <c r="CH812" s="25">
        <f t="shared" ref="CH812:CI812" si="1553">BH812+BJ812+BL812+BN812+BP812+BR812+BT812+BV812+BX812+BZ812+CB812+CD812+CF812</f>
        <v>0</v>
      </c>
      <c r="CI812" s="25">
        <f t="shared" si="1553"/>
        <v>84718200</v>
      </c>
      <c r="CJ812" s="26">
        <f t="shared" si="1526"/>
        <v>84718200</v>
      </c>
      <c r="CK812" s="26">
        <f t="shared" si="1527"/>
        <v>0</v>
      </c>
    </row>
    <row r="813" spans="1:89" ht="90" customHeight="1" x14ac:dyDescent="0.3">
      <c r="A813" s="13" t="s">
        <v>1891</v>
      </c>
      <c r="B813" s="14" t="s">
        <v>30</v>
      </c>
      <c r="C813" s="15" t="s">
        <v>258</v>
      </c>
      <c r="D813" s="14" t="s">
        <v>258</v>
      </c>
      <c r="E813" s="13" t="s">
        <v>250</v>
      </c>
      <c r="F813" s="13" t="s">
        <v>250</v>
      </c>
      <c r="G813" s="14">
        <v>10</v>
      </c>
      <c r="H813" s="13" t="s">
        <v>2088</v>
      </c>
      <c r="I813" s="15" t="s">
        <v>1893</v>
      </c>
      <c r="J813" s="14" t="s">
        <v>1893</v>
      </c>
      <c r="K813" s="15" t="s">
        <v>1893</v>
      </c>
      <c r="L813" s="14">
        <v>80111620</v>
      </c>
      <c r="M813" s="14" t="s">
        <v>2045</v>
      </c>
      <c r="N813" s="14" t="s">
        <v>253</v>
      </c>
      <c r="O813" s="15" t="s">
        <v>2089</v>
      </c>
      <c r="P813" s="14" t="s">
        <v>255</v>
      </c>
      <c r="Q813" s="14" t="s">
        <v>255</v>
      </c>
      <c r="R813" s="14" t="s">
        <v>255</v>
      </c>
      <c r="S813" s="17">
        <v>10</v>
      </c>
      <c r="T813" s="14" t="s">
        <v>256</v>
      </c>
      <c r="U813" s="14" t="s">
        <v>257</v>
      </c>
      <c r="V813" s="14" t="s">
        <v>112</v>
      </c>
      <c r="W813" s="18">
        <v>33000000</v>
      </c>
      <c r="X813" s="18">
        <v>33000000</v>
      </c>
      <c r="Y813" s="19" t="s">
        <v>339</v>
      </c>
      <c r="Z813" s="19" t="s">
        <v>258</v>
      </c>
      <c r="AA813" s="14" t="s">
        <v>888</v>
      </c>
      <c r="AB813" s="14" t="s">
        <v>1995</v>
      </c>
      <c r="AC813" s="14">
        <v>6012220601</v>
      </c>
      <c r="AD813" s="14" t="s">
        <v>890</v>
      </c>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c r="BC813" s="82"/>
      <c r="BD813" s="82"/>
      <c r="BE813" s="83"/>
      <c r="BF813" s="83"/>
      <c r="BG813" s="14" t="str">
        <f ca="1">IFERROR(__xludf.DUMMYFUNCTION("REGEXEXTRACT(O807,""^\S+\s(.+)$"")"),"Prestación de servicios profesionales para la creación desde la experiencia académica, de estrategias de información que trasciendan a la ciudadanía en el conocimiento de la misionalidad de la UPME")</f>
        <v>Prestación de servicios profesionales para la creación desde la experiencia académica, de estrategias de información que trasciendan a la ciudadanía en el conocimiento de la misionalidad de la UPME</v>
      </c>
      <c r="BH813" s="27"/>
      <c r="BI813" s="27"/>
      <c r="BJ813" s="27">
        <v>0</v>
      </c>
      <c r="BK813" s="24">
        <v>0</v>
      </c>
      <c r="BL813" s="27">
        <v>0</v>
      </c>
      <c r="BM813" s="24">
        <v>3300000</v>
      </c>
      <c r="BN813" s="27">
        <v>0</v>
      </c>
      <c r="BO813" s="24">
        <v>3300000</v>
      </c>
      <c r="BP813" s="27">
        <v>0</v>
      </c>
      <c r="BQ813" s="24">
        <v>3300000</v>
      </c>
      <c r="BR813" s="27">
        <v>0</v>
      </c>
      <c r="BS813" s="24">
        <v>3300000</v>
      </c>
      <c r="BT813" s="27">
        <v>0</v>
      </c>
      <c r="BU813" s="24">
        <v>3300000</v>
      </c>
      <c r="BV813" s="27">
        <v>0</v>
      </c>
      <c r="BW813" s="24">
        <v>3300000</v>
      </c>
      <c r="BX813" s="27">
        <v>0</v>
      </c>
      <c r="BY813" s="23">
        <v>3300000</v>
      </c>
      <c r="BZ813" s="27">
        <v>0</v>
      </c>
      <c r="CA813" s="23">
        <v>3300000</v>
      </c>
      <c r="CB813" s="27">
        <v>0</v>
      </c>
      <c r="CC813" s="23">
        <v>3300000</v>
      </c>
      <c r="CD813" s="27">
        <v>0</v>
      </c>
      <c r="CE813" s="23">
        <v>3300000</v>
      </c>
      <c r="CF813" s="28"/>
      <c r="CG813" s="28"/>
      <c r="CH813" s="25">
        <f t="shared" ref="CH813:CI813" si="1554">BH813+BJ813+BL813+BN813+BP813+BR813+BT813+BV813+BX813+BZ813+CB813+CD813+CF813</f>
        <v>0</v>
      </c>
      <c r="CI813" s="25">
        <f t="shared" si="1554"/>
        <v>33000000</v>
      </c>
      <c r="CJ813" s="26">
        <f t="shared" si="1526"/>
        <v>33000000</v>
      </c>
      <c r="CK813" s="26">
        <f t="shared" si="1527"/>
        <v>0</v>
      </c>
    </row>
    <row r="814" spans="1:89" ht="90" customHeight="1" x14ac:dyDescent="0.3">
      <c r="A814" s="13" t="s">
        <v>1891</v>
      </c>
      <c r="B814" s="14" t="s">
        <v>30</v>
      </c>
      <c r="C814" s="15" t="s">
        <v>258</v>
      </c>
      <c r="D814" s="14" t="s">
        <v>258</v>
      </c>
      <c r="E814" s="13" t="s">
        <v>250</v>
      </c>
      <c r="F814" s="13" t="s">
        <v>250</v>
      </c>
      <c r="G814" s="14">
        <v>6</v>
      </c>
      <c r="H814" s="13" t="s">
        <v>2090</v>
      </c>
      <c r="I814" s="15" t="s">
        <v>1893</v>
      </c>
      <c r="J814" s="14" t="s">
        <v>1893</v>
      </c>
      <c r="K814" s="15" t="s">
        <v>1893</v>
      </c>
      <c r="L814" s="14">
        <v>80111620</v>
      </c>
      <c r="M814" s="14" t="s">
        <v>2045</v>
      </c>
      <c r="N814" s="14" t="s">
        <v>253</v>
      </c>
      <c r="O814" s="15" t="s">
        <v>2091</v>
      </c>
      <c r="P814" s="14" t="s">
        <v>255</v>
      </c>
      <c r="Q814" s="14" t="s">
        <v>255</v>
      </c>
      <c r="R814" s="14" t="s">
        <v>255</v>
      </c>
      <c r="S814" s="17">
        <v>3.4</v>
      </c>
      <c r="T814" s="14" t="s">
        <v>256</v>
      </c>
      <c r="U814" s="14" t="s">
        <v>257</v>
      </c>
      <c r="V814" s="14" t="s">
        <v>112</v>
      </c>
      <c r="W814" s="18">
        <v>11425000</v>
      </c>
      <c r="X814" s="18">
        <v>11425000</v>
      </c>
      <c r="Y814" s="19" t="s">
        <v>339</v>
      </c>
      <c r="Z814" s="19" t="s">
        <v>258</v>
      </c>
      <c r="AA814" s="14" t="s">
        <v>971</v>
      </c>
      <c r="AB814" s="14" t="s">
        <v>972</v>
      </c>
      <c r="AC814" s="14">
        <v>6012220601</v>
      </c>
      <c r="AD814" s="14" t="s">
        <v>973</v>
      </c>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c r="BC814" s="82"/>
      <c r="BD814" s="82"/>
      <c r="BE814" s="83"/>
      <c r="BF814" s="83"/>
      <c r="BG814" s="14" t="str">
        <f ca="1">IFERROR(__xludf.DUMMYFUNCTION("REGEXEXTRACT(O808,""^\S+\s(.+)$"")"),"Prestar los servicios profesionales para la asistencia técnica y atención al ciudadano, así como la evaluación de los requerimientos asociados al trámite de Incentivos Tributarios.")</f>
        <v>Prestar los servicios profesionales para la asistencia técnica y atención al ciudadano, así como la evaluación de los requerimientos asociados al trámite de Incentivos Tributarios.</v>
      </c>
      <c r="BH814" s="24"/>
      <c r="BI814" s="24"/>
      <c r="BJ814" s="24">
        <v>0</v>
      </c>
      <c r="BK814" s="24">
        <v>-24710000</v>
      </c>
      <c r="BL814" s="24">
        <v>0</v>
      </c>
      <c r="BM814" s="24">
        <v>3285000</v>
      </c>
      <c r="BN814" s="24">
        <v>0</v>
      </c>
      <c r="BO814" s="24">
        <v>3285000</v>
      </c>
      <c r="BP814" s="24">
        <v>0</v>
      </c>
      <c r="BQ814" s="24">
        <v>3285000</v>
      </c>
      <c r="BR814" s="24">
        <v>0</v>
      </c>
      <c r="BS814" s="24">
        <v>3285000</v>
      </c>
      <c r="BT814" s="24">
        <v>0</v>
      </c>
      <c r="BU814" s="24">
        <v>3285000</v>
      </c>
      <c r="BV814" s="24">
        <v>0</v>
      </c>
      <c r="BW814" s="24">
        <v>3285000</v>
      </c>
      <c r="BX814" s="24">
        <v>0</v>
      </c>
      <c r="BY814" s="24">
        <v>3285000</v>
      </c>
      <c r="BZ814" s="24">
        <v>0</v>
      </c>
      <c r="CA814" s="24">
        <v>3285000</v>
      </c>
      <c r="CB814" s="24">
        <v>0</v>
      </c>
      <c r="CC814" s="24">
        <v>3285000</v>
      </c>
      <c r="CD814" s="24">
        <v>0</v>
      </c>
      <c r="CE814" s="24">
        <v>6570000</v>
      </c>
      <c r="CF814" s="28"/>
      <c r="CG814" s="28"/>
      <c r="CH814" s="25">
        <f t="shared" ref="CH814:CI814" si="1555">BH814+BJ814+BL814+BN814+BP814+BR814+BT814+BV814+BX814+BZ814+CB814+CD814+CF814</f>
        <v>0</v>
      </c>
      <c r="CI814" s="25">
        <f t="shared" si="1555"/>
        <v>11425000</v>
      </c>
      <c r="CJ814" s="26">
        <f t="shared" si="1526"/>
        <v>11425000</v>
      </c>
      <c r="CK814" s="26">
        <f t="shared" si="1527"/>
        <v>0</v>
      </c>
    </row>
    <row r="815" spans="1:89" ht="90" customHeight="1" x14ac:dyDescent="0.3">
      <c r="A815" s="13" t="s">
        <v>1891</v>
      </c>
      <c r="B815" s="14" t="s">
        <v>30</v>
      </c>
      <c r="C815" s="15" t="s">
        <v>258</v>
      </c>
      <c r="D815" s="14" t="s">
        <v>258</v>
      </c>
      <c r="E815" s="13" t="s">
        <v>250</v>
      </c>
      <c r="F815" s="13" t="s">
        <v>250</v>
      </c>
      <c r="G815" s="14">
        <v>68</v>
      </c>
      <c r="H815" s="13" t="s">
        <v>2092</v>
      </c>
      <c r="I815" s="15" t="s">
        <v>1893</v>
      </c>
      <c r="J815" s="14" t="s">
        <v>1893</v>
      </c>
      <c r="K815" s="15" t="s">
        <v>1893</v>
      </c>
      <c r="L815" s="14">
        <v>80111620</v>
      </c>
      <c r="M815" s="14" t="s">
        <v>2045</v>
      </c>
      <c r="N815" s="14" t="s">
        <v>253</v>
      </c>
      <c r="O815" s="15" t="s">
        <v>2093</v>
      </c>
      <c r="P815" s="14" t="s">
        <v>255</v>
      </c>
      <c r="Q815" s="14" t="s">
        <v>255</v>
      </c>
      <c r="R815" s="14" t="s">
        <v>255</v>
      </c>
      <c r="S815" s="17">
        <v>6.5</v>
      </c>
      <c r="T815" s="14" t="s">
        <v>256</v>
      </c>
      <c r="U815" s="14" t="s">
        <v>257</v>
      </c>
      <c r="V815" s="14" t="s">
        <v>112</v>
      </c>
      <c r="W815" s="18">
        <v>40472250</v>
      </c>
      <c r="X815" s="18">
        <v>40472250</v>
      </c>
      <c r="Y815" s="19" t="s">
        <v>339</v>
      </c>
      <c r="Z815" s="19" t="s">
        <v>258</v>
      </c>
      <c r="AA815" s="14" t="s">
        <v>888</v>
      </c>
      <c r="AB815" s="14" t="s">
        <v>1995</v>
      </c>
      <c r="AC815" s="14">
        <v>6012220601</v>
      </c>
      <c r="AD815" s="14" t="s">
        <v>890</v>
      </c>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c r="BC815" s="82"/>
      <c r="BD815" s="82"/>
      <c r="BE815" s="83"/>
      <c r="BF815" s="83"/>
      <c r="BG815" s="14" t="str">
        <f ca="1">IFERROR(__xludf.DUMMYFUNCTION("REGEXEXTRACT(O809,""^\S+\s(.+)$"")"),"Prestar los servicios profesionales para la gestión en la ejecución de los ingresos y gastos de comercialización y producción, apoyo en el seguimiento técnico, administrativo y financiero al cumplimiento del objeto del contrato de la fiducia mercantil y a"&amp;"poyo en las actividades relacionadas de la gestión de tesorería")</f>
        <v>Prestar los servicios profesionales para la gestión en la ejecución de los ingresos y gastos de comercialización y producción, apoyo en el seguimiento técnico, administrativo y financiero al cumplimiento del objeto del contrato de la fiducia mercantil y apoyo en las actividades relacionadas de la gestión de tesorería</v>
      </c>
      <c r="BH815" s="27"/>
      <c r="BI815" s="27"/>
      <c r="BJ815" s="27"/>
      <c r="BK815" s="24">
        <v>3113250</v>
      </c>
      <c r="BL815" s="27"/>
      <c r="BM815" s="24">
        <v>6226500</v>
      </c>
      <c r="BN815" s="27"/>
      <c r="BO815" s="24">
        <v>6226500</v>
      </c>
      <c r="BP815" s="27"/>
      <c r="BQ815" s="24">
        <v>6226500</v>
      </c>
      <c r="BR815" s="27"/>
      <c r="BS815" s="24">
        <v>6226500</v>
      </c>
      <c r="BT815" s="27"/>
      <c r="BU815" s="24">
        <v>6226500</v>
      </c>
      <c r="BV815" s="27"/>
      <c r="BW815" s="24">
        <v>6226500</v>
      </c>
      <c r="BX815" s="27"/>
      <c r="BY815" s="27"/>
      <c r="BZ815" s="27"/>
      <c r="CA815" s="27"/>
      <c r="CB815" s="27"/>
      <c r="CC815" s="27"/>
      <c r="CD815" s="27"/>
      <c r="CE815" s="27"/>
      <c r="CF815" s="28"/>
      <c r="CG815" s="28"/>
      <c r="CH815" s="25">
        <f t="shared" ref="CH815:CI815" si="1556">BH815+BJ815+BL815+BN815+BP815+BR815+BT815+BV815+BX815+BZ815+CB815+CD815+CF815</f>
        <v>0</v>
      </c>
      <c r="CI815" s="25">
        <f t="shared" si="1556"/>
        <v>40472250</v>
      </c>
      <c r="CJ815" s="26">
        <f t="shared" si="1526"/>
        <v>40472250</v>
      </c>
      <c r="CK815" s="26">
        <f t="shared" si="1527"/>
        <v>0</v>
      </c>
    </row>
    <row r="816" spans="1:89" ht="90" customHeight="1" x14ac:dyDescent="0.3">
      <c r="A816" s="13" t="s">
        <v>1891</v>
      </c>
      <c r="B816" s="14" t="s">
        <v>30</v>
      </c>
      <c r="C816" s="15" t="s">
        <v>258</v>
      </c>
      <c r="D816" s="14" t="s">
        <v>258</v>
      </c>
      <c r="E816" s="13" t="s">
        <v>250</v>
      </c>
      <c r="F816" s="13" t="s">
        <v>250</v>
      </c>
      <c r="G816" s="14">
        <v>68</v>
      </c>
      <c r="H816" s="13" t="s">
        <v>2094</v>
      </c>
      <c r="I816" s="15" t="s">
        <v>1893</v>
      </c>
      <c r="J816" s="14" t="s">
        <v>1893</v>
      </c>
      <c r="K816" s="15" t="s">
        <v>1893</v>
      </c>
      <c r="L816" s="14" t="s">
        <v>2095</v>
      </c>
      <c r="M816" s="14" t="s">
        <v>2096</v>
      </c>
      <c r="N816" s="14" t="s">
        <v>253</v>
      </c>
      <c r="O816" s="15" t="s">
        <v>2097</v>
      </c>
      <c r="P816" s="14" t="s">
        <v>255</v>
      </c>
      <c r="Q816" s="14" t="s">
        <v>255</v>
      </c>
      <c r="R816" s="14" t="s">
        <v>255</v>
      </c>
      <c r="S816" s="17">
        <v>12</v>
      </c>
      <c r="T816" s="14" t="s">
        <v>256</v>
      </c>
      <c r="U816" s="14" t="s">
        <v>257</v>
      </c>
      <c r="V816" s="14" t="s">
        <v>112</v>
      </c>
      <c r="W816" s="18">
        <v>67081020</v>
      </c>
      <c r="X816" s="18">
        <v>67081020</v>
      </c>
      <c r="Y816" s="19" t="s">
        <v>339</v>
      </c>
      <c r="Z816" s="19" t="s">
        <v>258</v>
      </c>
      <c r="AA816" s="14" t="s">
        <v>888</v>
      </c>
      <c r="AB816" s="14" t="s">
        <v>1995</v>
      </c>
      <c r="AC816" s="14">
        <v>6012220601</v>
      </c>
      <c r="AD816" s="14" t="s">
        <v>890</v>
      </c>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c r="BC816" s="82"/>
      <c r="BD816" s="82"/>
      <c r="BE816" s="83"/>
      <c r="BF816" s="83"/>
      <c r="BG816" s="14" t="str">
        <f ca="1">IFERROR(__xludf.DUMMYFUNCTION("REGEXEXTRACT(O810,""^\S+\s(.+)$"")"),"Constituir una Fiducia Mercantil, a través del cual se recibirán y administrarán los recursos provenientes de los terceros que utilicen o soliciten servicios técnicos o de planeación y asesoría a la Unidad de Planeación Minero Energética - UPME.")</f>
        <v>Constituir una Fiducia Mercantil, a través del cual se recibirán y administrarán los recursos provenientes de los terceros que utilicen o soliciten servicios técnicos o de planeación y asesoría a la Unidad de Planeación Minero Energética - UPME.</v>
      </c>
      <c r="BH816" s="27"/>
      <c r="BI816" s="27"/>
      <c r="BJ816" s="27"/>
      <c r="BK816" s="24">
        <v>5590085</v>
      </c>
      <c r="BL816" s="27"/>
      <c r="BM816" s="24">
        <v>5590085</v>
      </c>
      <c r="BN816" s="27"/>
      <c r="BO816" s="24">
        <v>5590085</v>
      </c>
      <c r="BP816" s="27"/>
      <c r="BQ816" s="24">
        <v>5590085</v>
      </c>
      <c r="BR816" s="27"/>
      <c r="BS816" s="24">
        <v>5590085</v>
      </c>
      <c r="BT816" s="27"/>
      <c r="BU816" s="24">
        <v>5590085</v>
      </c>
      <c r="BV816" s="27"/>
      <c r="BW816" s="24">
        <v>5590085</v>
      </c>
      <c r="BX816" s="27"/>
      <c r="BY816" s="24">
        <v>5590085</v>
      </c>
      <c r="BZ816" s="27"/>
      <c r="CA816" s="24">
        <v>5590085</v>
      </c>
      <c r="CB816" s="27"/>
      <c r="CC816" s="24">
        <v>5590085</v>
      </c>
      <c r="CD816" s="27"/>
      <c r="CE816" s="24">
        <v>5590085</v>
      </c>
      <c r="CF816" s="28"/>
      <c r="CG816" s="28"/>
      <c r="CH816" s="25">
        <f t="shared" ref="CH816:CI816" si="1557">BH816+BJ816+BL816+BN816+BP816+BR816+BT816+BV816+BX816+BZ816+CB816+CD816+CF816</f>
        <v>0</v>
      </c>
      <c r="CI816" s="25">
        <f t="shared" si="1557"/>
        <v>61490935</v>
      </c>
      <c r="CJ816" s="26">
        <f t="shared" si="1526"/>
        <v>67081020</v>
      </c>
      <c r="CK816" s="26">
        <f t="shared" si="1527"/>
        <v>5590085</v>
      </c>
    </row>
    <row r="817" spans="1:89" ht="90" customHeight="1" x14ac:dyDescent="0.3">
      <c r="A817" s="13" t="s">
        <v>1891</v>
      </c>
      <c r="B817" s="14" t="s">
        <v>30</v>
      </c>
      <c r="C817" s="15" t="s">
        <v>258</v>
      </c>
      <c r="D817" s="14" t="s">
        <v>258</v>
      </c>
      <c r="E817" s="13" t="s">
        <v>250</v>
      </c>
      <c r="F817" s="13" t="s">
        <v>250</v>
      </c>
      <c r="G817" s="14">
        <v>68</v>
      </c>
      <c r="H817" s="13" t="s">
        <v>2098</v>
      </c>
      <c r="I817" s="15" t="s">
        <v>1893</v>
      </c>
      <c r="J817" s="14" t="s">
        <v>1893</v>
      </c>
      <c r="K817" s="15" t="s">
        <v>1893</v>
      </c>
      <c r="L817" s="14">
        <v>80111620</v>
      </c>
      <c r="M817" s="14" t="s">
        <v>2042</v>
      </c>
      <c r="N817" s="14" t="s">
        <v>253</v>
      </c>
      <c r="O817" s="15" t="s">
        <v>2099</v>
      </c>
      <c r="P817" s="14" t="s">
        <v>255</v>
      </c>
      <c r="Q817" s="14" t="s">
        <v>255</v>
      </c>
      <c r="R817" s="14" t="s">
        <v>255</v>
      </c>
      <c r="S817" s="17">
        <v>11.5</v>
      </c>
      <c r="T817" s="14" t="s">
        <v>256</v>
      </c>
      <c r="U817" s="14" t="s">
        <v>257</v>
      </c>
      <c r="V817" s="14" t="s">
        <v>112</v>
      </c>
      <c r="W817" s="18">
        <v>36800000</v>
      </c>
      <c r="X817" s="18">
        <v>36800000</v>
      </c>
      <c r="Y817" s="19" t="s">
        <v>339</v>
      </c>
      <c r="Z817" s="19" t="s">
        <v>258</v>
      </c>
      <c r="AA817" s="14" t="s">
        <v>888</v>
      </c>
      <c r="AB817" s="14" t="s">
        <v>1995</v>
      </c>
      <c r="AC817" s="14">
        <v>6012220601</v>
      </c>
      <c r="AD817" s="14" t="s">
        <v>890</v>
      </c>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c r="BC817" s="82"/>
      <c r="BD817" s="82"/>
      <c r="BE817" s="83"/>
      <c r="BF817" s="83"/>
      <c r="BG817" s="14" t="str">
        <f ca="1">IFERROR(__xludf.DUMMYFUNCTION("REGEXEXTRACT(O811,""^\S+\s(.+)$"")"),"Prestar servicios profesionales,  para el desarrollo de actividades relacionadas con el seguimiento, análisis y control de la gestión contable  de la Unidad de Planeación Minero Energética – UPME")</f>
        <v>Prestar servicios profesionales,  para el desarrollo de actividades relacionadas con el seguimiento, análisis y control de la gestión contable  de la Unidad de Planeación Minero Energética – UPME</v>
      </c>
      <c r="BH817" s="27"/>
      <c r="BI817" s="27"/>
      <c r="BJ817" s="27"/>
      <c r="BK817" s="24">
        <v>1600000</v>
      </c>
      <c r="BL817" s="27"/>
      <c r="BM817" s="24">
        <v>3200000</v>
      </c>
      <c r="BN817" s="27"/>
      <c r="BO817" s="24">
        <v>3200000</v>
      </c>
      <c r="BP817" s="27"/>
      <c r="BQ817" s="24">
        <v>3200000</v>
      </c>
      <c r="BR817" s="27"/>
      <c r="BS817" s="24">
        <v>3200000</v>
      </c>
      <c r="BT817" s="27"/>
      <c r="BU817" s="24">
        <v>3200000</v>
      </c>
      <c r="BV817" s="27"/>
      <c r="BW817" s="24">
        <v>3200000</v>
      </c>
      <c r="BX817" s="27"/>
      <c r="BY817" s="24">
        <v>3200000</v>
      </c>
      <c r="BZ817" s="27"/>
      <c r="CA817" s="24">
        <v>3200000</v>
      </c>
      <c r="CB817" s="27"/>
      <c r="CC817" s="24">
        <v>3200000</v>
      </c>
      <c r="CD817" s="27"/>
      <c r="CE817" s="24">
        <v>6400000</v>
      </c>
      <c r="CF817" s="28"/>
      <c r="CG817" s="28"/>
      <c r="CH817" s="25">
        <f t="shared" ref="CH817:CI817" si="1558">BH817+BJ817+BL817+BN817+BP817+BR817+BT817+BV817+BX817+BZ817+CB817+CD817+CF817</f>
        <v>0</v>
      </c>
      <c r="CI817" s="25">
        <f t="shared" si="1558"/>
        <v>36800000</v>
      </c>
      <c r="CJ817" s="26">
        <f t="shared" si="1526"/>
        <v>36800000</v>
      </c>
      <c r="CK817" s="26">
        <f t="shared" si="1527"/>
        <v>0</v>
      </c>
    </row>
    <row r="818" spans="1:89" ht="90" customHeight="1" x14ac:dyDescent="0.3">
      <c r="A818" s="13" t="s">
        <v>1891</v>
      </c>
      <c r="B818" s="14" t="s">
        <v>30</v>
      </c>
      <c r="C818" s="15" t="s">
        <v>258</v>
      </c>
      <c r="D818" s="14" t="s">
        <v>258</v>
      </c>
      <c r="E818" s="13" t="s">
        <v>250</v>
      </c>
      <c r="F818" s="13" t="s">
        <v>250</v>
      </c>
      <c r="G818" s="14">
        <v>68</v>
      </c>
      <c r="H818" s="13" t="s">
        <v>2100</v>
      </c>
      <c r="I818" s="15" t="s">
        <v>1893</v>
      </c>
      <c r="J818" s="14" t="s">
        <v>1893</v>
      </c>
      <c r="K818" s="15" t="s">
        <v>1893</v>
      </c>
      <c r="L818" s="14">
        <v>80111620</v>
      </c>
      <c r="M818" s="14" t="s">
        <v>2042</v>
      </c>
      <c r="N818" s="14" t="s">
        <v>253</v>
      </c>
      <c r="O818" s="15" t="s">
        <v>2101</v>
      </c>
      <c r="P818" s="14" t="s">
        <v>255</v>
      </c>
      <c r="Q818" s="14" t="s">
        <v>255</v>
      </c>
      <c r="R818" s="14" t="s">
        <v>255</v>
      </c>
      <c r="S818" s="17">
        <v>11.5</v>
      </c>
      <c r="T818" s="14" t="s">
        <v>256</v>
      </c>
      <c r="U818" s="14" t="s">
        <v>257</v>
      </c>
      <c r="V818" s="14" t="s">
        <v>112</v>
      </c>
      <c r="W818" s="18">
        <v>57500000</v>
      </c>
      <c r="X818" s="18">
        <v>57500000</v>
      </c>
      <c r="Y818" s="19" t="s">
        <v>339</v>
      </c>
      <c r="Z818" s="19" t="s">
        <v>258</v>
      </c>
      <c r="AA818" s="14" t="s">
        <v>884</v>
      </c>
      <c r="AB818" s="14" t="s">
        <v>2071</v>
      </c>
      <c r="AC818" s="14">
        <v>6012220601</v>
      </c>
      <c r="AD818" s="14" t="s">
        <v>369</v>
      </c>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c r="BC818" s="82"/>
      <c r="BD818" s="82"/>
      <c r="BE818" s="83"/>
      <c r="BF818" s="83"/>
      <c r="BG818" s="14" t="str">
        <f ca="1">IFERROR(__xludf.DUMMYFUNCTION("REGEXEXTRACT(O812,""^\S+\s(.+)$"")"),"Prestar servicios profesionales para el desarrollo de los tramites contractuales requeridos y la proyección de las respuestas a las PQRS de la entidad, en especial las relacionadas con el tramite de Incentivos Tributarios.")</f>
        <v>Prestar servicios profesionales para el desarrollo de los tramites contractuales requeridos y la proyección de las respuestas a las PQRS de la entidad, en especial las relacionadas con el tramite de Incentivos Tributarios.</v>
      </c>
      <c r="BH818" s="27"/>
      <c r="BI818" s="27"/>
      <c r="BJ818" s="27"/>
      <c r="BK818" s="24">
        <v>2500000</v>
      </c>
      <c r="BL818" s="27"/>
      <c r="BM818" s="24">
        <v>5000000</v>
      </c>
      <c r="BN818" s="27"/>
      <c r="BO818" s="24">
        <v>5000000</v>
      </c>
      <c r="BP818" s="27"/>
      <c r="BQ818" s="24">
        <v>5000000</v>
      </c>
      <c r="BR818" s="27"/>
      <c r="BS818" s="24">
        <v>5000000</v>
      </c>
      <c r="BT818" s="27"/>
      <c r="BU818" s="24">
        <v>5000000</v>
      </c>
      <c r="BV818" s="27"/>
      <c r="BW818" s="24">
        <v>5000000</v>
      </c>
      <c r="BX818" s="27"/>
      <c r="BY818" s="24">
        <v>5000000</v>
      </c>
      <c r="BZ818" s="27"/>
      <c r="CA818" s="24">
        <v>5000000</v>
      </c>
      <c r="CB818" s="27"/>
      <c r="CC818" s="24">
        <v>5000000</v>
      </c>
      <c r="CD818" s="27"/>
      <c r="CE818" s="24">
        <v>10000000</v>
      </c>
      <c r="CF818" s="28"/>
      <c r="CG818" s="28"/>
      <c r="CH818" s="25">
        <f t="shared" ref="CH818:CI818" si="1559">BH818+BJ818+BL818+BN818+BP818+BR818+BT818+BV818+BX818+BZ818+CB818+CD818+CF818</f>
        <v>0</v>
      </c>
      <c r="CI818" s="25">
        <f t="shared" si="1559"/>
        <v>57500000</v>
      </c>
      <c r="CJ818" s="26">
        <f t="shared" si="1526"/>
        <v>57500000</v>
      </c>
      <c r="CK818" s="26">
        <f t="shared" si="1527"/>
        <v>0</v>
      </c>
    </row>
    <row r="819" spans="1:89" ht="90" customHeight="1" x14ac:dyDescent="0.3">
      <c r="A819" s="13" t="s">
        <v>1891</v>
      </c>
      <c r="B819" s="14" t="s">
        <v>30</v>
      </c>
      <c r="C819" s="15" t="s">
        <v>258</v>
      </c>
      <c r="D819" s="14" t="s">
        <v>258</v>
      </c>
      <c r="E819" s="13" t="s">
        <v>250</v>
      </c>
      <c r="F819" s="13" t="s">
        <v>250</v>
      </c>
      <c r="G819" s="14">
        <v>68</v>
      </c>
      <c r="H819" s="13" t="s">
        <v>2102</v>
      </c>
      <c r="I819" s="15" t="s">
        <v>1893</v>
      </c>
      <c r="J819" s="14" t="s">
        <v>1893</v>
      </c>
      <c r="K819" s="15" t="s">
        <v>1893</v>
      </c>
      <c r="L819" s="14">
        <v>80111620</v>
      </c>
      <c r="M819" s="14" t="s">
        <v>2042</v>
      </c>
      <c r="N819" s="14" t="s">
        <v>253</v>
      </c>
      <c r="O819" s="15" t="s">
        <v>2103</v>
      </c>
      <c r="P819" s="14" t="s">
        <v>255</v>
      </c>
      <c r="Q819" s="14" t="s">
        <v>255</v>
      </c>
      <c r="R819" s="14" t="s">
        <v>255</v>
      </c>
      <c r="S819" s="17">
        <v>11.5</v>
      </c>
      <c r="T819" s="14" t="s">
        <v>256</v>
      </c>
      <c r="U819" s="14" t="s">
        <v>257</v>
      </c>
      <c r="V819" s="14" t="s">
        <v>112</v>
      </c>
      <c r="W819" s="18">
        <v>34500000</v>
      </c>
      <c r="X819" s="18">
        <v>34500000</v>
      </c>
      <c r="Y819" s="19" t="s">
        <v>339</v>
      </c>
      <c r="Z819" s="19" t="s">
        <v>258</v>
      </c>
      <c r="AA819" s="14" t="s">
        <v>888</v>
      </c>
      <c r="AB819" s="14" t="s">
        <v>1995</v>
      </c>
      <c r="AC819" s="14">
        <v>6012220601</v>
      </c>
      <c r="AD819" s="14" t="s">
        <v>311</v>
      </c>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c r="BC819" s="82"/>
      <c r="BD819" s="82"/>
      <c r="BE819" s="83"/>
      <c r="BF819" s="83"/>
      <c r="BG819" s="14" t="str">
        <f ca="1">IFERROR(__xludf.DUMMYFUNCTION("REGEXEXTRACT(O813,""^\S+\s(.+)$"")"),"Prestar apoyo técnico operativo en los procesos de registro, verificación y organización de la información contable, presupuestal y financiera de la entidad, conforme a la normatividad vigente del sector público, contribuyendo al correcto manejo de los re"&amp;"cursos y al cumplimiento de los procedimientos internos establecidos.")</f>
        <v>Prestar apoyo técnico operativo en los procesos de registro, verificación y organización de la información contable, presupuestal y financiera de la entidad, conforme a la normatividad vigente del sector público, contribuyendo al correcto manejo de los recursos y al cumplimiento de los procedimientos internos establecidos.</v>
      </c>
      <c r="BH819" s="27"/>
      <c r="BI819" s="27"/>
      <c r="BJ819" s="27"/>
      <c r="BK819" s="24">
        <v>1500000</v>
      </c>
      <c r="BL819" s="27"/>
      <c r="BM819" s="24">
        <v>3000000</v>
      </c>
      <c r="BN819" s="27"/>
      <c r="BO819" s="24">
        <v>3000000</v>
      </c>
      <c r="BP819" s="27"/>
      <c r="BQ819" s="24">
        <v>3000000</v>
      </c>
      <c r="BR819" s="27"/>
      <c r="BS819" s="24">
        <v>3000000</v>
      </c>
      <c r="BT819" s="27"/>
      <c r="BU819" s="24">
        <v>3000000</v>
      </c>
      <c r="BV819" s="27"/>
      <c r="BW819" s="24">
        <v>3000000</v>
      </c>
      <c r="BX819" s="27"/>
      <c r="BY819" s="24">
        <v>3000000</v>
      </c>
      <c r="BZ819" s="27"/>
      <c r="CA819" s="24">
        <v>3000000</v>
      </c>
      <c r="CB819" s="27"/>
      <c r="CC819" s="24">
        <v>3000000</v>
      </c>
      <c r="CD819" s="27"/>
      <c r="CE819" s="24">
        <v>6000000</v>
      </c>
      <c r="CF819" s="28"/>
      <c r="CG819" s="28"/>
      <c r="CH819" s="25">
        <f t="shared" ref="CH819:CI819" si="1560">BH819+BJ819+BL819+BN819+BP819+BR819+BT819+BV819+BX819+BZ819+CB819+CD819+CF819</f>
        <v>0</v>
      </c>
      <c r="CI819" s="25">
        <f t="shared" si="1560"/>
        <v>34500000</v>
      </c>
      <c r="CJ819" s="26">
        <f t="shared" si="1526"/>
        <v>34500000</v>
      </c>
      <c r="CK819" s="26">
        <f t="shared" si="1527"/>
        <v>0</v>
      </c>
    </row>
    <row r="820" spans="1:89" ht="90" customHeight="1" x14ac:dyDescent="0.3">
      <c r="A820" s="13" t="s">
        <v>1891</v>
      </c>
      <c r="B820" s="14" t="s">
        <v>30</v>
      </c>
      <c r="C820" s="15" t="s">
        <v>258</v>
      </c>
      <c r="D820" s="14" t="s">
        <v>258</v>
      </c>
      <c r="E820" s="13" t="s">
        <v>250</v>
      </c>
      <c r="F820" s="13" t="s">
        <v>250</v>
      </c>
      <c r="G820" s="14">
        <v>7</v>
      </c>
      <c r="H820" s="13" t="s">
        <v>2104</v>
      </c>
      <c r="I820" s="15" t="s">
        <v>1893</v>
      </c>
      <c r="J820" s="14" t="s">
        <v>1893</v>
      </c>
      <c r="K820" s="15" t="s">
        <v>1893</v>
      </c>
      <c r="L820" s="14">
        <v>80111620</v>
      </c>
      <c r="M820" s="14" t="s">
        <v>2042</v>
      </c>
      <c r="N820" s="14" t="s">
        <v>253</v>
      </c>
      <c r="O820" s="15" t="s">
        <v>2105</v>
      </c>
      <c r="P820" s="14" t="s">
        <v>255</v>
      </c>
      <c r="Q820" s="14" t="s">
        <v>255</v>
      </c>
      <c r="R820" s="14" t="s">
        <v>255</v>
      </c>
      <c r="S820" s="17">
        <v>11</v>
      </c>
      <c r="T820" s="14" t="s">
        <v>256</v>
      </c>
      <c r="U820" s="14" t="s">
        <v>257</v>
      </c>
      <c r="V820" s="14" t="s">
        <v>112</v>
      </c>
      <c r="W820" s="18">
        <v>36800000</v>
      </c>
      <c r="X820" s="18">
        <v>36800000</v>
      </c>
      <c r="Y820" s="19" t="s">
        <v>339</v>
      </c>
      <c r="Z820" s="19" t="s">
        <v>258</v>
      </c>
      <c r="AA820" s="14" t="s">
        <v>888</v>
      </c>
      <c r="AB820" s="14" t="s">
        <v>1995</v>
      </c>
      <c r="AC820" s="14">
        <v>6012220601</v>
      </c>
      <c r="AD820" s="14" t="s">
        <v>311</v>
      </c>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c r="BC820" s="82"/>
      <c r="BD820" s="82"/>
      <c r="BE820" s="83"/>
      <c r="BF820" s="83"/>
      <c r="BG820" s="14" t="str">
        <f ca="1">IFERROR(__xludf.DUMMYFUNCTION("REGEXEXTRACT(O814,""^\S+\s(.+)$"")"),"Prestar servicios de apoyo en las actividades de registro, clasificación, depuración, verificación y archivo de la información contable de la entidad, de conformidad con la normatividad contable del sector público y los procedimientos internos, contribuye"&amp;"ndo a la elaboración de informes contables y al adecuado control de las operaciones financieras.")</f>
        <v>Prestar servicios de apoyo en las actividades de registro, clasificación, depuración, verificación y archivo de la información contable de la entidad, de conformidad con la normatividad contable del sector público y los procedimientos internos, contribuyendo a la elaboración de informes contables y al adecuado control de las operaciones financieras.</v>
      </c>
      <c r="BH820" s="27"/>
      <c r="BI820" s="27"/>
      <c r="BJ820" s="27">
        <v>0</v>
      </c>
      <c r="BK820" s="24">
        <v>3345450</v>
      </c>
      <c r="BL820" s="27">
        <v>0</v>
      </c>
      <c r="BM820" s="24">
        <v>3345450</v>
      </c>
      <c r="BN820" s="27">
        <v>0</v>
      </c>
      <c r="BO820" s="24">
        <v>3345450</v>
      </c>
      <c r="BP820" s="27">
        <v>0</v>
      </c>
      <c r="BQ820" s="24">
        <v>3345450</v>
      </c>
      <c r="BR820" s="27">
        <v>0</v>
      </c>
      <c r="BS820" s="24">
        <v>3345450</v>
      </c>
      <c r="BT820" s="27">
        <v>0</v>
      </c>
      <c r="BU820" s="24">
        <v>3345450</v>
      </c>
      <c r="BV820" s="27">
        <v>0</v>
      </c>
      <c r="BW820" s="24">
        <v>3345450</v>
      </c>
      <c r="BX820" s="27">
        <v>0</v>
      </c>
      <c r="BY820" s="24">
        <v>3345450</v>
      </c>
      <c r="BZ820" s="27">
        <v>0</v>
      </c>
      <c r="CA820" s="24">
        <v>3345450</v>
      </c>
      <c r="CB820" s="27">
        <v>0</v>
      </c>
      <c r="CC820" s="24">
        <v>3345450</v>
      </c>
      <c r="CD820" s="27">
        <v>0</v>
      </c>
      <c r="CE820" s="24">
        <v>3345500</v>
      </c>
      <c r="CF820" s="28"/>
      <c r="CG820" s="28"/>
      <c r="CH820" s="25">
        <f t="shared" ref="CH820:CI820" si="1561">BH820+BJ820+BL820+BN820+BP820+BR820+BT820+BV820+BX820+BZ820+CB820+CD820+CF820</f>
        <v>0</v>
      </c>
      <c r="CI820" s="25">
        <f t="shared" si="1561"/>
        <v>36800000</v>
      </c>
      <c r="CJ820" s="26">
        <f t="shared" si="1526"/>
        <v>36800000</v>
      </c>
      <c r="CK820" s="26">
        <f t="shared" si="1527"/>
        <v>0</v>
      </c>
    </row>
    <row r="821" spans="1:89" ht="90" customHeight="1" x14ac:dyDescent="0.3">
      <c r="A821" s="13" t="s">
        <v>1891</v>
      </c>
      <c r="B821" s="14" t="s">
        <v>30</v>
      </c>
      <c r="C821" s="15" t="s">
        <v>258</v>
      </c>
      <c r="D821" s="14" t="s">
        <v>258</v>
      </c>
      <c r="E821" s="13" t="s">
        <v>250</v>
      </c>
      <c r="F821" s="13" t="s">
        <v>250</v>
      </c>
      <c r="G821" s="14">
        <v>1</v>
      </c>
      <c r="H821" s="13" t="s">
        <v>2106</v>
      </c>
      <c r="I821" s="15" t="s">
        <v>1893</v>
      </c>
      <c r="J821" s="14" t="s">
        <v>1893</v>
      </c>
      <c r="K821" s="15" t="s">
        <v>1893</v>
      </c>
      <c r="L821" s="14">
        <v>80111620</v>
      </c>
      <c r="M821" s="14" t="s">
        <v>2045</v>
      </c>
      <c r="N821" s="14" t="s">
        <v>253</v>
      </c>
      <c r="O821" s="15" t="s">
        <v>2107</v>
      </c>
      <c r="P821" s="14" t="s">
        <v>255</v>
      </c>
      <c r="Q821" s="14" t="s">
        <v>255</v>
      </c>
      <c r="R821" s="14" t="s">
        <v>255</v>
      </c>
      <c r="S821" s="17">
        <v>11.4</v>
      </c>
      <c r="T821" s="14" t="s">
        <v>256</v>
      </c>
      <c r="U821" s="14" t="s">
        <v>257</v>
      </c>
      <c r="V821" s="14" t="s">
        <v>112</v>
      </c>
      <c r="W821" s="84">
        <v>57000000</v>
      </c>
      <c r="X821" s="18">
        <v>57000000</v>
      </c>
      <c r="Y821" s="19" t="s">
        <v>339</v>
      </c>
      <c r="Z821" s="19" t="s">
        <v>258</v>
      </c>
      <c r="AA821" s="14" t="s">
        <v>971</v>
      </c>
      <c r="AB821" s="14" t="s">
        <v>972</v>
      </c>
      <c r="AC821" s="14">
        <v>6012220601</v>
      </c>
      <c r="AD821" s="14" t="s">
        <v>973</v>
      </c>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82"/>
      <c r="BD821" s="82"/>
      <c r="BE821" s="83"/>
      <c r="BF821" s="83"/>
      <c r="BG821" s="14" t="str">
        <f ca="1">IFERROR(__xludf.DUMMYFUNCTION("REGEXEXTRACT(O815,""^\S+\s(.+)$"")"),"Prestar servicios profesionales en la formulación, análisis, seguimiento y evaluación de políticas, planes, programas y procesos institucionales, mediante el acompañamiento a las dependencias, la emisión de conceptos y recomendaciones administrativas, la "&amp;"elaboración de informes y el apoyo al cumplimiento de los lineamientos estratégicos, normativos y operativos de la Entidad.")</f>
        <v>Prestar servicios profesionales en la formulación, análisis, seguimiento y evaluación de políticas, planes, programas y procesos institucionales, mediante el acompañamiento a las dependencias, la emisión de conceptos y recomendaciones administrativas, la elaboración de informes y el apoyo al cumplimiento de los lineamientos estratégicos, normativos y operativos de la Entidad.</v>
      </c>
      <c r="BH821" s="27"/>
      <c r="BI821" s="27"/>
      <c r="BJ821" s="24"/>
      <c r="BK821" s="24">
        <v>2000000</v>
      </c>
      <c r="BL821" s="24"/>
      <c r="BM821" s="24">
        <v>5000000</v>
      </c>
      <c r="BN821" s="24"/>
      <c r="BO821" s="24">
        <v>5000000</v>
      </c>
      <c r="BP821" s="24"/>
      <c r="BQ821" s="24">
        <v>5000000</v>
      </c>
      <c r="BR821" s="24"/>
      <c r="BS821" s="24">
        <v>5000000</v>
      </c>
      <c r="BT821" s="24"/>
      <c r="BU821" s="24">
        <v>5000000</v>
      </c>
      <c r="BV821" s="24"/>
      <c r="BW821" s="24">
        <v>5000000</v>
      </c>
      <c r="BX821" s="24"/>
      <c r="BY821" s="24">
        <v>5000000</v>
      </c>
      <c r="BZ821" s="24"/>
      <c r="CA821" s="24">
        <v>5000000</v>
      </c>
      <c r="CB821" s="24"/>
      <c r="CC821" s="24">
        <v>5000000</v>
      </c>
      <c r="CD821" s="24"/>
      <c r="CE821" s="24">
        <v>10000000</v>
      </c>
      <c r="CF821" s="28"/>
      <c r="CG821" s="28"/>
      <c r="CH821" s="25">
        <f t="shared" ref="CH821:CI821" si="1562">BH821+BJ821+BL821+BN821+BP821+BR821+BT821+BV821+BX821+BZ821+CB821+CD821+CF821</f>
        <v>0</v>
      </c>
      <c r="CI821" s="25">
        <f t="shared" si="1562"/>
        <v>57000000</v>
      </c>
      <c r="CJ821" s="26">
        <f t="shared" si="1526"/>
        <v>57000000</v>
      </c>
      <c r="CK821" s="26">
        <f t="shared" si="1527"/>
        <v>0</v>
      </c>
    </row>
    <row r="822" spans="1:89" ht="90" customHeight="1" x14ac:dyDescent="0.3">
      <c r="A822" s="13" t="s">
        <v>1891</v>
      </c>
      <c r="B822" s="14" t="s">
        <v>30</v>
      </c>
      <c r="C822" s="15" t="s">
        <v>258</v>
      </c>
      <c r="D822" s="14" t="s">
        <v>258</v>
      </c>
      <c r="E822" s="13" t="s">
        <v>250</v>
      </c>
      <c r="F822" s="13" t="s">
        <v>250</v>
      </c>
      <c r="G822" s="14">
        <v>1</v>
      </c>
      <c r="H822" s="13" t="s">
        <v>2108</v>
      </c>
      <c r="I822" s="15" t="s">
        <v>1893</v>
      </c>
      <c r="J822" s="14" t="s">
        <v>1893</v>
      </c>
      <c r="K822" s="15" t="s">
        <v>1893</v>
      </c>
      <c r="L822" s="14" t="s">
        <v>2109</v>
      </c>
      <c r="M822" s="14" t="s">
        <v>2045</v>
      </c>
      <c r="N822" s="14" t="s">
        <v>253</v>
      </c>
      <c r="O822" s="15" t="s">
        <v>2110</v>
      </c>
      <c r="P822" s="14" t="s">
        <v>784</v>
      </c>
      <c r="Q822" s="14" t="s">
        <v>784</v>
      </c>
      <c r="R822" s="14" t="s">
        <v>280</v>
      </c>
      <c r="S822" s="17">
        <v>8</v>
      </c>
      <c r="T822" s="14" t="s">
        <v>256</v>
      </c>
      <c r="U822" s="14" t="s">
        <v>282</v>
      </c>
      <c r="V822" s="14" t="s">
        <v>112</v>
      </c>
      <c r="W822" s="18">
        <v>918168</v>
      </c>
      <c r="X822" s="18">
        <v>918168</v>
      </c>
      <c r="Y822" s="19" t="s">
        <v>339</v>
      </c>
      <c r="Z822" s="19" t="s">
        <v>258</v>
      </c>
      <c r="AA822" s="14" t="s">
        <v>971</v>
      </c>
      <c r="AB822" s="14" t="s">
        <v>972</v>
      </c>
      <c r="AC822" s="14">
        <v>6012220601</v>
      </c>
      <c r="AD822" s="14" t="s">
        <v>973</v>
      </c>
      <c r="AE822" s="82"/>
      <c r="AF822" s="82"/>
      <c r="AG822" s="82"/>
      <c r="AH822" s="82"/>
      <c r="AI822" s="82"/>
      <c r="AJ822" s="82"/>
      <c r="AK822" s="82"/>
      <c r="AL822" s="82"/>
      <c r="AM822" s="82"/>
      <c r="AN822" s="82"/>
      <c r="AO822" s="95"/>
      <c r="AP822" s="95"/>
      <c r="AQ822" s="95"/>
      <c r="AR822" s="95"/>
      <c r="AS822" s="82"/>
      <c r="AT822" s="82"/>
      <c r="AU822" s="82"/>
      <c r="AV822" s="82"/>
      <c r="AW822" s="82"/>
      <c r="AX822" s="82"/>
      <c r="AY822" s="82"/>
      <c r="AZ822" s="82"/>
      <c r="BA822" s="82"/>
      <c r="BB822" s="82"/>
      <c r="BC822" s="82"/>
      <c r="BD822" s="82"/>
      <c r="BE822" s="83"/>
      <c r="BF822" s="83"/>
      <c r="BG822" s="14" t="str">
        <f ca="1">IFERROR(__xludf.DUMMYFUNCTION("REGEXEXTRACT(O816,""^\S+\s(.+)$"")"),"Adquisición de equipos de cómputo")</f>
        <v>Adquisición de equipos de cómputo</v>
      </c>
      <c r="BH822" s="27"/>
      <c r="BI822" s="27"/>
      <c r="BJ822" s="24"/>
      <c r="BK822" s="24"/>
      <c r="BL822" s="24"/>
      <c r="BM822" s="24"/>
      <c r="BN822" s="24"/>
      <c r="BO822" s="24"/>
      <c r="BP822" s="24"/>
      <c r="BQ822" s="24"/>
      <c r="BR822" s="24">
        <v>918168</v>
      </c>
      <c r="BS822" s="24"/>
      <c r="BT822" s="24"/>
      <c r="BU822" s="24">
        <v>918168</v>
      </c>
      <c r="BV822" s="24"/>
      <c r="BW822" s="24"/>
      <c r="BX822" s="24"/>
      <c r="BY822" s="24"/>
      <c r="BZ822" s="24"/>
      <c r="CA822" s="24"/>
      <c r="CB822" s="24"/>
      <c r="CC822" s="24"/>
      <c r="CD822" s="24"/>
      <c r="CE822" s="24"/>
      <c r="CF822" s="28"/>
      <c r="CG822" s="28"/>
      <c r="CH822" s="25">
        <f t="shared" ref="CH822:CI822" si="1563">BH822+BJ822+BL822+BN822+BP822+BR822+BT822+BV822+BX822+BZ822+CB822+CD822+CF822</f>
        <v>918168</v>
      </c>
      <c r="CI822" s="25">
        <f t="shared" si="1563"/>
        <v>918168</v>
      </c>
      <c r="CJ822" s="26">
        <f t="shared" si="1526"/>
        <v>0</v>
      </c>
      <c r="CK822" s="26">
        <f t="shared" si="1527"/>
        <v>0</v>
      </c>
    </row>
    <row r="823" spans="1:89" ht="90" customHeight="1" x14ac:dyDescent="0.3">
      <c r="A823" s="13" t="s">
        <v>1891</v>
      </c>
      <c r="B823" s="14" t="s">
        <v>30</v>
      </c>
      <c r="C823" s="15" t="s">
        <v>258</v>
      </c>
      <c r="D823" s="14" t="s">
        <v>258</v>
      </c>
      <c r="E823" s="13" t="s">
        <v>339</v>
      </c>
      <c r="F823" s="13" t="s">
        <v>250</v>
      </c>
      <c r="G823" s="14">
        <v>68</v>
      </c>
      <c r="H823" s="13" t="s">
        <v>2111</v>
      </c>
      <c r="I823" s="15" t="s">
        <v>1893</v>
      </c>
      <c r="J823" s="14" t="s">
        <v>1893</v>
      </c>
      <c r="K823" s="15" t="s">
        <v>1893</v>
      </c>
      <c r="L823" s="14" t="s">
        <v>258</v>
      </c>
      <c r="M823" s="14" t="s">
        <v>2096</v>
      </c>
      <c r="N823" s="14" t="s">
        <v>258</v>
      </c>
      <c r="O823" s="15" t="s">
        <v>2112</v>
      </c>
      <c r="P823" s="14" t="s">
        <v>258</v>
      </c>
      <c r="Q823" s="14" t="s">
        <v>258</v>
      </c>
      <c r="R823" s="14" t="s">
        <v>258</v>
      </c>
      <c r="S823" s="17" t="s">
        <v>258</v>
      </c>
      <c r="T823" s="14" t="s">
        <v>258</v>
      </c>
      <c r="U823" s="14" t="s">
        <v>258</v>
      </c>
      <c r="V823" s="14" t="s">
        <v>112</v>
      </c>
      <c r="W823" s="18">
        <v>33000000</v>
      </c>
      <c r="X823" s="18">
        <v>33000000</v>
      </c>
      <c r="Y823" s="19" t="s">
        <v>339</v>
      </c>
      <c r="Z823" s="19" t="s">
        <v>258</v>
      </c>
      <c r="AA823" s="14" t="s">
        <v>971</v>
      </c>
      <c r="AB823" s="14" t="s">
        <v>972</v>
      </c>
      <c r="AC823" s="14">
        <v>6012220601</v>
      </c>
      <c r="AD823" s="14" t="s">
        <v>973</v>
      </c>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c r="BC823" s="82"/>
      <c r="BD823" s="82"/>
      <c r="BE823" s="83"/>
      <c r="BF823" s="83"/>
      <c r="BG823" s="14" t="str">
        <f ca="1">IFERROR(__xludf.DUMMYFUNCTION("REGEXEXTRACT(O817,""^\S+\s(.+)$"")"),"GMF (4x1000)")</f>
        <v>GMF (4x1000)</v>
      </c>
      <c r="BH823" s="27"/>
      <c r="BI823" s="27"/>
      <c r="BJ823" s="24"/>
      <c r="BK823" s="24">
        <v>2750000</v>
      </c>
      <c r="BL823" s="24"/>
      <c r="BM823" s="24">
        <v>2750000</v>
      </c>
      <c r="BN823" s="24"/>
      <c r="BO823" s="24">
        <v>2750000</v>
      </c>
      <c r="BP823" s="24"/>
      <c r="BQ823" s="24">
        <v>2750000</v>
      </c>
      <c r="BR823" s="24"/>
      <c r="BS823" s="24">
        <v>2750000</v>
      </c>
      <c r="BT823" s="24"/>
      <c r="BU823" s="24">
        <v>2750000</v>
      </c>
      <c r="BV823" s="24"/>
      <c r="BW823" s="24">
        <v>2750000</v>
      </c>
      <c r="BX823" s="24"/>
      <c r="BY823" s="24">
        <v>2750000</v>
      </c>
      <c r="BZ823" s="24"/>
      <c r="CA823" s="24">
        <v>2750000</v>
      </c>
      <c r="CB823" s="24"/>
      <c r="CC823" s="24">
        <v>2750000</v>
      </c>
      <c r="CD823" s="24"/>
      <c r="CE823" s="24">
        <v>5500000</v>
      </c>
      <c r="CF823" s="28"/>
      <c r="CG823" s="28"/>
      <c r="CH823" s="25">
        <f t="shared" ref="CH823:CI823" si="1564">BH823+BJ823+BL823+BN823+BP823+BR823+BT823+BV823+BX823+BZ823+CB823+CD823+CF823</f>
        <v>0</v>
      </c>
      <c r="CI823" s="25">
        <f t="shared" si="1564"/>
        <v>33000000</v>
      </c>
      <c r="CJ823" s="26">
        <f t="shared" si="1526"/>
        <v>33000000</v>
      </c>
      <c r="CK823" s="26">
        <f t="shared" si="1527"/>
        <v>0</v>
      </c>
    </row>
    <row r="824" spans="1:89" ht="90" customHeight="1" x14ac:dyDescent="0.3">
      <c r="A824" s="13" t="s">
        <v>1891</v>
      </c>
      <c r="B824" s="14" t="s">
        <v>30</v>
      </c>
      <c r="C824" s="15" t="s">
        <v>258</v>
      </c>
      <c r="D824" s="14" t="s">
        <v>258</v>
      </c>
      <c r="E824" s="13" t="s">
        <v>250</v>
      </c>
      <c r="F824" s="13" t="s">
        <v>250</v>
      </c>
      <c r="G824" s="14">
        <v>6</v>
      </c>
      <c r="H824" s="13" t="s">
        <v>2113</v>
      </c>
      <c r="I824" s="15" t="s">
        <v>1893</v>
      </c>
      <c r="J824" s="14" t="s">
        <v>1893</v>
      </c>
      <c r="K824" s="15" t="s">
        <v>1893</v>
      </c>
      <c r="L824" s="14" t="s">
        <v>1948</v>
      </c>
      <c r="M824" s="14" t="s">
        <v>2114</v>
      </c>
      <c r="N824" s="14" t="s">
        <v>951</v>
      </c>
      <c r="O824" s="15" t="s">
        <v>2115</v>
      </c>
      <c r="P824" s="14" t="s">
        <v>255</v>
      </c>
      <c r="Q824" s="14" t="s">
        <v>255</v>
      </c>
      <c r="R824" s="14" t="s">
        <v>255</v>
      </c>
      <c r="S824" s="17">
        <v>12</v>
      </c>
      <c r="T824" s="14" t="s">
        <v>256</v>
      </c>
      <c r="U824" s="14" t="s">
        <v>474</v>
      </c>
      <c r="V824" s="14" t="s">
        <v>112</v>
      </c>
      <c r="W824" s="18">
        <v>0</v>
      </c>
      <c r="X824" s="18">
        <v>0</v>
      </c>
      <c r="Y824" s="19" t="s">
        <v>339</v>
      </c>
      <c r="Z824" s="19" t="s">
        <v>258</v>
      </c>
      <c r="AA824" s="14" t="s">
        <v>971</v>
      </c>
      <c r="AB824" s="14" t="s">
        <v>972</v>
      </c>
      <c r="AC824" s="14">
        <v>6012220601</v>
      </c>
      <c r="AD824" s="14" t="s">
        <v>973</v>
      </c>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82"/>
      <c r="BD824" s="82"/>
      <c r="BE824" s="83"/>
      <c r="BF824" s="83"/>
      <c r="BG824" s="14" t="str">
        <f ca="1">IFERROR(__xludf.DUMMYFUNCTION("REGEXEXTRACT(O818,""^\S+\s(.+)$"")"),"Prestar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824" s="27"/>
      <c r="BI824" s="27"/>
      <c r="BJ824" s="24"/>
      <c r="BK824" s="24"/>
      <c r="BL824" s="24"/>
      <c r="BM824" s="24">
        <v>0</v>
      </c>
      <c r="BN824" s="24"/>
      <c r="BO824" s="24">
        <v>0</v>
      </c>
      <c r="BP824" s="24"/>
      <c r="BQ824" s="24">
        <v>0</v>
      </c>
      <c r="BR824" s="24"/>
      <c r="BS824" s="24">
        <v>0</v>
      </c>
      <c r="BT824" s="24"/>
      <c r="BU824" s="24">
        <v>0</v>
      </c>
      <c r="BV824" s="24"/>
      <c r="BW824" s="24">
        <v>0</v>
      </c>
      <c r="BX824" s="24"/>
      <c r="BY824" s="24">
        <v>0</v>
      </c>
      <c r="BZ824" s="24"/>
      <c r="CA824" s="24">
        <v>0</v>
      </c>
      <c r="CB824" s="24"/>
      <c r="CC824" s="24">
        <v>0</v>
      </c>
      <c r="CD824" s="24"/>
      <c r="CE824" s="24">
        <v>0</v>
      </c>
      <c r="CF824" s="28"/>
      <c r="CG824" s="28"/>
      <c r="CH824" s="25">
        <f t="shared" ref="CH824:CI824" si="1565">BH824+BJ824+BL824+BN824+BP824+BR824+BT824+BV824+BX824+BZ824+CB824+CD824+CF824</f>
        <v>0</v>
      </c>
      <c r="CI824" s="25">
        <f t="shared" si="1565"/>
        <v>0</v>
      </c>
      <c r="CJ824" s="26">
        <f t="shared" si="1526"/>
        <v>0</v>
      </c>
      <c r="CK824" s="26">
        <f t="shared" si="1527"/>
        <v>0</v>
      </c>
    </row>
    <row r="825" spans="1:89" ht="90" customHeight="1" x14ac:dyDescent="0.3">
      <c r="A825" s="13" t="s">
        <v>1891</v>
      </c>
      <c r="B825" s="14" t="s">
        <v>30</v>
      </c>
      <c r="C825" s="15" t="s">
        <v>258</v>
      </c>
      <c r="D825" s="14" t="s">
        <v>258</v>
      </c>
      <c r="E825" s="13" t="s">
        <v>250</v>
      </c>
      <c r="F825" s="13" t="s">
        <v>250</v>
      </c>
      <c r="G825" s="14">
        <v>68</v>
      </c>
      <c r="H825" s="13" t="s">
        <v>2116</v>
      </c>
      <c r="I825" s="15" t="s">
        <v>1893</v>
      </c>
      <c r="J825" s="14" t="s">
        <v>1893</v>
      </c>
      <c r="K825" s="15" t="s">
        <v>1893</v>
      </c>
      <c r="L825" s="14">
        <v>80111620</v>
      </c>
      <c r="M825" s="14" t="s">
        <v>2045</v>
      </c>
      <c r="N825" s="14" t="s">
        <v>253</v>
      </c>
      <c r="O825" s="15" t="s">
        <v>2117</v>
      </c>
      <c r="P825" s="14" t="s">
        <v>255</v>
      </c>
      <c r="Q825" s="14" t="s">
        <v>255</v>
      </c>
      <c r="R825" s="14" t="s">
        <v>255</v>
      </c>
      <c r="S825" s="17">
        <v>11.5</v>
      </c>
      <c r="T825" s="14" t="s">
        <v>256</v>
      </c>
      <c r="U825" s="14" t="s">
        <v>257</v>
      </c>
      <c r="V825" s="14" t="s">
        <v>112</v>
      </c>
      <c r="W825" s="18">
        <v>37777500</v>
      </c>
      <c r="X825" s="18">
        <v>37777500</v>
      </c>
      <c r="Y825" s="19" t="s">
        <v>339</v>
      </c>
      <c r="Z825" s="19" t="s">
        <v>258</v>
      </c>
      <c r="AA825" s="14" t="s">
        <v>971</v>
      </c>
      <c r="AB825" s="14" t="s">
        <v>972</v>
      </c>
      <c r="AC825" s="14">
        <v>6012220601</v>
      </c>
      <c r="AD825" s="14" t="s">
        <v>973</v>
      </c>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c r="BC825" s="82"/>
      <c r="BD825" s="82"/>
      <c r="BE825" s="83"/>
      <c r="BF825" s="83"/>
      <c r="BG825" s="14" t="str">
        <f ca="1">IFERROR(__xludf.DUMMYFUNCTION("REGEXEXTRACT(O819,""^\S+\s(.+)$"")"),"Prestar los servicios profesionales para la asistencia técnica y atención al ciudadano, así como la evaluación de los requerimientos asociados al trámite de Incentivos Tributarios.")</f>
        <v>Prestar los servicios profesionales para la asistencia técnica y atención al ciudadano, así como la evaluación de los requerimientos asociados al trámite de Incentivos Tributarios.</v>
      </c>
      <c r="BH825" s="24"/>
      <c r="BI825" s="24"/>
      <c r="BJ825" s="24"/>
      <c r="BK825" s="24">
        <v>1642500</v>
      </c>
      <c r="BL825" s="24"/>
      <c r="BM825" s="24">
        <v>3285000</v>
      </c>
      <c r="BN825" s="24"/>
      <c r="BO825" s="24">
        <v>3285000</v>
      </c>
      <c r="BP825" s="24"/>
      <c r="BQ825" s="24">
        <v>3285000</v>
      </c>
      <c r="BR825" s="24"/>
      <c r="BS825" s="24">
        <v>3285000</v>
      </c>
      <c r="BT825" s="24"/>
      <c r="BU825" s="24">
        <v>3285000</v>
      </c>
      <c r="BV825" s="24"/>
      <c r="BW825" s="24">
        <v>3285000</v>
      </c>
      <c r="BX825" s="24"/>
      <c r="BY825" s="24">
        <v>3285000</v>
      </c>
      <c r="BZ825" s="24"/>
      <c r="CA825" s="24">
        <v>3285000</v>
      </c>
      <c r="CB825" s="24"/>
      <c r="CC825" s="24">
        <v>3285000</v>
      </c>
      <c r="CD825" s="24"/>
      <c r="CE825" s="24">
        <v>6570000</v>
      </c>
      <c r="CF825" s="28"/>
      <c r="CG825" s="28"/>
      <c r="CH825" s="25">
        <f t="shared" ref="CH825:CI825" si="1566">BH825+BJ825+BL825+BN825+BP825+BR825+BT825+BV825+BX825+BZ825+CB825+CD825+CF825</f>
        <v>0</v>
      </c>
      <c r="CI825" s="25">
        <f t="shared" si="1566"/>
        <v>37777500</v>
      </c>
      <c r="CJ825" s="26">
        <f t="shared" si="1526"/>
        <v>37777500</v>
      </c>
      <c r="CK825" s="26">
        <f t="shared" si="1527"/>
        <v>0</v>
      </c>
    </row>
    <row r="826" spans="1:89" ht="90" customHeight="1" x14ac:dyDescent="0.3">
      <c r="A826" s="13" t="s">
        <v>1891</v>
      </c>
      <c r="B826" s="14" t="s">
        <v>30</v>
      </c>
      <c r="C826" s="15" t="s">
        <v>258</v>
      </c>
      <c r="D826" s="14" t="s">
        <v>258</v>
      </c>
      <c r="E826" s="13" t="s">
        <v>250</v>
      </c>
      <c r="F826" s="13" t="s">
        <v>250</v>
      </c>
      <c r="G826" s="14">
        <v>3</v>
      </c>
      <c r="H826" s="13" t="s">
        <v>2118</v>
      </c>
      <c r="I826" s="15" t="s">
        <v>1893</v>
      </c>
      <c r="J826" s="14" t="s">
        <v>1893</v>
      </c>
      <c r="K826" s="15" t="s">
        <v>1893</v>
      </c>
      <c r="L826" s="14">
        <v>80111620</v>
      </c>
      <c r="M826" s="14" t="s">
        <v>2042</v>
      </c>
      <c r="N826" s="14" t="s">
        <v>253</v>
      </c>
      <c r="O826" s="15" t="s">
        <v>2119</v>
      </c>
      <c r="P826" s="14" t="s">
        <v>255</v>
      </c>
      <c r="Q826" s="14" t="s">
        <v>255</v>
      </c>
      <c r="R826" s="14" t="s">
        <v>255</v>
      </c>
      <c r="S826" s="17">
        <v>11.4</v>
      </c>
      <c r="T826" s="14" t="s">
        <v>256</v>
      </c>
      <c r="U826" s="14" t="s">
        <v>257</v>
      </c>
      <c r="V826" s="14" t="s">
        <v>112</v>
      </c>
      <c r="W826" s="18">
        <v>71550000</v>
      </c>
      <c r="X826" s="18">
        <v>71550000</v>
      </c>
      <c r="Y826" s="19" t="s">
        <v>339</v>
      </c>
      <c r="Z826" s="19" t="s">
        <v>258</v>
      </c>
      <c r="AA826" s="14" t="s">
        <v>971</v>
      </c>
      <c r="AB826" s="14" t="s">
        <v>972</v>
      </c>
      <c r="AC826" s="14">
        <v>6012220601</v>
      </c>
      <c r="AD826" s="14" t="s">
        <v>973</v>
      </c>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82"/>
      <c r="BD826" s="82"/>
      <c r="BE826" s="83"/>
      <c r="BF826" s="83"/>
      <c r="BG826" s="14" t="str">
        <f ca="1">IFERROR(__xludf.DUMMYFUNCTION("REGEXEXTRACT(O820,""^\S+\s(.+)$"")"),"Prestar servicios profesionales para apoyar la identificación, análisis y evaluación de potenciales, metas y medidas de eficiencia energética, así como para la evaluación y análisis de la información asociada a proyectos de Fuentes No Convencionales de En"&amp;"ergía Renovable (FNCER) y de gestión eficiente de la energía.")</f>
        <v>Prestar servicios profesionales para apoyar la identificación, análisis y evaluación de potenciales, metas y medidas de eficiencia energética, así como para la evaluación y análisis de la información asociada a proyectos de Fuentes No Convencionales de Energía Renovable (FNCER) y de gestión eficiente de la energía.</v>
      </c>
      <c r="BH826" s="27"/>
      <c r="BI826" s="27"/>
      <c r="BJ826" s="24"/>
      <c r="BK826" s="24">
        <v>2510524</v>
      </c>
      <c r="BL826" s="24"/>
      <c r="BM826" s="24">
        <v>6276316</v>
      </c>
      <c r="BN826" s="24"/>
      <c r="BO826" s="24">
        <v>6276316</v>
      </c>
      <c r="BP826" s="24"/>
      <c r="BQ826" s="24">
        <v>6276316</v>
      </c>
      <c r="BR826" s="24"/>
      <c r="BS826" s="24">
        <v>6276316</v>
      </c>
      <c r="BT826" s="24"/>
      <c r="BU826" s="24">
        <v>6276316</v>
      </c>
      <c r="BV826" s="24"/>
      <c r="BW826" s="24">
        <v>6276316</v>
      </c>
      <c r="BX826" s="24"/>
      <c r="BY826" s="24">
        <v>6276316</v>
      </c>
      <c r="BZ826" s="24"/>
      <c r="CA826" s="24">
        <v>6276316</v>
      </c>
      <c r="CB826" s="24"/>
      <c r="CC826" s="24">
        <v>6276316</v>
      </c>
      <c r="CD826" s="24"/>
      <c r="CE826" s="24">
        <v>12552632</v>
      </c>
      <c r="CF826" s="28"/>
      <c r="CG826" s="28"/>
      <c r="CH826" s="25">
        <f t="shared" ref="CH826:CI826" si="1567">BH826+BJ826+BL826+BN826+BP826+BR826+BT826+BV826+BX826+BZ826+CB826+CD826+CF826</f>
        <v>0</v>
      </c>
      <c r="CI826" s="25">
        <f t="shared" si="1567"/>
        <v>71550000</v>
      </c>
      <c r="CJ826" s="26">
        <f t="shared" si="1526"/>
        <v>71550000</v>
      </c>
      <c r="CK826" s="26">
        <f t="shared" si="1527"/>
        <v>0</v>
      </c>
    </row>
    <row r="827" spans="1:89" ht="90" customHeight="1" x14ac:dyDescent="0.3">
      <c r="A827" s="13" t="s">
        <v>1891</v>
      </c>
      <c r="B827" s="14" t="s">
        <v>30</v>
      </c>
      <c r="C827" s="15" t="s">
        <v>258</v>
      </c>
      <c r="D827" s="14" t="s">
        <v>258</v>
      </c>
      <c r="E827" s="13" t="s">
        <v>250</v>
      </c>
      <c r="F827" s="13" t="s">
        <v>250</v>
      </c>
      <c r="G827" s="14">
        <v>7</v>
      </c>
      <c r="H827" s="13" t="s">
        <v>2120</v>
      </c>
      <c r="I827" s="15" t="s">
        <v>1893</v>
      </c>
      <c r="J827" s="14" t="s">
        <v>1893</v>
      </c>
      <c r="K827" s="15" t="s">
        <v>1893</v>
      </c>
      <c r="L827" s="14">
        <v>80111620</v>
      </c>
      <c r="M827" s="14" t="s">
        <v>2045</v>
      </c>
      <c r="N827" s="14" t="s">
        <v>253</v>
      </c>
      <c r="O827" s="15" t="s">
        <v>2121</v>
      </c>
      <c r="P827" s="14" t="s">
        <v>255</v>
      </c>
      <c r="Q827" s="14" t="s">
        <v>255</v>
      </c>
      <c r="R827" s="14" t="s">
        <v>255</v>
      </c>
      <c r="S827" s="17">
        <v>11.4</v>
      </c>
      <c r="T827" s="14" t="s">
        <v>256</v>
      </c>
      <c r="U827" s="14" t="s">
        <v>257</v>
      </c>
      <c r="V827" s="14" t="s">
        <v>112</v>
      </c>
      <c r="W827" s="18">
        <v>28500000</v>
      </c>
      <c r="X827" s="18">
        <v>28500000</v>
      </c>
      <c r="Y827" s="19" t="s">
        <v>339</v>
      </c>
      <c r="Z827" s="19" t="s">
        <v>258</v>
      </c>
      <c r="AA827" s="14" t="s">
        <v>971</v>
      </c>
      <c r="AB827" s="14" t="s">
        <v>972</v>
      </c>
      <c r="AC827" s="14">
        <v>6012220601</v>
      </c>
      <c r="AD827" s="14" t="s">
        <v>973</v>
      </c>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82"/>
      <c r="BD827" s="82"/>
      <c r="BE827" s="83"/>
      <c r="BF827" s="83"/>
      <c r="BG827" s="14" t="str">
        <f ca="1">IFERROR(__xludf.DUMMYFUNCTION("REGEXEXTRACT(O821,""^\S+\s(.+)$"")"),"Prestar servicios de apoyo a la gestión en el desarrollo del Plan Nacional de Bioenergía y la elaboración de documentos de planeación, en el marco de la Transición Energética Justa")</f>
        <v>Prestar servicios de apoyo a la gestión en el desarrollo del Plan Nacional de Bioenergía y la elaboración de documentos de planeación, en el marco de la Transición Energética Justa</v>
      </c>
      <c r="BH827" s="27"/>
      <c r="BI827" s="27"/>
      <c r="BJ827" s="24">
        <v>0</v>
      </c>
      <c r="BK827" s="24">
        <v>1000000</v>
      </c>
      <c r="BL827" s="24">
        <v>0</v>
      </c>
      <c r="BM827" s="24">
        <v>2500000</v>
      </c>
      <c r="BN827" s="24">
        <v>0</v>
      </c>
      <c r="BO827" s="24">
        <v>2500000</v>
      </c>
      <c r="BP827" s="24">
        <v>0</v>
      </c>
      <c r="BQ827" s="24">
        <v>2500000</v>
      </c>
      <c r="BR827" s="24">
        <v>0</v>
      </c>
      <c r="BS827" s="24">
        <v>2500000</v>
      </c>
      <c r="BT827" s="24">
        <v>0</v>
      </c>
      <c r="BU827" s="24">
        <v>2500000</v>
      </c>
      <c r="BV827" s="24">
        <v>0</v>
      </c>
      <c r="BW827" s="24">
        <v>2500000</v>
      </c>
      <c r="BX827" s="24">
        <v>0</v>
      </c>
      <c r="BY827" s="24">
        <v>2500000</v>
      </c>
      <c r="BZ827" s="24">
        <v>0</v>
      </c>
      <c r="CA827" s="24">
        <v>2500000</v>
      </c>
      <c r="CB827" s="24">
        <v>0</v>
      </c>
      <c r="CC827" s="24">
        <v>2500000</v>
      </c>
      <c r="CD827" s="24">
        <v>0</v>
      </c>
      <c r="CE827" s="24">
        <v>5000000</v>
      </c>
      <c r="CF827" s="28"/>
      <c r="CG827" s="28"/>
      <c r="CH827" s="25">
        <f t="shared" ref="CH827:CI827" si="1568">BH827+BJ827+BL827+BN827+BP827+BR827+BT827+BV827+BX827+BZ827+CB827+CD827+CF827</f>
        <v>0</v>
      </c>
      <c r="CI827" s="25">
        <f t="shared" si="1568"/>
        <v>28500000</v>
      </c>
      <c r="CJ827" s="26">
        <f t="shared" si="1526"/>
        <v>28500000</v>
      </c>
      <c r="CK827" s="26">
        <f t="shared" si="1527"/>
        <v>0</v>
      </c>
    </row>
    <row r="828" spans="1:89" ht="90" customHeight="1" x14ac:dyDescent="0.3">
      <c r="A828" s="13" t="s">
        <v>1891</v>
      </c>
      <c r="B828" s="14" t="s">
        <v>30</v>
      </c>
      <c r="C828" s="15" t="s">
        <v>258</v>
      </c>
      <c r="D828" s="14" t="s">
        <v>258</v>
      </c>
      <c r="E828" s="13" t="s">
        <v>250</v>
      </c>
      <c r="F828" s="13" t="s">
        <v>250</v>
      </c>
      <c r="G828" s="14">
        <v>5</v>
      </c>
      <c r="H828" s="13" t="s">
        <v>2122</v>
      </c>
      <c r="I828" s="15" t="s">
        <v>1893</v>
      </c>
      <c r="J828" s="14" t="s">
        <v>1893</v>
      </c>
      <c r="K828" s="15" t="s">
        <v>1893</v>
      </c>
      <c r="L828" s="14">
        <v>80111620</v>
      </c>
      <c r="M828" s="14" t="s">
        <v>2045</v>
      </c>
      <c r="N828" s="14" t="s">
        <v>253</v>
      </c>
      <c r="O828" s="15" t="s">
        <v>2123</v>
      </c>
      <c r="P828" s="96" t="s">
        <v>255</v>
      </c>
      <c r="Q828" s="96" t="s">
        <v>255</v>
      </c>
      <c r="R828" s="96" t="s">
        <v>255</v>
      </c>
      <c r="S828" s="17">
        <v>11</v>
      </c>
      <c r="T828" s="14" t="s">
        <v>256</v>
      </c>
      <c r="U828" s="14" t="s">
        <v>257</v>
      </c>
      <c r="V828" s="14" t="s">
        <v>112</v>
      </c>
      <c r="W828" s="18">
        <v>19800000</v>
      </c>
      <c r="X828" s="18">
        <v>19800000</v>
      </c>
      <c r="Y828" s="19" t="s">
        <v>339</v>
      </c>
      <c r="Z828" s="19" t="s">
        <v>258</v>
      </c>
      <c r="AA828" s="14" t="s">
        <v>2013</v>
      </c>
      <c r="AB828" s="14" t="s">
        <v>881</v>
      </c>
      <c r="AC828" s="14">
        <v>6012220601</v>
      </c>
      <c r="AD828" s="14" t="s">
        <v>311</v>
      </c>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82"/>
      <c r="BD828" s="82"/>
      <c r="BE828" s="83"/>
      <c r="BF828" s="83"/>
      <c r="BG828" s="14" t="str">
        <f ca="1">IFERROR(__xludf.DUMMYFUNCTION("REGEXEXTRACT(O822,""^\S+\s(.+)$"")"),"Prestar servicios de apoyo a la gestión, para actividades enmarcadas en el Plan de Bienestar y Seguridad y Salud en el trabajo.")</f>
        <v>Prestar servicios de apoyo a la gestión, para actividades enmarcadas en el Plan de Bienestar y Seguridad y Salud en el trabajo.</v>
      </c>
      <c r="BH828" s="27"/>
      <c r="BI828" s="27"/>
      <c r="BJ828" s="24">
        <v>0</v>
      </c>
      <c r="BK828" s="24">
        <v>860871</v>
      </c>
      <c r="BL828" s="24">
        <v>0</v>
      </c>
      <c r="BM828" s="24">
        <v>1721739</v>
      </c>
      <c r="BN828" s="24">
        <v>0</v>
      </c>
      <c r="BO828" s="24">
        <v>1721739</v>
      </c>
      <c r="BP828" s="24">
        <v>0</v>
      </c>
      <c r="BQ828" s="24">
        <v>1721739</v>
      </c>
      <c r="BR828" s="24">
        <v>0</v>
      </c>
      <c r="BS828" s="24">
        <v>1721739</v>
      </c>
      <c r="BT828" s="24">
        <v>0</v>
      </c>
      <c r="BU828" s="24">
        <v>1721739</v>
      </c>
      <c r="BV828" s="24">
        <v>0</v>
      </c>
      <c r="BW828" s="24">
        <v>1721739</v>
      </c>
      <c r="BX828" s="24">
        <v>0</v>
      </c>
      <c r="BY828" s="24">
        <v>1721739</v>
      </c>
      <c r="BZ828" s="24">
        <v>0</v>
      </c>
      <c r="CA828" s="24">
        <v>1721739</v>
      </c>
      <c r="CB828" s="24">
        <v>0</v>
      </c>
      <c r="CC828" s="24">
        <v>1721739</v>
      </c>
      <c r="CD828" s="24">
        <v>0</v>
      </c>
      <c r="CE828" s="24">
        <v>3443478</v>
      </c>
      <c r="CF828" s="28"/>
      <c r="CG828" s="28"/>
      <c r="CH828" s="25">
        <f t="shared" ref="CH828:CI828" si="1569">BH828+BJ828+BL828+BN828+BP828+BR828+BT828+BV828+BX828+BZ828+CB828+CD828+CF828</f>
        <v>0</v>
      </c>
      <c r="CI828" s="25">
        <f t="shared" si="1569"/>
        <v>19800000</v>
      </c>
      <c r="CJ828" s="26">
        <f t="shared" si="1526"/>
        <v>19800000</v>
      </c>
      <c r="CK828" s="26">
        <f t="shared" si="1527"/>
        <v>0</v>
      </c>
    </row>
    <row r="829" spans="1:89" ht="90" customHeight="1" x14ac:dyDescent="0.3">
      <c r="A829" s="13" t="s">
        <v>1891</v>
      </c>
      <c r="B829" s="14" t="s">
        <v>30</v>
      </c>
      <c r="C829" s="15" t="s">
        <v>258</v>
      </c>
      <c r="D829" s="14" t="s">
        <v>258</v>
      </c>
      <c r="E829" s="13" t="s">
        <v>250</v>
      </c>
      <c r="F829" s="13" t="s">
        <v>250</v>
      </c>
      <c r="G829" s="14">
        <v>6</v>
      </c>
      <c r="H829" s="13" t="s">
        <v>2124</v>
      </c>
      <c r="I829" s="15" t="s">
        <v>1893</v>
      </c>
      <c r="J829" s="14" t="s">
        <v>1893</v>
      </c>
      <c r="K829" s="15" t="s">
        <v>1893</v>
      </c>
      <c r="L829" s="14" t="s">
        <v>2125</v>
      </c>
      <c r="M829" s="14" t="s">
        <v>2126</v>
      </c>
      <c r="N829" s="14" t="s">
        <v>951</v>
      </c>
      <c r="O829" s="15" t="s">
        <v>2127</v>
      </c>
      <c r="P829" s="96" t="s">
        <v>255</v>
      </c>
      <c r="Q829" s="96" t="s">
        <v>255</v>
      </c>
      <c r="R829" s="96" t="s">
        <v>255</v>
      </c>
      <c r="S829" s="17">
        <v>12</v>
      </c>
      <c r="T829" s="14" t="s">
        <v>256</v>
      </c>
      <c r="U829" s="14" t="s">
        <v>286</v>
      </c>
      <c r="V829" s="14" t="s">
        <v>112</v>
      </c>
      <c r="W829" s="18">
        <v>37150000</v>
      </c>
      <c r="X829" s="18">
        <v>37150000</v>
      </c>
      <c r="Y829" s="19" t="s">
        <v>339</v>
      </c>
      <c r="Z829" s="19" t="s">
        <v>258</v>
      </c>
      <c r="AA829" s="14" t="s">
        <v>971</v>
      </c>
      <c r="AB829" s="14" t="s">
        <v>972</v>
      </c>
      <c r="AC829" s="14">
        <v>6012220601</v>
      </c>
      <c r="AD829" s="14" t="s">
        <v>973</v>
      </c>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82"/>
      <c r="BD829" s="82"/>
      <c r="BE829" s="83"/>
      <c r="BF829" s="83"/>
      <c r="BG829" s="14" t="str">
        <f ca="1">IFERROR(__xludf.DUMMYFUNCTION("REGEXEXTRACT(O823,""^\S+\s(.+)$"")"),"Prestar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829" s="27"/>
      <c r="BI829" s="27"/>
      <c r="BJ829" s="24">
        <v>0</v>
      </c>
      <c r="BK829" s="24">
        <v>0</v>
      </c>
      <c r="BL829" s="24">
        <v>0</v>
      </c>
      <c r="BM829" s="24">
        <v>3715000</v>
      </c>
      <c r="BN829" s="24">
        <v>0</v>
      </c>
      <c r="BO829" s="24">
        <v>3715000</v>
      </c>
      <c r="BP829" s="24">
        <v>0</v>
      </c>
      <c r="BQ829" s="24">
        <v>3715000</v>
      </c>
      <c r="BR829" s="24">
        <v>0</v>
      </c>
      <c r="BS829" s="24">
        <v>3715000</v>
      </c>
      <c r="BT829" s="24">
        <v>0</v>
      </c>
      <c r="BU829" s="24">
        <v>3715000</v>
      </c>
      <c r="BV829" s="24">
        <v>0</v>
      </c>
      <c r="BW829" s="24">
        <v>3715000</v>
      </c>
      <c r="BX829" s="24">
        <v>0</v>
      </c>
      <c r="BY829" s="24">
        <v>3715000</v>
      </c>
      <c r="BZ829" s="24">
        <v>0</v>
      </c>
      <c r="CA829" s="24">
        <v>3715000</v>
      </c>
      <c r="CB829" s="24">
        <v>0</v>
      </c>
      <c r="CC829" s="24">
        <v>3715000</v>
      </c>
      <c r="CD829" s="24">
        <v>0</v>
      </c>
      <c r="CE829" s="24">
        <v>3715000</v>
      </c>
      <c r="CF829" s="28"/>
      <c r="CG829" s="28"/>
      <c r="CH829" s="25">
        <f t="shared" ref="CH829:CI829" si="1570">BH829+BJ829+BL829+BN829+BP829+BR829+BT829+BV829+BX829+BZ829+CB829+CD829+CF829</f>
        <v>0</v>
      </c>
      <c r="CI829" s="25">
        <f t="shared" si="1570"/>
        <v>37150000</v>
      </c>
      <c r="CJ829" s="26">
        <f t="shared" si="1526"/>
        <v>37150000</v>
      </c>
      <c r="CK829" s="26">
        <f t="shared" si="1527"/>
        <v>0</v>
      </c>
    </row>
    <row r="830" spans="1:89" ht="90" customHeight="1" x14ac:dyDescent="0.3">
      <c r="A830" s="13" t="s">
        <v>1891</v>
      </c>
      <c r="B830" s="14" t="s">
        <v>30</v>
      </c>
      <c r="C830" s="15" t="s">
        <v>258</v>
      </c>
      <c r="D830" s="14" t="s">
        <v>258</v>
      </c>
      <c r="E830" s="13" t="s">
        <v>250</v>
      </c>
      <c r="F830" s="13" t="s">
        <v>250</v>
      </c>
      <c r="G830" s="14">
        <v>9</v>
      </c>
      <c r="H830" s="13" t="s">
        <v>2128</v>
      </c>
      <c r="I830" s="15" t="s">
        <v>1893</v>
      </c>
      <c r="J830" s="14" t="s">
        <v>1893</v>
      </c>
      <c r="K830" s="15" t="s">
        <v>1893</v>
      </c>
      <c r="L830" s="14">
        <v>80111620</v>
      </c>
      <c r="M830" s="14" t="s">
        <v>2045</v>
      </c>
      <c r="N830" s="14" t="s">
        <v>253</v>
      </c>
      <c r="O830" s="15" t="s">
        <v>2129</v>
      </c>
      <c r="P830" s="96" t="s">
        <v>255</v>
      </c>
      <c r="Q830" s="96" t="s">
        <v>255</v>
      </c>
      <c r="R830" s="96" t="s">
        <v>255</v>
      </c>
      <c r="S830" s="17">
        <v>10</v>
      </c>
      <c r="T830" s="14" t="s">
        <v>256</v>
      </c>
      <c r="U830" s="14" t="s">
        <v>257</v>
      </c>
      <c r="V830" s="14" t="s">
        <v>112</v>
      </c>
      <c r="W830" s="18">
        <v>33000000</v>
      </c>
      <c r="X830" s="18">
        <v>33000000</v>
      </c>
      <c r="Y830" s="19" t="s">
        <v>339</v>
      </c>
      <c r="Z830" s="19" t="s">
        <v>258</v>
      </c>
      <c r="AA830" s="14" t="s">
        <v>888</v>
      </c>
      <c r="AB830" s="14" t="s">
        <v>1995</v>
      </c>
      <c r="AC830" s="14">
        <v>6012220601</v>
      </c>
      <c r="AD830" s="14" t="s">
        <v>890</v>
      </c>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82"/>
      <c r="BD830" s="82"/>
      <c r="BE830" s="83"/>
      <c r="BF830" s="83"/>
      <c r="BG830" s="14" t="str">
        <f ca="1">IFERROR(__xludf.DUMMYFUNCTION("REGEXEXTRACT(O824,""^\S+\s(.+)$"")"),"Prestar servicios profesionales al GIT de financiera, específicamente en los procesos de Tesorería y Presupuesto, conforme a la normatividad vigente")</f>
        <v>Prestar servicios profesionales al GIT de financiera, específicamente en los procesos de Tesorería y Presupuesto, conforme a la normatividad vigente</v>
      </c>
      <c r="BH830" s="27"/>
      <c r="BI830" s="27"/>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8"/>
      <c r="CG830" s="28"/>
      <c r="CH830" s="25">
        <f t="shared" ref="CH830:CI830" si="1571">BH830+BJ830+BL830+BN830+BP830+BR830+BT830+BV830+BX830+BZ830+CB830+CD830+CF830</f>
        <v>0</v>
      </c>
      <c r="CI830" s="25">
        <f t="shared" si="1571"/>
        <v>0</v>
      </c>
      <c r="CJ830" s="26">
        <f t="shared" si="1526"/>
        <v>33000000</v>
      </c>
      <c r="CK830" s="26">
        <f t="shared" si="1527"/>
        <v>33000000</v>
      </c>
    </row>
    <row r="831" spans="1:89" ht="90" customHeight="1" x14ac:dyDescent="0.3">
      <c r="A831" s="13" t="s">
        <v>1891</v>
      </c>
      <c r="B831" s="14" t="s">
        <v>30</v>
      </c>
      <c r="C831" s="15" t="s">
        <v>258</v>
      </c>
      <c r="D831" s="14" t="s">
        <v>258</v>
      </c>
      <c r="E831" s="13" t="s">
        <v>250</v>
      </c>
      <c r="F831" s="13" t="s">
        <v>250</v>
      </c>
      <c r="G831" s="14">
        <v>68</v>
      </c>
      <c r="H831" s="13" t="s">
        <v>2130</v>
      </c>
      <c r="I831" s="15" t="s">
        <v>1893</v>
      </c>
      <c r="J831" s="14" t="s">
        <v>1893</v>
      </c>
      <c r="K831" s="15" t="s">
        <v>1893</v>
      </c>
      <c r="L831" s="14">
        <v>80111620</v>
      </c>
      <c r="M831" s="14" t="s">
        <v>2042</v>
      </c>
      <c r="N831" s="14" t="s">
        <v>253</v>
      </c>
      <c r="O831" s="15" t="s">
        <v>2131</v>
      </c>
      <c r="P831" s="14" t="s">
        <v>255</v>
      </c>
      <c r="Q831" s="14" t="s">
        <v>255</v>
      </c>
      <c r="R831" s="14" t="s">
        <v>255</v>
      </c>
      <c r="S831" s="17">
        <v>11.2</v>
      </c>
      <c r="T831" s="14" t="s">
        <v>256</v>
      </c>
      <c r="U831" s="14" t="s">
        <v>257</v>
      </c>
      <c r="V831" s="14" t="s">
        <v>112</v>
      </c>
      <c r="W831" s="18">
        <v>36792000</v>
      </c>
      <c r="X831" s="18">
        <v>36792000</v>
      </c>
      <c r="Y831" s="19" t="s">
        <v>339</v>
      </c>
      <c r="Z831" s="19" t="s">
        <v>258</v>
      </c>
      <c r="AA831" s="14" t="s">
        <v>971</v>
      </c>
      <c r="AB831" s="14" t="s">
        <v>972</v>
      </c>
      <c r="AC831" s="14">
        <v>6012220601</v>
      </c>
      <c r="AD831" s="14" t="s">
        <v>973</v>
      </c>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c r="BC831" s="82"/>
      <c r="BD831" s="82"/>
      <c r="BE831" s="83"/>
      <c r="BF831" s="83"/>
      <c r="BG831" s="14" t="str">
        <f ca="1">IFERROR(__xludf.DUMMYFUNCTION("REGEXEXTRACT(O825,""^\S+\s(.+)$"")"),"Prestar los servicios profesionales para la asistencia jurídica y atención al ciudadano, así como la respuesta a PQR´s de los requerimientos asociados al trámite de Incentivos Tributarios.")</f>
        <v>Prestar los servicios profesionales para la asistencia jurídica y atención al ciudadano, así como la respuesta a PQR´s de los requerimientos asociados al trámite de Incentivos Tributarios.</v>
      </c>
      <c r="BH831" s="24"/>
      <c r="BI831" s="24"/>
      <c r="BJ831" s="24"/>
      <c r="BK831" s="24">
        <v>657000</v>
      </c>
      <c r="BL831" s="24"/>
      <c r="BM831" s="24">
        <v>3285000</v>
      </c>
      <c r="BN831" s="24"/>
      <c r="BO831" s="24">
        <v>3285000</v>
      </c>
      <c r="BP831" s="24"/>
      <c r="BQ831" s="24">
        <v>3285000</v>
      </c>
      <c r="BR831" s="24"/>
      <c r="BS831" s="24">
        <v>3285000</v>
      </c>
      <c r="BT831" s="24"/>
      <c r="BU831" s="24">
        <v>3285000</v>
      </c>
      <c r="BV831" s="24"/>
      <c r="BW831" s="24">
        <v>3285000</v>
      </c>
      <c r="BX831" s="24"/>
      <c r="BY831" s="24">
        <v>3285000</v>
      </c>
      <c r="BZ831" s="24"/>
      <c r="CA831" s="24">
        <v>3285000</v>
      </c>
      <c r="CB831" s="24"/>
      <c r="CC831" s="24">
        <v>3285000</v>
      </c>
      <c r="CD831" s="24"/>
      <c r="CE831" s="24">
        <v>6570000</v>
      </c>
      <c r="CF831" s="28"/>
      <c r="CG831" s="28"/>
      <c r="CH831" s="25">
        <f t="shared" ref="CH831:CI831" si="1572">BH831+BJ831+BL831+BN831+BP831+BR831+BT831+BV831+BX831+BZ831+CB831+CD831+CF831</f>
        <v>0</v>
      </c>
      <c r="CI831" s="25">
        <f t="shared" si="1572"/>
        <v>36792000</v>
      </c>
      <c r="CJ831" s="26">
        <f t="shared" si="1526"/>
        <v>36792000</v>
      </c>
      <c r="CK831" s="26">
        <f t="shared" si="1527"/>
        <v>0</v>
      </c>
    </row>
    <row r="832" spans="1:89" ht="90" customHeight="1" x14ac:dyDescent="0.3">
      <c r="A832" s="13" t="s">
        <v>1891</v>
      </c>
      <c r="B832" s="14" t="s">
        <v>30</v>
      </c>
      <c r="C832" s="15" t="s">
        <v>258</v>
      </c>
      <c r="D832" s="14" t="s">
        <v>258</v>
      </c>
      <c r="E832" s="13" t="s">
        <v>250</v>
      </c>
      <c r="F832" s="13" t="s">
        <v>250</v>
      </c>
      <c r="G832" s="14">
        <v>1</v>
      </c>
      <c r="H832" s="13" t="s">
        <v>2132</v>
      </c>
      <c r="I832" s="15" t="s">
        <v>1893</v>
      </c>
      <c r="J832" s="14" t="s">
        <v>1893</v>
      </c>
      <c r="K832" s="15" t="s">
        <v>1893</v>
      </c>
      <c r="L832" s="14">
        <v>80111620</v>
      </c>
      <c r="M832" s="14" t="s">
        <v>2045</v>
      </c>
      <c r="N832" s="14" t="s">
        <v>253</v>
      </c>
      <c r="O832" s="15" t="s">
        <v>2133</v>
      </c>
      <c r="P832" s="14" t="s">
        <v>255</v>
      </c>
      <c r="Q832" s="14" t="s">
        <v>255</v>
      </c>
      <c r="R832" s="14" t="s">
        <v>255</v>
      </c>
      <c r="S832" s="17">
        <v>11.4</v>
      </c>
      <c r="T832" s="14" t="s">
        <v>256</v>
      </c>
      <c r="U832" s="14" t="s">
        <v>257</v>
      </c>
      <c r="V832" s="14" t="s">
        <v>112</v>
      </c>
      <c r="W832" s="18">
        <v>37449000</v>
      </c>
      <c r="X832" s="18">
        <v>37449000</v>
      </c>
      <c r="Y832" s="19" t="s">
        <v>339</v>
      </c>
      <c r="Z832" s="19" t="s">
        <v>258</v>
      </c>
      <c r="AA832" s="14" t="s">
        <v>971</v>
      </c>
      <c r="AB832" s="14" t="s">
        <v>972</v>
      </c>
      <c r="AC832" s="14">
        <v>6012220601</v>
      </c>
      <c r="AD832" s="14" t="s">
        <v>973</v>
      </c>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c r="BC832" s="82"/>
      <c r="BD832" s="82"/>
      <c r="BE832" s="83"/>
      <c r="BF832" s="83"/>
      <c r="BG832" s="14" t="str">
        <f ca="1">IFERROR(__xludf.DUMMYFUNCTION("REGEXEXTRACT(O826,""^\S+\s(.+)$"")"),"Prestar servicios profesionales para la evaluación, análisis de la información de los proyectos de Fuentes No Convencionales de Energía y Gestión eficiente de la energía así como la validación documental, evaluación técnica y conceptualización de medidas "&amp;"de eficiencia energética en edificios de las administraciones públicas.")</f>
        <v>Prestar servicios profesionales para la evaluación, análisis de la información de los proyectos de Fuentes No Convencionales de Energía y Gestión eficiente de la energía así como la validación documental, evaluación técnica y conceptualización de medidas de eficiencia energética en edificios de las administraciones públicas.</v>
      </c>
      <c r="BH832" s="24"/>
      <c r="BI832" s="24"/>
      <c r="BJ832" s="24"/>
      <c r="BK832" s="24">
        <v>1314000</v>
      </c>
      <c r="BL832" s="24"/>
      <c r="BM832" s="24">
        <v>3285000</v>
      </c>
      <c r="BN832" s="24"/>
      <c r="BO832" s="24">
        <v>3285000</v>
      </c>
      <c r="BP832" s="24"/>
      <c r="BQ832" s="24">
        <v>3285000</v>
      </c>
      <c r="BR832" s="24"/>
      <c r="BS832" s="24">
        <v>3285000</v>
      </c>
      <c r="BT832" s="24"/>
      <c r="BU832" s="24">
        <v>3285000</v>
      </c>
      <c r="BV832" s="24"/>
      <c r="BW832" s="24">
        <v>3285000</v>
      </c>
      <c r="BX832" s="24"/>
      <c r="BY832" s="24">
        <v>3285000</v>
      </c>
      <c r="BZ832" s="24"/>
      <c r="CA832" s="24">
        <v>3285000</v>
      </c>
      <c r="CB832" s="24"/>
      <c r="CC832" s="24">
        <v>3285000</v>
      </c>
      <c r="CD832" s="24"/>
      <c r="CE832" s="24">
        <v>6570000</v>
      </c>
      <c r="CF832" s="28"/>
      <c r="CG832" s="28"/>
      <c r="CH832" s="25">
        <f t="shared" ref="CH832:CI832" si="1573">BH832+BJ832+BL832+BN832+BP832+BR832+BT832+BV832+BX832+BZ832+CB832+CD832+CF832</f>
        <v>0</v>
      </c>
      <c r="CI832" s="25">
        <f t="shared" si="1573"/>
        <v>37449000</v>
      </c>
      <c r="CJ832" s="26">
        <f t="shared" si="1526"/>
        <v>37449000</v>
      </c>
      <c r="CK832" s="26">
        <f t="shared" si="1527"/>
        <v>0</v>
      </c>
    </row>
    <row r="833" spans="1:89" ht="90" customHeight="1" x14ac:dyDescent="0.3">
      <c r="A833" s="13" t="s">
        <v>1891</v>
      </c>
      <c r="B833" s="14" t="s">
        <v>30</v>
      </c>
      <c r="C833" s="15" t="s">
        <v>258</v>
      </c>
      <c r="D833" s="14" t="s">
        <v>258</v>
      </c>
      <c r="E833" s="13" t="s">
        <v>250</v>
      </c>
      <c r="F833" s="13" t="s">
        <v>250</v>
      </c>
      <c r="G833" s="14">
        <v>68</v>
      </c>
      <c r="H833" s="13" t="s">
        <v>2134</v>
      </c>
      <c r="I833" s="15" t="s">
        <v>1893</v>
      </c>
      <c r="J833" s="14" t="s">
        <v>1893</v>
      </c>
      <c r="K833" s="15" t="s">
        <v>1893</v>
      </c>
      <c r="L833" s="14">
        <v>80111620</v>
      </c>
      <c r="M833" s="14" t="s">
        <v>2045</v>
      </c>
      <c r="N833" s="14" t="s">
        <v>253</v>
      </c>
      <c r="O833" s="15" t="s">
        <v>2135</v>
      </c>
      <c r="P833" s="14" t="s">
        <v>255</v>
      </c>
      <c r="Q833" s="14" t="s">
        <v>255</v>
      </c>
      <c r="R833" s="14" t="s">
        <v>255</v>
      </c>
      <c r="S833" s="17">
        <v>11.2</v>
      </c>
      <c r="T833" s="14" t="s">
        <v>256</v>
      </c>
      <c r="U833" s="14" t="s">
        <v>257</v>
      </c>
      <c r="V833" s="14" t="s">
        <v>112</v>
      </c>
      <c r="W833" s="18">
        <v>36792000</v>
      </c>
      <c r="X833" s="18">
        <v>36792000</v>
      </c>
      <c r="Y833" s="19" t="s">
        <v>339</v>
      </c>
      <c r="Z833" s="19" t="s">
        <v>258</v>
      </c>
      <c r="AA833" s="14" t="s">
        <v>971</v>
      </c>
      <c r="AB833" s="14" t="s">
        <v>972</v>
      </c>
      <c r="AC833" s="14">
        <v>6012220601</v>
      </c>
      <c r="AD833" s="14" t="s">
        <v>973</v>
      </c>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c r="BC833" s="82"/>
      <c r="BD833" s="82"/>
      <c r="BE833" s="83"/>
      <c r="BF833" s="83"/>
      <c r="BG833" s="14" t="str">
        <f ca="1">IFERROR(__xludf.DUMMYFUNCTION("REGEXEXTRACT(O827,""^\S+\s(.+)$"")"),"Prestar servicios profesionales para la validación documental, la evaluación técnica y la conceptualización de las medidas de eficiencia energética reportadas para los edificios de las administraciones públicas presentados ante la UPME.")</f>
        <v>Prestar servicios profesionales para la validación documental, la evaluación técnica y la conceptualización de las medidas de eficiencia energética reportadas para los edificios de las administraciones públicas presentados ante la UPME.</v>
      </c>
      <c r="BH833" s="24"/>
      <c r="BI833" s="24"/>
      <c r="BJ833" s="24"/>
      <c r="BK833" s="24">
        <v>657000</v>
      </c>
      <c r="BL833" s="24"/>
      <c r="BM833" s="24">
        <v>3285000</v>
      </c>
      <c r="BN833" s="24"/>
      <c r="BO833" s="24">
        <v>3285000</v>
      </c>
      <c r="BP833" s="24"/>
      <c r="BQ833" s="24">
        <v>3285000</v>
      </c>
      <c r="BR833" s="24"/>
      <c r="BS833" s="24">
        <v>3285000</v>
      </c>
      <c r="BT833" s="24"/>
      <c r="BU833" s="24">
        <v>3285000</v>
      </c>
      <c r="BV833" s="24"/>
      <c r="BW833" s="24">
        <v>3285000</v>
      </c>
      <c r="BX833" s="24"/>
      <c r="BY833" s="24">
        <v>3285000</v>
      </c>
      <c r="BZ833" s="24"/>
      <c r="CA833" s="24">
        <v>3285000</v>
      </c>
      <c r="CB833" s="24"/>
      <c r="CC833" s="24">
        <v>3285000</v>
      </c>
      <c r="CD833" s="24"/>
      <c r="CE833" s="24">
        <v>6570000</v>
      </c>
      <c r="CF833" s="28"/>
      <c r="CG833" s="28"/>
      <c r="CH833" s="25">
        <f t="shared" ref="CH833:CI833" si="1574">BH833+BJ833+BL833+BN833+BP833+BR833+BT833+BV833+BX833+BZ833+CB833+CD833+CF833</f>
        <v>0</v>
      </c>
      <c r="CI833" s="25">
        <f t="shared" si="1574"/>
        <v>36792000</v>
      </c>
      <c r="CJ833" s="26">
        <f t="shared" si="1526"/>
        <v>36792000</v>
      </c>
      <c r="CK833" s="26">
        <f t="shared" si="1527"/>
        <v>0</v>
      </c>
    </row>
    <row r="834" spans="1:89" ht="90" customHeight="1" x14ac:dyDescent="0.3">
      <c r="A834" s="13" t="s">
        <v>1891</v>
      </c>
      <c r="B834" s="14" t="s">
        <v>30</v>
      </c>
      <c r="C834" s="15" t="s">
        <v>258</v>
      </c>
      <c r="D834" s="14" t="s">
        <v>258</v>
      </c>
      <c r="E834" s="13" t="s">
        <v>250</v>
      </c>
      <c r="F834" s="13" t="s">
        <v>250</v>
      </c>
      <c r="G834" s="14">
        <v>68</v>
      </c>
      <c r="H834" s="13" t="s">
        <v>2136</v>
      </c>
      <c r="I834" s="15" t="s">
        <v>1893</v>
      </c>
      <c r="J834" s="14" t="s">
        <v>1893</v>
      </c>
      <c r="K834" s="15" t="s">
        <v>1893</v>
      </c>
      <c r="L834" s="14">
        <v>80111620</v>
      </c>
      <c r="M834" s="14" t="s">
        <v>2045</v>
      </c>
      <c r="N834" s="14" t="s">
        <v>253</v>
      </c>
      <c r="O834" s="15" t="s">
        <v>2137</v>
      </c>
      <c r="P834" s="14" t="s">
        <v>255</v>
      </c>
      <c r="Q834" s="14" t="s">
        <v>255</v>
      </c>
      <c r="R834" s="14" t="s">
        <v>255</v>
      </c>
      <c r="S834" s="17">
        <v>7</v>
      </c>
      <c r="T834" s="14" t="s">
        <v>256</v>
      </c>
      <c r="U834" s="14" t="s">
        <v>257</v>
      </c>
      <c r="V834" s="14" t="s">
        <v>112</v>
      </c>
      <c r="W834" s="18">
        <v>42000000</v>
      </c>
      <c r="X834" s="18">
        <v>42000000</v>
      </c>
      <c r="Y834" s="19" t="s">
        <v>339</v>
      </c>
      <c r="Z834" s="19" t="s">
        <v>258</v>
      </c>
      <c r="AA834" s="14" t="s">
        <v>971</v>
      </c>
      <c r="AB834" s="14" t="s">
        <v>972</v>
      </c>
      <c r="AC834" s="14">
        <v>6012220601</v>
      </c>
      <c r="AD834" s="14" t="s">
        <v>973</v>
      </c>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c r="BC834" s="82"/>
      <c r="BD834" s="82"/>
      <c r="BE834" s="83"/>
      <c r="BF834" s="83"/>
      <c r="BG834" s="14" t="str">
        <f ca="1">IFERROR(__xludf.DUMMYFUNCTION("REGEXEXTRACT(O828,""^\S+\s(.+)$"")"),"Prestar servicios profesionales para diseñar, desarrollar y acompañar estrategias de pedagogía y difusión con enfoque social, orientadas a la sensibilización, capacitación, formación y fortalecimiento de capacidades de los públicos objetivo de los diferen"&amp;"tes trámites, planes y procesos de la Subdirección de Demanda.")</f>
        <v>Prestar servicios profesionales para diseñar, desarrollar y acompañar estrategias de pedagogía y difusión con enfoque social, orientadas a la sensibilización, capacitación, formación y fortalecimiento de capacidades de los públicos objetivo de los diferentes trámites, planes y procesos de la Subdirección de Demanda.</v>
      </c>
      <c r="BH834" s="24"/>
      <c r="BI834" s="24"/>
      <c r="BJ834" s="24"/>
      <c r="BK834" s="24">
        <v>-24000000</v>
      </c>
      <c r="BL834" s="24"/>
      <c r="BM834" s="24">
        <v>6000000</v>
      </c>
      <c r="BN834" s="24"/>
      <c r="BO834" s="24">
        <v>6000000</v>
      </c>
      <c r="BP834" s="24"/>
      <c r="BQ834" s="24">
        <v>6000000</v>
      </c>
      <c r="BR834" s="24"/>
      <c r="BS834" s="24">
        <v>6000000</v>
      </c>
      <c r="BT834" s="24"/>
      <c r="BU834" s="24">
        <v>6000000</v>
      </c>
      <c r="BV834" s="24"/>
      <c r="BW834" s="24">
        <v>6000000</v>
      </c>
      <c r="BX834" s="24"/>
      <c r="BY834" s="24">
        <v>6000000</v>
      </c>
      <c r="BZ834" s="24"/>
      <c r="CA834" s="24">
        <v>6000000</v>
      </c>
      <c r="CB834" s="24"/>
      <c r="CC834" s="24">
        <v>6000000</v>
      </c>
      <c r="CD834" s="24"/>
      <c r="CE834" s="24">
        <v>12000000</v>
      </c>
      <c r="CF834" s="28"/>
      <c r="CG834" s="28"/>
      <c r="CH834" s="25">
        <f t="shared" ref="CH834:CI834" si="1575">BH834+BJ834+BL834+BN834+BP834+BR834+BT834+BV834+BX834+BZ834+CB834+CD834+CF834</f>
        <v>0</v>
      </c>
      <c r="CI834" s="25">
        <f t="shared" si="1575"/>
        <v>42000000</v>
      </c>
      <c r="CJ834" s="26">
        <f t="shared" si="1526"/>
        <v>42000000</v>
      </c>
      <c r="CK834" s="26">
        <f t="shared" si="1527"/>
        <v>0</v>
      </c>
    </row>
    <row r="835" spans="1:89" ht="90" customHeight="1" x14ac:dyDescent="0.3">
      <c r="A835" s="13" t="s">
        <v>1891</v>
      </c>
      <c r="B835" s="14" t="s">
        <v>30</v>
      </c>
      <c r="C835" s="15" t="s">
        <v>258</v>
      </c>
      <c r="D835" s="14" t="s">
        <v>258</v>
      </c>
      <c r="E835" s="13" t="s">
        <v>250</v>
      </c>
      <c r="F835" s="13" t="s">
        <v>250</v>
      </c>
      <c r="G835" s="14">
        <v>68</v>
      </c>
      <c r="H835" s="13" t="s">
        <v>2138</v>
      </c>
      <c r="I835" s="15" t="s">
        <v>1893</v>
      </c>
      <c r="J835" s="14" t="s">
        <v>1893</v>
      </c>
      <c r="K835" s="15" t="s">
        <v>1893</v>
      </c>
      <c r="L835" s="14">
        <v>80111620</v>
      </c>
      <c r="M835" s="14" t="s">
        <v>2045</v>
      </c>
      <c r="N835" s="14" t="s">
        <v>253</v>
      </c>
      <c r="O835" s="15" t="s">
        <v>2139</v>
      </c>
      <c r="P835" s="14" t="s">
        <v>255</v>
      </c>
      <c r="Q835" s="14" t="s">
        <v>255</v>
      </c>
      <c r="R835" s="14" t="s">
        <v>255</v>
      </c>
      <c r="S835" s="17">
        <v>11.5</v>
      </c>
      <c r="T835" s="14" t="s">
        <v>256</v>
      </c>
      <c r="U835" s="14" t="s">
        <v>257</v>
      </c>
      <c r="V835" s="14" t="s">
        <v>112</v>
      </c>
      <c r="W835" s="18">
        <v>37777500</v>
      </c>
      <c r="X835" s="18">
        <v>37777500</v>
      </c>
      <c r="Y835" s="19" t="s">
        <v>339</v>
      </c>
      <c r="Z835" s="19" t="s">
        <v>258</v>
      </c>
      <c r="AA835" s="14" t="s">
        <v>971</v>
      </c>
      <c r="AB835" s="14" t="s">
        <v>972</v>
      </c>
      <c r="AC835" s="14">
        <v>6012220601</v>
      </c>
      <c r="AD835" s="14" t="s">
        <v>973</v>
      </c>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c r="BC835" s="82"/>
      <c r="BD835" s="82"/>
      <c r="BE835" s="83"/>
      <c r="BF835" s="83"/>
      <c r="BG835" s="14" t="str">
        <f ca="1">IFERROR(__xludf.DUMMYFUNCTION("REGEXEXTRACT(O829,""^\S+\s(.+)$"")"),"Prestar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35" s="24"/>
      <c r="BI835" s="24"/>
      <c r="BJ835" s="24"/>
      <c r="BK835" s="24">
        <v>1642500</v>
      </c>
      <c r="BL835" s="24"/>
      <c r="BM835" s="24">
        <v>3285000</v>
      </c>
      <c r="BN835" s="24"/>
      <c r="BO835" s="24">
        <v>3285000</v>
      </c>
      <c r="BP835" s="24"/>
      <c r="BQ835" s="24">
        <v>3285000</v>
      </c>
      <c r="BR835" s="24"/>
      <c r="BS835" s="24">
        <v>3285000</v>
      </c>
      <c r="BT835" s="24"/>
      <c r="BU835" s="24">
        <v>3285000</v>
      </c>
      <c r="BV835" s="24"/>
      <c r="BW835" s="24">
        <v>3285000</v>
      </c>
      <c r="BX835" s="24"/>
      <c r="BY835" s="24">
        <v>3285000</v>
      </c>
      <c r="BZ835" s="24"/>
      <c r="CA835" s="24">
        <v>3285000</v>
      </c>
      <c r="CB835" s="24"/>
      <c r="CC835" s="24">
        <v>3285000</v>
      </c>
      <c r="CD835" s="24"/>
      <c r="CE835" s="24">
        <v>6570000</v>
      </c>
      <c r="CF835" s="28"/>
      <c r="CG835" s="28"/>
      <c r="CH835" s="25">
        <f t="shared" ref="CH835:CI835" si="1576">BH835+BJ835+BL835+BN835+BP835+BR835+BT835+BV835+BX835+BZ835+CB835+CD835+CF835</f>
        <v>0</v>
      </c>
      <c r="CI835" s="25">
        <f t="shared" si="1576"/>
        <v>37777500</v>
      </c>
      <c r="CJ835" s="26">
        <f t="shared" si="1526"/>
        <v>37777500</v>
      </c>
      <c r="CK835" s="26">
        <f t="shared" si="1527"/>
        <v>0</v>
      </c>
    </row>
    <row r="836" spans="1:89" ht="90" customHeight="1" x14ac:dyDescent="0.3">
      <c r="A836" s="13" t="s">
        <v>1891</v>
      </c>
      <c r="B836" s="14" t="s">
        <v>30</v>
      </c>
      <c r="C836" s="15" t="s">
        <v>258</v>
      </c>
      <c r="D836" s="14" t="s">
        <v>258</v>
      </c>
      <c r="E836" s="13" t="s">
        <v>250</v>
      </c>
      <c r="F836" s="13" t="s">
        <v>250</v>
      </c>
      <c r="G836" s="14">
        <v>68</v>
      </c>
      <c r="H836" s="13" t="s">
        <v>2140</v>
      </c>
      <c r="I836" s="15" t="s">
        <v>1893</v>
      </c>
      <c r="J836" s="14" t="s">
        <v>1893</v>
      </c>
      <c r="K836" s="15" t="s">
        <v>1893</v>
      </c>
      <c r="L836" s="14">
        <v>80111620</v>
      </c>
      <c r="M836" s="14" t="s">
        <v>2045</v>
      </c>
      <c r="N836" s="14" t="s">
        <v>253</v>
      </c>
      <c r="O836" s="15" t="s">
        <v>2141</v>
      </c>
      <c r="P836" s="14" t="s">
        <v>255</v>
      </c>
      <c r="Q836" s="14" t="s">
        <v>255</v>
      </c>
      <c r="R836" s="14" t="s">
        <v>255</v>
      </c>
      <c r="S836" s="17">
        <v>11.5</v>
      </c>
      <c r="T836" s="14" t="s">
        <v>256</v>
      </c>
      <c r="U836" s="14" t="s">
        <v>257</v>
      </c>
      <c r="V836" s="14" t="s">
        <v>112</v>
      </c>
      <c r="W836" s="18">
        <v>57500000</v>
      </c>
      <c r="X836" s="18">
        <v>57500000</v>
      </c>
      <c r="Y836" s="19" t="s">
        <v>339</v>
      </c>
      <c r="Z836" s="19" t="s">
        <v>258</v>
      </c>
      <c r="AA836" s="14" t="s">
        <v>971</v>
      </c>
      <c r="AB836" s="14" t="s">
        <v>972</v>
      </c>
      <c r="AC836" s="14">
        <v>6012220601</v>
      </c>
      <c r="AD836" s="14" t="s">
        <v>973</v>
      </c>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c r="BC836" s="82"/>
      <c r="BD836" s="82"/>
      <c r="BE836" s="83"/>
      <c r="BF836" s="83"/>
      <c r="BG836" s="14" t="str">
        <f ca="1">IFERROR(__xludf.DUMMYFUNCTION("REGEXEXTRACT(O830,""^\S+\s(.+)$"")"),"Prestar servicios profesionales enfocados en la revisión, análisis y evaluación de la información técnica de proyectos de Fuentes No Convencionales de Energía y Gestión Eficiente de la Energía e hidrogeno, garantizando el cumplimiento de la normativa vige"&amp;"nte, y apoyando la toma de decisiones estratégicas que optimicen la eficiencia en los procesos.")</f>
        <v>Prestar servicios profesionales enfocados en la revisión, análisis y evaluación de la información técnica de proyectos de Fuentes No Convencionales de Energía y Gestión Eficiente de la Energía e hidrogeno, garantizando el cumplimiento de la normativa vigente, y apoyando la toma de decisiones estratégicas que optimicen la eficiencia en los procesos.</v>
      </c>
      <c r="BH836" s="24"/>
      <c r="BI836" s="24"/>
      <c r="BJ836" s="24"/>
      <c r="BK836" s="24">
        <v>2500000</v>
      </c>
      <c r="BL836" s="24"/>
      <c r="BM836" s="24">
        <v>5000000</v>
      </c>
      <c r="BN836" s="24"/>
      <c r="BO836" s="24">
        <v>5000000</v>
      </c>
      <c r="BP836" s="24"/>
      <c r="BQ836" s="24">
        <v>5000000</v>
      </c>
      <c r="BR836" s="24"/>
      <c r="BS836" s="24">
        <v>5000000</v>
      </c>
      <c r="BT836" s="24"/>
      <c r="BU836" s="24">
        <v>5000000</v>
      </c>
      <c r="BV836" s="24"/>
      <c r="BW836" s="24">
        <v>5000000</v>
      </c>
      <c r="BX836" s="24"/>
      <c r="BY836" s="24">
        <v>5000000</v>
      </c>
      <c r="BZ836" s="24"/>
      <c r="CA836" s="24">
        <v>5000000</v>
      </c>
      <c r="CB836" s="24"/>
      <c r="CC836" s="24">
        <v>5000000</v>
      </c>
      <c r="CD836" s="24"/>
      <c r="CE836" s="24">
        <v>10000000</v>
      </c>
      <c r="CF836" s="28"/>
      <c r="CG836" s="28"/>
      <c r="CH836" s="25">
        <f t="shared" ref="CH836:CI836" si="1577">BH836+BJ836+BL836+BN836+BP836+BR836+BT836+BV836+BX836+BZ836+CB836+CD836+CF836</f>
        <v>0</v>
      </c>
      <c r="CI836" s="25">
        <f t="shared" si="1577"/>
        <v>57500000</v>
      </c>
      <c r="CJ836" s="26">
        <f t="shared" si="1526"/>
        <v>57500000</v>
      </c>
      <c r="CK836" s="26">
        <f t="shared" si="1527"/>
        <v>0</v>
      </c>
    </row>
    <row r="837" spans="1:89" ht="90" customHeight="1" x14ac:dyDescent="0.3">
      <c r="A837" s="13" t="s">
        <v>1891</v>
      </c>
      <c r="B837" s="14" t="s">
        <v>30</v>
      </c>
      <c r="C837" s="15" t="s">
        <v>258</v>
      </c>
      <c r="D837" s="14" t="s">
        <v>258</v>
      </c>
      <c r="E837" s="13" t="s">
        <v>250</v>
      </c>
      <c r="F837" s="13" t="s">
        <v>250</v>
      </c>
      <c r="G837" s="14">
        <v>68</v>
      </c>
      <c r="H837" s="13" t="s">
        <v>2142</v>
      </c>
      <c r="I837" s="15" t="s">
        <v>1893</v>
      </c>
      <c r="J837" s="14" t="s">
        <v>1893</v>
      </c>
      <c r="K837" s="15" t="s">
        <v>1893</v>
      </c>
      <c r="L837" s="14">
        <v>80111620</v>
      </c>
      <c r="M837" s="14" t="s">
        <v>2045</v>
      </c>
      <c r="N837" s="14" t="s">
        <v>253</v>
      </c>
      <c r="O837" s="15" t="s">
        <v>2143</v>
      </c>
      <c r="P837" s="14" t="s">
        <v>255</v>
      </c>
      <c r="Q837" s="14" t="s">
        <v>255</v>
      </c>
      <c r="R837" s="14" t="s">
        <v>255</v>
      </c>
      <c r="S837" s="17">
        <v>11.5</v>
      </c>
      <c r="T837" s="14" t="s">
        <v>256</v>
      </c>
      <c r="U837" s="14" t="s">
        <v>257</v>
      </c>
      <c r="V837" s="14" t="s">
        <v>112</v>
      </c>
      <c r="W837" s="18">
        <v>69000000</v>
      </c>
      <c r="X837" s="18">
        <v>69000000</v>
      </c>
      <c r="Y837" s="19" t="s">
        <v>339</v>
      </c>
      <c r="Z837" s="19" t="s">
        <v>258</v>
      </c>
      <c r="AA837" s="14" t="s">
        <v>971</v>
      </c>
      <c r="AB837" s="14" t="s">
        <v>972</v>
      </c>
      <c r="AC837" s="14">
        <v>6012220601</v>
      </c>
      <c r="AD837" s="14" t="s">
        <v>973</v>
      </c>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c r="BC837" s="82"/>
      <c r="BD837" s="82"/>
      <c r="BE837" s="83"/>
      <c r="BF837" s="83"/>
      <c r="BG837" s="14" t="str">
        <f ca="1">IFERROR(__xludf.DUMMYFUNCTION("REGEXEXTRACT(O831,""^\S+\s(.+)$"")"),"Prestar los servicios profesionales para realizar el seguimiento y control de los procesos contractuales, la ejecución presupuestal y demás actividades que se requieran para el cumplimiento de las metas y objetivos de la Subdirección de Demanda, asociados"&amp;" a las iniciativas y proyectos de FNCE, GEE e Hidrógeno.")</f>
        <v>Prestar los servicios profesionales para realizar el seguimiento y control de los procesos contractuales, la ejecución presupuestal y demás actividades que se requieran para el cumplimiento de las metas y objetivos de la Subdirección de Demanda, asociados a las iniciativas y proyectos de FNCE, GEE e Hidrógeno.</v>
      </c>
      <c r="BH837" s="24"/>
      <c r="BI837" s="24"/>
      <c r="BJ837" s="24"/>
      <c r="BK837" s="24">
        <v>3000000</v>
      </c>
      <c r="BL837" s="24"/>
      <c r="BM837" s="24">
        <v>6000000</v>
      </c>
      <c r="BN837" s="24"/>
      <c r="BO837" s="24">
        <v>6000000</v>
      </c>
      <c r="BP837" s="24"/>
      <c r="BQ837" s="24">
        <v>6000000</v>
      </c>
      <c r="BR837" s="24"/>
      <c r="BS837" s="24">
        <v>6000000</v>
      </c>
      <c r="BT837" s="24"/>
      <c r="BU837" s="24">
        <v>6000000</v>
      </c>
      <c r="BV837" s="24"/>
      <c r="BW837" s="24">
        <v>6000000</v>
      </c>
      <c r="BX837" s="24"/>
      <c r="BY837" s="24">
        <v>6000000</v>
      </c>
      <c r="BZ837" s="24"/>
      <c r="CA837" s="24">
        <v>6000000</v>
      </c>
      <c r="CB837" s="24"/>
      <c r="CC837" s="24">
        <v>6000000</v>
      </c>
      <c r="CD837" s="24"/>
      <c r="CE837" s="24">
        <v>12000000</v>
      </c>
      <c r="CF837" s="28"/>
      <c r="CG837" s="28"/>
      <c r="CH837" s="25">
        <f t="shared" ref="CH837:CI837" si="1578">BH837+BJ837+BL837+BN837+BP837+BR837+BT837+BV837+BX837+BZ837+CB837+CD837+CF837</f>
        <v>0</v>
      </c>
      <c r="CI837" s="25">
        <f t="shared" si="1578"/>
        <v>69000000</v>
      </c>
      <c r="CJ837" s="26">
        <f t="shared" si="1526"/>
        <v>69000000</v>
      </c>
      <c r="CK837" s="26">
        <f t="shared" si="1527"/>
        <v>0</v>
      </c>
    </row>
    <row r="838" spans="1:89" ht="90" customHeight="1" x14ac:dyDescent="0.3">
      <c r="A838" s="13" t="s">
        <v>1891</v>
      </c>
      <c r="B838" s="14" t="s">
        <v>30</v>
      </c>
      <c r="C838" s="15" t="s">
        <v>258</v>
      </c>
      <c r="D838" s="14" t="s">
        <v>258</v>
      </c>
      <c r="E838" s="13" t="s">
        <v>250</v>
      </c>
      <c r="F838" s="13" t="s">
        <v>250</v>
      </c>
      <c r="G838" s="14">
        <v>68</v>
      </c>
      <c r="H838" s="13" t="s">
        <v>2144</v>
      </c>
      <c r="I838" s="15" t="s">
        <v>1893</v>
      </c>
      <c r="J838" s="14" t="s">
        <v>1893</v>
      </c>
      <c r="K838" s="15" t="s">
        <v>1893</v>
      </c>
      <c r="L838" s="14">
        <v>80111620</v>
      </c>
      <c r="M838" s="14" t="s">
        <v>2045</v>
      </c>
      <c r="N838" s="14" t="s">
        <v>253</v>
      </c>
      <c r="O838" s="15" t="s">
        <v>2145</v>
      </c>
      <c r="P838" s="14" t="s">
        <v>255</v>
      </c>
      <c r="Q838" s="14" t="s">
        <v>255</v>
      </c>
      <c r="R838" s="14" t="s">
        <v>255</v>
      </c>
      <c r="S838" s="17">
        <v>11.4</v>
      </c>
      <c r="T838" s="14" t="s">
        <v>256</v>
      </c>
      <c r="U838" s="14" t="s">
        <v>257</v>
      </c>
      <c r="V838" s="14" t="s">
        <v>112</v>
      </c>
      <c r="W838" s="18">
        <v>37449000</v>
      </c>
      <c r="X838" s="18">
        <v>37449000</v>
      </c>
      <c r="Y838" s="19" t="s">
        <v>339</v>
      </c>
      <c r="Z838" s="19" t="s">
        <v>258</v>
      </c>
      <c r="AA838" s="14" t="s">
        <v>971</v>
      </c>
      <c r="AB838" s="14" t="s">
        <v>972</v>
      </c>
      <c r="AC838" s="14">
        <v>6012220601</v>
      </c>
      <c r="AD838" s="14" t="s">
        <v>973</v>
      </c>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c r="BC838" s="82"/>
      <c r="BD838" s="82"/>
      <c r="BE838" s="83"/>
      <c r="BF838" s="83"/>
      <c r="BG838" s="14" t="str">
        <f ca="1">IFERROR(__xludf.DUMMYFUNCTION("REGEXEXTRACT(O832,""^\S+\s(.+)$"")"),"Prestar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38" s="24"/>
      <c r="BI838" s="24"/>
      <c r="BJ838" s="24"/>
      <c r="BK838" s="24">
        <v>1314000</v>
      </c>
      <c r="BL838" s="24"/>
      <c r="BM838" s="24">
        <v>3285000</v>
      </c>
      <c r="BN838" s="24"/>
      <c r="BO838" s="24">
        <v>3285000</v>
      </c>
      <c r="BP838" s="24"/>
      <c r="BQ838" s="24">
        <v>3285000</v>
      </c>
      <c r="BR838" s="24"/>
      <c r="BS838" s="24">
        <v>3285000</v>
      </c>
      <c r="BT838" s="24"/>
      <c r="BU838" s="24">
        <v>3285000</v>
      </c>
      <c r="BV838" s="24"/>
      <c r="BW838" s="24">
        <v>3285000</v>
      </c>
      <c r="BX838" s="24"/>
      <c r="BY838" s="24">
        <v>3285000</v>
      </c>
      <c r="BZ838" s="24"/>
      <c r="CA838" s="24">
        <v>3285000</v>
      </c>
      <c r="CB838" s="24"/>
      <c r="CC838" s="24">
        <v>3285000</v>
      </c>
      <c r="CD838" s="24"/>
      <c r="CE838" s="24">
        <v>6570000</v>
      </c>
      <c r="CF838" s="28"/>
      <c r="CG838" s="28"/>
      <c r="CH838" s="25">
        <f t="shared" ref="CH838:CI838" si="1579">BH838+BJ838+BL838+BN838+BP838+BR838+BT838+BV838+BX838+BZ838+CB838+CD838+CF838</f>
        <v>0</v>
      </c>
      <c r="CI838" s="25">
        <f t="shared" si="1579"/>
        <v>37449000</v>
      </c>
      <c r="CJ838" s="26">
        <f t="shared" si="1526"/>
        <v>37449000</v>
      </c>
      <c r="CK838" s="26">
        <f t="shared" si="1527"/>
        <v>0</v>
      </c>
    </row>
    <row r="839" spans="1:89" ht="90" customHeight="1" x14ac:dyDescent="0.3">
      <c r="A839" s="13" t="s">
        <v>1891</v>
      </c>
      <c r="B839" s="14" t="s">
        <v>30</v>
      </c>
      <c r="C839" s="15" t="s">
        <v>258</v>
      </c>
      <c r="D839" s="14" t="s">
        <v>258</v>
      </c>
      <c r="E839" s="13" t="s">
        <v>250</v>
      </c>
      <c r="F839" s="13" t="s">
        <v>250</v>
      </c>
      <c r="G839" s="14">
        <v>68</v>
      </c>
      <c r="H839" s="13" t="s">
        <v>2146</v>
      </c>
      <c r="I839" s="15" t="s">
        <v>1893</v>
      </c>
      <c r="J839" s="14" t="s">
        <v>1893</v>
      </c>
      <c r="K839" s="15" t="s">
        <v>1893</v>
      </c>
      <c r="L839" s="14">
        <v>80111620</v>
      </c>
      <c r="M839" s="14" t="s">
        <v>2045</v>
      </c>
      <c r="N839" s="14" t="s">
        <v>253</v>
      </c>
      <c r="O839" s="15" t="s">
        <v>2147</v>
      </c>
      <c r="P839" s="14" t="s">
        <v>255</v>
      </c>
      <c r="Q839" s="14" t="s">
        <v>255</v>
      </c>
      <c r="R839" s="14" t="s">
        <v>255</v>
      </c>
      <c r="S839" s="17">
        <v>11.4</v>
      </c>
      <c r="T839" s="14" t="s">
        <v>256</v>
      </c>
      <c r="U839" s="14" t="s">
        <v>257</v>
      </c>
      <c r="V839" s="14" t="s">
        <v>112</v>
      </c>
      <c r="W839" s="18">
        <v>37449000</v>
      </c>
      <c r="X839" s="18">
        <v>37449000</v>
      </c>
      <c r="Y839" s="19" t="s">
        <v>339</v>
      </c>
      <c r="Z839" s="19" t="s">
        <v>258</v>
      </c>
      <c r="AA839" s="14" t="s">
        <v>971</v>
      </c>
      <c r="AB839" s="14" t="s">
        <v>972</v>
      </c>
      <c r="AC839" s="14">
        <v>6012220601</v>
      </c>
      <c r="AD839" s="14" t="s">
        <v>973</v>
      </c>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c r="BC839" s="82"/>
      <c r="BD839" s="82"/>
      <c r="BE839" s="83"/>
      <c r="BF839" s="83"/>
      <c r="BG839" s="14" t="str">
        <f ca="1">IFERROR(__xludf.DUMMYFUNCTION("REGEXEXTRACT(O833,""^\S+\s(.+)$"")"),"Prestar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39" s="24"/>
      <c r="BI839" s="24"/>
      <c r="BJ839" s="24"/>
      <c r="BK839" s="24">
        <v>1314000</v>
      </c>
      <c r="BL839" s="24"/>
      <c r="BM839" s="24">
        <v>3285000</v>
      </c>
      <c r="BN839" s="24"/>
      <c r="BO839" s="24">
        <v>3285000</v>
      </c>
      <c r="BP839" s="24"/>
      <c r="BQ839" s="24">
        <v>3285000</v>
      </c>
      <c r="BR839" s="24"/>
      <c r="BS839" s="24">
        <v>3285000</v>
      </c>
      <c r="BT839" s="24"/>
      <c r="BU839" s="24">
        <v>3285000</v>
      </c>
      <c r="BV839" s="24"/>
      <c r="BW839" s="24">
        <v>3285000</v>
      </c>
      <c r="BX839" s="24"/>
      <c r="BY839" s="24">
        <v>3285000</v>
      </c>
      <c r="BZ839" s="24"/>
      <c r="CA839" s="24">
        <v>3285000</v>
      </c>
      <c r="CB839" s="24"/>
      <c r="CC839" s="24">
        <v>3285000</v>
      </c>
      <c r="CD839" s="24"/>
      <c r="CE839" s="24">
        <v>6570000</v>
      </c>
      <c r="CF839" s="28"/>
      <c r="CG839" s="28"/>
      <c r="CH839" s="25">
        <f t="shared" ref="CH839:CI839" si="1580">BH839+BJ839+BL839+BN839+BP839+BR839+BT839+BV839+BX839+BZ839+CB839+CD839+CF839</f>
        <v>0</v>
      </c>
      <c r="CI839" s="25">
        <f t="shared" si="1580"/>
        <v>37449000</v>
      </c>
      <c r="CJ839" s="26">
        <f t="shared" si="1526"/>
        <v>37449000</v>
      </c>
      <c r="CK839" s="26">
        <f t="shared" si="1527"/>
        <v>0</v>
      </c>
    </row>
    <row r="840" spans="1:89" ht="90" customHeight="1" x14ac:dyDescent="0.3">
      <c r="A840" s="13" t="s">
        <v>1891</v>
      </c>
      <c r="B840" s="14" t="s">
        <v>30</v>
      </c>
      <c r="C840" s="15" t="s">
        <v>258</v>
      </c>
      <c r="D840" s="14" t="s">
        <v>258</v>
      </c>
      <c r="E840" s="13" t="s">
        <v>250</v>
      </c>
      <c r="F840" s="13" t="s">
        <v>250</v>
      </c>
      <c r="G840" s="14">
        <v>10</v>
      </c>
      <c r="H840" s="13" t="s">
        <v>2148</v>
      </c>
      <c r="I840" s="15" t="s">
        <v>1893</v>
      </c>
      <c r="J840" s="14" t="s">
        <v>1893</v>
      </c>
      <c r="K840" s="15" t="s">
        <v>1893</v>
      </c>
      <c r="L840" s="14">
        <v>80111620</v>
      </c>
      <c r="M840" s="14" t="s">
        <v>2045</v>
      </c>
      <c r="N840" s="14" t="s">
        <v>253</v>
      </c>
      <c r="O840" s="15" t="s">
        <v>2149</v>
      </c>
      <c r="P840" s="14" t="s">
        <v>255</v>
      </c>
      <c r="Q840" s="14" t="s">
        <v>255</v>
      </c>
      <c r="R840" s="14" t="s">
        <v>255</v>
      </c>
      <c r="S840" s="17">
        <v>6</v>
      </c>
      <c r="T840" s="14" t="s">
        <v>256</v>
      </c>
      <c r="U840" s="14" t="s">
        <v>257</v>
      </c>
      <c r="V840" s="14" t="s">
        <v>112</v>
      </c>
      <c r="W840" s="18">
        <v>30000000</v>
      </c>
      <c r="X840" s="18">
        <v>30000000</v>
      </c>
      <c r="Y840" s="19" t="s">
        <v>339</v>
      </c>
      <c r="Z840" s="19" t="s">
        <v>258</v>
      </c>
      <c r="AA840" s="14" t="s">
        <v>971</v>
      </c>
      <c r="AB840" s="14" t="s">
        <v>972</v>
      </c>
      <c r="AC840" s="14">
        <v>6012220601</v>
      </c>
      <c r="AD840" s="14" t="s">
        <v>973</v>
      </c>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c r="BC840" s="82"/>
      <c r="BD840" s="82"/>
      <c r="BE840" s="83"/>
      <c r="BF840" s="83"/>
      <c r="BG840" s="14" t="str">
        <f ca="1">IFERROR(__xludf.DUMMYFUNCTION("REGEXEXTRACT(O834,""^\S+\s(.+)$"")"),"Prestar servicios profesionales en materia contable, financiera y tributaria para la correcta aplicación de modificaciones normativas de incentivos tributarios y la revisión de criterios fiscales así como el apoyo administrativo a la Subdirección de Deman"&amp;"da")</f>
        <v>Prestar servicios profesionales en materia contable, financiera y tributaria para la correcta aplicación de modificaciones normativas de incentivos tributarios y la revisión de criterios fiscales así como el apoyo administrativo a la Subdirección de Demanda</v>
      </c>
      <c r="BH840" s="24"/>
      <c r="BI840" s="24"/>
      <c r="BJ840" s="24">
        <v>0</v>
      </c>
      <c r="BK840" s="24">
        <v>0</v>
      </c>
      <c r="BL840" s="24">
        <v>0</v>
      </c>
      <c r="BM840" s="24">
        <v>5000000</v>
      </c>
      <c r="BN840" s="24">
        <v>0</v>
      </c>
      <c r="BO840" s="24">
        <v>5000000</v>
      </c>
      <c r="BP840" s="24">
        <v>0</v>
      </c>
      <c r="BQ840" s="24">
        <v>5000000</v>
      </c>
      <c r="BR840" s="24">
        <v>0</v>
      </c>
      <c r="BS840" s="24">
        <v>5000000</v>
      </c>
      <c r="BT840" s="24">
        <v>0</v>
      </c>
      <c r="BU840" s="24">
        <v>5000000</v>
      </c>
      <c r="BV840" s="24">
        <v>0</v>
      </c>
      <c r="BW840" s="24">
        <v>5000000</v>
      </c>
      <c r="BX840" s="24">
        <v>0</v>
      </c>
      <c r="BY840" s="24">
        <v>0</v>
      </c>
      <c r="BZ840" s="24">
        <v>0</v>
      </c>
      <c r="CA840" s="24">
        <v>0</v>
      </c>
      <c r="CB840" s="24">
        <v>0</v>
      </c>
      <c r="CC840" s="24">
        <v>0</v>
      </c>
      <c r="CD840" s="24">
        <v>0</v>
      </c>
      <c r="CE840" s="24">
        <v>0</v>
      </c>
      <c r="CF840" s="28"/>
      <c r="CG840" s="28"/>
      <c r="CH840" s="25">
        <f t="shared" ref="CH840:CI840" si="1581">BH840+BJ840+BL840+BN840+BP840+BR840+BT840+BV840+BX840+BZ840+CB840+CD840+CF840</f>
        <v>0</v>
      </c>
      <c r="CI840" s="25">
        <f t="shared" si="1581"/>
        <v>30000000</v>
      </c>
      <c r="CJ840" s="26">
        <f t="shared" si="1526"/>
        <v>30000000</v>
      </c>
      <c r="CK840" s="26">
        <f t="shared" si="1527"/>
        <v>0</v>
      </c>
    </row>
    <row r="841" spans="1:89" ht="90" customHeight="1" x14ac:dyDescent="0.3">
      <c r="A841" s="13" t="s">
        <v>1891</v>
      </c>
      <c r="B841" s="14" t="s">
        <v>30</v>
      </c>
      <c r="C841" s="15" t="s">
        <v>258</v>
      </c>
      <c r="D841" s="14" t="s">
        <v>258</v>
      </c>
      <c r="E841" s="13" t="s">
        <v>250</v>
      </c>
      <c r="F841" s="13" t="s">
        <v>250</v>
      </c>
      <c r="G841" s="14">
        <v>68</v>
      </c>
      <c r="H841" s="13" t="s">
        <v>2150</v>
      </c>
      <c r="I841" s="15" t="s">
        <v>1893</v>
      </c>
      <c r="J841" s="14" t="s">
        <v>1893</v>
      </c>
      <c r="K841" s="15" t="s">
        <v>1893</v>
      </c>
      <c r="L841" s="14">
        <v>80111620</v>
      </c>
      <c r="M841" s="14" t="s">
        <v>2045</v>
      </c>
      <c r="N841" s="14" t="s">
        <v>253</v>
      </c>
      <c r="O841" s="15" t="s">
        <v>2151</v>
      </c>
      <c r="P841" s="14" t="s">
        <v>255</v>
      </c>
      <c r="Q841" s="14" t="s">
        <v>255</v>
      </c>
      <c r="R841" s="14" t="s">
        <v>255</v>
      </c>
      <c r="S841" s="17">
        <v>11.5</v>
      </c>
      <c r="T841" s="14" t="s">
        <v>256</v>
      </c>
      <c r="U841" s="14" t="s">
        <v>257</v>
      </c>
      <c r="V841" s="14" t="s">
        <v>112</v>
      </c>
      <c r="W841" s="18">
        <v>92000000</v>
      </c>
      <c r="X841" s="18">
        <v>92000000</v>
      </c>
      <c r="Y841" s="19" t="s">
        <v>339</v>
      </c>
      <c r="Z841" s="19" t="s">
        <v>258</v>
      </c>
      <c r="AA841" s="14" t="s">
        <v>971</v>
      </c>
      <c r="AB841" s="14" t="s">
        <v>972</v>
      </c>
      <c r="AC841" s="14">
        <v>6012220601</v>
      </c>
      <c r="AD841" s="14" t="s">
        <v>973</v>
      </c>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c r="BC841" s="82"/>
      <c r="BD841" s="82"/>
      <c r="BE841" s="83"/>
      <c r="BF841" s="83"/>
      <c r="BG841" s="14" t="str">
        <f ca="1">IFERROR(__xludf.DUMMYFUNCTION("REGEXEXTRACT(O835,""^\S+\s(.+)$"")"),"Prestar servicios profesionales especializados en arquitectura empresarial, automatización avanzada de procesos y desarrollo de soluciones tecnológicas sobre la plataforma Bizagi en el trámite de Incentivos Tributarios y otros entornos compatibles adoptad"&amp;"os por la UPME.")</f>
        <v>Prestar servicios profesionales especializados en arquitectura empresarial, automatización avanzada de procesos y desarrollo de soluciones tecnológicas sobre la plataforma Bizagi en el trámite de Incentivos Tributarios y otros entornos compatibles adoptados por la UPME.</v>
      </c>
      <c r="BH841" s="24"/>
      <c r="BI841" s="24"/>
      <c r="BJ841" s="24"/>
      <c r="BK841" s="24">
        <v>4000000</v>
      </c>
      <c r="BL841" s="24"/>
      <c r="BM841" s="24">
        <v>8000000</v>
      </c>
      <c r="BN841" s="24"/>
      <c r="BO841" s="24">
        <v>8000000</v>
      </c>
      <c r="BP841" s="24"/>
      <c r="BQ841" s="24">
        <v>8000000</v>
      </c>
      <c r="BR841" s="24"/>
      <c r="BS841" s="24">
        <v>8000000</v>
      </c>
      <c r="BT841" s="24"/>
      <c r="BU841" s="24">
        <v>8000000</v>
      </c>
      <c r="BV841" s="24"/>
      <c r="BW841" s="24">
        <v>8000000</v>
      </c>
      <c r="BX841" s="24"/>
      <c r="BY841" s="24">
        <v>8000000</v>
      </c>
      <c r="BZ841" s="24"/>
      <c r="CA841" s="24">
        <v>8000000</v>
      </c>
      <c r="CB841" s="24"/>
      <c r="CC841" s="24">
        <v>8000000</v>
      </c>
      <c r="CD841" s="24"/>
      <c r="CE841" s="24">
        <v>16000000</v>
      </c>
      <c r="CF841" s="28"/>
      <c r="CG841" s="28"/>
      <c r="CH841" s="25">
        <f t="shared" ref="CH841:CI841" si="1582">BH841+BJ841+BL841+BN841+BP841+BR841+BT841+BV841+BX841+BZ841+CB841+CD841+CF841</f>
        <v>0</v>
      </c>
      <c r="CI841" s="25">
        <f t="shared" si="1582"/>
        <v>92000000</v>
      </c>
      <c r="CJ841" s="26">
        <f t="shared" si="1526"/>
        <v>92000000</v>
      </c>
      <c r="CK841" s="26">
        <f t="shared" si="1527"/>
        <v>0</v>
      </c>
    </row>
    <row r="842" spans="1:89" ht="90" customHeight="1" x14ac:dyDescent="0.3">
      <c r="A842" s="13" t="s">
        <v>1891</v>
      </c>
      <c r="B842" s="14" t="s">
        <v>30</v>
      </c>
      <c r="C842" s="15" t="s">
        <v>258</v>
      </c>
      <c r="D842" s="14" t="s">
        <v>258</v>
      </c>
      <c r="E842" s="13" t="s">
        <v>250</v>
      </c>
      <c r="F842" s="13" t="s">
        <v>250</v>
      </c>
      <c r="G842" s="14">
        <v>68</v>
      </c>
      <c r="H842" s="13" t="s">
        <v>2152</v>
      </c>
      <c r="I842" s="15" t="s">
        <v>1893</v>
      </c>
      <c r="J842" s="14" t="s">
        <v>1893</v>
      </c>
      <c r="K842" s="15" t="s">
        <v>1893</v>
      </c>
      <c r="L842" s="14">
        <v>80111620</v>
      </c>
      <c r="M842" s="14" t="s">
        <v>2045</v>
      </c>
      <c r="N842" s="14" t="s">
        <v>253</v>
      </c>
      <c r="O842" s="15" t="s">
        <v>2153</v>
      </c>
      <c r="P842" s="14" t="s">
        <v>255</v>
      </c>
      <c r="Q842" s="14" t="s">
        <v>255</v>
      </c>
      <c r="R842" s="14" t="s">
        <v>255</v>
      </c>
      <c r="S842" s="17">
        <v>11.5</v>
      </c>
      <c r="T842" s="14" t="s">
        <v>256</v>
      </c>
      <c r="U842" s="14" t="s">
        <v>257</v>
      </c>
      <c r="V842" s="14" t="s">
        <v>112</v>
      </c>
      <c r="W842" s="18">
        <v>57500000</v>
      </c>
      <c r="X842" s="18">
        <v>57500000</v>
      </c>
      <c r="Y842" s="19" t="s">
        <v>339</v>
      </c>
      <c r="Z842" s="19" t="s">
        <v>258</v>
      </c>
      <c r="AA842" s="14" t="s">
        <v>971</v>
      </c>
      <c r="AB842" s="14" t="s">
        <v>972</v>
      </c>
      <c r="AC842" s="14">
        <v>6012220601</v>
      </c>
      <c r="AD842" s="14" t="s">
        <v>973</v>
      </c>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c r="BC842" s="82"/>
      <c r="BD842" s="82"/>
      <c r="BE842" s="83"/>
      <c r="BF842" s="83"/>
      <c r="BG842" s="14" t="str">
        <f ca="1">IFERROR(__xludf.DUMMYFUNCTION("REGEXEXTRACT(O836,""^\S+\s(.+)$"")"),"Prestar servicios profesionales para realizar la gestión y análisis de información, construcción de bases de datos, formulación y seguimiento a las estadísticas e indicadores de impacto de los incentivos tributarios, con enfoque territorial.")</f>
        <v>Prestar servicios profesionales para realizar la gestión y análisis de información, construcción de bases de datos, formulación y seguimiento a las estadísticas e indicadores de impacto de los incentivos tributarios, con enfoque territorial.</v>
      </c>
      <c r="BH842" s="24"/>
      <c r="BI842" s="24"/>
      <c r="BJ842" s="24"/>
      <c r="BK842" s="24">
        <v>2500000</v>
      </c>
      <c r="BL842" s="24"/>
      <c r="BM842" s="24">
        <v>5000000</v>
      </c>
      <c r="BN842" s="24"/>
      <c r="BO842" s="24">
        <v>5000000</v>
      </c>
      <c r="BP842" s="24"/>
      <c r="BQ842" s="24">
        <v>5000000</v>
      </c>
      <c r="BR842" s="24"/>
      <c r="BS842" s="24">
        <v>5000000</v>
      </c>
      <c r="BT842" s="24"/>
      <c r="BU842" s="24">
        <v>5000000</v>
      </c>
      <c r="BV842" s="24"/>
      <c r="BW842" s="24">
        <v>5000000</v>
      </c>
      <c r="BX842" s="24"/>
      <c r="BY842" s="24">
        <v>5000000</v>
      </c>
      <c r="BZ842" s="24"/>
      <c r="CA842" s="24">
        <v>5000000</v>
      </c>
      <c r="CB842" s="24"/>
      <c r="CC842" s="24">
        <v>5000000</v>
      </c>
      <c r="CD842" s="24"/>
      <c r="CE842" s="24">
        <v>10000000</v>
      </c>
      <c r="CF842" s="28"/>
      <c r="CG842" s="28"/>
      <c r="CH842" s="25">
        <f t="shared" ref="CH842:CI842" si="1583">BH842+BJ842+BL842+BN842+BP842+BR842+BT842+BV842+BX842+BZ842+CB842+CD842+CF842</f>
        <v>0</v>
      </c>
      <c r="CI842" s="25">
        <f t="shared" si="1583"/>
        <v>57500000</v>
      </c>
      <c r="CJ842" s="26">
        <f t="shared" si="1526"/>
        <v>57500000</v>
      </c>
      <c r="CK842" s="26">
        <f t="shared" si="1527"/>
        <v>0</v>
      </c>
    </row>
    <row r="843" spans="1:89" ht="90" customHeight="1" x14ac:dyDescent="0.3">
      <c r="A843" s="13" t="s">
        <v>1891</v>
      </c>
      <c r="B843" s="14" t="s">
        <v>30</v>
      </c>
      <c r="C843" s="15" t="s">
        <v>258</v>
      </c>
      <c r="D843" s="14" t="s">
        <v>258</v>
      </c>
      <c r="E843" s="13" t="s">
        <v>250</v>
      </c>
      <c r="F843" s="13" t="s">
        <v>250</v>
      </c>
      <c r="G843" s="14">
        <v>68</v>
      </c>
      <c r="H843" s="13" t="s">
        <v>2154</v>
      </c>
      <c r="I843" s="15" t="s">
        <v>1893</v>
      </c>
      <c r="J843" s="14" t="s">
        <v>1893</v>
      </c>
      <c r="K843" s="15" t="s">
        <v>1893</v>
      </c>
      <c r="L843" s="14">
        <v>80111620</v>
      </c>
      <c r="M843" s="14" t="s">
        <v>2045</v>
      </c>
      <c r="N843" s="14" t="s">
        <v>253</v>
      </c>
      <c r="O843" s="15" t="s">
        <v>2155</v>
      </c>
      <c r="P843" s="14" t="s">
        <v>255</v>
      </c>
      <c r="Q843" s="14" t="s">
        <v>255</v>
      </c>
      <c r="R843" s="14" t="s">
        <v>255</v>
      </c>
      <c r="S843" s="17">
        <v>11.5</v>
      </c>
      <c r="T843" s="14" t="s">
        <v>256</v>
      </c>
      <c r="U843" s="14" t="s">
        <v>257</v>
      </c>
      <c r="V843" s="14" t="s">
        <v>112</v>
      </c>
      <c r="W843" s="18">
        <v>23000000</v>
      </c>
      <c r="X843" s="18">
        <v>23000000</v>
      </c>
      <c r="Y843" s="19" t="s">
        <v>339</v>
      </c>
      <c r="Z843" s="19" t="s">
        <v>258</v>
      </c>
      <c r="AA843" s="14" t="s">
        <v>971</v>
      </c>
      <c r="AB843" s="14" t="s">
        <v>972</v>
      </c>
      <c r="AC843" s="14">
        <v>6012220601</v>
      </c>
      <c r="AD843" s="14" t="s">
        <v>973</v>
      </c>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c r="BC843" s="82"/>
      <c r="BD843" s="82"/>
      <c r="BE843" s="83"/>
      <c r="BF843" s="83"/>
      <c r="BG843" s="14" t="str">
        <f ca="1">IFERROR(__xludf.DUMMYFUNCTION("REGEXEXTRACT(O837,""^\S+\s(.+)$"")"),"Prestar servicios de apoyo asistencial para la gestión operativa de los casos, realizando la distribución y enrutamiento oportuno a los evaluadores correspondientes, el registro y actualización de la base de datos de seguimiento conforme al procedimiento "&amp;"establecido en el trámite de Incentivos Tributarios.")</f>
        <v>Prestar servicios de apoyo asistencial para la gestión operativa de los casos, realizando la distribución y enrutamiento oportuno a los evaluadores correspondientes, el registro y actualización de la base de datos de seguimiento conforme al procedimiento establecido en el trámite de Incentivos Tributarios.</v>
      </c>
      <c r="BH843" s="24"/>
      <c r="BI843" s="24"/>
      <c r="BJ843" s="24"/>
      <c r="BK843" s="24">
        <v>1000000</v>
      </c>
      <c r="BL843" s="24"/>
      <c r="BM843" s="24">
        <v>2000000</v>
      </c>
      <c r="BN843" s="24"/>
      <c r="BO843" s="24">
        <v>2000000</v>
      </c>
      <c r="BP843" s="24"/>
      <c r="BQ843" s="24">
        <v>2000000</v>
      </c>
      <c r="BR843" s="24"/>
      <c r="BS843" s="24">
        <v>2000000</v>
      </c>
      <c r="BT843" s="24"/>
      <c r="BU843" s="24">
        <v>2000000</v>
      </c>
      <c r="BV843" s="24"/>
      <c r="BW843" s="24">
        <v>2000000</v>
      </c>
      <c r="BX843" s="24"/>
      <c r="BY843" s="24">
        <v>2000000</v>
      </c>
      <c r="BZ843" s="24"/>
      <c r="CA843" s="24">
        <v>2000000</v>
      </c>
      <c r="CB843" s="24"/>
      <c r="CC843" s="24">
        <v>2000000</v>
      </c>
      <c r="CD843" s="24"/>
      <c r="CE843" s="24">
        <v>4000000</v>
      </c>
      <c r="CF843" s="28"/>
      <c r="CG843" s="28"/>
      <c r="CH843" s="25">
        <f t="shared" ref="CH843:CI843" si="1584">BH843+BJ843+BL843+BN843+BP843+BR843+BT843+BV843+BX843+BZ843+CB843+CD843+CF843</f>
        <v>0</v>
      </c>
      <c r="CI843" s="25">
        <f t="shared" si="1584"/>
        <v>23000000</v>
      </c>
      <c r="CJ843" s="26">
        <f t="shared" si="1526"/>
        <v>23000000</v>
      </c>
      <c r="CK843" s="26">
        <f t="shared" si="1527"/>
        <v>0</v>
      </c>
    </row>
    <row r="844" spans="1:89" ht="90" customHeight="1" x14ac:dyDescent="0.3">
      <c r="A844" s="13" t="s">
        <v>1891</v>
      </c>
      <c r="B844" s="14" t="s">
        <v>30</v>
      </c>
      <c r="C844" s="15" t="s">
        <v>258</v>
      </c>
      <c r="D844" s="14" t="s">
        <v>258</v>
      </c>
      <c r="E844" s="13" t="s">
        <v>250</v>
      </c>
      <c r="F844" s="13" t="s">
        <v>250</v>
      </c>
      <c r="G844" s="14">
        <v>68</v>
      </c>
      <c r="H844" s="13" t="s">
        <v>2156</v>
      </c>
      <c r="I844" s="15" t="s">
        <v>1893</v>
      </c>
      <c r="J844" s="14" t="s">
        <v>1893</v>
      </c>
      <c r="K844" s="15" t="s">
        <v>1893</v>
      </c>
      <c r="L844" s="14">
        <v>80111620</v>
      </c>
      <c r="M844" s="14" t="s">
        <v>2045</v>
      </c>
      <c r="N844" s="14" t="s">
        <v>253</v>
      </c>
      <c r="O844" s="15" t="s">
        <v>2157</v>
      </c>
      <c r="P844" s="14" t="s">
        <v>255</v>
      </c>
      <c r="Q844" s="14" t="s">
        <v>255</v>
      </c>
      <c r="R844" s="14" t="s">
        <v>255</v>
      </c>
      <c r="S844" s="17">
        <v>11.5</v>
      </c>
      <c r="T844" s="14" t="s">
        <v>256</v>
      </c>
      <c r="U844" s="14" t="s">
        <v>257</v>
      </c>
      <c r="V844" s="14" t="s">
        <v>112</v>
      </c>
      <c r="W844" s="18">
        <v>28750000</v>
      </c>
      <c r="X844" s="18">
        <v>28750000</v>
      </c>
      <c r="Y844" s="19" t="s">
        <v>339</v>
      </c>
      <c r="Z844" s="19" t="s">
        <v>258</v>
      </c>
      <c r="AA844" s="14" t="s">
        <v>971</v>
      </c>
      <c r="AB844" s="14" t="s">
        <v>972</v>
      </c>
      <c r="AC844" s="14">
        <v>6012220601</v>
      </c>
      <c r="AD844" s="14" t="s">
        <v>973</v>
      </c>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c r="BC844" s="82"/>
      <c r="BD844" s="82"/>
      <c r="BE844" s="83"/>
      <c r="BF844" s="83"/>
      <c r="BG844" s="14" t="str">
        <f ca="1">IFERROR(__xludf.DUMMYFUNCTION("REGEXEXTRACT(O838,""^\S+\s(.+)$"")"),"Prestar servicios de apoyo asistencial para la gestión operativa de los casos, realizando la distribución y enrutamiento oportuno a los evaluadores correspondientes, el registro y actualización de la base de datos de seguimiento y la verificación del cier"&amp;"re adecuado de los casos, garantizando que cada expediente cuente con la información completa y ordenada conforme a los lineamientos establecidos en el trámite de Incentivos Tributarios.")</f>
        <v>Prestar servicios de apoyo asistencial para la gestión operativa de los casos, realizando la distribución y enrutamiento oportuno a los evaluadores correspondientes, el registro y actualización de la base de datos de seguimiento y la verificación del cierre adecuado de los casos, garantizando que cada expediente cuente con la información completa y ordenada conforme a los lineamientos establecidos en el trámite de Incentivos Tributarios.</v>
      </c>
      <c r="BH844" s="24"/>
      <c r="BI844" s="24"/>
      <c r="BJ844" s="24"/>
      <c r="BK844" s="24">
        <v>1250000</v>
      </c>
      <c r="BL844" s="24"/>
      <c r="BM844" s="24">
        <v>2500000</v>
      </c>
      <c r="BN844" s="24"/>
      <c r="BO844" s="24">
        <v>2500000</v>
      </c>
      <c r="BP844" s="24"/>
      <c r="BQ844" s="24">
        <v>2500000</v>
      </c>
      <c r="BR844" s="24"/>
      <c r="BS844" s="24">
        <v>2500000</v>
      </c>
      <c r="BT844" s="24"/>
      <c r="BU844" s="24">
        <v>2500000</v>
      </c>
      <c r="BV844" s="24"/>
      <c r="BW844" s="24">
        <v>2500000</v>
      </c>
      <c r="BX844" s="24"/>
      <c r="BY844" s="24">
        <v>2500000</v>
      </c>
      <c r="BZ844" s="24"/>
      <c r="CA844" s="24">
        <v>2500000</v>
      </c>
      <c r="CB844" s="24"/>
      <c r="CC844" s="24">
        <v>2500000</v>
      </c>
      <c r="CD844" s="24"/>
      <c r="CE844" s="24">
        <v>5000000</v>
      </c>
      <c r="CF844" s="28"/>
      <c r="CG844" s="28"/>
      <c r="CH844" s="25">
        <f t="shared" ref="CH844:CI844" si="1585">BH844+BJ844+BL844+BN844+BP844+BR844+BT844+BV844+BX844+BZ844+CB844+CD844+CF844</f>
        <v>0</v>
      </c>
      <c r="CI844" s="25">
        <f t="shared" si="1585"/>
        <v>28750000</v>
      </c>
      <c r="CJ844" s="26">
        <f t="shared" si="1526"/>
        <v>28750000</v>
      </c>
      <c r="CK844" s="26">
        <f t="shared" si="1527"/>
        <v>0</v>
      </c>
    </row>
    <row r="845" spans="1:89" ht="90" customHeight="1" x14ac:dyDescent="0.3">
      <c r="A845" s="13" t="s">
        <v>1891</v>
      </c>
      <c r="B845" s="14" t="s">
        <v>30</v>
      </c>
      <c r="C845" s="15" t="s">
        <v>258</v>
      </c>
      <c r="D845" s="14" t="s">
        <v>258</v>
      </c>
      <c r="E845" s="13" t="s">
        <v>250</v>
      </c>
      <c r="F845" s="13" t="s">
        <v>250</v>
      </c>
      <c r="G845" s="14">
        <v>9</v>
      </c>
      <c r="H845" s="13" t="s">
        <v>2158</v>
      </c>
      <c r="I845" s="15" t="s">
        <v>1893</v>
      </c>
      <c r="J845" s="14" t="s">
        <v>1893</v>
      </c>
      <c r="K845" s="15" t="s">
        <v>1893</v>
      </c>
      <c r="L845" s="14">
        <v>80111620</v>
      </c>
      <c r="M845" s="14" t="s">
        <v>2045</v>
      </c>
      <c r="N845" s="14" t="s">
        <v>253</v>
      </c>
      <c r="O845" s="15" t="s">
        <v>2159</v>
      </c>
      <c r="P845" s="14" t="s">
        <v>255</v>
      </c>
      <c r="Q845" s="14" t="s">
        <v>255</v>
      </c>
      <c r="R845" s="14" t="s">
        <v>255</v>
      </c>
      <c r="S845" s="17">
        <v>5</v>
      </c>
      <c r="T845" s="14" t="s">
        <v>256</v>
      </c>
      <c r="U845" s="14" t="s">
        <v>257</v>
      </c>
      <c r="V845" s="14" t="s">
        <v>112</v>
      </c>
      <c r="W845" s="18">
        <v>60925000</v>
      </c>
      <c r="X845" s="18">
        <v>60925000</v>
      </c>
      <c r="Y845" s="19" t="s">
        <v>339</v>
      </c>
      <c r="Z845" s="19" t="s">
        <v>258</v>
      </c>
      <c r="AA845" s="14" t="s">
        <v>971</v>
      </c>
      <c r="AB845" s="14" t="s">
        <v>972</v>
      </c>
      <c r="AC845" s="14">
        <v>6012220601</v>
      </c>
      <c r="AD845" s="14" t="s">
        <v>973</v>
      </c>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c r="BC845" s="82"/>
      <c r="BD845" s="82"/>
      <c r="BE845" s="83"/>
      <c r="BF845" s="83"/>
      <c r="BG845" s="14" t="str">
        <f ca="1">IFERROR(__xludf.DUMMYFUNCTION("REGEXEXTRACT(O839,""^\S+\s(.+)$"")"),"Prestar servicios profesionales para la evaluación y análisis de la información de los proyectos de FNCE y de Gestión Eficiente de la Energía, así como para la elaboración,  consolidación y análisis de reportes de implementación de las medidas de eficienc"&amp;"ia energética en edificaciones públicas.")</f>
        <v>Prestar servicios profesionales para la evaluación y análisis de la información de los proyectos de FNCE y de Gestión Eficiente de la Energía, así como para la elaboración,  consolidación y análisis de reportes de implementación de las medidas de eficiencia energética en edificaciones públicas.</v>
      </c>
      <c r="BH845" s="24"/>
      <c r="BI845" s="24"/>
      <c r="BJ845" s="24"/>
      <c r="BK845" s="24">
        <v>-19710000</v>
      </c>
      <c r="BL845" s="24"/>
      <c r="BM845" s="24">
        <v>3285000</v>
      </c>
      <c r="BN845" s="24"/>
      <c r="BO845" s="24">
        <v>3285000</v>
      </c>
      <c r="BP845" s="24"/>
      <c r="BQ845" s="24">
        <v>3285000</v>
      </c>
      <c r="BR845" s="24"/>
      <c r="BS845" s="24">
        <v>3285000</v>
      </c>
      <c r="BT845" s="24"/>
      <c r="BU845" s="24">
        <v>3285000</v>
      </c>
      <c r="BV845" s="24"/>
      <c r="BW845" s="24">
        <v>3285000</v>
      </c>
      <c r="BX845" s="24"/>
      <c r="BY845" s="24">
        <v>3285000</v>
      </c>
      <c r="BZ845" s="24"/>
      <c r="CA845" s="24">
        <v>3285000</v>
      </c>
      <c r="CB845" s="24"/>
      <c r="CC845" s="24">
        <v>3285000</v>
      </c>
      <c r="CD845" s="24"/>
      <c r="CE845" s="24">
        <v>6570000</v>
      </c>
      <c r="CF845" s="28"/>
      <c r="CG845" s="28"/>
      <c r="CH845" s="25">
        <f t="shared" ref="CH845:CI845" si="1586">BH845+BJ845+BL845+BN845+BP845+BR845+BT845+BV845+BX845+BZ845+CB845+CD845+CF845</f>
        <v>0</v>
      </c>
      <c r="CI845" s="25">
        <f t="shared" si="1586"/>
        <v>16425000</v>
      </c>
      <c r="CJ845" s="26">
        <f t="shared" si="1526"/>
        <v>60925000</v>
      </c>
      <c r="CK845" s="26">
        <f t="shared" si="1527"/>
        <v>44500000</v>
      </c>
    </row>
    <row r="846" spans="1:89" ht="90" customHeight="1" x14ac:dyDescent="0.3">
      <c r="A846" s="13" t="s">
        <v>1891</v>
      </c>
      <c r="B846" s="14" t="s">
        <v>30</v>
      </c>
      <c r="C846" s="15" t="s">
        <v>258</v>
      </c>
      <c r="D846" s="14" t="s">
        <v>258</v>
      </c>
      <c r="E846" s="13" t="s">
        <v>250</v>
      </c>
      <c r="F846" s="13" t="s">
        <v>250</v>
      </c>
      <c r="G846" s="14">
        <v>68</v>
      </c>
      <c r="H846" s="13" t="s">
        <v>2160</v>
      </c>
      <c r="I846" s="15" t="s">
        <v>1893</v>
      </c>
      <c r="J846" s="14" t="s">
        <v>1893</v>
      </c>
      <c r="K846" s="15" t="s">
        <v>1893</v>
      </c>
      <c r="L846" s="14">
        <v>80111620</v>
      </c>
      <c r="M846" s="14" t="s">
        <v>2045</v>
      </c>
      <c r="N846" s="14" t="s">
        <v>253</v>
      </c>
      <c r="O846" s="15" t="s">
        <v>2161</v>
      </c>
      <c r="P846" s="14" t="s">
        <v>255</v>
      </c>
      <c r="Q846" s="14" t="s">
        <v>255</v>
      </c>
      <c r="R846" s="14" t="s">
        <v>255</v>
      </c>
      <c r="S846" s="17">
        <v>5</v>
      </c>
      <c r="T846" s="14" t="s">
        <v>256</v>
      </c>
      <c r="U846" s="14" t="s">
        <v>257</v>
      </c>
      <c r="V846" s="14" t="s">
        <v>112</v>
      </c>
      <c r="W846" s="18">
        <v>19500000</v>
      </c>
      <c r="X846" s="18">
        <v>19500000</v>
      </c>
      <c r="Y846" s="19" t="s">
        <v>339</v>
      </c>
      <c r="Z846" s="19" t="s">
        <v>258</v>
      </c>
      <c r="AA846" s="14" t="s">
        <v>971</v>
      </c>
      <c r="AB846" s="14" t="s">
        <v>972</v>
      </c>
      <c r="AC846" s="14">
        <v>6012220601</v>
      </c>
      <c r="AD846" s="14" t="s">
        <v>973</v>
      </c>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c r="BC846" s="82"/>
      <c r="BD846" s="82"/>
      <c r="BE846" s="83"/>
      <c r="BF846" s="83"/>
      <c r="BG846" s="14" t="str">
        <f ca="1">IFERROR(__xludf.DUMMYFUNCTION("REGEXEXTRACT(O840,""^\S+\s(.+)$"")"),"Prestar servicios profesionales para la evaluación y análisis integral de la información de los proyectos de Fuentes No Convencionales de Energía y de Gestión Eficiente de la Energía, incluyendo la verificación de requisitos técnicos y documentales, la ap"&amp;"licación de criterios normativos y metodológicos definidos por en el trámite de incentivos tributarios.")</f>
        <v>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v>
      </c>
      <c r="BH846" s="24"/>
      <c r="BI846" s="24"/>
      <c r="BJ846" s="24"/>
      <c r="BK846" s="24">
        <v>-23400000</v>
      </c>
      <c r="BL846" s="24"/>
      <c r="BM846" s="24">
        <v>3900000</v>
      </c>
      <c r="BN846" s="24"/>
      <c r="BO846" s="24">
        <v>3900000</v>
      </c>
      <c r="BP846" s="24"/>
      <c r="BQ846" s="24">
        <v>3900000</v>
      </c>
      <c r="BR846" s="24"/>
      <c r="BS846" s="24">
        <v>3900000</v>
      </c>
      <c r="BT846" s="24"/>
      <c r="BU846" s="24">
        <v>3900000</v>
      </c>
      <c r="BV846" s="24"/>
      <c r="BW846" s="24">
        <v>3900000</v>
      </c>
      <c r="BX846" s="24"/>
      <c r="BY846" s="24">
        <v>3900000</v>
      </c>
      <c r="BZ846" s="24"/>
      <c r="CA846" s="24">
        <v>3900000</v>
      </c>
      <c r="CB846" s="24"/>
      <c r="CC846" s="24">
        <v>3900000</v>
      </c>
      <c r="CD846" s="24"/>
      <c r="CE846" s="24">
        <v>7800000</v>
      </c>
      <c r="CF846" s="28"/>
      <c r="CG846" s="28"/>
      <c r="CH846" s="25">
        <f t="shared" ref="CH846:CI846" si="1587">BH846+BJ846+BL846+BN846+BP846+BR846+BT846+BV846+BX846+BZ846+CB846+CD846+CF846</f>
        <v>0</v>
      </c>
      <c r="CI846" s="25">
        <f t="shared" si="1587"/>
        <v>19500000</v>
      </c>
      <c r="CJ846" s="26">
        <f t="shared" si="1526"/>
        <v>19500000</v>
      </c>
      <c r="CK846" s="26">
        <f t="shared" si="1527"/>
        <v>0</v>
      </c>
    </row>
    <row r="847" spans="1:89" ht="90" customHeight="1" x14ac:dyDescent="0.3">
      <c r="A847" s="13" t="s">
        <v>1891</v>
      </c>
      <c r="B847" s="14" t="s">
        <v>30</v>
      </c>
      <c r="C847" s="15" t="s">
        <v>258</v>
      </c>
      <c r="D847" s="14" t="s">
        <v>258</v>
      </c>
      <c r="E847" s="13" t="s">
        <v>250</v>
      </c>
      <c r="F847" s="13" t="s">
        <v>250</v>
      </c>
      <c r="G847" s="14">
        <v>68</v>
      </c>
      <c r="H847" s="13" t="s">
        <v>2162</v>
      </c>
      <c r="I847" s="15" t="s">
        <v>1893</v>
      </c>
      <c r="J847" s="14" t="s">
        <v>1893</v>
      </c>
      <c r="K847" s="15" t="s">
        <v>1893</v>
      </c>
      <c r="L847" s="14">
        <v>80111620</v>
      </c>
      <c r="M847" s="14" t="s">
        <v>2045</v>
      </c>
      <c r="N847" s="14" t="s">
        <v>253</v>
      </c>
      <c r="O847" s="15" t="s">
        <v>2163</v>
      </c>
      <c r="P847" s="14" t="s">
        <v>255</v>
      </c>
      <c r="Q847" s="14" t="s">
        <v>255</v>
      </c>
      <c r="R847" s="14" t="s">
        <v>255</v>
      </c>
      <c r="S847" s="17">
        <v>5</v>
      </c>
      <c r="T847" s="14" t="s">
        <v>256</v>
      </c>
      <c r="U847" s="14" t="s">
        <v>257</v>
      </c>
      <c r="V847" s="14" t="s">
        <v>112</v>
      </c>
      <c r="W847" s="18">
        <v>19500000</v>
      </c>
      <c r="X847" s="18">
        <v>19500000</v>
      </c>
      <c r="Y847" s="19" t="s">
        <v>339</v>
      </c>
      <c r="Z847" s="19" t="s">
        <v>258</v>
      </c>
      <c r="AA847" s="14" t="s">
        <v>971</v>
      </c>
      <c r="AB847" s="14" t="s">
        <v>972</v>
      </c>
      <c r="AC847" s="14">
        <v>6012220601</v>
      </c>
      <c r="AD847" s="14" t="s">
        <v>973</v>
      </c>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c r="BC847" s="82"/>
      <c r="BD847" s="82"/>
      <c r="BE847" s="83"/>
      <c r="BF847" s="83"/>
      <c r="BG847" s="14" t="str">
        <f ca="1">IFERROR(__xludf.DUMMYFUNCTION("REGEXEXTRACT(O841,""^\S+\s(.+)$"")"),"Prestar servicios profesionales para la evaluación y análisis integral de la información de los proyectos de Fuentes No Convencionales de Energía y de Gestión Eficiente de la Energía, incluyendo la verificación de requisitos técnicos y documentales, la ap"&amp;"licación de criterios normativos y metodológicos definidos por en el trámite de incentivos tributarios.")</f>
        <v>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v>
      </c>
      <c r="BH847" s="24"/>
      <c r="BI847" s="24"/>
      <c r="BJ847" s="24"/>
      <c r="BK847" s="24">
        <v>-23400000</v>
      </c>
      <c r="BL847" s="24"/>
      <c r="BM847" s="24">
        <v>3900000</v>
      </c>
      <c r="BN847" s="24"/>
      <c r="BO847" s="24">
        <v>3900000</v>
      </c>
      <c r="BP847" s="24"/>
      <c r="BQ847" s="24">
        <v>3900000</v>
      </c>
      <c r="BR847" s="24"/>
      <c r="BS847" s="24">
        <v>3900000</v>
      </c>
      <c r="BT847" s="24"/>
      <c r="BU847" s="24">
        <v>3900000</v>
      </c>
      <c r="BV847" s="24"/>
      <c r="BW847" s="24">
        <v>3900000</v>
      </c>
      <c r="BX847" s="24"/>
      <c r="BY847" s="24">
        <v>3900000</v>
      </c>
      <c r="BZ847" s="24"/>
      <c r="CA847" s="24">
        <v>3900000</v>
      </c>
      <c r="CB847" s="24"/>
      <c r="CC847" s="24">
        <v>3900000</v>
      </c>
      <c r="CD847" s="24"/>
      <c r="CE847" s="24">
        <v>7800000</v>
      </c>
      <c r="CF847" s="28"/>
      <c r="CG847" s="28"/>
      <c r="CH847" s="25">
        <f t="shared" ref="CH847:CI847" si="1588">BH847+BJ847+BL847+BN847+BP847+BR847+BT847+BV847+BX847+BZ847+CB847+CD847+CF847</f>
        <v>0</v>
      </c>
      <c r="CI847" s="25">
        <f t="shared" si="1588"/>
        <v>19500000</v>
      </c>
      <c r="CJ847" s="26">
        <f t="shared" si="1526"/>
        <v>19500000</v>
      </c>
      <c r="CK847" s="26">
        <f t="shared" si="1527"/>
        <v>0</v>
      </c>
    </row>
    <row r="848" spans="1:89" ht="90" customHeight="1" x14ac:dyDescent="0.3">
      <c r="A848" s="13" t="s">
        <v>1891</v>
      </c>
      <c r="B848" s="14" t="s">
        <v>30</v>
      </c>
      <c r="C848" s="15" t="s">
        <v>258</v>
      </c>
      <c r="D848" s="14" t="s">
        <v>258</v>
      </c>
      <c r="E848" s="13" t="s">
        <v>250</v>
      </c>
      <c r="F848" s="13" t="s">
        <v>250</v>
      </c>
      <c r="G848" s="14">
        <v>68</v>
      </c>
      <c r="H848" s="13" t="s">
        <v>2164</v>
      </c>
      <c r="I848" s="15" t="s">
        <v>1893</v>
      </c>
      <c r="J848" s="14" t="s">
        <v>1893</v>
      </c>
      <c r="K848" s="15" t="s">
        <v>1893</v>
      </c>
      <c r="L848" s="14">
        <v>80111620</v>
      </c>
      <c r="M848" s="14" t="s">
        <v>2045</v>
      </c>
      <c r="N848" s="14" t="s">
        <v>253</v>
      </c>
      <c r="O848" s="15" t="s">
        <v>2165</v>
      </c>
      <c r="P848" s="14" t="s">
        <v>255</v>
      </c>
      <c r="Q848" s="14" t="s">
        <v>255</v>
      </c>
      <c r="R848" s="14" t="s">
        <v>255</v>
      </c>
      <c r="S848" s="17">
        <v>11.5</v>
      </c>
      <c r="T848" s="14" t="s">
        <v>256</v>
      </c>
      <c r="U848" s="14" t="s">
        <v>257</v>
      </c>
      <c r="V848" s="14" t="s">
        <v>112</v>
      </c>
      <c r="W848" s="18">
        <v>47150000</v>
      </c>
      <c r="X848" s="18">
        <v>47150000</v>
      </c>
      <c r="Y848" s="19" t="s">
        <v>339</v>
      </c>
      <c r="Z848" s="19" t="s">
        <v>258</v>
      </c>
      <c r="AA848" s="14" t="s">
        <v>971</v>
      </c>
      <c r="AB848" s="14" t="s">
        <v>972</v>
      </c>
      <c r="AC848" s="14">
        <v>6012220601</v>
      </c>
      <c r="AD848" s="14" t="s">
        <v>973</v>
      </c>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c r="BC848" s="82"/>
      <c r="BD848" s="82"/>
      <c r="BE848" s="83"/>
      <c r="BF848" s="83"/>
      <c r="BG848" s="14" t="str">
        <f ca="1">IFERROR(__xludf.DUMMYFUNCTION("REGEXEXTRACT(O842,""^\S+\s(.+)$"")"),"Prestar servicios profesionales para brindar soporte administrativo y operativo en los procesos contractuales, la gestión de trámites de pago y la realización de actividades necesarias para el cumplimiento de las metas operativas y estratégicas relacionad"&amp;"as con los proyectos de FNCE, GEE e Hidrógeno de la Subdirección de Demanda.")</f>
        <v>Prestar servicios profesionales para brindar soporte administrativo y operativo en los procesos contractuales, la gestión de trámites de pago y la realización de actividades necesarias para el cumplimiento de las metas operativas y estratégicas relacionadas con los proyectos de FNCE, GEE e Hidrógeno de la Subdirección de Demanda.</v>
      </c>
      <c r="BH848" s="24"/>
      <c r="BI848" s="24"/>
      <c r="BJ848" s="24"/>
      <c r="BK848" s="24">
        <v>2050000</v>
      </c>
      <c r="BL848" s="24"/>
      <c r="BM848" s="24">
        <v>4100000</v>
      </c>
      <c r="BN848" s="24"/>
      <c r="BO848" s="24">
        <v>4100000</v>
      </c>
      <c r="BP848" s="24"/>
      <c r="BQ848" s="24">
        <v>4100000</v>
      </c>
      <c r="BR848" s="24"/>
      <c r="BS848" s="24">
        <v>4100000</v>
      </c>
      <c r="BT848" s="24"/>
      <c r="BU848" s="24">
        <v>4100000</v>
      </c>
      <c r="BV848" s="24"/>
      <c r="BW848" s="24">
        <v>4100000</v>
      </c>
      <c r="BX848" s="24"/>
      <c r="BY848" s="24">
        <v>4100000</v>
      </c>
      <c r="BZ848" s="24"/>
      <c r="CA848" s="24">
        <v>4100000</v>
      </c>
      <c r="CB848" s="24"/>
      <c r="CC848" s="24">
        <v>4100000</v>
      </c>
      <c r="CD848" s="24"/>
      <c r="CE848" s="24">
        <v>8200000</v>
      </c>
      <c r="CF848" s="28"/>
      <c r="CG848" s="28"/>
      <c r="CH848" s="25">
        <f t="shared" ref="CH848:CI848" si="1589">BH848+BJ848+BL848+BN848+BP848+BR848+BT848+BV848+BX848+BZ848+CB848+CD848+CF848</f>
        <v>0</v>
      </c>
      <c r="CI848" s="25">
        <f t="shared" si="1589"/>
        <v>47150000</v>
      </c>
      <c r="CJ848" s="26">
        <f t="shared" si="1526"/>
        <v>47150000</v>
      </c>
      <c r="CK848" s="26">
        <f t="shared" si="1527"/>
        <v>0</v>
      </c>
    </row>
    <row r="849" spans="1:89" ht="90" customHeight="1" x14ac:dyDescent="0.3">
      <c r="A849" s="13" t="s">
        <v>1891</v>
      </c>
      <c r="B849" s="14" t="s">
        <v>30</v>
      </c>
      <c r="C849" s="15" t="s">
        <v>258</v>
      </c>
      <c r="D849" s="14" t="s">
        <v>258</v>
      </c>
      <c r="E849" s="13" t="s">
        <v>250</v>
      </c>
      <c r="F849" s="13" t="s">
        <v>250</v>
      </c>
      <c r="G849" s="14">
        <v>68</v>
      </c>
      <c r="H849" s="13" t="s">
        <v>2166</v>
      </c>
      <c r="I849" s="15" t="s">
        <v>1893</v>
      </c>
      <c r="J849" s="14" t="s">
        <v>1893</v>
      </c>
      <c r="K849" s="15" t="s">
        <v>1893</v>
      </c>
      <c r="L849" s="14">
        <v>80111620</v>
      </c>
      <c r="M849" s="14" t="s">
        <v>2045</v>
      </c>
      <c r="N849" s="14" t="s">
        <v>253</v>
      </c>
      <c r="O849" s="15" t="s">
        <v>2167</v>
      </c>
      <c r="P849" s="14" t="s">
        <v>255</v>
      </c>
      <c r="Q849" s="14" t="s">
        <v>255</v>
      </c>
      <c r="R849" s="14" t="s">
        <v>255</v>
      </c>
      <c r="S849" s="17">
        <v>11.5</v>
      </c>
      <c r="T849" s="14" t="s">
        <v>256</v>
      </c>
      <c r="U849" s="14" t="s">
        <v>257</v>
      </c>
      <c r="V849" s="14" t="s">
        <v>112</v>
      </c>
      <c r="W849" s="18">
        <v>37777500</v>
      </c>
      <c r="X849" s="18">
        <v>37777500</v>
      </c>
      <c r="Y849" s="19" t="s">
        <v>339</v>
      </c>
      <c r="Z849" s="19" t="s">
        <v>258</v>
      </c>
      <c r="AA849" s="14" t="s">
        <v>971</v>
      </c>
      <c r="AB849" s="14" t="s">
        <v>972</v>
      </c>
      <c r="AC849" s="14">
        <v>6012220601</v>
      </c>
      <c r="AD849" s="14" t="s">
        <v>973</v>
      </c>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c r="BC849" s="82"/>
      <c r="BD849" s="82"/>
      <c r="BE849" s="83"/>
      <c r="BF849" s="83"/>
      <c r="BG849" s="14" t="str">
        <f ca="1">IFERROR(__xludf.DUMMYFUNCTION("REGEXEXTRACT(O843,""^\S+\s(.+)$"")"),"Prestar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49" s="24"/>
      <c r="BI849" s="24"/>
      <c r="BJ849" s="24"/>
      <c r="BK849" s="24">
        <v>1642500</v>
      </c>
      <c r="BL849" s="24"/>
      <c r="BM849" s="24">
        <v>3285000</v>
      </c>
      <c r="BN849" s="24"/>
      <c r="BO849" s="24">
        <v>3285000</v>
      </c>
      <c r="BP849" s="24"/>
      <c r="BQ849" s="24">
        <v>3285000</v>
      </c>
      <c r="BR849" s="24"/>
      <c r="BS849" s="24">
        <v>3285000</v>
      </c>
      <c r="BT849" s="24"/>
      <c r="BU849" s="24">
        <v>3285000</v>
      </c>
      <c r="BV849" s="24"/>
      <c r="BW849" s="24">
        <v>3285000</v>
      </c>
      <c r="BX849" s="24"/>
      <c r="BY849" s="24">
        <v>3285000</v>
      </c>
      <c r="BZ849" s="24"/>
      <c r="CA849" s="24">
        <v>3285000</v>
      </c>
      <c r="CB849" s="24"/>
      <c r="CC849" s="24">
        <v>3285000</v>
      </c>
      <c r="CD849" s="24"/>
      <c r="CE849" s="24">
        <v>6570000</v>
      </c>
      <c r="CF849" s="28"/>
      <c r="CG849" s="28"/>
      <c r="CH849" s="25">
        <f t="shared" ref="CH849:CI849" si="1590">BH849+BJ849+BL849+BN849+BP849+BR849+BT849+BV849+BX849+BZ849+CB849+CD849+CF849</f>
        <v>0</v>
      </c>
      <c r="CI849" s="25">
        <f t="shared" si="1590"/>
        <v>37777500</v>
      </c>
      <c r="CJ849" s="26">
        <f t="shared" si="1526"/>
        <v>37777500</v>
      </c>
      <c r="CK849" s="26">
        <f t="shared" si="1527"/>
        <v>0</v>
      </c>
    </row>
    <row r="850" spans="1:89" ht="90" customHeight="1" x14ac:dyDescent="0.3">
      <c r="A850" s="13" t="s">
        <v>1891</v>
      </c>
      <c r="B850" s="14" t="s">
        <v>30</v>
      </c>
      <c r="C850" s="15" t="s">
        <v>258</v>
      </c>
      <c r="D850" s="14" t="s">
        <v>258</v>
      </c>
      <c r="E850" s="13" t="s">
        <v>250</v>
      </c>
      <c r="F850" s="13" t="s">
        <v>250</v>
      </c>
      <c r="G850" s="14">
        <v>68</v>
      </c>
      <c r="H850" s="13" t="s">
        <v>2168</v>
      </c>
      <c r="I850" s="15" t="s">
        <v>1893</v>
      </c>
      <c r="J850" s="14" t="s">
        <v>1893</v>
      </c>
      <c r="K850" s="15" t="s">
        <v>1893</v>
      </c>
      <c r="L850" s="14">
        <v>80111620</v>
      </c>
      <c r="M850" s="14" t="s">
        <v>2045</v>
      </c>
      <c r="N850" s="14" t="s">
        <v>253</v>
      </c>
      <c r="O850" s="15" t="s">
        <v>2169</v>
      </c>
      <c r="P850" s="14" t="s">
        <v>255</v>
      </c>
      <c r="Q850" s="14" t="s">
        <v>255</v>
      </c>
      <c r="R850" s="14" t="s">
        <v>255</v>
      </c>
      <c r="S850" s="17">
        <v>11.5</v>
      </c>
      <c r="T850" s="14" t="s">
        <v>256</v>
      </c>
      <c r="U850" s="14" t="s">
        <v>257</v>
      </c>
      <c r="V850" s="14" t="s">
        <v>112</v>
      </c>
      <c r="W850" s="18">
        <v>37777500</v>
      </c>
      <c r="X850" s="18">
        <v>37777500</v>
      </c>
      <c r="Y850" s="19" t="s">
        <v>339</v>
      </c>
      <c r="Z850" s="19" t="s">
        <v>258</v>
      </c>
      <c r="AA850" s="14" t="s">
        <v>971</v>
      </c>
      <c r="AB850" s="14" t="s">
        <v>972</v>
      </c>
      <c r="AC850" s="14">
        <v>6012220601</v>
      </c>
      <c r="AD850" s="14" t="s">
        <v>973</v>
      </c>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c r="BC850" s="82"/>
      <c r="BD850" s="82"/>
      <c r="BE850" s="83"/>
      <c r="BF850" s="83"/>
      <c r="BG850" s="14" t="str">
        <f ca="1">IFERROR(__xludf.DUMMYFUNCTION("REGEXEXTRACT(O844,""^\S+\s(.+)$"")"),"Prestar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50" s="24"/>
      <c r="BI850" s="24"/>
      <c r="BJ850" s="24"/>
      <c r="BK850" s="24">
        <v>1642500</v>
      </c>
      <c r="BL850" s="24"/>
      <c r="BM850" s="24">
        <v>3285000</v>
      </c>
      <c r="BN850" s="24"/>
      <c r="BO850" s="24">
        <v>3285000</v>
      </c>
      <c r="BP850" s="24"/>
      <c r="BQ850" s="24">
        <v>3285000</v>
      </c>
      <c r="BR850" s="24"/>
      <c r="BS850" s="24">
        <v>3285000</v>
      </c>
      <c r="BT850" s="24"/>
      <c r="BU850" s="24">
        <v>3285000</v>
      </c>
      <c r="BV850" s="24"/>
      <c r="BW850" s="24">
        <v>3285000</v>
      </c>
      <c r="BX850" s="24"/>
      <c r="BY850" s="24">
        <v>3285000</v>
      </c>
      <c r="BZ850" s="24"/>
      <c r="CA850" s="24">
        <v>3285000</v>
      </c>
      <c r="CB850" s="24"/>
      <c r="CC850" s="24">
        <v>3285000</v>
      </c>
      <c r="CD850" s="24"/>
      <c r="CE850" s="24">
        <v>6570000</v>
      </c>
      <c r="CF850" s="28"/>
      <c r="CG850" s="28"/>
      <c r="CH850" s="25">
        <f t="shared" ref="CH850:CI850" si="1591">BH850+BJ850+BL850+BN850+BP850+BR850+BT850+BV850+BX850+BZ850+CB850+CD850+CF850</f>
        <v>0</v>
      </c>
      <c r="CI850" s="25">
        <f t="shared" si="1591"/>
        <v>37777500</v>
      </c>
      <c r="CJ850" s="26">
        <f t="shared" si="1526"/>
        <v>37777500</v>
      </c>
      <c r="CK850" s="26">
        <f t="shared" si="1527"/>
        <v>0</v>
      </c>
    </row>
    <row r="851" spans="1:89" ht="90" customHeight="1" x14ac:dyDescent="0.3">
      <c r="A851" s="13" t="s">
        <v>1891</v>
      </c>
      <c r="B851" s="14" t="s">
        <v>30</v>
      </c>
      <c r="C851" s="15" t="s">
        <v>258</v>
      </c>
      <c r="D851" s="14" t="s">
        <v>258</v>
      </c>
      <c r="E851" s="13" t="s">
        <v>250</v>
      </c>
      <c r="F851" s="13" t="s">
        <v>250</v>
      </c>
      <c r="G851" s="14">
        <v>68</v>
      </c>
      <c r="H851" s="13" t="s">
        <v>2170</v>
      </c>
      <c r="I851" s="15" t="s">
        <v>1893</v>
      </c>
      <c r="J851" s="14" t="s">
        <v>1893</v>
      </c>
      <c r="K851" s="15" t="s">
        <v>1893</v>
      </c>
      <c r="L851" s="14">
        <v>80111620</v>
      </c>
      <c r="M851" s="14" t="s">
        <v>2045</v>
      </c>
      <c r="N851" s="14" t="s">
        <v>253</v>
      </c>
      <c r="O851" s="15" t="s">
        <v>2171</v>
      </c>
      <c r="P851" s="14" t="s">
        <v>255</v>
      </c>
      <c r="Q851" s="14" t="s">
        <v>255</v>
      </c>
      <c r="R851" s="14" t="s">
        <v>255</v>
      </c>
      <c r="S851" s="17">
        <v>11.5</v>
      </c>
      <c r="T851" s="14" t="s">
        <v>256</v>
      </c>
      <c r="U851" s="14" t="s">
        <v>257</v>
      </c>
      <c r="V851" s="14" t="s">
        <v>112</v>
      </c>
      <c r="W851" s="18">
        <v>37777500</v>
      </c>
      <c r="X851" s="18">
        <v>37777500</v>
      </c>
      <c r="Y851" s="19" t="s">
        <v>339</v>
      </c>
      <c r="Z851" s="19" t="s">
        <v>258</v>
      </c>
      <c r="AA851" s="14" t="s">
        <v>971</v>
      </c>
      <c r="AB851" s="14" t="s">
        <v>972</v>
      </c>
      <c r="AC851" s="14">
        <v>6012220601</v>
      </c>
      <c r="AD851" s="14" t="s">
        <v>973</v>
      </c>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c r="BC851" s="82"/>
      <c r="BD851" s="82"/>
      <c r="BE851" s="83"/>
      <c r="BF851" s="83"/>
      <c r="BG851" s="14" t="str">
        <f ca="1">IFERROR(__xludf.DUMMYFUNCTION("REGEXEXTRACT(O845,""^\S+\s(.+)$"")"),"Prestar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51" s="24"/>
      <c r="BI851" s="24"/>
      <c r="BJ851" s="24"/>
      <c r="BK851" s="24">
        <v>1642500</v>
      </c>
      <c r="BL851" s="24"/>
      <c r="BM851" s="24">
        <v>3285000</v>
      </c>
      <c r="BN851" s="24"/>
      <c r="BO851" s="24">
        <v>3285000</v>
      </c>
      <c r="BP851" s="24"/>
      <c r="BQ851" s="24">
        <v>3285000</v>
      </c>
      <c r="BR851" s="24"/>
      <c r="BS851" s="24">
        <v>3285000</v>
      </c>
      <c r="BT851" s="24"/>
      <c r="BU851" s="24">
        <v>3285000</v>
      </c>
      <c r="BV851" s="24"/>
      <c r="BW851" s="24">
        <v>3285000</v>
      </c>
      <c r="BX851" s="24"/>
      <c r="BY851" s="24">
        <v>3285000</v>
      </c>
      <c r="BZ851" s="24"/>
      <c r="CA851" s="24">
        <v>3285000</v>
      </c>
      <c r="CB851" s="24"/>
      <c r="CC851" s="24">
        <v>3285000</v>
      </c>
      <c r="CD851" s="24"/>
      <c r="CE851" s="24">
        <v>6570000</v>
      </c>
      <c r="CF851" s="28"/>
      <c r="CG851" s="28"/>
      <c r="CH851" s="25">
        <f t="shared" ref="CH851:CI851" si="1592">BH851+BJ851+BL851+BN851+BP851+BR851+BT851+BV851+BX851+BZ851+CB851+CD851+CF851</f>
        <v>0</v>
      </c>
      <c r="CI851" s="25">
        <f t="shared" si="1592"/>
        <v>37777500</v>
      </c>
      <c r="CJ851" s="26">
        <f t="shared" si="1526"/>
        <v>37777500</v>
      </c>
      <c r="CK851" s="26">
        <f t="shared" si="1527"/>
        <v>0</v>
      </c>
    </row>
    <row r="852" spans="1:89" ht="90" customHeight="1" x14ac:dyDescent="0.3">
      <c r="A852" s="13" t="s">
        <v>1891</v>
      </c>
      <c r="B852" s="14" t="s">
        <v>30</v>
      </c>
      <c r="C852" s="15" t="s">
        <v>258</v>
      </c>
      <c r="D852" s="14" t="s">
        <v>258</v>
      </c>
      <c r="E852" s="13" t="s">
        <v>250</v>
      </c>
      <c r="F852" s="13" t="s">
        <v>250</v>
      </c>
      <c r="G852" s="14">
        <v>68</v>
      </c>
      <c r="H852" s="13" t="s">
        <v>2172</v>
      </c>
      <c r="I852" s="15" t="s">
        <v>1893</v>
      </c>
      <c r="J852" s="14" t="s">
        <v>1893</v>
      </c>
      <c r="K852" s="15" t="s">
        <v>1893</v>
      </c>
      <c r="L852" s="14">
        <v>80111620</v>
      </c>
      <c r="M852" s="14" t="s">
        <v>2045</v>
      </c>
      <c r="N852" s="14" t="s">
        <v>253</v>
      </c>
      <c r="O852" s="15" t="s">
        <v>2173</v>
      </c>
      <c r="P852" s="14" t="s">
        <v>255</v>
      </c>
      <c r="Q852" s="14" t="s">
        <v>255</v>
      </c>
      <c r="R852" s="14" t="s">
        <v>255</v>
      </c>
      <c r="S852" s="17">
        <v>11.5</v>
      </c>
      <c r="T852" s="14" t="s">
        <v>256</v>
      </c>
      <c r="U852" s="14" t="s">
        <v>257</v>
      </c>
      <c r="V852" s="14" t="s">
        <v>112</v>
      </c>
      <c r="W852" s="18">
        <v>37777500</v>
      </c>
      <c r="X852" s="18">
        <v>37777500</v>
      </c>
      <c r="Y852" s="19" t="s">
        <v>339</v>
      </c>
      <c r="Z852" s="19" t="s">
        <v>258</v>
      </c>
      <c r="AA852" s="14" t="s">
        <v>971</v>
      </c>
      <c r="AB852" s="14" t="s">
        <v>972</v>
      </c>
      <c r="AC852" s="14">
        <v>6012220601</v>
      </c>
      <c r="AD852" s="14" t="s">
        <v>973</v>
      </c>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c r="BC852" s="82"/>
      <c r="BD852" s="82"/>
      <c r="BE852" s="83"/>
      <c r="BF852" s="83"/>
      <c r="BG852" s="14" t="str">
        <f ca="1">IFERROR(__xludf.DUMMYFUNCTION("REGEXEXTRACT(O846,""^\S+\s(.+)$"")"),"Prestar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52" s="24"/>
      <c r="BI852" s="24"/>
      <c r="BJ852" s="24"/>
      <c r="BK852" s="24">
        <v>1642500</v>
      </c>
      <c r="BL852" s="24"/>
      <c r="BM852" s="24">
        <v>3285000</v>
      </c>
      <c r="BN852" s="24"/>
      <c r="BO852" s="24">
        <v>3285000</v>
      </c>
      <c r="BP852" s="24"/>
      <c r="BQ852" s="24">
        <v>3285000</v>
      </c>
      <c r="BR852" s="24"/>
      <c r="BS852" s="24">
        <v>3285000</v>
      </c>
      <c r="BT852" s="24"/>
      <c r="BU852" s="24">
        <v>3285000</v>
      </c>
      <c r="BV852" s="24"/>
      <c r="BW852" s="24">
        <v>3285000</v>
      </c>
      <c r="BX852" s="24"/>
      <c r="BY852" s="24">
        <v>3285000</v>
      </c>
      <c r="BZ852" s="24"/>
      <c r="CA852" s="24">
        <v>3285000</v>
      </c>
      <c r="CB852" s="24"/>
      <c r="CC852" s="24">
        <v>3285000</v>
      </c>
      <c r="CD852" s="24"/>
      <c r="CE852" s="24">
        <v>6570000</v>
      </c>
      <c r="CF852" s="28"/>
      <c r="CG852" s="28"/>
      <c r="CH852" s="25">
        <f t="shared" ref="CH852:CI852" si="1593">BH852+BJ852+BL852+BN852+BP852+BR852+BT852+BV852+BX852+BZ852+CB852+CD852+CF852</f>
        <v>0</v>
      </c>
      <c r="CI852" s="25">
        <f t="shared" si="1593"/>
        <v>37777500</v>
      </c>
      <c r="CJ852" s="26">
        <f t="shared" si="1526"/>
        <v>37777500</v>
      </c>
      <c r="CK852" s="26">
        <f t="shared" si="1527"/>
        <v>0</v>
      </c>
    </row>
    <row r="853" spans="1:89" ht="90" customHeight="1" x14ac:dyDescent="0.3">
      <c r="A853" s="13" t="s">
        <v>1891</v>
      </c>
      <c r="B853" s="14" t="s">
        <v>30</v>
      </c>
      <c r="C853" s="15" t="s">
        <v>258</v>
      </c>
      <c r="D853" s="14" t="s">
        <v>258</v>
      </c>
      <c r="E853" s="13" t="s">
        <v>250</v>
      </c>
      <c r="F853" s="13" t="s">
        <v>250</v>
      </c>
      <c r="G853" s="14">
        <v>68</v>
      </c>
      <c r="H853" s="13" t="s">
        <v>2174</v>
      </c>
      <c r="I853" s="15" t="s">
        <v>1893</v>
      </c>
      <c r="J853" s="14" t="s">
        <v>1893</v>
      </c>
      <c r="K853" s="15" t="s">
        <v>1893</v>
      </c>
      <c r="L853" s="14">
        <v>80111620</v>
      </c>
      <c r="M853" s="14" t="s">
        <v>2045</v>
      </c>
      <c r="N853" s="14" t="s">
        <v>253</v>
      </c>
      <c r="O853" s="15" t="s">
        <v>2175</v>
      </c>
      <c r="P853" s="14" t="s">
        <v>255</v>
      </c>
      <c r="Q853" s="14" t="s">
        <v>255</v>
      </c>
      <c r="R853" s="14" t="s">
        <v>255</v>
      </c>
      <c r="S853" s="17">
        <v>11.5</v>
      </c>
      <c r="T853" s="14" t="s">
        <v>256</v>
      </c>
      <c r="U853" s="14" t="s">
        <v>257</v>
      </c>
      <c r="V853" s="14" t="s">
        <v>112</v>
      </c>
      <c r="W853" s="18">
        <v>37777500</v>
      </c>
      <c r="X853" s="18">
        <v>37777500</v>
      </c>
      <c r="Y853" s="19" t="s">
        <v>339</v>
      </c>
      <c r="Z853" s="19" t="s">
        <v>258</v>
      </c>
      <c r="AA853" s="14" t="s">
        <v>971</v>
      </c>
      <c r="AB853" s="14" t="s">
        <v>972</v>
      </c>
      <c r="AC853" s="14">
        <v>6012220601</v>
      </c>
      <c r="AD853" s="14" t="s">
        <v>973</v>
      </c>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c r="BC853" s="82"/>
      <c r="BD853" s="82"/>
      <c r="BE853" s="83"/>
      <c r="BF853" s="83"/>
      <c r="BG853" s="14" t="str">
        <f ca="1">IFERROR(__xludf.DUMMYFUNCTION("REGEXEXTRACT(O847,""^\S+\s(.+)$"")"),"Prestar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53" s="24"/>
      <c r="BI853" s="24"/>
      <c r="BJ853" s="24"/>
      <c r="BK853" s="24">
        <v>1642500</v>
      </c>
      <c r="BL853" s="24"/>
      <c r="BM853" s="24">
        <v>3285000</v>
      </c>
      <c r="BN853" s="24"/>
      <c r="BO853" s="24">
        <v>3285000</v>
      </c>
      <c r="BP853" s="24"/>
      <c r="BQ853" s="24">
        <v>3285000</v>
      </c>
      <c r="BR853" s="24"/>
      <c r="BS853" s="24">
        <v>3285000</v>
      </c>
      <c r="BT853" s="24"/>
      <c r="BU853" s="24">
        <v>3285000</v>
      </c>
      <c r="BV853" s="24"/>
      <c r="BW853" s="24">
        <v>3285000</v>
      </c>
      <c r="BX853" s="24"/>
      <c r="BY853" s="24">
        <v>3285000</v>
      </c>
      <c r="BZ853" s="24"/>
      <c r="CA853" s="24">
        <v>3285000</v>
      </c>
      <c r="CB853" s="24"/>
      <c r="CC853" s="24">
        <v>3285000</v>
      </c>
      <c r="CD853" s="24"/>
      <c r="CE853" s="24">
        <v>6570000</v>
      </c>
      <c r="CF853" s="28"/>
      <c r="CG853" s="28"/>
      <c r="CH853" s="25">
        <f t="shared" ref="CH853:CI853" si="1594">BH853+BJ853+BL853+BN853+BP853+BR853+BT853+BV853+BX853+BZ853+CB853+CD853+CF853</f>
        <v>0</v>
      </c>
      <c r="CI853" s="25">
        <f t="shared" si="1594"/>
        <v>37777500</v>
      </c>
      <c r="CJ853" s="26">
        <f t="shared" si="1526"/>
        <v>37777500</v>
      </c>
      <c r="CK853" s="26">
        <f t="shared" si="1527"/>
        <v>0</v>
      </c>
    </row>
    <row r="854" spans="1:89" ht="90" customHeight="1" x14ac:dyDescent="0.3">
      <c r="A854" s="13" t="s">
        <v>1891</v>
      </c>
      <c r="B854" s="14" t="s">
        <v>30</v>
      </c>
      <c r="C854" s="15" t="s">
        <v>258</v>
      </c>
      <c r="D854" s="14" t="s">
        <v>258</v>
      </c>
      <c r="E854" s="13" t="s">
        <v>250</v>
      </c>
      <c r="F854" s="13" t="s">
        <v>250</v>
      </c>
      <c r="G854" s="14">
        <v>1</v>
      </c>
      <c r="H854" s="13" t="s">
        <v>2176</v>
      </c>
      <c r="I854" s="15" t="s">
        <v>1893</v>
      </c>
      <c r="J854" s="14" t="s">
        <v>1893</v>
      </c>
      <c r="K854" s="15" t="s">
        <v>1893</v>
      </c>
      <c r="L854" s="14">
        <v>80111620</v>
      </c>
      <c r="M854" s="14" t="s">
        <v>2045</v>
      </c>
      <c r="N854" s="14" t="s">
        <v>253</v>
      </c>
      <c r="O854" s="15" t="s">
        <v>2177</v>
      </c>
      <c r="P854" s="14" t="s">
        <v>255</v>
      </c>
      <c r="Q854" s="14" t="s">
        <v>255</v>
      </c>
      <c r="R854" s="14" t="s">
        <v>255</v>
      </c>
      <c r="S854" s="17">
        <v>11.5</v>
      </c>
      <c r="T854" s="14" t="s">
        <v>256</v>
      </c>
      <c r="U854" s="14" t="s">
        <v>257</v>
      </c>
      <c r="V854" s="14" t="s">
        <v>112</v>
      </c>
      <c r="W854" s="18">
        <v>42550000</v>
      </c>
      <c r="X854" s="18">
        <v>42550000</v>
      </c>
      <c r="Y854" s="19" t="s">
        <v>339</v>
      </c>
      <c r="Z854" s="19" t="s">
        <v>258</v>
      </c>
      <c r="AA854" s="14" t="s">
        <v>971</v>
      </c>
      <c r="AB854" s="14" t="s">
        <v>972</v>
      </c>
      <c r="AC854" s="14">
        <v>6012220601</v>
      </c>
      <c r="AD854" s="14" t="s">
        <v>973</v>
      </c>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c r="BC854" s="82"/>
      <c r="BD854" s="82"/>
      <c r="BE854" s="83"/>
      <c r="BF854" s="83"/>
      <c r="BG854" s="14" t="str">
        <f ca="1">IFERROR(__xludf.DUMMYFUNCTION("REGEXEXTRACT(O848,""^\S+\s(.+)$"")"),"Prestar servicios profesionales para la evaluación, análisis y actualización de la información de los proyectos de Fuentes No Convencionales de Energía, Gestión Eficiente de la Energía e Hidrógeno presentados a la UPME.")</f>
        <v>Prestar servicios profesionales para la evaluación, análisis y actualización de la información de los proyectos de Fuentes No Convencionales de Energía, Gestión Eficiente de la Energía e Hidrógeno presentados a la UPME.</v>
      </c>
      <c r="BH854" s="24"/>
      <c r="BI854" s="24"/>
      <c r="BJ854" s="24"/>
      <c r="BK854" s="24">
        <v>1850000</v>
      </c>
      <c r="BL854" s="24"/>
      <c r="BM854" s="24">
        <v>3700000</v>
      </c>
      <c r="BN854" s="24"/>
      <c r="BO854" s="24">
        <v>3700000</v>
      </c>
      <c r="BP854" s="24"/>
      <c r="BQ854" s="24">
        <v>3700000</v>
      </c>
      <c r="BR854" s="24"/>
      <c r="BS854" s="24">
        <v>3700000</v>
      </c>
      <c r="BT854" s="24"/>
      <c r="BU854" s="24">
        <v>3700000</v>
      </c>
      <c r="BV854" s="24"/>
      <c r="BW854" s="24">
        <v>3700000</v>
      </c>
      <c r="BX854" s="24"/>
      <c r="BY854" s="24">
        <v>3700000</v>
      </c>
      <c r="BZ854" s="24"/>
      <c r="CA854" s="24">
        <v>3700000</v>
      </c>
      <c r="CB854" s="24"/>
      <c r="CC854" s="24">
        <v>3700000</v>
      </c>
      <c r="CD854" s="24"/>
      <c r="CE854" s="24">
        <v>7400000</v>
      </c>
      <c r="CF854" s="28"/>
      <c r="CG854" s="28"/>
      <c r="CH854" s="25">
        <f t="shared" ref="CH854:CI854" si="1595">BH854+BJ854+BL854+BN854+BP854+BR854+BT854+BV854+BX854+BZ854+CB854+CD854+CF854</f>
        <v>0</v>
      </c>
      <c r="CI854" s="25">
        <f t="shared" si="1595"/>
        <v>42550000</v>
      </c>
      <c r="CJ854" s="26">
        <f t="shared" si="1526"/>
        <v>42550000</v>
      </c>
      <c r="CK854" s="26">
        <f t="shared" si="1527"/>
        <v>0</v>
      </c>
    </row>
    <row r="855" spans="1:89" ht="90" customHeight="1" x14ac:dyDescent="0.3">
      <c r="A855" s="13" t="s">
        <v>1891</v>
      </c>
      <c r="B855" s="14" t="s">
        <v>30</v>
      </c>
      <c r="C855" s="15" t="s">
        <v>258</v>
      </c>
      <c r="D855" s="14" t="s">
        <v>258</v>
      </c>
      <c r="E855" s="13" t="s">
        <v>250</v>
      </c>
      <c r="F855" s="13" t="s">
        <v>250</v>
      </c>
      <c r="G855" s="14">
        <v>1</v>
      </c>
      <c r="H855" s="13" t="s">
        <v>2178</v>
      </c>
      <c r="I855" s="15" t="s">
        <v>1893</v>
      </c>
      <c r="J855" s="14" t="s">
        <v>1893</v>
      </c>
      <c r="K855" s="15" t="s">
        <v>1893</v>
      </c>
      <c r="L855" s="14">
        <v>80111620</v>
      </c>
      <c r="M855" s="14" t="s">
        <v>2045</v>
      </c>
      <c r="N855" s="14" t="s">
        <v>253</v>
      </c>
      <c r="O855" s="15" t="s">
        <v>2179</v>
      </c>
      <c r="P855" s="14" t="s">
        <v>255</v>
      </c>
      <c r="Q855" s="14" t="s">
        <v>255</v>
      </c>
      <c r="R855" s="14" t="s">
        <v>255</v>
      </c>
      <c r="S855" s="17">
        <v>11.5</v>
      </c>
      <c r="T855" s="14" t="s">
        <v>256</v>
      </c>
      <c r="U855" s="14" t="s">
        <v>257</v>
      </c>
      <c r="V855" s="14" t="s">
        <v>112</v>
      </c>
      <c r="W855" s="18">
        <v>69000000</v>
      </c>
      <c r="X855" s="18">
        <v>69000000</v>
      </c>
      <c r="Y855" s="19" t="s">
        <v>339</v>
      </c>
      <c r="Z855" s="19" t="s">
        <v>258</v>
      </c>
      <c r="AA855" s="14" t="s">
        <v>971</v>
      </c>
      <c r="AB855" s="14" t="s">
        <v>972</v>
      </c>
      <c r="AC855" s="14">
        <v>6012220601</v>
      </c>
      <c r="AD855" s="14" t="s">
        <v>973</v>
      </c>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c r="BC855" s="82"/>
      <c r="BD855" s="82"/>
      <c r="BE855" s="83"/>
      <c r="BF855" s="83"/>
      <c r="BG855" s="14" t="str">
        <f ca="1">IFERROR(__xludf.DUMMYFUNCTION("REGEXEXTRACT(O849,""^\S+\s(.+)$"")"),"Prestar servicios profesionales para la evaluación y análisis de proyectos de Gestión Eficiente de la Energía, a las solicitudes de incentivos tributarios radicadas en la UPME.")</f>
        <v>Prestar servicios profesionales para la evaluación y análisis de proyectos de Gestión Eficiente de la Energía, a las solicitudes de incentivos tributarios radicadas en la UPME.</v>
      </c>
      <c r="BH855" s="24"/>
      <c r="BI855" s="24"/>
      <c r="BJ855" s="24"/>
      <c r="BK855" s="24">
        <v>3000000</v>
      </c>
      <c r="BL855" s="24"/>
      <c r="BM855" s="24">
        <v>6000000</v>
      </c>
      <c r="BN855" s="24"/>
      <c r="BO855" s="24">
        <v>6000000</v>
      </c>
      <c r="BP855" s="24"/>
      <c r="BQ855" s="24">
        <v>6000000</v>
      </c>
      <c r="BR855" s="24"/>
      <c r="BS855" s="24">
        <v>6000000</v>
      </c>
      <c r="BT855" s="24"/>
      <c r="BU855" s="24">
        <v>6000000</v>
      </c>
      <c r="BV855" s="24"/>
      <c r="BW855" s="24">
        <v>6000000</v>
      </c>
      <c r="BX855" s="24"/>
      <c r="BY855" s="24">
        <v>6000000</v>
      </c>
      <c r="BZ855" s="24"/>
      <c r="CA855" s="24">
        <v>6000000</v>
      </c>
      <c r="CB855" s="24"/>
      <c r="CC855" s="24">
        <v>6000000</v>
      </c>
      <c r="CD855" s="24"/>
      <c r="CE855" s="24">
        <v>12000000</v>
      </c>
      <c r="CF855" s="28"/>
      <c r="CG855" s="28"/>
      <c r="CH855" s="25">
        <f t="shared" ref="CH855:CI855" si="1596">BH855+BJ855+BL855+BN855+BP855+BR855+BT855+BV855+BX855+BZ855+CB855+CD855+CF855</f>
        <v>0</v>
      </c>
      <c r="CI855" s="25">
        <f t="shared" si="1596"/>
        <v>69000000</v>
      </c>
      <c r="CJ855" s="26">
        <f t="shared" si="1526"/>
        <v>69000000</v>
      </c>
      <c r="CK855" s="26">
        <f t="shared" si="1527"/>
        <v>0</v>
      </c>
    </row>
    <row r="856" spans="1:89" ht="90" customHeight="1" x14ac:dyDescent="0.3">
      <c r="A856" s="13" t="s">
        <v>1891</v>
      </c>
      <c r="B856" s="14" t="s">
        <v>30</v>
      </c>
      <c r="C856" s="15" t="s">
        <v>258</v>
      </c>
      <c r="D856" s="14" t="s">
        <v>258</v>
      </c>
      <c r="E856" s="13" t="s">
        <v>250</v>
      </c>
      <c r="F856" s="13" t="s">
        <v>250</v>
      </c>
      <c r="G856" s="14">
        <v>20</v>
      </c>
      <c r="H856" s="13" t="s">
        <v>2180</v>
      </c>
      <c r="I856" s="15" t="s">
        <v>1893</v>
      </c>
      <c r="J856" s="14" t="s">
        <v>1893</v>
      </c>
      <c r="K856" s="15" t="s">
        <v>1893</v>
      </c>
      <c r="L856" s="14">
        <v>80111620</v>
      </c>
      <c r="M856" s="14" t="s">
        <v>2045</v>
      </c>
      <c r="N856" s="14" t="s">
        <v>253</v>
      </c>
      <c r="O856" s="15" t="s">
        <v>2181</v>
      </c>
      <c r="P856" s="14" t="s">
        <v>255</v>
      </c>
      <c r="Q856" s="14" t="s">
        <v>255</v>
      </c>
      <c r="R856" s="14" t="s">
        <v>255</v>
      </c>
      <c r="S856" s="17">
        <v>11.5</v>
      </c>
      <c r="T856" s="14" t="s">
        <v>256</v>
      </c>
      <c r="U856" s="14" t="s">
        <v>257</v>
      </c>
      <c r="V856" s="14" t="s">
        <v>112</v>
      </c>
      <c r="W856" s="18">
        <v>111500000</v>
      </c>
      <c r="X856" s="18">
        <v>111500000</v>
      </c>
      <c r="Y856" s="19" t="s">
        <v>339</v>
      </c>
      <c r="Z856" s="19" t="s">
        <v>258</v>
      </c>
      <c r="AA856" s="14" t="s">
        <v>971</v>
      </c>
      <c r="AB856" s="14" t="s">
        <v>972</v>
      </c>
      <c r="AC856" s="14">
        <v>6012220601</v>
      </c>
      <c r="AD856" s="14" t="s">
        <v>973</v>
      </c>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3"/>
      <c r="BF856" s="83"/>
      <c r="BG856" s="14" t="str">
        <f ca="1">IFERROR(__xludf.DUMMYFUNCTION("REGEXEXTRACT(O850,""^\S+\s(.+)$"")"),"Prestar servicios profesionales enfocados en el análisis y evaluación de la información técnica de proyectos de Fuentes No Convencionales de Energía y Gestión Eficiente de la Energía, asegurando el cumplimiento de los requisitos exigidos por la normativa "&amp;"vigente en materia de incentivos tributarios, aplicando metodologías de gestión de proyectos.")</f>
        <v>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v>
      </c>
      <c r="BH856" s="24"/>
      <c r="BI856" s="24"/>
      <c r="BJ856" s="24"/>
      <c r="BK856" s="24">
        <v>2500000</v>
      </c>
      <c r="BL856" s="24"/>
      <c r="BM856" s="24">
        <v>5000000</v>
      </c>
      <c r="BN856" s="24"/>
      <c r="BO856" s="24">
        <v>5000000</v>
      </c>
      <c r="BP856" s="24"/>
      <c r="BQ856" s="24">
        <v>5000000</v>
      </c>
      <c r="BR856" s="24"/>
      <c r="BS856" s="24">
        <v>5000000</v>
      </c>
      <c r="BT856" s="24"/>
      <c r="BU856" s="24">
        <v>5000000</v>
      </c>
      <c r="BV856" s="24"/>
      <c r="BW856" s="24">
        <v>5000000</v>
      </c>
      <c r="BX856" s="24"/>
      <c r="BY856" s="24">
        <v>5000000</v>
      </c>
      <c r="BZ856" s="24"/>
      <c r="CA856" s="24">
        <v>5000000</v>
      </c>
      <c r="CB856" s="24"/>
      <c r="CC856" s="24">
        <v>5000000</v>
      </c>
      <c r="CD856" s="24"/>
      <c r="CE856" s="24">
        <v>10000000</v>
      </c>
      <c r="CF856" s="28"/>
      <c r="CG856" s="28"/>
      <c r="CH856" s="25">
        <f t="shared" ref="CH856:CI856" si="1597">BH856+BJ856+BL856+BN856+BP856+BR856+BT856+BV856+BX856+BZ856+CB856+CD856+CF856</f>
        <v>0</v>
      </c>
      <c r="CI856" s="25">
        <f t="shared" si="1597"/>
        <v>57500000</v>
      </c>
      <c r="CJ856" s="26">
        <f t="shared" si="1526"/>
        <v>111500000</v>
      </c>
      <c r="CK856" s="26">
        <f t="shared" si="1527"/>
        <v>54000000</v>
      </c>
    </row>
    <row r="857" spans="1:89" ht="90" customHeight="1" x14ac:dyDescent="0.3">
      <c r="A857" s="13" t="s">
        <v>1891</v>
      </c>
      <c r="B857" s="14" t="s">
        <v>30</v>
      </c>
      <c r="C857" s="15" t="s">
        <v>258</v>
      </c>
      <c r="D857" s="14" t="s">
        <v>258</v>
      </c>
      <c r="E857" s="13" t="s">
        <v>250</v>
      </c>
      <c r="F857" s="13" t="s">
        <v>250</v>
      </c>
      <c r="G857" s="14">
        <v>1</v>
      </c>
      <c r="H857" s="13" t="s">
        <v>2182</v>
      </c>
      <c r="I857" s="15" t="s">
        <v>1893</v>
      </c>
      <c r="J857" s="14" t="s">
        <v>1893</v>
      </c>
      <c r="K857" s="15" t="s">
        <v>1893</v>
      </c>
      <c r="L857" s="14">
        <v>80111620</v>
      </c>
      <c r="M857" s="14" t="s">
        <v>2045</v>
      </c>
      <c r="N857" s="14" t="s">
        <v>253</v>
      </c>
      <c r="O857" s="15" t="s">
        <v>2183</v>
      </c>
      <c r="P857" s="14" t="s">
        <v>255</v>
      </c>
      <c r="Q857" s="14" t="s">
        <v>255</v>
      </c>
      <c r="R857" s="14" t="s">
        <v>255</v>
      </c>
      <c r="S857" s="17">
        <v>11.5</v>
      </c>
      <c r="T857" s="14" t="s">
        <v>256</v>
      </c>
      <c r="U857" s="14" t="s">
        <v>257</v>
      </c>
      <c r="V857" s="14" t="s">
        <v>112</v>
      </c>
      <c r="W857" s="18">
        <v>57500000</v>
      </c>
      <c r="X857" s="18">
        <v>57500000</v>
      </c>
      <c r="Y857" s="19" t="s">
        <v>339</v>
      </c>
      <c r="Z857" s="19" t="s">
        <v>258</v>
      </c>
      <c r="AA857" s="14" t="s">
        <v>971</v>
      </c>
      <c r="AB857" s="14" t="s">
        <v>972</v>
      </c>
      <c r="AC857" s="14">
        <v>6012220601</v>
      </c>
      <c r="AD857" s="14" t="s">
        <v>973</v>
      </c>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c r="BC857" s="82"/>
      <c r="BD857" s="82"/>
      <c r="BE857" s="83"/>
      <c r="BF857" s="83"/>
      <c r="BG857" s="14" t="str">
        <f ca="1">IFERROR(__xludf.DUMMYFUNCTION("REGEXEXTRACT(O851,""^\S+\s(.+)$"")"),"Prestar servicios profesionales enfocados en el análisis y evaluación de la información técnica de proyectos de Fuentes No Convencionales de Energía y Gestión Eficiente de la Energía, asegurando el cumplimiento de los requisitos exigidos por la normativa "&amp;"vigente en materia de incentivos tributarios, aplicando metodologías de gestión de proyectos.")</f>
        <v>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v>
      </c>
      <c r="BH857" s="24"/>
      <c r="BI857" s="24"/>
      <c r="BJ857" s="24"/>
      <c r="BK857" s="24">
        <v>2500000</v>
      </c>
      <c r="BL857" s="24"/>
      <c r="BM857" s="24">
        <v>5000000</v>
      </c>
      <c r="BN857" s="24"/>
      <c r="BO857" s="24">
        <v>5000000</v>
      </c>
      <c r="BP857" s="24"/>
      <c r="BQ857" s="24">
        <v>5000000</v>
      </c>
      <c r="BR857" s="24"/>
      <c r="BS857" s="24">
        <v>5000000</v>
      </c>
      <c r="BT857" s="24"/>
      <c r="BU857" s="24">
        <v>5000000</v>
      </c>
      <c r="BV857" s="24"/>
      <c r="BW857" s="24">
        <v>5000000</v>
      </c>
      <c r="BX857" s="24"/>
      <c r="BY857" s="24">
        <v>5000000</v>
      </c>
      <c r="BZ857" s="24"/>
      <c r="CA857" s="24">
        <v>5000000</v>
      </c>
      <c r="CB857" s="24"/>
      <c r="CC857" s="24">
        <v>5000000</v>
      </c>
      <c r="CD857" s="24"/>
      <c r="CE857" s="24">
        <v>10000000</v>
      </c>
      <c r="CF857" s="28"/>
      <c r="CG857" s="28"/>
      <c r="CH857" s="25">
        <f t="shared" ref="CH857:CI857" si="1598">BH857+BJ857+BL857+BN857+BP857+BR857+BT857+BV857+BX857+BZ857+CB857+CD857+CF857</f>
        <v>0</v>
      </c>
      <c r="CI857" s="25">
        <f t="shared" si="1598"/>
        <v>57500000</v>
      </c>
      <c r="CJ857" s="26">
        <f t="shared" si="1526"/>
        <v>57500000</v>
      </c>
      <c r="CK857" s="26">
        <f t="shared" si="1527"/>
        <v>0</v>
      </c>
    </row>
    <row r="858" spans="1:89" ht="90" customHeight="1" x14ac:dyDescent="0.3">
      <c r="A858" s="13" t="s">
        <v>1891</v>
      </c>
      <c r="B858" s="14" t="s">
        <v>30</v>
      </c>
      <c r="C858" s="15" t="s">
        <v>258</v>
      </c>
      <c r="D858" s="14" t="s">
        <v>258</v>
      </c>
      <c r="E858" s="13" t="s">
        <v>250</v>
      </c>
      <c r="F858" s="13" t="s">
        <v>250</v>
      </c>
      <c r="G858" s="14">
        <v>4</v>
      </c>
      <c r="H858" s="13" t="s">
        <v>2184</v>
      </c>
      <c r="I858" s="15" t="s">
        <v>1893</v>
      </c>
      <c r="J858" s="14" t="s">
        <v>1893</v>
      </c>
      <c r="K858" s="15" t="s">
        <v>1893</v>
      </c>
      <c r="L858" s="14">
        <v>80111620</v>
      </c>
      <c r="M858" s="14" t="s">
        <v>2045</v>
      </c>
      <c r="N858" s="14" t="s">
        <v>253</v>
      </c>
      <c r="O858" s="15" t="s">
        <v>2185</v>
      </c>
      <c r="P858" s="14" t="s">
        <v>255</v>
      </c>
      <c r="Q858" s="14" t="s">
        <v>255</v>
      </c>
      <c r="R858" s="14" t="s">
        <v>255</v>
      </c>
      <c r="S858" s="17">
        <v>11.5</v>
      </c>
      <c r="T858" s="14" t="s">
        <v>256</v>
      </c>
      <c r="U858" s="14" t="s">
        <v>257</v>
      </c>
      <c r="V858" s="14" t="s">
        <v>112</v>
      </c>
      <c r="W858" s="18">
        <v>46000000</v>
      </c>
      <c r="X858" s="18">
        <v>46000000</v>
      </c>
      <c r="Y858" s="19" t="s">
        <v>339</v>
      </c>
      <c r="Z858" s="19" t="s">
        <v>258</v>
      </c>
      <c r="AA858" s="14" t="s">
        <v>971</v>
      </c>
      <c r="AB858" s="14" t="s">
        <v>972</v>
      </c>
      <c r="AC858" s="14">
        <v>6012220601</v>
      </c>
      <c r="AD858" s="14" t="s">
        <v>973</v>
      </c>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c r="BC858" s="82"/>
      <c r="BD858" s="82"/>
      <c r="BE858" s="83"/>
      <c r="BF858" s="83"/>
      <c r="BG858" s="14" t="str">
        <f ca="1">IFERROR(__xludf.DUMMYFUNCTION("REGEXEXTRACT(O852,""^\S+\s(.+)$"")"),"Prestar servicios de apoyo a la gestión para la evaluación, análisis de la información de los proyectos de Fuentes No Convencionales de Energía y Gestión Eficiente de la Energía, así como el análisis de datos del trámite de incentivos tributarios a través"&amp;" de automatismos.")</f>
        <v>Prestar servicios de apoyo a la gestión para la evaluación, análisis de la información de los proyectos de Fuentes No Convencionales de Energía y Gestión Eficiente de la Energía, así como el análisis de datos del trámite de incentivos tributarios a través de automatismos.</v>
      </c>
      <c r="BH858" s="24"/>
      <c r="BI858" s="24"/>
      <c r="BJ858" s="24"/>
      <c r="BK858" s="24">
        <v>2000000</v>
      </c>
      <c r="BL858" s="24"/>
      <c r="BM858" s="24">
        <v>4000000</v>
      </c>
      <c r="BN858" s="24"/>
      <c r="BO858" s="24">
        <v>4000000</v>
      </c>
      <c r="BP858" s="24"/>
      <c r="BQ858" s="24">
        <v>4000000</v>
      </c>
      <c r="BR858" s="24"/>
      <c r="BS858" s="24">
        <v>4000000</v>
      </c>
      <c r="BT858" s="24"/>
      <c r="BU858" s="24">
        <v>4000000</v>
      </c>
      <c r="BV858" s="24"/>
      <c r="BW858" s="24">
        <v>4000000</v>
      </c>
      <c r="BX858" s="24"/>
      <c r="BY858" s="24">
        <v>4000000</v>
      </c>
      <c r="BZ858" s="24"/>
      <c r="CA858" s="24">
        <v>4000000</v>
      </c>
      <c r="CB858" s="24"/>
      <c r="CC858" s="24">
        <v>4000000</v>
      </c>
      <c r="CD858" s="24"/>
      <c r="CE858" s="24">
        <v>8000000</v>
      </c>
      <c r="CF858" s="28"/>
      <c r="CG858" s="28"/>
      <c r="CH858" s="25">
        <f t="shared" ref="CH858:CI858" si="1599">BH858+BJ858+BL858+BN858+BP858+BR858+BT858+BV858+BX858+BZ858+CB858+CD858+CF858</f>
        <v>0</v>
      </c>
      <c r="CI858" s="25">
        <f t="shared" si="1599"/>
        <v>46000000</v>
      </c>
      <c r="CJ858" s="26">
        <f t="shared" si="1526"/>
        <v>46000000</v>
      </c>
      <c r="CK858" s="26">
        <f t="shared" si="1527"/>
        <v>0</v>
      </c>
    </row>
    <row r="859" spans="1:89" ht="90" customHeight="1" x14ac:dyDescent="0.3">
      <c r="A859" s="13" t="s">
        <v>1891</v>
      </c>
      <c r="B859" s="14" t="s">
        <v>30</v>
      </c>
      <c r="C859" s="15" t="s">
        <v>258</v>
      </c>
      <c r="D859" s="14" t="s">
        <v>258</v>
      </c>
      <c r="E859" s="13" t="s">
        <v>250</v>
      </c>
      <c r="F859" s="13" t="s">
        <v>250</v>
      </c>
      <c r="G859" s="14">
        <v>68</v>
      </c>
      <c r="H859" s="13" t="s">
        <v>2186</v>
      </c>
      <c r="I859" s="15" t="s">
        <v>1893</v>
      </c>
      <c r="J859" s="14" t="s">
        <v>1893</v>
      </c>
      <c r="K859" s="15" t="s">
        <v>1893</v>
      </c>
      <c r="L859" s="14">
        <v>80111620</v>
      </c>
      <c r="M859" s="14" t="s">
        <v>2045</v>
      </c>
      <c r="N859" s="14" t="s">
        <v>253</v>
      </c>
      <c r="O859" s="15" t="s">
        <v>2187</v>
      </c>
      <c r="P859" s="14" t="s">
        <v>255</v>
      </c>
      <c r="Q859" s="14" t="s">
        <v>255</v>
      </c>
      <c r="R859" s="14" t="s">
        <v>255</v>
      </c>
      <c r="S859" s="17">
        <v>11.5</v>
      </c>
      <c r="T859" s="14" t="s">
        <v>256</v>
      </c>
      <c r="U859" s="14" t="s">
        <v>257</v>
      </c>
      <c r="V859" s="14" t="s">
        <v>112</v>
      </c>
      <c r="W859" s="18">
        <v>69000000</v>
      </c>
      <c r="X859" s="18">
        <v>69000000</v>
      </c>
      <c r="Y859" s="19" t="s">
        <v>339</v>
      </c>
      <c r="Z859" s="19" t="s">
        <v>258</v>
      </c>
      <c r="AA859" s="14" t="s">
        <v>971</v>
      </c>
      <c r="AB859" s="14" t="s">
        <v>972</v>
      </c>
      <c r="AC859" s="14">
        <v>6012220601</v>
      </c>
      <c r="AD859" s="14" t="s">
        <v>973</v>
      </c>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c r="BC859" s="82"/>
      <c r="BD859" s="82"/>
      <c r="BE859" s="83"/>
      <c r="BF859" s="83"/>
      <c r="BG859" s="14" t="str">
        <f ca="1">IFERROR(__xludf.DUMMYFUNCTION("REGEXEXTRACT(O853,""^\S+\s(.+)$"")"),"Prestar servicios profesionales para el seguimiento y documentación integral de las actividades de la Subdirección de Demanda, así como para la formulación, seguimiento, reporte y ejecución de instrumentos de planeación y metas institucionales.")</f>
        <v>Prestar servicios profesionales para el seguimiento y documentación integral de las actividades de la Subdirección de Demanda, así como para la formulación, seguimiento, reporte y ejecución de instrumentos de planeación y metas institucionales.</v>
      </c>
      <c r="BH859" s="24"/>
      <c r="BI859" s="24"/>
      <c r="BJ859" s="24"/>
      <c r="BK859" s="24">
        <v>3000000</v>
      </c>
      <c r="BL859" s="24"/>
      <c r="BM859" s="24">
        <v>6000000</v>
      </c>
      <c r="BN859" s="24"/>
      <c r="BO859" s="24">
        <v>6000000</v>
      </c>
      <c r="BP859" s="24"/>
      <c r="BQ859" s="24">
        <v>6000000</v>
      </c>
      <c r="BR859" s="24"/>
      <c r="BS859" s="24">
        <v>6000000</v>
      </c>
      <c r="BT859" s="24"/>
      <c r="BU859" s="24">
        <v>6000000</v>
      </c>
      <c r="BV859" s="24"/>
      <c r="BW859" s="24">
        <v>6000000</v>
      </c>
      <c r="BX859" s="24"/>
      <c r="BY859" s="24">
        <v>6000000</v>
      </c>
      <c r="BZ859" s="24"/>
      <c r="CA859" s="24">
        <v>6000000</v>
      </c>
      <c r="CB859" s="24"/>
      <c r="CC859" s="24">
        <v>6000000</v>
      </c>
      <c r="CD859" s="24"/>
      <c r="CE859" s="24">
        <v>12000000</v>
      </c>
      <c r="CF859" s="28"/>
      <c r="CG859" s="28"/>
      <c r="CH859" s="25">
        <f t="shared" ref="CH859:CI859" si="1600">BH859+BJ859+BL859+BN859+BP859+BR859+BT859+BV859+BX859+BZ859+CB859+CD859+CF859</f>
        <v>0</v>
      </c>
      <c r="CI859" s="25">
        <f t="shared" si="1600"/>
        <v>69000000</v>
      </c>
      <c r="CJ859" s="26">
        <f t="shared" si="1526"/>
        <v>69000000</v>
      </c>
      <c r="CK859" s="26">
        <f t="shared" si="1527"/>
        <v>0</v>
      </c>
    </row>
    <row r="860" spans="1:89" ht="90" customHeight="1" x14ac:dyDescent="0.3">
      <c r="A860" s="13" t="s">
        <v>1891</v>
      </c>
      <c r="B860" s="14" t="s">
        <v>30</v>
      </c>
      <c r="C860" s="15" t="s">
        <v>258</v>
      </c>
      <c r="D860" s="14" t="s">
        <v>258</v>
      </c>
      <c r="E860" s="13" t="s">
        <v>250</v>
      </c>
      <c r="F860" s="13" t="s">
        <v>250</v>
      </c>
      <c r="G860" s="14">
        <v>6</v>
      </c>
      <c r="H860" s="13" t="s">
        <v>2188</v>
      </c>
      <c r="I860" s="15" t="s">
        <v>1893</v>
      </c>
      <c r="J860" s="14" t="s">
        <v>1893</v>
      </c>
      <c r="K860" s="15" t="s">
        <v>1893</v>
      </c>
      <c r="L860" s="14">
        <v>80111620</v>
      </c>
      <c r="M860" s="14" t="s">
        <v>2045</v>
      </c>
      <c r="N860" s="14" t="s">
        <v>253</v>
      </c>
      <c r="O860" s="15" t="s">
        <v>2189</v>
      </c>
      <c r="P860" s="14" t="s">
        <v>255</v>
      </c>
      <c r="Q860" s="14" t="s">
        <v>255</v>
      </c>
      <c r="R860" s="14" t="s">
        <v>255</v>
      </c>
      <c r="S860" s="17">
        <v>11.5</v>
      </c>
      <c r="T860" s="14" t="s">
        <v>256</v>
      </c>
      <c r="U860" s="14" t="s">
        <v>257</v>
      </c>
      <c r="V860" s="14" t="s">
        <v>112</v>
      </c>
      <c r="W860" s="18">
        <v>69000000</v>
      </c>
      <c r="X860" s="18">
        <v>69000000</v>
      </c>
      <c r="Y860" s="19" t="s">
        <v>339</v>
      </c>
      <c r="Z860" s="19" t="s">
        <v>258</v>
      </c>
      <c r="AA860" s="14" t="s">
        <v>971</v>
      </c>
      <c r="AB860" s="14" t="s">
        <v>972</v>
      </c>
      <c r="AC860" s="14">
        <v>6012220601</v>
      </c>
      <c r="AD860" s="14" t="s">
        <v>973</v>
      </c>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c r="BC860" s="82"/>
      <c r="BD860" s="82"/>
      <c r="BE860" s="83"/>
      <c r="BF860" s="83"/>
      <c r="BG860" s="14" t="str">
        <f ca="1">IFERROR(__xludf.DUMMYFUNCTION("REGEXEXTRACT(O854,""^\S+\s(.+)$"")"),"Prestar servicios de apoyo a la gestión para la evaluación de proyectos de Fuentes No Convencionales de Energía, Gestión Eficiente de la Energía, particularmente proyectos de enfriamiento de gran capacidad, integrando la regulación del sector eléctrico na"&amp;"cional, así como parámetros de gestión ambiental y desarrollo sostenible, cuantificando impactos ambientales y sociales, que soporten la toma de decisiones en el trámite de incentivos tributarios.")</f>
        <v>Prestar servicios de apoyo a la gestión para la evaluación de proyectos de Fuentes No Convencionales de Energía, Gestión Eficiente de la Energía, particularmente proyectos de enfriamiento de gran capacidad, integrando la regulación del sector eléctrico nacional, así como parámetros de gestión ambiental y desarrollo sostenible, cuantificando impactos ambientales y sociales, que soporten la toma de decisiones en el trámite de incentivos tributarios.</v>
      </c>
      <c r="BH860" s="24"/>
      <c r="BI860" s="24"/>
      <c r="BJ860" s="24"/>
      <c r="BK860" s="24">
        <v>3000000</v>
      </c>
      <c r="BL860" s="24"/>
      <c r="BM860" s="24">
        <v>6000000</v>
      </c>
      <c r="BN860" s="24"/>
      <c r="BO860" s="24">
        <v>6000000</v>
      </c>
      <c r="BP860" s="24"/>
      <c r="BQ860" s="24">
        <v>6000000</v>
      </c>
      <c r="BR860" s="24"/>
      <c r="BS860" s="24">
        <v>6000000</v>
      </c>
      <c r="BT860" s="24"/>
      <c r="BU860" s="24">
        <v>6000000</v>
      </c>
      <c r="BV860" s="24"/>
      <c r="BW860" s="24">
        <v>6000000</v>
      </c>
      <c r="BX860" s="24"/>
      <c r="BY860" s="24">
        <v>6000000</v>
      </c>
      <c r="BZ860" s="24"/>
      <c r="CA860" s="24">
        <v>6000000</v>
      </c>
      <c r="CB860" s="24"/>
      <c r="CC860" s="24">
        <v>6000000</v>
      </c>
      <c r="CD860" s="24"/>
      <c r="CE860" s="24">
        <v>12000000</v>
      </c>
      <c r="CF860" s="28"/>
      <c r="CG860" s="28"/>
      <c r="CH860" s="25">
        <f t="shared" ref="CH860:CI860" si="1601">BH860+BJ860+BL860+BN860+BP860+BR860+BT860+BV860+BX860+BZ860+CB860+CD860+CF860</f>
        <v>0</v>
      </c>
      <c r="CI860" s="25">
        <f t="shared" si="1601"/>
        <v>69000000</v>
      </c>
      <c r="CJ860" s="26">
        <f t="shared" si="1526"/>
        <v>69000000</v>
      </c>
      <c r="CK860" s="26">
        <f t="shared" si="1527"/>
        <v>0</v>
      </c>
    </row>
    <row r="861" spans="1:89" ht="90" customHeight="1" x14ac:dyDescent="0.3">
      <c r="A861" s="13" t="s">
        <v>1891</v>
      </c>
      <c r="B861" s="14" t="s">
        <v>30</v>
      </c>
      <c r="C861" s="15" t="s">
        <v>258</v>
      </c>
      <c r="D861" s="14" t="s">
        <v>258</v>
      </c>
      <c r="E861" s="13" t="s">
        <v>250</v>
      </c>
      <c r="F861" s="13" t="s">
        <v>250</v>
      </c>
      <c r="G861" s="14">
        <v>68</v>
      </c>
      <c r="H861" s="13" t="s">
        <v>2190</v>
      </c>
      <c r="I861" s="15" t="s">
        <v>1893</v>
      </c>
      <c r="J861" s="14" t="s">
        <v>1893</v>
      </c>
      <c r="K861" s="15" t="s">
        <v>1893</v>
      </c>
      <c r="L861" s="14">
        <v>80111620</v>
      </c>
      <c r="M861" s="14" t="s">
        <v>2045</v>
      </c>
      <c r="N861" s="14" t="s">
        <v>253</v>
      </c>
      <c r="O861" s="15" t="s">
        <v>2191</v>
      </c>
      <c r="P861" s="14" t="s">
        <v>255</v>
      </c>
      <c r="Q861" s="14" t="s">
        <v>255</v>
      </c>
      <c r="R861" s="14" t="s">
        <v>255</v>
      </c>
      <c r="S861" s="17">
        <v>11.5</v>
      </c>
      <c r="T861" s="14" t="s">
        <v>256</v>
      </c>
      <c r="U861" s="14" t="s">
        <v>257</v>
      </c>
      <c r="V861" s="14" t="s">
        <v>112</v>
      </c>
      <c r="W861" s="18">
        <v>37777500</v>
      </c>
      <c r="X861" s="18">
        <v>37777500</v>
      </c>
      <c r="Y861" s="19" t="s">
        <v>339</v>
      </c>
      <c r="Z861" s="19" t="s">
        <v>258</v>
      </c>
      <c r="AA861" s="14" t="s">
        <v>971</v>
      </c>
      <c r="AB861" s="14" t="s">
        <v>972</v>
      </c>
      <c r="AC861" s="14">
        <v>6012220601</v>
      </c>
      <c r="AD861" s="14" t="s">
        <v>973</v>
      </c>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c r="BC861" s="82"/>
      <c r="BD861" s="82"/>
      <c r="BE861" s="83"/>
      <c r="BF861" s="83"/>
      <c r="BG861" s="14" t="str">
        <f ca="1">IFERROR(__xludf.DUMMYFUNCTION("REGEXEXTRACT(O855,""^\S+\s(.+)$"")"),"Prestar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61" s="24"/>
      <c r="BI861" s="24"/>
      <c r="BJ861" s="24"/>
      <c r="BK861" s="24">
        <v>1642500</v>
      </c>
      <c r="BL861" s="24"/>
      <c r="BM861" s="24">
        <v>3285000</v>
      </c>
      <c r="BN861" s="24"/>
      <c r="BO861" s="24">
        <v>3285000</v>
      </c>
      <c r="BP861" s="24"/>
      <c r="BQ861" s="24">
        <v>3285000</v>
      </c>
      <c r="BR861" s="24"/>
      <c r="BS861" s="24">
        <v>3285000</v>
      </c>
      <c r="BT861" s="24"/>
      <c r="BU861" s="24">
        <v>3285000</v>
      </c>
      <c r="BV861" s="24"/>
      <c r="BW861" s="24">
        <v>3285000</v>
      </c>
      <c r="BX861" s="24"/>
      <c r="BY861" s="24">
        <v>3285000</v>
      </c>
      <c r="BZ861" s="24"/>
      <c r="CA861" s="24">
        <v>3285000</v>
      </c>
      <c r="CB861" s="24"/>
      <c r="CC861" s="24">
        <v>3285000</v>
      </c>
      <c r="CD861" s="24"/>
      <c r="CE861" s="24">
        <v>6570000</v>
      </c>
      <c r="CF861" s="28"/>
      <c r="CG861" s="28"/>
      <c r="CH861" s="25">
        <f t="shared" ref="CH861:CI861" si="1602">BH861+BJ861+BL861+BN861+BP861+BR861+BT861+BV861+BX861+BZ861+CB861+CD861+CF861</f>
        <v>0</v>
      </c>
      <c r="CI861" s="25">
        <f t="shared" si="1602"/>
        <v>37777500</v>
      </c>
      <c r="CJ861" s="26">
        <f t="shared" si="1526"/>
        <v>37777500</v>
      </c>
      <c r="CK861" s="26">
        <f t="shared" si="1527"/>
        <v>0</v>
      </c>
    </row>
    <row r="862" spans="1:89" ht="90" customHeight="1" x14ac:dyDescent="0.3">
      <c r="A862" s="13" t="s">
        <v>1891</v>
      </c>
      <c r="B862" s="14" t="s">
        <v>30</v>
      </c>
      <c r="C862" s="15" t="s">
        <v>258</v>
      </c>
      <c r="D862" s="14" t="s">
        <v>258</v>
      </c>
      <c r="E862" s="13" t="s">
        <v>250</v>
      </c>
      <c r="F862" s="13" t="s">
        <v>250</v>
      </c>
      <c r="G862" s="14">
        <v>68</v>
      </c>
      <c r="H862" s="13" t="s">
        <v>2192</v>
      </c>
      <c r="I862" s="15" t="s">
        <v>1893</v>
      </c>
      <c r="J862" s="14" t="s">
        <v>1893</v>
      </c>
      <c r="K862" s="15" t="s">
        <v>1893</v>
      </c>
      <c r="L862" s="14">
        <v>80111620</v>
      </c>
      <c r="M862" s="14" t="s">
        <v>2045</v>
      </c>
      <c r="N862" s="14" t="s">
        <v>253</v>
      </c>
      <c r="O862" s="15" t="s">
        <v>2193</v>
      </c>
      <c r="P862" s="14" t="s">
        <v>255</v>
      </c>
      <c r="Q862" s="14" t="s">
        <v>255</v>
      </c>
      <c r="R862" s="14" t="s">
        <v>255</v>
      </c>
      <c r="S862" s="17">
        <v>11.5</v>
      </c>
      <c r="T862" s="14" t="s">
        <v>256</v>
      </c>
      <c r="U862" s="14" t="s">
        <v>257</v>
      </c>
      <c r="V862" s="14" t="s">
        <v>112</v>
      </c>
      <c r="W862" s="18">
        <v>37777500</v>
      </c>
      <c r="X862" s="18">
        <v>37777500</v>
      </c>
      <c r="Y862" s="19" t="s">
        <v>339</v>
      </c>
      <c r="Z862" s="19" t="s">
        <v>258</v>
      </c>
      <c r="AA862" s="14" t="s">
        <v>971</v>
      </c>
      <c r="AB862" s="14" t="s">
        <v>972</v>
      </c>
      <c r="AC862" s="14">
        <v>6012220601</v>
      </c>
      <c r="AD862" s="14" t="s">
        <v>973</v>
      </c>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c r="BC862" s="82"/>
      <c r="BD862" s="82"/>
      <c r="BE862" s="83"/>
      <c r="BF862" s="83"/>
      <c r="BG862" s="14" t="str">
        <f ca="1">IFERROR(__xludf.DUMMYFUNCTION("REGEXEXTRACT(O856,""^\S+\s(.+)$"")"),"Prestar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62" s="24"/>
      <c r="BI862" s="24"/>
      <c r="BJ862" s="24"/>
      <c r="BK862" s="24">
        <v>1642500</v>
      </c>
      <c r="BL862" s="24"/>
      <c r="BM862" s="24">
        <v>3285000</v>
      </c>
      <c r="BN862" s="24"/>
      <c r="BO862" s="24">
        <v>3285000</v>
      </c>
      <c r="BP862" s="24"/>
      <c r="BQ862" s="24">
        <v>3285000</v>
      </c>
      <c r="BR862" s="24"/>
      <c r="BS862" s="24">
        <v>3285000</v>
      </c>
      <c r="BT862" s="24"/>
      <c r="BU862" s="24">
        <v>3285000</v>
      </c>
      <c r="BV862" s="24"/>
      <c r="BW862" s="24">
        <v>3285000</v>
      </c>
      <c r="BX862" s="24"/>
      <c r="BY862" s="24">
        <v>3285000</v>
      </c>
      <c r="BZ862" s="24"/>
      <c r="CA862" s="24">
        <v>3285000</v>
      </c>
      <c r="CB862" s="24"/>
      <c r="CC862" s="24">
        <v>3285000</v>
      </c>
      <c r="CD862" s="24"/>
      <c r="CE862" s="24">
        <v>6570000</v>
      </c>
      <c r="CF862" s="28"/>
      <c r="CG862" s="28"/>
      <c r="CH862" s="25">
        <f t="shared" ref="CH862:CI862" si="1603">BH862+BJ862+BL862+BN862+BP862+BR862+BT862+BV862+BX862+BZ862+CB862+CD862+CF862</f>
        <v>0</v>
      </c>
      <c r="CI862" s="25">
        <f t="shared" si="1603"/>
        <v>37777500</v>
      </c>
      <c r="CJ862" s="26">
        <f t="shared" si="1526"/>
        <v>37777500</v>
      </c>
      <c r="CK862" s="26">
        <f t="shared" si="1527"/>
        <v>0</v>
      </c>
    </row>
    <row r="863" spans="1:89" ht="90" customHeight="1" x14ac:dyDescent="0.3">
      <c r="A863" s="13" t="s">
        <v>1891</v>
      </c>
      <c r="B863" s="14" t="s">
        <v>30</v>
      </c>
      <c r="C863" s="15" t="s">
        <v>258</v>
      </c>
      <c r="D863" s="14" t="s">
        <v>258</v>
      </c>
      <c r="E863" s="13" t="s">
        <v>250</v>
      </c>
      <c r="F863" s="13" t="s">
        <v>250</v>
      </c>
      <c r="G863" s="14">
        <v>1</v>
      </c>
      <c r="H863" s="13" t="s">
        <v>2194</v>
      </c>
      <c r="I863" s="15" t="s">
        <v>1893</v>
      </c>
      <c r="J863" s="14" t="s">
        <v>1893</v>
      </c>
      <c r="K863" s="15" t="s">
        <v>1893</v>
      </c>
      <c r="L863" s="14">
        <v>80111620</v>
      </c>
      <c r="M863" s="14" t="s">
        <v>2045</v>
      </c>
      <c r="N863" s="14" t="s">
        <v>253</v>
      </c>
      <c r="O863" s="15" t="s">
        <v>2195</v>
      </c>
      <c r="P863" s="14" t="s">
        <v>255</v>
      </c>
      <c r="Q863" s="14" t="s">
        <v>255</v>
      </c>
      <c r="R863" s="14" t="s">
        <v>255</v>
      </c>
      <c r="S863" s="17">
        <v>11.5</v>
      </c>
      <c r="T863" s="14" t="s">
        <v>256</v>
      </c>
      <c r="U863" s="14" t="s">
        <v>257</v>
      </c>
      <c r="V863" s="14" t="s">
        <v>112</v>
      </c>
      <c r="W863" s="18">
        <v>57500000</v>
      </c>
      <c r="X863" s="18">
        <v>57500000</v>
      </c>
      <c r="Y863" s="19" t="s">
        <v>339</v>
      </c>
      <c r="Z863" s="19" t="s">
        <v>258</v>
      </c>
      <c r="AA863" s="14" t="s">
        <v>971</v>
      </c>
      <c r="AB863" s="14" t="s">
        <v>972</v>
      </c>
      <c r="AC863" s="14">
        <v>6012220601</v>
      </c>
      <c r="AD863" s="14" t="s">
        <v>973</v>
      </c>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c r="BC863" s="82"/>
      <c r="BD863" s="82"/>
      <c r="BE863" s="83"/>
      <c r="BF863" s="83"/>
      <c r="BG863" s="14" t="str">
        <f ca="1">IFERROR(__xludf.DUMMYFUNCTION("REGEXEXTRACT(O857,""^\S+\s(.+)$"")"),"Prestar servicios profesionales para apoyar la validación del cumplimiento en el envío correcto y completo de los requisitos exigidos por la normativa vigente para el acceso a incentivos tributarios en proyectos de Fuentes No Convencionales de Energía, Ge"&amp;"stión Eficiente de la Energía e Hidrógeno.")</f>
        <v>Prestar servicios profesionales para apoyar la validación del cumplimiento en el envío correcto y completo de los requisitos exigidos por la normativa vigente para el acceso a incentivos tributarios en proyectos de Fuentes No Convencionales de Energía, Gestión Eficiente de la Energía e Hidrógeno.</v>
      </c>
      <c r="BH863" s="24"/>
      <c r="BI863" s="24"/>
      <c r="BJ863" s="24"/>
      <c r="BK863" s="24">
        <v>2500000</v>
      </c>
      <c r="BL863" s="24"/>
      <c r="BM863" s="24">
        <v>5000000</v>
      </c>
      <c r="BN863" s="24"/>
      <c r="BO863" s="24">
        <v>5000000</v>
      </c>
      <c r="BP863" s="24"/>
      <c r="BQ863" s="24">
        <v>5000000</v>
      </c>
      <c r="BR863" s="24"/>
      <c r="BS863" s="24">
        <v>5000000</v>
      </c>
      <c r="BT863" s="24"/>
      <c r="BU863" s="24">
        <v>5000000</v>
      </c>
      <c r="BV863" s="24"/>
      <c r="BW863" s="24">
        <v>5000000</v>
      </c>
      <c r="BX863" s="24"/>
      <c r="BY863" s="24">
        <v>5000000</v>
      </c>
      <c r="BZ863" s="24"/>
      <c r="CA863" s="24">
        <v>5000000</v>
      </c>
      <c r="CB863" s="24"/>
      <c r="CC863" s="24">
        <v>5000000</v>
      </c>
      <c r="CD863" s="24"/>
      <c r="CE863" s="24">
        <v>10000000</v>
      </c>
      <c r="CF863" s="28"/>
      <c r="CG863" s="28"/>
      <c r="CH863" s="25">
        <f t="shared" ref="CH863:CI863" si="1604">BH863+BJ863+BL863+BN863+BP863+BR863+BT863+BV863+BX863+BZ863+CB863+CD863+CF863</f>
        <v>0</v>
      </c>
      <c r="CI863" s="25">
        <f t="shared" si="1604"/>
        <v>57500000</v>
      </c>
      <c r="CJ863" s="26">
        <f t="shared" si="1526"/>
        <v>57500000</v>
      </c>
      <c r="CK863" s="26">
        <f t="shared" si="1527"/>
        <v>0</v>
      </c>
    </row>
    <row r="864" spans="1:89" ht="90" customHeight="1" x14ac:dyDescent="0.3">
      <c r="A864" s="13" t="s">
        <v>1891</v>
      </c>
      <c r="B864" s="14" t="s">
        <v>30</v>
      </c>
      <c r="C864" s="15" t="s">
        <v>258</v>
      </c>
      <c r="D864" s="14" t="s">
        <v>258</v>
      </c>
      <c r="E864" s="13" t="s">
        <v>250</v>
      </c>
      <c r="F864" s="13" t="s">
        <v>250</v>
      </c>
      <c r="G864" s="14">
        <v>1</v>
      </c>
      <c r="H864" s="13" t="s">
        <v>2196</v>
      </c>
      <c r="I864" s="15" t="s">
        <v>1893</v>
      </c>
      <c r="J864" s="14" t="s">
        <v>1893</v>
      </c>
      <c r="K864" s="15" t="s">
        <v>1893</v>
      </c>
      <c r="L864" s="14">
        <v>80111620</v>
      </c>
      <c r="M864" s="14" t="s">
        <v>2045</v>
      </c>
      <c r="N864" s="14" t="s">
        <v>253</v>
      </c>
      <c r="O864" s="15" t="s">
        <v>2197</v>
      </c>
      <c r="P864" s="14" t="s">
        <v>255</v>
      </c>
      <c r="Q864" s="14" t="s">
        <v>255</v>
      </c>
      <c r="R864" s="14" t="s">
        <v>255</v>
      </c>
      <c r="S864" s="17">
        <v>11.5</v>
      </c>
      <c r="T864" s="14" t="s">
        <v>256</v>
      </c>
      <c r="U864" s="14" t="s">
        <v>257</v>
      </c>
      <c r="V864" s="14" t="s">
        <v>112</v>
      </c>
      <c r="W864" s="18">
        <v>69000000</v>
      </c>
      <c r="X864" s="18">
        <v>69000000</v>
      </c>
      <c r="Y864" s="19" t="s">
        <v>339</v>
      </c>
      <c r="Z864" s="19" t="s">
        <v>258</v>
      </c>
      <c r="AA864" s="14" t="s">
        <v>971</v>
      </c>
      <c r="AB864" s="14" t="s">
        <v>972</v>
      </c>
      <c r="AC864" s="14">
        <v>6012220601</v>
      </c>
      <c r="AD864" s="14" t="s">
        <v>973</v>
      </c>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c r="BC864" s="82"/>
      <c r="BD864" s="82"/>
      <c r="BE864" s="83"/>
      <c r="BF864" s="83"/>
      <c r="BG864" s="14" t="str">
        <f ca="1">IFERROR(__xludf.DUMMYFUNCTION("REGEXEXTRACT(O858,""^\S+\s(.+)$"")"),"Prestar servicios profesionales para realizar el análisis técnico y documental de los proyectos asociados a Fuentes No Convencionales de Energía y Gestión Eficiente de la Energía, mediante la evaluación integral de la información suministrada, la verifica"&amp;"ción del cumplimiento de los requisitos exigidos y la aplicación de los lineamientos normativos.")</f>
        <v>Prestar servicios profesionales para realizar el análisis técnico y documental de los proyectos asociados a Fuentes No Convencionales de Energía y Gestión Eficiente de la Energía, mediante la evaluación integral de la información suministrada, la verificación del cumplimiento de los requisitos exigidos y la aplicación de los lineamientos normativos.</v>
      </c>
      <c r="BH864" s="24"/>
      <c r="BI864" s="24"/>
      <c r="BJ864" s="24"/>
      <c r="BK864" s="24">
        <v>3000000</v>
      </c>
      <c r="BL864" s="24"/>
      <c r="BM864" s="24">
        <v>6000000</v>
      </c>
      <c r="BN864" s="24"/>
      <c r="BO864" s="24">
        <v>6000000</v>
      </c>
      <c r="BP864" s="24"/>
      <c r="BQ864" s="24">
        <v>6000000</v>
      </c>
      <c r="BR864" s="24"/>
      <c r="BS864" s="24">
        <v>6000000</v>
      </c>
      <c r="BT864" s="24"/>
      <c r="BU864" s="24">
        <v>6000000</v>
      </c>
      <c r="BV864" s="24"/>
      <c r="BW864" s="24">
        <v>6000000</v>
      </c>
      <c r="BX864" s="24"/>
      <c r="BY864" s="24">
        <v>6000000</v>
      </c>
      <c r="BZ864" s="24"/>
      <c r="CA864" s="24">
        <v>6000000</v>
      </c>
      <c r="CB864" s="24"/>
      <c r="CC864" s="24">
        <v>6000000</v>
      </c>
      <c r="CD864" s="24"/>
      <c r="CE864" s="24">
        <v>12000000</v>
      </c>
      <c r="CF864" s="28"/>
      <c r="CG864" s="28"/>
      <c r="CH864" s="25">
        <f t="shared" ref="CH864:CI864" si="1605">BH864+BJ864+BL864+BN864+BP864+BR864+BT864+BV864+BX864+BZ864+CB864+CD864+CF864</f>
        <v>0</v>
      </c>
      <c r="CI864" s="25">
        <f t="shared" si="1605"/>
        <v>69000000</v>
      </c>
      <c r="CJ864" s="26">
        <f t="shared" si="1526"/>
        <v>69000000</v>
      </c>
      <c r="CK864" s="26">
        <f t="shared" si="1527"/>
        <v>0</v>
      </c>
    </row>
    <row r="865" spans="1:89" ht="90" customHeight="1" x14ac:dyDescent="0.3">
      <c r="A865" s="13" t="s">
        <v>1891</v>
      </c>
      <c r="B865" s="14" t="s">
        <v>30</v>
      </c>
      <c r="C865" s="15" t="s">
        <v>258</v>
      </c>
      <c r="D865" s="14" t="s">
        <v>258</v>
      </c>
      <c r="E865" s="13" t="s">
        <v>250</v>
      </c>
      <c r="F865" s="13" t="s">
        <v>250</v>
      </c>
      <c r="G865" s="14">
        <v>1</v>
      </c>
      <c r="H865" s="13" t="s">
        <v>2198</v>
      </c>
      <c r="I865" s="15" t="s">
        <v>1893</v>
      </c>
      <c r="J865" s="14" t="s">
        <v>1893</v>
      </c>
      <c r="K865" s="15" t="s">
        <v>1893</v>
      </c>
      <c r="L865" s="14">
        <v>80111620</v>
      </c>
      <c r="M865" s="14" t="s">
        <v>2045</v>
      </c>
      <c r="N865" s="14" t="s">
        <v>253</v>
      </c>
      <c r="O865" s="15" t="s">
        <v>2199</v>
      </c>
      <c r="P865" s="14" t="s">
        <v>255</v>
      </c>
      <c r="Q865" s="14" t="s">
        <v>255</v>
      </c>
      <c r="R865" s="14" t="s">
        <v>255</v>
      </c>
      <c r="S865" s="17">
        <v>11.4</v>
      </c>
      <c r="T865" s="14" t="s">
        <v>256</v>
      </c>
      <c r="U865" s="14" t="s">
        <v>257</v>
      </c>
      <c r="V865" s="14" t="s">
        <v>112</v>
      </c>
      <c r="W865" s="18">
        <v>57000000</v>
      </c>
      <c r="X865" s="18">
        <v>57000000</v>
      </c>
      <c r="Y865" s="19" t="s">
        <v>339</v>
      </c>
      <c r="Z865" s="19" t="s">
        <v>258</v>
      </c>
      <c r="AA865" s="14" t="s">
        <v>971</v>
      </c>
      <c r="AB865" s="14" t="s">
        <v>972</v>
      </c>
      <c r="AC865" s="14">
        <v>6012220601</v>
      </c>
      <c r="AD865" s="14" t="s">
        <v>973</v>
      </c>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c r="BC865" s="82"/>
      <c r="BD865" s="82"/>
      <c r="BE865" s="83"/>
      <c r="BF865" s="83"/>
      <c r="BG865" s="14" t="str">
        <f ca="1">IFERROR(__xludf.DUMMYFUNCTION("REGEXEXTRACT(O859,""^\S+\s(.+)$"")"),"Prestar servicios profesionales para la evaluación y análisis integral de la información de los proyectos de Fuentes No Convencionales de Energía y de Gestión Eficiente de la Energía, aplicando metodologías de formulación, seguimiento y control de proyect"&amp;"os, con el fin de verificar el cumplimiento de requisitos técnicos y normativos, además de elaborar conceptos o informes técnicos que soporten la toma de decisiones en el trámite de incentivos tributarios.")</f>
        <v>Prestar servicios profesionales para la evaluación y análisis integral de la información de los proyectos de Fuentes No Convencionales de Energía y de Gestión Eficiente de la Energía, aplicando metodologías de formulación, seguimiento y control de proyectos, con el fin de verificar el cumplimiento de requisitos técnicos y normativos, además de elaborar conceptos o informes técnicos que soporten la toma de decisiones en el trámite de incentivos tributarios.</v>
      </c>
      <c r="BH865" s="24"/>
      <c r="BI865" s="24"/>
      <c r="BJ865" s="24"/>
      <c r="BK865" s="24">
        <v>2000000</v>
      </c>
      <c r="BL865" s="24"/>
      <c r="BM865" s="24">
        <v>5000000</v>
      </c>
      <c r="BN865" s="24"/>
      <c r="BO865" s="24">
        <v>5000000</v>
      </c>
      <c r="BP865" s="24"/>
      <c r="BQ865" s="24">
        <v>5000000</v>
      </c>
      <c r="BR865" s="24"/>
      <c r="BS865" s="24">
        <v>5000000</v>
      </c>
      <c r="BT865" s="24"/>
      <c r="BU865" s="24">
        <v>5000000</v>
      </c>
      <c r="BV865" s="24"/>
      <c r="BW865" s="24">
        <v>5000000</v>
      </c>
      <c r="BX865" s="24"/>
      <c r="BY865" s="24">
        <v>5000000</v>
      </c>
      <c r="BZ865" s="24"/>
      <c r="CA865" s="24">
        <v>5000000</v>
      </c>
      <c r="CB865" s="24"/>
      <c r="CC865" s="24">
        <v>5000000</v>
      </c>
      <c r="CD865" s="24"/>
      <c r="CE865" s="24">
        <v>10000000</v>
      </c>
      <c r="CF865" s="28"/>
      <c r="CG865" s="28"/>
      <c r="CH865" s="25">
        <f t="shared" ref="CH865:CI865" si="1606">BH865+BJ865+BL865+BN865+BP865+BR865+BT865+BV865+BX865+BZ865+CB865+CD865+CF865</f>
        <v>0</v>
      </c>
      <c r="CI865" s="25">
        <f t="shared" si="1606"/>
        <v>57000000</v>
      </c>
      <c r="CJ865" s="26">
        <f t="shared" si="1526"/>
        <v>57000000</v>
      </c>
      <c r="CK865" s="26">
        <f t="shared" si="1527"/>
        <v>0</v>
      </c>
    </row>
    <row r="866" spans="1:89" ht="90" customHeight="1" x14ac:dyDescent="0.3">
      <c r="A866" s="13" t="s">
        <v>1891</v>
      </c>
      <c r="B866" s="14" t="s">
        <v>30</v>
      </c>
      <c r="C866" s="15" t="s">
        <v>258</v>
      </c>
      <c r="D866" s="14" t="s">
        <v>258</v>
      </c>
      <c r="E866" s="13" t="s">
        <v>250</v>
      </c>
      <c r="F866" s="13" t="s">
        <v>250</v>
      </c>
      <c r="G866" s="14">
        <v>1</v>
      </c>
      <c r="H866" s="13" t="s">
        <v>2200</v>
      </c>
      <c r="I866" s="15" t="s">
        <v>1893</v>
      </c>
      <c r="J866" s="14" t="s">
        <v>1893</v>
      </c>
      <c r="K866" s="15" t="s">
        <v>1893</v>
      </c>
      <c r="L866" s="14">
        <v>80111620</v>
      </c>
      <c r="M866" s="14" t="s">
        <v>2045</v>
      </c>
      <c r="N866" s="14" t="s">
        <v>253</v>
      </c>
      <c r="O866" s="15" t="s">
        <v>2201</v>
      </c>
      <c r="P866" s="14" t="s">
        <v>255</v>
      </c>
      <c r="Q866" s="14" t="s">
        <v>255</v>
      </c>
      <c r="R866" s="14" t="s">
        <v>255</v>
      </c>
      <c r="S866" s="17">
        <v>11.4</v>
      </c>
      <c r="T866" s="14" t="s">
        <v>256</v>
      </c>
      <c r="U866" s="14" t="s">
        <v>257</v>
      </c>
      <c r="V866" s="14" t="s">
        <v>112</v>
      </c>
      <c r="W866" s="18">
        <v>57000000</v>
      </c>
      <c r="X866" s="18">
        <v>57000000</v>
      </c>
      <c r="Y866" s="19" t="s">
        <v>339</v>
      </c>
      <c r="Z866" s="19" t="s">
        <v>258</v>
      </c>
      <c r="AA866" s="14" t="s">
        <v>971</v>
      </c>
      <c r="AB866" s="14" t="s">
        <v>972</v>
      </c>
      <c r="AC866" s="14">
        <v>6012220601</v>
      </c>
      <c r="AD866" s="14" t="s">
        <v>973</v>
      </c>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c r="BC866" s="82"/>
      <c r="BD866" s="82"/>
      <c r="BE866" s="83"/>
      <c r="BF866" s="83"/>
      <c r="BG866" s="14" t="str">
        <f ca="1">IFERROR(__xludf.DUMMYFUNCTION("REGEXEXTRACT(O860,""^\S+\s(.+)$"")"),"Prestar servicios profesionales para el diseño y desarrollo de los temarios y contenidos técnicos orientados a la elaboración de cursos y/o módulos de aprendizaje relacionados con la capacitación de Gestores Energéticos en el uso racional y eficiente de l"&amp;"a energía.")</f>
        <v>Prestar servicios profesionales para el diseño y desarrollo de los temarios y contenidos técnicos orientados a la elaboración de cursos y/o módulos de aprendizaje relacionados con la capacitación de Gestores Energéticos en el uso racional y eficiente de la energía.</v>
      </c>
      <c r="BH866" s="24"/>
      <c r="BI866" s="24"/>
      <c r="BJ866" s="24"/>
      <c r="BK866" s="24">
        <v>2000000</v>
      </c>
      <c r="BL866" s="24"/>
      <c r="BM866" s="24">
        <v>5000000</v>
      </c>
      <c r="BN866" s="24"/>
      <c r="BO866" s="24">
        <v>5000000</v>
      </c>
      <c r="BP866" s="24"/>
      <c r="BQ866" s="24">
        <v>5000000</v>
      </c>
      <c r="BR866" s="24"/>
      <c r="BS866" s="24">
        <v>5000000</v>
      </c>
      <c r="BT866" s="24"/>
      <c r="BU866" s="24">
        <v>5000000</v>
      </c>
      <c r="BV866" s="24"/>
      <c r="BW866" s="24">
        <v>5000000</v>
      </c>
      <c r="BX866" s="24"/>
      <c r="BY866" s="24">
        <v>5000000</v>
      </c>
      <c r="BZ866" s="24"/>
      <c r="CA866" s="24">
        <v>5000000</v>
      </c>
      <c r="CB866" s="24"/>
      <c r="CC866" s="24">
        <v>5000000</v>
      </c>
      <c r="CD866" s="24"/>
      <c r="CE866" s="24">
        <v>10000000</v>
      </c>
      <c r="CF866" s="28"/>
      <c r="CG866" s="28"/>
      <c r="CH866" s="25">
        <f t="shared" ref="CH866:CI866" si="1607">BH866+BJ866+BL866+BN866+BP866+BR866+BT866+BV866+BX866+BZ866+CB866+CD866+CF866</f>
        <v>0</v>
      </c>
      <c r="CI866" s="25">
        <f t="shared" si="1607"/>
        <v>57000000</v>
      </c>
      <c r="CJ866" s="26">
        <f t="shared" si="1526"/>
        <v>57000000</v>
      </c>
      <c r="CK866" s="26">
        <f t="shared" si="1527"/>
        <v>0</v>
      </c>
    </row>
    <row r="867" spans="1:89" ht="90" customHeight="1" x14ac:dyDescent="0.3">
      <c r="A867" s="13" t="s">
        <v>1891</v>
      </c>
      <c r="B867" s="14" t="s">
        <v>30</v>
      </c>
      <c r="C867" s="15" t="s">
        <v>258</v>
      </c>
      <c r="D867" s="14" t="s">
        <v>258</v>
      </c>
      <c r="E867" s="13" t="s">
        <v>250</v>
      </c>
      <c r="F867" s="13" t="s">
        <v>250</v>
      </c>
      <c r="G867" s="14">
        <v>1</v>
      </c>
      <c r="H867" s="13" t="s">
        <v>2202</v>
      </c>
      <c r="I867" s="15" t="s">
        <v>1893</v>
      </c>
      <c r="J867" s="14" t="s">
        <v>1893</v>
      </c>
      <c r="K867" s="15" t="s">
        <v>1893</v>
      </c>
      <c r="L867" s="14">
        <v>80111620</v>
      </c>
      <c r="M867" s="14" t="s">
        <v>2042</v>
      </c>
      <c r="N867" s="14" t="s">
        <v>253</v>
      </c>
      <c r="O867" s="15" t="s">
        <v>2203</v>
      </c>
      <c r="P867" s="14" t="s">
        <v>255</v>
      </c>
      <c r="Q867" s="14" t="s">
        <v>255</v>
      </c>
      <c r="R867" s="14" t="s">
        <v>255</v>
      </c>
      <c r="S867" s="17">
        <v>5</v>
      </c>
      <c r="T867" s="14" t="s">
        <v>256</v>
      </c>
      <c r="U867" s="14" t="s">
        <v>257</v>
      </c>
      <c r="V867" s="14" t="s">
        <v>112</v>
      </c>
      <c r="W867" s="18">
        <v>33500000</v>
      </c>
      <c r="X867" s="18">
        <v>33500000</v>
      </c>
      <c r="Y867" s="19" t="s">
        <v>339</v>
      </c>
      <c r="Z867" s="19" t="s">
        <v>258</v>
      </c>
      <c r="AA867" s="14" t="s">
        <v>971</v>
      </c>
      <c r="AB867" s="14" t="s">
        <v>972</v>
      </c>
      <c r="AC867" s="14">
        <v>6012220601</v>
      </c>
      <c r="AD867" s="14" t="s">
        <v>973</v>
      </c>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c r="BC867" s="82"/>
      <c r="BD867" s="82"/>
      <c r="BE867" s="83"/>
      <c r="BF867" s="83"/>
      <c r="BG867" s="14" t="str">
        <f ca="1">IFERROR(__xludf.DUMMYFUNCTION("REGEXEXTRACT(O861,""^\S+\s(.+)$"")"),"Prestar servicios profesionales para la gestión jurídica relacionada con la sustanciación de los recursos de reposición y acciones de tutela contra las decisiones adoptadas en el trámite de incentivos tributarios, asi como apoyar las actualizaciones norma"&amp;"tivas y juridicas requeridas dentro de la Subdirección de Demanda.")</f>
        <v>Prestar servicios profesionales para la gestión jurídica relacionada con la sustanciación de los recursos de reposición y acciones de tutela contra las decisiones adoptadas en el trámite de incentivos tributarios, asi como apoyar las actualizaciones normativas y juridicas requeridas dentro de la Subdirección de Demanda.</v>
      </c>
      <c r="BH867" s="24"/>
      <c r="BI867" s="24"/>
      <c r="BJ867" s="24"/>
      <c r="BK867" s="24">
        <v>-40200000</v>
      </c>
      <c r="BL867" s="24"/>
      <c r="BM867" s="24">
        <v>6700000</v>
      </c>
      <c r="BN867" s="24"/>
      <c r="BO867" s="24">
        <v>6700000</v>
      </c>
      <c r="BP867" s="24"/>
      <c r="BQ867" s="24">
        <v>6700000</v>
      </c>
      <c r="BR867" s="24"/>
      <c r="BS867" s="24">
        <v>6700000</v>
      </c>
      <c r="BT867" s="24"/>
      <c r="BU867" s="24">
        <v>6700000</v>
      </c>
      <c r="BV867" s="24"/>
      <c r="BW867" s="24">
        <v>6700000</v>
      </c>
      <c r="BX867" s="24"/>
      <c r="BY867" s="24">
        <v>6700000</v>
      </c>
      <c r="BZ867" s="24"/>
      <c r="CA867" s="24">
        <v>6700000</v>
      </c>
      <c r="CB867" s="24"/>
      <c r="CC867" s="24">
        <v>6700000</v>
      </c>
      <c r="CD867" s="24"/>
      <c r="CE867" s="24">
        <v>13400000</v>
      </c>
      <c r="CF867" s="28"/>
      <c r="CG867" s="28"/>
      <c r="CH867" s="25">
        <f t="shared" ref="CH867:CI867" si="1608">BH867+BJ867+BL867+BN867+BP867+BR867+BT867+BV867+BX867+BZ867+CB867+CD867+CF867</f>
        <v>0</v>
      </c>
      <c r="CI867" s="25">
        <f t="shared" si="1608"/>
        <v>33500000</v>
      </c>
      <c r="CJ867" s="26">
        <f t="shared" si="1526"/>
        <v>33500000</v>
      </c>
      <c r="CK867" s="26">
        <f t="shared" si="1527"/>
        <v>0</v>
      </c>
    </row>
    <row r="868" spans="1:89" ht="90" customHeight="1" x14ac:dyDescent="0.3">
      <c r="A868" s="13" t="s">
        <v>1891</v>
      </c>
      <c r="B868" s="14" t="s">
        <v>30</v>
      </c>
      <c r="C868" s="15" t="s">
        <v>258</v>
      </c>
      <c r="D868" s="14" t="s">
        <v>258</v>
      </c>
      <c r="E868" s="13" t="s">
        <v>250</v>
      </c>
      <c r="F868" s="13" t="s">
        <v>250</v>
      </c>
      <c r="G868" s="14">
        <v>1</v>
      </c>
      <c r="H868" s="13" t="s">
        <v>2204</v>
      </c>
      <c r="I868" s="15" t="s">
        <v>1893</v>
      </c>
      <c r="J868" s="14" t="s">
        <v>1893</v>
      </c>
      <c r="K868" s="15" t="s">
        <v>1893</v>
      </c>
      <c r="L868" s="14">
        <v>80111620</v>
      </c>
      <c r="M868" s="14" t="s">
        <v>2042</v>
      </c>
      <c r="N868" s="14" t="s">
        <v>253</v>
      </c>
      <c r="O868" s="15" t="s">
        <v>2205</v>
      </c>
      <c r="P868" s="14" t="s">
        <v>255</v>
      </c>
      <c r="Q868" s="14" t="s">
        <v>255</v>
      </c>
      <c r="R868" s="14" t="s">
        <v>255</v>
      </c>
      <c r="S868" s="17">
        <v>5</v>
      </c>
      <c r="T868" s="14" t="s">
        <v>256</v>
      </c>
      <c r="U868" s="14" t="s">
        <v>257</v>
      </c>
      <c r="V868" s="14" t="s">
        <v>112</v>
      </c>
      <c r="W868" s="18">
        <v>45000000</v>
      </c>
      <c r="X868" s="18">
        <v>45000000</v>
      </c>
      <c r="Y868" s="19" t="s">
        <v>339</v>
      </c>
      <c r="Z868" s="19" t="s">
        <v>258</v>
      </c>
      <c r="AA868" s="14" t="s">
        <v>971</v>
      </c>
      <c r="AB868" s="14" t="s">
        <v>972</v>
      </c>
      <c r="AC868" s="14">
        <v>6012220601</v>
      </c>
      <c r="AD868" s="14" t="s">
        <v>973</v>
      </c>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c r="BC868" s="82"/>
      <c r="BD868" s="82"/>
      <c r="BE868" s="83"/>
      <c r="BF868" s="83"/>
      <c r="BG868" s="14" t="str">
        <f ca="1">IFERROR(__xludf.DUMMYFUNCTION("REGEXEXTRACT(O862,""^\S+\s(.+)$"")"),"Prestar servicios profesionales para ejecutar y articular la gestión jurídica del equipo encargado de la sustanciación de los recursos de reposición y acciones de tutela interpuestas contra las decisiones adoptadas en el trámite de incentivos tributarios,"&amp;" asi como apoyar las actualizaciones normativas del proceso.")</f>
        <v>Prestar servicios profesionales para ejecutar y articular la gestión jurídica del equipo encargado de la sustanciación de los recursos de reposición y acciones de tutela interpuestas contra las decisiones adoptadas en el trámite de incentivos tributarios, asi como apoyar las actualizaciones normativas del proceso.</v>
      </c>
      <c r="BH868" s="24"/>
      <c r="BI868" s="24"/>
      <c r="BJ868" s="24"/>
      <c r="BK868" s="24">
        <v>-54000000</v>
      </c>
      <c r="BL868" s="24"/>
      <c r="BM868" s="24">
        <v>9000000</v>
      </c>
      <c r="BN868" s="24"/>
      <c r="BO868" s="24">
        <v>9000000</v>
      </c>
      <c r="BP868" s="24"/>
      <c r="BQ868" s="24">
        <v>9000000</v>
      </c>
      <c r="BR868" s="24"/>
      <c r="BS868" s="24">
        <v>9000000</v>
      </c>
      <c r="BT868" s="24"/>
      <c r="BU868" s="24">
        <v>9000000</v>
      </c>
      <c r="BV868" s="24"/>
      <c r="BW868" s="24">
        <v>9000000</v>
      </c>
      <c r="BX868" s="24"/>
      <c r="BY868" s="24">
        <v>9000000</v>
      </c>
      <c r="BZ868" s="24"/>
      <c r="CA868" s="24">
        <v>9000000</v>
      </c>
      <c r="CB868" s="24"/>
      <c r="CC868" s="24">
        <v>9000000</v>
      </c>
      <c r="CD868" s="24"/>
      <c r="CE868" s="24">
        <v>18000000</v>
      </c>
      <c r="CF868" s="28"/>
      <c r="CG868" s="28"/>
      <c r="CH868" s="25">
        <f t="shared" ref="CH868:CI868" si="1609">BH868+BJ868+BL868+BN868+BP868+BR868+BT868+BV868+BX868+BZ868+CB868+CD868+CF868</f>
        <v>0</v>
      </c>
      <c r="CI868" s="25">
        <f t="shared" si="1609"/>
        <v>45000000</v>
      </c>
      <c r="CJ868" s="26">
        <f t="shared" si="1526"/>
        <v>45000000</v>
      </c>
      <c r="CK868" s="26">
        <f t="shared" si="1527"/>
        <v>0</v>
      </c>
    </row>
    <row r="869" spans="1:89" ht="90" customHeight="1" x14ac:dyDescent="0.3">
      <c r="A869" s="13" t="s">
        <v>1891</v>
      </c>
      <c r="B869" s="14" t="s">
        <v>30</v>
      </c>
      <c r="C869" s="15" t="s">
        <v>258</v>
      </c>
      <c r="D869" s="14" t="s">
        <v>258</v>
      </c>
      <c r="E869" s="13" t="s">
        <v>250</v>
      </c>
      <c r="F869" s="13" t="s">
        <v>250</v>
      </c>
      <c r="G869" s="14">
        <v>4</v>
      </c>
      <c r="H869" s="13" t="s">
        <v>2206</v>
      </c>
      <c r="I869" s="15" t="s">
        <v>1893</v>
      </c>
      <c r="J869" s="14" t="s">
        <v>1893</v>
      </c>
      <c r="K869" s="15" t="s">
        <v>1893</v>
      </c>
      <c r="L869" s="14">
        <v>80111620</v>
      </c>
      <c r="M869" s="14" t="s">
        <v>2045</v>
      </c>
      <c r="N869" s="14" t="s">
        <v>253</v>
      </c>
      <c r="O869" s="15" t="s">
        <v>2207</v>
      </c>
      <c r="P869" s="14" t="s">
        <v>255</v>
      </c>
      <c r="Q869" s="14" t="s">
        <v>255</v>
      </c>
      <c r="R869" s="14" t="s">
        <v>255</v>
      </c>
      <c r="S869" s="17">
        <v>11.3</v>
      </c>
      <c r="T869" s="14" t="s">
        <v>256</v>
      </c>
      <c r="U869" s="14" t="s">
        <v>257</v>
      </c>
      <c r="V869" s="14" t="s">
        <v>112</v>
      </c>
      <c r="W869" s="18">
        <v>37120500</v>
      </c>
      <c r="X869" s="18">
        <v>37120500</v>
      </c>
      <c r="Y869" s="19" t="s">
        <v>339</v>
      </c>
      <c r="Z869" s="19" t="s">
        <v>258</v>
      </c>
      <c r="AA869" s="14" t="s">
        <v>971</v>
      </c>
      <c r="AB869" s="14" t="s">
        <v>972</v>
      </c>
      <c r="AC869" s="14">
        <v>6012220601</v>
      </c>
      <c r="AD869" s="14" t="s">
        <v>973</v>
      </c>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c r="BC869" s="82"/>
      <c r="BD869" s="82"/>
      <c r="BE869" s="83"/>
      <c r="BF869" s="83"/>
      <c r="BG869" s="14" t="str">
        <f ca="1">IFERROR(__xludf.DUMMYFUNCTION("REGEXEXTRACT(O863,""^\S+\s(.+)$"")"),"Prestar servicios profesionales para la evaluación técnica y revisión de proyectos de Fuentes No Convencionales de Energía, Gestión Eficiente de la Energía e Hidrógeno, incluyendo la validación de información y la aplicación de criterios técnicos y metodo"&amp;"lógicos de acuerdo a la normatividad vigente. ")</f>
        <v xml:space="preserve">Prestar servicios profesionales para la evaluación técnica y revisión de proyectos de Fuentes No Convencionales de Energía, Gestión Eficiente de la Energía e Hidrógeno, incluyendo la validación de información y la aplicación de criterios técnicos y metodológicos de acuerdo a la normatividad vigente. </v>
      </c>
      <c r="BH869" s="24"/>
      <c r="BI869" s="24"/>
      <c r="BJ869" s="24"/>
      <c r="BK869" s="24">
        <v>985500</v>
      </c>
      <c r="BL869" s="24"/>
      <c r="BM869" s="24">
        <v>3285000</v>
      </c>
      <c r="BN869" s="24"/>
      <c r="BO869" s="24">
        <v>3285000</v>
      </c>
      <c r="BP869" s="24"/>
      <c r="BQ869" s="24">
        <v>3285000</v>
      </c>
      <c r="BR869" s="24"/>
      <c r="BS869" s="24">
        <v>3285000</v>
      </c>
      <c r="BT869" s="24"/>
      <c r="BU869" s="24">
        <v>3285000</v>
      </c>
      <c r="BV869" s="24"/>
      <c r="BW869" s="24">
        <v>3285000</v>
      </c>
      <c r="BX869" s="24"/>
      <c r="BY869" s="24">
        <v>3285000</v>
      </c>
      <c r="BZ869" s="24"/>
      <c r="CA869" s="24">
        <v>3285000</v>
      </c>
      <c r="CB869" s="24"/>
      <c r="CC869" s="24">
        <v>3285000</v>
      </c>
      <c r="CD869" s="24"/>
      <c r="CE869" s="24">
        <v>6570000</v>
      </c>
      <c r="CF869" s="28"/>
      <c r="CG869" s="28"/>
      <c r="CH869" s="25">
        <f t="shared" ref="CH869:CI869" si="1610">BH869+BJ869+BL869+BN869+BP869+BR869+BT869+BV869+BX869+BZ869+CB869+CD869+CF869</f>
        <v>0</v>
      </c>
      <c r="CI869" s="25">
        <f t="shared" si="1610"/>
        <v>37120500</v>
      </c>
      <c r="CJ869" s="26">
        <f t="shared" si="1526"/>
        <v>37120500</v>
      </c>
      <c r="CK869" s="26">
        <f t="shared" si="1527"/>
        <v>0</v>
      </c>
    </row>
    <row r="870" spans="1:89" ht="90" customHeight="1" x14ac:dyDescent="0.3">
      <c r="A870" s="13" t="s">
        <v>1891</v>
      </c>
      <c r="B870" s="14" t="s">
        <v>30</v>
      </c>
      <c r="C870" s="15" t="s">
        <v>258</v>
      </c>
      <c r="D870" s="14" t="s">
        <v>258</v>
      </c>
      <c r="E870" s="13" t="s">
        <v>250</v>
      </c>
      <c r="F870" s="13" t="s">
        <v>250</v>
      </c>
      <c r="G870" s="14">
        <v>68</v>
      </c>
      <c r="H870" s="13" t="s">
        <v>2208</v>
      </c>
      <c r="I870" s="15" t="s">
        <v>1893</v>
      </c>
      <c r="J870" s="14" t="s">
        <v>1893</v>
      </c>
      <c r="K870" s="15" t="s">
        <v>1893</v>
      </c>
      <c r="L870" s="14">
        <v>80111620</v>
      </c>
      <c r="M870" s="14" t="s">
        <v>2045</v>
      </c>
      <c r="N870" s="14" t="s">
        <v>253</v>
      </c>
      <c r="O870" s="15" t="s">
        <v>2209</v>
      </c>
      <c r="P870" s="14" t="s">
        <v>255</v>
      </c>
      <c r="Q870" s="14" t="s">
        <v>255</v>
      </c>
      <c r="R870" s="14" t="s">
        <v>255</v>
      </c>
      <c r="S870" s="17">
        <v>11.5</v>
      </c>
      <c r="T870" s="14" t="s">
        <v>256</v>
      </c>
      <c r="U870" s="14" t="s">
        <v>257</v>
      </c>
      <c r="V870" s="14" t="s">
        <v>112</v>
      </c>
      <c r="W870" s="18">
        <v>28750000</v>
      </c>
      <c r="X870" s="18">
        <v>28750000</v>
      </c>
      <c r="Y870" s="19" t="s">
        <v>339</v>
      </c>
      <c r="Z870" s="19" t="s">
        <v>258</v>
      </c>
      <c r="AA870" s="14" t="s">
        <v>971</v>
      </c>
      <c r="AB870" s="14" t="s">
        <v>972</v>
      </c>
      <c r="AC870" s="14">
        <v>6012220601</v>
      </c>
      <c r="AD870" s="14" t="s">
        <v>973</v>
      </c>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c r="BC870" s="82"/>
      <c r="BD870" s="82"/>
      <c r="BE870" s="83"/>
      <c r="BF870" s="83"/>
      <c r="BG870" s="14" t="str">
        <f ca="1">IFERROR(__xludf.DUMMYFUNCTION("REGEXEXTRACT(O864,""^\S+\s(.+)$"")"),"Prestar servicios de apoyo administrativo a la Subdirección de Demanda, incluyendo el análisis de información y documentos de sus procesos, la gestión de trámites y pagos, y la ejecución de actividades necesarias para cumplir las metas operativas, conform"&amp;"e a los lineamientos institucionales.")</f>
        <v>Prestar servicios de apoyo administrativo a la Subdirección de Demanda, incluyendo el análisis de información y documentos de sus procesos, la gestión de trámites y pagos, y la ejecución de actividades necesarias para cumplir las metas operativas, conforme a los lineamientos institucionales.</v>
      </c>
      <c r="BH870" s="24"/>
      <c r="BI870" s="24"/>
      <c r="BJ870" s="24"/>
      <c r="BK870" s="24">
        <v>1250000</v>
      </c>
      <c r="BL870" s="24"/>
      <c r="BM870" s="24">
        <v>2500000</v>
      </c>
      <c r="BN870" s="24"/>
      <c r="BO870" s="24">
        <v>2500000</v>
      </c>
      <c r="BP870" s="24"/>
      <c r="BQ870" s="24">
        <v>2500000</v>
      </c>
      <c r="BR870" s="24"/>
      <c r="BS870" s="24">
        <v>2500000</v>
      </c>
      <c r="BT870" s="24"/>
      <c r="BU870" s="24">
        <v>2500000</v>
      </c>
      <c r="BV870" s="24"/>
      <c r="BW870" s="24">
        <v>2500000</v>
      </c>
      <c r="BX870" s="24"/>
      <c r="BY870" s="24">
        <v>2500000</v>
      </c>
      <c r="BZ870" s="24"/>
      <c r="CA870" s="24">
        <v>2500000</v>
      </c>
      <c r="CB870" s="24"/>
      <c r="CC870" s="24">
        <v>2500000</v>
      </c>
      <c r="CD870" s="24"/>
      <c r="CE870" s="24">
        <v>5000000</v>
      </c>
      <c r="CF870" s="28"/>
      <c r="CG870" s="28"/>
      <c r="CH870" s="25">
        <f t="shared" ref="CH870:CI870" si="1611">BH870+BJ870+BL870+BN870+BP870+BR870+BT870+BV870+BX870+BZ870+CB870+CD870+CF870</f>
        <v>0</v>
      </c>
      <c r="CI870" s="25">
        <f t="shared" si="1611"/>
        <v>28750000</v>
      </c>
      <c r="CJ870" s="26">
        <f t="shared" si="1526"/>
        <v>28750000</v>
      </c>
      <c r="CK870" s="26">
        <f t="shared" si="1527"/>
        <v>0</v>
      </c>
    </row>
    <row r="871" spans="1:89" ht="90" customHeight="1" x14ac:dyDescent="0.3">
      <c r="A871" s="13" t="s">
        <v>1891</v>
      </c>
      <c r="B871" s="14" t="s">
        <v>30</v>
      </c>
      <c r="C871" s="15" t="s">
        <v>258</v>
      </c>
      <c r="D871" s="14" t="s">
        <v>258</v>
      </c>
      <c r="E871" s="13" t="s">
        <v>250</v>
      </c>
      <c r="F871" s="13" t="s">
        <v>250</v>
      </c>
      <c r="G871" s="14">
        <v>4</v>
      </c>
      <c r="H871" s="13" t="s">
        <v>2210</v>
      </c>
      <c r="I871" s="15" t="s">
        <v>1893</v>
      </c>
      <c r="J871" s="14" t="s">
        <v>1893</v>
      </c>
      <c r="K871" s="15" t="s">
        <v>1893</v>
      </c>
      <c r="L871" s="14">
        <v>80111620</v>
      </c>
      <c r="M871" s="14" t="s">
        <v>2042</v>
      </c>
      <c r="N871" s="14" t="s">
        <v>253</v>
      </c>
      <c r="O871" s="15" t="s">
        <v>2211</v>
      </c>
      <c r="P871" s="14" t="s">
        <v>255</v>
      </c>
      <c r="Q871" s="14" t="s">
        <v>255</v>
      </c>
      <c r="R871" s="14" t="s">
        <v>255</v>
      </c>
      <c r="S871" s="17">
        <v>11.3</v>
      </c>
      <c r="T871" s="14" t="s">
        <v>256</v>
      </c>
      <c r="U871" s="14" t="s">
        <v>257</v>
      </c>
      <c r="V871" s="14" t="s">
        <v>112</v>
      </c>
      <c r="W871" s="18">
        <v>38459000</v>
      </c>
      <c r="X871" s="18">
        <v>38459000</v>
      </c>
      <c r="Y871" s="19" t="s">
        <v>339</v>
      </c>
      <c r="Z871" s="19" t="s">
        <v>258</v>
      </c>
      <c r="AA871" s="14" t="s">
        <v>971</v>
      </c>
      <c r="AB871" s="14" t="s">
        <v>972</v>
      </c>
      <c r="AC871" s="14">
        <v>6012220601</v>
      </c>
      <c r="AD871" s="14" t="s">
        <v>973</v>
      </c>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c r="BC871" s="82"/>
      <c r="BD871" s="82"/>
      <c r="BE871" s="83"/>
      <c r="BF871" s="83"/>
      <c r="BG871" s="14" t="str">
        <f ca="1">IFERROR(__xludf.DUMMYFUNCTION("REGEXEXTRACT(O865,""^\S+\s(.+)$"")"),"Prestar servicios profesionales para el análisis, verificación y validación de la información presentada en solicitudes de incentivos tributarios asociadas a proyectos de Fuentes No Convencionales de Energía y Gestión Eficiente de la Energía, aplicando lo"&amp;"s criterios técnicos, normativos y metodológicos definidos por la UPME.")</f>
        <v>Prestar servicios profesionales para el análisis, verificación y validación de la información presentada en solicitudes de incentivos tributarios asociadas a proyectos de Fuentes No Convencionales de Energía y Gestión Eficiente de la Energía, aplicando los criterios técnicos, normativos y metodológicos definidos por la UPME.</v>
      </c>
      <c r="BH871" s="24"/>
      <c r="BI871" s="24"/>
      <c r="BJ871" s="24"/>
      <c r="BK871" s="24">
        <v>1021039</v>
      </c>
      <c r="BL871" s="24"/>
      <c r="BM871" s="24">
        <v>3403451</v>
      </c>
      <c r="BN871" s="24"/>
      <c r="BO871" s="24">
        <v>3403451</v>
      </c>
      <c r="BP871" s="24"/>
      <c r="BQ871" s="24">
        <v>3403451</v>
      </c>
      <c r="BR871" s="24"/>
      <c r="BS871" s="24">
        <v>3403451</v>
      </c>
      <c r="BT871" s="24"/>
      <c r="BU871" s="24">
        <v>3403451</v>
      </c>
      <c r="BV871" s="24"/>
      <c r="BW871" s="24">
        <v>3403451</v>
      </c>
      <c r="BX871" s="24"/>
      <c r="BY871" s="24">
        <v>3403451</v>
      </c>
      <c r="BZ871" s="24"/>
      <c r="CA871" s="24">
        <v>3403451</v>
      </c>
      <c r="CB871" s="24"/>
      <c r="CC871" s="24">
        <v>3403451</v>
      </c>
      <c r="CD871" s="24"/>
      <c r="CE871" s="24">
        <v>6806902</v>
      </c>
      <c r="CF871" s="28"/>
      <c r="CG871" s="28"/>
      <c r="CH871" s="25">
        <f t="shared" ref="CH871:CI871" si="1612">BH871+BJ871+BL871+BN871+BP871+BR871+BT871+BV871+BX871+BZ871+CB871+CD871+CF871</f>
        <v>0</v>
      </c>
      <c r="CI871" s="25">
        <f t="shared" si="1612"/>
        <v>38459000</v>
      </c>
      <c r="CJ871" s="26">
        <f t="shared" si="1526"/>
        <v>38459000</v>
      </c>
      <c r="CK871" s="26">
        <f t="shared" si="1527"/>
        <v>0</v>
      </c>
    </row>
    <row r="872" spans="1:89" ht="90" customHeight="1" x14ac:dyDescent="0.3">
      <c r="A872" s="13" t="s">
        <v>1891</v>
      </c>
      <c r="B872" s="14" t="s">
        <v>30</v>
      </c>
      <c r="C872" s="15" t="s">
        <v>258</v>
      </c>
      <c r="D872" s="14" t="s">
        <v>258</v>
      </c>
      <c r="E872" s="13" t="s">
        <v>250</v>
      </c>
      <c r="F872" s="13" t="s">
        <v>250</v>
      </c>
      <c r="G872" s="14">
        <v>68</v>
      </c>
      <c r="H872" s="13" t="s">
        <v>2212</v>
      </c>
      <c r="I872" s="15" t="s">
        <v>1893</v>
      </c>
      <c r="J872" s="14" t="s">
        <v>1893</v>
      </c>
      <c r="K872" s="15" t="s">
        <v>1893</v>
      </c>
      <c r="L872" s="14">
        <v>80111620</v>
      </c>
      <c r="M872" s="14" t="s">
        <v>2042</v>
      </c>
      <c r="N872" s="14" t="s">
        <v>253</v>
      </c>
      <c r="O872" s="15" t="s">
        <v>2213</v>
      </c>
      <c r="P872" s="14" t="s">
        <v>255</v>
      </c>
      <c r="Q872" s="14" t="s">
        <v>255</v>
      </c>
      <c r="R872" s="14" t="s">
        <v>255</v>
      </c>
      <c r="S872" s="17">
        <v>11.5</v>
      </c>
      <c r="T872" s="14" t="s">
        <v>256</v>
      </c>
      <c r="U872" s="14" t="s">
        <v>257</v>
      </c>
      <c r="V872" s="14" t="s">
        <v>112</v>
      </c>
      <c r="W872" s="18">
        <v>69000000</v>
      </c>
      <c r="X872" s="18">
        <v>69000000</v>
      </c>
      <c r="Y872" s="19" t="s">
        <v>339</v>
      </c>
      <c r="Z872" s="19" t="s">
        <v>258</v>
      </c>
      <c r="AA872" s="14" t="s">
        <v>971</v>
      </c>
      <c r="AB872" s="14" t="s">
        <v>972</v>
      </c>
      <c r="AC872" s="14">
        <v>6012220601</v>
      </c>
      <c r="AD872" s="14" t="s">
        <v>973</v>
      </c>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c r="BC872" s="82"/>
      <c r="BD872" s="82"/>
      <c r="BE872" s="83"/>
      <c r="BF872" s="83"/>
      <c r="BG872" s="14" t="str">
        <f ca="1">IFERROR(__xludf.DUMMYFUNCTION("REGEXEXTRACT(O866,""^\S+\s(.+)$"")"),"Prestar servicios profesionales para la gestión jurídica relacionada con la sustanciación de los recursos de reposición y acciones de tutela contra las decisiones adoptadas en el trámite de incentivos tributarios, asi como apoyar las actualizaciones norma"&amp;"tivas del proceso.")</f>
        <v>Prestar servicios profesionales para la gestión jurídica relacionada con la sustanciación de los recursos de reposición y acciones de tutela contra las decisiones adoptadas en el trámite de incentivos tributarios, asi como apoyar las actualizaciones normativas del proceso.</v>
      </c>
      <c r="BH872" s="24"/>
      <c r="BI872" s="24"/>
      <c r="BJ872" s="24"/>
      <c r="BK872" s="24">
        <v>3000000</v>
      </c>
      <c r="BL872" s="24"/>
      <c r="BM872" s="24">
        <v>6000000</v>
      </c>
      <c r="BN872" s="24"/>
      <c r="BO872" s="24">
        <v>6000000</v>
      </c>
      <c r="BP872" s="24"/>
      <c r="BQ872" s="24">
        <v>6000000</v>
      </c>
      <c r="BR872" s="24"/>
      <c r="BS872" s="24">
        <v>6000000</v>
      </c>
      <c r="BT872" s="24"/>
      <c r="BU872" s="24">
        <v>6000000</v>
      </c>
      <c r="BV872" s="24"/>
      <c r="BW872" s="24">
        <v>6000000</v>
      </c>
      <c r="BX872" s="24"/>
      <c r="BY872" s="24">
        <v>6000000</v>
      </c>
      <c r="BZ872" s="24"/>
      <c r="CA872" s="24">
        <v>6000000</v>
      </c>
      <c r="CB872" s="24"/>
      <c r="CC872" s="24">
        <v>6000000</v>
      </c>
      <c r="CD872" s="24"/>
      <c r="CE872" s="24">
        <v>12000000</v>
      </c>
      <c r="CF872" s="28"/>
      <c r="CG872" s="28"/>
      <c r="CH872" s="25">
        <f t="shared" ref="CH872:CI872" si="1613">BH872+BJ872+BL872+BN872+BP872+BR872+BT872+BV872+BX872+BZ872+CB872+CD872+CF872</f>
        <v>0</v>
      </c>
      <c r="CI872" s="25">
        <f t="shared" si="1613"/>
        <v>69000000</v>
      </c>
      <c r="CJ872" s="26">
        <f t="shared" si="1526"/>
        <v>69000000</v>
      </c>
      <c r="CK872" s="26">
        <f t="shared" si="1527"/>
        <v>0</v>
      </c>
    </row>
    <row r="873" spans="1:89" ht="90" customHeight="1" x14ac:dyDescent="0.3">
      <c r="A873" s="13" t="s">
        <v>1891</v>
      </c>
      <c r="B873" s="14" t="s">
        <v>30</v>
      </c>
      <c r="C873" s="15" t="s">
        <v>258</v>
      </c>
      <c r="D873" s="14" t="s">
        <v>258</v>
      </c>
      <c r="E873" s="13" t="s">
        <v>250</v>
      </c>
      <c r="F873" s="13" t="s">
        <v>250</v>
      </c>
      <c r="G873" s="14">
        <v>1</v>
      </c>
      <c r="H873" s="13" t="s">
        <v>2214</v>
      </c>
      <c r="I873" s="15" t="s">
        <v>1893</v>
      </c>
      <c r="J873" s="14" t="s">
        <v>1893</v>
      </c>
      <c r="K873" s="15" t="s">
        <v>1893</v>
      </c>
      <c r="L873" s="14">
        <v>80111620</v>
      </c>
      <c r="M873" s="14" t="s">
        <v>2042</v>
      </c>
      <c r="N873" s="14" t="s">
        <v>253</v>
      </c>
      <c r="O873" s="15" t="s">
        <v>2215</v>
      </c>
      <c r="P873" s="14" t="s">
        <v>255</v>
      </c>
      <c r="Q873" s="14" t="s">
        <v>255</v>
      </c>
      <c r="R873" s="14" t="s">
        <v>255</v>
      </c>
      <c r="S873" s="17">
        <v>11.4</v>
      </c>
      <c r="T873" s="14" t="s">
        <v>256</v>
      </c>
      <c r="U873" s="14" t="s">
        <v>257</v>
      </c>
      <c r="V873" s="14" t="s">
        <v>112</v>
      </c>
      <c r="W873" s="18">
        <v>91200000</v>
      </c>
      <c r="X873" s="18">
        <v>91200000</v>
      </c>
      <c r="Y873" s="19" t="s">
        <v>339</v>
      </c>
      <c r="Z873" s="19" t="s">
        <v>258</v>
      </c>
      <c r="AA873" s="14" t="s">
        <v>971</v>
      </c>
      <c r="AB873" s="14" t="s">
        <v>972</v>
      </c>
      <c r="AC873" s="14">
        <v>6012220601</v>
      </c>
      <c r="AD873" s="14" t="s">
        <v>973</v>
      </c>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c r="BC873" s="82"/>
      <c r="BD873" s="82"/>
      <c r="BE873" s="83"/>
      <c r="BF873" s="83"/>
      <c r="BG873" s="14" t="str">
        <f ca="1">IFERROR(__xludf.DUMMYFUNCTION("REGEXEXTRACT(O867,""^\S+\s(.+)$"")"),"Prestar servicios profesionales contables para asesorar y apoyar el análisis, interpretación y aplicación de los cambios normativos relacionados con el trámite de incentivos tributarios, incluyendo recomendaciones técnicas, revisión de criterios fiscales,"&amp;" información exógena e impacto en los contribuyentes.")</f>
        <v>Prestar servicios profesionales contables para asesorar y apoyar el análisis, interpretación y aplicación de los cambios normativos relacionados con el trámite de incentivos tributarios, incluyendo recomendaciones técnicas, revisión de criterios fiscales, información exógena e impacto en los contribuyentes.</v>
      </c>
      <c r="BH873" s="24"/>
      <c r="BI873" s="24"/>
      <c r="BJ873" s="24"/>
      <c r="BK873" s="24">
        <v>3200000</v>
      </c>
      <c r="BL873" s="24"/>
      <c r="BM873" s="24">
        <v>8000000</v>
      </c>
      <c r="BN873" s="24"/>
      <c r="BO873" s="24">
        <v>8000000</v>
      </c>
      <c r="BP873" s="24"/>
      <c r="BQ873" s="24">
        <v>8000000</v>
      </c>
      <c r="BR873" s="24"/>
      <c r="BS873" s="24">
        <v>8000000</v>
      </c>
      <c r="BT873" s="24"/>
      <c r="BU873" s="24">
        <v>8000000</v>
      </c>
      <c r="BV873" s="24"/>
      <c r="BW873" s="24">
        <v>8000000</v>
      </c>
      <c r="BX873" s="24"/>
      <c r="BY873" s="24">
        <v>8000000</v>
      </c>
      <c r="BZ873" s="24"/>
      <c r="CA873" s="24">
        <v>8000000</v>
      </c>
      <c r="CB873" s="24"/>
      <c r="CC873" s="24">
        <v>8000000</v>
      </c>
      <c r="CD873" s="24"/>
      <c r="CE873" s="24">
        <v>16000000</v>
      </c>
      <c r="CF873" s="28"/>
      <c r="CG873" s="28"/>
      <c r="CH873" s="25">
        <f t="shared" ref="CH873:CI873" si="1614">BH873+BJ873+BL873+BN873+BP873+BR873+BT873+BV873+BX873+BZ873+CB873+CD873+CF873</f>
        <v>0</v>
      </c>
      <c r="CI873" s="25">
        <f t="shared" si="1614"/>
        <v>91200000</v>
      </c>
      <c r="CJ873" s="26">
        <f t="shared" si="1526"/>
        <v>91200000</v>
      </c>
      <c r="CK873" s="26">
        <f t="shared" si="1527"/>
        <v>0</v>
      </c>
    </row>
    <row r="874" spans="1:89" ht="90" customHeight="1" x14ac:dyDescent="0.3">
      <c r="A874" s="13" t="s">
        <v>1891</v>
      </c>
      <c r="B874" s="14" t="s">
        <v>30</v>
      </c>
      <c r="C874" s="15" t="s">
        <v>258</v>
      </c>
      <c r="D874" s="14" t="s">
        <v>258</v>
      </c>
      <c r="E874" s="13" t="s">
        <v>250</v>
      </c>
      <c r="F874" s="13" t="s">
        <v>250</v>
      </c>
      <c r="G874" s="14">
        <v>1</v>
      </c>
      <c r="H874" s="13" t="s">
        <v>2216</v>
      </c>
      <c r="I874" s="15" t="s">
        <v>1893</v>
      </c>
      <c r="J874" s="14" t="s">
        <v>1893</v>
      </c>
      <c r="K874" s="15" t="s">
        <v>1893</v>
      </c>
      <c r="L874" s="14">
        <v>80111620</v>
      </c>
      <c r="M874" s="14" t="s">
        <v>2042</v>
      </c>
      <c r="N874" s="14" t="s">
        <v>253</v>
      </c>
      <c r="O874" s="15" t="s">
        <v>2217</v>
      </c>
      <c r="P874" s="14" t="s">
        <v>255</v>
      </c>
      <c r="Q874" s="14" t="s">
        <v>255</v>
      </c>
      <c r="R874" s="14" t="s">
        <v>255</v>
      </c>
      <c r="S874" s="17">
        <v>11.4</v>
      </c>
      <c r="T874" s="14" t="s">
        <v>256</v>
      </c>
      <c r="U874" s="14" t="s">
        <v>257</v>
      </c>
      <c r="V874" s="14" t="s">
        <v>112</v>
      </c>
      <c r="W874" s="18">
        <v>68400000</v>
      </c>
      <c r="X874" s="18">
        <v>68400000</v>
      </c>
      <c r="Y874" s="19" t="s">
        <v>339</v>
      </c>
      <c r="Z874" s="19" t="s">
        <v>258</v>
      </c>
      <c r="AA874" s="14" t="s">
        <v>971</v>
      </c>
      <c r="AB874" s="14" t="s">
        <v>972</v>
      </c>
      <c r="AC874" s="14">
        <v>6012220601</v>
      </c>
      <c r="AD874" s="14" t="s">
        <v>973</v>
      </c>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c r="BC874" s="82"/>
      <c r="BD874" s="82"/>
      <c r="BE874" s="83"/>
      <c r="BF874" s="83"/>
      <c r="BG874" s="14" t="str">
        <f ca="1">IFERROR(__xludf.DUMMYFUNCTION("REGEXEXTRACT(O868,""^\S+\s(.+)$"")"),"Prestar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74" s="24"/>
      <c r="BI874" s="24"/>
      <c r="BJ874" s="24"/>
      <c r="BK874" s="24">
        <v>2400000</v>
      </c>
      <c r="BL874" s="24"/>
      <c r="BM874" s="24">
        <v>6000000</v>
      </c>
      <c r="BN874" s="24"/>
      <c r="BO874" s="24">
        <v>6000000</v>
      </c>
      <c r="BP874" s="24"/>
      <c r="BQ874" s="24">
        <v>6000000</v>
      </c>
      <c r="BR874" s="24"/>
      <c r="BS874" s="24">
        <v>6000000</v>
      </c>
      <c r="BT874" s="24"/>
      <c r="BU874" s="24">
        <v>6000000</v>
      </c>
      <c r="BV874" s="24"/>
      <c r="BW874" s="24">
        <v>6000000</v>
      </c>
      <c r="BX874" s="24"/>
      <c r="BY874" s="24">
        <v>6000000</v>
      </c>
      <c r="BZ874" s="24"/>
      <c r="CA874" s="24">
        <v>6000000</v>
      </c>
      <c r="CB874" s="24"/>
      <c r="CC874" s="24">
        <v>6000000</v>
      </c>
      <c r="CD874" s="24"/>
      <c r="CE874" s="24">
        <v>12000000</v>
      </c>
      <c r="CF874" s="28"/>
      <c r="CG874" s="28"/>
      <c r="CH874" s="25">
        <f t="shared" ref="CH874:CI874" si="1615">BH874+BJ874+BL874+BN874+BP874+BR874+BT874+BV874+BX874+BZ874+CB874+CD874+CF874</f>
        <v>0</v>
      </c>
      <c r="CI874" s="25">
        <f t="shared" si="1615"/>
        <v>68400000</v>
      </c>
      <c r="CJ874" s="26">
        <f t="shared" si="1526"/>
        <v>68400000</v>
      </c>
      <c r="CK874" s="26">
        <f t="shared" si="1527"/>
        <v>0</v>
      </c>
    </row>
    <row r="875" spans="1:89" ht="90" customHeight="1" x14ac:dyDescent="0.3">
      <c r="A875" s="13" t="s">
        <v>1891</v>
      </c>
      <c r="B875" s="14" t="s">
        <v>30</v>
      </c>
      <c r="C875" s="15" t="s">
        <v>258</v>
      </c>
      <c r="D875" s="14" t="s">
        <v>258</v>
      </c>
      <c r="E875" s="13" t="s">
        <v>250</v>
      </c>
      <c r="F875" s="13" t="s">
        <v>250</v>
      </c>
      <c r="G875" s="14">
        <v>1</v>
      </c>
      <c r="H875" s="13" t="s">
        <v>2218</v>
      </c>
      <c r="I875" s="15" t="s">
        <v>1893</v>
      </c>
      <c r="J875" s="14" t="s">
        <v>1893</v>
      </c>
      <c r="K875" s="15" t="s">
        <v>1893</v>
      </c>
      <c r="L875" s="14">
        <v>80111620</v>
      </c>
      <c r="M875" s="14" t="s">
        <v>2042</v>
      </c>
      <c r="N875" s="14" t="s">
        <v>253</v>
      </c>
      <c r="O875" s="15" t="s">
        <v>2219</v>
      </c>
      <c r="P875" s="14" t="s">
        <v>255</v>
      </c>
      <c r="Q875" s="14" t="s">
        <v>255</v>
      </c>
      <c r="R875" s="14" t="s">
        <v>255</v>
      </c>
      <c r="S875" s="17">
        <v>11.4</v>
      </c>
      <c r="T875" s="14" t="s">
        <v>256</v>
      </c>
      <c r="U875" s="14" t="s">
        <v>257</v>
      </c>
      <c r="V875" s="14" t="s">
        <v>112</v>
      </c>
      <c r="W875" s="18">
        <v>68400000</v>
      </c>
      <c r="X875" s="18">
        <v>68400000</v>
      </c>
      <c r="Y875" s="19" t="s">
        <v>339</v>
      </c>
      <c r="Z875" s="19" t="s">
        <v>258</v>
      </c>
      <c r="AA875" s="14" t="s">
        <v>971</v>
      </c>
      <c r="AB875" s="14" t="s">
        <v>972</v>
      </c>
      <c r="AC875" s="14">
        <v>6012220601</v>
      </c>
      <c r="AD875" s="14" t="s">
        <v>973</v>
      </c>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c r="BC875" s="82"/>
      <c r="BD875" s="82"/>
      <c r="BE875" s="83"/>
      <c r="BF875" s="83"/>
      <c r="BG875" s="14" t="str">
        <f ca="1">IFERROR(__xludf.DUMMYFUNCTION("REGEXEXTRACT(O869,""^\S+\s(.+)$"")"),"Prestar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75" s="24"/>
      <c r="BI875" s="24"/>
      <c r="BJ875" s="24"/>
      <c r="BK875" s="24">
        <v>2400000</v>
      </c>
      <c r="BL875" s="24"/>
      <c r="BM875" s="24">
        <v>6000000</v>
      </c>
      <c r="BN875" s="24"/>
      <c r="BO875" s="24">
        <v>6000000</v>
      </c>
      <c r="BP875" s="24"/>
      <c r="BQ875" s="24">
        <v>6000000</v>
      </c>
      <c r="BR875" s="24"/>
      <c r="BS875" s="24">
        <v>6000000</v>
      </c>
      <c r="BT875" s="24"/>
      <c r="BU875" s="24">
        <v>6000000</v>
      </c>
      <c r="BV875" s="24"/>
      <c r="BW875" s="24">
        <v>6000000</v>
      </c>
      <c r="BX875" s="24"/>
      <c r="BY875" s="24">
        <v>6000000</v>
      </c>
      <c r="BZ875" s="24"/>
      <c r="CA875" s="24">
        <v>6000000</v>
      </c>
      <c r="CB875" s="24"/>
      <c r="CC875" s="24">
        <v>6000000</v>
      </c>
      <c r="CD875" s="24"/>
      <c r="CE875" s="24">
        <v>12000000</v>
      </c>
      <c r="CF875" s="28"/>
      <c r="CG875" s="28"/>
      <c r="CH875" s="25">
        <f t="shared" ref="CH875:CI875" si="1616">BH875+BJ875+BL875+BN875+BP875+BR875+BT875+BV875+BX875+BZ875+CB875+CD875+CF875</f>
        <v>0</v>
      </c>
      <c r="CI875" s="25">
        <f t="shared" si="1616"/>
        <v>68400000</v>
      </c>
      <c r="CJ875" s="26">
        <f t="shared" si="1526"/>
        <v>68400000</v>
      </c>
      <c r="CK875" s="26">
        <f t="shared" si="1527"/>
        <v>0</v>
      </c>
    </row>
    <row r="876" spans="1:89" ht="90" customHeight="1" x14ac:dyDescent="0.3">
      <c r="A876" s="13" t="s">
        <v>1891</v>
      </c>
      <c r="B876" s="14" t="s">
        <v>30</v>
      </c>
      <c r="C876" s="15" t="s">
        <v>258</v>
      </c>
      <c r="D876" s="14" t="s">
        <v>258</v>
      </c>
      <c r="E876" s="13" t="s">
        <v>250</v>
      </c>
      <c r="F876" s="13" t="s">
        <v>250</v>
      </c>
      <c r="G876" s="14">
        <v>5</v>
      </c>
      <c r="H876" s="13" t="s">
        <v>2220</v>
      </c>
      <c r="I876" s="15" t="s">
        <v>1893</v>
      </c>
      <c r="J876" s="14" t="s">
        <v>1893</v>
      </c>
      <c r="K876" s="15" t="s">
        <v>1893</v>
      </c>
      <c r="L876" s="14">
        <v>80111620</v>
      </c>
      <c r="M876" s="14" t="s">
        <v>2042</v>
      </c>
      <c r="N876" s="14" t="s">
        <v>253</v>
      </c>
      <c r="O876" s="15" t="s">
        <v>2221</v>
      </c>
      <c r="P876" s="14" t="s">
        <v>255</v>
      </c>
      <c r="Q876" s="14" t="s">
        <v>255</v>
      </c>
      <c r="R876" s="14" t="s">
        <v>255</v>
      </c>
      <c r="S876" s="17">
        <v>11.5</v>
      </c>
      <c r="T876" s="14" t="s">
        <v>256</v>
      </c>
      <c r="U876" s="14" t="s">
        <v>257</v>
      </c>
      <c r="V876" s="14" t="s">
        <v>112</v>
      </c>
      <c r="W876" s="18">
        <v>69000000</v>
      </c>
      <c r="X876" s="18">
        <v>69000000</v>
      </c>
      <c r="Y876" s="19" t="s">
        <v>339</v>
      </c>
      <c r="Z876" s="19" t="s">
        <v>258</v>
      </c>
      <c r="AA876" s="14" t="s">
        <v>971</v>
      </c>
      <c r="AB876" s="14" t="s">
        <v>972</v>
      </c>
      <c r="AC876" s="14">
        <v>6012220601</v>
      </c>
      <c r="AD876" s="14" t="s">
        <v>973</v>
      </c>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c r="BC876" s="82"/>
      <c r="BD876" s="82"/>
      <c r="BE876" s="83"/>
      <c r="BF876" s="83"/>
      <c r="BG876" s="14" t="str">
        <f ca="1">IFERROR(__xludf.DUMMYFUNCTION("REGEXEXTRACT(O870,""^\S+\s(.+)$"")"),"Prestar servicios profesionales para apoyar la gestión jurídica , mediante la sustanciación,  proyección de recursos, acciones de tutela , la elaboración de conceptos jurídicos y la atención de requerimientos judiciales y administrativos, verificando el c"&amp;"umplimiento del marco normativo y jurisprudencial vigente")</f>
        <v>Prestar servicios profesionales para apoyar la gestión jurídica , mediante la sustanciación,  proyección de recursos, acciones de tutela , la elaboración de conceptos jurídicos y la atención de requerimientos judiciales y administrativos, verificando el cumplimiento del marco normativo y jurisprudencial vigente</v>
      </c>
      <c r="BH876" s="24"/>
      <c r="BI876" s="24"/>
      <c r="BJ876" s="24"/>
      <c r="BK876" s="24">
        <v>3000000</v>
      </c>
      <c r="BL876" s="24"/>
      <c r="BM876" s="24">
        <v>6000000</v>
      </c>
      <c r="BN876" s="24"/>
      <c r="BO876" s="24">
        <v>6000000</v>
      </c>
      <c r="BP876" s="24"/>
      <c r="BQ876" s="24">
        <v>6000000</v>
      </c>
      <c r="BR876" s="24"/>
      <c r="BS876" s="24">
        <v>6000000</v>
      </c>
      <c r="BT876" s="24"/>
      <c r="BU876" s="24">
        <v>6000000</v>
      </c>
      <c r="BV876" s="24"/>
      <c r="BW876" s="24">
        <v>6000000</v>
      </c>
      <c r="BX876" s="24"/>
      <c r="BY876" s="24">
        <v>6000000</v>
      </c>
      <c r="BZ876" s="24"/>
      <c r="CA876" s="24">
        <v>6000000</v>
      </c>
      <c r="CB876" s="24"/>
      <c r="CC876" s="24">
        <v>6000000</v>
      </c>
      <c r="CD876" s="24"/>
      <c r="CE876" s="24">
        <v>12000000</v>
      </c>
      <c r="CF876" s="28"/>
      <c r="CG876" s="28"/>
      <c r="CH876" s="25">
        <f t="shared" ref="CH876:CI876" si="1617">BH876+BJ876+BL876+BN876+BP876+BR876+BT876+BV876+BX876+BZ876+CB876+CD876+CF876</f>
        <v>0</v>
      </c>
      <c r="CI876" s="25">
        <f t="shared" si="1617"/>
        <v>69000000</v>
      </c>
      <c r="CJ876" s="26">
        <f t="shared" si="1526"/>
        <v>69000000</v>
      </c>
      <c r="CK876" s="26">
        <f t="shared" si="1527"/>
        <v>0</v>
      </c>
    </row>
    <row r="877" spans="1:89" ht="90" customHeight="1" x14ac:dyDescent="0.3">
      <c r="A877" s="13" t="s">
        <v>1891</v>
      </c>
      <c r="B877" s="14" t="s">
        <v>30</v>
      </c>
      <c r="C877" s="15" t="s">
        <v>258</v>
      </c>
      <c r="D877" s="14" t="s">
        <v>258</v>
      </c>
      <c r="E877" s="13" t="s">
        <v>250</v>
      </c>
      <c r="F877" s="13" t="s">
        <v>250</v>
      </c>
      <c r="G877" s="14">
        <v>1</v>
      </c>
      <c r="H877" s="13" t="s">
        <v>2222</v>
      </c>
      <c r="I877" s="15" t="s">
        <v>1893</v>
      </c>
      <c r="J877" s="14" t="s">
        <v>1893</v>
      </c>
      <c r="K877" s="15" t="s">
        <v>1893</v>
      </c>
      <c r="L877" s="14">
        <v>80111620</v>
      </c>
      <c r="M877" s="14" t="s">
        <v>2042</v>
      </c>
      <c r="N877" s="14" t="s">
        <v>253</v>
      </c>
      <c r="O877" s="15" t="s">
        <v>2223</v>
      </c>
      <c r="P877" s="14" t="s">
        <v>255</v>
      </c>
      <c r="Q877" s="14" t="s">
        <v>255</v>
      </c>
      <c r="R877" s="14" t="s">
        <v>255</v>
      </c>
      <c r="S877" s="17">
        <v>11.4</v>
      </c>
      <c r="T877" s="14" t="s">
        <v>256</v>
      </c>
      <c r="U877" s="14" t="s">
        <v>257</v>
      </c>
      <c r="V877" s="14" t="s">
        <v>112</v>
      </c>
      <c r="W877" s="18">
        <v>68400000</v>
      </c>
      <c r="X877" s="18">
        <v>68400000</v>
      </c>
      <c r="Y877" s="19" t="s">
        <v>339</v>
      </c>
      <c r="Z877" s="19" t="s">
        <v>258</v>
      </c>
      <c r="AA877" s="14" t="s">
        <v>971</v>
      </c>
      <c r="AB877" s="14" t="s">
        <v>972</v>
      </c>
      <c r="AC877" s="14">
        <v>6012220601</v>
      </c>
      <c r="AD877" s="14" t="s">
        <v>973</v>
      </c>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c r="BC877" s="82"/>
      <c r="BD877" s="82"/>
      <c r="BE877" s="83"/>
      <c r="BF877" s="83"/>
      <c r="BG877" s="14" t="str">
        <f ca="1">IFERROR(__xludf.DUMMYFUNCTION("REGEXEXTRACT(O871,""^\S+\s(.+)$"")"),"Prestar servicios profesionales para el apoyo a la actualización de normas, actos administrativos, lineamientos internos y demás instrumentos jurídicos del trámite de incentivos tributarios, así como la revisión permanente de los cambios normativos sector"&amp;"iales que impacten el procedimiento.")</f>
        <v>Prestar servicios profesionales para el apoyo a la actualización de normas, actos administrativos, lineamientos internos y demás instrumentos jurídicos del trámite de incentivos tributarios, así como la revisión permanente de los cambios normativos sectoriales que impacten el procedimiento.</v>
      </c>
      <c r="BH877" s="24"/>
      <c r="BI877" s="24"/>
      <c r="BJ877" s="24"/>
      <c r="BK877" s="24">
        <v>2400000</v>
      </c>
      <c r="BL877" s="24"/>
      <c r="BM877" s="24">
        <v>6000000</v>
      </c>
      <c r="BN877" s="24"/>
      <c r="BO877" s="24">
        <v>6000000</v>
      </c>
      <c r="BP877" s="24"/>
      <c r="BQ877" s="24">
        <v>6000000</v>
      </c>
      <c r="BR877" s="24"/>
      <c r="BS877" s="24">
        <v>6000000</v>
      </c>
      <c r="BT877" s="24"/>
      <c r="BU877" s="24">
        <v>6000000</v>
      </c>
      <c r="BV877" s="24"/>
      <c r="BW877" s="24">
        <v>6000000</v>
      </c>
      <c r="BX877" s="24"/>
      <c r="BY877" s="24">
        <v>6000000</v>
      </c>
      <c r="BZ877" s="24"/>
      <c r="CA877" s="24">
        <v>6000000</v>
      </c>
      <c r="CB877" s="24"/>
      <c r="CC877" s="24">
        <v>6000000</v>
      </c>
      <c r="CD877" s="24"/>
      <c r="CE877" s="24">
        <v>12000000</v>
      </c>
      <c r="CF877" s="28"/>
      <c r="CG877" s="28"/>
      <c r="CH877" s="25">
        <f t="shared" ref="CH877:CI877" si="1618">BH877+BJ877+BL877+BN877+BP877+BR877+BT877+BV877+BX877+BZ877+CB877+CD877+CF877</f>
        <v>0</v>
      </c>
      <c r="CI877" s="25">
        <f t="shared" si="1618"/>
        <v>68400000</v>
      </c>
      <c r="CJ877" s="26">
        <f t="shared" si="1526"/>
        <v>68400000</v>
      </c>
      <c r="CK877" s="26">
        <f t="shared" si="1527"/>
        <v>0</v>
      </c>
    </row>
    <row r="878" spans="1:89" ht="90" customHeight="1" x14ac:dyDescent="0.3">
      <c r="A878" s="13" t="s">
        <v>1891</v>
      </c>
      <c r="B878" s="14" t="s">
        <v>30</v>
      </c>
      <c r="C878" s="15" t="s">
        <v>258</v>
      </c>
      <c r="D878" s="14" t="s">
        <v>258</v>
      </c>
      <c r="E878" s="13" t="s">
        <v>250</v>
      </c>
      <c r="F878" s="13" t="s">
        <v>250</v>
      </c>
      <c r="G878" s="14">
        <v>4</v>
      </c>
      <c r="H878" s="13" t="s">
        <v>2224</v>
      </c>
      <c r="I878" s="15" t="s">
        <v>1893</v>
      </c>
      <c r="J878" s="14" t="s">
        <v>1893</v>
      </c>
      <c r="K878" s="15" t="s">
        <v>1893</v>
      </c>
      <c r="L878" s="14">
        <v>80111620</v>
      </c>
      <c r="M878" s="14" t="s">
        <v>2042</v>
      </c>
      <c r="N878" s="14" t="s">
        <v>253</v>
      </c>
      <c r="O878" s="15" t="s">
        <v>2225</v>
      </c>
      <c r="P878" s="14" t="s">
        <v>255</v>
      </c>
      <c r="Q878" s="14" t="s">
        <v>255</v>
      </c>
      <c r="R878" s="14" t="s">
        <v>255</v>
      </c>
      <c r="S878" s="17">
        <v>11.4</v>
      </c>
      <c r="T878" s="14" t="s">
        <v>256</v>
      </c>
      <c r="U878" s="14" t="s">
        <v>257</v>
      </c>
      <c r="V878" s="14" t="s">
        <v>112</v>
      </c>
      <c r="W878" s="18">
        <v>68400000</v>
      </c>
      <c r="X878" s="18">
        <v>68400000</v>
      </c>
      <c r="Y878" s="19" t="s">
        <v>339</v>
      </c>
      <c r="Z878" s="19" t="s">
        <v>258</v>
      </c>
      <c r="AA878" s="14" t="s">
        <v>971</v>
      </c>
      <c r="AB878" s="14" t="s">
        <v>972</v>
      </c>
      <c r="AC878" s="14">
        <v>6012220601</v>
      </c>
      <c r="AD878" s="14" t="s">
        <v>973</v>
      </c>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c r="BC878" s="82"/>
      <c r="BD878" s="82"/>
      <c r="BE878" s="83"/>
      <c r="BF878" s="83"/>
      <c r="BG878" s="14" t="str">
        <f ca="1">IFERROR(__xludf.DUMMYFUNCTION("REGEXEXTRACT(O872,""^\S+\s(.+)$"")"),"Prestar servicios profesionales a nivel jurídico y regulatorio a la Subdirección de Demanda para el análisis de información y la evaluación de impactos normativos en el proceso de incentivos tributarios y las funciones misionales de la entidad")</f>
        <v>Prestar servicios profesionales a nivel jurídico y regulatorio a la Subdirección de Demanda para el análisis de información y la evaluación de impactos normativos en el proceso de incentivos tributarios y las funciones misionales de la entidad</v>
      </c>
      <c r="BH878" s="24"/>
      <c r="BI878" s="24"/>
      <c r="BJ878" s="24"/>
      <c r="BK878" s="24">
        <v>2400000</v>
      </c>
      <c r="BL878" s="24"/>
      <c r="BM878" s="24">
        <v>6000000</v>
      </c>
      <c r="BN878" s="24"/>
      <c r="BO878" s="24">
        <v>6000000</v>
      </c>
      <c r="BP878" s="24"/>
      <c r="BQ878" s="24">
        <v>6000000</v>
      </c>
      <c r="BR878" s="24"/>
      <c r="BS878" s="24">
        <v>6000000</v>
      </c>
      <c r="BT878" s="24"/>
      <c r="BU878" s="24">
        <v>6000000</v>
      </c>
      <c r="BV878" s="24"/>
      <c r="BW878" s="24">
        <v>6000000</v>
      </c>
      <c r="BX878" s="24"/>
      <c r="BY878" s="24">
        <v>6000000</v>
      </c>
      <c r="BZ878" s="24"/>
      <c r="CA878" s="24">
        <v>6000000</v>
      </c>
      <c r="CB878" s="24"/>
      <c r="CC878" s="24">
        <v>6000000</v>
      </c>
      <c r="CD878" s="24"/>
      <c r="CE878" s="24">
        <v>12000000</v>
      </c>
      <c r="CF878" s="28"/>
      <c r="CG878" s="28"/>
      <c r="CH878" s="25">
        <f t="shared" ref="CH878:CI878" si="1619">BH878+BJ878+BL878+BN878+BP878+BR878+BT878+BV878+BX878+BZ878+CB878+CD878+CF878</f>
        <v>0</v>
      </c>
      <c r="CI878" s="25">
        <f t="shared" si="1619"/>
        <v>68400000</v>
      </c>
      <c r="CJ878" s="26">
        <f t="shared" si="1526"/>
        <v>68400000</v>
      </c>
      <c r="CK878" s="26">
        <f t="shared" si="1527"/>
        <v>0</v>
      </c>
    </row>
    <row r="879" spans="1:89" ht="90" customHeight="1" x14ac:dyDescent="0.3">
      <c r="A879" s="13" t="s">
        <v>1891</v>
      </c>
      <c r="B879" s="14" t="s">
        <v>30</v>
      </c>
      <c r="C879" s="15" t="s">
        <v>258</v>
      </c>
      <c r="D879" s="14" t="s">
        <v>258</v>
      </c>
      <c r="E879" s="13" t="s">
        <v>250</v>
      </c>
      <c r="F879" s="13" t="s">
        <v>250</v>
      </c>
      <c r="G879" s="14">
        <v>1</v>
      </c>
      <c r="H879" s="13" t="s">
        <v>2226</v>
      </c>
      <c r="I879" s="15" t="s">
        <v>1893</v>
      </c>
      <c r="J879" s="14" t="s">
        <v>1893</v>
      </c>
      <c r="K879" s="15" t="s">
        <v>1893</v>
      </c>
      <c r="L879" s="14">
        <v>80111620</v>
      </c>
      <c r="M879" s="14" t="s">
        <v>2045</v>
      </c>
      <c r="N879" s="14" t="s">
        <v>253</v>
      </c>
      <c r="O879" s="15" t="s">
        <v>2227</v>
      </c>
      <c r="P879" s="14" t="s">
        <v>255</v>
      </c>
      <c r="Q879" s="14" t="s">
        <v>255</v>
      </c>
      <c r="R879" s="14" t="s">
        <v>255</v>
      </c>
      <c r="S879" s="17">
        <v>5</v>
      </c>
      <c r="T879" s="14" t="s">
        <v>256</v>
      </c>
      <c r="U879" s="14" t="s">
        <v>257</v>
      </c>
      <c r="V879" s="14" t="s">
        <v>112</v>
      </c>
      <c r="W879" s="18">
        <v>43500000</v>
      </c>
      <c r="X879" s="18">
        <v>43500000</v>
      </c>
      <c r="Y879" s="19" t="s">
        <v>339</v>
      </c>
      <c r="Z879" s="19" t="s">
        <v>258</v>
      </c>
      <c r="AA879" s="14" t="s">
        <v>971</v>
      </c>
      <c r="AB879" s="14" t="s">
        <v>972</v>
      </c>
      <c r="AC879" s="14">
        <v>6012220601</v>
      </c>
      <c r="AD879" s="14" t="s">
        <v>973</v>
      </c>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c r="BC879" s="82"/>
      <c r="BD879" s="82"/>
      <c r="BE879" s="83"/>
      <c r="BF879" s="83"/>
      <c r="BG879" s="14" t="str">
        <f ca="1">IFERROR(__xludf.DUMMYFUNCTION("REGEXEXTRACT(O873,""^\S+\s(.+)$"")"),"Prestar servicios profesionales para la evaluación, análisis, construcción de conceptos técnicos y actualizaciones tecnológicas para el trámite de incentivos tributarios de los proyectos de Fuentes No Convencionales de Energía, Gestión Eficiente de la Ene"&amp;"rgía e Hidrógeno presentados a la UPME.")</f>
        <v>Prestar servicios profesionales para la evaluación, análisis, construcción de conceptos técnicos y actualizaciones tecnológicas para el trámite de incentivos tributarios de los proyectos de Fuentes No Convencionales de Energía, Gestión Eficiente de la Energía e Hidrógeno presentados a la UPME.</v>
      </c>
      <c r="BH879" s="24"/>
      <c r="BI879" s="24"/>
      <c r="BJ879" s="24"/>
      <c r="BK879" s="24">
        <v>-52200000</v>
      </c>
      <c r="BL879" s="24"/>
      <c r="BM879" s="24">
        <v>8700000</v>
      </c>
      <c r="BN879" s="24"/>
      <c r="BO879" s="24">
        <v>8700000</v>
      </c>
      <c r="BP879" s="24"/>
      <c r="BQ879" s="24">
        <v>8700000</v>
      </c>
      <c r="BR879" s="24"/>
      <c r="BS879" s="24">
        <v>8700000</v>
      </c>
      <c r="BT879" s="24"/>
      <c r="BU879" s="24">
        <v>8700000</v>
      </c>
      <c r="BV879" s="24"/>
      <c r="BW879" s="24">
        <v>8700000</v>
      </c>
      <c r="BX879" s="24"/>
      <c r="BY879" s="24">
        <v>8700000</v>
      </c>
      <c r="BZ879" s="24"/>
      <c r="CA879" s="24">
        <v>8700000</v>
      </c>
      <c r="CB879" s="24"/>
      <c r="CC879" s="24">
        <v>8700000</v>
      </c>
      <c r="CD879" s="24"/>
      <c r="CE879" s="24">
        <v>17400000</v>
      </c>
      <c r="CF879" s="28"/>
      <c r="CG879" s="28"/>
      <c r="CH879" s="25">
        <f t="shared" ref="CH879:CI879" si="1620">BH879+BJ879+BL879+BN879+BP879+BR879+BT879+BV879+BX879+BZ879+CB879+CD879+CF879</f>
        <v>0</v>
      </c>
      <c r="CI879" s="25">
        <f t="shared" si="1620"/>
        <v>43500000</v>
      </c>
      <c r="CJ879" s="26">
        <f t="shared" si="1526"/>
        <v>43500000</v>
      </c>
      <c r="CK879" s="26">
        <f t="shared" si="1527"/>
        <v>0</v>
      </c>
    </row>
    <row r="880" spans="1:89" ht="90" customHeight="1" x14ac:dyDescent="0.3">
      <c r="A880" s="13" t="s">
        <v>1891</v>
      </c>
      <c r="B880" s="14" t="s">
        <v>30</v>
      </c>
      <c r="C880" s="15" t="s">
        <v>258</v>
      </c>
      <c r="D880" s="14" t="s">
        <v>258</v>
      </c>
      <c r="E880" s="13" t="s">
        <v>250</v>
      </c>
      <c r="F880" s="13" t="s">
        <v>250</v>
      </c>
      <c r="G880" s="14">
        <v>6</v>
      </c>
      <c r="H880" s="13" t="s">
        <v>2228</v>
      </c>
      <c r="I880" s="15" t="s">
        <v>1893</v>
      </c>
      <c r="J880" s="14" t="s">
        <v>1893</v>
      </c>
      <c r="K880" s="15" t="s">
        <v>1893</v>
      </c>
      <c r="L880" s="14">
        <v>80111620</v>
      </c>
      <c r="M880" s="14" t="s">
        <v>2042</v>
      </c>
      <c r="N880" s="14" t="s">
        <v>253</v>
      </c>
      <c r="O880" s="15" t="s">
        <v>2229</v>
      </c>
      <c r="P880" s="14" t="s">
        <v>255</v>
      </c>
      <c r="Q880" s="14" t="s">
        <v>255</v>
      </c>
      <c r="R880" s="14" t="s">
        <v>255</v>
      </c>
      <c r="S880" s="17">
        <v>6</v>
      </c>
      <c r="T880" s="14" t="s">
        <v>256</v>
      </c>
      <c r="U880" s="14" t="s">
        <v>257</v>
      </c>
      <c r="V880" s="14" t="s">
        <v>112</v>
      </c>
      <c r="W880" s="18">
        <v>30000000</v>
      </c>
      <c r="X880" s="18">
        <v>30000000</v>
      </c>
      <c r="Y880" s="19" t="s">
        <v>339</v>
      </c>
      <c r="Z880" s="19" t="s">
        <v>258</v>
      </c>
      <c r="AA880" s="14" t="s">
        <v>971</v>
      </c>
      <c r="AB880" s="14" t="s">
        <v>972</v>
      </c>
      <c r="AC880" s="14">
        <v>6012220601</v>
      </c>
      <c r="AD880" s="14" t="s">
        <v>973</v>
      </c>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c r="BC880" s="82"/>
      <c r="BD880" s="82"/>
      <c r="BE880" s="83"/>
      <c r="BF880" s="83"/>
      <c r="BG880" s="14" t="str">
        <f ca="1">IFERROR(__xludf.DUMMYFUNCTION("REGEXEXTRACT(O874,""^\S+\s(.+)$"")"),"Prestar servicios profesionales para evaluar de manera integral proyectos de gestión eficiente de la energía, mediante la revisión y análisis de la información y documentación presentada, así como la validación de los soportes, de conformidad con la norma"&amp;"tividad vigente sobre incentivos tributarios						")</f>
        <v xml:space="preserve">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						</v>
      </c>
      <c r="BH880" s="24"/>
      <c r="BI880" s="24"/>
      <c r="BJ880" s="24">
        <v>0</v>
      </c>
      <c r="BK880" s="24">
        <v>-6135000</v>
      </c>
      <c r="BL880" s="24">
        <v>0</v>
      </c>
      <c r="BM880" s="24">
        <v>3285000</v>
      </c>
      <c r="BN880" s="24">
        <v>0</v>
      </c>
      <c r="BO880" s="24">
        <v>3285000</v>
      </c>
      <c r="BP880" s="24">
        <v>0</v>
      </c>
      <c r="BQ880" s="24">
        <v>3285000</v>
      </c>
      <c r="BR880" s="24">
        <v>0</v>
      </c>
      <c r="BS880" s="24">
        <v>3285000</v>
      </c>
      <c r="BT880" s="24">
        <v>0</v>
      </c>
      <c r="BU880" s="24">
        <v>3285000</v>
      </c>
      <c r="BV880" s="24">
        <v>0</v>
      </c>
      <c r="BW880" s="24">
        <v>3285000</v>
      </c>
      <c r="BX880" s="24">
        <v>0</v>
      </c>
      <c r="BY880" s="24">
        <v>3285000</v>
      </c>
      <c r="BZ880" s="24">
        <v>0</v>
      </c>
      <c r="CA880" s="24">
        <v>3285000</v>
      </c>
      <c r="CB880" s="24">
        <v>0</v>
      </c>
      <c r="CC880" s="24">
        <v>3285000</v>
      </c>
      <c r="CD880" s="24">
        <v>0</v>
      </c>
      <c r="CE880" s="24">
        <v>6570000</v>
      </c>
      <c r="CF880" s="28"/>
      <c r="CG880" s="28"/>
      <c r="CH880" s="25">
        <f t="shared" ref="CH880:CI880" si="1621">BH880+BJ880+BL880+BN880+BP880+BR880+BT880+BV880+BX880+BZ880+CB880+CD880+CF880</f>
        <v>0</v>
      </c>
      <c r="CI880" s="25">
        <f t="shared" si="1621"/>
        <v>30000000</v>
      </c>
      <c r="CJ880" s="26">
        <f t="shared" si="1526"/>
        <v>30000000</v>
      </c>
      <c r="CK880" s="26">
        <f t="shared" si="1527"/>
        <v>0</v>
      </c>
    </row>
    <row r="881" spans="1:89" ht="90" customHeight="1" x14ac:dyDescent="0.3">
      <c r="A881" s="13" t="s">
        <v>1891</v>
      </c>
      <c r="B881" s="14" t="s">
        <v>30</v>
      </c>
      <c r="C881" s="15" t="s">
        <v>258</v>
      </c>
      <c r="D881" s="14" t="s">
        <v>258</v>
      </c>
      <c r="E881" s="13" t="s">
        <v>250</v>
      </c>
      <c r="F881" s="13" t="s">
        <v>250</v>
      </c>
      <c r="G881" s="14">
        <v>4</v>
      </c>
      <c r="H881" s="13" t="s">
        <v>2230</v>
      </c>
      <c r="I881" s="15" t="s">
        <v>1893</v>
      </c>
      <c r="J881" s="14" t="s">
        <v>1893</v>
      </c>
      <c r="K881" s="15" t="s">
        <v>1893</v>
      </c>
      <c r="L881" s="14">
        <v>80111620</v>
      </c>
      <c r="M881" s="14" t="s">
        <v>2045</v>
      </c>
      <c r="N881" s="14" t="s">
        <v>253</v>
      </c>
      <c r="O881" s="15" t="s">
        <v>2231</v>
      </c>
      <c r="P881" s="14" t="s">
        <v>255</v>
      </c>
      <c r="Q881" s="14" t="s">
        <v>255</v>
      </c>
      <c r="R881" s="14" t="s">
        <v>255</v>
      </c>
      <c r="S881" s="17">
        <v>11.3</v>
      </c>
      <c r="T881" s="14" t="s">
        <v>256</v>
      </c>
      <c r="U881" s="14" t="s">
        <v>257</v>
      </c>
      <c r="V881" s="14" t="s">
        <v>112</v>
      </c>
      <c r="W881" s="18">
        <v>37120500</v>
      </c>
      <c r="X881" s="18">
        <v>37120500</v>
      </c>
      <c r="Y881" s="19" t="s">
        <v>339</v>
      </c>
      <c r="Z881" s="19" t="s">
        <v>258</v>
      </c>
      <c r="AA881" s="14" t="s">
        <v>971</v>
      </c>
      <c r="AB881" s="14" t="s">
        <v>972</v>
      </c>
      <c r="AC881" s="14">
        <v>6012220601</v>
      </c>
      <c r="AD881" s="14" t="s">
        <v>973</v>
      </c>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c r="BC881" s="82"/>
      <c r="BD881" s="82"/>
      <c r="BE881" s="83"/>
      <c r="BF881" s="83"/>
      <c r="BG881" s="14" t="str">
        <f ca="1">IFERROR(__xludf.DUMMYFUNCTION("REGEXEXTRACT(O875,""^\S+\s(.+)$"")"),"Prestar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81" s="24"/>
      <c r="BI881" s="24"/>
      <c r="BJ881" s="24"/>
      <c r="BK881" s="24">
        <v>985500</v>
      </c>
      <c r="BL881" s="24"/>
      <c r="BM881" s="24">
        <v>3285000</v>
      </c>
      <c r="BN881" s="24"/>
      <c r="BO881" s="24">
        <v>3285000</v>
      </c>
      <c r="BP881" s="24"/>
      <c r="BQ881" s="24">
        <v>3285000</v>
      </c>
      <c r="BR881" s="24"/>
      <c r="BS881" s="24">
        <v>3285000</v>
      </c>
      <c r="BT881" s="24"/>
      <c r="BU881" s="24">
        <v>3285000</v>
      </c>
      <c r="BV881" s="24"/>
      <c r="BW881" s="24">
        <v>3285000</v>
      </c>
      <c r="BX881" s="24"/>
      <c r="BY881" s="24">
        <v>3285000</v>
      </c>
      <c r="BZ881" s="24"/>
      <c r="CA881" s="24">
        <v>3285000</v>
      </c>
      <c r="CB881" s="24"/>
      <c r="CC881" s="24">
        <v>3285000</v>
      </c>
      <c r="CD881" s="24"/>
      <c r="CE881" s="24">
        <v>6570000</v>
      </c>
      <c r="CF881" s="28"/>
      <c r="CG881" s="28"/>
      <c r="CH881" s="25">
        <f t="shared" ref="CH881:CI881" si="1622">BH881+BJ881+BL881+BN881+BP881+BR881+BT881+BV881+BX881+BZ881+CB881+CD881+CF881</f>
        <v>0</v>
      </c>
      <c r="CI881" s="25">
        <f t="shared" si="1622"/>
        <v>37120500</v>
      </c>
      <c r="CJ881" s="26">
        <f t="shared" si="1526"/>
        <v>37120500</v>
      </c>
      <c r="CK881" s="26">
        <f t="shared" si="1527"/>
        <v>0</v>
      </c>
    </row>
    <row r="882" spans="1:89" ht="90" customHeight="1" x14ac:dyDescent="0.3">
      <c r="A882" s="13" t="s">
        <v>1891</v>
      </c>
      <c r="B882" s="14" t="s">
        <v>30</v>
      </c>
      <c r="C882" s="15" t="s">
        <v>258</v>
      </c>
      <c r="D882" s="14" t="s">
        <v>258</v>
      </c>
      <c r="E882" s="13" t="s">
        <v>250</v>
      </c>
      <c r="F882" s="13" t="s">
        <v>250</v>
      </c>
      <c r="G882" s="14">
        <v>1</v>
      </c>
      <c r="H882" s="13" t="s">
        <v>2232</v>
      </c>
      <c r="I882" s="15" t="s">
        <v>1893</v>
      </c>
      <c r="J882" s="14" t="s">
        <v>1893</v>
      </c>
      <c r="K882" s="15" t="s">
        <v>1893</v>
      </c>
      <c r="L882" s="14">
        <v>80111620</v>
      </c>
      <c r="M882" s="14" t="s">
        <v>2042</v>
      </c>
      <c r="N882" s="14" t="s">
        <v>253</v>
      </c>
      <c r="O882" s="15" t="s">
        <v>2233</v>
      </c>
      <c r="P882" s="14" t="s">
        <v>255</v>
      </c>
      <c r="Q882" s="14" t="s">
        <v>255</v>
      </c>
      <c r="R882" s="14" t="s">
        <v>255</v>
      </c>
      <c r="S882" s="17">
        <v>11.5</v>
      </c>
      <c r="T882" s="14" t="s">
        <v>256</v>
      </c>
      <c r="U882" s="14" t="s">
        <v>257</v>
      </c>
      <c r="V882" s="14" t="s">
        <v>112</v>
      </c>
      <c r="W882" s="18">
        <v>57500000</v>
      </c>
      <c r="X882" s="18">
        <v>57500000</v>
      </c>
      <c r="Y882" s="19" t="s">
        <v>339</v>
      </c>
      <c r="Z882" s="19" t="s">
        <v>258</v>
      </c>
      <c r="AA882" s="14" t="s">
        <v>971</v>
      </c>
      <c r="AB882" s="14" t="s">
        <v>972</v>
      </c>
      <c r="AC882" s="14">
        <v>6012220601</v>
      </c>
      <c r="AD882" s="14" t="s">
        <v>973</v>
      </c>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c r="BC882" s="82"/>
      <c r="BD882" s="82"/>
      <c r="BE882" s="83"/>
      <c r="BF882" s="83"/>
      <c r="BG882" s="14" t="str">
        <f ca="1">IFERROR(__xludf.DUMMYFUNCTION("REGEXEXTRACT(O876,""^\S+\s(.+)$"")"),"Prestar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82" s="24"/>
      <c r="BI882" s="24"/>
      <c r="BJ882" s="24"/>
      <c r="BK882" s="24">
        <v>2500000</v>
      </c>
      <c r="BL882" s="24"/>
      <c r="BM882" s="24">
        <v>5000000</v>
      </c>
      <c r="BN882" s="24"/>
      <c r="BO882" s="24">
        <v>5000000</v>
      </c>
      <c r="BP882" s="24"/>
      <c r="BQ882" s="24">
        <v>5000000</v>
      </c>
      <c r="BR882" s="24"/>
      <c r="BS882" s="24">
        <v>5000000</v>
      </c>
      <c r="BT882" s="24"/>
      <c r="BU882" s="24">
        <v>5000000</v>
      </c>
      <c r="BV882" s="24"/>
      <c r="BW882" s="24">
        <v>5000000</v>
      </c>
      <c r="BX882" s="24"/>
      <c r="BY882" s="24">
        <v>5000000</v>
      </c>
      <c r="BZ882" s="24"/>
      <c r="CA882" s="24">
        <v>5000000</v>
      </c>
      <c r="CB882" s="24"/>
      <c r="CC882" s="24">
        <v>5000000</v>
      </c>
      <c r="CD882" s="24"/>
      <c r="CE882" s="24">
        <v>10000000</v>
      </c>
      <c r="CF882" s="28"/>
      <c r="CG882" s="28"/>
      <c r="CH882" s="25">
        <f t="shared" ref="CH882:CI882" si="1623">BH882+BJ882+BL882+BN882+BP882+BR882+BT882+BV882+BX882+BZ882+CB882+CD882+CF882</f>
        <v>0</v>
      </c>
      <c r="CI882" s="25">
        <f t="shared" si="1623"/>
        <v>57500000</v>
      </c>
      <c r="CJ882" s="26">
        <f t="shared" si="1526"/>
        <v>57500000</v>
      </c>
      <c r="CK882" s="26">
        <f t="shared" si="1527"/>
        <v>0</v>
      </c>
    </row>
    <row r="883" spans="1:89" ht="90" customHeight="1" x14ac:dyDescent="0.3">
      <c r="A883" s="13" t="s">
        <v>1891</v>
      </c>
      <c r="B883" s="14" t="s">
        <v>30</v>
      </c>
      <c r="C883" s="15" t="s">
        <v>258</v>
      </c>
      <c r="D883" s="14" t="s">
        <v>258</v>
      </c>
      <c r="E883" s="13" t="s">
        <v>250</v>
      </c>
      <c r="F883" s="13" t="s">
        <v>250</v>
      </c>
      <c r="G883" s="14">
        <v>1</v>
      </c>
      <c r="H883" s="13" t="s">
        <v>2234</v>
      </c>
      <c r="I883" s="15" t="s">
        <v>1893</v>
      </c>
      <c r="J883" s="14" t="s">
        <v>1893</v>
      </c>
      <c r="K883" s="15" t="s">
        <v>1893</v>
      </c>
      <c r="L883" s="14">
        <v>80111620</v>
      </c>
      <c r="M883" s="14" t="s">
        <v>2042</v>
      </c>
      <c r="N883" s="14" t="s">
        <v>253</v>
      </c>
      <c r="O883" s="15" t="s">
        <v>2235</v>
      </c>
      <c r="P883" s="14" t="s">
        <v>255</v>
      </c>
      <c r="Q883" s="14" t="s">
        <v>255</v>
      </c>
      <c r="R883" s="14" t="s">
        <v>255</v>
      </c>
      <c r="S883" s="17">
        <v>11.5</v>
      </c>
      <c r="T883" s="14" t="s">
        <v>256</v>
      </c>
      <c r="U883" s="14" t="s">
        <v>257</v>
      </c>
      <c r="V883" s="14" t="s">
        <v>112</v>
      </c>
      <c r="W883" s="18">
        <v>69000000</v>
      </c>
      <c r="X883" s="18">
        <v>69000000</v>
      </c>
      <c r="Y883" s="19" t="s">
        <v>339</v>
      </c>
      <c r="Z883" s="19" t="s">
        <v>258</v>
      </c>
      <c r="AA883" s="14" t="s">
        <v>971</v>
      </c>
      <c r="AB883" s="14" t="s">
        <v>972</v>
      </c>
      <c r="AC883" s="14">
        <v>6012220601</v>
      </c>
      <c r="AD883" s="14" t="s">
        <v>973</v>
      </c>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c r="BC883" s="82"/>
      <c r="BD883" s="82"/>
      <c r="BE883" s="83"/>
      <c r="BF883" s="83"/>
      <c r="BG883" s="14" t="str">
        <f ca="1">IFERROR(__xludf.DUMMYFUNCTION("REGEXEXTRACT(O877,""^\S+\s(.+)$"")"),"Prestar servicios profesionales para realizar el seguimiento y control de las PQRS radicadas en la Upme asociadas con el trámite de incentivos tributarios, así como la respuesta a las PQRS de la entidad y demás trámites de índole jurídico.")</f>
        <v>Prestar servicios profesionales para realizar el seguimiento y control de las PQRS radicadas en la Upme asociadas con el trámite de incentivos tributarios, así como la respuesta a las PQRS de la entidad y demás trámites de índole jurídico.</v>
      </c>
      <c r="BH883" s="24"/>
      <c r="BI883" s="24"/>
      <c r="BJ883" s="24"/>
      <c r="BK883" s="24">
        <v>3000000</v>
      </c>
      <c r="BL883" s="24"/>
      <c r="BM883" s="24">
        <v>6000000</v>
      </c>
      <c r="BN883" s="24"/>
      <c r="BO883" s="24">
        <v>6000000</v>
      </c>
      <c r="BP883" s="24"/>
      <c r="BQ883" s="24">
        <v>6000000</v>
      </c>
      <c r="BR883" s="24"/>
      <c r="BS883" s="24">
        <v>6000000</v>
      </c>
      <c r="BT883" s="24"/>
      <c r="BU883" s="24">
        <v>6000000</v>
      </c>
      <c r="BV883" s="24"/>
      <c r="BW883" s="24">
        <v>6000000</v>
      </c>
      <c r="BX883" s="24"/>
      <c r="BY883" s="24">
        <v>6000000</v>
      </c>
      <c r="BZ883" s="24"/>
      <c r="CA883" s="24">
        <v>6000000</v>
      </c>
      <c r="CB883" s="24"/>
      <c r="CC883" s="24">
        <v>6000000</v>
      </c>
      <c r="CD883" s="24"/>
      <c r="CE883" s="24">
        <v>12000000</v>
      </c>
      <c r="CF883" s="28"/>
      <c r="CG883" s="28"/>
      <c r="CH883" s="25">
        <f t="shared" ref="CH883:CI883" si="1624">BH883+BJ883+BL883+BN883+BP883+BR883+BT883+BV883+BX883+BZ883+CB883+CD883+CF883</f>
        <v>0</v>
      </c>
      <c r="CI883" s="25">
        <f t="shared" si="1624"/>
        <v>69000000</v>
      </c>
      <c r="CJ883" s="26">
        <f t="shared" si="1526"/>
        <v>69000000</v>
      </c>
      <c r="CK883" s="26">
        <f t="shared" si="1527"/>
        <v>0</v>
      </c>
    </row>
    <row r="884" spans="1:89" ht="90" customHeight="1" x14ac:dyDescent="0.3">
      <c r="A884" s="13" t="s">
        <v>1891</v>
      </c>
      <c r="B884" s="14" t="s">
        <v>30</v>
      </c>
      <c r="C884" s="15" t="s">
        <v>258</v>
      </c>
      <c r="D884" s="14" t="s">
        <v>258</v>
      </c>
      <c r="E884" s="13" t="s">
        <v>250</v>
      </c>
      <c r="F884" s="13" t="s">
        <v>250</v>
      </c>
      <c r="G884" s="14">
        <v>1</v>
      </c>
      <c r="H884" s="13" t="s">
        <v>2236</v>
      </c>
      <c r="I884" s="15" t="s">
        <v>1893</v>
      </c>
      <c r="J884" s="14" t="s">
        <v>1893</v>
      </c>
      <c r="K884" s="15" t="s">
        <v>1893</v>
      </c>
      <c r="L884" s="14">
        <v>80111620</v>
      </c>
      <c r="M884" s="14" t="s">
        <v>2042</v>
      </c>
      <c r="N884" s="14" t="s">
        <v>253</v>
      </c>
      <c r="O884" s="15" t="s">
        <v>2237</v>
      </c>
      <c r="P884" s="14" t="s">
        <v>255</v>
      </c>
      <c r="Q884" s="14" t="s">
        <v>255</v>
      </c>
      <c r="R884" s="14" t="s">
        <v>255</v>
      </c>
      <c r="S884" s="17">
        <v>11.5</v>
      </c>
      <c r="T884" s="14" t="s">
        <v>256</v>
      </c>
      <c r="U884" s="14" t="s">
        <v>257</v>
      </c>
      <c r="V884" s="14" t="s">
        <v>112</v>
      </c>
      <c r="W884" s="18">
        <v>37777500</v>
      </c>
      <c r="X884" s="18">
        <v>37777500</v>
      </c>
      <c r="Y884" s="19" t="s">
        <v>339</v>
      </c>
      <c r="Z884" s="19" t="s">
        <v>258</v>
      </c>
      <c r="AA884" s="14" t="s">
        <v>971</v>
      </c>
      <c r="AB884" s="14" t="s">
        <v>972</v>
      </c>
      <c r="AC884" s="14">
        <v>6012220601</v>
      </c>
      <c r="AD884" s="14" t="s">
        <v>973</v>
      </c>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c r="BC884" s="82"/>
      <c r="BD884" s="82"/>
      <c r="BE884" s="83"/>
      <c r="BF884" s="83"/>
      <c r="BG884" s="14" t="str">
        <f ca="1">IFERROR(__xludf.DUMMYFUNCTION("REGEXEXTRACT(O878,""^\S+\s(.+)$"")"),"Prestar servicios profesionales en la gestión de respuestas a las PQRS radicadas en la entidad asociadas al trámite de incentivos tributarios, cumpliendo los términos legales.")</f>
        <v>Prestar servicios profesionales en la gestión de respuestas a las PQRS radicadas en la entidad asociadas al trámite de incentivos tributarios, cumpliendo los términos legales.</v>
      </c>
      <c r="BH884" s="24"/>
      <c r="BI884" s="24"/>
      <c r="BJ884" s="24"/>
      <c r="BK884" s="24">
        <v>1642500</v>
      </c>
      <c r="BL884" s="24"/>
      <c r="BM884" s="24">
        <v>3285000</v>
      </c>
      <c r="BN884" s="24"/>
      <c r="BO884" s="24">
        <v>3285000</v>
      </c>
      <c r="BP884" s="24"/>
      <c r="BQ884" s="24">
        <v>3285000</v>
      </c>
      <c r="BR884" s="24"/>
      <c r="BS884" s="24">
        <v>3285000</v>
      </c>
      <c r="BT884" s="24"/>
      <c r="BU884" s="24">
        <v>3285000</v>
      </c>
      <c r="BV884" s="24"/>
      <c r="BW884" s="24">
        <v>3285000</v>
      </c>
      <c r="BX884" s="24"/>
      <c r="BY884" s="24">
        <v>3285000</v>
      </c>
      <c r="BZ884" s="24"/>
      <c r="CA884" s="24">
        <v>3285000</v>
      </c>
      <c r="CB884" s="24"/>
      <c r="CC884" s="24">
        <v>3285000</v>
      </c>
      <c r="CD884" s="24"/>
      <c r="CE884" s="24">
        <v>6570000</v>
      </c>
      <c r="CF884" s="28"/>
      <c r="CG884" s="28"/>
      <c r="CH884" s="25">
        <f t="shared" ref="CH884:CI884" si="1625">BH884+BJ884+BL884+BN884+BP884+BR884+BT884+BV884+BX884+BZ884+CB884+CD884+CF884</f>
        <v>0</v>
      </c>
      <c r="CI884" s="25">
        <f t="shared" si="1625"/>
        <v>37777500</v>
      </c>
      <c r="CJ884" s="26">
        <f t="shared" si="1526"/>
        <v>37777500</v>
      </c>
      <c r="CK884" s="26">
        <f t="shared" si="1527"/>
        <v>0</v>
      </c>
    </row>
    <row r="885" spans="1:89" ht="90" customHeight="1" x14ac:dyDescent="0.3">
      <c r="A885" s="13" t="s">
        <v>1891</v>
      </c>
      <c r="B885" s="14" t="s">
        <v>30</v>
      </c>
      <c r="C885" s="15" t="s">
        <v>258</v>
      </c>
      <c r="D885" s="14" t="s">
        <v>258</v>
      </c>
      <c r="E885" s="13" t="s">
        <v>250</v>
      </c>
      <c r="F885" s="13" t="s">
        <v>250</v>
      </c>
      <c r="G885" s="14">
        <v>1</v>
      </c>
      <c r="H885" s="13" t="s">
        <v>2238</v>
      </c>
      <c r="I885" s="15" t="s">
        <v>1893</v>
      </c>
      <c r="J885" s="14" t="s">
        <v>1893</v>
      </c>
      <c r="K885" s="15" t="s">
        <v>1893</v>
      </c>
      <c r="L885" s="14">
        <v>80111620</v>
      </c>
      <c r="M885" s="14" t="s">
        <v>2042</v>
      </c>
      <c r="N885" s="14" t="s">
        <v>253</v>
      </c>
      <c r="O885" s="15" t="s">
        <v>2239</v>
      </c>
      <c r="P885" s="14" t="s">
        <v>255</v>
      </c>
      <c r="Q885" s="14" t="s">
        <v>255</v>
      </c>
      <c r="R885" s="14" t="s">
        <v>255</v>
      </c>
      <c r="S885" s="17">
        <v>11.4</v>
      </c>
      <c r="T885" s="14" t="s">
        <v>256</v>
      </c>
      <c r="U885" s="14" t="s">
        <v>257</v>
      </c>
      <c r="V885" s="14" t="s">
        <v>112</v>
      </c>
      <c r="W885" s="18">
        <v>51300000</v>
      </c>
      <c r="X885" s="18">
        <v>51300000</v>
      </c>
      <c r="Y885" s="19" t="s">
        <v>339</v>
      </c>
      <c r="Z885" s="19" t="s">
        <v>258</v>
      </c>
      <c r="AA885" s="14" t="s">
        <v>971</v>
      </c>
      <c r="AB885" s="14" t="s">
        <v>972</v>
      </c>
      <c r="AC885" s="14">
        <v>6012220601</v>
      </c>
      <c r="AD885" s="14" t="s">
        <v>973</v>
      </c>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c r="BC885" s="82"/>
      <c r="BD885" s="82"/>
      <c r="BE885" s="83"/>
      <c r="BF885" s="83"/>
      <c r="BG885" s="14" t="str">
        <f ca="1">IFERROR(__xludf.DUMMYFUNCTION("REGEXEXTRACT(O879,""^\S+\s(.+)$"")"),"Prestar servicios profesionales a la Subdirección de Demanda, atendiendo las PQRS y demás requerimientos jurídicos relacionados con la certificación de proyectos de FNCE, GEE e Hidrógeno.")</f>
        <v>Prestar servicios profesionales a la Subdirección de Demanda, atendiendo las PQRS y demás requerimientos jurídicos relacionados con la certificación de proyectos de FNCE, GEE e Hidrógeno.</v>
      </c>
      <c r="BH885" s="24"/>
      <c r="BI885" s="24"/>
      <c r="BJ885" s="24"/>
      <c r="BK885" s="24">
        <v>1800000</v>
      </c>
      <c r="BL885" s="24"/>
      <c r="BM885" s="24">
        <v>4500000</v>
      </c>
      <c r="BN885" s="24"/>
      <c r="BO885" s="24">
        <v>4500000</v>
      </c>
      <c r="BP885" s="24"/>
      <c r="BQ885" s="24">
        <v>4500000</v>
      </c>
      <c r="BR885" s="24"/>
      <c r="BS885" s="24">
        <v>4500000</v>
      </c>
      <c r="BT885" s="24"/>
      <c r="BU885" s="24">
        <v>4500000</v>
      </c>
      <c r="BV885" s="24"/>
      <c r="BW885" s="24">
        <v>4500000</v>
      </c>
      <c r="BX885" s="24"/>
      <c r="BY885" s="24">
        <v>4500000</v>
      </c>
      <c r="BZ885" s="24"/>
      <c r="CA885" s="24">
        <v>4500000</v>
      </c>
      <c r="CB885" s="24"/>
      <c r="CC885" s="24">
        <v>4500000</v>
      </c>
      <c r="CD885" s="24"/>
      <c r="CE885" s="24">
        <v>9000000</v>
      </c>
      <c r="CF885" s="28"/>
      <c r="CG885" s="28"/>
      <c r="CH885" s="25">
        <f t="shared" ref="CH885:CI885" si="1626">BH885+BJ885+BL885+BN885+BP885+BR885+BT885+BV885+BX885+BZ885+CB885+CD885+CF885</f>
        <v>0</v>
      </c>
      <c r="CI885" s="25">
        <f t="shared" si="1626"/>
        <v>51300000</v>
      </c>
      <c r="CJ885" s="26">
        <f t="shared" si="1526"/>
        <v>51300000</v>
      </c>
      <c r="CK885" s="26">
        <f t="shared" si="1527"/>
        <v>0</v>
      </c>
    </row>
    <row r="886" spans="1:89" ht="90" customHeight="1" x14ac:dyDescent="0.3">
      <c r="A886" s="13" t="s">
        <v>1891</v>
      </c>
      <c r="B886" s="14" t="s">
        <v>30</v>
      </c>
      <c r="C886" s="15" t="s">
        <v>258</v>
      </c>
      <c r="D886" s="14" t="s">
        <v>258</v>
      </c>
      <c r="E886" s="13" t="s">
        <v>250</v>
      </c>
      <c r="F886" s="13" t="s">
        <v>250</v>
      </c>
      <c r="G886" s="14">
        <v>3</v>
      </c>
      <c r="H886" s="13" t="s">
        <v>2240</v>
      </c>
      <c r="I886" s="15" t="s">
        <v>1893</v>
      </c>
      <c r="J886" s="14" t="s">
        <v>1893</v>
      </c>
      <c r="K886" s="15" t="s">
        <v>1893</v>
      </c>
      <c r="L886" s="14">
        <v>80111620</v>
      </c>
      <c r="M886" s="14" t="s">
        <v>2042</v>
      </c>
      <c r="N886" s="14" t="s">
        <v>253</v>
      </c>
      <c r="O886" s="15" t="s">
        <v>2241</v>
      </c>
      <c r="P886" s="14" t="s">
        <v>255</v>
      </c>
      <c r="Q886" s="14" t="s">
        <v>255</v>
      </c>
      <c r="R886" s="14" t="s">
        <v>255</v>
      </c>
      <c r="S886" s="17">
        <v>11.4</v>
      </c>
      <c r="T886" s="14" t="s">
        <v>256</v>
      </c>
      <c r="U886" s="14" t="s">
        <v>257</v>
      </c>
      <c r="V886" s="14" t="s">
        <v>112</v>
      </c>
      <c r="W886" s="18">
        <v>57000000</v>
      </c>
      <c r="X886" s="18">
        <v>57000000</v>
      </c>
      <c r="Y886" s="19" t="s">
        <v>339</v>
      </c>
      <c r="Z886" s="19" t="s">
        <v>258</v>
      </c>
      <c r="AA886" s="14" t="s">
        <v>971</v>
      </c>
      <c r="AB886" s="14" t="s">
        <v>972</v>
      </c>
      <c r="AC886" s="14">
        <v>6012220601</v>
      </c>
      <c r="AD886" s="14" t="s">
        <v>973</v>
      </c>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c r="BC886" s="82"/>
      <c r="BD886" s="82"/>
      <c r="BE886" s="83"/>
      <c r="BF886" s="83"/>
      <c r="BG886" s="14" t="str">
        <f ca="1">IFERROR(__xludf.DUMMYFUNCTION("REGEXEXTRACT(O880,""^\S+\s(.+)$"")"),"Prestar servicios de apoyo a la gestión para la proyección de las respuestas a las PQRS de la Subdirección de Demanda, estableciendo mecanismos de optimización para el cumplimiento de los términos legal e institucionalmente previstos.")</f>
        <v>Prestar servicios de apoyo a la gestión para la proyección de las respuestas a las PQRS de la Subdirección de Demanda, estableciendo mecanismos de optimización para el cumplimiento de los términos legal e institucionalmente previstos.</v>
      </c>
      <c r="BH886" s="24"/>
      <c r="BI886" s="24"/>
      <c r="BJ886" s="24"/>
      <c r="BK886" s="24">
        <v>2000000</v>
      </c>
      <c r="BL886" s="24"/>
      <c r="BM886" s="24">
        <v>5000000</v>
      </c>
      <c r="BN886" s="24"/>
      <c r="BO886" s="24">
        <v>5000000</v>
      </c>
      <c r="BP886" s="24"/>
      <c r="BQ886" s="24">
        <v>5000000</v>
      </c>
      <c r="BR886" s="24"/>
      <c r="BS886" s="24">
        <v>5000000</v>
      </c>
      <c r="BT886" s="24"/>
      <c r="BU886" s="24">
        <v>5000000</v>
      </c>
      <c r="BV886" s="24"/>
      <c r="BW886" s="24">
        <v>5000000</v>
      </c>
      <c r="BX886" s="24"/>
      <c r="BY886" s="24">
        <v>5000000</v>
      </c>
      <c r="BZ886" s="24"/>
      <c r="CA886" s="24">
        <v>5000000</v>
      </c>
      <c r="CB886" s="24"/>
      <c r="CC886" s="24">
        <v>5000000</v>
      </c>
      <c r="CD886" s="24"/>
      <c r="CE886" s="24">
        <v>10000000</v>
      </c>
      <c r="CF886" s="28"/>
      <c r="CG886" s="28"/>
      <c r="CH886" s="25">
        <f t="shared" ref="CH886:CI886" si="1627">BH886+BJ886+BL886+BN886+BP886+BR886+BT886+BV886+BX886+BZ886+CB886+CD886+CF886</f>
        <v>0</v>
      </c>
      <c r="CI886" s="25">
        <f t="shared" si="1627"/>
        <v>57000000</v>
      </c>
      <c r="CJ886" s="26">
        <f t="shared" si="1526"/>
        <v>57000000</v>
      </c>
      <c r="CK886" s="26">
        <f t="shared" si="1527"/>
        <v>0</v>
      </c>
    </row>
    <row r="887" spans="1:89" ht="90" customHeight="1" x14ac:dyDescent="0.3">
      <c r="A887" s="13" t="s">
        <v>1891</v>
      </c>
      <c r="B887" s="14" t="s">
        <v>30</v>
      </c>
      <c r="C887" s="15" t="s">
        <v>258</v>
      </c>
      <c r="D887" s="14" t="s">
        <v>258</v>
      </c>
      <c r="E887" s="13" t="s">
        <v>250</v>
      </c>
      <c r="F887" s="13" t="s">
        <v>250</v>
      </c>
      <c r="G887" s="14">
        <v>1</v>
      </c>
      <c r="H887" s="13" t="s">
        <v>2242</v>
      </c>
      <c r="I887" s="15" t="s">
        <v>1893</v>
      </c>
      <c r="J887" s="14" t="s">
        <v>1893</v>
      </c>
      <c r="K887" s="15" t="s">
        <v>1893</v>
      </c>
      <c r="L887" s="14">
        <v>80111620</v>
      </c>
      <c r="M887" s="14" t="s">
        <v>2042</v>
      </c>
      <c r="N887" s="14" t="s">
        <v>253</v>
      </c>
      <c r="O887" s="15" t="s">
        <v>2243</v>
      </c>
      <c r="P887" s="14" t="s">
        <v>255</v>
      </c>
      <c r="Q887" s="14" t="s">
        <v>255</v>
      </c>
      <c r="R887" s="14" t="s">
        <v>255</v>
      </c>
      <c r="S887" s="17">
        <v>11.4</v>
      </c>
      <c r="T887" s="14" t="s">
        <v>256</v>
      </c>
      <c r="U887" s="14" t="s">
        <v>257</v>
      </c>
      <c r="V887" s="14" t="s">
        <v>112</v>
      </c>
      <c r="W887" s="18">
        <v>57000000</v>
      </c>
      <c r="X887" s="18">
        <v>57000000</v>
      </c>
      <c r="Y887" s="19" t="s">
        <v>339</v>
      </c>
      <c r="Z887" s="19" t="s">
        <v>258</v>
      </c>
      <c r="AA887" s="14" t="s">
        <v>971</v>
      </c>
      <c r="AB887" s="14" t="s">
        <v>972</v>
      </c>
      <c r="AC887" s="14">
        <v>6012220601</v>
      </c>
      <c r="AD887" s="14" t="s">
        <v>973</v>
      </c>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c r="BC887" s="82"/>
      <c r="BD887" s="82"/>
      <c r="BE887" s="83"/>
      <c r="BF887" s="83"/>
      <c r="BG887" s="14" t="str">
        <f ca="1">IFERROR(__xludf.DUMMYFUNCTION("REGEXEXTRACT(O881,""^\S+\s(.+)$"")"),"Prestar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87" s="24"/>
      <c r="BI887" s="24"/>
      <c r="BJ887" s="24"/>
      <c r="BK887" s="24">
        <v>2000000</v>
      </c>
      <c r="BL887" s="24"/>
      <c r="BM887" s="24">
        <v>5000000</v>
      </c>
      <c r="BN887" s="24"/>
      <c r="BO887" s="24">
        <v>5000000</v>
      </c>
      <c r="BP887" s="24"/>
      <c r="BQ887" s="24">
        <v>5000000</v>
      </c>
      <c r="BR887" s="24"/>
      <c r="BS887" s="24">
        <v>5000000</v>
      </c>
      <c r="BT887" s="24"/>
      <c r="BU887" s="24">
        <v>5000000</v>
      </c>
      <c r="BV887" s="24"/>
      <c r="BW887" s="24">
        <v>5000000</v>
      </c>
      <c r="BX887" s="24"/>
      <c r="BY887" s="24">
        <v>5000000</v>
      </c>
      <c r="BZ887" s="24"/>
      <c r="CA887" s="24">
        <v>5000000</v>
      </c>
      <c r="CB887" s="24"/>
      <c r="CC887" s="24">
        <v>5000000</v>
      </c>
      <c r="CD887" s="24"/>
      <c r="CE887" s="24">
        <v>10000000</v>
      </c>
      <c r="CF887" s="28"/>
      <c r="CG887" s="28"/>
      <c r="CH887" s="25">
        <f t="shared" ref="CH887:CI887" si="1628">BH887+BJ887+BL887+BN887+BP887+BR887+BT887+BV887+BX887+BZ887+CB887+CD887+CF887</f>
        <v>0</v>
      </c>
      <c r="CI887" s="25">
        <f t="shared" si="1628"/>
        <v>57000000</v>
      </c>
      <c r="CJ887" s="26">
        <f t="shared" si="1526"/>
        <v>57000000</v>
      </c>
      <c r="CK887" s="26">
        <f t="shared" si="1527"/>
        <v>0</v>
      </c>
    </row>
    <row r="888" spans="1:89" ht="90" customHeight="1" x14ac:dyDescent="0.3">
      <c r="A888" s="13" t="s">
        <v>1891</v>
      </c>
      <c r="B888" s="14" t="s">
        <v>30</v>
      </c>
      <c r="C888" s="15" t="s">
        <v>258</v>
      </c>
      <c r="D888" s="14" t="s">
        <v>258</v>
      </c>
      <c r="E888" s="13" t="s">
        <v>250</v>
      </c>
      <c r="F888" s="13" t="s">
        <v>250</v>
      </c>
      <c r="G888" s="14">
        <v>1</v>
      </c>
      <c r="H888" s="13" t="s">
        <v>2244</v>
      </c>
      <c r="I888" s="15" t="s">
        <v>1893</v>
      </c>
      <c r="J888" s="14" t="s">
        <v>1893</v>
      </c>
      <c r="K888" s="15" t="s">
        <v>1893</v>
      </c>
      <c r="L888" s="14">
        <v>80111620</v>
      </c>
      <c r="M888" s="14" t="s">
        <v>2042</v>
      </c>
      <c r="N888" s="14" t="s">
        <v>253</v>
      </c>
      <c r="O888" s="15" t="s">
        <v>2245</v>
      </c>
      <c r="P888" s="14" t="s">
        <v>255</v>
      </c>
      <c r="Q888" s="14" t="s">
        <v>255</v>
      </c>
      <c r="R888" s="14" t="s">
        <v>255</v>
      </c>
      <c r="S888" s="17">
        <v>11.5</v>
      </c>
      <c r="T888" s="14" t="s">
        <v>256</v>
      </c>
      <c r="U888" s="14" t="s">
        <v>257</v>
      </c>
      <c r="V888" s="14" t="s">
        <v>112</v>
      </c>
      <c r="W888" s="18">
        <v>46000000</v>
      </c>
      <c r="X888" s="18">
        <v>46000000</v>
      </c>
      <c r="Y888" s="19" t="s">
        <v>339</v>
      </c>
      <c r="Z888" s="19" t="s">
        <v>258</v>
      </c>
      <c r="AA888" s="14" t="s">
        <v>971</v>
      </c>
      <c r="AB888" s="14" t="s">
        <v>972</v>
      </c>
      <c r="AC888" s="14">
        <v>6012220601</v>
      </c>
      <c r="AD888" s="14" t="s">
        <v>973</v>
      </c>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c r="BC888" s="82"/>
      <c r="BD888" s="82"/>
      <c r="BE888" s="83"/>
      <c r="BF888" s="83"/>
      <c r="BG888" s="14" t="str">
        <f ca="1">IFERROR(__xludf.DUMMYFUNCTION("REGEXEXTRACT(O882,""^\S+\s(.+)$"")"),"Prestar servicios profesionales para la gestión jurídica relacionada con los trámites de recursos administrativos contra las decisiones en la evaluación de los proyectos de Fuentes No Convencionales de Energía, Gestión Eficiente de la Energía e Hidrógeno.")</f>
        <v>Prestar servicios profesionales para la gestión jurídica relacionada con los trámites de recursos administrativos contra las decisiones en la evaluación de los proyectos de Fuentes No Convencionales de Energía, Gestión Eficiente de la Energía e Hidrógeno.</v>
      </c>
      <c r="BH888" s="24"/>
      <c r="BI888" s="24"/>
      <c r="BJ888" s="24"/>
      <c r="BK888" s="24">
        <v>2000000</v>
      </c>
      <c r="BL888" s="24"/>
      <c r="BM888" s="24">
        <v>4000000</v>
      </c>
      <c r="BN888" s="24"/>
      <c r="BO888" s="24">
        <v>4000000</v>
      </c>
      <c r="BP888" s="24"/>
      <c r="BQ888" s="24">
        <v>4000000</v>
      </c>
      <c r="BR888" s="24"/>
      <c r="BS888" s="24">
        <v>4000000</v>
      </c>
      <c r="BT888" s="24"/>
      <c r="BU888" s="24">
        <v>4000000</v>
      </c>
      <c r="BV888" s="24"/>
      <c r="BW888" s="24">
        <v>4000000</v>
      </c>
      <c r="BX888" s="24"/>
      <c r="BY888" s="24">
        <v>4000000</v>
      </c>
      <c r="BZ888" s="24"/>
      <c r="CA888" s="24">
        <v>4000000</v>
      </c>
      <c r="CB888" s="24"/>
      <c r="CC888" s="24">
        <v>4000000</v>
      </c>
      <c r="CD888" s="24"/>
      <c r="CE888" s="24">
        <v>8000000</v>
      </c>
      <c r="CF888" s="28"/>
      <c r="CG888" s="28"/>
      <c r="CH888" s="25">
        <f t="shared" ref="CH888:CI888" si="1629">BH888+BJ888+BL888+BN888+BP888+BR888+BT888+BV888+BX888+BZ888+CB888+CD888+CF888</f>
        <v>0</v>
      </c>
      <c r="CI888" s="25">
        <f t="shared" si="1629"/>
        <v>46000000</v>
      </c>
      <c r="CJ888" s="26">
        <f t="shared" si="1526"/>
        <v>46000000</v>
      </c>
      <c r="CK888" s="26">
        <f t="shared" si="1527"/>
        <v>0</v>
      </c>
    </row>
    <row r="889" spans="1:89" ht="90" customHeight="1" x14ac:dyDescent="0.3">
      <c r="A889" s="13" t="s">
        <v>1891</v>
      </c>
      <c r="B889" s="14" t="s">
        <v>30</v>
      </c>
      <c r="C889" s="15" t="s">
        <v>258</v>
      </c>
      <c r="D889" s="14" t="s">
        <v>258</v>
      </c>
      <c r="E889" s="13" t="s">
        <v>250</v>
      </c>
      <c r="F889" s="13" t="s">
        <v>250</v>
      </c>
      <c r="G889" s="14">
        <v>1</v>
      </c>
      <c r="H889" s="13" t="s">
        <v>2246</v>
      </c>
      <c r="I889" s="15" t="s">
        <v>1893</v>
      </c>
      <c r="J889" s="14" t="s">
        <v>1893</v>
      </c>
      <c r="K889" s="15" t="s">
        <v>1893</v>
      </c>
      <c r="L889" s="14">
        <v>80111620</v>
      </c>
      <c r="M889" s="14" t="s">
        <v>2042</v>
      </c>
      <c r="N889" s="14" t="s">
        <v>253</v>
      </c>
      <c r="O889" s="15" t="s">
        <v>2247</v>
      </c>
      <c r="P889" s="14" t="s">
        <v>255</v>
      </c>
      <c r="Q889" s="14" t="s">
        <v>255</v>
      </c>
      <c r="R889" s="14" t="s">
        <v>255</v>
      </c>
      <c r="S889" s="17">
        <v>11.4</v>
      </c>
      <c r="T889" s="14" t="s">
        <v>256</v>
      </c>
      <c r="U889" s="14" t="s">
        <v>257</v>
      </c>
      <c r="V889" s="14" t="s">
        <v>112</v>
      </c>
      <c r="W889" s="18">
        <v>57000000</v>
      </c>
      <c r="X889" s="18">
        <v>57000000</v>
      </c>
      <c r="Y889" s="19" t="s">
        <v>339</v>
      </c>
      <c r="Z889" s="19" t="s">
        <v>258</v>
      </c>
      <c r="AA889" s="14" t="s">
        <v>971</v>
      </c>
      <c r="AB889" s="14" t="s">
        <v>972</v>
      </c>
      <c r="AC889" s="14">
        <v>6012220601</v>
      </c>
      <c r="AD889" s="14" t="s">
        <v>973</v>
      </c>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c r="BC889" s="82"/>
      <c r="BD889" s="82"/>
      <c r="BE889" s="83"/>
      <c r="BF889" s="83"/>
      <c r="BG889" s="14" t="str">
        <f ca="1">IFERROR(__xludf.DUMMYFUNCTION("REGEXEXTRACT(O883,""^\S+\s(.+)$"")"),"Prestar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89" s="24"/>
      <c r="BI889" s="24"/>
      <c r="BJ889" s="24"/>
      <c r="BK889" s="24">
        <v>2000000</v>
      </c>
      <c r="BL889" s="24"/>
      <c r="BM889" s="24">
        <v>5000000</v>
      </c>
      <c r="BN889" s="24"/>
      <c r="BO889" s="24">
        <v>5000000</v>
      </c>
      <c r="BP889" s="24"/>
      <c r="BQ889" s="24">
        <v>5000000</v>
      </c>
      <c r="BR889" s="24"/>
      <c r="BS889" s="24">
        <v>5000000</v>
      </c>
      <c r="BT889" s="24"/>
      <c r="BU889" s="24">
        <v>5000000</v>
      </c>
      <c r="BV889" s="24"/>
      <c r="BW889" s="24">
        <v>5000000</v>
      </c>
      <c r="BX889" s="24"/>
      <c r="BY889" s="24">
        <v>5000000</v>
      </c>
      <c r="BZ889" s="24"/>
      <c r="CA889" s="24">
        <v>5000000</v>
      </c>
      <c r="CB889" s="24"/>
      <c r="CC889" s="24">
        <v>5000000</v>
      </c>
      <c r="CD889" s="24"/>
      <c r="CE889" s="24">
        <v>10000000</v>
      </c>
      <c r="CF889" s="28"/>
      <c r="CG889" s="28"/>
      <c r="CH889" s="25">
        <f t="shared" ref="CH889:CI889" si="1630">BH889+BJ889+BL889+BN889+BP889+BR889+BT889+BV889+BX889+BZ889+CB889+CD889+CF889</f>
        <v>0</v>
      </c>
      <c r="CI889" s="25">
        <f t="shared" si="1630"/>
        <v>57000000</v>
      </c>
      <c r="CJ889" s="26">
        <f t="shared" si="1526"/>
        <v>57000000</v>
      </c>
      <c r="CK889" s="26">
        <f t="shared" si="1527"/>
        <v>0</v>
      </c>
    </row>
    <row r="890" spans="1:89" ht="90" customHeight="1" x14ac:dyDescent="0.3">
      <c r="A890" s="13" t="s">
        <v>1891</v>
      </c>
      <c r="B890" s="14" t="s">
        <v>30</v>
      </c>
      <c r="C890" s="15" t="s">
        <v>258</v>
      </c>
      <c r="D890" s="14" t="s">
        <v>258</v>
      </c>
      <c r="E890" s="13" t="s">
        <v>250</v>
      </c>
      <c r="F890" s="13" t="s">
        <v>250</v>
      </c>
      <c r="G890" s="14">
        <v>1</v>
      </c>
      <c r="H890" s="13" t="s">
        <v>2248</v>
      </c>
      <c r="I890" s="15" t="s">
        <v>1893</v>
      </c>
      <c r="J890" s="14" t="s">
        <v>1893</v>
      </c>
      <c r="K890" s="15" t="s">
        <v>1893</v>
      </c>
      <c r="L890" s="14">
        <v>80111620</v>
      </c>
      <c r="M890" s="14" t="s">
        <v>2042</v>
      </c>
      <c r="N890" s="14" t="s">
        <v>253</v>
      </c>
      <c r="O890" s="15" t="s">
        <v>2249</v>
      </c>
      <c r="P890" s="14" t="s">
        <v>255</v>
      </c>
      <c r="Q890" s="14" t="s">
        <v>255</v>
      </c>
      <c r="R890" s="14" t="s">
        <v>255</v>
      </c>
      <c r="S890" s="17">
        <v>11.5</v>
      </c>
      <c r="T890" s="14" t="s">
        <v>256</v>
      </c>
      <c r="U890" s="14" t="s">
        <v>257</v>
      </c>
      <c r="V890" s="14" t="s">
        <v>112</v>
      </c>
      <c r="W890" s="18">
        <v>57500000</v>
      </c>
      <c r="X890" s="18">
        <v>57500000</v>
      </c>
      <c r="Y890" s="19" t="s">
        <v>339</v>
      </c>
      <c r="Z890" s="19" t="s">
        <v>258</v>
      </c>
      <c r="AA890" s="14" t="s">
        <v>971</v>
      </c>
      <c r="AB890" s="14" t="s">
        <v>972</v>
      </c>
      <c r="AC890" s="14">
        <v>6012220601</v>
      </c>
      <c r="AD890" s="14" t="s">
        <v>973</v>
      </c>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c r="BC890" s="82"/>
      <c r="BD890" s="82"/>
      <c r="BE890" s="83"/>
      <c r="BF890" s="83"/>
      <c r="BG890" s="14" t="str">
        <f ca="1">IFERROR(__xludf.DUMMYFUNCTION("REGEXEXTRACT(O884,""^\S+\s(.+)$"")"),"Prestar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90" s="24"/>
      <c r="BI890" s="24"/>
      <c r="BJ890" s="24"/>
      <c r="BK890" s="24">
        <v>2500000</v>
      </c>
      <c r="BL890" s="24"/>
      <c r="BM890" s="24">
        <v>5000000</v>
      </c>
      <c r="BN890" s="24"/>
      <c r="BO890" s="24">
        <v>5000000</v>
      </c>
      <c r="BP890" s="24"/>
      <c r="BQ890" s="24">
        <v>5000000</v>
      </c>
      <c r="BR890" s="24"/>
      <c r="BS890" s="24">
        <v>5000000</v>
      </c>
      <c r="BT890" s="24"/>
      <c r="BU890" s="24">
        <v>5000000</v>
      </c>
      <c r="BV890" s="24"/>
      <c r="BW890" s="24">
        <v>5000000</v>
      </c>
      <c r="BX890" s="24"/>
      <c r="BY890" s="24">
        <v>5000000</v>
      </c>
      <c r="BZ890" s="24"/>
      <c r="CA890" s="24">
        <v>5000000</v>
      </c>
      <c r="CB890" s="24"/>
      <c r="CC890" s="24">
        <v>5000000</v>
      </c>
      <c r="CD890" s="24"/>
      <c r="CE890" s="24">
        <v>10000000</v>
      </c>
      <c r="CF890" s="28"/>
      <c r="CG890" s="28"/>
      <c r="CH890" s="25">
        <f t="shared" ref="CH890:CI890" si="1631">BH890+BJ890+BL890+BN890+BP890+BR890+BT890+BV890+BX890+BZ890+CB890+CD890+CF890</f>
        <v>0</v>
      </c>
      <c r="CI890" s="25">
        <f t="shared" si="1631"/>
        <v>57500000</v>
      </c>
      <c r="CJ890" s="26">
        <f t="shared" si="1526"/>
        <v>57500000</v>
      </c>
      <c r="CK890" s="26">
        <f t="shared" si="1527"/>
        <v>0</v>
      </c>
    </row>
    <row r="891" spans="1:89" ht="90" customHeight="1" x14ac:dyDescent="0.3">
      <c r="A891" s="13" t="s">
        <v>1891</v>
      </c>
      <c r="B891" s="14" t="s">
        <v>30</v>
      </c>
      <c r="C891" s="15" t="s">
        <v>258</v>
      </c>
      <c r="D891" s="14" t="s">
        <v>258</v>
      </c>
      <c r="E891" s="13" t="s">
        <v>250</v>
      </c>
      <c r="F891" s="13" t="s">
        <v>250</v>
      </c>
      <c r="G891" s="14">
        <v>3</v>
      </c>
      <c r="H891" s="13" t="s">
        <v>2250</v>
      </c>
      <c r="I891" s="15" t="s">
        <v>1893</v>
      </c>
      <c r="J891" s="14" t="s">
        <v>1893</v>
      </c>
      <c r="K891" s="15" t="s">
        <v>1893</v>
      </c>
      <c r="L891" s="14">
        <v>80111620</v>
      </c>
      <c r="M891" s="14" t="s">
        <v>2042</v>
      </c>
      <c r="N891" s="14" t="s">
        <v>253</v>
      </c>
      <c r="O891" s="86" t="s">
        <v>2251</v>
      </c>
      <c r="P891" s="14" t="s">
        <v>255</v>
      </c>
      <c r="Q891" s="14" t="s">
        <v>255</v>
      </c>
      <c r="R891" s="14" t="s">
        <v>255</v>
      </c>
      <c r="S891" s="17">
        <v>11.5</v>
      </c>
      <c r="T891" s="14" t="s">
        <v>256</v>
      </c>
      <c r="U891" s="14" t="s">
        <v>257</v>
      </c>
      <c r="V891" s="14" t="s">
        <v>112</v>
      </c>
      <c r="W891" s="18">
        <v>46000000</v>
      </c>
      <c r="X891" s="18">
        <v>46000000</v>
      </c>
      <c r="Y891" s="19" t="s">
        <v>339</v>
      </c>
      <c r="Z891" s="19" t="s">
        <v>258</v>
      </c>
      <c r="AA891" s="14" t="s">
        <v>971</v>
      </c>
      <c r="AB891" s="14" t="s">
        <v>972</v>
      </c>
      <c r="AC891" s="14">
        <v>6012220601</v>
      </c>
      <c r="AD891" s="14" t="s">
        <v>973</v>
      </c>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c r="BC891" s="82"/>
      <c r="BD891" s="82"/>
      <c r="BE891" s="83"/>
      <c r="BF891" s="83"/>
      <c r="BG891" s="14" t="str">
        <f ca="1">IFERROR(__xludf.DUMMYFUNCTION("REGEXEXTRACT(O885,""^\S+\s(.+)$"")"),"Prestar servicios profesionales en la gestión de respuestas a las PQRS y demás trámites de índole jurídico radicadas en la entidad asociadas al trámite de incentivos tributarios, cumpliendo los términos legales.")</f>
        <v>Prestar servicios profesionales en la gestión de respuestas a las PQRS y demás trámites de índole jurídico radicadas en la entidad asociadas al trámite de incentivos tributarios, cumpliendo los términos legales.</v>
      </c>
      <c r="BH891" s="24"/>
      <c r="BI891" s="24"/>
      <c r="BJ891" s="24"/>
      <c r="BK891" s="24">
        <v>2000000</v>
      </c>
      <c r="BL891" s="24"/>
      <c r="BM891" s="24">
        <v>4000000</v>
      </c>
      <c r="BN891" s="24"/>
      <c r="BO891" s="24">
        <v>4000000</v>
      </c>
      <c r="BP891" s="24"/>
      <c r="BQ891" s="24">
        <v>4000000</v>
      </c>
      <c r="BR891" s="24"/>
      <c r="BS891" s="24">
        <v>4000000</v>
      </c>
      <c r="BT891" s="24"/>
      <c r="BU891" s="24">
        <v>4000000</v>
      </c>
      <c r="BV891" s="24"/>
      <c r="BW891" s="24">
        <v>4000000</v>
      </c>
      <c r="BX891" s="24"/>
      <c r="BY891" s="24">
        <v>4000000</v>
      </c>
      <c r="BZ891" s="24"/>
      <c r="CA891" s="24">
        <v>4000000</v>
      </c>
      <c r="CB891" s="24"/>
      <c r="CC891" s="24">
        <v>4000000</v>
      </c>
      <c r="CD891" s="24"/>
      <c r="CE891" s="24">
        <v>8000000</v>
      </c>
      <c r="CF891" s="28"/>
      <c r="CG891" s="28"/>
      <c r="CH891" s="25">
        <f t="shared" ref="CH891:CI891" si="1632">BH891+BJ891+BL891+BN891+BP891+BR891+BT891+BV891+BX891+BZ891+CB891+CD891+CF891</f>
        <v>0</v>
      </c>
      <c r="CI891" s="25">
        <f t="shared" si="1632"/>
        <v>46000000</v>
      </c>
      <c r="CJ891" s="26">
        <f t="shared" si="1526"/>
        <v>46000000</v>
      </c>
      <c r="CK891" s="26">
        <f t="shared" si="1527"/>
        <v>0</v>
      </c>
    </row>
    <row r="892" spans="1:89" ht="90" customHeight="1" x14ac:dyDescent="0.3">
      <c r="A892" s="13" t="s">
        <v>1891</v>
      </c>
      <c r="B892" s="14" t="s">
        <v>30</v>
      </c>
      <c r="C892" s="15" t="s">
        <v>258</v>
      </c>
      <c r="D892" s="14" t="s">
        <v>258</v>
      </c>
      <c r="E892" s="13" t="s">
        <v>250</v>
      </c>
      <c r="F892" s="13" t="s">
        <v>250</v>
      </c>
      <c r="G892" s="14">
        <v>68</v>
      </c>
      <c r="H892" s="13" t="s">
        <v>2252</v>
      </c>
      <c r="I892" s="15" t="s">
        <v>1893</v>
      </c>
      <c r="J892" s="14" t="s">
        <v>1893</v>
      </c>
      <c r="K892" s="15" t="s">
        <v>1893</v>
      </c>
      <c r="L892" s="14">
        <v>80111620</v>
      </c>
      <c r="M892" s="14" t="s">
        <v>2042</v>
      </c>
      <c r="N892" s="14" t="s">
        <v>253</v>
      </c>
      <c r="O892" s="15" t="s">
        <v>2253</v>
      </c>
      <c r="P892" s="14" t="s">
        <v>255</v>
      </c>
      <c r="Q892" s="14" t="s">
        <v>255</v>
      </c>
      <c r="R892" s="14" t="s">
        <v>255</v>
      </c>
      <c r="S892" s="17">
        <v>11.4</v>
      </c>
      <c r="T892" s="14" t="s">
        <v>256</v>
      </c>
      <c r="U892" s="14" t="s">
        <v>257</v>
      </c>
      <c r="V892" s="14" t="s">
        <v>112</v>
      </c>
      <c r="W892" s="18">
        <v>57000000</v>
      </c>
      <c r="X892" s="18">
        <v>57000000</v>
      </c>
      <c r="Y892" s="19" t="s">
        <v>339</v>
      </c>
      <c r="Z892" s="19" t="s">
        <v>258</v>
      </c>
      <c r="AA892" s="14" t="s">
        <v>971</v>
      </c>
      <c r="AB892" s="14" t="s">
        <v>972</v>
      </c>
      <c r="AC892" s="14">
        <v>6012220601</v>
      </c>
      <c r="AD892" s="14" t="s">
        <v>973</v>
      </c>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c r="BC892" s="82"/>
      <c r="BD892" s="82"/>
      <c r="BE892" s="83"/>
      <c r="BF892" s="83"/>
      <c r="BG892" s="14" t="str">
        <f ca="1">IFERROR(__xludf.DUMMYFUNCTION("REGEXEXTRACT(O886,""^\S+\s(.+)$"")"),"Prestar servicios profesionales para la proyección de las respuestas a las PQRS de la entidad a nivel jurídico relacionadas con el trámite de Incentivos tributarios, así como el acompañamiento en los procesos contractuales requeridos dentro de la Subdirec"&amp;"ción de Demanda.")</f>
        <v>Prestar servicios profesionales para la proyección de las respuestas a las PQRS de la entidad a nivel jurídico relacionadas con el trámite de Incentivos tributarios, así como el acompañamiento en los procesos contractuales requeridos dentro de la Subdirección de Demanda.</v>
      </c>
      <c r="BH892" s="24"/>
      <c r="BI892" s="24"/>
      <c r="BJ892" s="24"/>
      <c r="BK892" s="24">
        <v>2000000</v>
      </c>
      <c r="BL892" s="24"/>
      <c r="BM892" s="24">
        <v>5000000</v>
      </c>
      <c r="BN892" s="24"/>
      <c r="BO892" s="24">
        <v>5000000</v>
      </c>
      <c r="BP892" s="24"/>
      <c r="BQ892" s="24">
        <v>5000000</v>
      </c>
      <c r="BR892" s="24"/>
      <c r="BS892" s="24">
        <v>5000000</v>
      </c>
      <c r="BT892" s="24"/>
      <c r="BU892" s="24">
        <v>5000000</v>
      </c>
      <c r="BV892" s="24"/>
      <c r="BW892" s="24">
        <v>5000000</v>
      </c>
      <c r="BX892" s="24"/>
      <c r="BY892" s="24">
        <v>5000000</v>
      </c>
      <c r="BZ892" s="24"/>
      <c r="CA892" s="24">
        <v>5000000</v>
      </c>
      <c r="CB892" s="24"/>
      <c r="CC892" s="24">
        <v>5000000</v>
      </c>
      <c r="CD892" s="24"/>
      <c r="CE892" s="24">
        <v>10000000</v>
      </c>
      <c r="CF892" s="28"/>
      <c r="CG892" s="28"/>
      <c r="CH892" s="25">
        <f t="shared" ref="CH892:CI892" si="1633">BH892+BJ892+BL892+BN892+BP892+BR892+BT892+BV892+BX892+BZ892+CB892+CD892+CF892</f>
        <v>0</v>
      </c>
      <c r="CI892" s="25">
        <f t="shared" si="1633"/>
        <v>57000000</v>
      </c>
      <c r="CJ892" s="26">
        <f t="shared" si="1526"/>
        <v>57000000</v>
      </c>
      <c r="CK892" s="26">
        <f t="shared" si="1527"/>
        <v>0</v>
      </c>
    </row>
    <row r="893" spans="1:89" ht="90" customHeight="1" x14ac:dyDescent="0.3">
      <c r="A893" s="13" t="s">
        <v>1891</v>
      </c>
      <c r="B893" s="14" t="s">
        <v>30</v>
      </c>
      <c r="C893" s="15" t="s">
        <v>258</v>
      </c>
      <c r="D893" s="14" t="s">
        <v>258</v>
      </c>
      <c r="E893" s="13" t="s">
        <v>250</v>
      </c>
      <c r="F893" s="13" t="s">
        <v>250</v>
      </c>
      <c r="G893" s="14">
        <v>1</v>
      </c>
      <c r="H893" s="13" t="s">
        <v>2254</v>
      </c>
      <c r="I893" s="15" t="s">
        <v>1893</v>
      </c>
      <c r="J893" s="14" t="s">
        <v>1893</v>
      </c>
      <c r="K893" s="15" t="s">
        <v>1893</v>
      </c>
      <c r="L893" s="14">
        <v>80111620</v>
      </c>
      <c r="M893" s="14" t="s">
        <v>2042</v>
      </c>
      <c r="N893" s="14" t="s">
        <v>253</v>
      </c>
      <c r="O893" s="15" t="s">
        <v>2255</v>
      </c>
      <c r="P893" s="14" t="s">
        <v>255</v>
      </c>
      <c r="Q893" s="14" t="s">
        <v>255</v>
      </c>
      <c r="R893" s="14" t="s">
        <v>255</v>
      </c>
      <c r="S893" s="17">
        <v>11.5</v>
      </c>
      <c r="T893" s="14" t="s">
        <v>256</v>
      </c>
      <c r="U893" s="14" t="s">
        <v>257</v>
      </c>
      <c r="V893" s="14" t="s">
        <v>112</v>
      </c>
      <c r="W893" s="18">
        <v>63250000</v>
      </c>
      <c r="X893" s="18">
        <v>63250000</v>
      </c>
      <c r="Y893" s="19" t="s">
        <v>339</v>
      </c>
      <c r="Z893" s="19" t="s">
        <v>258</v>
      </c>
      <c r="AA893" s="14" t="s">
        <v>971</v>
      </c>
      <c r="AB893" s="14" t="s">
        <v>972</v>
      </c>
      <c r="AC893" s="14">
        <v>6012220601</v>
      </c>
      <c r="AD893" s="14" t="s">
        <v>973</v>
      </c>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c r="BC893" s="82"/>
      <c r="BD893" s="82"/>
      <c r="BE893" s="83"/>
      <c r="BF893" s="83"/>
      <c r="BG893" s="14" t="str">
        <f ca="1">IFERROR(__xludf.DUMMYFUNCTION("REGEXEXTRACT(O887,""^\S+\s(.+)$"")"),"Prestar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93" s="24"/>
      <c r="BI893" s="24"/>
      <c r="BJ893" s="24"/>
      <c r="BK893" s="24">
        <v>2750000</v>
      </c>
      <c r="BL893" s="24"/>
      <c r="BM893" s="24">
        <v>5500000</v>
      </c>
      <c r="BN893" s="24"/>
      <c r="BO893" s="24">
        <v>5500000</v>
      </c>
      <c r="BP893" s="24"/>
      <c r="BQ893" s="24">
        <v>5500000</v>
      </c>
      <c r="BR893" s="24"/>
      <c r="BS893" s="24">
        <v>5500000</v>
      </c>
      <c r="BT893" s="24"/>
      <c r="BU893" s="24">
        <v>5500000</v>
      </c>
      <c r="BV893" s="24"/>
      <c r="BW893" s="24">
        <v>5500000</v>
      </c>
      <c r="BX893" s="24"/>
      <c r="BY893" s="24">
        <v>5500000</v>
      </c>
      <c r="BZ893" s="24"/>
      <c r="CA893" s="24">
        <v>5500000</v>
      </c>
      <c r="CB893" s="24"/>
      <c r="CC893" s="24">
        <v>5500000</v>
      </c>
      <c r="CD893" s="24"/>
      <c r="CE893" s="24">
        <v>11000000</v>
      </c>
      <c r="CF893" s="28"/>
      <c r="CG893" s="28"/>
      <c r="CH893" s="25">
        <f t="shared" ref="CH893:CI893" si="1634">BH893+BJ893+BL893+BN893+BP893+BR893+BT893+BV893+BX893+BZ893+CB893+CD893+CF893</f>
        <v>0</v>
      </c>
      <c r="CI893" s="25">
        <f t="shared" si="1634"/>
        <v>63250000</v>
      </c>
      <c r="CJ893" s="26">
        <f t="shared" si="1526"/>
        <v>63250000</v>
      </c>
      <c r="CK893" s="26">
        <f t="shared" si="1527"/>
        <v>0</v>
      </c>
    </row>
    <row r="894" spans="1:89" ht="90" customHeight="1" x14ac:dyDescent="0.3">
      <c r="A894" s="13" t="s">
        <v>1891</v>
      </c>
      <c r="B894" s="14" t="s">
        <v>30</v>
      </c>
      <c r="C894" s="15" t="s">
        <v>258</v>
      </c>
      <c r="D894" s="14" t="s">
        <v>258</v>
      </c>
      <c r="E894" s="13" t="s">
        <v>250</v>
      </c>
      <c r="F894" s="13" t="s">
        <v>250</v>
      </c>
      <c r="G894" s="14">
        <v>10</v>
      </c>
      <c r="H894" s="13" t="s">
        <v>2256</v>
      </c>
      <c r="I894" s="15" t="s">
        <v>1893</v>
      </c>
      <c r="J894" s="14" t="s">
        <v>1893</v>
      </c>
      <c r="K894" s="15" t="s">
        <v>1893</v>
      </c>
      <c r="L894" s="14">
        <v>80111620</v>
      </c>
      <c r="M894" s="14" t="s">
        <v>2045</v>
      </c>
      <c r="N894" s="14" t="s">
        <v>253</v>
      </c>
      <c r="O894" s="15" t="s">
        <v>2257</v>
      </c>
      <c r="P894" s="14" t="s">
        <v>255</v>
      </c>
      <c r="Q894" s="14" t="s">
        <v>255</v>
      </c>
      <c r="R894" s="14" t="s">
        <v>255</v>
      </c>
      <c r="S894" s="17">
        <v>5</v>
      </c>
      <c r="T894" s="14" t="s">
        <v>256</v>
      </c>
      <c r="U894" s="14" t="s">
        <v>257</v>
      </c>
      <c r="V894" s="14" t="s">
        <v>112</v>
      </c>
      <c r="W894" s="18">
        <v>20500000</v>
      </c>
      <c r="X894" s="18">
        <v>20500000</v>
      </c>
      <c r="Y894" s="19" t="s">
        <v>339</v>
      </c>
      <c r="Z894" s="19" t="s">
        <v>258</v>
      </c>
      <c r="AA894" s="14" t="s">
        <v>971</v>
      </c>
      <c r="AB894" s="14" t="s">
        <v>972</v>
      </c>
      <c r="AC894" s="14">
        <v>6012220601</v>
      </c>
      <c r="AD894" s="14" t="s">
        <v>973</v>
      </c>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c r="BC894" s="82"/>
      <c r="BD894" s="82"/>
      <c r="BE894" s="83"/>
      <c r="BF894" s="83"/>
      <c r="BG894" s="14" t="str">
        <f ca="1">IFERROR(__xludf.DUMMYFUNCTION("REGEXEXTRACT(O888,""^\S+\s(.+)$"")"),"Prestar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94" s="24"/>
      <c r="BI894" s="24"/>
      <c r="BJ894" s="24">
        <v>0</v>
      </c>
      <c r="BK894" s="24">
        <v>0</v>
      </c>
      <c r="BL894" s="24">
        <v>0</v>
      </c>
      <c r="BM894" s="24">
        <v>4100000</v>
      </c>
      <c r="BN894" s="24">
        <v>0</v>
      </c>
      <c r="BO894" s="24">
        <v>4100000</v>
      </c>
      <c r="BP894" s="24">
        <v>0</v>
      </c>
      <c r="BQ894" s="24">
        <v>4100000</v>
      </c>
      <c r="BR894" s="24">
        <v>0</v>
      </c>
      <c r="BS894" s="24">
        <v>4100000</v>
      </c>
      <c r="BT894" s="24">
        <v>0</v>
      </c>
      <c r="BU894" s="24">
        <v>4100000</v>
      </c>
      <c r="BV894" s="24">
        <v>0</v>
      </c>
      <c r="BW894" s="24"/>
      <c r="BX894" s="24">
        <v>0</v>
      </c>
      <c r="BY894" s="24"/>
      <c r="BZ894" s="24">
        <v>0</v>
      </c>
      <c r="CA894" s="24"/>
      <c r="CB894" s="24">
        <v>0</v>
      </c>
      <c r="CC894" s="24"/>
      <c r="CD894" s="24">
        <v>0</v>
      </c>
      <c r="CE894" s="24"/>
      <c r="CF894" s="28"/>
      <c r="CG894" s="28"/>
      <c r="CH894" s="25">
        <f t="shared" ref="CH894:CI894" si="1635">BH894+BJ894+BL894+BN894+BP894+BR894+BT894+BV894+BX894+BZ894+CB894+CD894+CF894</f>
        <v>0</v>
      </c>
      <c r="CI894" s="25">
        <f t="shared" si="1635"/>
        <v>20500000</v>
      </c>
      <c r="CJ894" s="26">
        <f t="shared" si="1526"/>
        <v>20500000</v>
      </c>
      <c r="CK894" s="26">
        <f t="shared" si="1527"/>
        <v>0</v>
      </c>
    </row>
    <row r="895" spans="1:89" ht="90" customHeight="1" x14ac:dyDescent="0.3">
      <c r="A895" s="13" t="s">
        <v>1891</v>
      </c>
      <c r="B895" s="14" t="s">
        <v>30</v>
      </c>
      <c r="C895" s="15" t="s">
        <v>258</v>
      </c>
      <c r="D895" s="14" t="s">
        <v>258</v>
      </c>
      <c r="E895" s="13" t="s">
        <v>250</v>
      </c>
      <c r="F895" s="13" t="s">
        <v>250</v>
      </c>
      <c r="G895" s="14">
        <v>10</v>
      </c>
      <c r="H895" s="13" t="s">
        <v>2258</v>
      </c>
      <c r="I895" s="15" t="s">
        <v>1893</v>
      </c>
      <c r="J895" s="14" t="s">
        <v>1893</v>
      </c>
      <c r="K895" s="15" t="s">
        <v>1893</v>
      </c>
      <c r="L895" s="14">
        <v>80111620</v>
      </c>
      <c r="M895" s="14" t="s">
        <v>2045</v>
      </c>
      <c r="N895" s="14" t="s">
        <v>253</v>
      </c>
      <c r="O895" s="15" t="s">
        <v>2259</v>
      </c>
      <c r="P895" s="14" t="s">
        <v>255</v>
      </c>
      <c r="Q895" s="14" t="s">
        <v>255</v>
      </c>
      <c r="R895" s="14" t="s">
        <v>255</v>
      </c>
      <c r="S895" s="17">
        <v>6</v>
      </c>
      <c r="T895" s="14" t="s">
        <v>256</v>
      </c>
      <c r="U895" s="14" t="s">
        <v>257</v>
      </c>
      <c r="V895" s="14" t="s">
        <v>112</v>
      </c>
      <c r="W895" s="18">
        <v>24000000</v>
      </c>
      <c r="X895" s="18">
        <v>24000000</v>
      </c>
      <c r="Y895" s="19" t="s">
        <v>339</v>
      </c>
      <c r="Z895" s="19" t="s">
        <v>258</v>
      </c>
      <c r="AA895" s="14" t="s">
        <v>971</v>
      </c>
      <c r="AB895" s="14" t="s">
        <v>972</v>
      </c>
      <c r="AC895" s="14">
        <v>6012220601</v>
      </c>
      <c r="AD895" s="14" t="s">
        <v>973</v>
      </c>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c r="BC895" s="82"/>
      <c r="BD895" s="82"/>
      <c r="BE895" s="83"/>
      <c r="BF895" s="83"/>
      <c r="BG895" s="14" t="str">
        <f ca="1">IFERROR(__xludf.DUMMYFUNCTION("REGEXEXTRACT(O889,""^\S+\s(.+)$"")"),"Prestar servicios profesionales para contribuir en la implementación y seguimiento de los planes de mejoramiento mediante el análisis , consolidación y documentación de los procesos, asi como el desarrollo de las actividades de indole administrativo dentr"&amp;"o de la Subdireccion de Demanda")</f>
        <v>Prestar servicios profesionales para contribuir en la implementación y seguimiento de los planes de mejoramiento mediante el análisis , consolidación y documentación de los procesos, asi como el desarrollo de las actividades de indole administrativo dentro de la Subdireccion de Demanda</v>
      </c>
      <c r="BH895" s="24"/>
      <c r="BI895" s="24"/>
      <c r="BJ895" s="24">
        <v>0</v>
      </c>
      <c r="BK895" s="24">
        <v>0</v>
      </c>
      <c r="BL895" s="24">
        <v>0</v>
      </c>
      <c r="BM895" s="24">
        <v>4000000</v>
      </c>
      <c r="BN895" s="24">
        <v>0</v>
      </c>
      <c r="BO895" s="24">
        <v>4000000</v>
      </c>
      <c r="BP895" s="24">
        <v>0</v>
      </c>
      <c r="BQ895" s="24">
        <v>4000000</v>
      </c>
      <c r="BR895" s="24">
        <v>0</v>
      </c>
      <c r="BS895" s="24">
        <v>4000000</v>
      </c>
      <c r="BT895" s="24">
        <v>0</v>
      </c>
      <c r="BU895" s="24">
        <v>4000000</v>
      </c>
      <c r="BV895" s="24">
        <v>0</v>
      </c>
      <c r="BW895" s="24">
        <v>4000000</v>
      </c>
      <c r="BX895" s="24">
        <v>0</v>
      </c>
      <c r="BY895" s="24">
        <v>0</v>
      </c>
      <c r="BZ895" s="24">
        <v>0</v>
      </c>
      <c r="CA895" s="24">
        <v>0</v>
      </c>
      <c r="CB895" s="24">
        <v>0</v>
      </c>
      <c r="CC895" s="24">
        <v>0</v>
      </c>
      <c r="CD895" s="24">
        <v>0</v>
      </c>
      <c r="CE895" s="24">
        <v>0</v>
      </c>
      <c r="CF895" s="28"/>
      <c r="CG895" s="28"/>
      <c r="CH895" s="25">
        <f t="shared" ref="CH895:CI895" si="1636">BH895+BJ895+BL895+BN895+BP895+BR895+BT895+BV895+BX895+BZ895+CB895+CD895+CF895</f>
        <v>0</v>
      </c>
      <c r="CI895" s="25">
        <f t="shared" si="1636"/>
        <v>24000000</v>
      </c>
      <c r="CJ895" s="26">
        <f t="shared" si="1526"/>
        <v>24000000</v>
      </c>
      <c r="CK895" s="26">
        <f t="shared" si="1527"/>
        <v>0</v>
      </c>
    </row>
    <row r="896" spans="1:89" ht="90" customHeight="1" x14ac:dyDescent="0.3">
      <c r="A896" s="13" t="s">
        <v>1891</v>
      </c>
      <c r="B896" s="14" t="s">
        <v>30</v>
      </c>
      <c r="C896" s="15" t="s">
        <v>258</v>
      </c>
      <c r="D896" s="14" t="s">
        <v>258</v>
      </c>
      <c r="E896" s="13" t="s">
        <v>250</v>
      </c>
      <c r="F896" s="13" t="s">
        <v>250</v>
      </c>
      <c r="G896" s="14">
        <v>10</v>
      </c>
      <c r="H896" s="13" t="s">
        <v>2260</v>
      </c>
      <c r="I896" s="15" t="s">
        <v>1893</v>
      </c>
      <c r="J896" s="14" t="s">
        <v>1893</v>
      </c>
      <c r="K896" s="15" t="s">
        <v>1893</v>
      </c>
      <c r="L896" s="14">
        <v>80111620</v>
      </c>
      <c r="M896" s="14" t="s">
        <v>2045</v>
      </c>
      <c r="N896" s="14" t="s">
        <v>253</v>
      </c>
      <c r="O896" s="15" t="s">
        <v>2261</v>
      </c>
      <c r="P896" s="14" t="s">
        <v>255</v>
      </c>
      <c r="Q896" s="14" t="s">
        <v>255</v>
      </c>
      <c r="R896" s="14" t="s">
        <v>255</v>
      </c>
      <c r="S896" s="17">
        <v>11</v>
      </c>
      <c r="T896" s="14" t="s">
        <v>256</v>
      </c>
      <c r="U896" s="14" t="s">
        <v>257</v>
      </c>
      <c r="V896" s="14" t="s">
        <v>112</v>
      </c>
      <c r="W896" s="18">
        <v>37000000</v>
      </c>
      <c r="X896" s="18">
        <v>37000000</v>
      </c>
      <c r="Y896" s="19" t="s">
        <v>339</v>
      </c>
      <c r="Z896" s="19" t="s">
        <v>258</v>
      </c>
      <c r="AA896" s="14" t="s">
        <v>971</v>
      </c>
      <c r="AB896" s="14" t="s">
        <v>972</v>
      </c>
      <c r="AC896" s="14">
        <v>6012220601</v>
      </c>
      <c r="AD896" s="14" t="s">
        <v>973</v>
      </c>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c r="BC896" s="82"/>
      <c r="BD896" s="82"/>
      <c r="BE896" s="83"/>
      <c r="BF896" s="83"/>
      <c r="BG896" s="14" t="str">
        <f ca="1">IFERROR(__xludf.DUMMYFUNCTION("REGEXEXTRACT(O890,""^\S+\s(.+)$"")"),"Prestar servicios profesionales para la comunicación , divulgación y socialización de la planeación energética con enfoque en descarbonización, conforme a los lineamientos de la UPME.")</f>
        <v>Prestar servicios profesionales para la comunicación , divulgación y socialización de la planeación energética con enfoque en descarbonización, conforme a los lineamientos de la UPME.</v>
      </c>
      <c r="BH896" s="24"/>
      <c r="BI896" s="24"/>
      <c r="BJ896" s="24">
        <v>0</v>
      </c>
      <c r="BK896" s="24">
        <v>0</v>
      </c>
      <c r="BL896" s="24">
        <v>0</v>
      </c>
      <c r="BM896" s="24">
        <v>3363000</v>
      </c>
      <c r="BN896" s="24">
        <v>0</v>
      </c>
      <c r="BO896" s="24">
        <v>3363000</v>
      </c>
      <c r="BP896" s="24">
        <v>0</v>
      </c>
      <c r="BQ896" s="24">
        <v>3363000</v>
      </c>
      <c r="BR896" s="24">
        <v>0</v>
      </c>
      <c r="BS896" s="24">
        <v>3363000</v>
      </c>
      <c r="BT896" s="24">
        <v>0</v>
      </c>
      <c r="BU896" s="24">
        <v>3363000</v>
      </c>
      <c r="BV896" s="24">
        <v>0</v>
      </c>
      <c r="BW896" s="24">
        <v>3363000</v>
      </c>
      <c r="BX896" s="24">
        <v>0</v>
      </c>
      <c r="BY896" s="24">
        <v>3363000</v>
      </c>
      <c r="BZ896" s="24">
        <v>0</v>
      </c>
      <c r="CA896" s="24">
        <v>3363000</v>
      </c>
      <c r="CB896" s="24">
        <v>0</v>
      </c>
      <c r="CC896" s="24">
        <v>3363000</v>
      </c>
      <c r="CD896" s="24">
        <v>0</v>
      </c>
      <c r="CE896" s="24">
        <v>6733000</v>
      </c>
      <c r="CF896" s="28"/>
      <c r="CG896" s="28"/>
      <c r="CH896" s="25">
        <f t="shared" ref="CH896:CI896" si="1637">BH896+BJ896+BL896+BN896+BP896+BR896+BT896+BV896+BX896+BZ896+CB896+CD896+CF896</f>
        <v>0</v>
      </c>
      <c r="CI896" s="25">
        <f t="shared" si="1637"/>
        <v>37000000</v>
      </c>
      <c r="CJ896" s="26">
        <f t="shared" si="1526"/>
        <v>37000000</v>
      </c>
      <c r="CK896" s="26">
        <f t="shared" si="1527"/>
        <v>0</v>
      </c>
    </row>
    <row r="897" spans="1:89" ht="90" customHeight="1" x14ac:dyDescent="0.3">
      <c r="A897" s="13" t="s">
        <v>1891</v>
      </c>
      <c r="B897" s="14" t="s">
        <v>30</v>
      </c>
      <c r="C897" s="15" t="s">
        <v>258</v>
      </c>
      <c r="D897" s="14" t="s">
        <v>258</v>
      </c>
      <c r="E897" s="13" t="s">
        <v>250</v>
      </c>
      <c r="F897" s="13" t="s">
        <v>250</v>
      </c>
      <c r="G897" s="14">
        <v>8</v>
      </c>
      <c r="H897" s="13" t="s">
        <v>2262</v>
      </c>
      <c r="I897" s="15" t="s">
        <v>1893</v>
      </c>
      <c r="J897" s="14" t="s">
        <v>1893</v>
      </c>
      <c r="K897" s="15" t="s">
        <v>1893</v>
      </c>
      <c r="L897" s="14">
        <v>80111620</v>
      </c>
      <c r="M897" s="14" t="s">
        <v>2045</v>
      </c>
      <c r="N897" s="14" t="s">
        <v>253</v>
      </c>
      <c r="O897" s="15" t="s">
        <v>2263</v>
      </c>
      <c r="P897" s="14" t="s">
        <v>255</v>
      </c>
      <c r="Q897" s="14" t="s">
        <v>255</v>
      </c>
      <c r="R897" s="14" t="s">
        <v>255</v>
      </c>
      <c r="S897" s="17">
        <v>11</v>
      </c>
      <c r="T897" s="14" t="s">
        <v>256</v>
      </c>
      <c r="U897" s="14" t="s">
        <v>257</v>
      </c>
      <c r="V897" s="14" t="s">
        <v>112</v>
      </c>
      <c r="W897" s="18">
        <v>20000000</v>
      </c>
      <c r="X897" s="18">
        <v>20000000</v>
      </c>
      <c r="Y897" s="19" t="s">
        <v>339</v>
      </c>
      <c r="Z897" s="19" t="s">
        <v>258</v>
      </c>
      <c r="AA897" s="14" t="s">
        <v>971</v>
      </c>
      <c r="AB897" s="14" t="s">
        <v>972</v>
      </c>
      <c r="AC897" s="14">
        <v>6012220601</v>
      </c>
      <c r="AD897" s="14" t="s">
        <v>973</v>
      </c>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c r="BC897" s="82"/>
      <c r="BD897" s="82"/>
      <c r="BE897" s="83"/>
      <c r="BF897" s="83"/>
      <c r="BG897" s="14" t="str">
        <f ca="1">IFERROR(__xludf.DUMMYFUNCTION("REGEXEXTRACT(O891,""^\S+\s(.+)$"")")," Prestar servicios profesionales orientados al fortalecimiento de la Dimensión de Control Interno mediante la ejecución del Plan Anual de Auditorías Internas Independientes, con énfasis en la evaluación de la gestión misional de la UPME.")</f>
        <v xml:space="preserve"> Prestar servicios profesionales orientados al fortalecimiento de la Dimensión de Control Interno mediante la ejecución del Plan Anual de Auditorías Internas Independientes, con énfasis en la evaluación de la gestión misional de la UPME.</v>
      </c>
      <c r="BH897" s="24"/>
      <c r="BI897" s="24"/>
      <c r="BJ897" s="24"/>
      <c r="BK897" s="24"/>
      <c r="BL897" s="24"/>
      <c r="BM897" s="24"/>
      <c r="BN897" s="24"/>
      <c r="BO897" s="24"/>
      <c r="BP897" s="24"/>
      <c r="BQ897" s="24"/>
      <c r="BR897" s="24"/>
      <c r="BS897" s="24"/>
      <c r="BT897" s="35"/>
      <c r="BU897" s="24"/>
      <c r="BV897" s="24"/>
      <c r="BW897" s="24"/>
      <c r="BX897" s="24"/>
      <c r="BY897" s="24"/>
      <c r="BZ897" s="24"/>
      <c r="CA897" s="24"/>
      <c r="CB897" s="24"/>
      <c r="CC897" s="24"/>
      <c r="CD897" s="24"/>
      <c r="CE897" s="24"/>
      <c r="CF897" s="28"/>
      <c r="CG897" s="28"/>
      <c r="CH897" s="25">
        <f t="shared" ref="CH897:CI897" si="1638">BH897+BJ897+BL897+BN897+BP897+BR897+BT897+BV897+BX897+BZ897+CB897+CD897+CF897</f>
        <v>0</v>
      </c>
      <c r="CI897" s="25">
        <f t="shared" si="1638"/>
        <v>0</v>
      </c>
      <c r="CJ897" s="26">
        <f t="shared" si="1526"/>
        <v>20000000</v>
      </c>
      <c r="CK897" s="26">
        <f t="shared" si="1527"/>
        <v>20000000</v>
      </c>
    </row>
    <row r="898" spans="1:89" ht="90" customHeight="1" x14ac:dyDescent="0.3">
      <c r="A898" s="13" t="s">
        <v>1891</v>
      </c>
      <c r="B898" s="14" t="s">
        <v>30</v>
      </c>
      <c r="C898" s="15" t="s">
        <v>258</v>
      </c>
      <c r="D898" s="14" t="s">
        <v>258</v>
      </c>
      <c r="E898" s="13" t="s">
        <v>250</v>
      </c>
      <c r="F898" s="13" t="s">
        <v>250</v>
      </c>
      <c r="G898" s="14">
        <v>8</v>
      </c>
      <c r="H898" s="13" t="s">
        <v>2264</v>
      </c>
      <c r="I898" s="15" t="s">
        <v>1893</v>
      </c>
      <c r="J898" s="14" t="s">
        <v>1893</v>
      </c>
      <c r="K898" s="15" t="s">
        <v>1893</v>
      </c>
      <c r="L898" s="14">
        <v>80111620</v>
      </c>
      <c r="M898" s="14" t="s">
        <v>2045</v>
      </c>
      <c r="N898" s="14" t="s">
        <v>253</v>
      </c>
      <c r="O898" s="15" t="s">
        <v>2265</v>
      </c>
      <c r="P898" s="14" t="s">
        <v>255</v>
      </c>
      <c r="Q898" s="14" t="s">
        <v>255</v>
      </c>
      <c r="R898" s="14" t="s">
        <v>255</v>
      </c>
      <c r="S898" s="17">
        <v>5</v>
      </c>
      <c r="T898" s="14" t="s">
        <v>256</v>
      </c>
      <c r="U898" s="14" t="s">
        <v>257</v>
      </c>
      <c r="V898" s="14" t="s">
        <v>112</v>
      </c>
      <c r="W898" s="18">
        <v>17925000</v>
      </c>
      <c r="X898" s="18">
        <v>17925000</v>
      </c>
      <c r="Y898" s="19" t="s">
        <v>339</v>
      </c>
      <c r="Z898" s="19" t="s">
        <v>258</v>
      </c>
      <c r="AA898" s="14" t="s">
        <v>971</v>
      </c>
      <c r="AB898" s="14" t="s">
        <v>972</v>
      </c>
      <c r="AC898" s="14">
        <v>6012220601</v>
      </c>
      <c r="AD898" s="14" t="s">
        <v>973</v>
      </c>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c r="BC898" s="82"/>
      <c r="BD898" s="82"/>
      <c r="BE898" s="83"/>
      <c r="BF898" s="83"/>
      <c r="BG898" s="14" t="str">
        <f ca="1">IFERROR(__xludf.DUMMYFUNCTION("REGEXEXTRACT(O892,""^\S+\s(.+)$"")"),"Prestar servicios profesionales para la revisión posterior y control de la calidad de conceptos técnicos y certificaciones emitidas en el marco del procedimiento de evaluación de solicitudes para Incentivos Tributarios de proyectos de FNCE, GEE e Hidrógen"&amp;"o")</f>
        <v>Prestar servicios profesionales para la revisión posterior y control de la calidad de conceptos técnicos y certificaciones emitidas en el marco del procedimiento de evaluación de solicitudes para Incentivos Tributarios de proyectos de FNCE, GEE e Hidrógeno</v>
      </c>
      <c r="BH898" s="24"/>
      <c r="BI898" s="24"/>
      <c r="BJ898" s="24"/>
      <c r="BK898" s="24"/>
      <c r="BL898" s="24"/>
      <c r="BM898" s="24">
        <v>1629000</v>
      </c>
      <c r="BN898" s="24"/>
      <c r="BO898" s="24">
        <v>1629000</v>
      </c>
      <c r="BP898" s="24"/>
      <c r="BQ898" s="24">
        <v>1629000</v>
      </c>
      <c r="BR898" s="24"/>
      <c r="BS898" s="24">
        <v>1629000</v>
      </c>
      <c r="BT898" s="24"/>
      <c r="BU898" s="24">
        <v>1629000</v>
      </c>
      <c r="BV898" s="24"/>
      <c r="BW898" s="24">
        <v>1629000</v>
      </c>
      <c r="BX898" s="24"/>
      <c r="BY898" s="24">
        <v>1629000</v>
      </c>
      <c r="BZ898" s="24"/>
      <c r="CA898" s="24">
        <v>1629000</v>
      </c>
      <c r="CB898" s="24"/>
      <c r="CC898" s="24">
        <v>1629000</v>
      </c>
      <c r="CD898" s="24"/>
      <c r="CE898" s="24">
        <v>3264000</v>
      </c>
      <c r="CF898" s="28"/>
      <c r="CG898" s="28"/>
      <c r="CH898" s="25">
        <f t="shared" ref="CH898:CI898" si="1639">BH898+BJ898+BL898+BN898+BP898+BR898+BT898+BV898+BX898+BZ898+CB898+CD898+CF898</f>
        <v>0</v>
      </c>
      <c r="CI898" s="25">
        <f t="shared" si="1639"/>
        <v>17925000</v>
      </c>
      <c r="CJ898" s="26">
        <f t="shared" si="1526"/>
        <v>17925000</v>
      </c>
      <c r="CK898" s="26">
        <f t="shared" si="1527"/>
        <v>0</v>
      </c>
    </row>
    <row r="899" spans="1:89" ht="90" customHeight="1" x14ac:dyDescent="0.3">
      <c r="A899" s="13" t="s">
        <v>1891</v>
      </c>
      <c r="B899" s="14" t="s">
        <v>30</v>
      </c>
      <c r="C899" s="15" t="s">
        <v>258</v>
      </c>
      <c r="D899" s="14" t="s">
        <v>258</v>
      </c>
      <c r="E899" s="13" t="s">
        <v>250</v>
      </c>
      <c r="F899" s="13" t="s">
        <v>250</v>
      </c>
      <c r="G899" s="14">
        <v>8</v>
      </c>
      <c r="H899" s="13" t="s">
        <v>2266</v>
      </c>
      <c r="I899" s="15" t="s">
        <v>1893</v>
      </c>
      <c r="J899" s="14" t="s">
        <v>1893</v>
      </c>
      <c r="K899" s="15" t="s">
        <v>1893</v>
      </c>
      <c r="L899" s="14">
        <v>80111620</v>
      </c>
      <c r="M899" s="14" t="s">
        <v>2045</v>
      </c>
      <c r="N899" s="14" t="s">
        <v>253</v>
      </c>
      <c r="O899" s="15" t="s">
        <v>2267</v>
      </c>
      <c r="P899" s="14" t="s">
        <v>255</v>
      </c>
      <c r="Q899" s="14" t="s">
        <v>255</v>
      </c>
      <c r="R899" s="14" t="s">
        <v>255</v>
      </c>
      <c r="S899" s="17">
        <v>11</v>
      </c>
      <c r="T899" s="14" t="s">
        <v>256</v>
      </c>
      <c r="U899" s="14" t="s">
        <v>257</v>
      </c>
      <c r="V899" s="14" t="s">
        <v>112</v>
      </c>
      <c r="W899" s="18">
        <v>33000000</v>
      </c>
      <c r="X899" s="18">
        <v>33000000</v>
      </c>
      <c r="Y899" s="19" t="s">
        <v>339</v>
      </c>
      <c r="Z899" s="19" t="s">
        <v>258</v>
      </c>
      <c r="AA899" s="14" t="s">
        <v>971</v>
      </c>
      <c r="AB899" s="14" t="s">
        <v>972</v>
      </c>
      <c r="AC899" s="14">
        <v>6012220601</v>
      </c>
      <c r="AD899" s="14" t="s">
        <v>973</v>
      </c>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c r="BC899" s="82"/>
      <c r="BD899" s="82"/>
      <c r="BE899" s="83"/>
      <c r="BF899" s="83"/>
      <c r="BG899" s="14" t="str">
        <f ca="1">IFERROR(__xludf.DUMMYFUNCTION("REGEXEXTRACT(O893,""^\S+\s(.+)$"")"),"Prestar servicios de apoyo a la gestión para el fortalecimiento de los procesos de manejo de la información y archivo del equipo administrativo de la Entidad, mediante la organización, actualización, clasificación y control de la documentación, contribuye"&amp;"ndo al cumplimiento de las funciones institucionales y a la eficiencia administrativa.")</f>
        <v>Prestar servicios de apoyo a la gestión para el fortalecimiento de los procesos de manejo de la información y archivo del equipo administrativo de la Entidad, mediante la organización, actualización, clasificación y control de la documentación, contribuyendo al cumplimiento de las funciones institucionales y a la eficiencia administrativa.</v>
      </c>
      <c r="BH899" s="24"/>
      <c r="BI899" s="24"/>
      <c r="BJ899" s="24">
        <v>0</v>
      </c>
      <c r="BK899" s="24">
        <v>0</v>
      </c>
      <c r="BL899" s="24">
        <v>0</v>
      </c>
      <c r="BM899" s="24">
        <v>3000000</v>
      </c>
      <c r="BN899" s="24">
        <v>0</v>
      </c>
      <c r="BO899" s="24">
        <v>3000000</v>
      </c>
      <c r="BP899" s="24">
        <v>0</v>
      </c>
      <c r="BQ899" s="24">
        <v>3000000</v>
      </c>
      <c r="BR899" s="24">
        <v>0</v>
      </c>
      <c r="BS899" s="24">
        <v>3000000</v>
      </c>
      <c r="BT899" s="24">
        <v>0</v>
      </c>
      <c r="BU899" s="24">
        <v>3000000</v>
      </c>
      <c r="BV899" s="24">
        <v>0</v>
      </c>
      <c r="BW899" s="24">
        <v>3000000</v>
      </c>
      <c r="BX899" s="24">
        <v>0</v>
      </c>
      <c r="BY899" s="24">
        <v>3000000</v>
      </c>
      <c r="BZ899" s="24">
        <v>0</v>
      </c>
      <c r="CA899" s="24">
        <v>3000000</v>
      </c>
      <c r="CB899" s="24">
        <v>0</v>
      </c>
      <c r="CC899" s="24">
        <v>3000000</v>
      </c>
      <c r="CD899" s="24">
        <v>0</v>
      </c>
      <c r="CE899" s="24">
        <v>6000000</v>
      </c>
      <c r="CF899" s="28"/>
      <c r="CG899" s="28"/>
      <c r="CH899" s="25">
        <f t="shared" ref="CH899:CI899" si="1640">BH899+BJ899+BL899+BN899+BP899+BR899+BT899+BV899+BX899+BZ899+CB899+CD899+CF899</f>
        <v>0</v>
      </c>
      <c r="CI899" s="25">
        <f t="shared" si="1640"/>
        <v>33000000</v>
      </c>
      <c r="CJ899" s="26">
        <f t="shared" si="1526"/>
        <v>33000000</v>
      </c>
      <c r="CK899" s="26">
        <f t="shared" si="1527"/>
        <v>0</v>
      </c>
    </row>
    <row r="900" spans="1:89" ht="90" customHeight="1" x14ac:dyDescent="0.3">
      <c r="A900" s="13" t="s">
        <v>1891</v>
      </c>
      <c r="B900" s="14" t="s">
        <v>30</v>
      </c>
      <c r="C900" s="15" t="s">
        <v>258</v>
      </c>
      <c r="D900" s="14" t="s">
        <v>258</v>
      </c>
      <c r="E900" s="13" t="s">
        <v>250</v>
      </c>
      <c r="F900" s="13" t="s">
        <v>250</v>
      </c>
      <c r="G900" s="14">
        <v>1</v>
      </c>
      <c r="H900" s="13" t="s">
        <v>2268</v>
      </c>
      <c r="I900" s="15" t="s">
        <v>1893</v>
      </c>
      <c r="J900" s="14" t="s">
        <v>1893</v>
      </c>
      <c r="K900" s="15" t="s">
        <v>1893</v>
      </c>
      <c r="L900" s="14">
        <v>80111620</v>
      </c>
      <c r="M900" s="14" t="s">
        <v>2045</v>
      </c>
      <c r="N900" s="14" t="s">
        <v>253</v>
      </c>
      <c r="O900" s="15" t="s">
        <v>2269</v>
      </c>
      <c r="P900" s="14" t="s">
        <v>255</v>
      </c>
      <c r="Q900" s="14" t="s">
        <v>255</v>
      </c>
      <c r="R900" s="14" t="s">
        <v>255</v>
      </c>
      <c r="S900" s="17">
        <v>5</v>
      </c>
      <c r="T900" s="14" t="s">
        <v>256</v>
      </c>
      <c r="U900" s="14" t="s">
        <v>257</v>
      </c>
      <c r="V900" s="14" t="s">
        <v>112</v>
      </c>
      <c r="W900" s="18">
        <v>19500000</v>
      </c>
      <c r="X900" s="18">
        <v>19500000</v>
      </c>
      <c r="Y900" s="19" t="s">
        <v>339</v>
      </c>
      <c r="Z900" s="19" t="s">
        <v>258</v>
      </c>
      <c r="AA900" s="14" t="s">
        <v>971</v>
      </c>
      <c r="AB900" s="14" t="s">
        <v>972</v>
      </c>
      <c r="AC900" s="14">
        <v>6012220601</v>
      </c>
      <c r="AD900" s="14" t="s">
        <v>973</v>
      </c>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c r="BC900" s="82"/>
      <c r="BD900" s="82"/>
      <c r="BE900" s="83"/>
      <c r="BF900" s="83"/>
      <c r="BG900" s="14" t="str">
        <f ca="1">IFERROR(__xludf.DUMMYFUNCTION("REGEXEXTRACT(O894,""^\S+\s(.+)$"")"),"Prestar servicios profesionales para la revisión posterior, control de la calidad de conceptos técnicos y certificaciones emitidas en el marco del procedimiento de evaluación de solicitudes para Incentivos Tributarios de proyectos de FNCE, GEE e Hidrógeno"&amp;", así como la actualización de los instructivos de trámite.")</f>
        <v>Prestar servicios profesionales para la revisión posterior, control de la calidad de conceptos técnicos y certificaciones emitidas en el marco del procedimiento de evaluación de solicitudes para Incentivos Tributarios de proyectos de FNCE, GEE e Hidrógeno, así como la actualización de los instructivos de trámite.</v>
      </c>
      <c r="BH900" s="24"/>
      <c r="BI900" s="24"/>
      <c r="BJ900" s="24"/>
      <c r="BK900" s="24">
        <v>-23400000</v>
      </c>
      <c r="BL900" s="24"/>
      <c r="BM900" s="24">
        <v>3900000</v>
      </c>
      <c r="BN900" s="24"/>
      <c r="BO900" s="24">
        <v>3900000</v>
      </c>
      <c r="BP900" s="24"/>
      <c r="BQ900" s="24">
        <v>3900000</v>
      </c>
      <c r="BR900" s="24"/>
      <c r="BS900" s="24">
        <v>3900000</v>
      </c>
      <c r="BT900" s="24"/>
      <c r="BU900" s="24">
        <v>3900000</v>
      </c>
      <c r="BV900" s="24"/>
      <c r="BW900" s="24">
        <v>3900000</v>
      </c>
      <c r="BX900" s="24"/>
      <c r="BY900" s="24">
        <v>3900000</v>
      </c>
      <c r="BZ900" s="24"/>
      <c r="CA900" s="24">
        <v>3900000</v>
      </c>
      <c r="CB900" s="24"/>
      <c r="CC900" s="24">
        <v>3900000</v>
      </c>
      <c r="CD900" s="24"/>
      <c r="CE900" s="24">
        <v>7800000</v>
      </c>
      <c r="CF900" s="28"/>
      <c r="CG900" s="28"/>
      <c r="CH900" s="25">
        <f t="shared" ref="CH900:CI900" si="1641">BH900+BJ900+BL900+BN900+BP900+BR900+BT900+BV900+BX900+BZ900+CB900+CD900+CF900</f>
        <v>0</v>
      </c>
      <c r="CI900" s="25">
        <f t="shared" si="1641"/>
        <v>19500000</v>
      </c>
      <c r="CJ900" s="26">
        <f t="shared" si="1526"/>
        <v>19500000</v>
      </c>
      <c r="CK900" s="26">
        <f t="shared" si="1527"/>
        <v>0</v>
      </c>
    </row>
    <row r="901" spans="1:89" ht="90" customHeight="1" x14ac:dyDescent="0.3">
      <c r="A901" s="13" t="s">
        <v>1891</v>
      </c>
      <c r="B901" s="14" t="s">
        <v>30</v>
      </c>
      <c r="C901" s="15" t="s">
        <v>258</v>
      </c>
      <c r="D901" s="14" t="s">
        <v>258</v>
      </c>
      <c r="E901" s="13" t="s">
        <v>250</v>
      </c>
      <c r="F901" s="13" t="s">
        <v>250</v>
      </c>
      <c r="G901" s="14">
        <v>1</v>
      </c>
      <c r="H901" s="13" t="s">
        <v>2270</v>
      </c>
      <c r="I901" s="15" t="s">
        <v>1893</v>
      </c>
      <c r="J901" s="14" t="s">
        <v>1893</v>
      </c>
      <c r="K901" s="15" t="s">
        <v>1893</v>
      </c>
      <c r="L901" s="14">
        <v>80111620</v>
      </c>
      <c r="M901" s="14" t="s">
        <v>2045</v>
      </c>
      <c r="N901" s="14" t="s">
        <v>253</v>
      </c>
      <c r="O901" s="15" t="s">
        <v>2271</v>
      </c>
      <c r="P901" s="14" t="s">
        <v>255</v>
      </c>
      <c r="Q901" s="14" t="s">
        <v>255</v>
      </c>
      <c r="R901" s="14" t="s">
        <v>255</v>
      </c>
      <c r="S901" s="17">
        <v>5</v>
      </c>
      <c r="T901" s="14" t="s">
        <v>256</v>
      </c>
      <c r="U901" s="14" t="s">
        <v>257</v>
      </c>
      <c r="V901" s="14" t="s">
        <v>112</v>
      </c>
      <c r="W901" s="18">
        <v>22500000</v>
      </c>
      <c r="X901" s="18">
        <v>22500000</v>
      </c>
      <c r="Y901" s="19" t="s">
        <v>339</v>
      </c>
      <c r="Z901" s="19" t="s">
        <v>258</v>
      </c>
      <c r="AA901" s="14" t="s">
        <v>971</v>
      </c>
      <c r="AB901" s="14" t="s">
        <v>972</v>
      </c>
      <c r="AC901" s="14">
        <v>6012220601</v>
      </c>
      <c r="AD901" s="14" t="s">
        <v>973</v>
      </c>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c r="BC901" s="82"/>
      <c r="BD901" s="82"/>
      <c r="BE901" s="83"/>
      <c r="BF901" s="83"/>
      <c r="BG901" s="14" t="str">
        <f ca="1">IFERROR(__xludf.DUMMYFUNCTION("REGEXEXTRACT(O895,""^\S+\s(.+)$"")"),"Prestar servicios profesionales para la revisión posterior, control de la calidad y unificación de conceptos técnicos y certificaciones emitidas en el marco del procedimiento de evaluación de solicitudes para Incentivos Tributarios de proyectos de FNCE, G"&amp;"EE e Hidrógeno.")</f>
        <v>Prestar servicios profesionales para la revisión posterior, control de la calidad y unificación de conceptos técnicos y certificaciones emitidas en el marco del procedimiento de evaluación de solicitudes para Incentivos Tributarios de proyectos de FNCE, GEE e Hidrógeno.</v>
      </c>
      <c r="BH901" s="24"/>
      <c r="BI901" s="24"/>
      <c r="BJ901" s="24"/>
      <c r="BK901" s="24">
        <v>-27000000</v>
      </c>
      <c r="BL901" s="24"/>
      <c r="BM901" s="24">
        <v>4500000</v>
      </c>
      <c r="BN901" s="24"/>
      <c r="BO901" s="24">
        <v>4500000</v>
      </c>
      <c r="BP901" s="24"/>
      <c r="BQ901" s="24">
        <v>4500000</v>
      </c>
      <c r="BR901" s="24"/>
      <c r="BS901" s="24">
        <v>4500000</v>
      </c>
      <c r="BT901" s="24"/>
      <c r="BU901" s="24">
        <v>4500000</v>
      </c>
      <c r="BV901" s="24"/>
      <c r="BW901" s="24">
        <v>4500000</v>
      </c>
      <c r="BX901" s="24"/>
      <c r="BY901" s="24">
        <v>4500000</v>
      </c>
      <c r="BZ901" s="24"/>
      <c r="CA901" s="24">
        <v>4500000</v>
      </c>
      <c r="CB901" s="24"/>
      <c r="CC901" s="24">
        <v>4500000</v>
      </c>
      <c r="CD901" s="24"/>
      <c r="CE901" s="24">
        <v>9000000</v>
      </c>
      <c r="CF901" s="28"/>
      <c r="CG901" s="28"/>
      <c r="CH901" s="25">
        <f t="shared" ref="CH901:CI901" si="1642">BH901+BJ901+BL901+BN901+BP901+BR901+BT901+BV901+BX901+BZ901+CB901+CD901+CF901</f>
        <v>0</v>
      </c>
      <c r="CI901" s="25">
        <f t="shared" si="1642"/>
        <v>22500000</v>
      </c>
      <c r="CJ901" s="26">
        <f t="shared" si="1526"/>
        <v>22500000</v>
      </c>
      <c r="CK901" s="26">
        <f t="shared" si="1527"/>
        <v>0</v>
      </c>
    </row>
    <row r="902" spans="1:89" ht="90" customHeight="1" x14ac:dyDescent="0.3">
      <c r="A902" s="13" t="s">
        <v>1891</v>
      </c>
      <c r="B902" s="14" t="s">
        <v>30</v>
      </c>
      <c r="C902" s="15" t="s">
        <v>258</v>
      </c>
      <c r="D902" s="14" t="s">
        <v>258</v>
      </c>
      <c r="E902" s="13" t="s">
        <v>250</v>
      </c>
      <c r="F902" s="13" t="s">
        <v>250</v>
      </c>
      <c r="G902" s="14">
        <v>9</v>
      </c>
      <c r="H902" s="13" t="s">
        <v>2272</v>
      </c>
      <c r="I902" s="15" t="s">
        <v>1893</v>
      </c>
      <c r="J902" s="14" t="s">
        <v>1893</v>
      </c>
      <c r="K902" s="15" t="s">
        <v>1893</v>
      </c>
      <c r="L902" s="14">
        <v>80111620</v>
      </c>
      <c r="M902" s="14" t="s">
        <v>2045</v>
      </c>
      <c r="N902" s="14" t="s">
        <v>253</v>
      </c>
      <c r="O902" s="15" t="s">
        <v>2273</v>
      </c>
      <c r="P902" s="14" t="s">
        <v>255</v>
      </c>
      <c r="Q902" s="14" t="s">
        <v>255</v>
      </c>
      <c r="R902" s="14" t="s">
        <v>255</v>
      </c>
      <c r="S902" s="17">
        <v>5</v>
      </c>
      <c r="T902" s="14" t="s">
        <v>256</v>
      </c>
      <c r="U902" s="14" t="s">
        <v>257</v>
      </c>
      <c r="V902" s="14" t="s">
        <v>112</v>
      </c>
      <c r="W902" s="18">
        <v>14500000</v>
      </c>
      <c r="X902" s="18">
        <v>14500000</v>
      </c>
      <c r="Y902" s="19" t="s">
        <v>339</v>
      </c>
      <c r="Z902" s="19" t="s">
        <v>258</v>
      </c>
      <c r="AA902" s="14" t="s">
        <v>971</v>
      </c>
      <c r="AB902" s="14" t="s">
        <v>972</v>
      </c>
      <c r="AC902" s="14">
        <v>6012220601</v>
      </c>
      <c r="AD902" s="14" t="s">
        <v>973</v>
      </c>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c r="BC902" s="82"/>
      <c r="BD902" s="82"/>
      <c r="BE902" s="83"/>
      <c r="BF902" s="83"/>
      <c r="BG902" s="14" t="str">
        <f ca="1">IFERROR(__xludf.DUMMYFUNCTION("REGEXEXTRACT(O896,""^\S+\s(.+)$"")"),"Prestar servicios profesionales para la revisión posterior, control de la calidad, elaboración de herramientas de seguimiento y registro y unificación de conceptos técnicos y certificaciones, emitidas en el marco del procedimiento de evaluación de solicit"&amp;"udes para Incentivos Tributarios de proyectos de FNCE, GEE e Hidrógeno.")</f>
        <v>Prestar servicios profesionales para la revisión posterior, control de la calidad, elaboración de herramientas de seguimiento y registro y unificación de conceptos técnicos y certificaciones, emitidas en el marco del procedimiento de evaluación de solicitudes para Incentivos Tributarios de proyectos de FNCE, GEE e Hidrógeno.</v>
      </c>
      <c r="BH902" s="24"/>
      <c r="BI902" s="24"/>
      <c r="BJ902" s="24"/>
      <c r="BK902" s="24">
        <v>-31200000</v>
      </c>
      <c r="BL902" s="24"/>
      <c r="BM902" s="24">
        <v>5200000</v>
      </c>
      <c r="BN902" s="24"/>
      <c r="BO902" s="24">
        <v>5200000</v>
      </c>
      <c r="BP902" s="24"/>
      <c r="BQ902" s="24">
        <v>5200000</v>
      </c>
      <c r="BR902" s="24"/>
      <c r="BS902" s="24">
        <v>5200000</v>
      </c>
      <c r="BT902" s="24"/>
      <c r="BU902" s="24">
        <v>5200000</v>
      </c>
      <c r="BV902" s="24"/>
      <c r="BW902" s="24">
        <v>5200000</v>
      </c>
      <c r="BX902" s="24"/>
      <c r="BY902" s="24">
        <v>5200000</v>
      </c>
      <c r="BZ902" s="24"/>
      <c r="CA902" s="24">
        <v>5200000</v>
      </c>
      <c r="CB902" s="24"/>
      <c r="CC902" s="24">
        <v>5200000</v>
      </c>
      <c r="CD902" s="24"/>
      <c r="CE902" s="24">
        <v>10400000</v>
      </c>
      <c r="CF902" s="28"/>
      <c r="CG902" s="28"/>
      <c r="CH902" s="25">
        <f t="shared" ref="CH902:CI902" si="1643">BH902+BJ902+BL902+BN902+BP902+BR902+BT902+BV902+BX902+BZ902+CB902+CD902+CF902</f>
        <v>0</v>
      </c>
      <c r="CI902" s="25">
        <f t="shared" si="1643"/>
        <v>26000000</v>
      </c>
      <c r="CJ902" s="26">
        <f t="shared" si="1526"/>
        <v>14500000</v>
      </c>
      <c r="CK902" s="26">
        <f t="shared" si="1527"/>
        <v>-11500000</v>
      </c>
    </row>
    <row r="903" spans="1:89" ht="90" customHeight="1" x14ac:dyDescent="0.3">
      <c r="A903" s="13" t="s">
        <v>1891</v>
      </c>
      <c r="B903" s="14" t="s">
        <v>30</v>
      </c>
      <c r="C903" s="15" t="s">
        <v>258</v>
      </c>
      <c r="D903" s="14" t="s">
        <v>258</v>
      </c>
      <c r="E903" s="13" t="s">
        <v>250</v>
      </c>
      <c r="F903" s="13" t="s">
        <v>250</v>
      </c>
      <c r="G903" s="14">
        <v>68</v>
      </c>
      <c r="H903" s="13" t="s">
        <v>2274</v>
      </c>
      <c r="I903" s="15" t="s">
        <v>1893</v>
      </c>
      <c r="J903" s="14" t="s">
        <v>1893</v>
      </c>
      <c r="K903" s="15" t="s">
        <v>1893</v>
      </c>
      <c r="L903" s="14">
        <v>80111620</v>
      </c>
      <c r="M903" s="14" t="s">
        <v>2042</v>
      </c>
      <c r="N903" s="14" t="s">
        <v>253</v>
      </c>
      <c r="O903" s="15" t="s">
        <v>2275</v>
      </c>
      <c r="P903" s="14" t="s">
        <v>255</v>
      </c>
      <c r="Q903" s="14" t="s">
        <v>255</v>
      </c>
      <c r="R903" s="14" t="s">
        <v>255</v>
      </c>
      <c r="S903" s="17">
        <v>11.4</v>
      </c>
      <c r="T903" s="14" t="s">
        <v>256</v>
      </c>
      <c r="U903" s="14" t="s">
        <v>257</v>
      </c>
      <c r="V903" s="14" t="s">
        <v>112</v>
      </c>
      <c r="W903" s="18">
        <v>57000000</v>
      </c>
      <c r="X903" s="18">
        <v>57000000</v>
      </c>
      <c r="Y903" s="19" t="s">
        <v>339</v>
      </c>
      <c r="Z903" s="19" t="s">
        <v>258</v>
      </c>
      <c r="AA903" s="14" t="s">
        <v>971</v>
      </c>
      <c r="AB903" s="14" t="s">
        <v>972</v>
      </c>
      <c r="AC903" s="14">
        <v>6012220601</v>
      </c>
      <c r="AD903" s="14" t="s">
        <v>973</v>
      </c>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c r="BC903" s="82"/>
      <c r="BD903" s="82"/>
      <c r="BE903" s="83"/>
      <c r="BF903" s="83"/>
      <c r="BG903" s="14" t="str">
        <f ca="1">IFERROR(__xludf.DUMMYFUNCTION("REGEXEXTRACT(O897,""^\S+\s(.+)$"")"),"Prestar servicios profesionales para la gestión contractual y el apoyo administrativo a la Subdirección de Demanda, así como para el análisis jurídico y la proyección de respuestas a las PQRS y demás trámites jurídicos de la entidad.")</f>
        <v>Prestar servicios profesionales para la gestión contractual y el apoyo administrativo a la Subdirección de Demanda, así como para el análisis jurídico y la proyección de respuestas a las PQRS y demás trámites jurídicos de la entidad.</v>
      </c>
      <c r="BH903" s="24"/>
      <c r="BI903" s="24"/>
      <c r="BJ903" s="24"/>
      <c r="BK903" s="24">
        <v>2000000</v>
      </c>
      <c r="BL903" s="24"/>
      <c r="BM903" s="24">
        <v>5000000</v>
      </c>
      <c r="BN903" s="24"/>
      <c r="BO903" s="24">
        <v>5000000</v>
      </c>
      <c r="BP903" s="24"/>
      <c r="BQ903" s="24">
        <v>5000000</v>
      </c>
      <c r="BR903" s="24"/>
      <c r="BS903" s="24">
        <v>5000000</v>
      </c>
      <c r="BT903" s="24"/>
      <c r="BU903" s="24">
        <v>5000000</v>
      </c>
      <c r="BV903" s="24"/>
      <c r="BW903" s="24">
        <v>5000000</v>
      </c>
      <c r="BX903" s="24"/>
      <c r="BY903" s="24">
        <v>5000000</v>
      </c>
      <c r="BZ903" s="24"/>
      <c r="CA903" s="24">
        <v>5000000</v>
      </c>
      <c r="CB903" s="24"/>
      <c r="CC903" s="24">
        <v>5000000</v>
      </c>
      <c r="CD903" s="24"/>
      <c r="CE903" s="24">
        <v>10000000</v>
      </c>
      <c r="CF903" s="28"/>
      <c r="CG903" s="28"/>
      <c r="CH903" s="25">
        <f t="shared" ref="CH903:CI903" si="1644">BH903+BJ903+BL903+BN903+BP903+BR903+BT903+BV903+BX903+BZ903+CB903+CD903+CF903</f>
        <v>0</v>
      </c>
      <c r="CI903" s="25">
        <f t="shared" si="1644"/>
        <v>57000000</v>
      </c>
      <c r="CJ903" s="26">
        <f t="shared" si="1526"/>
        <v>57000000</v>
      </c>
      <c r="CK903" s="26">
        <f t="shared" si="1527"/>
        <v>0</v>
      </c>
    </row>
    <row r="904" spans="1:89" ht="90" customHeight="1" x14ac:dyDescent="0.3">
      <c r="A904" s="13" t="s">
        <v>1891</v>
      </c>
      <c r="B904" s="14" t="s">
        <v>30</v>
      </c>
      <c r="C904" s="15" t="s">
        <v>258</v>
      </c>
      <c r="D904" s="14" t="s">
        <v>258</v>
      </c>
      <c r="E904" s="13" t="s">
        <v>250</v>
      </c>
      <c r="F904" s="13" t="s">
        <v>250</v>
      </c>
      <c r="G904" s="14">
        <v>1</v>
      </c>
      <c r="H904" s="13" t="s">
        <v>2276</v>
      </c>
      <c r="I904" s="15" t="s">
        <v>1893</v>
      </c>
      <c r="J904" s="14" t="s">
        <v>1893</v>
      </c>
      <c r="K904" s="15" t="s">
        <v>1893</v>
      </c>
      <c r="L904" s="14">
        <v>80111620</v>
      </c>
      <c r="M904" s="14" t="s">
        <v>2045</v>
      </c>
      <c r="N904" s="14" t="s">
        <v>253</v>
      </c>
      <c r="O904" s="15" t="s">
        <v>2277</v>
      </c>
      <c r="P904" s="14" t="s">
        <v>255</v>
      </c>
      <c r="Q904" s="14" t="s">
        <v>255</v>
      </c>
      <c r="R904" s="14" t="s">
        <v>255</v>
      </c>
      <c r="S904" s="17">
        <v>11.5</v>
      </c>
      <c r="T904" s="14" t="s">
        <v>256</v>
      </c>
      <c r="U904" s="14" t="s">
        <v>257</v>
      </c>
      <c r="V904" s="14" t="s">
        <v>112</v>
      </c>
      <c r="W904" s="18">
        <v>69000000</v>
      </c>
      <c r="X904" s="18">
        <v>69000000</v>
      </c>
      <c r="Y904" s="19" t="s">
        <v>339</v>
      </c>
      <c r="Z904" s="19" t="s">
        <v>258</v>
      </c>
      <c r="AA904" s="14" t="s">
        <v>971</v>
      </c>
      <c r="AB904" s="14" t="s">
        <v>972</v>
      </c>
      <c r="AC904" s="14">
        <v>6012220601</v>
      </c>
      <c r="AD904" s="14" t="s">
        <v>973</v>
      </c>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c r="BC904" s="82"/>
      <c r="BD904" s="82"/>
      <c r="BE904" s="83"/>
      <c r="BF904" s="83"/>
      <c r="BG904" s="14" t="str">
        <f ca="1">IFERROR(__xludf.DUMMYFUNCTION("REGEXEXTRACT(O898,""^\S+\s(.+)$"")"),"Prestar servicios profesionales para el diseño, implementación y mejora de automatismos, herramientas de interoperabilidad y sistemas de reporte que reduzcan los tiempos y mejoren la eficiencia del procedimiento de evaluación de solicitudes para Incentivo"&amp;"s Tributarios de proyectos de FNCE, GEE e Hidrógeno.")</f>
        <v>Prestar servicios profesionales para el diseño, implementación y mejora de automatismos, herramientas de interoperabilidad y sistemas de reporte que reduzcan los tiempos y mejoren la eficiencia del procedimiento de evaluación de solicitudes para Incentivos Tributarios de proyectos de FNCE, GEE e Hidrógeno.</v>
      </c>
      <c r="BH904" s="24"/>
      <c r="BI904" s="24"/>
      <c r="BJ904" s="24"/>
      <c r="BK904" s="24">
        <v>3000000</v>
      </c>
      <c r="BL904" s="24"/>
      <c r="BM904" s="24">
        <v>6000000</v>
      </c>
      <c r="BN904" s="24"/>
      <c r="BO904" s="24">
        <v>6000000</v>
      </c>
      <c r="BP904" s="24"/>
      <c r="BQ904" s="24">
        <v>6000000</v>
      </c>
      <c r="BR904" s="24"/>
      <c r="BS904" s="24">
        <v>6000000</v>
      </c>
      <c r="BT904" s="24"/>
      <c r="BU904" s="24">
        <v>6000000</v>
      </c>
      <c r="BV904" s="24"/>
      <c r="BW904" s="24">
        <v>6000000</v>
      </c>
      <c r="BX904" s="24"/>
      <c r="BY904" s="24">
        <v>6000000</v>
      </c>
      <c r="BZ904" s="24"/>
      <c r="CA904" s="24">
        <v>6000000</v>
      </c>
      <c r="CB904" s="24"/>
      <c r="CC904" s="24">
        <v>6000000</v>
      </c>
      <c r="CD904" s="24"/>
      <c r="CE904" s="24">
        <v>12000000</v>
      </c>
      <c r="CF904" s="28"/>
      <c r="CG904" s="28"/>
      <c r="CH904" s="25">
        <f t="shared" ref="CH904:CI904" si="1645">BH904+BJ904+BL904+BN904+BP904+BR904+BT904+BV904+BX904+BZ904+CB904+CD904+CF904</f>
        <v>0</v>
      </c>
      <c r="CI904" s="25">
        <f t="shared" si="1645"/>
        <v>69000000</v>
      </c>
      <c r="CJ904" s="26">
        <f t="shared" si="1526"/>
        <v>69000000</v>
      </c>
      <c r="CK904" s="26">
        <f t="shared" si="1527"/>
        <v>0</v>
      </c>
    </row>
    <row r="905" spans="1:89" ht="90" customHeight="1" x14ac:dyDescent="0.3">
      <c r="A905" s="13" t="s">
        <v>1891</v>
      </c>
      <c r="B905" s="14" t="s">
        <v>30</v>
      </c>
      <c r="C905" s="15" t="s">
        <v>258</v>
      </c>
      <c r="D905" s="14" t="s">
        <v>258</v>
      </c>
      <c r="E905" s="13" t="s">
        <v>250</v>
      </c>
      <c r="F905" s="13" t="s">
        <v>250</v>
      </c>
      <c r="G905" s="14">
        <v>9</v>
      </c>
      <c r="H905" s="13" t="s">
        <v>2278</v>
      </c>
      <c r="I905" s="15" t="s">
        <v>1893</v>
      </c>
      <c r="J905" s="14" t="s">
        <v>1893</v>
      </c>
      <c r="K905" s="15" t="s">
        <v>1893</v>
      </c>
      <c r="L905" s="14">
        <v>80111620</v>
      </c>
      <c r="M905" s="14" t="s">
        <v>2045</v>
      </c>
      <c r="N905" s="14" t="s">
        <v>253</v>
      </c>
      <c r="O905" s="15" t="s">
        <v>2279</v>
      </c>
      <c r="P905" s="14" t="s">
        <v>255</v>
      </c>
      <c r="Q905" s="14" t="s">
        <v>255</v>
      </c>
      <c r="R905" s="14" t="s">
        <v>255</v>
      </c>
      <c r="S905" s="17">
        <v>5</v>
      </c>
      <c r="T905" s="14" t="s">
        <v>256</v>
      </c>
      <c r="U905" s="14" t="s">
        <v>257</v>
      </c>
      <c r="V905" s="14" t="s">
        <v>112</v>
      </c>
      <c r="W905" s="18">
        <v>55000000</v>
      </c>
      <c r="X905" s="18">
        <v>55000000</v>
      </c>
      <c r="Y905" s="19" t="s">
        <v>339</v>
      </c>
      <c r="Z905" s="19" t="s">
        <v>258</v>
      </c>
      <c r="AA905" s="14" t="s">
        <v>971</v>
      </c>
      <c r="AB905" s="14" t="s">
        <v>972</v>
      </c>
      <c r="AC905" s="14">
        <v>6012220601</v>
      </c>
      <c r="AD905" s="14" t="s">
        <v>973</v>
      </c>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c r="BC905" s="82"/>
      <c r="BD905" s="82"/>
      <c r="BE905" s="83"/>
      <c r="BF905" s="83"/>
      <c r="BG905" s="14" t="str">
        <f ca="1">IFERROR(__xludf.DUMMYFUNCTION("REGEXEXTRACT(O899,""^\S+\s(.+)$"")"),"Prestar servicios profesionales orientados a la evaluación y análisis de la información correspondiente a los proyectos de Fuentes No Convencionales de Energía y de Gestión Eficiente de la Energía")</f>
        <v>Prestar servicios profesionales orientados a la evaluación y análisis de la información correspondiente a los proyectos de Fuentes No Convencionales de Energía y de Gestión Eficiente de la Energía</v>
      </c>
      <c r="BH905" s="24"/>
      <c r="BI905" s="24"/>
      <c r="BJ905" s="24"/>
      <c r="BK905" s="24">
        <v>-44400000</v>
      </c>
      <c r="BL905" s="24"/>
      <c r="BM905" s="24">
        <v>7400000</v>
      </c>
      <c r="BN905" s="24"/>
      <c r="BO905" s="24">
        <v>7400000</v>
      </c>
      <c r="BP905" s="24"/>
      <c r="BQ905" s="24">
        <v>7400000</v>
      </c>
      <c r="BR905" s="24"/>
      <c r="BS905" s="24">
        <v>7400000</v>
      </c>
      <c r="BT905" s="24"/>
      <c r="BU905" s="24">
        <v>7400000</v>
      </c>
      <c r="BV905" s="24"/>
      <c r="BW905" s="24">
        <v>7400000</v>
      </c>
      <c r="BX905" s="24"/>
      <c r="BY905" s="24">
        <v>7400000</v>
      </c>
      <c r="BZ905" s="24"/>
      <c r="CA905" s="24">
        <v>7400000</v>
      </c>
      <c r="CB905" s="24"/>
      <c r="CC905" s="24">
        <v>7400000</v>
      </c>
      <c r="CD905" s="24"/>
      <c r="CE905" s="24">
        <v>14800000</v>
      </c>
      <c r="CF905" s="28"/>
      <c r="CG905" s="28"/>
      <c r="CH905" s="25">
        <f t="shared" ref="CH905:CI905" si="1646">BH905+BJ905+BL905+BN905+BP905+BR905+BT905+BV905+BX905+BZ905+CB905+CD905+CF905</f>
        <v>0</v>
      </c>
      <c r="CI905" s="25">
        <f t="shared" si="1646"/>
        <v>37000000</v>
      </c>
      <c r="CJ905" s="26">
        <f t="shared" si="1526"/>
        <v>55000000</v>
      </c>
      <c r="CK905" s="26">
        <f t="shared" si="1527"/>
        <v>18000000</v>
      </c>
    </row>
    <row r="906" spans="1:89" ht="90" customHeight="1" x14ac:dyDescent="0.3">
      <c r="A906" s="13" t="s">
        <v>1891</v>
      </c>
      <c r="B906" s="14" t="s">
        <v>30</v>
      </c>
      <c r="C906" s="15" t="s">
        <v>258</v>
      </c>
      <c r="D906" s="14" t="s">
        <v>258</v>
      </c>
      <c r="E906" s="13" t="s">
        <v>250</v>
      </c>
      <c r="F906" s="13" t="s">
        <v>250</v>
      </c>
      <c r="G906" s="14">
        <v>9</v>
      </c>
      <c r="H906" s="13" t="s">
        <v>2280</v>
      </c>
      <c r="I906" s="15" t="s">
        <v>1893</v>
      </c>
      <c r="J906" s="14" t="s">
        <v>1893</v>
      </c>
      <c r="K906" s="15" t="s">
        <v>1893</v>
      </c>
      <c r="L906" s="14">
        <v>80111620</v>
      </c>
      <c r="M906" s="14" t="s">
        <v>2045</v>
      </c>
      <c r="N906" s="14" t="s">
        <v>253</v>
      </c>
      <c r="O906" s="15" t="s">
        <v>2281</v>
      </c>
      <c r="P906" s="14" t="s">
        <v>255</v>
      </c>
      <c r="Q906" s="14" t="s">
        <v>255</v>
      </c>
      <c r="R906" s="14" t="s">
        <v>255</v>
      </c>
      <c r="S906" s="17">
        <v>5</v>
      </c>
      <c r="T906" s="14" t="s">
        <v>256</v>
      </c>
      <c r="U906" s="14" t="s">
        <v>257</v>
      </c>
      <c r="V906" s="14" t="s">
        <v>112</v>
      </c>
      <c r="W906" s="18">
        <v>17000000</v>
      </c>
      <c r="X906" s="18">
        <v>17000000</v>
      </c>
      <c r="Y906" s="19" t="s">
        <v>339</v>
      </c>
      <c r="Z906" s="19" t="s">
        <v>258</v>
      </c>
      <c r="AA906" s="14" t="s">
        <v>971</v>
      </c>
      <c r="AB906" s="14" t="s">
        <v>972</v>
      </c>
      <c r="AC906" s="14">
        <v>6012220601</v>
      </c>
      <c r="AD906" s="14" t="s">
        <v>973</v>
      </c>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c r="BC906" s="82"/>
      <c r="BD906" s="82"/>
      <c r="BE906" s="83"/>
      <c r="BF906" s="83"/>
      <c r="BG906" s="14" t="str">
        <f ca="1">IFERROR(__xludf.DUMMYFUNCTION("REGEXEXTRACT(O900,""^\S+\s(.+)$"")"),"Prestar servicios profesionales para elaborar e implementar una metodología de revisión escalonada y reporte de los conceptos técnicos y decisiones finales, que apoyen las decisiones de los Asesores Técnicos, referida a los proyectos que buscan acceder al"&amp;" trámite de Incentivos Tributarios.")</f>
        <v>Prestar servicios profesionales para elaborar e implementar una metodología de revisión escalonada y reporte de los conceptos técnicos y decisiones finales, que apoyen las decisiones de los Asesores Técnicos, referida a los proyectos que buscan acceder al trámite de Incentivos Tributarios.</v>
      </c>
      <c r="BH906" s="24"/>
      <c r="BI906" s="24"/>
      <c r="BJ906" s="24"/>
      <c r="BK906" s="24">
        <v>-42000000</v>
      </c>
      <c r="BL906" s="24"/>
      <c r="BM906" s="24">
        <v>7000000</v>
      </c>
      <c r="BN906" s="24"/>
      <c r="BO906" s="24">
        <v>7000000</v>
      </c>
      <c r="BP906" s="24"/>
      <c r="BQ906" s="24">
        <v>7000000</v>
      </c>
      <c r="BR906" s="24"/>
      <c r="BS906" s="24">
        <v>7000000</v>
      </c>
      <c r="BT906" s="24"/>
      <c r="BU906" s="24">
        <v>7000000</v>
      </c>
      <c r="BV906" s="24"/>
      <c r="BW906" s="24">
        <v>7000000</v>
      </c>
      <c r="BX906" s="24"/>
      <c r="BY906" s="24">
        <v>7000000</v>
      </c>
      <c r="BZ906" s="24"/>
      <c r="CA906" s="24">
        <v>7000000</v>
      </c>
      <c r="CB906" s="24"/>
      <c r="CC906" s="24">
        <v>7000000</v>
      </c>
      <c r="CD906" s="24"/>
      <c r="CE906" s="24">
        <v>14000000</v>
      </c>
      <c r="CF906" s="28"/>
      <c r="CG906" s="28"/>
      <c r="CH906" s="25">
        <f t="shared" ref="CH906:CI906" si="1647">BH906+BJ906+BL906+BN906+BP906+BR906+BT906+BV906+BX906+BZ906+CB906+CD906+CF906</f>
        <v>0</v>
      </c>
      <c r="CI906" s="25">
        <f t="shared" si="1647"/>
        <v>35000000</v>
      </c>
      <c r="CJ906" s="26">
        <f t="shared" si="1526"/>
        <v>17000000</v>
      </c>
      <c r="CK906" s="26">
        <f t="shared" si="1527"/>
        <v>-18000000</v>
      </c>
    </row>
    <row r="907" spans="1:89" ht="90" customHeight="1" x14ac:dyDescent="0.3">
      <c r="A907" s="13" t="s">
        <v>1891</v>
      </c>
      <c r="B907" s="14" t="s">
        <v>30</v>
      </c>
      <c r="C907" s="15" t="s">
        <v>258</v>
      </c>
      <c r="D907" s="14" t="s">
        <v>258</v>
      </c>
      <c r="E907" s="13" t="s">
        <v>250</v>
      </c>
      <c r="F907" s="13" t="s">
        <v>250</v>
      </c>
      <c r="G907" s="14">
        <v>9</v>
      </c>
      <c r="H907" s="13" t="s">
        <v>2282</v>
      </c>
      <c r="I907" s="15" t="s">
        <v>1893</v>
      </c>
      <c r="J907" s="14" t="s">
        <v>1893</v>
      </c>
      <c r="K907" s="15" t="s">
        <v>1893</v>
      </c>
      <c r="L907" s="14">
        <v>80111620</v>
      </c>
      <c r="M907" s="14" t="s">
        <v>2045</v>
      </c>
      <c r="N907" s="14" t="s">
        <v>253</v>
      </c>
      <c r="O907" s="15" t="s">
        <v>2283</v>
      </c>
      <c r="P907" s="14" t="s">
        <v>255</v>
      </c>
      <c r="Q907" s="14" t="s">
        <v>255</v>
      </c>
      <c r="R907" s="14" t="s">
        <v>255</v>
      </c>
      <c r="S907" s="17">
        <v>5</v>
      </c>
      <c r="T907" s="14" t="s">
        <v>256</v>
      </c>
      <c r="U907" s="14" t="s">
        <v>257</v>
      </c>
      <c r="V907" s="14" t="s">
        <v>112</v>
      </c>
      <c r="W907" s="18">
        <v>55000000</v>
      </c>
      <c r="X907" s="18">
        <v>55000000</v>
      </c>
      <c r="Y907" s="19" t="s">
        <v>339</v>
      </c>
      <c r="Z907" s="19" t="s">
        <v>258</v>
      </c>
      <c r="AA907" s="14" t="s">
        <v>971</v>
      </c>
      <c r="AB907" s="14" t="s">
        <v>972</v>
      </c>
      <c r="AC907" s="14">
        <v>6012220601</v>
      </c>
      <c r="AD907" s="14" t="s">
        <v>973</v>
      </c>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c r="BC907" s="82"/>
      <c r="BD907" s="82"/>
      <c r="BE907" s="83"/>
      <c r="BF907" s="83"/>
      <c r="BG907" s="14" t="str">
        <f ca="1">IFERROR(__xludf.DUMMYFUNCTION("REGEXEXTRACT(O901,""^\S+\s(.+)$"")"),"Prestar servicios profesionales orientados al fortalecimiento de la dimensión de control interno a través de la ejecución del Plan Anual de Auditorías, con énfasis en la Dirección y la Gestión Pública de la Entidad.")</f>
        <v>Prestar servicios profesionales orientados al fortalecimiento de la dimensión de control interno a través de la ejecución del Plan Anual de Auditorías, con énfasis en la Dirección y la Gestión Pública de la Entidad.</v>
      </c>
      <c r="BH907" s="24"/>
      <c r="BI907" s="24"/>
      <c r="BJ907" s="24"/>
      <c r="BK907" s="24"/>
      <c r="BL907" s="24"/>
      <c r="BM907" s="24"/>
      <c r="BN907" s="24"/>
      <c r="BO907" s="24"/>
      <c r="BP907" s="24"/>
      <c r="BQ907" s="24"/>
      <c r="BR907" s="24"/>
      <c r="BS907" s="24"/>
      <c r="BT907" s="36"/>
      <c r="BU907" s="24"/>
      <c r="BV907" s="24"/>
      <c r="BW907" s="24"/>
      <c r="BX907" s="24"/>
      <c r="BY907" s="24"/>
      <c r="BZ907" s="24"/>
      <c r="CA907" s="24"/>
      <c r="CB907" s="24"/>
      <c r="CC907" s="24"/>
      <c r="CD907" s="24"/>
      <c r="CE907" s="24"/>
      <c r="CF907" s="28"/>
      <c r="CG907" s="28"/>
      <c r="CH907" s="25">
        <f t="shared" ref="CH907:CI907" si="1648">BH907+BJ907+BL907+BN907+BP907+BR907+BT907+BV907+BX907+BZ907+CB907+CD907+CF907</f>
        <v>0</v>
      </c>
      <c r="CI907" s="25">
        <f t="shared" si="1648"/>
        <v>0</v>
      </c>
      <c r="CJ907" s="26">
        <f t="shared" si="1526"/>
        <v>55000000</v>
      </c>
      <c r="CK907" s="26">
        <f t="shared" si="1527"/>
        <v>55000000</v>
      </c>
    </row>
    <row r="908" spans="1:89" ht="90" customHeight="1" x14ac:dyDescent="0.3">
      <c r="A908" s="13" t="s">
        <v>1891</v>
      </c>
      <c r="B908" s="14" t="s">
        <v>30</v>
      </c>
      <c r="C908" s="15" t="s">
        <v>258</v>
      </c>
      <c r="D908" s="14" t="s">
        <v>258</v>
      </c>
      <c r="E908" s="13" t="s">
        <v>250</v>
      </c>
      <c r="F908" s="13" t="s">
        <v>250</v>
      </c>
      <c r="G908" s="14">
        <v>1</v>
      </c>
      <c r="H908" s="13" t="s">
        <v>2284</v>
      </c>
      <c r="I908" s="15" t="s">
        <v>1893</v>
      </c>
      <c r="J908" s="14" t="s">
        <v>1893</v>
      </c>
      <c r="K908" s="15" t="s">
        <v>1893</v>
      </c>
      <c r="L908" s="14">
        <v>80111620</v>
      </c>
      <c r="M908" s="14" t="s">
        <v>2045</v>
      </c>
      <c r="N908" s="14" t="s">
        <v>253</v>
      </c>
      <c r="O908" s="15" t="s">
        <v>2285</v>
      </c>
      <c r="P908" s="14" t="s">
        <v>255</v>
      </c>
      <c r="Q908" s="14" t="s">
        <v>255</v>
      </c>
      <c r="R908" s="14" t="s">
        <v>255</v>
      </c>
      <c r="S908" s="17">
        <v>11.5</v>
      </c>
      <c r="T908" s="14" t="s">
        <v>256</v>
      </c>
      <c r="U908" s="14" t="s">
        <v>257</v>
      </c>
      <c r="V908" s="14" t="s">
        <v>112</v>
      </c>
      <c r="W908" s="18">
        <v>100050000</v>
      </c>
      <c r="X908" s="18">
        <v>100050000</v>
      </c>
      <c r="Y908" s="19" t="s">
        <v>339</v>
      </c>
      <c r="Z908" s="19" t="s">
        <v>258</v>
      </c>
      <c r="AA908" s="14" t="s">
        <v>971</v>
      </c>
      <c r="AB908" s="14" t="s">
        <v>972</v>
      </c>
      <c r="AC908" s="14">
        <v>6012220601</v>
      </c>
      <c r="AD908" s="14" t="s">
        <v>973</v>
      </c>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c r="BC908" s="82"/>
      <c r="BD908" s="82"/>
      <c r="BE908" s="83"/>
      <c r="BF908" s="83"/>
      <c r="BG908" s="14" t="str">
        <f ca="1">IFERROR(__xludf.DUMMYFUNCTION("REGEXEXTRACT(O902,""^\S+\s(.+)$"")"),"Prestar servicios profesionales para elaborar e implementar una metodología de revisión escalonada y reporte de los conceptos técnicos y decisiones finales, que apoyen las decisiones de los Asesores Técnicos respecto de los proyectos que buscan acceder al"&amp;" trámite de Incentivos Tributarios, incorporando análisis técnico, verificación de parámetros de desempeño de los sistemas eléctricos asociados a proyectos de FNCE, GEE e Hidrógeno.")</f>
        <v>Prestar servicios profesionales para elaborar e implementar una metodología de revisión escalonada y reporte de los conceptos técnicos y decisiones finales, que apoyen las decisiones de los Asesores Técnicos respecto de los proyectos que buscan acceder al trámite de Incentivos Tributarios, incorporando análisis técnico, verificación de parámetros de desempeño de los sistemas eléctricos asociados a proyectos de FNCE, GEE e Hidrógeno.</v>
      </c>
      <c r="BH908" s="24"/>
      <c r="BI908" s="24"/>
      <c r="BJ908" s="24"/>
      <c r="BK908" s="24">
        <v>4350000</v>
      </c>
      <c r="BL908" s="24"/>
      <c r="BM908" s="24">
        <v>8700000</v>
      </c>
      <c r="BN908" s="24"/>
      <c r="BO908" s="24">
        <v>8700000</v>
      </c>
      <c r="BP908" s="24"/>
      <c r="BQ908" s="24">
        <v>8700000</v>
      </c>
      <c r="BR908" s="24"/>
      <c r="BS908" s="24">
        <v>8700000</v>
      </c>
      <c r="BT908" s="24"/>
      <c r="BU908" s="24">
        <v>8700000</v>
      </c>
      <c r="BV908" s="24"/>
      <c r="BW908" s="24">
        <v>8700000</v>
      </c>
      <c r="BX908" s="24"/>
      <c r="BY908" s="24">
        <v>8700000</v>
      </c>
      <c r="BZ908" s="24"/>
      <c r="CA908" s="24">
        <v>8700000</v>
      </c>
      <c r="CB908" s="24"/>
      <c r="CC908" s="24">
        <v>8700000</v>
      </c>
      <c r="CD908" s="24"/>
      <c r="CE908" s="24">
        <v>17400000</v>
      </c>
      <c r="CF908" s="28"/>
      <c r="CG908" s="28"/>
      <c r="CH908" s="25">
        <f t="shared" ref="CH908:CI908" si="1649">BH908+BJ908+BL908+BN908+BP908+BR908+BT908+BV908+BX908+BZ908+CB908+CD908+CF908</f>
        <v>0</v>
      </c>
      <c r="CI908" s="25">
        <f t="shared" si="1649"/>
        <v>100050000</v>
      </c>
      <c r="CJ908" s="26">
        <f t="shared" si="1526"/>
        <v>100050000</v>
      </c>
      <c r="CK908" s="26">
        <f t="shared" si="1527"/>
        <v>0</v>
      </c>
    </row>
    <row r="909" spans="1:89" ht="90" customHeight="1" x14ac:dyDescent="0.3">
      <c r="A909" s="13" t="s">
        <v>1891</v>
      </c>
      <c r="B909" s="14" t="s">
        <v>30</v>
      </c>
      <c r="C909" s="15" t="s">
        <v>258</v>
      </c>
      <c r="D909" s="14" t="s">
        <v>258</v>
      </c>
      <c r="E909" s="13" t="s">
        <v>250</v>
      </c>
      <c r="F909" s="13" t="s">
        <v>250</v>
      </c>
      <c r="G909" s="14">
        <v>9</v>
      </c>
      <c r="H909" s="13" t="s">
        <v>2286</v>
      </c>
      <c r="I909" s="15" t="s">
        <v>1893</v>
      </c>
      <c r="J909" s="14" t="s">
        <v>1893</v>
      </c>
      <c r="K909" s="15" t="s">
        <v>1893</v>
      </c>
      <c r="L909" s="14">
        <v>80111620</v>
      </c>
      <c r="M909" s="14" t="s">
        <v>2045</v>
      </c>
      <c r="N909" s="14" t="s">
        <v>253</v>
      </c>
      <c r="O909" s="15" t="s">
        <v>2287</v>
      </c>
      <c r="P909" s="14" t="s">
        <v>255</v>
      </c>
      <c r="Q909" s="14" t="s">
        <v>255</v>
      </c>
      <c r="R909" s="14" t="s">
        <v>255</v>
      </c>
      <c r="S909" s="17">
        <v>11.5</v>
      </c>
      <c r="T909" s="14" t="s">
        <v>256</v>
      </c>
      <c r="U909" s="14" t="s">
        <v>257</v>
      </c>
      <c r="V909" s="14" t="s">
        <v>112</v>
      </c>
      <c r="W909" s="18">
        <v>38000000</v>
      </c>
      <c r="X909" s="18">
        <v>38000000</v>
      </c>
      <c r="Y909" s="19" t="s">
        <v>339</v>
      </c>
      <c r="Z909" s="19" t="s">
        <v>258</v>
      </c>
      <c r="AA909" s="14" t="s">
        <v>971</v>
      </c>
      <c r="AB909" s="14" t="s">
        <v>972</v>
      </c>
      <c r="AC909" s="14">
        <v>6012220601</v>
      </c>
      <c r="AD909" s="14" t="s">
        <v>973</v>
      </c>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c r="BC909" s="82"/>
      <c r="BD909" s="82"/>
      <c r="BE909" s="83"/>
      <c r="BF909" s="83"/>
      <c r="BG909" s="14" t="str">
        <f ca="1">IFERROR(__xludf.DUMMYFUNCTION("REGEXEXTRACT(O903,""^\S+\s(.+)$"")"),"Prestar servicios profesionales para diseñar, modelar y divulgar los planes, programas y proyectos prioritarios de la Subdirección de Demanda, relacionados con el Plan Energético Nacional, así como apoyar la elaboración de documentos de planeación de la S"&amp;"ubdirección, en el marco de la Transición Energética Justa (TEJ).")</f>
        <v>Prestar servicios profesionales para diseñar, modelar y divulgar los planes, programas y proyectos prioritarios de la Subdirección de Demanda, relacionados con el Plan Energético Nacional, así como apoyar la elaboración de documentos de planeación de la Subdirección, en el marco de la Transición Energética Justa (TEJ).</v>
      </c>
      <c r="BH909" s="24"/>
      <c r="BI909" s="24"/>
      <c r="BJ909" s="24"/>
      <c r="BK909" s="24">
        <v>2500000</v>
      </c>
      <c r="BL909" s="24"/>
      <c r="BM909" s="24">
        <v>5000000</v>
      </c>
      <c r="BN909" s="24"/>
      <c r="BO909" s="24">
        <v>5000000</v>
      </c>
      <c r="BP909" s="24"/>
      <c r="BQ909" s="24">
        <v>5000000</v>
      </c>
      <c r="BR909" s="24"/>
      <c r="BS909" s="24">
        <v>5000000</v>
      </c>
      <c r="BT909" s="24"/>
      <c r="BU909" s="24">
        <v>5000000</v>
      </c>
      <c r="BV909" s="24"/>
      <c r="BW909" s="24">
        <v>5000000</v>
      </c>
      <c r="BX909" s="24"/>
      <c r="BY909" s="24">
        <v>5000000</v>
      </c>
      <c r="BZ909" s="24"/>
      <c r="CA909" s="24">
        <v>5000000</v>
      </c>
      <c r="CB909" s="24"/>
      <c r="CC909" s="24">
        <v>5000000</v>
      </c>
      <c r="CD909" s="24"/>
      <c r="CE909" s="24">
        <v>10000000</v>
      </c>
      <c r="CF909" s="28"/>
      <c r="CG909" s="28"/>
      <c r="CH909" s="25">
        <f t="shared" ref="CH909:CI909" si="1650">BH909+BJ909+BL909+BN909+BP909+BR909+BT909+BV909+BX909+BZ909+CB909+CD909+CF909</f>
        <v>0</v>
      </c>
      <c r="CI909" s="25">
        <f t="shared" si="1650"/>
        <v>57500000</v>
      </c>
      <c r="CJ909" s="26">
        <f t="shared" si="1526"/>
        <v>38000000</v>
      </c>
      <c r="CK909" s="26">
        <f t="shared" si="1527"/>
        <v>-19500000</v>
      </c>
    </row>
    <row r="910" spans="1:89" ht="90" customHeight="1" x14ac:dyDescent="0.3">
      <c r="A910" s="13" t="s">
        <v>1891</v>
      </c>
      <c r="B910" s="14" t="s">
        <v>30</v>
      </c>
      <c r="C910" s="15" t="s">
        <v>258</v>
      </c>
      <c r="D910" s="14" t="s">
        <v>258</v>
      </c>
      <c r="E910" s="13" t="s">
        <v>250</v>
      </c>
      <c r="F910" s="13" t="s">
        <v>250</v>
      </c>
      <c r="G910" s="14">
        <v>20</v>
      </c>
      <c r="H910" s="13" t="s">
        <v>2288</v>
      </c>
      <c r="I910" s="15" t="s">
        <v>1893</v>
      </c>
      <c r="J910" s="14" t="s">
        <v>1893</v>
      </c>
      <c r="K910" s="15" t="s">
        <v>1893</v>
      </c>
      <c r="L910" s="14">
        <v>80111620</v>
      </c>
      <c r="M910" s="14" t="s">
        <v>2045</v>
      </c>
      <c r="N910" s="14" t="s">
        <v>253</v>
      </c>
      <c r="O910" s="15" t="s">
        <v>2289</v>
      </c>
      <c r="P910" s="14" t="s">
        <v>255</v>
      </c>
      <c r="Q910" s="14" t="s">
        <v>255</v>
      </c>
      <c r="R910" s="14" t="s">
        <v>255</v>
      </c>
      <c r="S910" s="17">
        <v>11.5</v>
      </c>
      <c r="T910" s="14" t="s">
        <v>256</v>
      </c>
      <c r="U910" s="14" t="s">
        <v>257</v>
      </c>
      <c r="V910" s="14" t="s">
        <v>112</v>
      </c>
      <c r="W910" s="18">
        <v>23000000</v>
      </c>
      <c r="X910" s="18">
        <v>23000000</v>
      </c>
      <c r="Y910" s="19" t="s">
        <v>339</v>
      </c>
      <c r="Z910" s="19" t="s">
        <v>258</v>
      </c>
      <c r="AA910" s="14" t="s">
        <v>971</v>
      </c>
      <c r="AB910" s="14" t="s">
        <v>972</v>
      </c>
      <c r="AC910" s="14">
        <v>6012220601</v>
      </c>
      <c r="AD910" s="14" t="s">
        <v>973</v>
      </c>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c r="BC910" s="82"/>
      <c r="BD910" s="82"/>
      <c r="BE910" s="83"/>
      <c r="BF910" s="83"/>
      <c r="BG910" s="14" t="str">
        <f ca="1">IFERROR(__xludf.DUMMYFUNCTION("REGEXEXTRACT(O904,""^\S+\s(.+)$"")"),"Prestar servicios profesionales orientados a los procesos de planeación minero energética mediante el  análisis de la información sectorial para la toma de decisiones estratégicas")</f>
        <v>Prestar servicios profesionales orientados a los procesos de planeación minero energética mediante el  análisis de la información sectorial para la toma de decisiones estratégicas</v>
      </c>
      <c r="BH910" s="24"/>
      <c r="BI910" s="24"/>
      <c r="BJ910" s="24"/>
      <c r="BK910" s="24">
        <v>2500000</v>
      </c>
      <c r="BL910" s="24"/>
      <c r="BM910" s="24">
        <v>5000000</v>
      </c>
      <c r="BN910" s="24"/>
      <c r="BO910" s="24">
        <v>5000000</v>
      </c>
      <c r="BP910" s="24"/>
      <c r="BQ910" s="24">
        <v>5000000</v>
      </c>
      <c r="BR910" s="24"/>
      <c r="BS910" s="24">
        <v>5000000</v>
      </c>
      <c r="BT910" s="24"/>
      <c r="BU910" s="24">
        <v>5000000</v>
      </c>
      <c r="BV910" s="24"/>
      <c r="BW910" s="24">
        <v>5000000</v>
      </c>
      <c r="BX910" s="24"/>
      <c r="BY910" s="24">
        <v>5000000</v>
      </c>
      <c r="BZ910" s="24"/>
      <c r="CA910" s="24">
        <v>5000000</v>
      </c>
      <c r="CB910" s="24"/>
      <c r="CC910" s="24">
        <v>5000000</v>
      </c>
      <c r="CD910" s="24"/>
      <c r="CE910" s="24">
        <v>10000000</v>
      </c>
      <c r="CF910" s="28"/>
      <c r="CG910" s="28"/>
      <c r="CH910" s="25">
        <f t="shared" ref="CH910:CI910" si="1651">BH910+BJ910+BL910+BN910+BP910+BR910+BT910+BV910+BX910+BZ910+CB910+CD910+CF910</f>
        <v>0</v>
      </c>
      <c r="CI910" s="25">
        <f t="shared" si="1651"/>
        <v>57500000</v>
      </c>
      <c r="CJ910" s="26">
        <f t="shared" si="1526"/>
        <v>23000000</v>
      </c>
      <c r="CK910" s="26">
        <f t="shared" si="1527"/>
        <v>-34500000</v>
      </c>
    </row>
    <row r="911" spans="1:89" ht="90" customHeight="1" x14ac:dyDescent="0.3">
      <c r="A911" s="13" t="s">
        <v>1891</v>
      </c>
      <c r="B911" s="14" t="s">
        <v>30</v>
      </c>
      <c r="C911" s="15" t="s">
        <v>258</v>
      </c>
      <c r="D911" s="14" t="s">
        <v>258</v>
      </c>
      <c r="E911" s="13" t="s">
        <v>250</v>
      </c>
      <c r="F911" s="13" t="s">
        <v>250</v>
      </c>
      <c r="G911" s="14">
        <v>1</v>
      </c>
      <c r="H911" s="13" t="s">
        <v>2290</v>
      </c>
      <c r="I911" s="15" t="s">
        <v>1893</v>
      </c>
      <c r="J911" s="14" t="s">
        <v>1893</v>
      </c>
      <c r="K911" s="15" t="s">
        <v>1893</v>
      </c>
      <c r="L911" s="14">
        <v>80111620</v>
      </c>
      <c r="M911" s="14" t="s">
        <v>2042</v>
      </c>
      <c r="N911" s="14" t="s">
        <v>253</v>
      </c>
      <c r="O911" s="15" t="s">
        <v>2291</v>
      </c>
      <c r="P911" s="14" t="s">
        <v>255</v>
      </c>
      <c r="Q911" s="14" t="s">
        <v>255</v>
      </c>
      <c r="R911" s="14" t="s">
        <v>255</v>
      </c>
      <c r="S911" s="17">
        <v>11.5</v>
      </c>
      <c r="T911" s="14" t="s">
        <v>256</v>
      </c>
      <c r="U911" s="14" t="s">
        <v>257</v>
      </c>
      <c r="V911" s="14" t="s">
        <v>112</v>
      </c>
      <c r="W911" s="18">
        <v>57500000</v>
      </c>
      <c r="X911" s="18">
        <v>57500000</v>
      </c>
      <c r="Y911" s="19" t="s">
        <v>339</v>
      </c>
      <c r="Z911" s="19" t="s">
        <v>258</v>
      </c>
      <c r="AA911" s="14" t="s">
        <v>971</v>
      </c>
      <c r="AB911" s="14" t="s">
        <v>972</v>
      </c>
      <c r="AC911" s="14">
        <v>6012220601</v>
      </c>
      <c r="AD911" s="14" t="s">
        <v>973</v>
      </c>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c r="BC911" s="82"/>
      <c r="BD911" s="82"/>
      <c r="BE911" s="83"/>
      <c r="BF911" s="83"/>
      <c r="BG911" s="14" t="str">
        <f ca="1">IFERROR(__xludf.DUMMYFUNCTION("REGEXEXTRACT(O905,""^\S+\s(.+)$"")"),"Prestar servicios profesionales para apoyar el análisis técnico y la evaluación de la información asociada a los proyectos de Fuentes No Convencionales de Energía y de Gestión Eficiente de la Energía, mediante la revisión y validación de datos para la tom"&amp;"a de decisiones y al cumplimiento de los objetivos misionales de la Entidad")</f>
        <v>Prestar servicios profesionales para apoyar el análisis técnico y la evaluación de la información asociada a los proyectos de Fuentes No Convencionales de Energía y de Gestión Eficiente de la Energía, mediante la revisión y validación de datos para la toma de decisiones y al cumplimiento de los objetivos misionales de la Entidad</v>
      </c>
      <c r="BH911" s="24"/>
      <c r="BI911" s="24"/>
      <c r="BJ911" s="24"/>
      <c r="BK911" s="24">
        <v>2500000</v>
      </c>
      <c r="BL911" s="24"/>
      <c r="BM911" s="24">
        <v>5000000</v>
      </c>
      <c r="BN911" s="24"/>
      <c r="BO911" s="24">
        <v>5000000</v>
      </c>
      <c r="BP911" s="24"/>
      <c r="BQ911" s="24">
        <v>5000000</v>
      </c>
      <c r="BR911" s="24"/>
      <c r="BS911" s="24">
        <v>5000000</v>
      </c>
      <c r="BT911" s="24"/>
      <c r="BU911" s="24">
        <v>5000000</v>
      </c>
      <c r="BV911" s="24"/>
      <c r="BW911" s="24">
        <v>5000000</v>
      </c>
      <c r="BX911" s="24"/>
      <c r="BY911" s="24">
        <v>5000000</v>
      </c>
      <c r="BZ911" s="24"/>
      <c r="CA911" s="24">
        <v>5000000</v>
      </c>
      <c r="CB911" s="24"/>
      <c r="CC911" s="24">
        <v>5000000</v>
      </c>
      <c r="CD911" s="24"/>
      <c r="CE911" s="24">
        <v>10000000</v>
      </c>
      <c r="CF911" s="28"/>
      <c r="CG911" s="28"/>
      <c r="CH911" s="25">
        <f t="shared" ref="CH911:CI911" si="1652">BH911+BJ911+BL911+BN911+BP911+BR911+BT911+BV911+BX911+BZ911+CB911+CD911+CF911</f>
        <v>0</v>
      </c>
      <c r="CI911" s="25">
        <f t="shared" si="1652"/>
        <v>57500000</v>
      </c>
      <c r="CJ911" s="26">
        <f t="shared" si="1526"/>
        <v>57500000</v>
      </c>
      <c r="CK911" s="26">
        <f t="shared" si="1527"/>
        <v>0</v>
      </c>
    </row>
    <row r="912" spans="1:89" ht="90" customHeight="1" x14ac:dyDescent="0.3">
      <c r="A912" s="13" t="s">
        <v>1891</v>
      </c>
      <c r="B912" s="14" t="s">
        <v>30</v>
      </c>
      <c r="C912" s="15" t="s">
        <v>258</v>
      </c>
      <c r="D912" s="14" t="s">
        <v>258</v>
      </c>
      <c r="E912" s="13" t="s">
        <v>250</v>
      </c>
      <c r="F912" s="13" t="s">
        <v>250</v>
      </c>
      <c r="G912" s="14">
        <v>1</v>
      </c>
      <c r="H912" s="13" t="s">
        <v>2292</v>
      </c>
      <c r="I912" s="15" t="s">
        <v>1893</v>
      </c>
      <c r="J912" s="14" t="s">
        <v>1893</v>
      </c>
      <c r="K912" s="15" t="s">
        <v>1893</v>
      </c>
      <c r="L912" s="14">
        <v>80111620</v>
      </c>
      <c r="M912" s="14" t="s">
        <v>2045</v>
      </c>
      <c r="N912" s="14" t="s">
        <v>253</v>
      </c>
      <c r="O912" s="15" t="s">
        <v>2293</v>
      </c>
      <c r="P912" s="14" t="s">
        <v>255</v>
      </c>
      <c r="Q912" s="14" t="s">
        <v>255</v>
      </c>
      <c r="R912" s="14" t="s">
        <v>255</v>
      </c>
      <c r="S912" s="17">
        <v>11.4</v>
      </c>
      <c r="T912" s="14" t="s">
        <v>256</v>
      </c>
      <c r="U912" s="14" t="s">
        <v>257</v>
      </c>
      <c r="V912" s="14" t="s">
        <v>112</v>
      </c>
      <c r="W912" s="18">
        <v>57000000</v>
      </c>
      <c r="X912" s="18">
        <v>57000000</v>
      </c>
      <c r="Y912" s="19" t="s">
        <v>339</v>
      </c>
      <c r="Z912" s="19" t="s">
        <v>258</v>
      </c>
      <c r="AA912" s="14" t="s">
        <v>971</v>
      </c>
      <c r="AB912" s="14" t="s">
        <v>972</v>
      </c>
      <c r="AC912" s="14">
        <v>6012220601</v>
      </c>
      <c r="AD912" s="14" t="s">
        <v>973</v>
      </c>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c r="BC912" s="82"/>
      <c r="BD912" s="82"/>
      <c r="BE912" s="83"/>
      <c r="BF912" s="83"/>
      <c r="BG912" s="14" t="str">
        <f ca="1">IFERROR(__xludf.DUMMYFUNCTION("REGEXEXTRACT(O906,""^\S+\s(.+)$"")"),"Prestar servicios profesionales de apoyo técnico, jurídico y regulatorio a la Subdirección de Demanda, mediante el análisis de información y la evaluación de impactos normativos, con el fin de contribuir a la formulación de planes y a la toma de decisione"&amp;"s estratégicas.")</f>
        <v>Prestar servicios profesionales de apoyo técnico, jurídico y regulatorio a la Subdirección de Demanda, mediante el análisis de información y la evaluación de impactos normativos, con el fin de contribuir a la formulación de planes y a la toma de decisiones estratégicas.</v>
      </c>
      <c r="BH912" s="24"/>
      <c r="BI912" s="24"/>
      <c r="BJ912" s="24"/>
      <c r="BK912" s="24">
        <v>2000000</v>
      </c>
      <c r="BL912" s="24"/>
      <c r="BM912" s="24">
        <v>5000000</v>
      </c>
      <c r="BN912" s="24"/>
      <c r="BO912" s="24">
        <v>5000000</v>
      </c>
      <c r="BP912" s="24"/>
      <c r="BQ912" s="24">
        <v>5000000</v>
      </c>
      <c r="BR912" s="24"/>
      <c r="BS912" s="24">
        <v>5000000</v>
      </c>
      <c r="BT912" s="24"/>
      <c r="BU912" s="24">
        <v>5000000</v>
      </c>
      <c r="BV912" s="24"/>
      <c r="BW912" s="24">
        <v>5000000</v>
      </c>
      <c r="BX912" s="24"/>
      <c r="BY912" s="24">
        <v>5000000</v>
      </c>
      <c r="BZ912" s="24"/>
      <c r="CA912" s="24">
        <v>5000000</v>
      </c>
      <c r="CB912" s="24"/>
      <c r="CC912" s="24">
        <v>5000000</v>
      </c>
      <c r="CD912" s="24"/>
      <c r="CE912" s="24">
        <v>10000000</v>
      </c>
      <c r="CF912" s="28"/>
      <c r="CG912" s="28"/>
      <c r="CH912" s="25">
        <f t="shared" ref="CH912:CI912" si="1653">BH912+BJ912+BL912+BN912+BP912+BR912+BT912+BV912+BX912+BZ912+CB912+CD912+CF912</f>
        <v>0</v>
      </c>
      <c r="CI912" s="25">
        <f t="shared" si="1653"/>
        <v>57000000</v>
      </c>
      <c r="CJ912" s="26">
        <f t="shared" si="1526"/>
        <v>57000000</v>
      </c>
      <c r="CK912" s="26">
        <f t="shared" si="1527"/>
        <v>0</v>
      </c>
    </row>
    <row r="913" spans="1:89" ht="90" customHeight="1" x14ac:dyDescent="0.3">
      <c r="A913" s="13" t="s">
        <v>1891</v>
      </c>
      <c r="B913" s="14" t="s">
        <v>30</v>
      </c>
      <c r="C913" s="15" t="s">
        <v>258</v>
      </c>
      <c r="D913" s="14" t="s">
        <v>258</v>
      </c>
      <c r="E913" s="13" t="s">
        <v>250</v>
      </c>
      <c r="F913" s="13" t="s">
        <v>250</v>
      </c>
      <c r="G913" s="14">
        <v>68</v>
      </c>
      <c r="H913" s="13" t="s">
        <v>2294</v>
      </c>
      <c r="I913" s="15" t="s">
        <v>1893</v>
      </c>
      <c r="J913" s="14" t="s">
        <v>1893</v>
      </c>
      <c r="K913" s="15" t="s">
        <v>1893</v>
      </c>
      <c r="L913" s="14">
        <v>80111620</v>
      </c>
      <c r="M913" s="14" t="s">
        <v>2042</v>
      </c>
      <c r="N913" s="14" t="s">
        <v>253</v>
      </c>
      <c r="O913" s="15" t="s">
        <v>2295</v>
      </c>
      <c r="P913" s="14" t="s">
        <v>255</v>
      </c>
      <c r="Q913" s="14" t="s">
        <v>255</v>
      </c>
      <c r="R913" s="14" t="s">
        <v>255</v>
      </c>
      <c r="S913" s="17">
        <v>11.5</v>
      </c>
      <c r="T913" s="14" t="s">
        <v>256</v>
      </c>
      <c r="U913" s="14" t="s">
        <v>257</v>
      </c>
      <c r="V913" s="14" t="s">
        <v>112</v>
      </c>
      <c r="W913" s="18">
        <v>40250000</v>
      </c>
      <c r="X913" s="18">
        <v>40250000</v>
      </c>
      <c r="Y913" s="19" t="s">
        <v>339</v>
      </c>
      <c r="Z913" s="19" t="s">
        <v>258</v>
      </c>
      <c r="AA913" s="14" t="s">
        <v>971</v>
      </c>
      <c r="AB913" s="14" t="s">
        <v>972</v>
      </c>
      <c r="AC913" s="14">
        <v>6012220601</v>
      </c>
      <c r="AD913" s="14" t="s">
        <v>973</v>
      </c>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c r="BC913" s="82"/>
      <c r="BD913" s="82"/>
      <c r="BE913" s="83"/>
      <c r="BF913" s="83"/>
      <c r="BG913" s="14" t="str">
        <f ca="1">IFERROR(__xludf.DUMMYFUNCTION("REGEXEXTRACT(O907,""^\S+\s(.+)$"")"),"Prestar servicios de apoyo a la gestión en las labores administrativas relacionadas con los procesos y procedimientos a cargo de la Oficina Asesora Jurídica, para el logro de los objetivos institucionales de la UPME.")</f>
        <v>Prestar servicios de apoyo a la gestión en las labores administrativas relacionadas con los procesos y procedimientos a cargo de la Oficina Asesora Jurídica, para el logro de los objetivos institucionales de la UPME.</v>
      </c>
      <c r="BH913" s="24"/>
      <c r="BI913" s="24"/>
      <c r="BJ913" s="24"/>
      <c r="BK913" s="24">
        <v>1750000</v>
      </c>
      <c r="BL913" s="24"/>
      <c r="BM913" s="24">
        <v>3500000</v>
      </c>
      <c r="BN913" s="24"/>
      <c r="BO913" s="24">
        <v>3500000</v>
      </c>
      <c r="BP913" s="24"/>
      <c r="BQ913" s="24">
        <v>3500000</v>
      </c>
      <c r="BR913" s="24"/>
      <c r="BS913" s="24">
        <v>3500000</v>
      </c>
      <c r="BT913" s="24"/>
      <c r="BU913" s="24">
        <v>3500000</v>
      </c>
      <c r="BV913" s="24"/>
      <c r="BW913" s="24">
        <v>3500000</v>
      </c>
      <c r="BX913" s="24"/>
      <c r="BY913" s="24">
        <v>3500000</v>
      </c>
      <c r="BZ913" s="24"/>
      <c r="CA913" s="24">
        <v>3500000</v>
      </c>
      <c r="CB913" s="24"/>
      <c r="CC913" s="24">
        <v>3500000</v>
      </c>
      <c r="CD913" s="24"/>
      <c r="CE913" s="24">
        <v>7000000</v>
      </c>
      <c r="CF913" s="28"/>
      <c r="CG913" s="28"/>
      <c r="CH913" s="25">
        <f t="shared" ref="CH913:CI913" si="1654">BH913+BJ913+BL913+BN913+BP913+BR913+BT913+BV913+BX913+BZ913+CB913+CD913+CF913</f>
        <v>0</v>
      </c>
      <c r="CI913" s="25">
        <f t="shared" si="1654"/>
        <v>40250000</v>
      </c>
      <c r="CJ913" s="26">
        <f t="shared" si="1526"/>
        <v>40250000</v>
      </c>
      <c r="CK913" s="26">
        <f t="shared" si="1527"/>
        <v>0</v>
      </c>
    </row>
    <row r="914" spans="1:89" ht="90" customHeight="1" x14ac:dyDescent="0.3">
      <c r="A914" s="13" t="s">
        <v>1891</v>
      </c>
      <c r="B914" s="14" t="s">
        <v>30</v>
      </c>
      <c r="C914" s="15" t="s">
        <v>258</v>
      </c>
      <c r="D914" s="14" t="s">
        <v>258</v>
      </c>
      <c r="E914" s="13" t="s">
        <v>250</v>
      </c>
      <c r="F914" s="13" t="s">
        <v>250</v>
      </c>
      <c r="G914" s="14">
        <v>68</v>
      </c>
      <c r="H914" s="13" t="s">
        <v>2296</v>
      </c>
      <c r="I914" s="15" t="s">
        <v>1893</v>
      </c>
      <c r="J914" s="14" t="s">
        <v>1893</v>
      </c>
      <c r="K914" s="15" t="s">
        <v>1893</v>
      </c>
      <c r="L914" s="14">
        <v>80111620</v>
      </c>
      <c r="M914" s="14" t="s">
        <v>2045</v>
      </c>
      <c r="N914" s="14" t="s">
        <v>253</v>
      </c>
      <c r="O914" s="15" t="s">
        <v>2297</v>
      </c>
      <c r="P914" s="14" t="s">
        <v>255</v>
      </c>
      <c r="Q914" s="14" t="s">
        <v>255</v>
      </c>
      <c r="R914" s="14" t="s">
        <v>255</v>
      </c>
      <c r="S914" s="17">
        <v>11.5</v>
      </c>
      <c r="T914" s="14" t="s">
        <v>256</v>
      </c>
      <c r="U914" s="14" t="s">
        <v>257</v>
      </c>
      <c r="V914" s="14" t="s">
        <v>112</v>
      </c>
      <c r="W914" s="18">
        <v>72450000</v>
      </c>
      <c r="X914" s="18">
        <v>72450000</v>
      </c>
      <c r="Y914" s="19" t="s">
        <v>339</v>
      </c>
      <c r="Z914" s="19" t="s">
        <v>258</v>
      </c>
      <c r="AA914" s="14" t="s">
        <v>971</v>
      </c>
      <c r="AB914" s="14" t="s">
        <v>972</v>
      </c>
      <c r="AC914" s="14">
        <v>6012220601</v>
      </c>
      <c r="AD914" s="14" t="s">
        <v>973</v>
      </c>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c r="BC914" s="82"/>
      <c r="BD914" s="82"/>
      <c r="BE914" s="83"/>
      <c r="BF914" s="83"/>
      <c r="BG914" s="14" t="str">
        <f ca="1">IFERROR(__xludf.DUMMYFUNCTION("REGEXEXTRACT(O908,""^\S+\s(.+)$"")"),"Prestar servicios profesionales para el análisis de información y documentos de los procesos de la Subdirección de Demanda y los asociados a la planeación energética de largo plazo e incentivos tributarios.")</f>
        <v>Prestar servicios profesionales para el análisis de información y documentos de los procesos de la Subdirección de Demanda y los asociados a la planeación energética de largo plazo e incentivos tributarios.</v>
      </c>
      <c r="BH914" s="24"/>
      <c r="BI914" s="24"/>
      <c r="BJ914" s="24"/>
      <c r="BK914" s="24">
        <v>3150000</v>
      </c>
      <c r="BL914" s="24"/>
      <c r="BM914" s="24">
        <v>6300000</v>
      </c>
      <c r="BN914" s="24"/>
      <c r="BO914" s="24">
        <v>6300000</v>
      </c>
      <c r="BP914" s="24"/>
      <c r="BQ914" s="24">
        <v>6300000</v>
      </c>
      <c r="BR914" s="24"/>
      <c r="BS914" s="24">
        <v>6300000</v>
      </c>
      <c r="BT914" s="24"/>
      <c r="BU914" s="24">
        <v>6300000</v>
      </c>
      <c r="BV914" s="24"/>
      <c r="BW914" s="24">
        <v>6300000</v>
      </c>
      <c r="BX914" s="24"/>
      <c r="BY914" s="24">
        <v>6300000</v>
      </c>
      <c r="BZ914" s="24"/>
      <c r="CA914" s="24">
        <v>6300000</v>
      </c>
      <c r="CB914" s="24"/>
      <c r="CC914" s="24">
        <v>6300000</v>
      </c>
      <c r="CD914" s="24"/>
      <c r="CE914" s="24">
        <v>12600000</v>
      </c>
      <c r="CF914" s="28"/>
      <c r="CG914" s="28"/>
      <c r="CH914" s="25">
        <f t="shared" ref="CH914:CI914" si="1655">BH914+BJ914+BL914+BN914+BP914+BR914+BT914+BV914+BX914+BZ914+CB914+CD914+CF914</f>
        <v>0</v>
      </c>
      <c r="CI914" s="25">
        <f t="shared" si="1655"/>
        <v>72450000</v>
      </c>
      <c r="CJ914" s="26">
        <f t="shared" si="1526"/>
        <v>72450000</v>
      </c>
      <c r="CK914" s="26">
        <f t="shared" si="1527"/>
        <v>0</v>
      </c>
    </row>
    <row r="915" spans="1:89" ht="90" customHeight="1" x14ac:dyDescent="0.3">
      <c r="A915" s="13" t="s">
        <v>1891</v>
      </c>
      <c r="B915" s="14" t="s">
        <v>30</v>
      </c>
      <c r="C915" s="15" t="s">
        <v>258</v>
      </c>
      <c r="D915" s="14" t="s">
        <v>258</v>
      </c>
      <c r="E915" s="13" t="s">
        <v>250</v>
      </c>
      <c r="F915" s="13" t="s">
        <v>250</v>
      </c>
      <c r="G915" s="14">
        <v>68</v>
      </c>
      <c r="H915" s="13" t="s">
        <v>2298</v>
      </c>
      <c r="I915" s="15" t="s">
        <v>1893</v>
      </c>
      <c r="J915" s="14" t="s">
        <v>1893</v>
      </c>
      <c r="K915" s="15" t="s">
        <v>1893</v>
      </c>
      <c r="L915" s="14">
        <v>80111620</v>
      </c>
      <c r="M915" s="14" t="s">
        <v>2042</v>
      </c>
      <c r="N915" s="14" t="s">
        <v>253</v>
      </c>
      <c r="O915" s="15" t="s">
        <v>2299</v>
      </c>
      <c r="P915" s="14" t="s">
        <v>255</v>
      </c>
      <c r="Q915" s="14" t="s">
        <v>255</v>
      </c>
      <c r="R915" s="14" t="s">
        <v>255</v>
      </c>
      <c r="S915" s="17">
        <v>11.5</v>
      </c>
      <c r="T915" s="14" t="s">
        <v>256</v>
      </c>
      <c r="U915" s="14" t="s">
        <v>257</v>
      </c>
      <c r="V915" s="14" t="s">
        <v>112</v>
      </c>
      <c r="W915" s="18">
        <v>126500000</v>
      </c>
      <c r="X915" s="18">
        <v>126500000</v>
      </c>
      <c r="Y915" s="19" t="s">
        <v>339</v>
      </c>
      <c r="Z915" s="19" t="s">
        <v>258</v>
      </c>
      <c r="AA915" s="14" t="s">
        <v>971</v>
      </c>
      <c r="AB915" s="14" t="s">
        <v>972</v>
      </c>
      <c r="AC915" s="14">
        <v>6012220601</v>
      </c>
      <c r="AD915" s="14" t="s">
        <v>973</v>
      </c>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c r="BC915" s="82"/>
      <c r="BD915" s="82"/>
      <c r="BE915" s="83"/>
      <c r="BF915" s="83"/>
      <c r="BG915" s="14" t="str">
        <f ca="1">IFERROR(__xludf.DUMMYFUNCTION("REGEXEXTRACT(O909,""^\S+\s(.+)$"")"),"Prestar servicios profesionales de asesoria en los asuntos juridicos de compentencia de la Oficina Asesora Juridica de la UPME y lo que de ello se derive, en el marco de la gestión institucional de la Entidad.")</f>
        <v>Prestar servicios profesionales de asesoria en los asuntos juridicos de compentencia de la Oficina Asesora Juridica de la UPME y lo que de ello se derive, en el marco de la gestión institucional de la Entidad.</v>
      </c>
      <c r="BH915" s="24"/>
      <c r="BI915" s="24"/>
      <c r="BJ915" s="24"/>
      <c r="BK915" s="24">
        <v>5500000</v>
      </c>
      <c r="BL915" s="24"/>
      <c r="BM915" s="24">
        <v>11000000</v>
      </c>
      <c r="BN915" s="24"/>
      <c r="BO915" s="24">
        <v>11000000</v>
      </c>
      <c r="BP915" s="24"/>
      <c r="BQ915" s="24">
        <v>11000000</v>
      </c>
      <c r="BR915" s="24"/>
      <c r="BS915" s="24">
        <v>11000000</v>
      </c>
      <c r="BT915" s="24"/>
      <c r="BU915" s="24">
        <v>11000000</v>
      </c>
      <c r="BV915" s="24"/>
      <c r="BW915" s="24">
        <v>11000000</v>
      </c>
      <c r="BX915" s="24"/>
      <c r="BY915" s="24">
        <v>11000000</v>
      </c>
      <c r="BZ915" s="24"/>
      <c r="CA915" s="24">
        <v>11000000</v>
      </c>
      <c r="CB915" s="24"/>
      <c r="CC915" s="24">
        <v>11000000</v>
      </c>
      <c r="CD915" s="24"/>
      <c r="CE915" s="24">
        <v>22000000</v>
      </c>
      <c r="CF915" s="28"/>
      <c r="CG915" s="28"/>
      <c r="CH915" s="25">
        <f t="shared" ref="CH915:CI915" si="1656">BH915+BJ915+BL915+BN915+BP915+BR915+BT915+BV915+BX915+BZ915+CB915+CD915+CF915</f>
        <v>0</v>
      </c>
      <c r="CI915" s="25">
        <f t="shared" si="1656"/>
        <v>126500000</v>
      </c>
      <c r="CJ915" s="26">
        <f t="shared" si="1526"/>
        <v>126500000</v>
      </c>
      <c r="CK915" s="26">
        <f t="shared" si="1527"/>
        <v>0</v>
      </c>
    </row>
    <row r="916" spans="1:89" ht="90" customHeight="1" x14ac:dyDescent="0.3">
      <c r="A916" s="13" t="s">
        <v>1891</v>
      </c>
      <c r="B916" s="14" t="s">
        <v>30</v>
      </c>
      <c r="C916" s="15" t="s">
        <v>258</v>
      </c>
      <c r="D916" s="14" t="s">
        <v>258</v>
      </c>
      <c r="E916" s="13" t="s">
        <v>250</v>
      </c>
      <c r="F916" s="13" t="s">
        <v>250</v>
      </c>
      <c r="G916" s="14">
        <v>68</v>
      </c>
      <c r="H916" s="13" t="s">
        <v>2300</v>
      </c>
      <c r="I916" s="15" t="s">
        <v>1893</v>
      </c>
      <c r="J916" s="14" t="s">
        <v>1893</v>
      </c>
      <c r="K916" s="15" t="s">
        <v>1893</v>
      </c>
      <c r="L916" s="14">
        <v>80111620</v>
      </c>
      <c r="M916" s="14" t="s">
        <v>2042</v>
      </c>
      <c r="N916" s="14" t="s">
        <v>253</v>
      </c>
      <c r="O916" s="15" t="s">
        <v>2301</v>
      </c>
      <c r="P916" s="14" t="s">
        <v>255</v>
      </c>
      <c r="Q916" s="14" t="s">
        <v>255</v>
      </c>
      <c r="R916" s="14" t="s">
        <v>255</v>
      </c>
      <c r="S916" s="17">
        <v>11.5</v>
      </c>
      <c r="T916" s="14" t="s">
        <v>256</v>
      </c>
      <c r="U916" s="14" t="s">
        <v>257</v>
      </c>
      <c r="V916" s="14" t="s">
        <v>112</v>
      </c>
      <c r="W916" s="18">
        <v>57500000</v>
      </c>
      <c r="X916" s="18">
        <v>57500000</v>
      </c>
      <c r="Y916" s="19" t="s">
        <v>339</v>
      </c>
      <c r="Z916" s="19" t="s">
        <v>258</v>
      </c>
      <c r="AA916" s="14" t="s">
        <v>971</v>
      </c>
      <c r="AB916" s="14" t="s">
        <v>972</v>
      </c>
      <c r="AC916" s="14">
        <v>6012220601</v>
      </c>
      <c r="AD916" s="14" t="s">
        <v>973</v>
      </c>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c r="BC916" s="82"/>
      <c r="BD916" s="82"/>
      <c r="BE916" s="83"/>
      <c r="BF916" s="83"/>
      <c r="BG916" s="14" t="str">
        <f ca="1">IFERROR(__xludf.DUMMYFUNCTION("REGEXEXTRACT(O910,""^\S+\s(.+)$"")"),"Prestar servicios profesionales en asuntos juridicos relacionados con los procesos y procedimientos de competencia de la Oficina Asesora Juridica de la UPME, en el marco de la gestión institucional de la Entidad.")</f>
        <v>Prestar servicios profesionales en asuntos juridicos relacionados con los procesos y procedimientos de competencia de la Oficina Asesora Juridica de la UPME, en el marco de la gestión institucional de la Entidad.</v>
      </c>
      <c r="BH916" s="24"/>
      <c r="BI916" s="24"/>
      <c r="BJ916" s="24"/>
      <c r="BK916" s="24">
        <v>2500000</v>
      </c>
      <c r="BL916" s="24"/>
      <c r="BM916" s="24">
        <v>5000000</v>
      </c>
      <c r="BN916" s="24"/>
      <c r="BO916" s="24">
        <v>5000000</v>
      </c>
      <c r="BP916" s="24"/>
      <c r="BQ916" s="24">
        <v>5000000</v>
      </c>
      <c r="BR916" s="24"/>
      <c r="BS916" s="24">
        <v>5000000</v>
      </c>
      <c r="BT916" s="24"/>
      <c r="BU916" s="24">
        <v>5000000</v>
      </c>
      <c r="BV916" s="24"/>
      <c r="BW916" s="24">
        <v>5000000</v>
      </c>
      <c r="BX916" s="24"/>
      <c r="BY916" s="24">
        <v>5000000</v>
      </c>
      <c r="BZ916" s="24"/>
      <c r="CA916" s="24">
        <v>5000000</v>
      </c>
      <c r="CB916" s="24"/>
      <c r="CC916" s="24">
        <v>5000000</v>
      </c>
      <c r="CD916" s="24"/>
      <c r="CE916" s="24">
        <v>10000000</v>
      </c>
      <c r="CF916" s="28"/>
      <c r="CG916" s="28"/>
      <c r="CH916" s="25">
        <f t="shared" ref="CH916:CI916" si="1657">BH916+BJ916+BL916+BN916+BP916+BR916+BT916+BV916+BX916+BZ916+CB916+CD916+CF916</f>
        <v>0</v>
      </c>
      <c r="CI916" s="25">
        <f t="shared" si="1657"/>
        <v>57500000</v>
      </c>
      <c r="CJ916" s="26">
        <f t="shared" si="1526"/>
        <v>57500000</v>
      </c>
      <c r="CK916" s="26">
        <f t="shared" si="1527"/>
        <v>0</v>
      </c>
    </row>
    <row r="917" spans="1:89" ht="90" customHeight="1" x14ac:dyDescent="0.3">
      <c r="A917" s="13" t="s">
        <v>1891</v>
      </c>
      <c r="B917" s="14" t="s">
        <v>30</v>
      </c>
      <c r="C917" s="15" t="s">
        <v>258</v>
      </c>
      <c r="D917" s="14" t="s">
        <v>258</v>
      </c>
      <c r="E917" s="13" t="s">
        <v>250</v>
      </c>
      <c r="F917" s="13" t="s">
        <v>250</v>
      </c>
      <c r="G917" s="14">
        <v>68</v>
      </c>
      <c r="H917" s="13" t="s">
        <v>2302</v>
      </c>
      <c r="I917" s="15" t="s">
        <v>1893</v>
      </c>
      <c r="J917" s="14" t="s">
        <v>1893</v>
      </c>
      <c r="K917" s="15" t="s">
        <v>1893</v>
      </c>
      <c r="L917" s="14">
        <v>80111620</v>
      </c>
      <c r="M917" s="14" t="s">
        <v>2042</v>
      </c>
      <c r="N917" s="14" t="s">
        <v>253</v>
      </c>
      <c r="O917" s="15" t="s">
        <v>2303</v>
      </c>
      <c r="P917" s="14" t="s">
        <v>255</v>
      </c>
      <c r="Q917" s="14" t="s">
        <v>255</v>
      </c>
      <c r="R917" s="14" t="s">
        <v>255</v>
      </c>
      <c r="S917" s="17">
        <v>11.5</v>
      </c>
      <c r="T917" s="14" t="s">
        <v>256</v>
      </c>
      <c r="U917" s="14" t="s">
        <v>257</v>
      </c>
      <c r="V917" s="14" t="s">
        <v>112</v>
      </c>
      <c r="W917" s="18">
        <v>82800000</v>
      </c>
      <c r="X917" s="18">
        <v>82800000</v>
      </c>
      <c r="Y917" s="19" t="s">
        <v>339</v>
      </c>
      <c r="Z917" s="19" t="s">
        <v>258</v>
      </c>
      <c r="AA917" s="14" t="s">
        <v>971</v>
      </c>
      <c r="AB917" s="14" t="s">
        <v>972</v>
      </c>
      <c r="AC917" s="14">
        <v>6012220601</v>
      </c>
      <c r="AD917" s="14" t="s">
        <v>973</v>
      </c>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c r="BC917" s="82"/>
      <c r="BD917" s="82"/>
      <c r="BE917" s="83"/>
      <c r="BF917" s="83"/>
      <c r="BG917" s="14" t="str">
        <f ca="1">IFERROR(__xludf.DUMMYFUNCTION("REGEXEXTRACT(O911,""^\S+\s(.+)$"")"),"Prestar servicios profesionales para la proyección de documentos de contenido legal y appoyo de los asuntos de tipo jurídico que resulten de las actividades administrativas de competencia de la UPME, en el marco de la gestión institucional de la Entidad")</f>
        <v>Prestar servicios profesionales para la proyección de documentos de contenido legal y appoyo de los asuntos de tipo jurídico que resulten de las actividades administrativas de competencia de la UPME, en el marco de la gestión institucional de la Entidad</v>
      </c>
      <c r="BH917" s="24"/>
      <c r="BI917" s="24"/>
      <c r="BJ917" s="24"/>
      <c r="BK917" s="24">
        <v>3600000</v>
      </c>
      <c r="BL917" s="24"/>
      <c r="BM917" s="24">
        <v>7200000</v>
      </c>
      <c r="BN917" s="24"/>
      <c r="BO917" s="24">
        <v>7200000</v>
      </c>
      <c r="BP917" s="24"/>
      <c r="BQ917" s="24">
        <v>7200000</v>
      </c>
      <c r="BR917" s="24"/>
      <c r="BS917" s="24">
        <v>7200000</v>
      </c>
      <c r="BT917" s="24"/>
      <c r="BU917" s="24">
        <v>7200000</v>
      </c>
      <c r="BV917" s="24"/>
      <c r="BW917" s="24">
        <v>7200000</v>
      </c>
      <c r="BX917" s="24"/>
      <c r="BY917" s="24">
        <v>7200000</v>
      </c>
      <c r="BZ917" s="24"/>
      <c r="CA917" s="24">
        <v>7200000</v>
      </c>
      <c r="CB917" s="24"/>
      <c r="CC917" s="24">
        <v>7200000</v>
      </c>
      <c r="CD917" s="24"/>
      <c r="CE917" s="24">
        <v>14400000</v>
      </c>
      <c r="CF917" s="28"/>
      <c r="CG917" s="28"/>
      <c r="CH917" s="25">
        <f t="shared" ref="CH917:CI917" si="1658">BH917+BJ917+BL917+BN917+BP917+BR917+BT917+BV917+BX917+BZ917+CB917+CD917+CF917</f>
        <v>0</v>
      </c>
      <c r="CI917" s="25">
        <f t="shared" si="1658"/>
        <v>82800000</v>
      </c>
      <c r="CJ917" s="26">
        <f t="shared" si="1526"/>
        <v>82800000</v>
      </c>
      <c r="CK917" s="26">
        <f t="shared" si="1527"/>
        <v>0</v>
      </c>
    </row>
    <row r="918" spans="1:89" ht="90" customHeight="1" x14ac:dyDescent="0.3">
      <c r="A918" s="13" t="s">
        <v>1891</v>
      </c>
      <c r="B918" s="14" t="s">
        <v>30</v>
      </c>
      <c r="C918" s="15" t="s">
        <v>258</v>
      </c>
      <c r="D918" s="14" t="s">
        <v>258</v>
      </c>
      <c r="E918" s="13" t="s">
        <v>250</v>
      </c>
      <c r="F918" s="13" t="s">
        <v>250</v>
      </c>
      <c r="G918" s="14">
        <v>68</v>
      </c>
      <c r="H918" s="13" t="s">
        <v>2304</v>
      </c>
      <c r="I918" s="15" t="s">
        <v>1893</v>
      </c>
      <c r="J918" s="14" t="s">
        <v>1893</v>
      </c>
      <c r="K918" s="15" t="s">
        <v>1893</v>
      </c>
      <c r="L918" s="14">
        <v>80111620</v>
      </c>
      <c r="M918" s="14" t="s">
        <v>2042</v>
      </c>
      <c r="N918" s="14" t="s">
        <v>253</v>
      </c>
      <c r="O918" s="15" t="s">
        <v>2305</v>
      </c>
      <c r="P918" s="14" t="s">
        <v>255</v>
      </c>
      <c r="Q918" s="14" t="s">
        <v>255</v>
      </c>
      <c r="R918" s="14" t="s">
        <v>255</v>
      </c>
      <c r="S918" s="17">
        <v>11.5</v>
      </c>
      <c r="T918" s="14" t="s">
        <v>256</v>
      </c>
      <c r="U918" s="14" t="s">
        <v>257</v>
      </c>
      <c r="V918" s="14" t="s">
        <v>112</v>
      </c>
      <c r="W918" s="18">
        <v>82800000</v>
      </c>
      <c r="X918" s="18">
        <v>82800000</v>
      </c>
      <c r="Y918" s="19" t="s">
        <v>339</v>
      </c>
      <c r="Z918" s="19" t="s">
        <v>258</v>
      </c>
      <c r="AA918" s="14" t="s">
        <v>971</v>
      </c>
      <c r="AB918" s="14" t="s">
        <v>972</v>
      </c>
      <c r="AC918" s="14">
        <v>6012220601</v>
      </c>
      <c r="AD918" s="14" t="s">
        <v>973</v>
      </c>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c r="BC918" s="82"/>
      <c r="BD918" s="82"/>
      <c r="BE918" s="83"/>
      <c r="BF918" s="83"/>
      <c r="BG918" s="14" t="str">
        <f ca="1">IFERROR(__xludf.DUMMYFUNCTION("REGEXEXTRACT(O912,""^\S+\s(.+)$"")"),"Prestar servicios profesionales para la proyección de documentos de contenido legal y apoyo de los asuntos de tipo juridico y judicial de competencia de la Oficina Asesora Jurídica de la UPME, en el marco de la gestión institucional de la Entidad")</f>
        <v>Prestar servicios profesionales para la proyección de documentos de contenido legal y apoyo de los asuntos de tipo juridico y judicial de competencia de la Oficina Asesora Jurídica de la UPME, en el marco de la gestión institucional de la Entidad</v>
      </c>
      <c r="BH918" s="24"/>
      <c r="BI918" s="24"/>
      <c r="BJ918" s="24"/>
      <c r="BK918" s="24">
        <v>3600000</v>
      </c>
      <c r="BL918" s="24"/>
      <c r="BM918" s="24">
        <v>7200000</v>
      </c>
      <c r="BN918" s="24"/>
      <c r="BO918" s="24">
        <v>7200000</v>
      </c>
      <c r="BP918" s="24"/>
      <c r="BQ918" s="24">
        <v>7200000</v>
      </c>
      <c r="BR918" s="24"/>
      <c r="BS918" s="24">
        <v>7200000</v>
      </c>
      <c r="BT918" s="24"/>
      <c r="BU918" s="24">
        <v>7200000</v>
      </c>
      <c r="BV918" s="24"/>
      <c r="BW918" s="24">
        <v>7200000</v>
      </c>
      <c r="BX918" s="24"/>
      <c r="BY918" s="24">
        <v>7200000</v>
      </c>
      <c r="BZ918" s="24"/>
      <c r="CA918" s="24">
        <v>7200000</v>
      </c>
      <c r="CB918" s="24"/>
      <c r="CC918" s="24">
        <v>7200000</v>
      </c>
      <c r="CD918" s="24"/>
      <c r="CE918" s="24">
        <v>14400000</v>
      </c>
      <c r="CF918" s="28"/>
      <c r="CG918" s="28"/>
      <c r="CH918" s="25">
        <f t="shared" ref="CH918:CI918" si="1659">BH918+BJ918+BL918+BN918+BP918+BR918+BT918+BV918+BX918+BZ918+CB918+CD918+CF918</f>
        <v>0</v>
      </c>
      <c r="CI918" s="25">
        <f t="shared" si="1659"/>
        <v>82800000</v>
      </c>
      <c r="CJ918" s="26">
        <f t="shared" si="1526"/>
        <v>82800000</v>
      </c>
      <c r="CK918" s="26">
        <f t="shared" si="1527"/>
        <v>0</v>
      </c>
    </row>
    <row r="919" spans="1:89" ht="90" customHeight="1" x14ac:dyDescent="0.3">
      <c r="A919" s="13" t="s">
        <v>1891</v>
      </c>
      <c r="B919" s="14" t="s">
        <v>30</v>
      </c>
      <c r="C919" s="15" t="s">
        <v>258</v>
      </c>
      <c r="D919" s="14" t="s">
        <v>258</v>
      </c>
      <c r="E919" s="13" t="s">
        <v>250</v>
      </c>
      <c r="F919" s="13" t="s">
        <v>250</v>
      </c>
      <c r="G919" s="14">
        <v>68</v>
      </c>
      <c r="H919" s="13" t="s">
        <v>2306</v>
      </c>
      <c r="I919" s="15" t="s">
        <v>1893</v>
      </c>
      <c r="J919" s="14" t="s">
        <v>1893</v>
      </c>
      <c r="K919" s="15" t="s">
        <v>1893</v>
      </c>
      <c r="L919" s="14">
        <v>80111620</v>
      </c>
      <c r="M919" s="14" t="s">
        <v>2042</v>
      </c>
      <c r="N919" s="14" t="s">
        <v>253</v>
      </c>
      <c r="O919" s="15" t="s">
        <v>2307</v>
      </c>
      <c r="P919" s="14" t="s">
        <v>255</v>
      </c>
      <c r="Q919" s="14" t="s">
        <v>255</v>
      </c>
      <c r="R919" s="14" t="s">
        <v>255</v>
      </c>
      <c r="S919" s="17">
        <v>11.5</v>
      </c>
      <c r="T919" s="14" t="s">
        <v>256</v>
      </c>
      <c r="U919" s="14" t="s">
        <v>257</v>
      </c>
      <c r="V919" s="14" t="s">
        <v>112</v>
      </c>
      <c r="W919" s="18">
        <v>82800000</v>
      </c>
      <c r="X919" s="18">
        <v>82800000</v>
      </c>
      <c r="Y919" s="19" t="s">
        <v>339</v>
      </c>
      <c r="Z919" s="19" t="s">
        <v>258</v>
      </c>
      <c r="AA919" s="14" t="s">
        <v>971</v>
      </c>
      <c r="AB919" s="14" t="s">
        <v>972</v>
      </c>
      <c r="AC919" s="14">
        <v>6012220601</v>
      </c>
      <c r="AD919" s="14" t="s">
        <v>973</v>
      </c>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c r="BC919" s="82"/>
      <c r="BD919" s="82"/>
      <c r="BE919" s="83"/>
      <c r="BF919" s="83"/>
      <c r="BG919" s="14" t="str">
        <f ca="1">IFERROR(__xludf.DUMMYFUNCTION("REGEXEXTRACT(O913,""^\S+\s(.+)$"")"),"Prestar servicios ​profesionales en asuntos jurídicos relacionados con las actuaciones administrativas y misionales de la UPME, en el marco de la gestión institucional de la Entidad.")</f>
        <v>Prestar servicios ​profesionales en asuntos jurídicos relacionados con las actuaciones administrativas y misionales de la UPME, en el marco de la gestión institucional de la Entidad.</v>
      </c>
      <c r="BH919" s="24"/>
      <c r="BI919" s="24"/>
      <c r="BJ919" s="24"/>
      <c r="BK919" s="24">
        <v>3600000</v>
      </c>
      <c r="BL919" s="24"/>
      <c r="BM919" s="24">
        <v>7200000</v>
      </c>
      <c r="BN919" s="24"/>
      <c r="BO919" s="24">
        <v>7200000</v>
      </c>
      <c r="BP919" s="24"/>
      <c r="BQ919" s="24">
        <v>7200000</v>
      </c>
      <c r="BR919" s="24"/>
      <c r="BS919" s="24">
        <v>7200000</v>
      </c>
      <c r="BT919" s="24"/>
      <c r="BU919" s="24">
        <v>7200000</v>
      </c>
      <c r="BV919" s="24"/>
      <c r="BW919" s="24">
        <v>7200000</v>
      </c>
      <c r="BX919" s="24"/>
      <c r="BY919" s="24">
        <v>7200000</v>
      </c>
      <c r="BZ919" s="24"/>
      <c r="CA919" s="24">
        <v>7200000</v>
      </c>
      <c r="CB919" s="24"/>
      <c r="CC919" s="24">
        <v>7200000</v>
      </c>
      <c r="CD919" s="24"/>
      <c r="CE919" s="24">
        <v>14400000</v>
      </c>
      <c r="CF919" s="28"/>
      <c r="CG919" s="28"/>
      <c r="CH919" s="25">
        <f t="shared" ref="CH919:CI919" si="1660">BH919+BJ919+BL919+BN919+BP919+BR919+BT919+BV919+BX919+BZ919+CB919+CD919+CF919</f>
        <v>0</v>
      </c>
      <c r="CI919" s="25">
        <f t="shared" si="1660"/>
        <v>82800000</v>
      </c>
      <c r="CJ919" s="26">
        <f t="shared" si="1526"/>
        <v>82800000</v>
      </c>
      <c r="CK919" s="26">
        <f t="shared" si="1527"/>
        <v>0</v>
      </c>
    </row>
    <row r="920" spans="1:89" ht="90" customHeight="1" x14ac:dyDescent="0.3">
      <c r="A920" s="13" t="s">
        <v>1891</v>
      </c>
      <c r="B920" s="14" t="s">
        <v>30</v>
      </c>
      <c r="C920" s="15" t="s">
        <v>258</v>
      </c>
      <c r="D920" s="14" t="s">
        <v>258</v>
      </c>
      <c r="E920" s="13" t="s">
        <v>250</v>
      </c>
      <c r="F920" s="13" t="s">
        <v>250</v>
      </c>
      <c r="G920" s="14">
        <v>68</v>
      </c>
      <c r="H920" s="13" t="s">
        <v>2308</v>
      </c>
      <c r="I920" s="15" t="s">
        <v>1893</v>
      </c>
      <c r="J920" s="14" t="s">
        <v>1893</v>
      </c>
      <c r="K920" s="15" t="s">
        <v>1893</v>
      </c>
      <c r="L920" s="14">
        <v>80111620</v>
      </c>
      <c r="M920" s="14" t="s">
        <v>2042</v>
      </c>
      <c r="N920" s="14" t="s">
        <v>253</v>
      </c>
      <c r="O920" s="15" t="s">
        <v>2309</v>
      </c>
      <c r="P920" s="14" t="s">
        <v>255</v>
      </c>
      <c r="Q920" s="14" t="s">
        <v>255</v>
      </c>
      <c r="R920" s="14" t="s">
        <v>255</v>
      </c>
      <c r="S920" s="17">
        <v>11.4</v>
      </c>
      <c r="T920" s="14" t="s">
        <v>256</v>
      </c>
      <c r="U920" s="14" t="s">
        <v>257</v>
      </c>
      <c r="V920" s="14" t="s">
        <v>112</v>
      </c>
      <c r="W920" s="18">
        <v>57000000</v>
      </c>
      <c r="X920" s="18">
        <v>57000000</v>
      </c>
      <c r="Y920" s="19" t="s">
        <v>339</v>
      </c>
      <c r="Z920" s="19" t="s">
        <v>258</v>
      </c>
      <c r="AA920" s="14" t="s">
        <v>971</v>
      </c>
      <c r="AB920" s="14" t="s">
        <v>972</v>
      </c>
      <c r="AC920" s="14">
        <v>6012220601</v>
      </c>
      <c r="AD920" s="14" t="s">
        <v>973</v>
      </c>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c r="BC920" s="82"/>
      <c r="BD920" s="82"/>
      <c r="BE920" s="83"/>
      <c r="BF920" s="83"/>
      <c r="BG920" s="14" t="str">
        <f ca="1">IFERROR(__xludf.DUMMYFUNCTION("REGEXEXTRACT(O914,""^\S+\s(.+)$"")"),"Prestar servicios profesionales para la elaboración y proyección de documentos de carácter legal, así como para brindar apoyo en los asuntos jurídicos derivados de las actuaciones administrativas misionales de competencia de la UPME, en el marco de la ges"&amp;"tión institucional de la Entidad")</f>
        <v>Prestar servicios profesionales para la elaboración y proyección de documentos de carácter legal, así como para brindar apoyo en los asuntos jurídicos derivados de las actuaciones administrativas misionales de competencia de la UPME, en el marco de la gestión institucional de la Entidad</v>
      </c>
      <c r="BH920" s="24"/>
      <c r="BI920" s="24"/>
      <c r="BJ920" s="24"/>
      <c r="BK920" s="24">
        <v>2000000</v>
      </c>
      <c r="BL920" s="24"/>
      <c r="BM920" s="24">
        <v>5000000</v>
      </c>
      <c r="BN920" s="24"/>
      <c r="BO920" s="24">
        <v>5000000</v>
      </c>
      <c r="BP920" s="24"/>
      <c r="BQ920" s="24">
        <v>5000000</v>
      </c>
      <c r="BR920" s="24"/>
      <c r="BS920" s="24">
        <v>5000000</v>
      </c>
      <c r="BT920" s="24"/>
      <c r="BU920" s="24">
        <v>5000000</v>
      </c>
      <c r="BV920" s="24"/>
      <c r="BW920" s="24">
        <v>5000000</v>
      </c>
      <c r="BX920" s="24"/>
      <c r="BY920" s="24">
        <v>5000000</v>
      </c>
      <c r="BZ920" s="24"/>
      <c r="CA920" s="24">
        <v>5000000</v>
      </c>
      <c r="CB920" s="24"/>
      <c r="CC920" s="24">
        <v>5000000</v>
      </c>
      <c r="CD920" s="24"/>
      <c r="CE920" s="24">
        <v>10000000</v>
      </c>
      <c r="CF920" s="28"/>
      <c r="CG920" s="28"/>
      <c r="CH920" s="25">
        <f t="shared" ref="CH920:CI920" si="1661">BH920+BJ920+BL920+BN920+BP920+BR920+BT920+BV920+BX920+BZ920+CB920+CD920+CF920</f>
        <v>0</v>
      </c>
      <c r="CI920" s="25">
        <f t="shared" si="1661"/>
        <v>57000000</v>
      </c>
      <c r="CJ920" s="26">
        <f t="shared" si="1526"/>
        <v>57000000</v>
      </c>
      <c r="CK920" s="26">
        <f t="shared" si="1527"/>
        <v>0</v>
      </c>
    </row>
    <row r="921" spans="1:89" ht="84.75" hidden="1" customHeight="1" x14ac:dyDescent="0.3">
      <c r="A921" s="13" t="s">
        <v>1891</v>
      </c>
      <c r="B921" s="14" t="s">
        <v>30</v>
      </c>
      <c r="C921" s="15" t="s">
        <v>258</v>
      </c>
      <c r="D921" s="14" t="s">
        <v>258</v>
      </c>
      <c r="E921" s="13" t="s">
        <v>250</v>
      </c>
      <c r="F921" s="13" t="s">
        <v>250</v>
      </c>
      <c r="G921" s="14">
        <v>68</v>
      </c>
      <c r="H921" s="13" t="s">
        <v>2310</v>
      </c>
      <c r="I921" s="15" t="s">
        <v>1893</v>
      </c>
      <c r="J921" s="14" t="s">
        <v>1893</v>
      </c>
      <c r="K921" s="15" t="s">
        <v>1893</v>
      </c>
      <c r="L921" s="14">
        <v>80111620</v>
      </c>
      <c r="M921" s="16" t="s">
        <v>2042</v>
      </c>
      <c r="N921" s="16" t="s">
        <v>253</v>
      </c>
      <c r="O921" s="15" t="s">
        <v>2311</v>
      </c>
      <c r="P921" s="14" t="s">
        <v>255</v>
      </c>
      <c r="Q921" s="14" t="s">
        <v>255</v>
      </c>
      <c r="R921" s="14" t="s">
        <v>255</v>
      </c>
      <c r="S921" s="17">
        <v>11.4</v>
      </c>
      <c r="T921" s="14" t="s">
        <v>256</v>
      </c>
      <c r="U921" s="14" t="s">
        <v>257</v>
      </c>
      <c r="V921" s="16" t="s">
        <v>112</v>
      </c>
      <c r="W921" s="18">
        <v>57000000</v>
      </c>
      <c r="X921" s="18">
        <v>57000000</v>
      </c>
      <c r="Y921" s="19" t="s">
        <v>339</v>
      </c>
      <c r="Z921" s="19" t="s">
        <v>258</v>
      </c>
      <c r="AA921" s="14" t="s">
        <v>971</v>
      </c>
      <c r="AB921" s="14" t="s">
        <v>972</v>
      </c>
      <c r="AC921" s="14">
        <v>6012220601</v>
      </c>
      <c r="AD921" s="14" t="s">
        <v>973</v>
      </c>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1"/>
      <c r="BE921" s="22"/>
      <c r="BF921" s="22"/>
      <c r="BG921" s="14" t="str">
        <f ca="1">IFERROR(__xludf.DUMMYFUNCTION("REGEXEXTRACT(O915,""^\S+\s(.+)$"")"),"Prestar servicios profesionales en derecho  para apoyar la gestión jurídica de la UPME, mediante la asesoría y acompañamiento en la sustanciación de procesos, la elaboración y revisión de conceptos jurídicos, la revisión de actos administrativos y la emis"&amp;"ión de recomendaciones, garantizando el cumplimiento de la normativa vigente y de los lineamientos institucionales de la Entidad.")</f>
        <v>Prestar servicios profesionales en derecho  para apoyar la gestión jurídica de la UPME, mediante la asesoría y acompañamiento en la sustanciación de procesos, la elaboración y revisión de conceptos jurídicos, la revisión de actos administrativos y la emisión de recomendaciones, garantizando el cumplimiento de la normativa vigente y de los lineamientos institucionales de la Entidad.</v>
      </c>
      <c r="BH921" s="24"/>
      <c r="BI921" s="24"/>
      <c r="BJ921" s="24"/>
      <c r="BK921" s="24">
        <v>2000000</v>
      </c>
      <c r="BL921" s="24"/>
      <c r="BM921" s="24">
        <v>5000000</v>
      </c>
      <c r="BN921" s="24"/>
      <c r="BO921" s="24">
        <v>5000000</v>
      </c>
      <c r="BP921" s="24"/>
      <c r="BQ921" s="24">
        <v>5000000</v>
      </c>
      <c r="BR921" s="24"/>
      <c r="BS921" s="24">
        <v>5000000</v>
      </c>
      <c r="BT921" s="24"/>
      <c r="BU921" s="24">
        <v>5000000</v>
      </c>
      <c r="BV921" s="24"/>
      <c r="BW921" s="24">
        <v>5000000</v>
      </c>
      <c r="BX921" s="24"/>
      <c r="BY921" s="24">
        <v>5000000</v>
      </c>
      <c r="BZ921" s="24"/>
      <c r="CA921" s="24">
        <v>5000000</v>
      </c>
      <c r="CB921" s="24"/>
      <c r="CC921" s="24">
        <v>5000000</v>
      </c>
      <c r="CD921" s="24"/>
      <c r="CE921" s="24">
        <v>10000000</v>
      </c>
      <c r="CF921" s="28"/>
      <c r="CG921" s="28"/>
      <c r="CH921" s="25">
        <f t="shared" ref="CH921:CI921" si="1662">BH921+BJ921+BL921+BN921+BP921+BR921+BT921+BV921+BX921+BZ921+CB921+CD921+CF921</f>
        <v>0</v>
      </c>
      <c r="CI921" s="25">
        <f t="shared" si="1662"/>
        <v>57000000</v>
      </c>
      <c r="CJ921" s="26">
        <f t="shared" si="1526"/>
        <v>57000000</v>
      </c>
      <c r="CK921" s="26">
        <f t="shared" si="1527"/>
        <v>0</v>
      </c>
    </row>
    <row r="922" spans="1:89" ht="15.75" hidden="1" customHeight="1" x14ac:dyDescent="0.3">
      <c r="A922" s="13" t="s">
        <v>1891</v>
      </c>
      <c r="B922" s="14" t="s">
        <v>30</v>
      </c>
      <c r="C922" s="15" t="s">
        <v>258</v>
      </c>
      <c r="D922" s="14" t="s">
        <v>258</v>
      </c>
      <c r="E922" s="13" t="s">
        <v>250</v>
      </c>
      <c r="F922" s="13" t="s">
        <v>250</v>
      </c>
      <c r="G922" s="14">
        <v>1</v>
      </c>
      <c r="H922" s="13" t="s">
        <v>2312</v>
      </c>
      <c r="I922" s="15" t="s">
        <v>1893</v>
      </c>
      <c r="J922" s="14" t="s">
        <v>1893</v>
      </c>
      <c r="K922" s="15" t="s">
        <v>1893</v>
      </c>
      <c r="L922" s="14">
        <v>80111620</v>
      </c>
      <c r="M922" s="16" t="s">
        <v>2042</v>
      </c>
      <c r="N922" s="16" t="s">
        <v>253</v>
      </c>
      <c r="O922" s="15" t="s">
        <v>2313</v>
      </c>
      <c r="P922" s="14" t="s">
        <v>255</v>
      </c>
      <c r="Q922" s="14" t="s">
        <v>255</v>
      </c>
      <c r="R922" s="14" t="s">
        <v>255</v>
      </c>
      <c r="S922" s="17">
        <v>11.5</v>
      </c>
      <c r="T922" s="14" t="s">
        <v>256</v>
      </c>
      <c r="U922" s="14" t="s">
        <v>257</v>
      </c>
      <c r="V922" s="16" t="s">
        <v>112</v>
      </c>
      <c r="W922" s="18">
        <v>57500000</v>
      </c>
      <c r="X922" s="18">
        <v>57500000</v>
      </c>
      <c r="Y922" s="19" t="s">
        <v>339</v>
      </c>
      <c r="Z922" s="19" t="s">
        <v>258</v>
      </c>
      <c r="AA922" s="14" t="s">
        <v>971</v>
      </c>
      <c r="AB922" s="14" t="s">
        <v>972</v>
      </c>
      <c r="AC922" s="14">
        <v>6012220601</v>
      </c>
      <c r="AD922" s="14" t="s">
        <v>973</v>
      </c>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1"/>
      <c r="BE922" s="22"/>
      <c r="BF922" s="22"/>
      <c r="BG922" s="14" t="str">
        <f ca="1">IFERROR(__xludf.DUMMYFUNCTION("REGEXEXTRACT(O916,""^\S+\s(.+)$"")"),"Prestar servicios profesionales para el análisis jurídico y la elaboración de respuestas a las PQRS y demás trámites de carácter jurídico, así como brindar apoyo técnico-jurídico en el componente territorial y de planeación territorial para la formulación"&amp;", articulación y seguimiento de planes socioambientales.")</f>
        <v>Prestar servicios profesionales para el análisis jurídico y la elaboración de respuestas a las PQRS y demás trámites de carácter jurídico, así como brindar apoyo técnico-jurídico en el componente territorial y de planeación territorial para la formulación, articulación y seguimiento de planes socioambientales.</v>
      </c>
      <c r="BH922" s="24"/>
      <c r="BI922" s="24"/>
      <c r="BJ922" s="24"/>
      <c r="BK922" s="24">
        <v>2500000</v>
      </c>
      <c r="BL922" s="24"/>
      <c r="BM922" s="24">
        <v>5000000</v>
      </c>
      <c r="BN922" s="24"/>
      <c r="BO922" s="24">
        <v>5000000</v>
      </c>
      <c r="BP922" s="24"/>
      <c r="BQ922" s="24">
        <v>5000000</v>
      </c>
      <c r="BR922" s="24"/>
      <c r="BS922" s="24">
        <v>5000000</v>
      </c>
      <c r="BT922" s="24"/>
      <c r="BU922" s="24">
        <v>5000000</v>
      </c>
      <c r="BV922" s="24"/>
      <c r="BW922" s="24">
        <v>5000000</v>
      </c>
      <c r="BX922" s="24"/>
      <c r="BY922" s="24">
        <v>5000000</v>
      </c>
      <c r="BZ922" s="24"/>
      <c r="CA922" s="24">
        <v>5000000</v>
      </c>
      <c r="CB922" s="24"/>
      <c r="CC922" s="24">
        <v>5000000</v>
      </c>
      <c r="CD922" s="24"/>
      <c r="CE922" s="24">
        <v>10000000</v>
      </c>
      <c r="CF922" s="28"/>
      <c r="CG922" s="28"/>
      <c r="CH922" s="25">
        <f t="shared" ref="CH922:CI922" si="1663">BH922+BJ922+BL922+BN922+BP922+BR922+BT922+BV922+BX922+BZ922+CB922+CD922+CF922</f>
        <v>0</v>
      </c>
      <c r="CI922" s="25">
        <f t="shared" si="1663"/>
        <v>57500000</v>
      </c>
      <c r="CJ922" s="26">
        <f t="shared" si="1526"/>
        <v>57500000</v>
      </c>
      <c r="CK922" s="26">
        <f t="shared" si="1527"/>
        <v>0</v>
      </c>
    </row>
    <row r="923" spans="1:89" ht="15.75" hidden="1" customHeight="1" x14ac:dyDescent="0.3">
      <c r="A923" s="13" t="s">
        <v>1891</v>
      </c>
      <c r="B923" s="14" t="s">
        <v>30</v>
      </c>
      <c r="C923" s="15" t="s">
        <v>258</v>
      </c>
      <c r="D923" s="14" t="s">
        <v>258</v>
      </c>
      <c r="E923" s="13" t="s">
        <v>250</v>
      </c>
      <c r="F923" s="13" t="s">
        <v>250</v>
      </c>
      <c r="G923" s="14">
        <v>68</v>
      </c>
      <c r="H923" s="13" t="s">
        <v>2314</v>
      </c>
      <c r="I923" s="15" t="s">
        <v>1893</v>
      </c>
      <c r="J923" s="14" t="s">
        <v>1893</v>
      </c>
      <c r="K923" s="15" t="s">
        <v>1893</v>
      </c>
      <c r="L923" s="14">
        <v>80111620</v>
      </c>
      <c r="M923" s="16" t="s">
        <v>2045</v>
      </c>
      <c r="N923" s="16" t="s">
        <v>253</v>
      </c>
      <c r="O923" s="15" t="s">
        <v>2315</v>
      </c>
      <c r="P923" s="14" t="s">
        <v>255</v>
      </c>
      <c r="Q923" s="14" t="s">
        <v>255</v>
      </c>
      <c r="R923" s="14" t="s">
        <v>255</v>
      </c>
      <c r="S923" s="17">
        <v>11.5</v>
      </c>
      <c r="T923" s="14" t="s">
        <v>256</v>
      </c>
      <c r="U923" s="14" t="s">
        <v>257</v>
      </c>
      <c r="V923" s="16" t="s">
        <v>112</v>
      </c>
      <c r="W923" s="18">
        <v>7581654</v>
      </c>
      <c r="X923" s="18">
        <v>7581654</v>
      </c>
      <c r="Y923" s="19" t="s">
        <v>339</v>
      </c>
      <c r="Z923" s="19" t="s">
        <v>258</v>
      </c>
      <c r="AA923" s="14" t="s">
        <v>971</v>
      </c>
      <c r="AB923" s="14" t="s">
        <v>972</v>
      </c>
      <c r="AC923" s="14">
        <v>6012220601</v>
      </c>
      <c r="AD923" s="14" t="s">
        <v>973</v>
      </c>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1"/>
      <c r="BE923" s="22"/>
      <c r="BF923" s="22"/>
      <c r="BG923" s="14" t="str">
        <f ca="1">IFERROR(__xludf.DUMMYFUNCTION("REGEXEXTRACT(O917,""^\S+\s(.+)$"")"),"Prestar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923" s="24"/>
      <c r="BI923" s="24"/>
      <c r="BJ923" s="24"/>
      <c r="BK923" s="24"/>
      <c r="BL923" s="24"/>
      <c r="BM923" s="24"/>
      <c r="BN923" s="24"/>
      <c r="BO923" s="24"/>
      <c r="BP923" s="24"/>
      <c r="BQ923" s="24"/>
      <c r="BR923" s="24"/>
      <c r="BS923" s="24"/>
      <c r="BT923" s="35"/>
      <c r="BU923" s="24"/>
      <c r="BV923" s="24"/>
      <c r="BW923" s="24"/>
      <c r="BX923" s="24"/>
      <c r="BY923" s="24"/>
      <c r="BZ923" s="24"/>
      <c r="CA923" s="24"/>
      <c r="CB923" s="24"/>
      <c r="CC923" s="24"/>
      <c r="CD923" s="24"/>
      <c r="CE923" s="24"/>
      <c r="CF923" s="28"/>
      <c r="CG923" s="28"/>
      <c r="CH923" s="25">
        <f t="shared" ref="CH923:CI923" si="1664">BH923+BJ923+BL923+BN923+BP923+BR923+BT923+BV923+BX923+BZ923+CB923+CD923+CF923</f>
        <v>0</v>
      </c>
      <c r="CI923" s="25">
        <f t="shared" si="1664"/>
        <v>0</v>
      </c>
      <c r="CJ923" s="26">
        <f t="shared" si="1526"/>
        <v>7581654</v>
      </c>
      <c r="CK923" s="26">
        <f t="shared" si="1527"/>
        <v>7581654</v>
      </c>
    </row>
    <row r="924" spans="1:89" ht="15.75" hidden="1" customHeight="1" x14ac:dyDescent="0.3">
      <c r="A924" s="13" t="s">
        <v>1891</v>
      </c>
      <c r="B924" s="14" t="s">
        <v>30</v>
      </c>
      <c r="C924" s="15" t="s">
        <v>258</v>
      </c>
      <c r="D924" s="14" t="s">
        <v>258</v>
      </c>
      <c r="E924" s="13" t="s">
        <v>250</v>
      </c>
      <c r="F924" s="13" t="s">
        <v>250</v>
      </c>
      <c r="G924" s="14">
        <v>68</v>
      </c>
      <c r="H924" s="13" t="s">
        <v>2316</v>
      </c>
      <c r="I924" s="15" t="s">
        <v>1893</v>
      </c>
      <c r="J924" s="14" t="s">
        <v>1893</v>
      </c>
      <c r="K924" s="15" t="s">
        <v>1893</v>
      </c>
      <c r="L924" s="14">
        <v>80111620</v>
      </c>
      <c r="M924" s="16" t="s">
        <v>2045</v>
      </c>
      <c r="N924" s="16" t="s">
        <v>253</v>
      </c>
      <c r="O924" s="15" t="s">
        <v>2317</v>
      </c>
      <c r="P924" s="14" t="s">
        <v>255</v>
      </c>
      <c r="Q924" s="14" t="s">
        <v>255</v>
      </c>
      <c r="R924" s="14" t="s">
        <v>255</v>
      </c>
      <c r="S924" s="17">
        <v>11.5</v>
      </c>
      <c r="T924" s="14" t="s">
        <v>256</v>
      </c>
      <c r="U924" s="14" t="s">
        <v>257</v>
      </c>
      <c r="V924" s="16" t="s">
        <v>112</v>
      </c>
      <c r="W924" s="18">
        <v>7581654</v>
      </c>
      <c r="X924" s="18">
        <v>7581654</v>
      </c>
      <c r="Y924" s="19" t="s">
        <v>339</v>
      </c>
      <c r="Z924" s="19" t="s">
        <v>258</v>
      </c>
      <c r="AA924" s="14" t="s">
        <v>971</v>
      </c>
      <c r="AB924" s="14" t="s">
        <v>972</v>
      </c>
      <c r="AC924" s="14">
        <v>6012220601</v>
      </c>
      <c r="AD924" s="14" t="s">
        <v>973</v>
      </c>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1"/>
      <c r="BE924" s="22"/>
      <c r="BF924" s="22"/>
      <c r="BG924" s="14" t="str">
        <f ca="1">IFERROR(__xludf.DUMMYFUNCTION("REGEXEXTRACT(O918,""^\S+\s(.+)$"")"),"Prestar servicios profesionales orientados al fortalecimiento de la Política Institucional de Control Interno  a través de la ejecución del Plan Anual de Auditorías Internas Independientes, con énfasis en la evaluación  de la gestión financiera de la UPME"&amp;".")</f>
        <v>Prestar servicios profesionales orientados al fortalecimiento de la Política Institucional de Control Interno  a través de la ejecución del Plan Anual de Auditorías Internas Independientes, con énfasis en la evaluación  de la gestión financiera de la UPME.</v>
      </c>
      <c r="BH924" s="24"/>
      <c r="BI924" s="24"/>
      <c r="BJ924" s="24"/>
      <c r="BK924" s="24"/>
      <c r="BL924" s="24"/>
      <c r="BM924" s="24"/>
      <c r="BN924" s="24"/>
      <c r="BO924" s="24"/>
      <c r="BP924" s="24"/>
      <c r="BQ924" s="24"/>
      <c r="BR924" s="24"/>
      <c r="BS924" s="24"/>
      <c r="BT924" s="35">
        <v>7581654</v>
      </c>
      <c r="BU924" s="24"/>
      <c r="BV924" s="24"/>
      <c r="BW924" s="24"/>
      <c r="BX924" s="24"/>
      <c r="BY924" s="24"/>
      <c r="BZ924" s="24"/>
      <c r="CA924" s="24">
        <v>2000000</v>
      </c>
      <c r="CB924" s="27"/>
      <c r="CC924" s="35">
        <v>2000000</v>
      </c>
      <c r="CD924" s="24"/>
      <c r="CE924" s="24">
        <v>3581654</v>
      </c>
      <c r="CF924" s="28"/>
      <c r="CG924" s="28"/>
      <c r="CH924" s="25">
        <f t="shared" ref="CH924:CI924" si="1665">BH924+BJ924+BL924+BN924+BP924+BR924+BT924+BV924+BX924+BZ924+CB924+CD924+CF924</f>
        <v>7581654</v>
      </c>
      <c r="CI924" s="25">
        <f t="shared" si="1665"/>
        <v>7581654</v>
      </c>
      <c r="CJ924" s="26">
        <f t="shared" si="1526"/>
        <v>0</v>
      </c>
      <c r="CK924" s="26">
        <f t="shared" si="1527"/>
        <v>0</v>
      </c>
    </row>
    <row r="925" spans="1:89" ht="15.75" customHeight="1" x14ac:dyDescent="0.3">
      <c r="A925" s="37"/>
      <c r="B925" s="38"/>
      <c r="C925" s="39"/>
      <c r="D925" s="38"/>
      <c r="E925" s="37"/>
      <c r="F925" s="37"/>
      <c r="G925" s="38"/>
      <c r="H925" s="37"/>
      <c r="I925" s="39"/>
      <c r="J925" s="38"/>
      <c r="K925" s="39"/>
      <c r="L925" s="38"/>
      <c r="M925" s="40"/>
      <c r="N925" s="40"/>
      <c r="O925" s="39"/>
      <c r="P925" s="38"/>
      <c r="Q925" s="38"/>
      <c r="R925" s="38"/>
      <c r="S925" s="41"/>
      <c r="T925" s="38"/>
      <c r="U925" s="38"/>
      <c r="V925" s="40"/>
      <c r="W925" s="42"/>
      <c r="X925" s="42"/>
      <c r="Y925" s="43"/>
      <c r="Z925" s="43"/>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44"/>
      <c r="BI925" s="44"/>
      <c r="BJ925" s="44"/>
      <c r="BK925" s="44"/>
      <c r="BL925" s="44"/>
      <c r="BM925" s="44"/>
      <c r="BN925" s="44"/>
      <c r="BO925" s="44"/>
      <c r="BP925" s="44"/>
      <c r="BQ925" s="44"/>
      <c r="BR925" s="44"/>
      <c r="BS925" s="44"/>
      <c r="BT925" s="44"/>
      <c r="BU925" s="44"/>
      <c r="BV925" s="44"/>
      <c r="BW925" s="44"/>
      <c r="BX925" s="44"/>
      <c r="BY925" s="44"/>
      <c r="BZ925" s="44"/>
      <c r="CA925" s="44"/>
      <c r="CB925" s="44"/>
      <c r="CC925" s="44"/>
      <c r="CD925" s="44"/>
      <c r="CE925" s="44"/>
      <c r="CF925" s="45"/>
      <c r="CG925" s="45"/>
      <c r="CH925" s="46"/>
      <c r="CI925" s="46"/>
      <c r="CJ925" s="46"/>
      <c r="CK925" s="46"/>
    </row>
    <row r="926" spans="1:89" ht="15.75" customHeight="1" x14ac:dyDescent="0.3">
      <c r="A926" s="37"/>
      <c r="B926" s="38"/>
      <c r="C926" s="39"/>
      <c r="D926" s="38"/>
      <c r="E926" s="37"/>
      <c r="F926" s="37"/>
      <c r="G926" s="38"/>
      <c r="H926" s="37"/>
      <c r="I926" s="39"/>
      <c r="J926" s="38"/>
      <c r="K926" s="39"/>
      <c r="L926" s="38"/>
      <c r="M926" s="40"/>
      <c r="N926" s="40"/>
      <c r="O926" s="39"/>
      <c r="P926" s="38"/>
      <c r="Q926" s="38"/>
      <c r="R926" s="38"/>
      <c r="S926" s="41"/>
      <c r="T926" s="38"/>
      <c r="U926" s="38"/>
      <c r="V926" s="40"/>
      <c r="W926" s="42"/>
      <c r="X926" s="42"/>
      <c r="Y926" s="43"/>
      <c r="Z926" s="43"/>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4"/>
      <c r="CD926" s="44"/>
      <c r="CE926" s="44"/>
      <c r="CF926" s="45"/>
      <c r="CG926" s="45"/>
      <c r="CH926" s="46"/>
      <c r="CI926" s="46"/>
      <c r="CJ926" s="46"/>
      <c r="CK926" s="46"/>
    </row>
    <row r="927" spans="1:89" ht="15.75" customHeight="1" x14ac:dyDescent="0.3">
      <c r="A927" s="37"/>
      <c r="B927" s="38"/>
      <c r="C927" s="39"/>
      <c r="D927" s="38"/>
      <c r="E927" s="37"/>
      <c r="F927" s="37"/>
      <c r="G927" s="38"/>
      <c r="H927" s="37"/>
      <c r="I927" s="39"/>
      <c r="J927" s="38"/>
      <c r="K927" s="39"/>
      <c r="L927" s="38"/>
      <c r="M927" s="40"/>
      <c r="N927" s="40"/>
      <c r="O927" s="39"/>
      <c r="P927" s="38"/>
      <c r="Q927" s="38"/>
      <c r="R927" s="38"/>
      <c r="S927" s="41"/>
      <c r="T927" s="38"/>
      <c r="U927" s="38"/>
      <c r="V927" s="40"/>
      <c r="W927" s="42"/>
      <c r="X927" s="42"/>
      <c r="Y927" s="43"/>
      <c r="Z927" s="43"/>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44"/>
      <c r="BI927" s="44"/>
      <c r="BJ927" s="44"/>
      <c r="BK927" s="44"/>
      <c r="BL927" s="44"/>
      <c r="BM927" s="44"/>
      <c r="BN927" s="44"/>
      <c r="BO927" s="44"/>
      <c r="BP927" s="44"/>
      <c r="BQ927" s="44"/>
      <c r="BR927" s="44"/>
      <c r="BS927" s="44"/>
      <c r="BT927" s="44"/>
      <c r="BU927" s="44"/>
      <c r="BV927" s="44"/>
      <c r="BW927" s="44"/>
      <c r="BX927" s="44"/>
      <c r="BY927" s="44"/>
      <c r="BZ927" s="44"/>
      <c r="CA927" s="44"/>
      <c r="CB927" s="44"/>
      <c r="CC927" s="44"/>
      <c r="CD927" s="44"/>
      <c r="CE927" s="44"/>
      <c r="CF927" s="45"/>
      <c r="CG927" s="45"/>
      <c r="CH927" s="46"/>
      <c r="CI927" s="46"/>
      <c r="CJ927" s="46"/>
      <c r="CK927" s="46"/>
    </row>
    <row r="928" spans="1:89" ht="15.75" customHeight="1" x14ac:dyDescent="0.3">
      <c r="A928" s="37"/>
      <c r="B928" s="38"/>
      <c r="C928" s="39"/>
      <c r="D928" s="38"/>
      <c r="E928" s="37"/>
      <c r="F928" s="37"/>
      <c r="G928" s="38"/>
      <c r="H928" s="37"/>
      <c r="I928" s="39"/>
      <c r="J928" s="38"/>
      <c r="K928" s="39"/>
      <c r="L928" s="38"/>
      <c r="M928" s="40"/>
      <c r="N928" s="40"/>
      <c r="O928" s="39"/>
      <c r="P928" s="38"/>
      <c r="Q928" s="38"/>
      <c r="R928" s="38"/>
      <c r="S928" s="41"/>
      <c r="T928" s="38"/>
      <c r="U928" s="38"/>
      <c r="V928" s="40"/>
      <c r="W928" s="42"/>
      <c r="X928" s="42"/>
      <c r="Y928" s="43"/>
      <c r="Z928" s="43"/>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44"/>
      <c r="BI928" s="44"/>
      <c r="BJ928" s="44"/>
      <c r="BK928" s="44"/>
      <c r="BL928" s="44"/>
      <c r="BM928" s="44"/>
      <c r="BN928" s="44"/>
      <c r="BO928" s="44"/>
      <c r="BP928" s="44"/>
      <c r="BQ928" s="44"/>
      <c r="BR928" s="44"/>
      <c r="BS928" s="44"/>
      <c r="BT928" s="44"/>
      <c r="BU928" s="44"/>
      <c r="BV928" s="44"/>
      <c r="BW928" s="44"/>
      <c r="BX928" s="44"/>
      <c r="BY928" s="44"/>
      <c r="BZ928" s="44"/>
      <c r="CA928" s="44"/>
      <c r="CB928" s="44"/>
      <c r="CC928" s="44"/>
      <c r="CD928" s="44"/>
      <c r="CE928" s="44"/>
      <c r="CF928" s="45"/>
      <c r="CG928" s="45"/>
      <c r="CH928" s="46"/>
      <c r="CI928" s="46"/>
      <c r="CJ928" s="46"/>
      <c r="CK928" s="46"/>
    </row>
    <row r="929" spans="1:89" ht="15.75" customHeight="1" x14ac:dyDescent="0.3">
      <c r="A929" s="37"/>
      <c r="B929" s="38"/>
      <c r="C929" s="39"/>
      <c r="D929" s="38"/>
      <c r="E929" s="37"/>
      <c r="F929" s="37"/>
      <c r="G929" s="38"/>
      <c r="H929" s="37"/>
      <c r="I929" s="39"/>
      <c r="J929" s="38"/>
      <c r="K929" s="39"/>
      <c r="L929" s="38"/>
      <c r="M929" s="40"/>
      <c r="N929" s="40"/>
      <c r="O929" s="39"/>
      <c r="P929" s="38"/>
      <c r="Q929" s="38"/>
      <c r="R929" s="38"/>
      <c r="S929" s="41"/>
      <c r="T929" s="38"/>
      <c r="U929" s="38"/>
      <c r="V929" s="40"/>
      <c r="W929" s="42"/>
      <c r="X929" s="42"/>
      <c r="Y929" s="43"/>
      <c r="Z929" s="43"/>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44"/>
      <c r="BI929" s="44"/>
      <c r="BJ929" s="44"/>
      <c r="BK929" s="44"/>
      <c r="BL929" s="44"/>
      <c r="BM929" s="44"/>
      <c r="BN929" s="44"/>
      <c r="BO929" s="44"/>
      <c r="BP929" s="44"/>
      <c r="BQ929" s="44"/>
      <c r="BR929" s="44"/>
      <c r="BS929" s="44"/>
      <c r="BT929" s="44"/>
      <c r="BU929" s="44"/>
      <c r="BV929" s="44"/>
      <c r="BW929" s="44"/>
      <c r="BX929" s="44"/>
      <c r="BY929" s="44"/>
      <c r="BZ929" s="44"/>
      <c r="CA929" s="44"/>
      <c r="CB929" s="44"/>
      <c r="CC929" s="44"/>
      <c r="CD929" s="44"/>
      <c r="CE929" s="44"/>
      <c r="CF929" s="45"/>
      <c r="CG929" s="45"/>
      <c r="CH929" s="46"/>
      <c r="CI929" s="46"/>
      <c r="CJ929" s="46"/>
      <c r="CK929" s="46"/>
    </row>
    <row r="930" spans="1:89" ht="15.75" customHeight="1" x14ac:dyDescent="0.3">
      <c r="A930" s="37"/>
      <c r="B930" s="38"/>
      <c r="C930" s="39"/>
      <c r="D930" s="38"/>
      <c r="E930" s="37"/>
      <c r="F930" s="37"/>
      <c r="G930" s="38"/>
      <c r="H930" s="37"/>
      <c r="I930" s="39"/>
      <c r="J930" s="38"/>
      <c r="K930" s="39"/>
      <c r="L930" s="38"/>
      <c r="M930" s="40"/>
      <c r="N930" s="40"/>
      <c r="O930" s="39"/>
      <c r="P930" s="38"/>
      <c r="Q930" s="38"/>
      <c r="R930" s="38"/>
      <c r="S930" s="41"/>
      <c r="T930" s="38"/>
      <c r="U930" s="38"/>
      <c r="V930" s="40"/>
      <c r="W930" s="42"/>
      <c r="X930" s="42"/>
      <c r="Y930" s="43"/>
      <c r="Z930" s="43"/>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44"/>
      <c r="BI930" s="44"/>
      <c r="BJ930" s="44"/>
      <c r="BK930" s="44"/>
      <c r="BL930" s="44"/>
      <c r="BM930" s="44"/>
      <c r="BN930" s="44"/>
      <c r="BO930" s="44"/>
      <c r="BP930" s="44"/>
      <c r="BQ930" s="44"/>
      <c r="BR930" s="44"/>
      <c r="BS930" s="44"/>
      <c r="BT930" s="44"/>
      <c r="BU930" s="44"/>
      <c r="BV930" s="44"/>
      <c r="BW930" s="44"/>
      <c r="BX930" s="44"/>
      <c r="BY930" s="44"/>
      <c r="BZ930" s="44"/>
      <c r="CA930" s="44"/>
      <c r="CB930" s="44"/>
      <c r="CC930" s="44"/>
      <c r="CD930" s="44"/>
      <c r="CE930" s="44"/>
      <c r="CF930" s="45"/>
      <c r="CG930" s="45"/>
      <c r="CH930" s="46"/>
      <c r="CI930" s="46"/>
      <c r="CJ930" s="46"/>
      <c r="CK930" s="46"/>
    </row>
    <row r="931" spans="1:89" ht="15.75" customHeight="1" x14ac:dyDescent="0.3">
      <c r="A931" s="37"/>
      <c r="B931" s="38"/>
      <c r="C931" s="39"/>
      <c r="D931" s="38"/>
      <c r="E931" s="37"/>
      <c r="F931" s="37"/>
      <c r="G931" s="38"/>
      <c r="H931" s="37"/>
      <c r="I931" s="39"/>
      <c r="J931" s="38"/>
      <c r="K931" s="39"/>
      <c r="L931" s="38"/>
      <c r="M931" s="40"/>
      <c r="N931" s="40"/>
      <c r="O931" s="39"/>
      <c r="P931" s="38"/>
      <c r="Q931" s="38"/>
      <c r="R931" s="38"/>
      <c r="S931" s="41"/>
      <c r="T931" s="38"/>
      <c r="U931" s="38"/>
      <c r="V931" s="40"/>
      <c r="W931" s="42"/>
      <c r="X931" s="42"/>
      <c r="Y931" s="43"/>
      <c r="Z931" s="43"/>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44"/>
      <c r="BI931" s="44"/>
      <c r="BJ931" s="44"/>
      <c r="BK931" s="44"/>
      <c r="BL931" s="44"/>
      <c r="BM931" s="44"/>
      <c r="BN931" s="44"/>
      <c r="BO931" s="44"/>
      <c r="BP931" s="44"/>
      <c r="BQ931" s="44"/>
      <c r="BR931" s="44"/>
      <c r="BS931" s="44"/>
      <c r="BT931" s="44"/>
      <c r="BU931" s="44"/>
      <c r="BV931" s="44"/>
      <c r="BW931" s="44"/>
      <c r="BX931" s="44"/>
      <c r="BY931" s="44"/>
      <c r="BZ931" s="44"/>
      <c r="CA931" s="44"/>
      <c r="CB931" s="44"/>
      <c r="CC931" s="44"/>
      <c r="CD931" s="44"/>
      <c r="CE931" s="44"/>
      <c r="CF931" s="45"/>
      <c r="CG931" s="45"/>
      <c r="CH931" s="46"/>
      <c r="CI931" s="46"/>
      <c r="CJ931" s="46"/>
      <c r="CK931" s="46"/>
    </row>
    <row r="932" spans="1:89" ht="15.75" customHeight="1" x14ac:dyDescent="0.3">
      <c r="A932" s="47"/>
      <c r="B932" s="48"/>
      <c r="C932" s="47"/>
      <c r="D932" s="48"/>
      <c r="E932" s="48"/>
      <c r="F932" s="48"/>
      <c r="G932" s="48"/>
      <c r="H932" s="48"/>
      <c r="I932" s="49"/>
      <c r="J932" s="47"/>
      <c r="K932" s="47"/>
      <c r="L932" s="47"/>
      <c r="M932" s="47"/>
      <c r="N932" s="47"/>
      <c r="O932" s="47"/>
      <c r="P932" s="47"/>
      <c r="Q932" s="47"/>
      <c r="R932" s="47"/>
      <c r="S932" s="50"/>
      <c r="T932" s="47"/>
      <c r="U932" s="47"/>
      <c r="V932" s="47"/>
      <c r="W932" s="51"/>
      <c r="X932" s="51"/>
      <c r="Y932" s="47"/>
      <c r="Z932" s="47"/>
      <c r="AA932" s="47"/>
      <c r="AB932" s="47"/>
      <c r="AC932" s="47"/>
      <c r="AD932" s="47"/>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47"/>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52"/>
      <c r="CG932" s="52"/>
      <c r="CH932" s="48"/>
      <c r="CI932" s="48"/>
      <c r="CJ932" s="48"/>
      <c r="CK932" s="48"/>
    </row>
    <row r="933" spans="1:89" ht="15.75" customHeight="1" x14ac:dyDescent="0.3">
      <c r="A933" s="47"/>
      <c r="B933" s="48"/>
      <c r="C933" s="47"/>
      <c r="D933" s="48"/>
      <c r="E933" s="48"/>
      <c r="F933" s="48"/>
      <c r="G933" s="48"/>
      <c r="H933" s="48"/>
      <c r="I933" s="49"/>
      <c r="J933" s="47"/>
      <c r="K933" s="47"/>
      <c r="L933" s="47"/>
      <c r="M933" s="47"/>
      <c r="N933" s="47"/>
      <c r="O933" s="47"/>
      <c r="P933" s="47"/>
      <c r="Q933" s="47"/>
      <c r="R933" s="47"/>
      <c r="S933" s="50"/>
      <c r="T933" s="47"/>
      <c r="U933" s="47"/>
      <c r="V933" s="47"/>
      <c r="W933" s="51"/>
      <c r="X933" s="51"/>
      <c r="Y933" s="47"/>
      <c r="Z933" s="47"/>
      <c r="AA933" s="47"/>
      <c r="AB933" s="47"/>
      <c r="AC933" s="47"/>
      <c r="AD933" s="47"/>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47"/>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52"/>
      <c r="CG933" s="52"/>
      <c r="CH933" s="48"/>
      <c r="CI933" s="48"/>
      <c r="CJ933" s="48"/>
      <c r="CK933" s="48"/>
    </row>
    <row r="934" spans="1:89" ht="15.75" customHeight="1" x14ac:dyDescent="0.3">
      <c r="A934" s="47"/>
      <c r="B934" s="48"/>
      <c r="C934" s="47"/>
      <c r="D934" s="48"/>
      <c r="E934" s="48"/>
      <c r="F934" s="48"/>
      <c r="G934" s="48"/>
      <c r="H934" s="48"/>
      <c r="I934" s="49"/>
      <c r="J934" s="47"/>
      <c r="K934" s="47"/>
      <c r="L934" s="47"/>
      <c r="M934" s="47"/>
      <c r="N934" s="47"/>
      <c r="O934" s="47"/>
      <c r="P934" s="47"/>
      <c r="Q934" s="47"/>
      <c r="R934" s="47"/>
      <c r="S934" s="50"/>
      <c r="T934" s="47"/>
      <c r="U934" s="47"/>
      <c r="V934" s="47"/>
      <c r="W934" s="51"/>
      <c r="X934" s="51"/>
      <c r="Y934" s="47"/>
      <c r="Z934" s="47"/>
      <c r="AA934" s="47"/>
      <c r="AB934" s="47"/>
      <c r="AC934" s="47"/>
      <c r="AD934" s="47"/>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47"/>
      <c r="BH934" s="48"/>
      <c r="BI934" s="48"/>
      <c r="BJ934" s="48"/>
      <c r="BK934" s="48"/>
      <c r="BL934" s="48"/>
      <c r="BM934" s="48"/>
      <c r="BN934" s="48"/>
      <c r="BO934" s="48"/>
      <c r="BP934" s="48"/>
      <c r="BQ934" s="48"/>
      <c r="BR934" s="48"/>
      <c r="BS934" s="48"/>
      <c r="BT934" s="48"/>
      <c r="BU934" s="48"/>
      <c r="BV934" s="48"/>
      <c r="BW934" s="48"/>
      <c r="BX934" s="48"/>
      <c r="BY934" s="48"/>
      <c r="BZ934" s="48"/>
      <c r="CA934" s="48"/>
      <c r="CB934" s="48"/>
      <c r="CC934" s="48"/>
      <c r="CD934" s="48"/>
      <c r="CE934" s="48"/>
      <c r="CF934" s="52"/>
      <c r="CG934" s="52"/>
      <c r="CH934" s="48"/>
      <c r="CI934" s="48"/>
      <c r="CJ934" s="48"/>
      <c r="CK934" s="48"/>
    </row>
    <row r="935" spans="1:89" ht="15.75" customHeight="1" x14ac:dyDescent="0.3">
      <c r="A935" s="47"/>
      <c r="B935" s="48"/>
      <c r="C935" s="47"/>
      <c r="D935" s="48"/>
      <c r="E935" s="48"/>
      <c r="F935" s="48"/>
      <c r="G935" s="48"/>
      <c r="H935" s="48"/>
      <c r="I935" s="49"/>
      <c r="J935" s="47"/>
      <c r="K935" s="47"/>
      <c r="L935" s="47"/>
      <c r="M935" s="47"/>
      <c r="N935" s="53"/>
      <c r="O935" s="47"/>
      <c r="P935" s="47"/>
      <c r="Q935" s="47"/>
      <c r="R935" s="47"/>
      <c r="S935" s="50"/>
      <c r="T935" s="47"/>
      <c r="U935" s="47"/>
      <c r="V935" s="47"/>
      <c r="W935" s="51"/>
      <c r="X935" s="51"/>
      <c r="Y935" s="47"/>
      <c r="Z935" s="47"/>
      <c r="AA935" s="47"/>
      <c r="AB935" s="47"/>
      <c r="AC935" s="47"/>
      <c r="AD935" s="47"/>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47"/>
      <c r="BH935" s="48"/>
      <c r="BI935" s="48"/>
      <c r="BJ935" s="48"/>
      <c r="BK935" s="48"/>
      <c r="BL935" s="48"/>
      <c r="BM935" s="48"/>
      <c r="BN935" s="48"/>
      <c r="BO935" s="48"/>
      <c r="BP935" s="48"/>
      <c r="BQ935" s="48"/>
      <c r="BR935" s="48"/>
      <c r="BS935" s="48"/>
      <c r="BT935" s="48"/>
      <c r="BU935" s="48"/>
      <c r="BV935" s="48"/>
      <c r="BW935" s="48"/>
      <c r="BX935" s="48"/>
      <c r="BY935" s="48"/>
      <c r="BZ935" s="48"/>
      <c r="CA935" s="48"/>
      <c r="CB935" s="48"/>
      <c r="CC935" s="48"/>
      <c r="CD935" s="48"/>
      <c r="CE935" s="48"/>
      <c r="CF935" s="52"/>
      <c r="CG935" s="52"/>
      <c r="CH935" s="48"/>
      <c r="CI935" s="48"/>
      <c r="CJ935" s="48"/>
      <c r="CK935" s="48"/>
    </row>
    <row r="936" spans="1:89" ht="15.75" customHeight="1" x14ac:dyDescent="0.3">
      <c r="A936" s="47"/>
      <c r="B936" s="48"/>
      <c r="C936" s="47"/>
      <c r="D936" s="48"/>
      <c r="E936" s="48"/>
      <c r="F936" s="48"/>
      <c r="G936" s="48"/>
      <c r="H936" s="48"/>
      <c r="I936" s="49"/>
      <c r="J936" s="47"/>
      <c r="K936" s="47"/>
      <c r="L936" s="47"/>
      <c r="M936" s="47"/>
      <c r="N936" s="47"/>
      <c r="O936" s="47"/>
      <c r="P936" s="47"/>
      <c r="Q936" s="47"/>
      <c r="R936" s="47"/>
      <c r="S936" s="50"/>
      <c r="T936" s="47"/>
      <c r="U936" s="47"/>
      <c r="V936" s="47"/>
      <c r="W936" s="51"/>
      <c r="X936" s="51"/>
      <c r="Y936" s="47"/>
      <c r="Z936" s="47"/>
      <c r="AA936" s="47"/>
      <c r="AB936" s="47"/>
      <c r="AC936" s="47"/>
      <c r="AD936" s="47"/>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47"/>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52"/>
      <c r="CG936" s="52"/>
      <c r="CH936" s="48"/>
      <c r="CI936" s="48"/>
      <c r="CJ936" s="48"/>
      <c r="CK936" s="48"/>
    </row>
    <row r="937" spans="1:89" ht="15.75" customHeight="1" x14ac:dyDescent="0.3">
      <c r="A937" s="47"/>
      <c r="B937" s="48"/>
      <c r="C937" s="47"/>
      <c r="D937" s="48"/>
      <c r="E937" s="48"/>
      <c r="F937" s="48"/>
      <c r="G937" s="48"/>
      <c r="H937" s="48"/>
      <c r="I937" s="49"/>
      <c r="J937" s="47"/>
      <c r="K937" s="47"/>
      <c r="L937" s="47"/>
      <c r="M937" s="47"/>
      <c r="N937" s="47"/>
      <c r="O937" s="47"/>
      <c r="P937" s="47"/>
      <c r="Q937" s="47"/>
      <c r="R937" s="47"/>
      <c r="S937" s="50"/>
      <c r="T937" s="47"/>
      <c r="U937" s="47"/>
      <c r="V937" s="47"/>
      <c r="W937" s="51"/>
      <c r="X937" s="51"/>
      <c r="Y937" s="47"/>
      <c r="Z937" s="47"/>
      <c r="AA937" s="47"/>
      <c r="AB937" s="47"/>
      <c r="AC937" s="47"/>
      <c r="AD937" s="47"/>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47"/>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52"/>
      <c r="CG937" s="52"/>
      <c r="CH937" s="48"/>
      <c r="CI937" s="48"/>
      <c r="CJ937" s="48"/>
      <c r="CK937" s="48"/>
    </row>
    <row r="938" spans="1:89" ht="15.75" customHeight="1" x14ac:dyDescent="0.3">
      <c r="A938" s="47"/>
      <c r="B938" s="48"/>
      <c r="C938" s="47"/>
      <c r="D938" s="48"/>
      <c r="E938" s="48"/>
      <c r="F938" s="48"/>
      <c r="G938" s="48"/>
      <c r="H938" s="48"/>
      <c r="I938" s="49"/>
      <c r="J938" s="47"/>
      <c r="K938" s="47"/>
      <c r="L938" s="47"/>
      <c r="M938" s="47"/>
      <c r="N938" s="47"/>
      <c r="O938" s="47"/>
      <c r="P938" s="47"/>
      <c r="Q938" s="47"/>
      <c r="R938" s="47"/>
      <c r="S938" s="50"/>
      <c r="T938" s="47"/>
      <c r="U938" s="47"/>
      <c r="V938" s="47"/>
      <c r="W938" s="51"/>
      <c r="X938" s="51"/>
      <c r="Y938" s="47"/>
      <c r="Z938" s="47"/>
      <c r="AA938" s="47"/>
      <c r="AB938" s="47"/>
      <c r="AC938" s="47"/>
      <c r="AD938" s="47"/>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47"/>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52"/>
      <c r="CG938" s="52"/>
      <c r="CH938" s="48"/>
      <c r="CI938" s="48"/>
      <c r="CJ938" s="48"/>
      <c r="CK938" s="48"/>
    </row>
    <row r="939" spans="1:89" ht="15.75" customHeight="1" x14ac:dyDescent="0.3">
      <c r="A939" s="47"/>
      <c r="B939" s="48"/>
      <c r="C939" s="47"/>
      <c r="D939" s="48"/>
      <c r="E939" s="48"/>
      <c r="F939" s="48"/>
      <c r="G939" s="48"/>
      <c r="H939" s="48"/>
      <c r="I939" s="49"/>
      <c r="J939" s="47"/>
      <c r="K939" s="47"/>
      <c r="L939" s="47"/>
      <c r="M939" s="47"/>
      <c r="N939" s="47"/>
      <c r="O939" s="47"/>
      <c r="P939" s="47"/>
      <c r="Q939" s="47"/>
      <c r="R939" s="47"/>
      <c r="S939" s="50"/>
      <c r="T939" s="47"/>
      <c r="U939" s="47"/>
      <c r="V939" s="47"/>
      <c r="W939" s="51"/>
      <c r="X939" s="51"/>
      <c r="Y939" s="47"/>
      <c r="Z939" s="47"/>
      <c r="AA939" s="47"/>
      <c r="AB939" s="47"/>
      <c r="AC939" s="47"/>
      <c r="AD939" s="47"/>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47"/>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52"/>
      <c r="CG939" s="52"/>
      <c r="CH939" s="48"/>
      <c r="CI939" s="48"/>
      <c r="CJ939" s="48"/>
      <c r="CK939" s="48"/>
    </row>
    <row r="940" spans="1:89" ht="15.75" customHeight="1" x14ac:dyDescent="0.3">
      <c r="A940" s="47"/>
      <c r="B940" s="48"/>
      <c r="C940" s="47"/>
      <c r="D940" s="48"/>
      <c r="E940" s="48"/>
      <c r="F940" s="48"/>
      <c r="G940" s="48"/>
      <c r="H940" s="48"/>
      <c r="I940" s="49"/>
      <c r="J940" s="47"/>
      <c r="K940" s="47"/>
      <c r="L940" s="47"/>
      <c r="M940" s="47"/>
      <c r="N940" s="47"/>
      <c r="O940" s="47"/>
      <c r="P940" s="47"/>
      <c r="Q940" s="47"/>
      <c r="R940" s="47"/>
      <c r="S940" s="50"/>
      <c r="T940" s="47"/>
      <c r="U940" s="47"/>
      <c r="V940" s="47"/>
      <c r="W940" s="51"/>
      <c r="X940" s="51"/>
      <c r="Y940" s="47"/>
      <c r="Z940" s="47"/>
      <c r="AA940" s="47"/>
      <c r="AB940" s="47"/>
      <c r="AC940" s="47"/>
      <c r="AD940" s="47"/>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47"/>
      <c r="BH940" s="48"/>
      <c r="BI940" s="48"/>
      <c r="BJ940" s="48"/>
      <c r="BK940" s="48"/>
      <c r="BL940" s="48"/>
      <c r="BM940" s="48"/>
      <c r="BN940" s="48"/>
      <c r="BO940" s="48"/>
      <c r="BP940" s="48"/>
      <c r="BQ940" s="48"/>
      <c r="BR940" s="48"/>
      <c r="BS940" s="48"/>
      <c r="BT940" s="48"/>
      <c r="BU940" s="48"/>
      <c r="BV940" s="48"/>
      <c r="BW940" s="48"/>
      <c r="BX940" s="48"/>
      <c r="BY940" s="48"/>
      <c r="BZ940" s="48"/>
      <c r="CA940" s="48"/>
      <c r="CB940" s="48"/>
      <c r="CC940" s="48"/>
      <c r="CD940" s="48"/>
      <c r="CE940" s="48"/>
      <c r="CF940" s="52"/>
      <c r="CG940" s="52"/>
      <c r="CH940" s="48"/>
      <c r="CI940" s="48"/>
      <c r="CJ940" s="48"/>
      <c r="CK940" s="48"/>
    </row>
    <row r="941" spans="1:89" ht="15.75" customHeight="1" x14ac:dyDescent="0.3">
      <c r="A941" s="47"/>
      <c r="B941" s="48"/>
      <c r="C941" s="47"/>
      <c r="D941" s="48"/>
      <c r="E941" s="48"/>
      <c r="F941" s="48"/>
      <c r="G941" s="48"/>
      <c r="H941" s="48"/>
      <c r="I941" s="49"/>
      <c r="J941" s="47"/>
      <c r="K941" s="47"/>
      <c r="L941" s="47"/>
      <c r="M941" s="47"/>
      <c r="N941" s="47"/>
      <c r="O941" s="47"/>
      <c r="P941" s="47"/>
      <c r="Q941" s="47"/>
      <c r="R941" s="47"/>
      <c r="S941" s="50"/>
      <c r="T941" s="47"/>
      <c r="U941" s="47"/>
      <c r="V941" s="47"/>
      <c r="W941" s="51"/>
      <c r="X941" s="51"/>
      <c r="Y941" s="47"/>
      <c r="Z941" s="47"/>
      <c r="AA941" s="47"/>
      <c r="AB941" s="47"/>
      <c r="AC941" s="47"/>
      <c r="AD941" s="47"/>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47"/>
      <c r="BH941" s="48"/>
      <c r="BI941" s="48"/>
      <c r="BJ941" s="48"/>
      <c r="BK941" s="48"/>
      <c r="BL941" s="48"/>
      <c r="BM941" s="48"/>
      <c r="BN941" s="48"/>
      <c r="BO941" s="48"/>
      <c r="BP941" s="48"/>
      <c r="BQ941" s="48"/>
      <c r="BR941" s="48"/>
      <c r="BS941" s="48"/>
      <c r="BT941" s="48"/>
      <c r="BU941" s="48"/>
      <c r="BV941" s="48"/>
      <c r="BW941" s="48"/>
      <c r="BX941" s="48"/>
      <c r="BY941" s="48"/>
      <c r="BZ941" s="48"/>
      <c r="CA941" s="48"/>
      <c r="CB941" s="48"/>
      <c r="CC941" s="48"/>
      <c r="CD941" s="48"/>
      <c r="CE941" s="48"/>
      <c r="CF941" s="52"/>
      <c r="CG941" s="52"/>
      <c r="CH941" s="48"/>
      <c r="CI941" s="48"/>
      <c r="CJ941" s="48"/>
      <c r="CK941" s="48"/>
    </row>
    <row r="942" spans="1:89" ht="15.75" customHeight="1" x14ac:dyDescent="0.3">
      <c r="A942" s="47"/>
      <c r="B942" s="48"/>
      <c r="C942" s="47"/>
      <c r="D942" s="48"/>
      <c r="E942" s="48"/>
      <c r="F942" s="48"/>
      <c r="G942" s="48"/>
      <c r="H942" s="48"/>
      <c r="I942" s="49"/>
      <c r="J942" s="47"/>
      <c r="K942" s="47"/>
      <c r="L942" s="47"/>
      <c r="M942" s="47"/>
      <c r="N942" s="47"/>
      <c r="O942" s="47"/>
      <c r="P942" s="47"/>
      <c r="Q942" s="47"/>
      <c r="R942" s="47"/>
      <c r="S942" s="50"/>
      <c r="T942" s="47"/>
      <c r="U942" s="47"/>
      <c r="V942" s="47"/>
      <c r="W942" s="51"/>
      <c r="X942" s="51"/>
      <c r="Y942" s="47"/>
      <c r="Z942" s="47"/>
      <c r="AA942" s="47"/>
      <c r="AB942" s="47"/>
      <c r="AC942" s="47"/>
      <c r="AD942" s="47"/>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47"/>
      <c r="BH942" s="48"/>
      <c r="BI942" s="48"/>
      <c r="BJ942" s="48"/>
      <c r="BK942" s="48"/>
      <c r="BL942" s="48"/>
      <c r="BM942" s="48"/>
      <c r="BN942" s="48"/>
      <c r="BO942" s="48"/>
      <c r="BP942" s="48"/>
      <c r="BQ942" s="48"/>
      <c r="BR942" s="48"/>
      <c r="BS942" s="48"/>
      <c r="BT942" s="48"/>
      <c r="BU942" s="48"/>
      <c r="BV942" s="48"/>
      <c r="BW942" s="48"/>
      <c r="BX942" s="48"/>
      <c r="BY942" s="48"/>
      <c r="BZ942" s="48"/>
      <c r="CA942" s="48"/>
      <c r="CB942" s="48"/>
      <c r="CC942" s="48"/>
      <c r="CD942" s="48"/>
      <c r="CE942" s="48"/>
      <c r="CF942" s="52"/>
      <c r="CG942" s="52"/>
      <c r="CH942" s="48"/>
      <c r="CI942" s="48"/>
      <c r="CJ942" s="48"/>
      <c r="CK942" s="48"/>
    </row>
    <row r="943" spans="1:89" ht="15.75" customHeight="1" x14ac:dyDescent="0.3">
      <c r="A943" s="47"/>
      <c r="B943" s="48"/>
      <c r="C943" s="47"/>
      <c r="D943" s="48"/>
      <c r="E943" s="48"/>
      <c r="F943" s="48"/>
      <c r="G943" s="48"/>
      <c r="H943" s="48"/>
      <c r="I943" s="49"/>
      <c r="J943" s="47"/>
      <c r="K943" s="47"/>
      <c r="L943" s="47"/>
      <c r="M943" s="47"/>
      <c r="N943" s="47"/>
      <c r="O943" s="47"/>
      <c r="P943" s="47"/>
      <c r="Q943" s="47"/>
      <c r="R943" s="47"/>
      <c r="S943" s="50"/>
      <c r="T943" s="47"/>
      <c r="U943" s="47"/>
      <c r="V943" s="47"/>
      <c r="W943" s="51"/>
      <c r="X943" s="51"/>
      <c r="Y943" s="47"/>
      <c r="Z943" s="47"/>
      <c r="AA943" s="47"/>
      <c r="AB943" s="47"/>
      <c r="AC943" s="47"/>
      <c r="AD943" s="47"/>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47"/>
      <c r="BH943" s="48"/>
      <c r="BI943" s="48"/>
      <c r="BJ943" s="48"/>
      <c r="BK943" s="48"/>
      <c r="BL943" s="48"/>
      <c r="BM943" s="48"/>
      <c r="BN943" s="48"/>
      <c r="BO943" s="48"/>
      <c r="BP943" s="48"/>
      <c r="BQ943" s="48"/>
      <c r="BR943" s="48"/>
      <c r="BS943" s="48"/>
      <c r="BT943" s="48"/>
      <c r="BU943" s="48"/>
      <c r="BV943" s="48"/>
      <c r="BW943" s="48"/>
      <c r="BX943" s="48"/>
      <c r="BY943" s="48"/>
      <c r="BZ943" s="48"/>
      <c r="CA943" s="48"/>
      <c r="CB943" s="48"/>
      <c r="CC943" s="48"/>
      <c r="CD943" s="48"/>
      <c r="CE943" s="48"/>
      <c r="CF943" s="52"/>
      <c r="CG943" s="52"/>
      <c r="CH943" s="48"/>
      <c r="CI943" s="48"/>
      <c r="CJ943" s="48"/>
      <c r="CK943" s="48"/>
    </row>
    <row r="944" spans="1:89" ht="15.75" customHeight="1" x14ac:dyDescent="0.3">
      <c r="A944" s="47"/>
      <c r="B944" s="48"/>
      <c r="C944" s="47"/>
      <c r="D944" s="48"/>
      <c r="E944" s="48"/>
      <c r="F944" s="48"/>
      <c r="G944" s="48"/>
      <c r="H944" s="48"/>
      <c r="I944" s="49"/>
      <c r="J944" s="47"/>
      <c r="K944" s="47"/>
      <c r="L944" s="47"/>
      <c r="M944" s="47"/>
      <c r="N944" s="47"/>
      <c r="O944" s="47"/>
      <c r="P944" s="47"/>
      <c r="Q944" s="47"/>
      <c r="R944" s="47"/>
      <c r="S944" s="50"/>
      <c r="T944" s="47"/>
      <c r="U944" s="47"/>
      <c r="V944" s="47"/>
      <c r="W944" s="51"/>
      <c r="X944" s="51"/>
      <c r="Y944" s="47"/>
      <c r="Z944" s="47"/>
      <c r="AA944" s="47"/>
      <c r="AB944" s="47"/>
      <c r="AC944" s="47"/>
      <c r="AD944" s="47"/>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47"/>
      <c r="BH944" s="48"/>
      <c r="BI944" s="48"/>
      <c r="BJ944" s="48"/>
      <c r="BK944" s="48"/>
      <c r="BL944" s="48"/>
      <c r="BM944" s="48"/>
      <c r="BN944" s="48"/>
      <c r="BO944" s="48"/>
      <c r="BP944" s="48"/>
      <c r="BQ944" s="48"/>
      <c r="BR944" s="48"/>
      <c r="BS944" s="48"/>
      <c r="BT944" s="48"/>
      <c r="BU944" s="48"/>
      <c r="BV944" s="48"/>
      <c r="BW944" s="48"/>
      <c r="BX944" s="48"/>
      <c r="BY944" s="48"/>
      <c r="BZ944" s="48"/>
      <c r="CA944" s="48"/>
      <c r="CB944" s="48"/>
      <c r="CC944" s="48"/>
      <c r="CD944" s="48"/>
      <c r="CE944" s="48"/>
      <c r="CF944" s="52"/>
      <c r="CG944" s="52"/>
      <c r="CH944" s="48"/>
      <c r="CI944" s="48"/>
      <c r="CJ944" s="48"/>
      <c r="CK944" s="48"/>
    </row>
    <row r="945" spans="1:89" ht="15.75" customHeight="1" x14ac:dyDescent="0.3">
      <c r="A945" s="47"/>
      <c r="B945" s="48"/>
      <c r="C945" s="47"/>
      <c r="D945" s="48"/>
      <c r="E945" s="48"/>
      <c r="F945" s="48"/>
      <c r="G945" s="48"/>
      <c r="H945" s="48"/>
      <c r="I945" s="49"/>
      <c r="J945" s="47"/>
      <c r="K945" s="47"/>
      <c r="L945" s="47"/>
      <c r="M945" s="47"/>
      <c r="N945" s="47"/>
      <c r="O945" s="47"/>
      <c r="P945" s="47"/>
      <c r="Q945" s="47"/>
      <c r="R945" s="47"/>
      <c r="S945" s="50"/>
      <c r="T945" s="47"/>
      <c r="U945" s="47"/>
      <c r="V945" s="47"/>
      <c r="W945" s="51"/>
      <c r="X945" s="51"/>
      <c r="Y945" s="47"/>
      <c r="Z945" s="47"/>
      <c r="AA945" s="47"/>
      <c r="AB945" s="47"/>
      <c r="AC945" s="47"/>
      <c r="AD945" s="47"/>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47"/>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52"/>
      <c r="CG945" s="52"/>
      <c r="CH945" s="48"/>
      <c r="CI945" s="48"/>
      <c r="CJ945" s="48"/>
      <c r="CK945" s="48"/>
    </row>
    <row r="946" spans="1:89" ht="15.75" customHeight="1" x14ac:dyDescent="0.3">
      <c r="A946" s="47"/>
      <c r="B946" s="48"/>
      <c r="C946" s="47"/>
      <c r="D946" s="48"/>
      <c r="E946" s="48"/>
      <c r="F946" s="48"/>
      <c r="G946" s="48"/>
      <c r="H946" s="48"/>
      <c r="I946" s="49"/>
      <c r="J946" s="47"/>
      <c r="K946" s="47"/>
      <c r="L946" s="47"/>
      <c r="M946" s="47"/>
      <c r="N946" s="47"/>
      <c r="O946" s="47"/>
      <c r="P946" s="47"/>
      <c r="Q946" s="47"/>
      <c r="R946" s="47"/>
      <c r="S946" s="50"/>
      <c r="T946" s="47"/>
      <c r="U946" s="47"/>
      <c r="V946" s="47"/>
      <c r="W946" s="51"/>
      <c r="X946" s="51"/>
      <c r="Y946" s="47"/>
      <c r="Z946" s="47"/>
      <c r="AA946" s="47"/>
      <c r="AB946" s="47"/>
      <c r="AC946" s="47"/>
      <c r="AD946" s="47"/>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47"/>
      <c r="BH946" s="48"/>
      <c r="BI946" s="48"/>
      <c r="BJ946" s="48"/>
      <c r="BK946" s="48"/>
      <c r="BL946" s="48"/>
      <c r="BM946" s="48"/>
      <c r="BN946" s="48"/>
      <c r="BO946" s="48"/>
      <c r="BP946" s="48"/>
      <c r="BQ946" s="48"/>
      <c r="BR946" s="48"/>
      <c r="BS946" s="48"/>
      <c r="BT946" s="48"/>
      <c r="BU946" s="48"/>
      <c r="BV946" s="48"/>
      <c r="BW946" s="48"/>
      <c r="BX946" s="48"/>
      <c r="BY946" s="48"/>
      <c r="BZ946" s="48"/>
      <c r="CA946" s="48"/>
      <c r="CB946" s="48"/>
      <c r="CC946" s="48"/>
      <c r="CD946" s="48"/>
      <c r="CE946" s="48"/>
      <c r="CF946" s="52"/>
      <c r="CG946" s="52"/>
      <c r="CH946" s="48"/>
      <c r="CI946" s="48"/>
      <c r="CJ946" s="48"/>
      <c r="CK946" s="48"/>
    </row>
    <row r="947" spans="1:89" ht="15.75" customHeight="1" x14ac:dyDescent="0.3">
      <c r="A947" s="47"/>
      <c r="B947" s="48"/>
      <c r="C947" s="47"/>
      <c r="D947" s="48"/>
      <c r="E947" s="48"/>
      <c r="F947" s="48"/>
      <c r="G947" s="48"/>
      <c r="H947" s="48"/>
      <c r="I947" s="49"/>
      <c r="J947" s="47"/>
      <c r="K947" s="47"/>
      <c r="L947" s="47"/>
      <c r="M947" s="47"/>
      <c r="N947" s="47"/>
      <c r="O947" s="47"/>
      <c r="P947" s="47"/>
      <c r="Q947" s="47"/>
      <c r="R947" s="47"/>
      <c r="S947" s="50"/>
      <c r="T947" s="47"/>
      <c r="U947" s="47"/>
      <c r="V947" s="47"/>
      <c r="W947" s="51"/>
      <c r="X947" s="51"/>
      <c r="Y947" s="47"/>
      <c r="Z947" s="47"/>
      <c r="AA947" s="47"/>
      <c r="AB947" s="47"/>
      <c r="AC947" s="47"/>
      <c r="AD947" s="47"/>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47"/>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52"/>
      <c r="CG947" s="52"/>
      <c r="CH947" s="48"/>
      <c r="CI947" s="48"/>
      <c r="CJ947" s="48"/>
      <c r="CK947" s="48"/>
    </row>
    <row r="948" spans="1:89" ht="15.75" customHeight="1" x14ac:dyDescent="0.3">
      <c r="A948" s="47"/>
      <c r="B948" s="48"/>
      <c r="C948" s="47"/>
      <c r="D948" s="48"/>
      <c r="E948" s="48"/>
      <c r="F948" s="48"/>
      <c r="G948" s="48"/>
      <c r="H948" s="48"/>
      <c r="I948" s="49"/>
      <c r="J948" s="47"/>
      <c r="K948" s="47"/>
      <c r="L948" s="47"/>
      <c r="M948" s="47"/>
      <c r="N948" s="47"/>
      <c r="O948" s="47"/>
      <c r="P948" s="47"/>
      <c r="Q948" s="47"/>
      <c r="R948" s="47"/>
      <c r="S948" s="50"/>
      <c r="T948" s="47"/>
      <c r="U948" s="47"/>
      <c r="V948" s="47"/>
      <c r="W948" s="51"/>
      <c r="X948" s="51"/>
      <c r="Y948" s="47"/>
      <c r="Z948" s="47"/>
      <c r="AA948" s="47"/>
      <c r="AB948" s="47"/>
      <c r="AC948" s="47"/>
      <c r="AD948" s="47"/>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47"/>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52"/>
      <c r="CG948" s="52"/>
      <c r="CH948" s="48"/>
      <c r="CI948" s="48"/>
      <c r="CJ948" s="48"/>
      <c r="CK948" s="48"/>
    </row>
    <row r="949" spans="1:89" ht="15.75" customHeight="1" x14ac:dyDescent="0.3">
      <c r="A949" s="47"/>
      <c r="B949" s="48"/>
      <c r="C949" s="47"/>
      <c r="D949" s="48"/>
      <c r="E949" s="48"/>
      <c r="F949" s="48"/>
      <c r="G949" s="48"/>
      <c r="H949" s="48"/>
      <c r="I949" s="49"/>
      <c r="J949" s="47"/>
      <c r="K949" s="47"/>
      <c r="L949" s="47"/>
      <c r="M949" s="47"/>
      <c r="N949" s="47"/>
      <c r="O949" s="47"/>
      <c r="P949" s="47"/>
      <c r="Q949" s="47"/>
      <c r="R949" s="47"/>
      <c r="S949" s="50"/>
      <c r="T949" s="47"/>
      <c r="U949" s="47"/>
      <c r="V949" s="47"/>
      <c r="W949" s="51"/>
      <c r="X949" s="51"/>
      <c r="Y949" s="47"/>
      <c r="Z949" s="47"/>
      <c r="AA949" s="47"/>
      <c r="AB949" s="47"/>
      <c r="AC949" s="47"/>
      <c r="AD949" s="47"/>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47"/>
      <c r="BH949" s="48"/>
      <c r="BI949" s="48"/>
      <c r="BJ949" s="48"/>
      <c r="BK949" s="48"/>
      <c r="BL949" s="48"/>
      <c r="BM949" s="48"/>
      <c r="BN949" s="48"/>
      <c r="BO949" s="48"/>
      <c r="BP949" s="48"/>
      <c r="BQ949" s="48"/>
      <c r="BR949" s="48"/>
      <c r="BS949" s="48"/>
      <c r="BT949" s="48"/>
      <c r="BU949" s="48"/>
      <c r="BV949" s="48"/>
      <c r="BW949" s="48"/>
      <c r="BX949" s="48"/>
      <c r="BY949" s="48"/>
      <c r="BZ949" s="48"/>
      <c r="CA949" s="48"/>
      <c r="CB949" s="48"/>
      <c r="CC949" s="48"/>
      <c r="CD949" s="48"/>
      <c r="CE949" s="48"/>
      <c r="CF949" s="52"/>
      <c r="CG949" s="52"/>
      <c r="CH949" s="48"/>
      <c r="CI949" s="48"/>
      <c r="CJ949" s="48"/>
      <c r="CK949" s="48"/>
    </row>
    <row r="950" spans="1:89" ht="15.75" customHeight="1" x14ac:dyDescent="0.3">
      <c r="A950" s="47"/>
      <c r="B950" s="48"/>
      <c r="C950" s="47"/>
      <c r="D950" s="48"/>
      <c r="E950" s="48"/>
      <c r="F950" s="48"/>
      <c r="G950" s="48"/>
      <c r="H950" s="48"/>
      <c r="I950" s="49"/>
      <c r="J950" s="47"/>
      <c r="K950" s="47"/>
      <c r="L950" s="47"/>
      <c r="M950" s="47"/>
      <c r="N950" s="47"/>
      <c r="O950" s="47"/>
      <c r="P950" s="47"/>
      <c r="Q950" s="47"/>
      <c r="R950" s="47"/>
      <c r="S950" s="50"/>
      <c r="T950" s="47"/>
      <c r="U950" s="47"/>
      <c r="V950" s="47"/>
      <c r="W950" s="51"/>
      <c r="X950" s="51"/>
      <c r="Y950" s="47"/>
      <c r="Z950" s="47"/>
      <c r="AA950" s="47"/>
      <c r="AB950" s="47"/>
      <c r="AC950" s="47"/>
      <c r="AD950" s="47"/>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47"/>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52"/>
      <c r="CG950" s="52"/>
      <c r="CH950" s="48"/>
      <c r="CI950" s="48"/>
      <c r="CJ950" s="48"/>
      <c r="CK950" s="48"/>
    </row>
    <row r="951" spans="1:89" ht="15.75" customHeight="1" x14ac:dyDescent="0.3">
      <c r="A951" s="47"/>
      <c r="B951" s="48"/>
      <c r="C951" s="47"/>
      <c r="D951" s="48"/>
      <c r="E951" s="48"/>
      <c r="F951" s="48"/>
      <c r="G951" s="48"/>
      <c r="H951" s="48"/>
      <c r="I951" s="49"/>
      <c r="J951" s="47"/>
      <c r="K951" s="47"/>
      <c r="L951" s="47"/>
      <c r="M951" s="47"/>
      <c r="N951" s="47"/>
      <c r="O951" s="47"/>
      <c r="P951" s="47"/>
      <c r="Q951" s="47"/>
      <c r="R951" s="47"/>
      <c r="S951" s="50"/>
      <c r="T951" s="47"/>
      <c r="U951" s="47"/>
      <c r="V951" s="47"/>
      <c r="W951" s="51"/>
      <c r="X951" s="51"/>
      <c r="Y951" s="47"/>
      <c r="Z951" s="47"/>
      <c r="AA951" s="47"/>
      <c r="AB951" s="47"/>
      <c r="AC951" s="47"/>
      <c r="AD951" s="47"/>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47"/>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52"/>
      <c r="CG951" s="52"/>
      <c r="CH951" s="48"/>
      <c r="CI951" s="48"/>
      <c r="CJ951" s="48"/>
      <c r="CK951" s="48"/>
    </row>
    <row r="952" spans="1:89" ht="15.75" customHeight="1" x14ac:dyDescent="0.3">
      <c r="A952" s="47"/>
      <c r="B952" s="48"/>
      <c r="C952" s="47"/>
      <c r="D952" s="48"/>
      <c r="E952" s="48"/>
      <c r="F952" s="48"/>
      <c r="G952" s="48"/>
      <c r="H952" s="48"/>
      <c r="I952" s="49"/>
      <c r="J952" s="47"/>
      <c r="K952" s="47"/>
      <c r="L952" s="47"/>
      <c r="M952" s="47"/>
      <c r="N952" s="47"/>
      <c r="O952" s="47"/>
      <c r="P952" s="47"/>
      <c r="Q952" s="47"/>
      <c r="R952" s="47"/>
      <c r="S952" s="50"/>
      <c r="T952" s="47"/>
      <c r="U952" s="47"/>
      <c r="V952" s="47"/>
      <c r="W952" s="51"/>
      <c r="X952" s="51"/>
      <c r="Y952" s="47"/>
      <c r="Z952" s="47"/>
      <c r="AA952" s="47"/>
      <c r="AB952" s="47"/>
      <c r="AC952" s="47"/>
      <c r="AD952" s="47"/>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47"/>
      <c r="BH952" s="48"/>
      <c r="BI952" s="48"/>
      <c r="BJ952" s="48"/>
      <c r="BK952" s="48"/>
      <c r="BL952" s="48"/>
      <c r="BM952" s="48"/>
      <c r="BN952" s="48"/>
      <c r="BO952" s="48"/>
      <c r="BP952" s="48"/>
      <c r="BQ952" s="48"/>
      <c r="BR952" s="48"/>
      <c r="BS952" s="48"/>
      <c r="BT952" s="48"/>
      <c r="BU952" s="48"/>
      <c r="BV952" s="48"/>
      <c r="BW952" s="48"/>
      <c r="BX952" s="48"/>
      <c r="BY952" s="48"/>
      <c r="BZ952" s="48"/>
      <c r="CA952" s="48"/>
      <c r="CB952" s="48"/>
      <c r="CC952" s="48"/>
      <c r="CD952" s="48"/>
      <c r="CE952" s="48"/>
      <c r="CF952" s="52"/>
      <c r="CG952" s="52"/>
      <c r="CH952" s="48"/>
      <c r="CI952" s="48"/>
      <c r="CJ952" s="48"/>
      <c r="CK952" s="48"/>
    </row>
    <row r="953" spans="1:89" ht="15.75" customHeight="1" x14ac:dyDescent="0.3">
      <c r="A953" s="47"/>
      <c r="B953" s="48"/>
      <c r="C953" s="47"/>
      <c r="D953" s="48"/>
      <c r="E953" s="48"/>
      <c r="F953" s="48"/>
      <c r="G953" s="48"/>
      <c r="H953" s="48"/>
      <c r="I953" s="49"/>
      <c r="J953" s="47"/>
      <c r="K953" s="47"/>
      <c r="L953" s="47"/>
      <c r="M953" s="47"/>
      <c r="N953" s="47"/>
      <c r="O953" s="47"/>
      <c r="P953" s="47"/>
      <c r="Q953" s="47"/>
      <c r="R953" s="47"/>
      <c r="S953" s="50"/>
      <c r="T953" s="47"/>
      <c r="U953" s="47"/>
      <c r="V953" s="47"/>
      <c r="W953" s="51"/>
      <c r="X953" s="51"/>
      <c r="Y953" s="47"/>
      <c r="Z953" s="47"/>
      <c r="AA953" s="47"/>
      <c r="AB953" s="47"/>
      <c r="AC953" s="47"/>
      <c r="AD953" s="47"/>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47"/>
      <c r="BH953" s="48"/>
      <c r="BI953" s="48"/>
      <c r="BJ953" s="48"/>
      <c r="BK953" s="48"/>
      <c r="BL953" s="48"/>
      <c r="BM953" s="48"/>
      <c r="BN953" s="48"/>
      <c r="BO953" s="48"/>
      <c r="BP953" s="48"/>
      <c r="BQ953" s="48"/>
      <c r="BR953" s="48"/>
      <c r="BS953" s="48"/>
      <c r="BT953" s="48"/>
      <c r="BU953" s="48"/>
      <c r="BV953" s="48"/>
      <c r="BW953" s="48"/>
      <c r="BX953" s="48"/>
      <c r="BY953" s="48"/>
      <c r="BZ953" s="48"/>
      <c r="CA953" s="48"/>
      <c r="CB953" s="48"/>
      <c r="CC953" s="48"/>
      <c r="CD953" s="48"/>
      <c r="CE953" s="48"/>
      <c r="CF953" s="52"/>
      <c r="CG953" s="52"/>
      <c r="CH953" s="48"/>
      <c r="CI953" s="48"/>
      <c r="CJ953" s="48"/>
      <c r="CK953" s="48"/>
    </row>
    <row r="954" spans="1:89" ht="15.75" customHeight="1" x14ac:dyDescent="0.3">
      <c r="A954" s="47"/>
      <c r="B954" s="48"/>
      <c r="C954" s="47"/>
      <c r="D954" s="48"/>
      <c r="E954" s="48"/>
      <c r="F954" s="48"/>
      <c r="G954" s="48"/>
      <c r="H954" s="48"/>
      <c r="I954" s="49"/>
      <c r="J954" s="47"/>
      <c r="K954" s="47"/>
      <c r="L954" s="47"/>
      <c r="M954" s="47"/>
      <c r="N954" s="47"/>
      <c r="O954" s="47"/>
      <c r="P954" s="47"/>
      <c r="Q954" s="47"/>
      <c r="R954" s="47"/>
      <c r="S954" s="50"/>
      <c r="T954" s="47"/>
      <c r="U954" s="47"/>
      <c r="V954" s="47"/>
      <c r="W954" s="51"/>
      <c r="X954" s="51"/>
      <c r="Y954" s="47"/>
      <c r="Z954" s="47"/>
      <c r="AA954" s="47"/>
      <c r="AB954" s="47"/>
      <c r="AC954" s="47"/>
      <c r="AD954" s="47"/>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47"/>
      <c r="BH954" s="48"/>
      <c r="BI954" s="48"/>
      <c r="BJ954" s="48"/>
      <c r="BK954" s="48"/>
      <c r="BL954" s="48"/>
      <c r="BM954" s="48"/>
      <c r="BN954" s="48"/>
      <c r="BO954" s="48"/>
      <c r="BP954" s="48"/>
      <c r="BQ954" s="48"/>
      <c r="BR954" s="48"/>
      <c r="BS954" s="48"/>
      <c r="BT954" s="48"/>
      <c r="BU954" s="48"/>
      <c r="BV954" s="48"/>
      <c r="BW954" s="48"/>
      <c r="BX954" s="48"/>
      <c r="BY954" s="48"/>
      <c r="BZ954" s="48"/>
      <c r="CA954" s="48"/>
      <c r="CB954" s="48"/>
      <c r="CC954" s="48"/>
      <c r="CD954" s="48"/>
      <c r="CE954" s="48"/>
      <c r="CF954" s="52"/>
      <c r="CG954" s="52"/>
      <c r="CH954" s="48"/>
      <c r="CI954" s="48"/>
      <c r="CJ954" s="48"/>
      <c r="CK954" s="48"/>
    </row>
    <row r="955" spans="1:89" ht="15.75" customHeight="1" x14ac:dyDescent="0.3">
      <c r="A955" s="47"/>
      <c r="B955" s="48"/>
      <c r="C955" s="47"/>
      <c r="D955" s="48"/>
      <c r="E955" s="48"/>
      <c r="F955" s="48"/>
      <c r="G955" s="48"/>
      <c r="H955" s="48"/>
      <c r="I955" s="49"/>
      <c r="J955" s="47"/>
      <c r="K955" s="47"/>
      <c r="L955" s="47"/>
      <c r="M955" s="47"/>
      <c r="N955" s="47"/>
      <c r="O955" s="47"/>
      <c r="P955" s="47"/>
      <c r="Q955" s="47"/>
      <c r="R955" s="47"/>
      <c r="S955" s="50"/>
      <c r="T955" s="47"/>
      <c r="U955" s="47"/>
      <c r="V955" s="47"/>
      <c r="W955" s="51"/>
      <c r="X955" s="51"/>
      <c r="Y955" s="47"/>
      <c r="Z955" s="47"/>
      <c r="AA955" s="47"/>
      <c r="AB955" s="47"/>
      <c r="AC955" s="47"/>
      <c r="AD955" s="47"/>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47"/>
      <c r="BH955" s="48"/>
      <c r="BI955" s="48"/>
      <c r="BJ955" s="48"/>
      <c r="BK955" s="48"/>
      <c r="BL955" s="48"/>
      <c r="BM955" s="48"/>
      <c r="BN955" s="48"/>
      <c r="BO955" s="48"/>
      <c r="BP955" s="48"/>
      <c r="BQ955" s="48"/>
      <c r="BR955" s="48"/>
      <c r="BS955" s="48"/>
      <c r="BT955" s="48"/>
      <c r="BU955" s="48"/>
      <c r="BV955" s="48"/>
      <c r="BW955" s="48"/>
      <c r="BX955" s="48"/>
      <c r="BY955" s="48"/>
      <c r="BZ955" s="48"/>
      <c r="CA955" s="48"/>
      <c r="CB955" s="48"/>
      <c r="CC955" s="48"/>
      <c r="CD955" s="48"/>
      <c r="CE955" s="48"/>
      <c r="CF955" s="52"/>
      <c r="CG955" s="52"/>
      <c r="CH955" s="48"/>
      <c r="CI955" s="48"/>
      <c r="CJ955" s="48"/>
      <c r="CK955" s="48"/>
    </row>
    <row r="956" spans="1:89" ht="15.75" customHeight="1" x14ac:dyDescent="0.3">
      <c r="A956" s="47"/>
      <c r="B956" s="48"/>
      <c r="C956" s="47"/>
      <c r="D956" s="48"/>
      <c r="E956" s="48"/>
      <c r="F956" s="48"/>
      <c r="G956" s="48"/>
      <c r="H956" s="48"/>
      <c r="I956" s="49"/>
      <c r="J956" s="47"/>
      <c r="K956" s="47"/>
      <c r="L956" s="47"/>
      <c r="M956" s="47"/>
      <c r="N956" s="47"/>
      <c r="O956" s="47"/>
      <c r="P956" s="47"/>
      <c r="Q956" s="47"/>
      <c r="R956" s="47"/>
      <c r="S956" s="50"/>
      <c r="T956" s="47"/>
      <c r="U956" s="47"/>
      <c r="V956" s="47"/>
      <c r="W956" s="51"/>
      <c r="X956" s="51"/>
      <c r="Y956" s="47"/>
      <c r="Z956" s="47"/>
      <c r="AA956" s="47"/>
      <c r="AB956" s="47"/>
      <c r="AC956" s="47"/>
      <c r="AD956" s="47"/>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47"/>
      <c r="BH956" s="48"/>
      <c r="BI956" s="48"/>
      <c r="BJ956" s="48"/>
      <c r="BK956" s="48"/>
      <c r="BL956" s="48"/>
      <c r="BM956" s="48"/>
      <c r="BN956" s="48"/>
      <c r="BO956" s="48"/>
      <c r="BP956" s="48"/>
      <c r="BQ956" s="48"/>
      <c r="BR956" s="48"/>
      <c r="BS956" s="48"/>
      <c r="BT956" s="48"/>
      <c r="BU956" s="48"/>
      <c r="BV956" s="48"/>
      <c r="BW956" s="48"/>
      <c r="BX956" s="48"/>
      <c r="BY956" s="48"/>
      <c r="BZ956" s="48"/>
      <c r="CA956" s="48"/>
      <c r="CB956" s="48"/>
      <c r="CC956" s="48"/>
      <c r="CD956" s="48"/>
      <c r="CE956" s="48"/>
      <c r="CF956" s="52"/>
      <c r="CG956" s="52"/>
      <c r="CH956" s="48"/>
      <c r="CI956" s="48"/>
      <c r="CJ956" s="48"/>
      <c r="CK956" s="48"/>
    </row>
    <row r="957" spans="1:89" ht="15.75" customHeight="1" x14ac:dyDescent="0.3">
      <c r="A957" s="47"/>
      <c r="B957" s="48"/>
      <c r="C957" s="47"/>
      <c r="D957" s="48"/>
      <c r="E957" s="48"/>
      <c r="F957" s="48"/>
      <c r="G957" s="48"/>
      <c r="H957" s="48"/>
      <c r="I957" s="49"/>
      <c r="J957" s="47"/>
      <c r="K957" s="47"/>
      <c r="L957" s="47"/>
      <c r="M957" s="47"/>
      <c r="N957" s="47"/>
      <c r="O957" s="47"/>
      <c r="P957" s="47"/>
      <c r="Q957" s="47"/>
      <c r="R957" s="47"/>
      <c r="S957" s="50"/>
      <c r="T957" s="47"/>
      <c r="U957" s="47"/>
      <c r="V957" s="47"/>
      <c r="W957" s="51"/>
      <c r="X957" s="51"/>
      <c r="Y957" s="47"/>
      <c r="Z957" s="47"/>
      <c r="AA957" s="47"/>
      <c r="AB957" s="47"/>
      <c r="AC957" s="47"/>
      <c r="AD957" s="47"/>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47"/>
      <c r="BH957" s="48"/>
      <c r="BI957" s="48"/>
      <c r="BJ957" s="48"/>
      <c r="BK957" s="48"/>
      <c r="BL957" s="48"/>
      <c r="BM957" s="48"/>
      <c r="BN957" s="48"/>
      <c r="BO957" s="48"/>
      <c r="BP957" s="48"/>
      <c r="BQ957" s="48"/>
      <c r="BR957" s="48"/>
      <c r="BS957" s="48"/>
      <c r="BT957" s="48"/>
      <c r="BU957" s="48"/>
      <c r="BV957" s="48"/>
      <c r="BW957" s="48"/>
      <c r="BX957" s="48"/>
      <c r="BY957" s="48"/>
      <c r="BZ957" s="48"/>
      <c r="CA957" s="48"/>
      <c r="CB957" s="48"/>
      <c r="CC957" s="48"/>
      <c r="CD957" s="48"/>
      <c r="CE957" s="48"/>
      <c r="CF957" s="52"/>
      <c r="CG957" s="52"/>
      <c r="CH957" s="48"/>
      <c r="CI957" s="48"/>
      <c r="CJ957" s="48"/>
      <c r="CK957" s="48"/>
    </row>
    <row r="958" spans="1:89" ht="15.75" customHeight="1" x14ac:dyDescent="0.3">
      <c r="A958" s="47"/>
      <c r="B958" s="48"/>
      <c r="C958" s="47"/>
      <c r="D958" s="48"/>
      <c r="E958" s="48"/>
      <c r="F958" s="48"/>
      <c r="G958" s="48"/>
      <c r="H958" s="48"/>
      <c r="I958" s="49"/>
      <c r="J958" s="47"/>
      <c r="K958" s="47"/>
      <c r="L958" s="47"/>
      <c r="M958" s="47"/>
      <c r="N958" s="47"/>
      <c r="O958" s="47"/>
      <c r="P958" s="47"/>
      <c r="Q958" s="47"/>
      <c r="R958" s="47"/>
      <c r="S958" s="50"/>
      <c r="T958" s="47"/>
      <c r="U958" s="47"/>
      <c r="V958" s="47"/>
      <c r="W958" s="51"/>
      <c r="X958" s="51"/>
      <c r="Y958" s="47"/>
      <c r="Z958" s="47"/>
      <c r="AA958" s="47"/>
      <c r="AB958" s="47"/>
      <c r="AC958" s="47"/>
      <c r="AD958" s="47"/>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47"/>
      <c r="BH958" s="48"/>
      <c r="BI958" s="48"/>
      <c r="BJ958" s="48"/>
      <c r="BK958" s="48"/>
      <c r="BL958" s="48"/>
      <c r="BM958" s="48"/>
      <c r="BN958" s="48"/>
      <c r="BO958" s="48"/>
      <c r="BP958" s="48"/>
      <c r="BQ958" s="48"/>
      <c r="BR958" s="48"/>
      <c r="BS958" s="48"/>
      <c r="BT958" s="48"/>
      <c r="BU958" s="48"/>
      <c r="BV958" s="48"/>
      <c r="BW958" s="48"/>
      <c r="BX958" s="48"/>
      <c r="BY958" s="48"/>
      <c r="BZ958" s="48"/>
      <c r="CA958" s="48"/>
      <c r="CB958" s="48"/>
      <c r="CC958" s="48"/>
      <c r="CD958" s="48"/>
      <c r="CE958" s="48"/>
      <c r="CF958" s="52"/>
      <c r="CG958" s="52"/>
      <c r="CH958" s="48"/>
      <c r="CI958" s="48"/>
      <c r="CJ958" s="48"/>
      <c r="CK958" s="48"/>
    </row>
    <row r="959" spans="1:89" ht="15.75" customHeight="1" x14ac:dyDescent="0.3">
      <c r="A959" s="47"/>
      <c r="B959" s="48"/>
      <c r="C959" s="47"/>
      <c r="D959" s="48"/>
      <c r="E959" s="48"/>
      <c r="F959" s="48"/>
      <c r="G959" s="48"/>
      <c r="H959" s="48"/>
      <c r="I959" s="49"/>
      <c r="J959" s="47"/>
      <c r="K959" s="47"/>
      <c r="L959" s="47"/>
      <c r="M959" s="47"/>
      <c r="N959" s="47"/>
      <c r="O959" s="47"/>
      <c r="P959" s="47"/>
      <c r="Q959" s="47"/>
      <c r="R959" s="47"/>
      <c r="S959" s="50"/>
      <c r="T959" s="47"/>
      <c r="U959" s="47"/>
      <c r="V959" s="47"/>
      <c r="W959" s="51"/>
      <c r="X959" s="51"/>
      <c r="Y959" s="47"/>
      <c r="Z959" s="47"/>
      <c r="AA959" s="47"/>
      <c r="AB959" s="47"/>
      <c r="AC959" s="47"/>
      <c r="AD959" s="47"/>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47"/>
      <c r="BH959" s="48"/>
      <c r="BI959" s="48"/>
      <c r="BJ959" s="48"/>
      <c r="BK959" s="48"/>
      <c r="BL959" s="48"/>
      <c r="BM959" s="48"/>
      <c r="BN959" s="48"/>
      <c r="BO959" s="48"/>
      <c r="BP959" s="48"/>
      <c r="BQ959" s="48"/>
      <c r="BR959" s="48"/>
      <c r="BS959" s="48"/>
      <c r="BT959" s="48"/>
      <c r="BU959" s="48"/>
      <c r="BV959" s="48"/>
      <c r="BW959" s="48"/>
      <c r="BX959" s="48"/>
      <c r="BY959" s="48"/>
      <c r="BZ959" s="48"/>
      <c r="CA959" s="48"/>
      <c r="CB959" s="48"/>
      <c r="CC959" s="48"/>
      <c r="CD959" s="48"/>
      <c r="CE959" s="48"/>
      <c r="CF959" s="52"/>
      <c r="CG959" s="52"/>
      <c r="CH959" s="48"/>
      <c r="CI959" s="48"/>
      <c r="CJ959" s="48"/>
      <c r="CK959" s="48"/>
    </row>
    <row r="960" spans="1:89" ht="15.75" customHeight="1" x14ac:dyDescent="0.3">
      <c r="A960" s="47"/>
      <c r="B960" s="48"/>
      <c r="C960" s="47"/>
      <c r="D960" s="48"/>
      <c r="E960" s="48"/>
      <c r="F960" s="48"/>
      <c r="G960" s="48"/>
      <c r="H960" s="48"/>
      <c r="I960" s="49"/>
      <c r="J960" s="47"/>
      <c r="K960" s="47"/>
      <c r="L960" s="47"/>
      <c r="M960" s="47"/>
      <c r="N960" s="47"/>
      <c r="O960" s="47"/>
      <c r="P960" s="47"/>
      <c r="Q960" s="47"/>
      <c r="R960" s="47"/>
      <c r="S960" s="50"/>
      <c r="T960" s="47"/>
      <c r="U960" s="47"/>
      <c r="V960" s="47"/>
      <c r="W960" s="51"/>
      <c r="X960" s="51"/>
      <c r="Y960" s="47"/>
      <c r="Z960" s="47"/>
      <c r="AA960" s="47"/>
      <c r="AB960" s="47"/>
      <c r="AC960" s="47"/>
      <c r="AD960" s="47"/>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47"/>
      <c r="BH960" s="48"/>
      <c r="BI960" s="48"/>
      <c r="BJ960" s="48"/>
      <c r="BK960" s="48"/>
      <c r="BL960" s="48"/>
      <c r="BM960" s="48"/>
      <c r="BN960" s="48"/>
      <c r="BO960" s="48"/>
      <c r="BP960" s="48"/>
      <c r="BQ960" s="48"/>
      <c r="BR960" s="48"/>
      <c r="BS960" s="48"/>
      <c r="BT960" s="48"/>
      <c r="BU960" s="48"/>
      <c r="BV960" s="48"/>
      <c r="BW960" s="48"/>
      <c r="BX960" s="48"/>
      <c r="BY960" s="48"/>
      <c r="BZ960" s="48"/>
      <c r="CA960" s="48"/>
      <c r="CB960" s="48"/>
      <c r="CC960" s="48"/>
      <c r="CD960" s="48"/>
      <c r="CE960" s="48"/>
      <c r="CF960" s="52"/>
      <c r="CG960" s="52"/>
      <c r="CH960" s="48"/>
      <c r="CI960" s="48"/>
      <c r="CJ960" s="48"/>
      <c r="CK960" s="48"/>
    </row>
    <row r="961" spans="1:89" ht="15.75" customHeight="1" x14ac:dyDescent="0.3">
      <c r="A961" s="47"/>
      <c r="B961" s="48"/>
      <c r="C961" s="47"/>
      <c r="D961" s="48"/>
      <c r="E961" s="48"/>
      <c r="F961" s="48"/>
      <c r="G961" s="48"/>
      <c r="H961" s="48"/>
      <c r="I961" s="49"/>
      <c r="J961" s="47"/>
      <c r="K961" s="47"/>
      <c r="L961" s="47"/>
      <c r="M961" s="47"/>
      <c r="N961" s="47"/>
      <c r="O961" s="47"/>
      <c r="P961" s="47"/>
      <c r="Q961" s="47"/>
      <c r="R961" s="47"/>
      <c r="S961" s="50"/>
      <c r="T961" s="47"/>
      <c r="U961" s="47"/>
      <c r="V961" s="47"/>
      <c r="W961" s="51"/>
      <c r="X961" s="51"/>
      <c r="Y961" s="47"/>
      <c r="Z961" s="47"/>
      <c r="AA961" s="47"/>
      <c r="AB961" s="47"/>
      <c r="AC961" s="47"/>
      <c r="AD961" s="47"/>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47"/>
      <c r="BH961" s="48"/>
      <c r="BI961" s="48"/>
      <c r="BJ961" s="48"/>
      <c r="BK961" s="48"/>
      <c r="BL961" s="48"/>
      <c r="BM961" s="48"/>
      <c r="BN961" s="48"/>
      <c r="BO961" s="48"/>
      <c r="BP961" s="48"/>
      <c r="BQ961" s="48"/>
      <c r="BR961" s="48"/>
      <c r="BS961" s="48"/>
      <c r="BT961" s="48"/>
      <c r="BU961" s="48"/>
      <c r="BV961" s="48"/>
      <c r="BW961" s="48"/>
      <c r="BX961" s="48"/>
      <c r="BY961" s="48"/>
      <c r="BZ961" s="48"/>
      <c r="CA961" s="48"/>
      <c r="CB961" s="48"/>
      <c r="CC961" s="48"/>
      <c r="CD961" s="48"/>
      <c r="CE961" s="48"/>
      <c r="CF961" s="52"/>
      <c r="CG961" s="52"/>
      <c r="CH961" s="48"/>
      <c r="CI961" s="48"/>
      <c r="CJ961" s="48"/>
      <c r="CK961" s="48"/>
    </row>
    <row r="962" spans="1:89" ht="15.75" customHeight="1" x14ac:dyDescent="0.3">
      <c r="A962" s="47"/>
      <c r="B962" s="48"/>
      <c r="C962" s="47"/>
      <c r="D962" s="48"/>
      <c r="E962" s="48"/>
      <c r="F962" s="48"/>
      <c r="G962" s="48"/>
      <c r="H962" s="48"/>
      <c r="I962" s="49"/>
      <c r="J962" s="47"/>
      <c r="K962" s="47"/>
      <c r="L962" s="47"/>
      <c r="M962" s="47"/>
      <c r="N962" s="47"/>
      <c r="O962" s="47"/>
      <c r="P962" s="47"/>
      <c r="Q962" s="47"/>
      <c r="R962" s="47"/>
      <c r="S962" s="50"/>
      <c r="T962" s="47"/>
      <c r="U962" s="47"/>
      <c r="V962" s="47"/>
      <c r="W962" s="51"/>
      <c r="X962" s="51"/>
      <c r="Y962" s="47"/>
      <c r="Z962" s="47"/>
      <c r="AA962" s="47"/>
      <c r="AB962" s="47"/>
      <c r="AC962" s="47"/>
      <c r="AD962" s="47"/>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47"/>
      <c r="BH962" s="48"/>
      <c r="BI962" s="48"/>
      <c r="BJ962" s="48"/>
      <c r="BK962" s="48"/>
      <c r="BL962" s="48"/>
      <c r="BM962" s="48"/>
      <c r="BN962" s="48"/>
      <c r="BO962" s="48"/>
      <c r="BP962" s="48"/>
      <c r="BQ962" s="48"/>
      <c r="BR962" s="48"/>
      <c r="BS962" s="48"/>
      <c r="BT962" s="48"/>
      <c r="BU962" s="48"/>
      <c r="BV962" s="48"/>
      <c r="BW962" s="48"/>
      <c r="BX962" s="48"/>
      <c r="BY962" s="48"/>
      <c r="BZ962" s="48"/>
      <c r="CA962" s="48"/>
      <c r="CB962" s="48"/>
      <c r="CC962" s="48"/>
      <c r="CD962" s="48"/>
      <c r="CE962" s="48"/>
      <c r="CF962" s="52"/>
      <c r="CG962" s="52"/>
      <c r="CH962" s="48"/>
      <c r="CI962" s="48"/>
      <c r="CJ962" s="48"/>
      <c r="CK962" s="48"/>
    </row>
    <row r="963" spans="1:89" ht="15.75" customHeight="1" x14ac:dyDescent="0.3">
      <c r="A963" s="47"/>
      <c r="B963" s="48"/>
      <c r="C963" s="47"/>
      <c r="D963" s="48"/>
      <c r="E963" s="48"/>
      <c r="F963" s="48"/>
      <c r="G963" s="48"/>
      <c r="H963" s="48"/>
      <c r="I963" s="49"/>
      <c r="J963" s="47"/>
      <c r="K963" s="47"/>
      <c r="L963" s="47"/>
      <c r="M963" s="47"/>
      <c r="N963" s="47"/>
      <c r="O963" s="47"/>
      <c r="P963" s="47"/>
      <c r="Q963" s="47"/>
      <c r="R963" s="47"/>
      <c r="S963" s="50"/>
      <c r="T963" s="47"/>
      <c r="U963" s="47"/>
      <c r="V963" s="47"/>
      <c r="W963" s="51"/>
      <c r="X963" s="51"/>
      <c r="Y963" s="47"/>
      <c r="Z963" s="47"/>
      <c r="AA963" s="47"/>
      <c r="AB963" s="47"/>
      <c r="AC963" s="47"/>
      <c r="AD963" s="47"/>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47"/>
      <c r="BH963" s="48"/>
      <c r="BI963" s="48"/>
      <c r="BJ963" s="48"/>
      <c r="BK963" s="48"/>
      <c r="BL963" s="48"/>
      <c r="BM963" s="48"/>
      <c r="BN963" s="48"/>
      <c r="BO963" s="48"/>
      <c r="BP963" s="48"/>
      <c r="BQ963" s="48"/>
      <c r="BR963" s="48"/>
      <c r="BS963" s="48"/>
      <c r="BT963" s="48"/>
      <c r="BU963" s="48"/>
      <c r="BV963" s="48"/>
      <c r="BW963" s="48"/>
      <c r="BX963" s="48"/>
      <c r="BY963" s="48"/>
      <c r="BZ963" s="48"/>
      <c r="CA963" s="48"/>
      <c r="CB963" s="48"/>
      <c r="CC963" s="48"/>
      <c r="CD963" s="48"/>
      <c r="CE963" s="48"/>
      <c r="CF963" s="52"/>
      <c r="CG963" s="52"/>
      <c r="CH963" s="48"/>
      <c r="CI963" s="48"/>
      <c r="CJ963" s="48"/>
      <c r="CK963" s="48"/>
    </row>
    <row r="964" spans="1:89" ht="15.75" customHeight="1" x14ac:dyDescent="0.3">
      <c r="A964" s="47"/>
      <c r="B964" s="48"/>
      <c r="C964" s="47"/>
      <c r="D964" s="48"/>
      <c r="E964" s="48"/>
      <c r="F964" s="48"/>
      <c r="G964" s="48"/>
      <c r="H964" s="48"/>
      <c r="I964" s="49"/>
      <c r="J964" s="47"/>
      <c r="K964" s="47"/>
      <c r="L964" s="47"/>
      <c r="M964" s="47"/>
      <c r="N964" s="47"/>
      <c r="O964" s="47"/>
      <c r="P964" s="47"/>
      <c r="Q964" s="47"/>
      <c r="R964" s="47"/>
      <c r="S964" s="50"/>
      <c r="T964" s="47"/>
      <c r="U964" s="47"/>
      <c r="V964" s="47"/>
      <c r="W964" s="51"/>
      <c r="X964" s="51"/>
      <c r="Y964" s="47"/>
      <c r="Z964" s="47"/>
      <c r="AA964" s="47"/>
      <c r="AB964" s="47"/>
      <c r="AC964" s="47"/>
      <c r="AD964" s="47"/>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47"/>
      <c r="BH964" s="48"/>
      <c r="BI964" s="48"/>
      <c r="BJ964" s="48"/>
      <c r="BK964" s="48"/>
      <c r="BL964" s="48"/>
      <c r="BM964" s="48"/>
      <c r="BN964" s="48"/>
      <c r="BO964" s="48"/>
      <c r="BP964" s="48"/>
      <c r="BQ964" s="48"/>
      <c r="BR964" s="48"/>
      <c r="BS964" s="48"/>
      <c r="BT964" s="48"/>
      <c r="BU964" s="48"/>
      <c r="BV964" s="48"/>
      <c r="BW964" s="48"/>
      <c r="BX964" s="48"/>
      <c r="BY964" s="48"/>
      <c r="BZ964" s="48"/>
      <c r="CA964" s="48"/>
      <c r="CB964" s="48"/>
      <c r="CC964" s="48"/>
      <c r="CD964" s="48"/>
      <c r="CE964" s="48"/>
      <c r="CF964" s="52"/>
      <c r="CG964" s="52"/>
      <c r="CH964" s="48"/>
      <c r="CI964" s="48"/>
      <c r="CJ964" s="48"/>
      <c r="CK964" s="48"/>
    </row>
    <row r="965" spans="1:89" ht="15.75" customHeight="1" x14ac:dyDescent="0.3">
      <c r="A965" s="47"/>
      <c r="B965" s="48"/>
      <c r="C965" s="47"/>
      <c r="D965" s="48"/>
      <c r="E965" s="48"/>
      <c r="F965" s="48"/>
      <c r="G965" s="48"/>
      <c r="H965" s="48"/>
      <c r="I965" s="49"/>
      <c r="J965" s="47"/>
      <c r="K965" s="47"/>
      <c r="L965" s="47"/>
      <c r="M965" s="47"/>
      <c r="N965" s="47"/>
      <c r="O965" s="47"/>
      <c r="P965" s="47"/>
      <c r="Q965" s="47"/>
      <c r="R965" s="47"/>
      <c r="S965" s="50"/>
      <c r="T965" s="47"/>
      <c r="U965" s="47"/>
      <c r="V965" s="47"/>
      <c r="W965" s="51"/>
      <c r="X965" s="51"/>
      <c r="Y965" s="47"/>
      <c r="Z965" s="47"/>
      <c r="AA965" s="47"/>
      <c r="AB965" s="47"/>
      <c r="AC965" s="47"/>
      <c r="AD965" s="47"/>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47"/>
      <c r="BH965" s="48"/>
      <c r="BI965" s="48"/>
      <c r="BJ965" s="48"/>
      <c r="BK965" s="48"/>
      <c r="BL965" s="48"/>
      <c r="BM965" s="48"/>
      <c r="BN965" s="48"/>
      <c r="BO965" s="48"/>
      <c r="BP965" s="48"/>
      <c r="BQ965" s="48"/>
      <c r="BR965" s="48"/>
      <c r="BS965" s="48"/>
      <c r="BT965" s="48"/>
      <c r="BU965" s="48"/>
      <c r="BV965" s="48"/>
      <c r="BW965" s="48"/>
      <c r="BX965" s="48"/>
      <c r="BY965" s="48"/>
      <c r="BZ965" s="48"/>
      <c r="CA965" s="48"/>
      <c r="CB965" s="48"/>
      <c r="CC965" s="48"/>
      <c r="CD965" s="48"/>
      <c r="CE965" s="48"/>
      <c r="CF965" s="52"/>
      <c r="CG965" s="52"/>
      <c r="CH965" s="48"/>
      <c r="CI965" s="48"/>
      <c r="CJ965" s="48"/>
      <c r="CK965" s="48"/>
    </row>
    <row r="966" spans="1:89" ht="15.75" customHeight="1" x14ac:dyDescent="0.3">
      <c r="A966" s="47"/>
      <c r="B966" s="48"/>
      <c r="C966" s="47"/>
      <c r="D966" s="48"/>
      <c r="E966" s="48"/>
      <c r="F966" s="48"/>
      <c r="G966" s="48"/>
      <c r="H966" s="48"/>
      <c r="I966" s="49"/>
      <c r="J966" s="47"/>
      <c r="K966" s="47"/>
      <c r="L966" s="47"/>
      <c r="M966" s="47"/>
      <c r="N966" s="47"/>
      <c r="O966" s="47"/>
      <c r="P966" s="47"/>
      <c r="Q966" s="47"/>
      <c r="R966" s="47"/>
      <c r="S966" s="50"/>
      <c r="T966" s="47"/>
      <c r="U966" s="47"/>
      <c r="V966" s="47"/>
      <c r="W966" s="51"/>
      <c r="X966" s="51"/>
      <c r="Y966" s="47"/>
      <c r="Z966" s="47"/>
      <c r="AA966" s="47"/>
      <c r="AB966" s="47"/>
      <c r="AC966" s="47"/>
      <c r="AD966" s="47"/>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47"/>
      <c r="BH966" s="48"/>
      <c r="BI966" s="48"/>
      <c r="BJ966" s="48"/>
      <c r="BK966" s="48"/>
      <c r="BL966" s="48"/>
      <c r="BM966" s="48"/>
      <c r="BN966" s="48"/>
      <c r="BO966" s="48"/>
      <c r="BP966" s="48"/>
      <c r="BQ966" s="48"/>
      <c r="BR966" s="48"/>
      <c r="BS966" s="48"/>
      <c r="BT966" s="48"/>
      <c r="BU966" s="48"/>
      <c r="BV966" s="48"/>
      <c r="BW966" s="48"/>
      <c r="BX966" s="48"/>
      <c r="BY966" s="48"/>
      <c r="BZ966" s="48"/>
      <c r="CA966" s="48"/>
      <c r="CB966" s="48"/>
      <c r="CC966" s="48"/>
      <c r="CD966" s="48"/>
      <c r="CE966" s="48"/>
      <c r="CF966" s="52"/>
      <c r="CG966" s="52"/>
      <c r="CH966" s="48"/>
      <c r="CI966" s="48"/>
      <c r="CJ966" s="48"/>
      <c r="CK966" s="48"/>
    </row>
    <row r="967" spans="1:89" ht="15.75" customHeight="1" x14ac:dyDescent="0.3">
      <c r="A967" s="47"/>
      <c r="B967" s="48"/>
      <c r="C967" s="47"/>
      <c r="D967" s="48"/>
      <c r="E967" s="48"/>
      <c r="F967" s="48"/>
      <c r="G967" s="48"/>
      <c r="H967" s="48"/>
      <c r="I967" s="49"/>
      <c r="J967" s="47"/>
      <c r="K967" s="47"/>
      <c r="L967" s="47"/>
      <c r="M967" s="47"/>
      <c r="N967" s="47"/>
      <c r="O967" s="47"/>
      <c r="P967" s="47"/>
      <c r="Q967" s="47"/>
      <c r="R967" s="47"/>
      <c r="S967" s="50"/>
      <c r="T967" s="47"/>
      <c r="U967" s="47"/>
      <c r="V967" s="47"/>
      <c r="W967" s="51"/>
      <c r="X967" s="51"/>
      <c r="Y967" s="47"/>
      <c r="Z967" s="47"/>
      <c r="AA967" s="47"/>
      <c r="AB967" s="47"/>
      <c r="AC967" s="47"/>
      <c r="AD967" s="47"/>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47"/>
      <c r="BH967" s="48"/>
      <c r="BI967" s="48"/>
      <c r="BJ967" s="48"/>
      <c r="BK967" s="48"/>
      <c r="BL967" s="48"/>
      <c r="BM967" s="48"/>
      <c r="BN967" s="48"/>
      <c r="BO967" s="48"/>
      <c r="BP967" s="48"/>
      <c r="BQ967" s="48"/>
      <c r="BR967" s="48"/>
      <c r="BS967" s="48"/>
      <c r="BT967" s="48"/>
      <c r="BU967" s="48"/>
      <c r="BV967" s="48"/>
      <c r="BW967" s="48"/>
      <c r="BX967" s="48"/>
      <c r="BY967" s="48"/>
      <c r="BZ967" s="48"/>
      <c r="CA967" s="48"/>
      <c r="CB967" s="48"/>
      <c r="CC967" s="48"/>
      <c r="CD967" s="48"/>
      <c r="CE967" s="48"/>
      <c r="CF967" s="52"/>
      <c r="CG967" s="52"/>
      <c r="CH967" s="48"/>
      <c r="CI967" s="48"/>
      <c r="CJ967" s="48"/>
      <c r="CK967" s="48"/>
    </row>
    <row r="968" spans="1:89" ht="15.75" customHeight="1" x14ac:dyDescent="0.3">
      <c r="A968" s="47"/>
      <c r="B968" s="48"/>
      <c r="C968" s="47"/>
      <c r="D968" s="48"/>
      <c r="E968" s="48"/>
      <c r="F968" s="48"/>
      <c r="G968" s="48"/>
      <c r="H968" s="48"/>
      <c r="I968" s="49"/>
      <c r="J968" s="47"/>
      <c r="K968" s="47"/>
      <c r="L968" s="47"/>
      <c r="M968" s="47"/>
      <c r="N968" s="47"/>
      <c r="O968" s="47"/>
      <c r="P968" s="47"/>
      <c r="Q968" s="47"/>
      <c r="R968" s="47"/>
      <c r="S968" s="50"/>
      <c r="T968" s="47"/>
      <c r="U968" s="47"/>
      <c r="V968" s="47"/>
      <c r="W968" s="51"/>
      <c r="X968" s="51"/>
      <c r="Y968" s="47"/>
      <c r="Z968" s="47"/>
      <c r="AA968" s="47"/>
      <c r="AB968" s="47"/>
      <c r="AC968" s="47"/>
      <c r="AD968" s="47"/>
      <c r="AE968" s="54"/>
      <c r="AF968" s="54"/>
      <c r="AG968" s="54"/>
      <c r="AH968" s="54"/>
      <c r="AI968" s="54"/>
      <c r="AJ968" s="54"/>
      <c r="AK968" s="54"/>
      <c r="AL968" s="54"/>
      <c r="AM968" s="54"/>
      <c r="AN968" s="54"/>
      <c r="AO968" s="54"/>
      <c r="AP968" s="54"/>
      <c r="AQ968" s="54"/>
      <c r="AR968" s="54"/>
      <c r="AS968" s="54"/>
      <c r="AT968" s="54"/>
      <c r="AU968" s="54"/>
      <c r="AV968" s="54"/>
      <c r="AW968" s="54"/>
      <c r="AX968" s="54"/>
      <c r="AY968" s="54"/>
      <c r="AZ968" s="54"/>
      <c r="BA968" s="54"/>
      <c r="BB968" s="54"/>
      <c r="BC968" s="51"/>
      <c r="BD968" s="51"/>
      <c r="BE968" s="54"/>
      <c r="BF968" s="54"/>
      <c r="BG968" s="47"/>
      <c r="BH968" s="48"/>
      <c r="BI968" s="48"/>
      <c r="BJ968" s="48"/>
      <c r="BK968" s="48"/>
      <c r="BL968" s="48"/>
      <c r="BM968" s="48"/>
      <c r="BN968" s="48"/>
      <c r="BO968" s="48"/>
      <c r="BP968" s="48"/>
      <c r="BQ968" s="48"/>
      <c r="BR968" s="48"/>
      <c r="BS968" s="48"/>
      <c r="BT968" s="48"/>
      <c r="BU968" s="48"/>
      <c r="BV968" s="48"/>
      <c r="BW968" s="48"/>
      <c r="BX968" s="48"/>
      <c r="BY968" s="48"/>
      <c r="BZ968" s="48"/>
      <c r="CA968" s="48"/>
      <c r="CB968" s="48"/>
      <c r="CC968" s="48"/>
      <c r="CD968" s="48"/>
      <c r="CE968" s="48"/>
      <c r="CF968" s="52"/>
      <c r="CG968" s="52"/>
      <c r="CH968" s="48"/>
      <c r="CI968" s="48"/>
      <c r="CJ968" s="48"/>
      <c r="CK968" s="48"/>
    </row>
    <row r="969" spans="1:89" ht="15.75" customHeight="1" x14ac:dyDescent="0.3">
      <c r="A969" s="47"/>
      <c r="B969" s="48"/>
      <c r="C969" s="47"/>
      <c r="D969" s="48"/>
      <c r="E969" s="48"/>
      <c r="F969" s="48"/>
      <c r="G969" s="48"/>
      <c r="H969" s="48"/>
      <c r="I969" s="49"/>
      <c r="J969" s="47"/>
      <c r="K969" s="47"/>
      <c r="L969" s="47"/>
      <c r="M969" s="47"/>
      <c r="N969" s="47"/>
      <c r="O969" s="47"/>
      <c r="P969" s="47"/>
      <c r="Q969" s="47"/>
      <c r="R969" s="47"/>
      <c r="S969" s="50"/>
      <c r="T969" s="47"/>
      <c r="U969" s="47"/>
      <c r="V969" s="47"/>
      <c r="W969" s="51"/>
      <c r="X969" s="51"/>
      <c r="Y969" s="47"/>
      <c r="Z969" s="47"/>
      <c r="AA969" s="47"/>
      <c r="AB969" s="47"/>
      <c r="AC969" s="47"/>
      <c r="AD969" s="47"/>
      <c r="AE969" s="54"/>
      <c r="AF969" s="54"/>
      <c r="AG969" s="54"/>
      <c r="AH969" s="54"/>
      <c r="AI969" s="54"/>
      <c r="AJ969" s="54"/>
      <c r="AK969" s="54"/>
      <c r="AL969" s="54"/>
      <c r="AM969" s="54"/>
      <c r="AN969" s="54"/>
      <c r="AO969" s="54"/>
      <c r="AP969" s="54"/>
      <c r="AQ969" s="54"/>
      <c r="AR969" s="54"/>
      <c r="AS969" s="54"/>
      <c r="AT969" s="54"/>
      <c r="AU969" s="54"/>
      <c r="AV969" s="54"/>
      <c r="AW969" s="54"/>
      <c r="AX969" s="54"/>
      <c r="AY969" s="54"/>
      <c r="AZ969" s="54"/>
      <c r="BA969" s="54"/>
      <c r="BB969" s="54"/>
      <c r="BC969" s="51"/>
      <c r="BD969" s="51"/>
      <c r="BE969" s="54"/>
      <c r="BF969" s="54"/>
      <c r="BG969" s="47"/>
      <c r="BH969" s="48"/>
      <c r="BI969" s="48"/>
      <c r="BJ969" s="48"/>
      <c r="BK969" s="48"/>
      <c r="BL969" s="48"/>
      <c r="BM969" s="48"/>
      <c r="BN969" s="48"/>
      <c r="BO969" s="48"/>
      <c r="BP969" s="48"/>
      <c r="BQ969" s="48"/>
      <c r="BR969" s="48"/>
      <c r="BS969" s="48"/>
      <c r="BT969" s="48"/>
      <c r="BU969" s="48"/>
      <c r="BV969" s="48"/>
      <c r="BW969" s="48"/>
      <c r="BX969" s="48"/>
      <c r="BY969" s="48"/>
      <c r="BZ969" s="48"/>
      <c r="CA969" s="48"/>
      <c r="CB969" s="48"/>
      <c r="CC969" s="48"/>
      <c r="CD969" s="48"/>
      <c r="CE969" s="48"/>
      <c r="CF969" s="52"/>
      <c r="CG969" s="52"/>
      <c r="CH969" s="48"/>
      <c r="CI969" s="48"/>
      <c r="CJ969" s="48"/>
      <c r="CK969" s="48"/>
    </row>
    <row r="970" spans="1:89" ht="15.75" customHeight="1" x14ac:dyDescent="0.3">
      <c r="A970" s="47"/>
      <c r="B970" s="48"/>
      <c r="C970" s="47"/>
      <c r="D970" s="48"/>
      <c r="E970" s="48"/>
      <c r="F970" s="48"/>
      <c r="G970" s="48"/>
      <c r="H970" s="48"/>
      <c r="I970" s="49"/>
      <c r="J970" s="47"/>
      <c r="K970" s="47"/>
      <c r="L970" s="47"/>
      <c r="M970" s="47"/>
      <c r="N970" s="47"/>
      <c r="O970" s="47"/>
      <c r="P970" s="47"/>
      <c r="Q970" s="47"/>
      <c r="R970" s="47"/>
      <c r="S970" s="50"/>
      <c r="T970" s="47"/>
      <c r="U970" s="47"/>
      <c r="V970" s="47"/>
      <c r="W970" s="51"/>
      <c r="X970" s="51"/>
      <c r="Y970" s="47"/>
      <c r="Z970" s="47"/>
      <c r="AA970" s="47"/>
      <c r="AB970" s="47"/>
      <c r="AC970" s="47"/>
      <c r="AD970" s="47"/>
      <c r="AE970" s="54"/>
      <c r="AF970" s="54"/>
      <c r="AG970" s="54"/>
      <c r="AH970" s="54"/>
      <c r="AI970" s="54"/>
      <c r="AJ970" s="54"/>
      <c r="AK970" s="54"/>
      <c r="AL970" s="54"/>
      <c r="AM970" s="54"/>
      <c r="AN970" s="54"/>
      <c r="AO970" s="54"/>
      <c r="AP970" s="54"/>
      <c r="AQ970" s="54"/>
      <c r="AR970" s="54"/>
      <c r="AS970" s="54"/>
      <c r="AT970" s="54"/>
      <c r="AU970" s="54"/>
      <c r="AV970" s="54"/>
      <c r="AW970" s="54"/>
      <c r="AX970" s="54"/>
      <c r="AY970" s="54"/>
      <c r="AZ970" s="54"/>
      <c r="BA970" s="54"/>
      <c r="BB970" s="54"/>
      <c r="BC970" s="51"/>
      <c r="BD970" s="51"/>
      <c r="BE970" s="54"/>
      <c r="BF970" s="54"/>
      <c r="BG970" s="47"/>
      <c r="BH970" s="48"/>
      <c r="BI970" s="48"/>
      <c r="BJ970" s="48"/>
      <c r="BK970" s="48"/>
      <c r="BL970" s="48"/>
      <c r="BM970" s="48"/>
      <c r="BN970" s="48"/>
      <c r="BO970" s="48"/>
      <c r="BP970" s="48"/>
      <c r="BQ970" s="48"/>
      <c r="BR970" s="48"/>
      <c r="BS970" s="48"/>
      <c r="BT970" s="48"/>
      <c r="BU970" s="48"/>
      <c r="BV970" s="48"/>
      <c r="BW970" s="48"/>
      <c r="BX970" s="48"/>
      <c r="BY970" s="48"/>
      <c r="BZ970" s="48"/>
      <c r="CA970" s="48"/>
      <c r="CB970" s="48"/>
      <c r="CC970" s="48"/>
      <c r="CD970" s="48"/>
      <c r="CE970" s="48"/>
      <c r="CF970" s="52"/>
      <c r="CG970" s="52"/>
      <c r="CH970" s="48"/>
      <c r="CI970" s="48"/>
      <c r="CJ970" s="48"/>
      <c r="CK970" s="48"/>
    </row>
    <row r="971" spans="1:89" ht="15.75" customHeight="1" x14ac:dyDescent="0.3">
      <c r="A971" s="47"/>
      <c r="B971" s="48"/>
      <c r="C971" s="47"/>
      <c r="D971" s="48"/>
      <c r="E971" s="48"/>
      <c r="F971" s="48"/>
      <c r="G971" s="48"/>
      <c r="H971" s="48"/>
      <c r="I971" s="49"/>
      <c r="J971" s="47"/>
      <c r="K971" s="47"/>
      <c r="L971" s="47"/>
      <c r="M971" s="47"/>
      <c r="N971" s="47"/>
      <c r="O971" s="47"/>
      <c r="P971" s="47"/>
      <c r="Q971" s="47"/>
      <c r="R971" s="47"/>
      <c r="S971" s="50"/>
      <c r="T971" s="47"/>
      <c r="U971" s="47"/>
      <c r="V971" s="47"/>
      <c r="W971" s="51"/>
      <c r="X971" s="51"/>
      <c r="Y971" s="47"/>
      <c r="Z971" s="47"/>
      <c r="AA971" s="47"/>
      <c r="AB971" s="47"/>
      <c r="AC971" s="47"/>
      <c r="AD971" s="47"/>
      <c r="AE971" s="54"/>
      <c r="AF971" s="54"/>
      <c r="AG971" s="54"/>
      <c r="AH971" s="54"/>
      <c r="AI971" s="54"/>
      <c r="AJ971" s="54"/>
      <c r="AK971" s="54"/>
      <c r="AL971" s="54"/>
      <c r="AM971" s="54"/>
      <c r="AN971" s="54"/>
      <c r="AO971" s="54"/>
      <c r="AP971" s="54"/>
      <c r="AQ971" s="54"/>
      <c r="AR971" s="54"/>
      <c r="AS971" s="54"/>
      <c r="AT971" s="54"/>
      <c r="AU971" s="54"/>
      <c r="AV971" s="54"/>
      <c r="AW971" s="54"/>
      <c r="AX971" s="54"/>
      <c r="AY971" s="54"/>
      <c r="AZ971" s="54"/>
      <c r="BA971" s="54"/>
      <c r="BB971" s="54"/>
      <c r="BC971" s="51"/>
      <c r="BD971" s="51"/>
      <c r="BE971" s="54"/>
      <c r="BF971" s="54"/>
      <c r="BG971" s="47"/>
      <c r="BH971" s="48"/>
      <c r="BI971" s="48"/>
      <c r="BJ971" s="48"/>
      <c r="BK971" s="48"/>
      <c r="BL971" s="48"/>
      <c r="BM971" s="48"/>
      <c r="BN971" s="48"/>
      <c r="BO971" s="48"/>
      <c r="BP971" s="48"/>
      <c r="BQ971" s="48"/>
      <c r="BR971" s="48"/>
      <c r="BS971" s="48"/>
      <c r="BT971" s="48"/>
      <c r="BU971" s="48"/>
      <c r="BV971" s="48"/>
      <c r="BW971" s="48"/>
      <c r="BX971" s="48"/>
      <c r="BY971" s="48"/>
      <c r="BZ971" s="48"/>
      <c r="CA971" s="48"/>
      <c r="CB971" s="48"/>
      <c r="CC971" s="48"/>
      <c r="CD971" s="48"/>
      <c r="CE971" s="48"/>
      <c r="CF971" s="52"/>
      <c r="CG971" s="52"/>
      <c r="CH971" s="48"/>
      <c r="CI971" s="48"/>
      <c r="CJ971" s="48"/>
      <c r="CK971" s="48"/>
    </row>
    <row r="972" spans="1:89" ht="15.75" customHeight="1" x14ac:dyDescent="0.3">
      <c r="A972" s="47"/>
      <c r="B972" s="48"/>
      <c r="C972" s="47"/>
      <c r="D972" s="48"/>
      <c r="E972" s="48"/>
      <c r="F972" s="48"/>
      <c r="G972" s="48"/>
      <c r="H972" s="48"/>
      <c r="I972" s="49"/>
      <c r="J972" s="47"/>
      <c r="K972" s="47"/>
      <c r="L972" s="47"/>
      <c r="M972" s="47"/>
      <c r="N972" s="47"/>
      <c r="O972" s="47"/>
      <c r="P972" s="47"/>
      <c r="Q972" s="47"/>
      <c r="R972" s="47"/>
      <c r="S972" s="50"/>
      <c r="T972" s="47"/>
      <c r="U972" s="47"/>
      <c r="V972" s="47"/>
      <c r="W972" s="51"/>
      <c r="X972" s="51"/>
      <c r="Y972" s="47"/>
      <c r="Z972" s="47"/>
      <c r="AA972" s="47"/>
      <c r="AB972" s="47"/>
      <c r="AC972" s="47"/>
      <c r="AD972" s="47"/>
      <c r="AE972" s="54"/>
      <c r="AF972" s="54"/>
      <c r="AG972" s="54"/>
      <c r="AH972" s="54"/>
      <c r="AI972" s="54"/>
      <c r="AJ972" s="54"/>
      <c r="AK972" s="54"/>
      <c r="AL972" s="54"/>
      <c r="AM972" s="54"/>
      <c r="AN972" s="54"/>
      <c r="AO972" s="54"/>
      <c r="AP972" s="54"/>
      <c r="AQ972" s="54"/>
      <c r="AR972" s="54"/>
      <c r="AS972" s="54"/>
      <c r="AT972" s="54"/>
      <c r="AU972" s="54"/>
      <c r="AV972" s="54"/>
      <c r="AW972" s="54"/>
      <c r="AX972" s="54"/>
      <c r="AY972" s="54"/>
      <c r="AZ972" s="54"/>
      <c r="BA972" s="54"/>
      <c r="BB972" s="54"/>
      <c r="BC972" s="51"/>
      <c r="BD972" s="51"/>
      <c r="BE972" s="54"/>
      <c r="BF972" s="54"/>
      <c r="BG972" s="47"/>
      <c r="BH972" s="48"/>
      <c r="BI972" s="48"/>
      <c r="BJ972" s="48"/>
      <c r="BK972" s="48"/>
      <c r="BL972" s="48"/>
      <c r="BM972" s="48"/>
      <c r="BN972" s="48"/>
      <c r="BO972" s="48"/>
      <c r="BP972" s="48"/>
      <c r="BQ972" s="48"/>
      <c r="BR972" s="48"/>
      <c r="BS972" s="48"/>
      <c r="BT972" s="48"/>
      <c r="BU972" s="48"/>
      <c r="BV972" s="48"/>
      <c r="BW972" s="48"/>
      <c r="BX972" s="48"/>
      <c r="BY972" s="48"/>
      <c r="BZ972" s="48"/>
      <c r="CA972" s="48"/>
      <c r="CB972" s="48"/>
      <c r="CC972" s="48"/>
      <c r="CD972" s="48"/>
      <c r="CE972" s="48"/>
      <c r="CF972" s="52"/>
      <c r="CG972" s="52"/>
      <c r="CH972" s="48"/>
      <c r="CI972" s="48"/>
      <c r="CJ972" s="48"/>
      <c r="CK972" s="48"/>
    </row>
    <row r="973" spans="1:89" ht="15.75" customHeight="1" x14ac:dyDescent="0.3">
      <c r="A973" s="47"/>
      <c r="B973" s="48"/>
      <c r="C973" s="47"/>
      <c r="D973" s="48"/>
      <c r="E973" s="48"/>
      <c r="F973" s="48"/>
      <c r="G973" s="48"/>
      <c r="H973" s="48"/>
      <c r="I973" s="49"/>
      <c r="J973" s="47"/>
      <c r="K973" s="47"/>
      <c r="L973" s="47"/>
      <c r="M973" s="47"/>
      <c r="N973" s="47"/>
      <c r="O973" s="47"/>
      <c r="P973" s="47"/>
      <c r="Q973" s="47"/>
      <c r="R973" s="47"/>
      <c r="S973" s="50"/>
      <c r="T973" s="47"/>
      <c r="U973" s="47"/>
      <c r="V973" s="47"/>
      <c r="W973" s="51"/>
      <c r="X973" s="51"/>
      <c r="Y973" s="47"/>
      <c r="Z973" s="47"/>
      <c r="AA973" s="47"/>
      <c r="AB973" s="47"/>
      <c r="AC973" s="47"/>
      <c r="AD973" s="47"/>
      <c r="AE973" s="54"/>
      <c r="AF973" s="54"/>
      <c r="AG973" s="54"/>
      <c r="AH973" s="54"/>
      <c r="AI973" s="54"/>
      <c r="AJ973" s="54"/>
      <c r="AK973" s="54"/>
      <c r="AL973" s="54"/>
      <c r="AM973" s="54"/>
      <c r="AN973" s="54"/>
      <c r="AO973" s="54"/>
      <c r="AP973" s="54"/>
      <c r="AQ973" s="54"/>
      <c r="AR973" s="54"/>
      <c r="AS973" s="54"/>
      <c r="AT973" s="54"/>
      <c r="AU973" s="54"/>
      <c r="AV973" s="54"/>
      <c r="AW973" s="54"/>
      <c r="AX973" s="54"/>
      <c r="AY973" s="54"/>
      <c r="AZ973" s="54"/>
      <c r="BA973" s="54"/>
      <c r="BB973" s="54"/>
      <c r="BC973" s="51"/>
      <c r="BD973" s="51"/>
      <c r="BE973" s="54"/>
      <c r="BF973" s="54"/>
      <c r="BG973" s="47"/>
      <c r="BH973" s="48"/>
      <c r="BI973" s="48"/>
      <c r="BJ973" s="48"/>
      <c r="BK973" s="48"/>
      <c r="BL973" s="48"/>
      <c r="BM973" s="48"/>
      <c r="BN973" s="48"/>
      <c r="BO973" s="48"/>
      <c r="BP973" s="48"/>
      <c r="BQ973" s="48"/>
      <c r="BR973" s="48"/>
      <c r="BS973" s="48"/>
      <c r="BT973" s="48"/>
      <c r="BU973" s="48"/>
      <c r="BV973" s="48"/>
      <c r="BW973" s="48"/>
      <c r="BX973" s="48"/>
      <c r="BY973" s="48"/>
      <c r="BZ973" s="48"/>
      <c r="CA973" s="48"/>
      <c r="CB973" s="48"/>
      <c r="CC973" s="48"/>
      <c r="CD973" s="48"/>
      <c r="CE973" s="48"/>
      <c r="CF973" s="52"/>
      <c r="CG973" s="52"/>
      <c r="CH973" s="48"/>
      <c r="CI973" s="48"/>
      <c r="CJ973" s="48"/>
      <c r="CK973" s="48"/>
    </row>
    <row r="974" spans="1:89" ht="15.75" customHeight="1" x14ac:dyDescent="0.3">
      <c r="A974" s="47"/>
      <c r="B974" s="48"/>
      <c r="C974" s="47"/>
      <c r="D974" s="48"/>
      <c r="E974" s="48"/>
      <c r="F974" s="48"/>
      <c r="G974" s="48"/>
      <c r="H974" s="48"/>
      <c r="I974" s="49"/>
      <c r="J974" s="47"/>
      <c r="K974" s="47"/>
      <c r="L974" s="47"/>
      <c r="M974" s="47"/>
      <c r="N974" s="47"/>
      <c r="O974" s="47"/>
      <c r="P974" s="47"/>
      <c r="Q974" s="47"/>
      <c r="R974" s="47"/>
      <c r="S974" s="50"/>
      <c r="T974" s="47"/>
      <c r="U974" s="47"/>
      <c r="V974" s="47"/>
      <c r="W974" s="51"/>
      <c r="X974" s="51"/>
      <c r="Y974" s="47"/>
      <c r="Z974" s="47"/>
      <c r="AA974" s="47"/>
      <c r="AB974" s="47"/>
      <c r="AC974" s="47"/>
      <c r="AD974" s="47"/>
      <c r="AE974" s="54"/>
      <c r="AF974" s="54"/>
      <c r="AG974" s="54"/>
      <c r="AH974" s="54"/>
      <c r="AI974" s="54"/>
      <c r="AJ974" s="54"/>
      <c r="AK974" s="54"/>
      <c r="AL974" s="54"/>
      <c r="AM974" s="54"/>
      <c r="AN974" s="54"/>
      <c r="AO974" s="54"/>
      <c r="AP974" s="54"/>
      <c r="AQ974" s="54"/>
      <c r="AR974" s="54"/>
      <c r="AS974" s="54"/>
      <c r="AT974" s="54"/>
      <c r="AU974" s="54"/>
      <c r="AV974" s="54"/>
      <c r="AW974" s="54"/>
      <c r="AX974" s="54"/>
      <c r="AY974" s="54"/>
      <c r="AZ974" s="54"/>
      <c r="BA974" s="54"/>
      <c r="BB974" s="54"/>
      <c r="BC974" s="51"/>
      <c r="BD974" s="51"/>
      <c r="BE974" s="54"/>
      <c r="BF974" s="54"/>
      <c r="BG974" s="47"/>
      <c r="BH974" s="48"/>
      <c r="BI974" s="48"/>
      <c r="BJ974" s="48"/>
      <c r="BK974" s="48"/>
      <c r="BL974" s="48"/>
      <c r="BM974" s="48"/>
      <c r="BN974" s="48"/>
      <c r="BO974" s="48"/>
      <c r="BP974" s="48"/>
      <c r="BQ974" s="48"/>
      <c r="BR974" s="48"/>
      <c r="BS974" s="48"/>
      <c r="BT974" s="48"/>
      <c r="BU974" s="48"/>
      <c r="BV974" s="48"/>
      <c r="BW974" s="48"/>
      <c r="BX974" s="48"/>
      <c r="BY974" s="48"/>
      <c r="BZ974" s="48"/>
      <c r="CA974" s="48"/>
      <c r="CB974" s="48"/>
      <c r="CC974" s="48"/>
      <c r="CD974" s="48"/>
      <c r="CE974" s="48"/>
      <c r="CF974" s="52"/>
      <c r="CG974" s="52"/>
      <c r="CH974" s="48"/>
      <c r="CI974" s="48"/>
      <c r="CJ974" s="48"/>
      <c r="CK974" s="48"/>
    </row>
    <row r="975" spans="1:89" ht="15.75" customHeight="1" x14ac:dyDescent="0.3">
      <c r="A975" s="47"/>
      <c r="B975" s="48"/>
      <c r="C975" s="47"/>
      <c r="D975" s="48"/>
      <c r="E975" s="48"/>
      <c r="F975" s="48"/>
      <c r="G975" s="48"/>
      <c r="H975" s="48"/>
      <c r="I975" s="49"/>
      <c r="J975" s="47"/>
      <c r="K975" s="47"/>
      <c r="L975" s="47"/>
      <c r="M975" s="47"/>
      <c r="N975" s="47"/>
      <c r="O975" s="47"/>
      <c r="P975" s="47"/>
      <c r="Q975" s="47"/>
      <c r="R975" s="47"/>
      <c r="S975" s="50"/>
      <c r="T975" s="47"/>
      <c r="U975" s="47"/>
      <c r="V975" s="47"/>
      <c r="W975" s="51"/>
      <c r="X975" s="51"/>
      <c r="Y975" s="47"/>
      <c r="Z975" s="47"/>
      <c r="AA975" s="47"/>
      <c r="AB975" s="47"/>
      <c r="AC975" s="47"/>
      <c r="AD975" s="47"/>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1"/>
      <c r="BD975" s="51"/>
      <c r="BE975" s="54"/>
      <c r="BF975" s="54"/>
      <c r="BG975" s="47"/>
      <c r="BH975" s="48"/>
      <c r="BI975" s="48"/>
      <c r="BJ975" s="48"/>
      <c r="BK975" s="48"/>
      <c r="BL975" s="48"/>
      <c r="BM975" s="48"/>
      <c r="BN975" s="48"/>
      <c r="BO975" s="48"/>
      <c r="BP975" s="48"/>
      <c r="BQ975" s="48"/>
      <c r="BR975" s="48"/>
      <c r="BS975" s="48"/>
      <c r="BT975" s="48"/>
      <c r="BU975" s="48"/>
      <c r="BV975" s="48"/>
      <c r="BW975" s="48"/>
      <c r="BX975" s="48"/>
      <c r="BY975" s="48"/>
      <c r="BZ975" s="48"/>
      <c r="CA975" s="48"/>
      <c r="CB975" s="48"/>
      <c r="CC975" s="48"/>
      <c r="CD975" s="48"/>
      <c r="CE975" s="48"/>
      <c r="CF975" s="52"/>
      <c r="CG975" s="52"/>
      <c r="CH975" s="48"/>
      <c r="CI975" s="48"/>
      <c r="CJ975" s="48"/>
      <c r="CK975" s="48"/>
    </row>
    <row r="976" spans="1:89" ht="15.75" customHeight="1" x14ac:dyDescent="0.3">
      <c r="A976" s="47"/>
      <c r="B976" s="48"/>
      <c r="C976" s="47"/>
      <c r="D976" s="48"/>
      <c r="E976" s="48"/>
      <c r="F976" s="48"/>
      <c r="G976" s="48"/>
      <c r="H976" s="48"/>
      <c r="I976" s="49"/>
      <c r="J976" s="47"/>
      <c r="K976" s="47"/>
      <c r="L976" s="47"/>
      <c r="M976" s="47"/>
      <c r="N976" s="47"/>
      <c r="O976" s="47"/>
      <c r="P976" s="47"/>
      <c r="Q976" s="47"/>
      <c r="R976" s="47"/>
      <c r="S976" s="50"/>
      <c r="T976" s="47"/>
      <c r="U976" s="47"/>
      <c r="V976" s="47"/>
      <c r="W976" s="51"/>
      <c r="X976" s="51"/>
      <c r="Y976" s="47"/>
      <c r="Z976" s="47"/>
      <c r="AA976" s="47"/>
      <c r="AB976" s="47"/>
      <c r="AC976" s="47"/>
      <c r="AD976" s="47"/>
      <c r="AE976" s="54"/>
      <c r="AF976" s="54"/>
      <c r="AG976" s="54"/>
      <c r="AH976" s="54"/>
      <c r="AI976" s="54"/>
      <c r="AJ976" s="54"/>
      <c r="AK976" s="54"/>
      <c r="AL976" s="54"/>
      <c r="AM976" s="54"/>
      <c r="AN976" s="54"/>
      <c r="AO976" s="54"/>
      <c r="AP976" s="54"/>
      <c r="AQ976" s="54"/>
      <c r="AR976" s="54"/>
      <c r="AS976" s="54"/>
      <c r="AT976" s="54"/>
      <c r="AU976" s="54"/>
      <c r="AV976" s="54"/>
      <c r="AW976" s="54"/>
      <c r="AX976" s="54"/>
      <c r="AY976" s="54"/>
      <c r="AZ976" s="54"/>
      <c r="BA976" s="54"/>
      <c r="BB976" s="54"/>
      <c r="BC976" s="51"/>
      <c r="BD976" s="51"/>
      <c r="BE976" s="54"/>
      <c r="BF976" s="54"/>
      <c r="BG976" s="47"/>
      <c r="BH976" s="48"/>
      <c r="BI976" s="48"/>
      <c r="BJ976" s="48"/>
      <c r="BK976" s="48"/>
      <c r="BL976" s="48"/>
      <c r="BM976" s="48"/>
      <c r="BN976" s="48"/>
      <c r="BO976" s="48"/>
      <c r="BP976" s="48"/>
      <c r="BQ976" s="48"/>
      <c r="BR976" s="48"/>
      <c r="BS976" s="48"/>
      <c r="BT976" s="48"/>
      <c r="BU976" s="48"/>
      <c r="BV976" s="48"/>
      <c r="BW976" s="48"/>
      <c r="BX976" s="48"/>
      <c r="BY976" s="48"/>
      <c r="BZ976" s="48"/>
      <c r="CA976" s="48"/>
      <c r="CB976" s="48"/>
      <c r="CC976" s="48"/>
      <c r="CD976" s="48"/>
      <c r="CE976" s="48"/>
      <c r="CF976" s="52"/>
      <c r="CG976" s="52"/>
      <c r="CH976" s="48"/>
      <c r="CI976" s="48"/>
      <c r="CJ976" s="48"/>
      <c r="CK976" s="48"/>
    </row>
    <row r="977" spans="1:89" ht="15.75" customHeight="1" x14ac:dyDescent="0.3">
      <c r="A977" s="47"/>
      <c r="B977" s="48"/>
      <c r="C977" s="47"/>
      <c r="D977" s="48"/>
      <c r="E977" s="48"/>
      <c r="F977" s="48"/>
      <c r="G977" s="48"/>
      <c r="H977" s="48"/>
      <c r="I977" s="49"/>
      <c r="J977" s="47"/>
      <c r="K977" s="47"/>
      <c r="L977" s="47"/>
      <c r="M977" s="47"/>
      <c r="N977" s="47"/>
      <c r="O977" s="47"/>
      <c r="P977" s="47"/>
      <c r="Q977" s="47"/>
      <c r="R977" s="47"/>
      <c r="S977" s="50"/>
      <c r="T977" s="47"/>
      <c r="U977" s="47"/>
      <c r="V977" s="47"/>
      <c r="W977" s="51"/>
      <c r="X977" s="51"/>
      <c r="Y977" s="47"/>
      <c r="Z977" s="47"/>
      <c r="AA977" s="47"/>
      <c r="AB977" s="47"/>
      <c r="AC977" s="47"/>
      <c r="AD977" s="47"/>
      <c r="AE977" s="54"/>
      <c r="AF977" s="54"/>
      <c r="AG977" s="54"/>
      <c r="AH977" s="54"/>
      <c r="AI977" s="54"/>
      <c r="AJ977" s="54"/>
      <c r="AK977" s="54"/>
      <c r="AL977" s="54"/>
      <c r="AM977" s="54"/>
      <c r="AN977" s="54"/>
      <c r="AO977" s="54"/>
      <c r="AP977" s="54"/>
      <c r="AQ977" s="54"/>
      <c r="AR977" s="54"/>
      <c r="AS977" s="54"/>
      <c r="AT977" s="54"/>
      <c r="AU977" s="54"/>
      <c r="AV977" s="54"/>
      <c r="AW977" s="54"/>
      <c r="AX977" s="54"/>
      <c r="AY977" s="54"/>
      <c r="AZ977" s="54"/>
      <c r="BA977" s="54"/>
      <c r="BB977" s="54"/>
      <c r="BC977" s="51"/>
      <c r="BD977" s="51"/>
      <c r="BE977" s="54"/>
      <c r="BF977" s="54"/>
      <c r="BG977" s="47"/>
      <c r="BH977" s="48"/>
      <c r="BI977" s="48"/>
      <c r="BJ977" s="48"/>
      <c r="BK977" s="48"/>
      <c r="BL977" s="48"/>
      <c r="BM977" s="48"/>
      <c r="BN977" s="48"/>
      <c r="BO977" s="48"/>
      <c r="BP977" s="48"/>
      <c r="BQ977" s="48"/>
      <c r="BR977" s="48"/>
      <c r="BS977" s="48"/>
      <c r="BT977" s="48"/>
      <c r="BU977" s="48"/>
      <c r="BV977" s="48"/>
      <c r="BW977" s="48"/>
      <c r="BX977" s="48"/>
      <c r="BY977" s="48"/>
      <c r="BZ977" s="48"/>
      <c r="CA977" s="48"/>
      <c r="CB977" s="48"/>
      <c r="CC977" s="48"/>
      <c r="CD977" s="48"/>
      <c r="CE977" s="48"/>
      <c r="CF977" s="52"/>
      <c r="CG977" s="52"/>
      <c r="CH977" s="48"/>
      <c r="CI977" s="48"/>
      <c r="CJ977" s="48"/>
      <c r="CK977" s="48"/>
    </row>
    <row r="978" spans="1:89" ht="15.75" customHeight="1" x14ac:dyDescent="0.3">
      <c r="A978" s="47"/>
      <c r="B978" s="48"/>
      <c r="C978" s="47"/>
      <c r="D978" s="48"/>
      <c r="E978" s="48"/>
      <c r="F978" s="48"/>
      <c r="G978" s="48"/>
      <c r="H978" s="48"/>
      <c r="I978" s="49"/>
      <c r="J978" s="47"/>
      <c r="K978" s="47"/>
      <c r="L978" s="47"/>
      <c r="M978" s="47"/>
      <c r="N978" s="47"/>
      <c r="O978" s="47"/>
      <c r="P978" s="47"/>
      <c r="Q978" s="47"/>
      <c r="R978" s="47"/>
      <c r="S978" s="50"/>
      <c r="T978" s="47"/>
      <c r="U978" s="47"/>
      <c r="V978" s="47"/>
      <c r="W978" s="51"/>
      <c r="X978" s="51"/>
      <c r="Y978" s="47"/>
      <c r="Z978" s="47"/>
      <c r="AA978" s="47"/>
      <c r="AB978" s="47"/>
      <c r="AC978" s="47"/>
      <c r="AD978" s="47"/>
      <c r="AE978" s="54"/>
      <c r="AF978" s="54"/>
      <c r="AG978" s="54"/>
      <c r="AH978" s="54"/>
      <c r="AI978" s="54"/>
      <c r="AJ978" s="54"/>
      <c r="AK978" s="54"/>
      <c r="AL978" s="54"/>
      <c r="AM978" s="54"/>
      <c r="AN978" s="54"/>
      <c r="AO978" s="54"/>
      <c r="AP978" s="54"/>
      <c r="AQ978" s="54"/>
      <c r="AR978" s="54"/>
      <c r="AS978" s="54"/>
      <c r="AT978" s="54"/>
      <c r="AU978" s="54"/>
      <c r="AV978" s="54"/>
      <c r="AW978" s="54"/>
      <c r="AX978" s="54"/>
      <c r="AY978" s="54"/>
      <c r="AZ978" s="54"/>
      <c r="BA978" s="54"/>
      <c r="BB978" s="54"/>
      <c r="BC978" s="51"/>
      <c r="BD978" s="51"/>
      <c r="BE978" s="54"/>
      <c r="BF978" s="54"/>
      <c r="BG978" s="47"/>
      <c r="BH978" s="48"/>
      <c r="BI978" s="48"/>
      <c r="BJ978" s="48"/>
      <c r="BK978" s="48"/>
      <c r="BL978" s="48"/>
      <c r="BM978" s="48"/>
      <c r="BN978" s="48"/>
      <c r="BO978" s="48"/>
      <c r="BP978" s="48"/>
      <c r="BQ978" s="48"/>
      <c r="BR978" s="48"/>
      <c r="BS978" s="48"/>
      <c r="BT978" s="48"/>
      <c r="BU978" s="48"/>
      <c r="BV978" s="48"/>
      <c r="BW978" s="48"/>
      <c r="BX978" s="48"/>
      <c r="BY978" s="48"/>
      <c r="BZ978" s="48"/>
      <c r="CA978" s="48"/>
      <c r="CB978" s="48"/>
      <c r="CC978" s="48"/>
      <c r="CD978" s="48"/>
      <c r="CE978" s="48"/>
      <c r="CF978" s="52"/>
      <c r="CG978" s="52"/>
      <c r="CH978" s="48"/>
      <c r="CI978" s="48"/>
      <c r="CJ978" s="48"/>
      <c r="CK978" s="48"/>
    </row>
    <row r="979" spans="1:89" ht="15.75" customHeight="1" x14ac:dyDescent="0.3">
      <c r="A979" s="47"/>
      <c r="B979" s="48"/>
      <c r="C979" s="47"/>
      <c r="D979" s="48"/>
      <c r="E979" s="48"/>
      <c r="F979" s="48"/>
      <c r="G979" s="48"/>
      <c r="H979" s="48"/>
      <c r="I979" s="49"/>
      <c r="J979" s="47"/>
      <c r="K979" s="47"/>
      <c r="L979" s="47"/>
      <c r="M979" s="47"/>
      <c r="N979" s="47"/>
      <c r="O979" s="47"/>
      <c r="P979" s="47"/>
      <c r="Q979" s="47"/>
      <c r="R979" s="47"/>
      <c r="S979" s="50"/>
      <c r="T979" s="47"/>
      <c r="U979" s="47"/>
      <c r="V979" s="47"/>
      <c r="W979" s="51"/>
      <c r="X979" s="51"/>
      <c r="Y979" s="47"/>
      <c r="Z979" s="47"/>
      <c r="AA979" s="47"/>
      <c r="AB979" s="47"/>
      <c r="AC979" s="47"/>
      <c r="AD979" s="47"/>
      <c r="AE979" s="54"/>
      <c r="AF979" s="54"/>
      <c r="AG979" s="54"/>
      <c r="AH979" s="54"/>
      <c r="AI979" s="54"/>
      <c r="AJ979" s="54"/>
      <c r="AK979" s="54"/>
      <c r="AL979" s="54"/>
      <c r="AM979" s="54"/>
      <c r="AN979" s="54"/>
      <c r="AO979" s="54"/>
      <c r="AP979" s="54"/>
      <c r="AQ979" s="54"/>
      <c r="AR979" s="54"/>
      <c r="AS979" s="54"/>
      <c r="AT979" s="54"/>
      <c r="AU979" s="54"/>
      <c r="AV979" s="54"/>
      <c r="AW979" s="54"/>
      <c r="AX979" s="54"/>
      <c r="AY979" s="54"/>
      <c r="AZ979" s="54"/>
      <c r="BA979" s="54"/>
      <c r="BB979" s="54"/>
      <c r="BC979" s="51"/>
      <c r="BD979" s="51"/>
      <c r="BE979" s="54"/>
      <c r="BF979" s="54"/>
      <c r="BG979" s="47"/>
      <c r="BH979" s="48"/>
      <c r="BI979" s="48"/>
      <c r="BJ979" s="48"/>
      <c r="BK979" s="48"/>
      <c r="BL979" s="48"/>
      <c r="BM979" s="48"/>
      <c r="BN979" s="48"/>
      <c r="BO979" s="48"/>
      <c r="BP979" s="48"/>
      <c r="BQ979" s="48"/>
      <c r="BR979" s="48"/>
      <c r="BS979" s="48"/>
      <c r="BT979" s="48"/>
      <c r="BU979" s="48"/>
      <c r="BV979" s="48"/>
      <c r="BW979" s="48"/>
      <c r="BX979" s="48"/>
      <c r="BY979" s="48"/>
      <c r="BZ979" s="48"/>
      <c r="CA979" s="48"/>
      <c r="CB979" s="48"/>
      <c r="CC979" s="48"/>
      <c r="CD979" s="48"/>
      <c r="CE979" s="48"/>
      <c r="CF979" s="52"/>
      <c r="CG979" s="52"/>
      <c r="CH979" s="48"/>
      <c r="CI979" s="48"/>
      <c r="CJ979" s="48"/>
      <c r="CK979" s="48"/>
    </row>
    <row r="980" spans="1:89" ht="15.75" customHeight="1" x14ac:dyDescent="0.3">
      <c r="A980" s="47"/>
      <c r="B980" s="48"/>
      <c r="C980" s="47"/>
      <c r="D980" s="48"/>
      <c r="E980" s="48"/>
      <c r="F980" s="48"/>
      <c r="G980" s="48"/>
      <c r="H980" s="48"/>
      <c r="I980" s="49"/>
      <c r="J980" s="47"/>
      <c r="K980" s="47"/>
      <c r="L980" s="47"/>
      <c r="M980" s="47"/>
      <c r="N980" s="47"/>
      <c r="O980" s="47"/>
      <c r="P980" s="47"/>
      <c r="Q980" s="47"/>
      <c r="R980" s="47"/>
      <c r="S980" s="50"/>
      <c r="T980" s="47"/>
      <c r="U980" s="47"/>
      <c r="V980" s="47"/>
      <c r="W980" s="51"/>
      <c r="X980" s="51"/>
      <c r="Y980" s="47"/>
      <c r="Z980" s="47"/>
      <c r="AA980" s="47"/>
      <c r="AB980" s="47"/>
      <c r="AC980" s="47"/>
      <c r="AD980" s="47"/>
      <c r="AE980" s="54"/>
      <c r="AF980" s="54"/>
      <c r="AG980" s="54"/>
      <c r="AH980" s="54"/>
      <c r="AI980" s="54"/>
      <c r="AJ980" s="54"/>
      <c r="AK980" s="54"/>
      <c r="AL980" s="54"/>
      <c r="AM980" s="54"/>
      <c r="AN980" s="54"/>
      <c r="AO980" s="54"/>
      <c r="AP980" s="54"/>
      <c r="AQ980" s="54"/>
      <c r="AR980" s="54"/>
      <c r="AS980" s="54"/>
      <c r="AT980" s="54"/>
      <c r="AU980" s="54"/>
      <c r="AV980" s="54"/>
      <c r="AW980" s="54"/>
      <c r="AX980" s="54"/>
      <c r="AY980" s="54"/>
      <c r="AZ980" s="54"/>
      <c r="BA980" s="54"/>
      <c r="BB980" s="54"/>
      <c r="BC980" s="51"/>
      <c r="BD980" s="51"/>
      <c r="BE980" s="54"/>
      <c r="BF980" s="54"/>
      <c r="BG980" s="47"/>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52"/>
      <c r="CG980" s="52"/>
      <c r="CH980" s="48"/>
      <c r="CI980" s="48"/>
      <c r="CJ980" s="48"/>
      <c r="CK980" s="48"/>
    </row>
    <row r="981" spans="1:89" ht="15.75" customHeight="1" x14ac:dyDescent="0.3">
      <c r="A981" s="47"/>
      <c r="B981" s="48"/>
      <c r="C981" s="47"/>
      <c r="D981" s="48"/>
      <c r="E981" s="48"/>
      <c r="F981" s="48"/>
      <c r="G981" s="48"/>
      <c r="H981" s="48"/>
      <c r="I981" s="49"/>
      <c r="J981" s="47"/>
      <c r="K981" s="47"/>
      <c r="L981" s="47"/>
      <c r="M981" s="47"/>
      <c r="N981" s="47"/>
      <c r="O981" s="47"/>
      <c r="P981" s="47"/>
      <c r="Q981" s="47"/>
      <c r="R981" s="47"/>
      <c r="S981" s="50"/>
      <c r="T981" s="47"/>
      <c r="U981" s="47"/>
      <c r="V981" s="47"/>
      <c r="W981" s="51"/>
      <c r="X981" s="51"/>
      <c r="Y981" s="47"/>
      <c r="Z981" s="47"/>
      <c r="AA981" s="47"/>
      <c r="AB981" s="47"/>
      <c r="AC981" s="47"/>
      <c r="AD981" s="47"/>
      <c r="AE981" s="54"/>
      <c r="AF981" s="54"/>
      <c r="AG981" s="54"/>
      <c r="AH981" s="54"/>
      <c r="AI981" s="54"/>
      <c r="AJ981" s="54"/>
      <c r="AK981" s="54"/>
      <c r="AL981" s="54"/>
      <c r="AM981" s="54"/>
      <c r="AN981" s="54"/>
      <c r="AO981" s="54"/>
      <c r="AP981" s="54"/>
      <c r="AQ981" s="54"/>
      <c r="AR981" s="54"/>
      <c r="AS981" s="54"/>
      <c r="AT981" s="54"/>
      <c r="AU981" s="54"/>
      <c r="AV981" s="54"/>
      <c r="AW981" s="54"/>
      <c r="AX981" s="54"/>
      <c r="AY981" s="54"/>
      <c r="AZ981" s="54"/>
      <c r="BA981" s="54"/>
      <c r="BB981" s="54"/>
      <c r="BC981" s="51"/>
      <c r="BD981" s="51"/>
      <c r="BE981" s="54"/>
      <c r="BF981" s="54"/>
      <c r="BG981" s="47"/>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52"/>
      <c r="CG981" s="52"/>
      <c r="CH981" s="48"/>
      <c r="CI981" s="48"/>
      <c r="CJ981" s="48"/>
      <c r="CK981" s="48"/>
    </row>
    <row r="982" spans="1:89" ht="15.75" customHeight="1" x14ac:dyDescent="0.3">
      <c r="A982" s="47"/>
      <c r="B982" s="48"/>
      <c r="C982" s="47"/>
      <c r="D982" s="48"/>
      <c r="E982" s="48"/>
      <c r="F982" s="48"/>
      <c r="G982" s="48"/>
      <c r="H982" s="48"/>
      <c r="I982" s="49"/>
      <c r="J982" s="47"/>
      <c r="K982" s="47"/>
      <c r="L982" s="47"/>
      <c r="M982" s="47"/>
      <c r="N982" s="47"/>
      <c r="O982" s="47"/>
      <c r="P982" s="47"/>
      <c r="Q982" s="47"/>
      <c r="R982" s="47"/>
      <c r="S982" s="50"/>
      <c r="T982" s="47"/>
      <c r="U982" s="47"/>
      <c r="V982" s="47"/>
      <c r="W982" s="51"/>
      <c r="X982" s="51"/>
      <c r="Y982" s="47"/>
      <c r="Z982" s="47"/>
      <c r="AA982" s="47"/>
      <c r="AB982" s="47"/>
      <c r="AC982" s="47"/>
      <c r="AD982" s="47"/>
      <c r="AE982" s="54"/>
      <c r="AF982" s="54"/>
      <c r="AG982" s="54"/>
      <c r="AH982" s="54"/>
      <c r="AI982" s="54"/>
      <c r="AJ982" s="54"/>
      <c r="AK982" s="54"/>
      <c r="AL982" s="54"/>
      <c r="AM982" s="54"/>
      <c r="AN982" s="54"/>
      <c r="AO982" s="54"/>
      <c r="AP982" s="54"/>
      <c r="AQ982" s="54"/>
      <c r="AR982" s="54"/>
      <c r="AS982" s="54"/>
      <c r="AT982" s="54"/>
      <c r="AU982" s="54"/>
      <c r="AV982" s="54"/>
      <c r="AW982" s="54"/>
      <c r="AX982" s="54"/>
      <c r="AY982" s="54"/>
      <c r="AZ982" s="54"/>
      <c r="BA982" s="54"/>
      <c r="BB982" s="54"/>
      <c r="BC982" s="51"/>
      <c r="BD982" s="51"/>
      <c r="BE982" s="54"/>
      <c r="BF982" s="54"/>
      <c r="BG982" s="47"/>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52"/>
      <c r="CG982" s="52"/>
      <c r="CH982" s="48"/>
      <c r="CI982" s="48"/>
      <c r="CJ982" s="48"/>
      <c r="CK982" s="48"/>
    </row>
    <row r="983" spans="1:89" ht="15.75" customHeight="1" x14ac:dyDescent="0.3">
      <c r="A983" s="47"/>
      <c r="B983" s="48"/>
      <c r="C983" s="47"/>
      <c r="D983" s="48"/>
      <c r="E983" s="48"/>
      <c r="F983" s="48"/>
      <c r="G983" s="48"/>
      <c r="H983" s="48"/>
      <c r="I983" s="49"/>
      <c r="J983" s="47"/>
      <c r="K983" s="47"/>
      <c r="L983" s="47"/>
      <c r="M983" s="47"/>
      <c r="N983" s="47"/>
      <c r="O983" s="47"/>
      <c r="P983" s="47"/>
      <c r="Q983" s="47"/>
      <c r="R983" s="47"/>
      <c r="S983" s="50"/>
      <c r="T983" s="47"/>
      <c r="U983" s="47"/>
      <c r="V983" s="47"/>
      <c r="W983" s="51"/>
      <c r="X983" s="51"/>
      <c r="Y983" s="47"/>
      <c r="Z983" s="47"/>
      <c r="AA983" s="47"/>
      <c r="AB983" s="47"/>
      <c r="AC983" s="47"/>
      <c r="AD983" s="47"/>
      <c r="AE983" s="54"/>
      <c r="AF983" s="54"/>
      <c r="AG983" s="54"/>
      <c r="AH983" s="54"/>
      <c r="AI983" s="54"/>
      <c r="AJ983" s="54"/>
      <c r="AK983" s="54"/>
      <c r="AL983" s="54"/>
      <c r="AM983" s="54"/>
      <c r="AN983" s="54"/>
      <c r="AO983" s="54"/>
      <c r="AP983" s="54"/>
      <c r="AQ983" s="54"/>
      <c r="AR983" s="54"/>
      <c r="AS983" s="54"/>
      <c r="AT983" s="54"/>
      <c r="AU983" s="54"/>
      <c r="AV983" s="54"/>
      <c r="AW983" s="54"/>
      <c r="AX983" s="54"/>
      <c r="AY983" s="54"/>
      <c r="AZ983" s="54"/>
      <c r="BA983" s="54"/>
      <c r="BB983" s="54"/>
      <c r="BC983" s="51"/>
      <c r="BD983" s="51"/>
      <c r="BE983" s="54"/>
      <c r="BF983" s="54"/>
      <c r="BG983" s="47"/>
      <c r="BH983" s="48"/>
      <c r="BI983" s="48"/>
      <c r="BJ983" s="48"/>
      <c r="BK983" s="48"/>
      <c r="BL983" s="48"/>
      <c r="BM983" s="48"/>
      <c r="BN983" s="48"/>
      <c r="BO983" s="48"/>
      <c r="BP983" s="48"/>
      <c r="BQ983" s="48"/>
      <c r="BR983" s="48"/>
      <c r="BS983" s="48"/>
      <c r="BT983" s="48"/>
      <c r="BU983" s="48"/>
      <c r="BV983" s="48"/>
      <c r="BW983" s="48"/>
      <c r="BX983" s="48"/>
      <c r="BY983" s="48"/>
      <c r="BZ983" s="48"/>
      <c r="CA983" s="48"/>
      <c r="CB983" s="48"/>
      <c r="CC983" s="48"/>
      <c r="CD983" s="48"/>
      <c r="CE983" s="48"/>
      <c r="CF983" s="52"/>
      <c r="CG983" s="52"/>
      <c r="CH983" s="48"/>
      <c r="CI983" s="48"/>
      <c r="CJ983" s="48"/>
      <c r="CK983" s="48"/>
    </row>
    <row r="984" spans="1:89" ht="15.75" customHeight="1" x14ac:dyDescent="0.3">
      <c r="A984" s="47"/>
      <c r="B984" s="48"/>
      <c r="C984" s="47"/>
      <c r="D984" s="48"/>
      <c r="E984" s="48"/>
      <c r="F984" s="48"/>
      <c r="G984" s="48"/>
      <c r="H984" s="48"/>
      <c r="I984" s="49"/>
      <c r="J984" s="47"/>
      <c r="K984" s="47"/>
      <c r="L984" s="47"/>
      <c r="M984" s="47"/>
      <c r="N984" s="47"/>
      <c r="O984" s="47"/>
      <c r="P984" s="47"/>
      <c r="Q984" s="47"/>
      <c r="R984" s="47"/>
      <c r="S984" s="50"/>
      <c r="T984" s="47"/>
      <c r="U984" s="47"/>
      <c r="V984" s="47"/>
      <c r="W984" s="51"/>
      <c r="X984" s="51"/>
      <c r="Y984" s="47"/>
      <c r="Z984" s="47"/>
      <c r="AA984" s="47"/>
      <c r="AB984" s="47"/>
      <c r="AC984" s="47"/>
      <c r="AD984" s="47"/>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1"/>
      <c r="BD984" s="51"/>
      <c r="BE984" s="54"/>
      <c r="BF984" s="54"/>
      <c r="BG984" s="47"/>
      <c r="BH984" s="48"/>
      <c r="BI984" s="48"/>
      <c r="BJ984" s="48"/>
      <c r="BK984" s="48"/>
      <c r="BL984" s="48"/>
      <c r="BM984" s="48"/>
      <c r="BN984" s="48"/>
      <c r="BO984" s="48"/>
      <c r="BP984" s="48"/>
      <c r="BQ984" s="48"/>
      <c r="BR984" s="48"/>
      <c r="BS984" s="48"/>
      <c r="BT984" s="48"/>
      <c r="BU984" s="48"/>
      <c r="BV984" s="48"/>
      <c r="BW984" s="48"/>
      <c r="BX984" s="48"/>
      <c r="BY984" s="48"/>
      <c r="BZ984" s="48"/>
      <c r="CA984" s="48"/>
      <c r="CB984" s="48"/>
      <c r="CC984" s="48"/>
      <c r="CD984" s="48"/>
      <c r="CE984" s="48"/>
      <c r="CF984" s="52"/>
      <c r="CG984" s="52"/>
      <c r="CH984" s="48"/>
      <c r="CI984" s="48"/>
      <c r="CJ984" s="48"/>
      <c r="CK984" s="48"/>
    </row>
    <row r="985" spans="1:89" ht="15.75" customHeight="1" x14ac:dyDescent="0.3">
      <c r="A985" s="47"/>
      <c r="B985" s="48"/>
      <c r="C985" s="47"/>
      <c r="D985" s="48"/>
      <c r="E985" s="48"/>
      <c r="F985" s="48"/>
      <c r="G985" s="48"/>
      <c r="H985" s="48"/>
      <c r="I985" s="49"/>
      <c r="J985" s="47"/>
      <c r="K985" s="47"/>
      <c r="L985" s="47"/>
      <c r="M985" s="47"/>
      <c r="N985" s="47"/>
      <c r="O985" s="47"/>
      <c r="P985" s="47"/>
      <c r="Q985" s="47"/>
      <c r="R985" s="47"/>
      <c r="S985" s="50"/>
      <c r="T985" s="47"/>
      <c r="U985" s="47"/>
      <c r="V985" s="47"/>
      <c r="W985" s="51"/>
      <c r="X985" s="51"/>
      <c r="Y985" s="47"/>
      <c r="Z985" s="47"/>
      <c r="AA985" s="47"/>
      <c r="AB985" s="47"/>
      <c r="AC985" s="47"/>
      <c r="AD985" s="47"/>
      <c r="AE985" s="54"/>
      <c r="AF985" s="54"/>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1"/>
      <c r="BD985" s="51"/>
      <c r="BE985" s="54"/>
      <c r="BF985" s="54"/>
      <c r="BG985" s="47"/>
      <c r="BH985" s="48"/>
      <c r="BI985" s="48"/>
      <c r="BJ985" s="48"/>
      <c r="BK985" s="48"/>
      <c r="BL985" s="48"/>
      <c r="BM985" s="48"/>
      <c r="BN985" s="48"/>
      <c r="BO985" s="48"/>
      <c r="BP985" s="48"/>
      <c r="BQ985" s="48"/>
      <c r="BR985" s="48"/>
      <c r="BS985" s="48"/>
      <c r="BT985" s="48"/>
      <c r="BU985" s="48"/>
      <c r="BV985" s="48"/>
      <c r="BW985" s="48"/>
      <c r="BX985" s="48"/>
      <c r="BY985" s="48"/>
      <c r="BZ985" s="48"/>
      <c r="CA985" s="48"/>
      <c r="CB985" s="48"/>
      <c r="CC985" s="48"/>
      <c r="CD985" s="48"/>
      <c r="CE985" s="48"/>
      <c r="CF985" s="52"/>
      <c r="CG985" s="52"/>
      <c r="CH985" s="48"/>
      <c r="CI985" s="48"/>
      <c r="CJ985" s="48"/>
      <c r="CK985" s="48"/>
    </row>
    <row r="986" spans="1:89" ht="15.75" customHeight="1" x14ac:dyDescent="0.3">
      <c r="A986" s="47"/>
      <c r="B986" s="48"/>
      <c r="C986" s="47"/>
      <c r="D986" s="48"/>
      <c r="E986" s="48"/>
      <c r="F986" s="48"/>
      <c r="G986" s="48"/>
      <c r="H986" s="48"/>
      <c r="I986" s="49"/>
      <c r="J986" s="47"/>
      <c r="K986" s="47"/>
      <c r="L986" s="47"/>
      <c r="M986" s="47"/>
      <c r="N986" s="47"/>
      <c r="O986" s="47"/>
      <c r="P986" s="47"/>
      <c r="Q986" s="47"/>
      <c r="R986" s="47"/>
      <c r="S986" s="50"/>
      <c r="T986" s="47"/>
      <c r="U986" s="47"/>
      <c r="V986" s="47"/>
      <c r="W986" s="51"/>
      <c r="X986" s="51"/>
      <c r="Y986" s="47"/>
      <c r="Z986" s="47"/>
      <c r="AA986" s="47"/>
      <c r="AB986" s="47"/>
      <c r="AC986" s="47"/>
      <c r="AD986" s="47"/>
      <c r="AE986" s="54"/>
      <c r="AF986" s="54"/>
      <c r="AG986" s="54"/>
      <c r="AH986" s="54"/>
      <c r="AI986" s="54"/>
      <c r="AJ986" s="54"/>
      <c r="AK986" s="54"/>
      <c r="AL986" s="54"/>
      <c r="AM986" s="54"/>
      <c r="AN986" s="54"/>
      <c r="AO986" s="54"/>
      <c r="AP986" s="54"/>
      <c r="AQ986" s="54"/>
      <c r="AR986" s="54"/>
      <c r="AS986" s="54"/>
      <c r="AT986" s="54"/>
      <c r="AU986" s="54"/>
      <c r="AV986" s="54"/>
      <c r="AW986" s="54"/>
      <c r="AX986" s="54"/>
      <c r="AY986" s="54"/>
      <c r="AZ986" s="54"/>
      <c r="BA986" s="54"/>
      <c r="BB986" s="54"/>
      <c r="BC986" s="51"/>
      <c r="BD986" s="51"/>
      <c r="BE986" s="54"/>
      <c r="BF986" s="54"/>
      <c r="BG986" s="47"/>
      <c r="BH986" s="48"/>
      <c r="BI986" s="48"/>
      <c r="BJ986" s="48"/>
      <c r="BK986" s="48"/>
      <c r="BL986" s="48"/>
      <c r="BM986" s="48"/>
      <c r="BN986" s="48"/>
      <c r="BO986" s="48"/>
      <c r="BP986" s="48"/>
      <c r="BQ986" s="48"/>
      <c r="BR986" s="48"/>
      <c r="BS986" s="48"/>
      <c r="BT986" s="48"/>
      <c r="BU986" s="48"/>
      <c r="BV986" s="48"/>
      <c r="BW986" s="48"/>
      <c r="BX986" s="48"/>
      <c r="BY986" s="48"/>
      <c r="BZ986" s="48"/>
      <c r="CA986" s="48"/>
      <c r="CB986" s="48"/>
      <c r="CC986" s="48"/>
      <c r="CD986" s="48"/>
      <c r="CE986" s="48"/>
      <c r="CF986" s="52"/>
      <c r="CG986" s="52"/>
      <c r="CH986" s="48"/>
      <c r="CI986" s="48"/>
      <c r="CJ986" s="48"/>
      <c r="CK986" s="48"/>
    </row>
    <row r="987" spans="1:89" ht="15.75" customHeight="1" x14ac:dyDescent="0.3">
      <c r="A987" s="47"/>
      <c r="B987" s="48"/>
      <c r="C987" s="47"/>
      <c r="D987" s="48"/>
      <c r="E987" s="48"/>
      <c r="F987" s="48"/>
      <c r="G987" s="48"/>
      <c r="H987" s="48"/>
      <c r="I987" s="49"/>
      <c r="J987" s="47"/>
      <c r="K987" s="47"/>
      <c r="L987" s="47"/>
      <c r="M987" s="47"/>
      <c r="N987" s="47"/>
      <c r="O987" s="47"/>
      <c r="P987" s="47"/>
      <c r="Q987" s="47"/>
      <c r="R987" s="47"/>
      <c r="S987" s="50"/>
      <c r="T987" s="47"/>
      <c r="U987" s="47"/>
      <c r="V987" s="47"/>
      <c r="W987" s="51"/>
      <c r="X987" s="51"/>
      <c r="Y987" s="47"/>
      <c r="Z987" s="47"/>
      <c r="AA987" s="47"/>
      <c r="AB987" s="47"/>
      <c r="AC987" s="47"/>
      <c r="AD987" s="47"/>
      <c r="AE987" s="54"/>
      <c r="AF987" s="54"/>
      <c r="AG987" s="54"/>
      <c r="AH987" s="54"/>
      <c r="AI987" s="54"/>
      <c r="AJ987" s="54"/>
      <c r="AK987" s="54"/>
      <c r="AL987" s="54"/>
      <c r="AM987" s="54"/>
      <c r="AN987" s="54"/>
      <c r="AO987" s="54"/>
      <c r="AP987" s="54"/>
      <c r="AQ987" s="54"/>
      <c r="AR987" s="54"/>
      <c r="AS987" s="54"/>
      <c r="AT987" s="54"/>
      <c r="AU987" s="54"/>
      <c r="AV987" s="54"/>
      <c r="AW987" s="54"/>
      <c r="AX987" s="54"/>
      <c r="AY987" s="54"/>
      <c r="AZ987" s="54"/>
      <c r="BA987" s="54"/>
      <c r="BB987" s="54"/>
      <c r="BC987" s="51"/>
      <c r="BD987" s="51"/>
      <c r="BE987" s="54"/>
      <c r="BF987" s="54"/>
      <c r="BG987" s="47"/>
      <c r="BH987" s="48"/>
      <c r="BI987" s="48"/>
      <c r="BJ987" s="48"/>
      <c r="BK987" s="48"/>
      <c r="BL987" s="48"/>
      <c r="BM987" s="48"/>
      <c r="BN987" s="48"/>
      <c r="BO987" s="48"/>
      <c r="BP987" s="48"/>
      <c r="BQ987" s="48"/>
      <c r="BR987" s="48"/>
      <c r="BS987" s="48"/>
      <c r="BT987" s="48"/>
      <c r="BU987" s="48"/>
      <c r="BV987" s="48"/>
      <c r="BW987" s="48"/>
      <c r="BX987" s="48"/>
      <c r="BY987" s="48"/>
      <c r="BZ987" s="48"/>
      <c r="CA987" s="48"/>
      <c r="CB987" s="48"/>
      <c r="CC987" s="48"/>
      <c r="CD987" s="48"/>
      <c r="CE987" s="48"/>
      <c r="CF987" s="52"/>
      <c r="CG987" s="52"/>
      <c r="CH987" s="48"/>
      <c r="CI987" s="48"/>
      <c r="CJ987" s="48"/>
      <c r="CK987" s="48"/>
    </row>
    <row r="988" spans="1:89" ht="15.75" customHeight="1" x14ac:dyDescent="0.3">
      <c r="A988" s="47"/>
      <c r="B988" s="48"/>
      <c r="C988" s="47"/>
      <c r="D988" s="48"/>
      <c r="E988" s="48"/>
      <c r="F988" s="48"/>
      <c r="G988" s="48"/>
      <c r="H988" s="48"/>
      <c r="I988" s="49"/>
      <c r="J988" s="47"/>
      <c r="K988" s="47"/>
      <c r="L988" s="47"/>
      <c r="M988" s="47"/>
      <c r="N988" s="47"/>
      <c r="O988" s="47"/>
      <c r="P988" s="47"/>
      <c r="Q988" s="47"/>
      <c r="R988" s="47"/>
      <c r="S988" s="50"/>
      <c r="T988" s="47"/>
      <c r="U988" s="47"/>
      <c r="V988" s="47"/>
      <c r="W988" s="51"/>
      <c r="X988" s="51"/>
      <c r="Y988" s="47"/>
      <c r="Z988" s="47"/>
      <c r="AA988" s="47"/>
      <c r="AB988" s="47"/>
      <c r="AC988" s="47"/>
      <c r="AD988" s="47"/>
      <c r="AE988" s="54"/>
      <c r="AF988" s="54"/>
      <c r="AG988" s="54"/>
      <c r="AH988" s="54"/>
      <c r="AI988" s="54"/>
      <c r="AJ988" s="54"/>
      <c r="AK988" s="54"/>
      <c r="AL988" s="54"/>
      <c r="AM988" s="54"/>
      <c r="AN988" s="54"/>
      <c r="AO988" s="54"/>
      <c r="AP988" s="54"/>
      <c r="AQ988" s="54"/>
      <c r="AR988" s="54"/>
      <c r="AS988" s="54"/>
      <c r="AT988" s="54"/>
      <c r="AU988" s="54"/>
      <c r="AV988" s="54"/>
      <c r="AW988" s="54"/>
      <c r="AX988" s="54"/>
      <c r="AY988" s="54"/>
      <c r="AZ988" s="54"/>
      <c r="BA988" s="54"/>
      <c r="BB988" s="54"/>
      <c r="BC988" s="51"/>
      <c r="BD988" s="51"/>
      <c r="BE988" s="54"/>
      <c r="BF988" s="54"/>
      <c r="BG988" s="47"/>
      <c r="BH988" s="48"/>
      <c r="BI988" s="48"/>
      <c r="BJ988" s="48"/>
      <c r="BK988" s="48"/>
      <c r="BL988" s="48"/>
      <c r="BM988" s="48"/>
      <c r="BN988" s="48"/>
      <c r="BO988" s="48"/>
      <c r="BP988" s="48"/>
      <c r="BQ988" s="48"/>
      <c r="BR988" s="48"/>
      <c r="BS988" s="48"/>
      <c r="BT988" s="48"/>
      <c r="BU988" s="48"/>
      <c r="BV988" s="48"/>
      <c r="BW988" s="48"/>
      <c r="BX988" s="48"/>
      <c r="BY988" s="48"/>
      <c r="BZ988" s="48"/>
      <c r="CA988" s="48"/>
      <c r="CB988" s="48"/>
      <c r="CC988" s="48"/>
      <c r="CD988" s="48"/>
      <c r="CE988" s="48"/>
      <c r="CF988" s="52"/>
      <c r="CG988" s="52"/>
      <c r="CH988" s="48"/>
      <c r="CI988" s="48"/>
      <c r="CJ988" s="48"/>
      <c r="CK988" s="48"/>
    </row>
    <row r="989" spans="1:89" ht="15.75" customHeight="1" x14ac:dyDescent="0.3">
      <c r="A989" s="47"/>
      <c r="B989" s="48"/>
      <c r="C989" s="47"/>
      <c r="D989" s="48"/>
      <c r="E989" s="48"/>
      <c r="F989" s="48"/>
      <c r="G989" s="48"/>
      <c r="H989" s="48"/>
      <c r="I989" s="49"/>
      <c r="J989" s="47"/>
      <c r="K989" s="47"/>
      <c r="L989" s="47"/>
      <c r="M989" s="47"/>
      <c r="N989" s="47"/>
      <c r="O989" s="47"/>
      <c r="P989" s="47"/>
      <c r="Q989" s="47"/>
      <c r="R989" s="47"/>
      <c r="S989" s="50"/>
      <c r="T989" s="47"/>
      <c r="U989" s="47"/>
      <c r="V989" s="47"/>
      <c r="W989" s="51"/>
      <c r="X989" s="51"/>
      <c r="Y989" s="47"/>
      <c r="Z989" s="47"/>
      <c r="AA989" s="47"/>
      <c r="AB989" s="47"/>
      <c r="AC989" s="47"/>
      <c r="AD989" s="47"/>
      <c r="AE989" s="54"/>
      <c r="AF989" s="54"/>
      <c r="AG989" s="54"/>
      <c r="AH989" s="54"/>
      <c r="AI989" s="54"/>
      <c r="AJ989" s="54"/>
      <c r="AK989" s="54"/>
      <c r="AL989" s="54"/>
      <c r="AM989" s="54"/>
      <c r="AN989" s="54"/>
      <c r="AO989" s="54"/>
      <c r="AP989" s="54"/>
      <c r="AQ989" s="54"/>
      <c r="AR989" s="54"/>
      <c r="AS989" s="54"/>
      <c r="AT989" s="54"/>
      <c r="AU989" s="54"/>
      <c r="AV989" s="54"/>
      <c r="AW989" s="54"/>
      <c r="AX989" s="54"/>
      <c r="AY989" s="54"/>
      <c r="AZ989" s="54"/>
      <c r="BA989" s="54"/>
      <c r="BB989" s="54"/>
      <c r="BC989" s="51"/>
      <c r="BD989" s="51"/>
      <c r="BE989" s="54"/>
      <c r="BF989" s="54"/>
      <c r="BG989" s="47"/>
      <c r="BH989" s="48"/>
      <c r="BI989" s="48"/>
      <c r="BJ989" s="48"/>
      <c r="BK989" s="48"/>
      <c r="BL989" s="48"/>
      <c r="BM989" s="48"/>
      <c r="BN989" s="48"/>
      <c r="BO989" s="48"/>
      <c r="BP989" s="48"/>
      <c r="BQ989" s="48"/>
      <c r="BR989" s="48"/>
      <c r="BS989" s="48"/>
      <c r="BT989" s="48"/>
      <c r="BU989" s="48"/>
      <c r="BV989" s="48"/>
      <c r="BW989" s="48"/>
      <c r="BX989" s="48"/>
      <c r="BY989" s="48"/>
      <c r="BZ989" s="48"/>
      <c r="CA989" s="48"/>
      <c r="CB989" s="48"/>
      <c r="CC989" s="48"/>
      <c r="CD989" s="48"/>
      <c r="CE989" s="48"/>
      <c r="CF989" s="52"/>
      <c r="CG989" s="52"/>
      <c r="CH989" s="48"/>
      <c r="CI989" s="48"/>
      <c r="CJ989" s="48"/>
      <c r="CK989" s="48"/>
    </row>
    <row r="990" spans="1:89" ht="15.75" customHeight="1" x14ac:dyDescent="0.3">
      <c r="A990" s="47"/>
      <c r="B990" s="48"/>
      <c r="C990" s="47"/>
      <c r="D990" s="48"/>
      <c r="E990" s="48"/>
      <c r="F990" s="48"/>
      <c r="G990" s="48"/>
      <c r="H990" s="48"/>
      <c r="I990" s="49"/>
      <c r="J990" s="47"/>
      <c r="K990" s="47"/>
      <c r="L990" s="47"/>
      <c r="M990" s="47"/>
      <c r="N990" s="47"/>
      <c r="O990" s="47"/>
      <c r="P990" s="47"/>
      <c r="Q990" s="47"/>
      <c r="R990" s="47"/>
      <c r="S990" s="50"/>
      <c r="T990" s="47"/>
      <c r="U990" s="47"/>
      <c r="V990" s="47"/>
      <c r="W990" s="51"/>
      <c r="X990" s="51"/>
      <c r="Y990" s="47"/>
      <c r="Z990" s="47"/>
      <c r="AA990" s="47"/>
      <c r="AB990" s="47"/>
      <c r="AC990" s="47"/>
      <c r="AD990" s="47"/>
      <c r="AE990" s="54"/>
      <c r="AF990" s="54"/>
      <c r="AG990" s="54"/>
      <c r="AH990" s="54"/>
      <c r="AI990" s="54"/>
      <c r="AJ990" s="54"/>
      <c r="AK990" s="54"/>
      <c r="AL990" s="54"/>
      <c r="AM990" s="54"/>
      <c r="AN990" s="54"/>
      <c r="AO990" s="54"/>
      <c r="AP990" s="54"/>
      <c r="AQ990" s="54"/>
      <c r="AR990" s="54"/>
      <c r="AS990" s="54"/>
      <c r="AT990" s="54"/>
      <c r="AU990" s="54"/>
      <c r="AV990" s="54"/>
      <c r="AW990" s="54"/>
      <c r="AX990" s="54"/>
      <c r="AY990" s="54"/>
      <c r="AZ990" s="54"/>
      <c r="BA990" s="54"/>
      <c r="BB990" s="54"/>
      <c r="BC990" s="51"/>
      <c r="BD990" s="51"/>
      <c r="BE990" s="54"/>
      <c r="BF990" s="54"/>
      <c r="BG990" s="47"/>
      <c r="BH990" s="48"/>
      <c r="BI990" s="48"/>
      <c r="BJ990" s="48"/>
      <c r="BK990" s="48"/>
      <c r="BL990" s="48"/>
      <c r="BM990" s="48"/>
      <c r="BN990" s="48"/>
      <c r="BO990" s="48"/>
      <c r="BP990" s="48"/>
      <c r="BQ990" s="48"/>
      <c r="BR990" s="48"/>
      <c r="BS990" s="48"/>
      <c r="BT990" s="48"/>
      <c r="BU990" s="48"/>
      <c r="BV990" s="48"/>
      <c r="BW990" s="48"/>
      <c r="BX990" s="48"/>
      <c r="BY990" s="48"/>
      <c r="BZ990" s="48"/>
      <c r="CA990" s="48"/>
      <c r="CB990" s="48"/>
      <c r="CC990" s="48"/>
      <c r="CD990" s="48"/>
      <c r="CE990" s="48"/>
      <c r="CF990" s="52"/>
      <c r="CG990" s="52"/>
      <c r="CH990" s="48"/>
      <c r="CI990" s="48"/>
      <c r="CJ990" s="48"/>
      <c r="CK990" s="48"/>
    </row>
    <row r="991" spans="1:89" ht="15.75" customHeight="1" x14ac:dyDescent="0.3">
      <c r="A991" s="47"/>
      <c r="B991" s="48"/>
      <c r="C991" s="47"/>
      <c r="D991" s="48"/>
      <c r="E991" s="48"/>
      <c r="F991" s="48"/>
      <c r="G991" s="48"/>
      <c r="H991" s="48"/>
      <c r="I991" s="49"/>
      <c r="J991" s="47"/>
      <c r="K991" s="47"/>
      <c r="L991" s="47"/>
      <c r="M991" s="47"/>
      <c r="N991" s="47"/>
      <c r="O991" s="47"/>
      <c r="P991" s="47"/>
      <c r="Q991" s="47"/>
      <c r="R991" s="47"/>
      <c r="S991" s="50"/>
      <c r="T991" s="47"/>
      <c r="U991" s="47"/>
      <c r="V991" s="47"/>
      <c r="W991" s="51"/>
      <c r="X991" s="51"/>
      <c r="Y991" s="47"/>
      <c r="Z991" s="47"/>
      <c r="AA991" s="47"/>
      <c r="AB991" s="47"/>
      <c r="AC991" s="47"/>
      <c r="AD991" s="47"/>
      <c r="AE991" s="54"/>
      <c r="AF991" s="54"/>
      <c r="AG991" s="54"/>
      <c r="AH991" s="54"/>
      <c r="AI991" s="54"/>
      <c r="AJ991" s="54"/>
      <c r="AK991" s="54"/>
      <c r="AL991" s="54"/>
      <c r="AM991" s="54"/>
      <c r="AN991" s="54"/>
      <c r="AO991" s="54"/>
      <c r="AP991" s="54"/>
      <c r="AQ991" s="54"/>
      <c r="AR991" s="54"/>
      <c r="AS991" s="54"/>
      <c r="AT991" s="54"/>
      <c r="AU991" s="54"/>
      <c r="AV991" s="54"/>
      <c r="AW991" s="54"/>
      <c r="AX991" s="54"/>
      <c r="AY991" s="54"/>
      <c r="AZ991" s="54"/>
      <c r="BA991" s="54"/>
      <c r="BB991" s="54"/>
      <c r="BC991" s="51"/>
      <c r="BD991" s="51"/>
      <c r="BE991" s="54"/>
      <c r="BF991" s="54"/>
      <c r="BG991" s="47"/>
      <c r="BH991" s="48"/>
      <c r="BI991" s="48"/>
      <c r="BJ991" s="48"/>
      <c r="BK991" s="48"/>
      <c r="BL991" s="48"/>
      <c r="BM991" s="48"/>
      <c r="BN991" s="48"/>
      <c r="BO991" s="48"/>
      <c r="BP991" s="48"/>
      <c r="BQ991" s="48"/>
      <c r="BR991" s="48"/>
      <c r="BS991" s="48"/>
      <c r="BT991" s="48"/>
      <c r="BU991" s="48"/>
      <c r="BV991" s="48"/>
      <c r="BW991" s="48"/>
      <c r="BX991" s="48"/>
      <c r="BY991" s="48"/>
      <c r="BZ991" s="48"/>
      <c r="CA991" s="48"/>
      <c r="CB991" s="48"/>
      <c r="CC991" s="48"/>
      <c r="CD991" s="48"/>
      <c r="CE991" s="48"/>
      <c r="CF991" s="52"/>
      <c r="CG991" s="52"/>
      <c r="CH991" s="48"/>
      <c r="CI991" s="48"/>
      <c r="CJ991" s="48"/>
      <c r="CK991" s="48"/>
    </row>
    <row r="992" spans="1:89" ht="15.75" customHeight="1" x14ac:dyDescent="0.3">
      <c r="A992" s="47"/>
      <c r="B992" s="48"/>
      <c r="C992" s="47"/>
      <c r="D992" s="48"/>
      <c r="E992" s="48"/>
      <c r="F992" s="48"/>
      <c r="G992" s="48"/>
      <c r="H992" s="48"/>
      <c r="I992" s="49"/>
      <c r="J992" s="47"/>
      <c r="K992" s="47"/>
      <c r="L992" s="47"/>
      <c r="M992" s="47"/>
      <c r="N992" s="47"/>
      <c r="O992" s="47"/>
      <c r="P992" s="47"/>
      <c r="Q992" s="47"/>
      <c r="R992" s="47"/>
      <c r="S992" s="50"/>
      <c r="T992" s="47"/>
      <c r="U992" s="47"/>
      <c r="V992" s="47"/>
      <c r="W992" s="51"/>
      <c r="X992" s="51"/>
      <c r="Y992" s="47"/>
      <c r="Z992" s="47"/>
      <c r="AA992" s="47"/>
      <c r="AB992" s="47"/>
      <c r="AC992" s="47"/>
      <c r="AD992" s="47"/>
      <c r="AE992" s="54"/>
      <c r="AF992" s="54"/>
      <c r="AG992" s="54"/>
      <c r="AH992" s="54"/>
      <c r="AI992" s="54"/>
      <c r="AJ992" s="54"/>
      <c r="AK992" s="54"/>
      <c r="AL992" s="54"/>
      <c r="AM992" s="54"/>
      <c r="AN992" s="54"/>
      <c r="AO992" s="54"/>
      <c r="AP992" s="54"/>
      <c r="AQ992" s="54"/>
      <c r="AR992" s="54"/>
      <c r="AS992" s="54"/>
      <c r="AT992" s="54"/>
      <c r="AU992" s="54"/>
      <c r="AV992" s="54"/>
      <c r="AW992" s="54"/>
      <c r="AX992" s="54"/>
      <c r="AY992" s="54"/>
      <c r="AZ992" s="54"/>
      <c r="BA992" s="54"/>
      <c r="BB992" s="54"/>
      <c r="BC992" s="51"/>
      <c r="BD992" s="51"/>
      <c r="BE992" s="54"/>
      <c r="BF992" s="54"/>
      <c r="BG992" s="47"/>
      <c r="BH992" s="48"/>
      <c r="BI992" s="48"/>
      <c r="BJ992" s="48"/>
      <c r="BK992" s="48"/>
      <c r="BL992" s="48"/>
      <c r="BM992" s="48"/>
      <c r="BN992" s="48"/>
      <c r="BO992" s="48"/>
      <c r="BP992" s="48"/>
      <c r="BQ992" s="48"/>
      <c r="BR992" s="48"/>
      <c r="BS992" s="48"/>
      <c r="BT992" s="48"/>
      <c r="BU992" s="48"/>
      <c r="BV992" s="48"/>
      <c r="BW992" s="48"/>
      <c r="BX992" s="48"/>
      <c r="BY992" s="48"/>
      <c r="BZ992" s="48"/>
      <c r="CA992" s="48"/>
      <c r="CB992" s="48"/>
      <c r="CC992" s="48"/>
      <c r="CD992" s="48"/>
      <c r="CE992" s="48"/>
      <c r="CF992" s="52"/>
      <c r="CG992" s="52"/>
      <c r="CH992" s="48"/>
      <c r="CI992" s="48"/>
      <c r="CJ992" s="48"/>
      <c r="CK992" s="48"/>
    </row>
    <row r="993" spans="1:89" ht="15.75" customHeight="1" x14ac:dyDescent="0.3">
      <c r="A993" s="47"/>
      <c r="B993" s="48"/>
      <c r="C993" s="47"/>
      <c r="D993" s="48"/>
      <c r="E993" s="48"/>
      <c r="F993" s="48"/>
      <c r="G993" s="48"/>
      <c r="H993" s="48"/>
      <c r="I993" s="49"/>
      <c r="J993" s="47"/>
      <c r="K993" s="47"/>
      <c r="L993" s="47"/>
      <c r="M993" s="47"/>
      <c r="N993" s="47"/>
      <c r="O993" s="47"/>
      <c r="P993" s="47"/>
      <c r="Q993" s="47"/>
      <c r="R993" s="47"/>
      <c r="S993" s="50"/>
      <c r="T993" s="47"/>
      <c r="U993" s="47"/>
      <c r="V993" s="47"/>
      <c r="W993" s="51"/>
      <c r="X993" s="51"/>
      <c r="Y993" s="47"/>
      <c r="Z993" s="47"/>
      <c r="AA993" s="47"/>
      <c r="AB993" s="47"/>
      <c r="AC993" s="47"/>
      <c r="AD993" s="47"/>
      <c r="AE993" s="54"/>
      <c r="AF993" s="54"/>
      <c r="AG993" s="54"/>
      <c r="AH993" s="54"/>
      <c r="AI993" s="54"/>
      <c r="AJ993" s="54"/>
      <c r="AK993" s="54"/>
      <c r="AL993" s="54"/>
      <c r="AM993" s="54"/>
      <c r="AN993" s="54"/>
      <c r="AO993" s="54"/>
      <c r="AP993" s="54"/>
      <c r="AQ993" s="54"/>
      <c r="AR993" s="54"/>
      <c r="AS993" s="54"/>
      <c r="AT993" s="54"/>
      <c r="AU993" s="54"/>
      <c r="AV993" s="54"/>
      <c r="AW993" s="54"/>
      <c r="AX993" s="54"/>
      <c r="AY993" s="54"/>
      <c r="AZ993" s="54"/>
      <c r="BA993" s="54"/>
      <c r="BB993" s="54"/>
      <c r="BC993" s="51"/>
      <c r="BD993" s="51"/>
      <c r="BE993" s="54"/>
      <c r="BF993" s="54"/>
      <c r="BG993" s="47"/>
      <c r="BH993" s="48"/>
      <c r="BI993" s="48"/>
      <c r="BJ993" s="48"/>
      <c r="BK993" s="48"/>
      <c r="BL993" s="48"/>
      <c r="BM993" s="48"/>
      <c r="BN993" s="48"/>
      <c r="BO993" s="48"/>
      <c r="BP993" s="48"/>
      <c r="BQ993" s="48"/>
      <c r="BR993" s="48"/>
      <c r="BS993" s="48"/>
      <c r="BT993" s="48"/>
      <c r="BU993" s="48"/>
      <c r="BV993" s="48"/>
      <c r="BW993" s="48"/>
      <c r="BX993" s="48"/>
      <c r="BY993" s="48"/>
      <c r="BZ993" s="48"/>
      <c r="CA993" s="48"/>
      <c r="CB993" s="48"/>
      <c r="CC993" s="48"/>
      <c r="CD993" s="48"/>
      <c r="CE993" s="48"/>
      <c r="CF993" s="52"/>
      <c r="CG993" s="52"/>
      <c r="CH993" s="48"/>
      <c r="CI993" s="48"/>
      <c r="CJ993" s="48"/>
      <c r="CK993" s="48"/>
    </row>
    <row r="994" spans="1:89" ht="15.75" customHeight="1" x14ac:dyDescent="0.3">
      <c r="A994" s="47"/>
      <c r="B994" s="48"/>
      <c r="C994" s="47"/>
      <c r="D994" s="48"/>
      <c r="E994" s="48"/>
      <c r="F994" s="48"/>
      <c r="G994" s="48"/>
      <c r="H994" s="48"/>
      <c r="I994" s="49"/>
      <c r="J994" s="47"/>
      <c r="K994" s="47"/>
      <c r="L994" s="47"/>
      <c r="M994" s="47"/>
      <c r="N994" s="47"/>
      <c r="O994" s="47"/>
      <c r="P994" s="47"/>
      <c r="Q994" s="47"/>
      <c r="R994" s="47"/>
      <c r="S994" s="50"/>
      <c r="T994" s="47"/>
      <c r="U994" s="47"/>
      <c r="V994" s="47"/>
      <c r="W994" s="51"/>
      <c r="X994" s="51"/>
      <c r="Y994" s="47"/>
      <c r="Z994" s="47"/>
      <c r="AA994" s="47"/>
      <c r="AB994" s="47"/>
      <c r="AC994" s="47"/>
      <c r="AD994" s="47"/>
      <c r="AE994" s="54"/>
      <c r="AF994" s="54"/>
      <c r="AG994" s="54"/>
      <c r="AH994" s="54"/>
      <c r="AI994" s="54"/>
      <c r="AJ994" s="54"/>
      <c r="AK994" s="54"/>
      <c r="AL994" s="54"/>
      <c r="AM994" s="54"/>
      <c r="AN994" s="54"/>
      <c r="AO994" s="54"/>
      <c r="AP994" s="54"/>
      <c r="AQ994" s="54"/>
      <c r="AR994" s="54"/>
      <c r="AS994" s="54"/>
      <c r="AT994" s="54"/>
      <c r="AU994" s="54"/>
      <c r="AV994" s="54"/>
      <c r="AW994" s="54"/>
      <c r="AX994" s="54"/>
      <c r="AY994" s="54"/>
      <c r="AZ994" s="54"/>
      <c r="BA994" s="54"/>
      <c r="BB994" s="54"/>
      <c r="BC994" s="51"/>
      <c r="BD994" s="51"/>
      <c r="BE994" s="54"/>
      <c r="BF994" s="54"/>
      <c r="BG994" s="47"/>
      <c r="BH994" s="48"/>
      <c r="BI994" s="48"/>
      <c r="BJ994" s="48"/>
      <c r="BK994" s="48"/>
      <c r="BL994" s="48"/>
      <c r="BM994" s="48"/>
      <c r="BN994" s="48"/>
      <c r="BO994" s="48"/>
      <c r="BP994" s="48"/>
      <c r="BQ994" s="48"/>
      <c r="BR994" s="48"/>
      <c r="BS994" s="48"/>
      <c r="BT994" s="48"/>
      <c r="BU994" s="48"/>
      <c r="BV994" s="48"/>
      <c r="BW994" s="48"/>
      <c r="BX994" s="48"/>
      <c r="BY994" s="48"/>
      <c r="BZ994" s="48"/>
      <c r="CA994" s="48"/>
      <c r="CB994" s="48"/>
      <c r="CC994" s="48"/>
      <c r="CD994" s="48"/>
      <c r="CE994" s="48"/>
      <c r="CF994" s="52"/>
      <c r="CG994" s="52"/>
      <c r="CH994" s="48"/>
      <c r="CI994" s="48"/>
      <c r="CJ994" s="48"/>
      <c r="CK994" s="48"/>
    </row>
    <row r="995" spans="1:89" ht="15.75" customHeight="1" x14ac:dyDescent="0.3">
      <c r="A995" s="47"/>
      <c r="B995" s="48"/>
      <c r="C995" s="47"/>
      <c r="D995" s="48"/>
      <c r="E995" s="48"/>
      <c r="F995" s="48"/>
      <c r="G995" s="48"/>
      <c r="H995" s="48"/>
      <c r="I995" s="49"/>
      <c r="J995" s="47"/>
      <c r="K995" s="47"/>
      <c r="L995" s="47"/>
      <c r="M995" s="47"/>
      <c r="N995" s="47"/>
      <c r="O995" s="47"/>
      <c r="P995" s="47"/>
      <c r="Q995" s="47"/>
      <c r="R995" s="47"/>
      <c r="S995" s="50"/>
      <c r="T995" s="47"/>
      <c r="U995" s="47"/>
      <c r="V995" s="47"/>
      <c r="W995" s="51"/>
      <c r="X995" s="51"/>
      <c r="Y995" s="47"/>
      <c r="Z995" s="47"/>
      <c r="AA995" s="47"/>
      <c r="AB995" s="47"/>
      <c r="AC995" s="47"/>
      <c r="AD995" s="47"/>
      <c r="AE995" s="54"/>
      <c r="AF995" s="54"/>
      <c r="AG995" s="54"/>
      <c r="AH995" s="54"/>
      <c r="AI995" s="54"/>
      <c r="AJ995" s="54"/>
      <c r="AK995" s="54"/>
      <c r="AL995" s="54"/>
      <c r="AM995" s="54"/>
      <c r="AN995" s="54"/>
      <c r="AO995" s="54"/>
      <c r="AP995" s="54"/>
      <c r="AQ995" s="54"/>
      <c r="AR995" s="54"/>
      <c r="AS995" s="54"/>
      <c r="AT995" s="54"/>
      <c r="AU995" s="54"/>
      <c r="AV995" s="54"/>
      <c r="AW995" s="54"/>
      <c r="AX995" s="54"/>
      <c r="AY995" s="54"/>
      <c r="AZ995" s="54"/>
      <c r="BA995" s="54"/>
      <c r="BB995" s="54"/>
      <c r="BC995" s="51"/>
      <c r="BD995" s="51"/>
      <c r="BE995" s="54"/>
      <c r="BF995" s="54"/>
      <c r="BG995" s="47"/>
      <c r="BH995" s="48"/>
      <c r="BI995" s="48"/>
      <c r="BJ995" s="48"/>
      <c r="BK995" s="48"/>
      <c r="BL995" s="48"/>
      <c r="BM995" s="48"/>
      <c r="BN995" s="48"/>
      <c r="BO995" s="48"/>
      <c r="BP995" s="48"/>
      <c r="BQ995" s="48"/>
      <c r="BR995" s="48"/>
      <c r="BS995" s="48"/>
      <c r="BT995" s="48"/>
      <c r="BU995" s="48"/>
      <c r="BV995" s="48"/>
      <c r="BW995" s="48"/>
      <c r="BX995" s="48"/>
      <c r="BY995" s="48"/>
      <c r="BZ995" s="48"/>
      <c r="CA995" s="48"/>
      <c r="CB995" s="48"/>
      <c r="CC995" s="48"/>
      <c r="CD995" s="48"/>
      <c r="CE995" s="48"/>
      <c r="CF995" s="52"/>
      <c r="CG995" s="52"/>
      <c r="CH995" s="48"/>
      <c r="CI995" s="48"/>
      <c r="CJ995" s="48"/>
      <c r="CK995" s="48"/>
    </row>
    <row r="996" spans="1:89" ht="15.75" customHeight="1" x14ac:dyDescent="0.3">
      <c r="A996" s="47"/>
      <c r="B996" s="48"/>
      <c r="C996" s="47"/>
      <c r="D996" s="48"/>
      <c r="E996" s="48"/>
      <c r="F996" s="48"/>
      <c r="G996" s="48"/>
      <c r="H996" s="48"/>
      <c r="I996" s="49"/>
      <c r="J996" s="47"/>
      <c r="K996" s="47"/>
      <c r="L996" s="47"/>
      <c r="M996" s="47"/>
      <c r="N996" s="47"/>
      <c r="O996" s="47"/>
      <c r="P996" s="47"/>
      <c r="Q996" s="47"/>
      <c r="R996" s="47"/>
      <c r="S996" s="50"/>
      <c r="T996" s="47"/>
      <c r="U996" s="47"/>
      <c r="V996" s="47"/>
      <c r="W996" s="51"/>
      <c r="X996" s="51"/>
      <c r="Y996" s="47"/>
      <c r="Z996" s="47"/>
      <c r="AA996" s="47"/>
      <c r="AB996" s="47"/>
      <c r="AC996" s="47"/>
      <c r="AD996" s="47"/>
      <c r="AE996" s="54"/>
      <c r="AF996" s="54"/>
      <c r="AG996" s="54"/>
      <c r="AH996" s="54"/>
      <c r="AI996" s="54"/>
      <c r="AJ996" s="54"/>
      <c r="AK996" s="54"/>
      <c r="AL996" s="54"/>
      <c r="AM996" s="54"/>
      <c r="AN996" s="54"/>
      <c r="AO996" s="54"/>
      <c r="AP996" s="54"/>
      <c r="AQ996" s="54"/>
      <c r="AR996" s="54"/>
      <c r="AS996" s="54"/>
      <c r="AT996" s="54"/>
      <c r="AU996" s="54"/>
      <c r="AV996" s="54"/>
      <c r="AW996" s="54"/>
      <c r="AX996" s="54"/>
      <c r="AY996" s="54"/>
      <c r="AZ996" s="54"/>
      <c r="BA996" s="54"/>
      <c r="BB996" s="54"/>
      <c r="BC996" s="51"/>
      <c r="BD996" s="51"/>
      <c r="BE996" s="54"/>
      <c r="BF996" s="54"/>
      <c r="BG996" s="47"/>
      <c r="BH996" s="48"/>
      <c r="BI996" s="48"/>
      <c r="BJ996" s="48"/>
      <c r="BK996" s="48"/>
      <c r="BL996" s="48"/>
      <c r="BM996" s="48"/>
      <c r="BN996" s="48"/>
      <c r="BO996" s="48"/>
      <c r="BP996" s="48"/>
      <c r="BQ996" s="48"/>
      <c r="BR996" s="48"/>
      <c r="BS996" s="48"/>
      <c r="BT996" s="48"/>
      <c r="BU996" s="48"/>
      <c r="BV996" s="48"/>
      <c r="BW996" s="48"/>
      <c r="BX996" s="48"/>
      <c r="BY996" s="48"/>
      <c r="BZ996" s="48"/>
      <c r="CA996" s="48"/>
      <c r="CB996" s="48"/>
      <c r="CC996" s="48"/>
      <c r="CD996" s="48"/>
      <c r="CE996" s="48"/>
      <c r="CF996" s="52"/>
      <c r="CG996" s="52"/>
      <c r="CH996" s="48"/>
      <c r="CI996" s="48"/>
      <c r="CJ996" s="48"/>
      <c r="CK996" s="48"/>
    </row>
    <row r="997" spans="1:89" ht="15.75" customHeight="1" x14ac:dyDescent="0.3">
      <c r="A997" s="47"/>
      <c r="B997" s="48"/>
      <c r="C997" s="47"/>
      <c r="D997" s="48"/>
      <c r="E997" s="48"/>
      <c r="F997" s="48"/>
      <c r="G997" s="48"/>
      <c r="H997" s="48"/>
      <c r="I997" s="49"/>
      <c r="J997" s="47"/>
      <c r="K997" s="47"/>
      <c r="L997" s="47"/>
      <c r="M997" s="47"/>
      <c r="N997" s="47"/>
      <c r="O997" s="47"/>
      <c r="P997" s="47"/>
      <c r="Q997" s="47"/>
      <c r="R997" s="47"/>
      <c r="S997" s="50"/>
      <c r="T997" s="47"/>
      <c r="U997" s="47"/>
      <c r="V997" s="47"/>
      <c r="W997" s="51"/>
      <c r="X997" s="51"/>
      <c r="Y997" s="47"/>
      <c r="Z997" s="47"/>
      <c r="AA997" s="47"/>
      <c r="AB997" s="47"/>
      <c r="AC997" s="47"/>
      <c r="AD997" s="47"/>
      <c r="AE997" s="54"/>
      <c r="AF997" s="54"/>
      <c r="AG997" s="54"/>
      <c r="AH997" s="54"/>
      <c r="AI997" s="54"/>
      <c r="AJ997" s="54"/>
      <c r="AK997" s="54"/>
      <c r="AL997" s="54"/>
      <c r="AM997" s="54"/>
      <c r="AN997" s="54"/>
      <c r="AO997" s="54"/>
      <c r="AP997" s="54"/>
      <c r="AQ997" s="54"/>
      <c r="AR997" s="54"/>
      <c r="AS997" s="54"/>
      <c r="AT997" s="54"/>
      <c r="AU997" s="54"/>
      <c r="AV997" s="54"/>
      <c r="AW997" s="54"/>
      <c r="AX997" s="54"/>
      <c r="AY997" s="54"/>
      <c r="AZ997" s="54"/>
      <c r="BA997" s="54"/>
      <c r="BB997" s="54"/>
      <c r="BC997" s="51"/>
      <c r="BD997" s="51"/>
      <c r="BE997" s="54"/>
      <c r="BF997" s="54"/>
      <c r="BG997" s="47"/>
      <c r="BH997" s="48"/>
      <c r="BI997" s="48"/>
      <c r="BJ997" s="48"/>
      <c r="BK997" s="48"/>
      <c r="BL997" s="48"/>
      <c r="BM997" s="48"/>
      <c r="BN997" s="48"/>
      <c r="BO997" s="48"/>
      <c r="BP997" s="48"/>
      <c r="BQ997" s="48"/>
      <c r="BR997" s="48"/>
      <c r="BS997" s="48"/>
      <c r="BT997" s="48"/>
      <c r="BU997" s="48"/>
      <c r="BV997" s="48"/>
      <c r="BW997" s="48"/>
      <c r="BX997" s="48"/>
      <c r="BY997" s="48"/>
      <c r="BZ997" s="48"/>
      <c r="CA997" s="48"/>
      <c r="CB997" s="48"/>
      <c r="CC997" s="48"/>
      <c r="CD997" s="48"/>
      <c r="CE997" s="48"/>
      <c r="CF997" s="52"/>
      <c r="CG997" s="52"/>
      <c r="CH997" s="48"/>
      <c r="CI997" s="48"/>
      <c r="CJ997" s="48"/>
      <c r="CK997" s="48"/>
    </row>
    <row r="998" spans="1:89" ht="15.75" customHeight="1" x14ac:dyDescent="0.3">
      <c r="A998" s="47"/>
      <c r="B998" s="48"/>
      <c r="C998" s="47"/>
      <c r="D998" s="48"/>
      <c r="E998" s="48"/>
      <c r="F998" s="48"/>
      <c r="G998" s="48"/>
      <c r="H998" s="48"/>
      <c r="I998" s="49"/>
      <c r="J998" s="47"/>
      <c r="K998" s="47"/>
      <c r="L998" s="47"/>
      <c r="M998" s="47"/>
      <c r="N998" s="47"/>
      <c r="O998" s="47"/>
      <c r="P998" s="47"/>
      <c r="Q998" s="47"/>
      <c r="R998" s="47"/>
      <c r="S998" s="50"/>
      <c r="T998" s="47"/>
      <c r="U998" s="47"/>
      <c r="V998" s="47"/>
      <c r="W998" s="51"/>
      <c r="X998" s="51"/>
      <c r="Y998" s="47"/>
      <c r="Z998" s="47"/>
      <c r="AA998" s="47"/>
      <c r="AB998" s="47"/>
      <c r="AC998" s="47"/>
      <c r="AD998" s="47"/>
      <c r="AE998" s="54"/>
      <c r="AF998" s="54"/>
      <c r="AG998" s="54"/>
      <c r="AH998" s="54"/>
      <c r="AI998" s="54"/>
      <c r="AJ998" s="54"/>
      <c r="AK998" s="54"/>
      <c r="AL998" s="54"/>
      <c r="AM998" s="54"/>
      <c r="AN998" s="54"/>
      <c r="AO998" s="54"/>
      <c r="AP998" s="54"/>
      <c r="AQ998" s="54"/>
      <c r="AR998" s="54"/>
      <c r="AS998" s="54"/>
      <c r="AT998" s="54"/>
      <c r="AU998" s="54"/>
      <c r="AV998" s="54"/>
      <c r="AW998" s="54"/>
      <c r="AX998" s="54"/>
      <c r="AY998" s="54"/>
      <c r="AZ998" s="54"/>
      <c r="BA998" s="54"/>
      <c r="BB998" s="54"/>
      <c r="BC998" s="51"/>
      <c r="BD998" s="51"/>
      <c r="BE998" s="54"/>
      <c r="BF998" s="54"/>
      <c r="BG998" s="47"/>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52"/>
      <c r="CG998" s="52"/>
      <c r="CH998" s="48"/>
      <c r="CI998" s="48"/>
      <c r="CJ998" s="48"/>
      <c r="CK998" s="48"/>
    </row>
    <row r="999" spans="1:89" ht="15.75" customHeight="1" x14ac:dyDescent="0.3">
      <c r="A999" s="47"/>
      <c r="B999" s="48"/>
      <c r="C999" s="47"/>
      <c r="D999" s="48"/>
      <c r="E999" s="48"/>
      <c r="F999" s="48"/>
      <c r="G999" s="48"/>
      <c r="H999" s="48"/>
      <c r="I999" s="49"/>
      <c r="J999" s="47"/>
      <c r="K999" s="47"/>
      <c r="L999" s="47"/>
      <c r="M999" s="47"/>
      <c r="N999" s="47"/>
      <c r="O999" s="47"/>
      <c r="P999" s="47"/>
      <c r="Q999" s="47"/>
      <c r="R999" s="47"/>
      <c r="S999" s="50"/>
      <c r="T999" s="47"/>
      <c r="U999" s="47"/>
      <c r="V999" s="47"/>
      <c r="W999" s="51"/>
      <c r="X999" s="51"/>
      <c r="Y999" s="47"/>
      <c r="Z999" s="47"/>
      <c r="AA999" s="47"/>
      <c r="AB999" s="47"/>
      <c r="AC999" s="47"/>
      <c r="AD999" s="47"/>
      <c r="AE999" s="54"/>
      <c r="AF999" s="54"/>
      <c r="AG999" s="54"/>
      <c r="AH999" s="54"/>
      <c r="AI999" s="54"/>
      <c r="AJ999" s="54"/>
      <c r="AK999" s="54"/>
      <c r="AL999" s="54"/>
      <c r="AM999" s="54"/>
      <c r="AN999" s="54"/>
      <c r="AO999" s="54"/>
      <c r="AP999" s="54"/>
      <c r="AQ999" s="54"/>
      <c r="AR999" s="54"/>
      <c r="AS999" s="54"/>
      <c r="AT999" s="54"/>
      <c r="AU999" s="54"/>
      <c r="AV999" s="54"/>
      <c r="AW999" s="54"/>
      <c r="AX999" s="54"/>
      <c r="AY999" s="54"/>
      <c r="AZ999" s="54"/>
      <c r="BA999" s="54"/>
      <c r="BB999" s="54"/>
      <c r="BC999" s="51"/>
      <c r="BD999" s="51"/>
      <c r="BE999" s="54"/>
      <c r="BF999" s="54"/>
      <c r="BG999" s="47"/>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52"/>
      <c r="CG999" s="52"/>
      <c r="CH999" s="48"/>
      <c r="CI999" s="48"/>
      <c r="CJ999" s="48"/>
      <c r="CK999" s="48"/>
    </row>
    <row r="1000" spans="1:89" ht="15.75" customHeight="1" x14ac:dyDescent="0.3">
      <c r="A1000" s="47"/>
      <c r="B1000" s="48"/>
      <c r="C1000" s="47"/>
      <c r="D1000" s="48"/>
      <c r="E1000" s="48"/>
      <c r="F1000" s="48"/>
      <c r="G1000" s="48"/>
      <c r="H1000" s="48"/>
      <c r="I1000" s="49"/>
      <c r="J1000" s="47"/>
      <c r="K1000" s="47"/>
      <c r="L1000" s="47"/>
      <c r="M1000" s="47"/>
      <c r="N1000" s="47"/>
      <c r="O1000" s="47"/>
      <c r="P1000" s="47"/>
      <c r="Q1000" s="47"/>
      <c r="R1000" s="47"/>
      <c r="S1000" s="50"/>
      <c r="T1000" s="47"/>
      <c r="U1000" s="47"/>
      <c r="V1000" s="47"/>
      <c r="W1000" s="51"/>
      <c r="X1000" s="51"/>
      <c r="Y1000" s="47"/>
      <c r="Z1000" s="47"/>
      <c r="AA1000" s="47"/>
      <c r="AB1000" s="47"/>
      <c r="AC1000" s="47"/>
      <c r="AD1000" s="47"/>
      <c r="AE1000" s="54"/>
      <c r="AF1000" s="54"/>
      <c r="AG1000" s="54"/>
      <c r="AH1000" s="54"/>
      <c r="AI1000" s="54"/>
      <c r="AJ1000" s="54"/>
      <c r="AK1000" s="54"/>
      <c r="AL1000" s="54"/>
      <c r="AM1000" s="54"/>
      <c r="AN1000" s="54"/>
      <c r="AO1000" s="54"/>
      <c r="AP1000" s="54"/>
      <c r="AQ1000" s="54"/>
      <c r="AR1000" s="54"/>
      <c r="AS1000" s="54"/>
      <c r="AT1000" s="54"/>
      <c r="AU1000" s="54"/>
      <c r="AV1000" s="54"/>
      <c r="AW1000" s="54"/>
      <c r="AX1000" s="54"/>
      <c r="AY1000" s="54"/>
      <c r="AZ1000" s="54"/>
      <c r="BA1000" s="54"/>
      <c r="BB1000" s="54"/>
      <c r="BC1000" s="51"/>
      <c r="BD1000" s="51"/>
      <c r="BE1000" s="54"/>
      <c r="BF1000" s="54"/>
      <c r="BG1000" s="47"/>
      <c r="BH1000" s="48"/>
      <c r="BI1000" s="48"/>
      <c r="BJ1000" s="48"/>
      <c r="BK1000" s="48"/>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52"/>
      <c r="CG1000" s="52"/>
      <c r="CH1000" s="48"/>
      <c r="CI1000" s="48"/>
      <c r="CJ1000" s="48"/>
      <c r="CK1000" s="48"/>
    </row>
    <row r="1001" spans="1:89" ht="15.75" customHeight="1" x14ac:dyDescent="0.3">
      <c r="A1001" s="47"/>
      <c r="B1001" s="48"/>
      <c r="C1001" s="47"/>
      <c r="D1001" s="48"/>
      <c r="E1001" s="48"/>
      <c r="F1001" s="48"/>
      <c r="G1001" s="48"/>
      <c r="H1001" s="48"/>
      <c r="I1001" s="49"/>
      <c r="J1001" s="47"/>
      <c r="K1001" s="47"/>
      <c r="L1001" s="47"/>
      <c r="M1001" s="47"/>
      <c r="N1001" s="47"/>
      <c r="O1001" s="47"/>
      <c r="P1001" s="47"/>
      <c r="Q1001" s="47"/>
      <c r="R1001" s="47"/>
      <c r="S1001" s="50"/>
      <c r="T1001" s="47"/>
      <c r="U1001" s="47"/>
      <c r="V1001" s="47"/>
      <c r="W1001" s="51"/>
      <c r="X1001" s="51"/>
      <c r="Y1001" s="47"/>
      <c r="Z1001" s="47"/>
      <c r="AA1001" s="47"/>
      <c r="AB1001" s="47"/>
      <c r="AC1001" s="47"/>
      <c r="AD1001" s="47"/>
      <c r="AE1001" s="54"/>
      <c r="AF1001" s="54"/>
      <c r="AG1001" s="54"/>
      <c r="AH1001" s="54"/>
      <c r="AI1001" s="54"/>
      <c r="AJ1001" s="54"/>
      <c r="AK1001" s="54"/>
      <c r="AL1001" s="54"/>
      <c r="AM1001" s="54"/>
      <c r="AN1001" s="54"/>
      <c r="AO1001" s="54"/>
      <c r="AP1001" s="54"/>
      <c r="AQ1001" s="54"/>
      <c r="AR1001" s="54"/>
      <c r="AS1001" s="54"/>
      <c r="AT1001" s="54"/>
      <c r="AU1001" s="54"/>
      <c r="AV1001" s="54"/>
      <c r="AW1001" s="54"/>
      <c r="AX1001" s="54"/>
      <c r="AY1001" s="54"/>
      <c r="AZ1001" s="54"/>
      <c r="BA1001" s="54"/>
      <c r="BB1001" s="54"/>
      <c r="BC1001" s="51"/>
      <c r="BD1001" s="51"/>
      <c r="BE1001" s="54"/>
      <c r="BF1001" s="54"/>
      <c r="BG1001" s="47"/>
      <c r="BH1001" s="48"/>
      <c r="BI1001" s="48"/>
      <c r="BJ1001" s="48"/>
      <c r="BK1001" s="48"/>
      <c r="BL1001" s="48"/>
      <c r="BM1001" s="48"/>
      <c r="BN1001" s="48"/>
      <c r="BO1001" s="48"/>
      <c r="BP1001" s="48"/>
      <c r="BQ1001" s="48"/>
      <c r="BR1001" s="48"/>
      <c r="BS1001" s="48"/>
      <c r="BT1001" s="48"/>
      <c r="BU1001" s="48"/>
      <c r="BV1001" s="48"/>
      <c r="BW1001" s="48"/>
      <c r="BX1001" s="48"/>
      <c r="BY1001" s="48"/>
      <c r="BZ1001" s="48"/>
      <c r="CA1001" s="48"/>
      <c r="CB1001" s="48"/>
      <c r="CC1001" s="48"/>
      <c r="CD1001" s="48"/>
      <c r="CE1001" s="48"/>
      <c r="CF1001" s="52"/>
      <c r="CG1001" s="52"/>
      <c r="CH1001" s="48"/>
      <c r="CI1001" s="48"/>
      <c r="CJ1001" s="48"/>
      <c r="CK1001" s="48"/>
    </row>
    <row r="1002" spans="1:89" ht="15.75" customHeight="1" x14ac:dyDescent="0.3">
      <c r="A1002" s="47"/>
      <c r="B1002" s="48"/>
      <c r="C1002" s="47"/>
      <c r="D1002" s="48"/>
      <c r="E1002" s="48"/>
      <c r="F1002" s="48"/>
      <c r="G1002" s="48"/>
      <c r="H1002" s="48"/>
      <c r="I1002" s="49"/>
      <c r="J1002" s="47"/>
      <c r="K1002" s="47"/>
      <c r="L1002" s="47"/>
      <c r="M1002" s="47"/>
      <c r="N1002" s="47"/>
      <c r="O1002" s="47"/>
      <c r="P1002" s="47"/>
      <c r="Q1002" s="47"/>
      <c r="R1002" s="47"/>
      <c r="S1002" s="50"/>
      <c r="T1002" s="47"/>
      <c r="U1002" s="47"/>
      <c r="V1002" s="47"/>
      <c r="W1002" s="51"/>
      <c r="X1002" s="51"/>
      <c r="Y1002" s="47"/>
      <c r="Z1002" s="47"/>
      <c r="AA1002" s="47"/>
      <c r="AB1002" s="47"/>
      <c r="AC1002" s="47"/>
      <c r="AD1002" s="47"/>
      <c r="AE1002" s="54"/>
      <c r="AF1002" s="54"/>
      <c r="AG1002" s="54"/>
      <c r="AH1002" s="54"/>
      <c r="AI1002" s="54"/>
      <c r="AJ1002" s="54"/>
      <c r="AK1002" s="54"/>
      <c r="AL1002" s="54"/>
      <c r="AM1002" s="54"/>
      <c r="AN1002" s="54"/>
      <c r="AO1002" s="54"/>
      <c r="AP1002" s="54"/>
      <c r="AQ1002" s="54"/>
      <c r="AR1002" s="54"/>
      <c r="AS1002" s="54"/>
      <c r="AT1002" s="54"/>
      <c r="AU1002" s="54"/>
      <c r="AV1002" s="54"/>
      <c r="AW1002" s="54"/>
      <c r="AX1002" s="54"/>
      <c r="AY1002" s="54"/>
      <c r="AZ1002" s="54"/>
      <c r="BA1002" s="54"/>
      <c r="BB1002" s="54"/>
      <c r="BC1002" s="51"/>
      <c r="BD1002" s="51"/>
      <c r="BE1002" s="54"/>
      <c r="BF1002" s="54"/>
      <c r="BG1002" s="47"/>
      <c r="BH1002" s="48"/>
      <c r="BI1002" s="48"/>
      <c r="BJ1002" s="48"/>
      <c r="BK1002" s="48"/>
      <c r="BL1002" s="48"/>
      <c r="BM1002" s="48"/>
      <c r="BN1002" s="48"/>
      <c r="BO1002" s="48"/>
      <c r="BP1002" s="48"/>
      <c r="BQ1002" s="48"/>
      <c r="BR1002" s="48"/>
      <c r="BS1002" s="48"/>
      <c r="BT1002" s="48"/>
      <c r="BU1002" s="48"/>
      <c r="BV1002" s="48"/>
      <c r="BW1002" s="48"/>
      <c r="BX1002" s="48"/>
      <c r="BY1002" s="48"/>
      <c r="BZ1002" s="48"/>
      <c r="CA1002" s="48"/>
      <c r="CB1002" s="48"/>
      <c r="CC1002" s="48"/>
      <c r="CD1002" s="48"/>
      <c r="CE1002" s="48"/>
      <c r="CF1002" s="52"/>
      <c r="CG1002" s="52"/>
      <c r="CH1002" s="48"/>
      <c r="CI1002" s="48"/>
      <c r="CJ1002" s="48"/>
      <c r="CK1002" s="48"/>
    </row>
    <row r="1003" spans="1:89" ht="15.75" customHeight="1" x14ac:dyDescent="0.3">
      <c r="A1003" s="47"/>
      <c r="B1003" s="48"/>
      <c r="C1003" s="47"/>
      <c r="D1003" s="48"/>
      <c r="E1003" s="48"/>
      <c r="F1003" s="48"/>
      <c r="G1003" s="48"/>
      <c r="H1003" s="48"/>
      <c r="I1003" s="49"/>
      <c r="J1003" s="47"/>
      <c r="K1003" s="47"/>
      <c r="L1003" s="47"/>
      <c r="M1003" s="47"/>
      <c r="N1003" s="47"/>
      <c r="O1003" s="47"/>
      <c r="P1003" s="47"/>
      <c r="Q1003" s="47"/>
      <c r="R1003" s="47"/>
      <c r="S1003" s="50"/>
      <c r="T1003" s="47"/>
      <c r="U1003" s="47"/>
      <c r="V1003" s="47"/>
      <c r="W1003" s="51"/>
      <c r="X1003" s="51"/>
      <c r="Y1003" s="47"/>
      <c r="Z1003" s="47"/>
      <c r="AA1003" s="47"/>
      <c r="AB1003" s="47"/>
      <c r="AC1003" s="47"/>
      <c r="AD1003" s="47"/>
      <c r="AE1003" s="54"/>
      <c r="AF1003" s="54"/>
      <c r="AG1003" s="54"/>
      <c r="AH1003" s="54"/>
      <c r="AI1003" s="54"/>
      <c r="AJ1003" s="54"/>
      <c r="AK1003" s="54"/>
      <c r="AL1003" s="54"/>
      <c r="AM1003" s="54"/>
      <c r="AN1003" s="54"/>
      <c r="AO1003" s="54"/>
      <c r="AP1003" s="54"/>
      <c r="AQ1003" s="54"/>
      <c r="AR1003" s="54"/>
      <c r="AS1003" s="54"/>
      <c r="AT1003" s="54"/>
      <c r="AU1003" s="54"/>
      <c r="AV1003" s="54"/>
      <c r="AW1003" s="54"/>
      <c r="AX1003" s="54"/>
      <c r="AY1003" s="54"/>
      <c r="AZ1003" s="54"/>
      <c r="BA1003" s="54"/>
      <c r="BB1003" s="54"/>
      <c r="BC1003" s="51"/>
      <c r="BD1003" s="51"/>
      <c r="BE1003" s="54"/>
      <c r="BF1003" s="54"/>
      <c r="BG1003" s="47"/>
      <c r="BH1003" s="48"/>
      <c r="BI1003" s="48"/>
      <c r="BJ1003" s="48"/>
      <c r="BK1003" s="48"/>
      <c r="BL1003" s="48"/>
      <c r="BM1003" s="48"/>
      <c r="BN1003" s="48"/>
      <c r="BO1003" s="48"/>
      <c r="BP1003" s="48"/>
      <c r="BQ1003" s="48"/>
      <c r="BR1003" s="48"/>
      <c r="BS1003" s="48"/>
      <c r="BT1003" s="48"/>
      <c r="BU1003" s="48"/>
      <c r="BV1003" s="48"/>
      <c r="BW1003" s="48"/>
      <c r="BX1003" s="48"/>
      <c r="BY1003" s="48"/>
      <c r="BZ1003" s="48"/>
      <c r="CA1003" s="48"/>
      <c r="CB1003" s="48"/>
      <c r="CC1003" s="48"/>
      <c r="CD1003" s="48"/>
      <c r="CE1003" s="48"/>
      <c r="CF1003" s="52"/>
      <c r="CG1003" s="52"/>
      <c r="CH1003" s="48"/>
      <c r="CI1003" s="48"/>
      <c r="CJ1003" s="48"/>
      <c r="CK1003" s="48"/>
    </row>
    <row r="1004" spans="1:89" ht="15.75" customHeight="1" x14ac:dyDescent="0.3">
      <c r="A1004" s="47"/>
      <c r="B1004" s="48"/>
      <c r="C1004" s="47"/>
      <c r="D1004" s="48"/>
      <c r="E1004" s="48"/>
      <c r="F1004" s="48"/>
      <c r="G1004" s="48"/>
      <c r="H1004" s="48"/>
      <c r="I1004" s="49"/>
      <c r="J1004" s="47"/>
      <c r="K1004" s="47"/>
      <c r="L1004" s="47"/>
      <c r="M1004" s="47"/>
      <c r="N1004" s="47"/>
      <c r="O1004" s="47"/>
      <c r="P1004" s="47"/>
      <c r="Q1004" s="47"/>
      <c r="R1004" s="47"/>
      <c r="S1004" s="50"/>
      <c r="T1004" s="47"/>
      <c r="U1004" s="47"/>
      <c r="V1004" s="47"/>
      <c r="W1004" s="51"/>
      <c r="X1004" s="51"/>
      <c r="Y1004" s="47"/>
      <c r="Z1004" s="47"/>
      <c r="AA1004" s="47"/>
      <c r="AB1004" s="47"/>
      <c r="AC1004" s="47"/>
      <c r="AD1004" s="47"/>
      <c r="AE1004" s="54"/>
      <c r="AF1004" s="54"/>
      <c r="AG1004" s="54"/>
      <c r="AH1004" s="54"/>
      <c r="AI1004" s="54"/>
      <c r="AJ1004" s="54"/>
      <c r="AK1004" s="54"/>
      <c r="AL1004" s="54"/>
      <c r="AM1004" s="54"/>
      <c r="AN1004" s="54"/>
      <c r="AO1004" s="54"/>
      <c r="AP1004" s="54"/>
      <c r="AQ1004" s="54"/>
      <c r="AR1004" s="54"/>
      <c r="AS1004" s="54"/>
      <c r="AT1004" s="54"/>
      <c r="AU1004" s="54"/>
      <c r="AV1004" s="54"/>
      <c r="AW1004" s="54"/>
      <c r="AX1004" s="54"/>
      <c r="AY1004" s="54"/>
      <c r="AZ1004" s="54"/>
      <c r="BA1004" s="54"/>
      <c r="BB1004" s="54"/>
      <c r="BC1004" s="51"/>
      <c r="BD1004" s="51"/>
      <c r="BE1004" s="54"/>
      <c r="BF1004" s="54"/>
      <c r="BG1004" s="47"/>
      <c r="BH1004" s="48"/>
      <c r="BI1004" s="48"/>
      <c r="BJ1004" s="48"/>
      <c r="BK1004" s="48"/>
      <c r="BL1004" s="48"/>
      <c r="BM1004" s="48"/>
      <c r="BN1004" s="48"/>
      <c r="BO1004" s="48"/>
      <c r="BP1004" s="48"/>
      <c r="BQ1004" s="48"/>
      <c r="BR1004" s="48"/>
      <c r="BS1004" s="48"/>
      <c r="BT1004" s="48"/>
      <c r="BU1004" s="48"/>
      <c r="BV1004" s="48"/>
      <c r="BW1004" s="48"/>
      <c r="BX1004" s="48"/>
      <c r="BY1004" s="48"/>
      <c r="BZ1004" s="48"/>
      <c r="CA1004" s="48"/>
      <c r="CB1004" s="48"/>
      <c r="CC1004" s="48"/>
      <c r="CD1004" s="48"/>
      <c r="CE1004" s="48"/>
      <c r="CF1004" s="52"/>
      <c r="CG1004" s="52"/>
      <c r="CH1004" s="48"/>
      <c r="CI1004" s="48"/>
      <c r="CJ1004" s="48"/>
      <c r="CK1004" s="48"/>
    </row>
    <row r="1005" spans="1:89" ht="15.75" customHeight="1" x14ac:dyDescent="0.3">
      <c r="A1005" s="47"/>
      <c r="B1005" s="48"/>
      <c r="C1005" s="47"/>
      <c r="D1005" s="48"/>
      <c r="E1005" s="48"/>
      <c r="F1005" s="48"/>
      <c r="G1005" s="48"/>
      <c r="H1005" s="48"/>
      <c r="I1005" s="49"/>
      <c r="J1005" s="47"/>
      <c r="K1005" s="47"/>
      <c r="L1005" s="47"/>
      <c r="M1005" s="47"/>
      <c r="N1005" s="47"/>
      <c r="O1005" s="47"/>
      <c r="P1005" s="47"/>
      <c r="Q1005" s="47"/>
      <c r="R1005" s="47"/>
      <c r="S1005" s="50"/>
      <c r="T1005" s="47"/>
      <c r="U1005" s="47"/>
      <c r="V1005" s="47"/>
      <c r="W1005" s="51"/>
      <c r="X1005" s="51"/>
      <c r="Y1005" s="47"/>
      <c r="Z1005" s="47"/>
      <c r="AA1005" s="47"/>
      <c r="AB1005" s="47"/>
      <c r="AC1005" s="47"/>
      <c r="AD1005" s="47"/>
      <c r="AE1005" s="54"/>
      <c r="AF1005" s="54"/>
      <c r="AG1005" s="54"/>
      <c r="AH1005" s="54"/>
      <c r="AI1005" s="54"/>
      <c r="AJ1005" s="54"/>
      <c r="AK1005" s="54"/>
      <c r="AL1005" s="54"/>
      <c r="AM1005" s="54"/>
      <c r="AN1005" s="54"/>
      <c r="AO1005" s="54"/>
      <c r="AP1005" s="54"/>
      <c r="AQ1005" s="54"/>
      <c r="AR1005" s="54"/>
      <c r="AS1005" s="54"/>
      <c r="AT1005" s="54"/>
      <c r="AU1005" s="54"/>
      <c r="AV1005" s="54"/>
      <c r="AW1005" s="54"/>
      <c r="AX1005" s="54"/>
      <c r="AY1005" s="54"/>
      <c r="AZ1005" s="54"/>
      <c r="BA1005" s="54"/>
      <c r="BB1005" s="54"/>
      <c r="BC1005" s="51"/>
      <c r="BD1005" s="51"/>
      <c r="BE1005" s="54"/>
      <c r="BF1005" s="54"/>
      <c r="BG1005" s="47"/>
      <c r="BH1005" s="48"/>
      <c r="BI1005" s="48"/>
      <c r="BJ1005" s="48"/>
      <c r="BK1005" s="48"/>
      <c r="BL1005" s="48"/>
      <c r="BM1005" s="48"/>
      <c r="BN1005" s="48"/>
      <c r="BO1005" s="48"/>
      <c r="BP1005" s="48"/>
      <c r="BQ1005" s="48"/>
      <c r="BR1005" s="48"/>
      <c r="BS1005" s="48"/>
      <c r="BT1005" s="48"/>
      <c r="BU1005" s="48"/>
      <c r="BV1005" s="48"/>
      <c r="BW1005" s="48"/>
      <c r="BX1005" s="48"/>
      <c r="BY1005" s="48"/>
      <c r="BZ1005" s="48"/>
      <c r="CA1005" s="48"/>
      <c r="CB1005" s="48"/>
      <c r="CC1005" s="48"/>
      <c r="CD1005" s="48"/>
      <c r="CE1005" s="48"/>
      <c r="CF1005" s="52"/>
      <c r="CG1005" s="52"/>
      <c r="CH1005" s="48"/>
      <c r="CI1005" s="48"/>
      <c r="CJ1005" s="48"/>
      <c r="CK1005" s="48"/>
    </row>
    <row r="1006" spans="1:89" ht="15.75" customHeight="1" x14ac:dyDescent="0.3">
      <c r="A1006" s="47"/>
      <c r="B1006" s="48"/>
      <c r="C1006" s="47"/>
      <c r="D1006" s="48"/>
      <c r="E1006" s="48"/>
      <c r="F1006" s="48"/>
      <c r="G1006" s="48"/>
      <c r="H1006" s="48"/>
      <c r="I1006" s="49"/>
      <c r="J1006" s="47"/>
      <c r="K1006" s="47"/>
      <c r="L1006" s="47"/>
      <c r="M1006" s="47"/>
      <c r="N1006" s="47"/>
      <c r="O1006" s="47"/>
      <c r="P1006" s="47"/>
      <c r="Q1006" s="47"/>
      <c r="R1006" s="47"/>
      <c r="S1006" s="50"/>
      <c r="T1006" s="47"/>
      <c r="U1006" s="47"/>
      <c r="V1006" s="47"/>
      <c r="W1006" s="51"/>
      <c r="X1006" s="51"/>
      <c r="Y1006" s="47"/>
      <c r="Z1006" s="47"/>
      <c r="AA1006" s="47"/>
      <c r="AB1006" s="47"/>
      <c r="AC1006" s="47"/>
      <c r="AD1006" s="47"/>
      <c r="AE1006" s="54"/>
      <c r="AF1006" s="54"/>
      <c r="AG1006" s="54"/>
      <c r="AH1006" s="54"/>
      <c r="AI1006" s="54"/>
      <c r="AJ1006" s="54"/>
      <c r="AK1006" s="54"/>
      <c r="AL1006" s="54"/>
      <c r="AM1006" s="54"/>
      <c r="AN1006" s="54"/>
      <c r="AO1006" s="54"/>
      <c r="AP1006" s="54"/>
      <c r="AQ1006" s="54"/>
      <c r="AR1006" s="54"/>
      <c r="AS1006" s="54"/>
      <c r="AT1006" s="54"/>
      <c r="AU1006" s="54"/>
      <c r="AV1006" s="54"/>
      <c r="AW1006" s="54"/>
      <c r="AX1006" s="54"/>
      <c r="AY1006" s="54"/>
      <c r="AZ1006" s="54"/>
      <c r="BA1006" s="54"/>
      <c r="BB1006" s="54"/>
      <c r="BC1006" s="51"/>
      <c r="BD1006" s="51"/>
      <c r="BE1006" s="54"/>
      <c r="BF1006" s="54"/>
      <c r="BG1006" s="47"/>
      <c r="BH1006" s="48"/>
      <c r="BI1006" s="48"/>
      <c r="BJ1006" s="48"/>
      <c r="BK1006" s="48"/>
      <c r="BL1006" s="48"/>
      <c r="BM1006" s="48"/>
      <c r="BN1006" s="48"/>
      <c r="BO1006" s="48"/>
      <c r="BP1006" s="48"/>
      <c r="BQ1006" s="48"/>
      <c r="BR1006" s="48"/>
      <c r="BS1006" s="48"/>
      <c r="BT1006" s="48"/>
      <c r="BU1006" s="48"/>
      <c r="BV1006" s="48"/>
      <c r="BW1006" s="48"/>
      <c r="BX1006" s="48"/>
      <c r="BY1006" s="48"/>
      <c r="BZ1006" s="48"/>
      <c r="CA1006" s="48"/>
      <c r="CB1006" s="48"/>
      <c r="CC1006" s="48"/>
      <c r="CD1006" s="48"/>
      <c r="CE1006" s="48"/>
      <c r="CF1006" s="52"/>
      <c r="CG1006" s="52"/>
      <c r="CH1006" s="48"/>
      <c r="CI1006" s="48"/>
      <c r="CJ1006" s="48"/>
      <c r="CK1006" s="48"/>
    </row>
    <row r="1007" spans="1:89" ht="15.75" customHeight="1" x14ac:dyDescent="0.3">
      <c r="A1007" s="47"/>
      <c r="B1007" s="48"/>
      <c r="C1007" s="47"/>
      <c r="D1007" s="48"/>
      <c r="E1007" s="48"/>
      <c r="F1007" s="48"/>
      <c r="G1007" s="48"/>
      <c r="H1007" s="48"/>
      <c r="I1007" s="49"/>
      <c r="J1007" s="47"/>
      <c r="K1007" s="47"/>
      <c r="L1007" s="47"/>
      <c r="M1007" s="47"/>
      <c r="N1007" s="47"/>
      <c r="O1007" s="47"/>
      <c r="P1007" s="47"/>
      <c r="Q1007" s="47"/>
      <c r="R1007" s="47"/>
      <c r="S1007" s="50"/>
      <c r="T1007" s="47"/>
      <c r="U1007" s="47"/>
      <c r="V1007" s="47"/>
      <c r="W1007" s="51"/>
      <c r="X1007" s="51"/>
      <c r="Y1007" s="47"/>
      <c r="Z1007" s="47"/>
      <c r="AA1007" s="47"/>
      <c r="AB1007" s="47"/>
      <c r="AC1007" s="47"/>
      <c r="AD1007" s="47"/>
      <c r="AE1007" s="54"/>
      <c r="AF1007" s="54"/>
      <c r="AG1007" s="54"/>
      <c r="AH1007" s="54"/>
      <c r="AI1007" s="54"/>
      <c r="AJ1007" s="54"/>
      <c r="AK1007" s="54"/>
      <c r="AL1007" s="54"/>
      <c r="AM1007" s="54"/>
      <c r="AN1007" s="54"/>
      <c r="AO1007" s="54"/>
      <c r="AP1007" s="54"/>
      <c r="AQ1007" s="54"/>
      <c r="AR1007" s="54"/>
      <c r="AS1007" s="54"/>
      <c r="AT1007" s="54"/>
      <c r="AU1007" s="54"/>
      <c r="AV1007" s="54"/>
      <c r="AW1007" s="54"/>
      <c r="AX1007" s="54"/>
      <c r="AY1007" s="54"/>
      <c r="AZ1007" s="54"/>
      <c r="BA1007" s="54"/>
      <c r="BB1007" s="54"/>
      <c r="BC1007" s="51"/>
      <c r="BD1007" s="51"/>
      <c r="BE1007" s="54"/>
      <c r="BF1007" s="54"/>
      <c r="BG1007" s="47"/>
      <c r="BH1007" s="48"/>
      <c r="BI1007" s="48"/>
      <c r="BJ1007" s="48"/>
      <c r="BK1007" s="48"/>
      <c r="BL1007" s="48"/>
      <c r="BM1007" s="48"/>
      <c r="BN1007" s="48"/>
      <c r="BO1007" s="48"/>
      <c r="BP1007" s="48"/>
      <c r="BQ1007" s="48"/>
      <c r="BR1007" s="48"/>
      <c r="BS1007" s="48"/>
      <c r="BT1007" s="48"/>
      <c r="BU1007" s="48"/>
      <c r="BV1007" s="48"/>
      <c r="BW1007" s="48"/>
      <c r="BX1007" s="48"/>
      <c r="BY1007" s="48"/>
      <c r="BZ1007" s="48"/>
      <c r="CA1007" s="48"/>
      <c r="CB1007" s="48"/>
      <c r="CC1007" s="48"/>
      <c r="CD1007" s="48"/>
      <c r="CE1007" s="48"/>
      <c r="CF1007" s="52"/>
      <c r="CG1007" s="52"/>
      <c r="CH1007" s="48"/>
      <c r="CI1007" s="48"/>
      <c r="CJ1007" s="48"/>
      <c r="CK1007" s="48"/>
    </row>
    <row r="1008" spans="1:89" ht="15.75" customHeight="1" x14ac:dyDescent="0.3">
      <c r="A1008" s="47"/>
      <c r="B1008" s="48"/>
      <c r="C1008" s="47"/>
      <c r="D1008" s="48"/>
      <c r="E1008" s="48"/>
      <c r="F1008" s="48"/>
      <c r="G1008" s="48"/>
      <c r="H1008" s="48"/>
      <c r="I1008" s="49"/>
      <c r="J1008" s="47"/>
      <c r="K1008" s="47"/>
      <c r="L1008" s="47"/>
      <c r="M1008" s="47"/>
      <c r="N1008" s="47"/>
      <c r="O1008" s="47"/>
      <c r="P1008" s="47"/>
      <c r="Q1008" s="47"/>
      <c r="R1008" s="47"/>
      <c r="S1008" s="50"/>
      <c r="T1008" s="47"/>
      <c r="U1008" s="47"/>
      <c r="V1008" s="47"/>
      <c r="W1008" s="51"/>
      <c r="X1008" s="51"/>
      <c r="Y1008" s="47"/>
      <c r="Z1008" s="47"/>
      <c r="AA1008" s="47"/>
      <c r="AB1008" s="47"/>
      <c r="AC1008" s="47"/>
      <c r="AD1008" s="47"/>
      <c r="AE1008" s="54"/>
      <c r="AF1008" s="54"/>
      <c r="AG1008" s="54"/>
      <c r="AH1008" s="54"/>
      <c r="AI1008" s="54"/>
      <c r="AJ1008" s="54"/>
      <c r="AK1008" s="54"/>
      <c r="AL1008" s="54"/>
      <c r="AM1008" s="54"/>
      <c r="AN1008" s="54"/>
      <c r="AO1008" s="54"/>
      <c r="AP1008" s="54"/>
      <c r="AQ1008" s="54"/>
      <c r="AR1008" s="54"/>
      <c r="AS1008" s="54"/>
      <c r="AT1008" s="54"/>
      <c r="AU1008" s="54"/>
      <c r="AV1008" s="54"/>
      <c r="AW1008" s="54"/>
      <c r="AX1008" s="54"/>
      <c r="AY1008" s="54"/>
      <c r="AZ1008" s="54"/>
      <c r="BA1008" s="54"/>
      <c r="BB1008" s="54"/>
      <c r="BC1008" s="51"/>
      <c r="BD1008" s="51"/>
      <c r="BE1008" s="54"/>
      <c r="BF1008" s="54"/>
      <c r="BG1008" s="47"/>
      <c r="BH1008" s="48"/>
      <c r="BI1008" s="48"/>
      <c r="BJ1008" s="48"/>
      <c r="BK1008" s="48"/>
      <c r="BL1008" s="48"/>
      <c r="BM1008" s="48"/>
      <c r="BN1008" s="48"/>
      <c r="BO1008" s="48"/>
      <c r="BP1008" s="48"/>
      <c r="BQ1008" s="48"/>
      <c r="BR1008" s="48"/>
      <c r="BS1008" s="48"/>
      <c r="BT1008" s="48"/>
      <c r="BU1008" s="48"/>
      <c r="BV1008" s="48"/>
      <c r="BW1008" s="48"/>
      <c r="BX1008" s="48"/>
      <c r="BY1008" s="48"/>
      <c r="BZ1008" s="48"/>
      <c r="CA1008" s="48"/>
      <c r="CB1008" s="48"/>
      <c r="CC1008" s="48"/>
      <c r="CD1008" s="48"/>
      <c r="CE1008" s="48"/>
      <c r="CF1008" s="52"/>
      <c r="CG1008" s="52"/>
      <c r="CH1008" s="48"/>
      <c r="CI1008" s="48"/>
      <c r="CJ1008" s="48"/>
      <c r="CK1008" s="48"/>
    </row>
    <row r="1009" spans="1:89" ht="15.75" customHeight="1" x14ac:dyDescent="0.3">
      <c r="A1009" s="47"/>
      <c r="B1009" s="48"/>
      <c r="C1009" s="47"/>
      <c r="D1009" s="48"/>
      <c r="E1009" s="48"/>
      <c r="F1009" s="48"/>
      <c r="G1009" s="48"/>
      <c r="H1009" s="48"/>
      <c r="I1009" s="49"/>
      <c r="J1009" s="47"/>
      <c r="K1009" s="47"/>
      <c r="L1009" s="47"/>
      <c r="M1009" s="47"/>
      <c r="N1009" s="47"/>
      <c r="O1009" s="47"/>
      <c r="P1009" s="47"/>
      <c r="Q1009" s="47"/>
      <c r="R1009" s="47"/>
      <c r="S1009" s="50"/>
      <c r="T1009" s="47"/>
      <c r="U1009" s="47"/>
      <c r="V1009" s="47"/>
      <c r="W1009" s="51"/>
      <c r="X1009" s="51"/>
      <c r="Y1009" s="47"/>
      <c r="Z1009" s="47"/>
      <c r="AA1009" s="47"/>
      <c r="AB1009" s="47"/>
      <c r="AC1009" s="47"/>
      <c r="AD1009" s="47"/>
      <c r="AE1009" s="54"/>
      <c r="AF1009" s="54"/>
      <c r="AG1009" s="54"/>
      <c r="AH1009" s="54"/>
      <c r="AI1009" s="54"/>
      <c r="AJ1009" s="54"/>
      <c r="AK1009" s="54"/>
      <c r="AL1009" s="54"/>
      <c r="AM1009" s="54"/>
      <c r="AN1009" s="54"/>
      <c r="AO1009" s="54"/>
      <c r="AP1009" s="54"/>
      <c r="AQ1009" s="54"/>
      <c r="AR1009" s="54"/>
      <c r="AS1009" s="54"/>
      <c r="AT1009" s="54"/>
      <c r="AU1009" s="54"/>
      <c r="AV1009" s="54"/>
      <c r="AW1009" s="54"/>
      <c r="AX1009" s="54"/>
      <c r="AY1009" s="54"/>
      <c r="AZ1009" s="54"/>
      <c r="BA1009" s="54"/>
      <c r="BB1009" s="54"/>
      <c r="BC1009" s="51"/>
      <c r="BD1009" s="51"/>
      <c r="BE1009" s="54"/>
      <c r="BF1009" s="54"/>
      <c r="BG1009" s="47"/>
      <c r="BH1009" s="48"/>
      <c r="BI1009" s="48"/>
      <c r="BJ1009" s="48"/>
      <c r="BK1009" s="48"/>
      <c r="BL1009" s="48"/>
      <c r="BM1009" s="48"/>
      <c r="BN1009" s="48"/>
      <c r="BO1009" s="48"/>
      <c r="BP1009" s="48"/>
      <c r="BQ1009" s="48"/>
      <c r="BR1009" s="48"/>
      <c r="BS1009" s="48"/>
      <c r="BT1009" s="48"/>
      <c r="BU1009" s="48"/>
      <c r="BV1009" s="48"/>
      <c r="BW1009" s="48"/>
      <c r="BX1009" s="48"/>
      <c r="BY1009" s="48"/>
      <c r="BZ1009" s="48"/>
      <c r="CA1009" s="48"/>
      <c r="CB1009" s="48"/>
      <c r="CC1009" s="48"/>
      <c r="CD1009" s="48"/>
      <c r="CE1009" s="48"/>
      <c r="CF1009" s="52"/>
      <c r="CG1009" s="52"/>
      <c r="CH1009" s="48"/>
      <c r="CI1009" s="48"/>
      <c r="CJ1009" s="48"/>
      <c r="CK1009" s="48"/>
    </row>
    <row r="1010" spans="1:89" ht="15.75" customHeight="1" x14ac:dyDescent="0.3">
      <c r="A1010" s="47"/>
      <c r="B1010" s="48"/>
      <c r="C1010" s="47"/>
      <c r="D1010" s="48"/>
      <c r="E1010" s="48"/>
      <c r="F1010" s="48"/>
      <c r="G1010" s="48"/>
      <c r="H1010" s="48"/>
      <c r="I1010" s="49"/>
      <c r="J1010" s="47"/>
      <c r="K1010" s="47"/>
      <c r="L1010" s="47"/>
      <c r="M1010" s="47"/>
      <c r="N1010" s="47"/>
      <c r="O1010" s="47"/>
      <c r="P1010" s="47"/>
      <c r="Q1010" s="47"/>
      <c r="R1010" s="47"/>
      <c r="S1010" s="50"/>
      <c r="T1010" s="47"/>
      <c r="U1010" s="47"/>
      <c r="V1010" s="47"/>
      <c r="W1010" s="51"/>
      <c r="X1010" s="51"/>
      <c r="Y1010" s="47"/>
      <c r="Z1010" s="47"/>
      <c r="AA1010" s="47"/>
      <c r="AB1010" s="47"/>
      <c r="AC1010" s="47"/>
      <c r="AD1010" s="47"/>
      <c r="AE1010" s="54"/>
      <c r="AF1010" s="54"/>
      <c r="AG1010" s="54"/>
      <c r="AH1010" s="54"/>
      <c r="AI1010" s="54"/>
      <c r="AJ1010" s="54"/>
      <c r="AK1010" s="54"/>
      <c r="AL1010" s="54"/>
      <c r="AM1010" s="54"/>
      <c r="AN1010" s="54"/>
      <c r="AO1010" s="54"/>
      <c r="AP1010" s="54"/>
      <c r="AQ1010" s="54"/>
      <c r="AR1010" s="54"/>
      <c r="AS1010" s="54"/>
      <c r="AT1010" s="54"/>
      <c r="AU1010" s="54"/>
      <c r="AV1010" s="54"/>
      <c r="AW1010" s="54"/>
      <c r="AX1010" s="54"/>
      <c r="AY1010" s="54"/>
      <c r="AZ1010" s="54"/>
      <c r="BA1010" s="54"/>
      <c r="BB1010" s="54"/>
      <c r="BC1010" s="51"/>
      <c r="BD1010" s="51"/>
      <c r="BE1010" s="54"/>
      <c r="BF1010" s="54"/>
      <c r="BG1010" s="47"/>
      <c r="BH1010" s="48"/>
      <c r="BI1010" s="48"/>
      <c r="BJ1010" s="48"/>
      <c r="BK1010" s="48"/>
      <c r="BL1010" s="48"/>
      <c r="BM1010" s="48"/>
      <c r="BN1010" s="48"/>
      <c r="BO1010" s="48"/>
      <c r="BP1010" s="48"/>
      <c r="BQ1010" s="48"/>
      <c r="BR1010" s="48"/>
      <c r="BS1010" s="48"/>
      <c r="BT1010" s="48"/>
      <c r="BU1010" s="48"/>
      <c r="BV1010" s="48"/>
      <c r="BW1010" s="48"/>
      <c r="BX1010" s="48"/>
      <c r="BY1010" s="48"/>
      <c r="BZ1010" s="48"/>
      <c r="CA1010" s="48"/>
      <c r="CB1010" s="48"/>
      <c r="CC1010" s="48"/>
      <c r="CD1010" s="48"/>
      <c r="CE1010" s="48"/>
      <c r="CF1010" s="52"/>
      <c r="CG1010" s="52"/>
      <c r="CH1010" s="48"/>
      <c r="CI1010" s="48"/>
      <c r="CJ1010" s="48"/>
      <c r="CK1010" s="48"/>
    </row>
    <row r="1011" spans="1:89" ht="15.75" customHeight="1" x14ac:dyDescent="0.3">
      <c r="A1011" s="47"/>
      <c r="B1011" s="48"/>
      <c r="C1011" s="47"/>
      <c r="D1011" s="48"/>
      <c r="E1011" s="48"/>
      <c r="F1011" s="48"/>
      <c r="G1011" s="48"/>
      <c r="H1011" s="48"/>
      <c r="I1011" s="49"/>
      <c r="J1011" s="47"/>
      <c r="K1011" s="47"/>
      <c r="L1011" s="47"/>
      <c r="M1011" s="47"/>
      <c r="N1011" s="47"/>
      <c r="O1011" s="47"/>
      <c r="P1011" s="47"/>
      <c r="Q1011" s="47"/>
      <c r="R1011" s="47"/>
      <c r="S1011" s="50"/>
      <c r="T1011" s="47"/>
      <c r="U1011" s="47"/>
      <c r="V1011" s="47"/>
      <c r="W1011" s="51"/>
      <c r="X1011" s="51"/>
      <c r="Y1011" s="47"/>
      <c r="Z1011" s="47"/>
      <c r="AA1011" s="47"/>
      <c r="AB1011" s="47"/>
      <c r="AC1011" s="47"/>
      <c r="AD1011" s="47"/>
      <c r="AE1011" s="54"/>
      <c r="AF1011" s="54"/>
      <c r="AG1011" s="54"/>
      <c r="AH1011" s="54"/>
      <c r="AI1011" s="54"/>
      <c r="AJ1011" s="54"/>
      <c r="AK1011" s="54"/>
      <c r="AL1011" s="54"/>
      <c r="AM1011" s="54"/>
      <c r="AN1011" s="54"/>
      <c r="AO1011" s="54"/>
      <c r="AP1011" s="54"/>
      <c r="AQ1011" s="54"/>
      <c r="AR1011" s="54"/>
      <c r="AS1011" s="54"/>
      <c r="AT1011" s="54"/>
      <c r="AU1011" s="54"/>
      <c r="AV1011" s="54"/>
      <c r="AW1011" s="54"/>
      <c r="AX1011" s="54"/>
      <c r="AY1011" s="54"/>
      <c r="AZ1011" s="54"/>
      <c r="BA1011" s="54"/>
      <c r="BB1011" s="54"/>
      <c r="BC1011" s="51"/>
      <c r="BD1011" s="51"/>
      <c r="BE1011" s="54"/>
      <c r="BF1011" s="54"/>
      <c r="BG1011" s="47"/>
      <c r="BH1011" s="48"/>
      <c r="BI1011" s="48"/>
      <c r="BJ1011" s="48"/>
      <c r="BK1011" s="48"/>
      <c r="BL1011" s="48"/>
      <c r="BM1011" s="48"/>
      <c r="BN1011" s="48"/>
      <c r="BO1011" s="48"/>
      <c r="BP1011" s="48"/>
      <c r="BQ1011" s="48"/>
      <c r="BR1011" s="48"/>
      <c r="BS1011" s="48"/>
      <c r="BT1011" s="48"/>
      <c r="BU1011" s="48"/>
      <c r="BV1011" s="48"/>
      <c r="BW1011" s="48"/>
      <c r="BX1011" s="48"/>
      <c r="BY1011" s="48"/>
      <c r="BZ1011" s="48"/>
      <c r="CA1011" s="48"/>
      <c r="CB1011" s="48"/>
      <c r="CC1011" s="48"/>
      <c r="CD1011" s="48"/>
      <c r="CE1011" s="48"/>
      <c r="CF1011" s="52"/>
      <c r="CG1011" s="52"/>
      <c r="CH1011" s="48"/>
      <c r="CI1011" s="48"/>
      <c r="CJ1011" s="48"/>
      <c r="CK1011" s="48"/>
    </row>
    <row r="1012" spans="1:89" ht="15.75" customHeight="1" x14ac:dyDescent="0.3">
      <c r="A1012" s="47"/>
      <c r="B1012" s="48"/>
      <c r="C1012" s="47"/>
      <c r="D1012" s="48"/>
      <c r="E1012" s="48"/>
      <c r="F1012" s="48"/>
      <c r="G1012" s="48"/>
      <c r="H1012" s="48"/>
      <c r="I1012" s="49"/>
      <c r="J1012" s="47"/>
      <c r="K1012" s="47"/>
      <c r="L1012" s="47"/>
      <c r="M1012" s="47"/>
      <c r="N1012" s="47"/>
      <c r="O1012" s="47"/>
      <c r="P1012" s="47"/>
      <c r="Q1012" s="47"/>
      <c r="R1012" s="47"/>
      <c r="S1012" s="50"/>
      <c r="T1012" s="47"/>
      <c r="U1012" s="47"/>
      <c r="V1012" s="47"/>
      <c r="W1012" s="51"/>
      <c r="X1012" s="51"/>
      <c r="Y1012" s="47"/>
      <c r="Z1012" s="47"/>
      <c r="AA1012" s="47"/>
      <c r="AB1012" s="47"/>
      <c r="AC1012" s="47"/>
      <c r="AD1012" s="47"/>
      <c r="AE1012" s="54"/>
      <c r="AF1012" s="54"/>
      <c r="AG1012" s="54"/>
      <c r="AH1012" s="54"/>
      <c r="AI1012" s="54"/>
      <c r="AJ1012" s="54"/>
      <c r="AK1012" s="54"/>
      <c r="AL1012" s="54"/>
      <c r="AM1012" s="54"/>
      <c r="AN1012" s="54"/>
      <c r="AO1012" s="54"/>
      <c r="AP1012" s="54"/>
      <c r="AQ1012" s="54"/>
      <c r="AR1012" s="54"/>
      <c r="AS1012" s="54"/>
      <c r="AT1012" s="54"/>
      <c r="AU1012" s="54"/>
      <c r="AV1012" s="54"/>
      <c r="AW1012" s="54"/>
      <c r="AX1012" s="54"/>
      <c r="AY1012" s="54"/>
      <c r="AZ1012" s="54"/>
      <c r="BA1012" s="54"/>
      <c r="BB1012" s="54"/>
      <c r="BC1012" s="51"/>
      <c r="BD1012" s="51"/>
      <c r="BE1012" s="54"/>
      <c r="BF1012" s="54"/>
      <c r="BG1012" s="47"/>
      <c r="BH1012" s="48"/>
      <c r="BI1012" s="48"/>
      <c r="BJ1012" s="48"/>
      <c r="BK1012" s="48"/>
      <c r="BL1012" s="48"/>
      <c r="BM1012" s="48"/>
      <c r="BN1012" s="48"/>
      <c r="BO1012" s="48"/>
      <c r="BP1012" s="48"/>
      <c r="BQ1012" s="48"/>
      <c r="BR1012" s="48"/>
      <c r="BS1012" s="48"/>
      <c r="BT1012" s="48"/>
      <c r="BU1012" s="48"/>
      <c r="BV1012" s="48"/>
      <c r="BW1012" s="48"/>
      <c r="BX1012" s="48"/>
      <c r="BY1012" s="48"/>
      <c r="BZ1012" s="48"/>
      <c r="CA1012" s="48"/>
      <c r="CB1012" s="48"/>
      <c r="CC1012" s="48"/>
      <c r="CD1012" s="48"/>
      <c r="CE1012" s="48"/>
      <c r="CF1012" s="52"/>
      <c r="CG1012" s="52"/>
      <c r="CH1012" s="48"/>
      <c r="CI1012" s="48"/>
      <c r="CJ1012" s="48"/>
      <c r="CK1012" s="48"/>
    </row>
    <row r="1013" spans="1:89" ht="15.75" customHeight="1" x14ac:dyDescent="0.3">
      <c r="A1013" s="47"/>
      <c r="B1013" s="48"/>
      <c r="C1013" s="47"/>
      <c r="D1013" s="48"/>
      <c r="E1013" s="48"/>
      <c r="F1013" s="48"/>
      <c r="G1013" s="48"/>
      <c r="H1013" s="48"/>
      <c r="I1013" s="49"/>
      <c r="J1013" s="47"/>
      <c r="K1013" s="47"/>
      <c r="L1013" s="47"/>
      <c r="M1013" s="47"/>
      <c r="N1013" s="47"/>
      <c r="O1013" s="47"/>
      <c r="P1013" s="47"/>
      <c r="Q1013" s="47"/>
      <c r="R1013" s="47"/>
      <c r="S1013" s="50"/>
      <c r="T1013" s="47"/>
      <c r="U1013" s="47"/>
      <c r="V1013" s="47"/>
      <c r="W1013" s="51"/>
      <c r="X1013" s="51"/>
      <c r="Y1013" s="47"/>
      <c r="Z1013" s="47"/>
      <c r="AA1013" s="47"/>
      <c r="AB1013" s="47"/>
      <c r="AC1013" s="47"/>
      <c r="AD1013" s="47"/>
      <c r="AE1013" s="54"/>
      <c r="AF1013" s="54"/>
      <c r="AG1013" s="54"/>
      <c r="AH1013" s="54"/>
      <c r="AI1013" s="54"/>
      <c r="AJ1013" s="54"/>
      <c r="AK1013" s="54"/>
      <c r="AL1013" s="54"/>
      <c r="AM1013" s="54"/>
      <c r="AN1013" s="54"/>
      <c r="AO1013" s="54"/>
      <c r="AP1013" s="54"/>
      <c r="AQ1013" s="54"/>
      <c r="AR1013" s="54"/>
      <c r="AS1013" s="54"/>
      <c r="AT1013" s="54"/>
      <c r="AU1013" s="54"/>
      <c r="AV1013" s="54"/>
      <c r="AW1013" s="54"/>
      <c r="AX1013" s="54"/>
      <c r="AY1013" s="54"/>
      <c r="AZ1013" s="54"/>
      <c r="BA1013" s="54"/>
      <c r="BB1013" s="54"/>
      <c r="BC1013" s="51"/>
      <c r="BD1013" s="51"/>
      <c r="BE1013" s="54"/>
      <c r="BF1013" s="54"/>
      <c r="BG1013" s="47"/>
      <c r="BH1013" s="48"/>
      <c r="BI1013" s="48"/>
      <c r="BJ1013" s="48"/>
      <c r="BK1013" s="48"/>
      <c r="BL1013" s="48"/>
      <c r="BM1013" s="48"/>
      <c r="BN1013" s="48"/>
      <c r="BO1013" s="48"/>
      <c r="BP1013" s="48"/>
      <c r="BQ1013" s="48"/>
      <c r="BR1013" s="48"/>
      <c r="BS1013" s="48"/>
      <c r="BT1013" s="48"/>
      <c r="BU1013" s="48"/>
      <c r="BV1013" s="48"/>
      <c r="BW1013" s="48"/>
      <c r="BX1013" s="48"/>
      <c r="BY1013" s="48"/>
      <c r="BZ1013" s="48"/>
      <c r="CA1013" s="48"/>
      <c r="CB1013" s="48"/>
      <c r="CC1013" s="48"/>
      <c r="CD1013" s="48"/>
      <c r="CE1013" s="48"/>
      <c r="CF1013" s="52"/>
      <c r="CG1013" s="52"/>
      <c r="CH1013" s="48"/>
      <c r="CI1013" s="48"/>
      <c r="CJ1013" s="48"/>
      <c r="CK1013" s="48"/>
    </row>
    <row r="1014" spans="1:89" ht="15.75" customHeight="1" x14ac:dyDescent="0.3">
      <c r="A1014" s="47"/>
      <c r="B1014" s="48"/>
      <c r="C1014" s="47"/>
      <c r="D1014" s="48"/>
      <c r="E1014" s="48"/>
      <c r="F1014" s="48"/>
      <c r="G1014" s="48"/>
      <c r="H1014" s="48"/>
      <c r="I1014" s="49"/>
      <c r="J1014" s="47"/>
      <c r="K1014" s="47"/>
      <c r="L1014" s="47"/>
      <c r="M1014" s="47"/>
      <c r="N1014" s="47"/>
      <c r="O1014" s="47"/>
      <c r="P1014" s="47"/>
      <c r="Q1014" s="47"/>
      <c r="R1014" s="47"/>
      <c r="S1014" s="50"/>
      <c r="T1014" s="47"/>
      <c r="U1014" s="47"/>
      <c r="V1014" s="47"/>
      <c r="W1014" s="51"/>
      <c r="X1014" s="51"/>
      <c r="Y1014" s="47"/>
      <c r="Z1014" s="47"/>
      <c r="AA1014" s="47"/>
      <c r="AB1014" s="47"/>
      <c r="AC1014" s="47"/>
      <c r="AD1014" s="47"/>
      <c r="AE1014" s="54"/>
      <c r="AF1014" s="54"/>
      <c r="AG1014" s="54"/>
      <c r="AH1014" s="54"/>
      <c r="AI1014" s="54"/>
      <c r="AJ1014" s="54"/>
      <c r="AK1014" s="54"/>
      <c r="AL1014" s="54"/>
      <c r="AM1014" s="54"/>
      <c r="AN1014" s="54"/>
      <c r="AO1014" s="54"/>
      <c r="AP1014" s="54"/>
      <c r="AQ1014" s="54"/>
      <c r="AR1014" s="54"/>
      <c r="AS1014" s="54"/>
      <c r="AT1014" s="54"/>
      <c r="AU1014" s="54"/>
      <c r="AV1014" s="54"/>
      <c r="AW1014" s="54"/>
      <c r="AX1014" s="54"/>
      <c r="AY1014" s="54"/>
      <c r="AZ1014" s="54"/>
      <c r="BA1014" s="54"/>
      <c r="BB1014" s="54"/>
      <c r="BC1014" s="51"/>
      <c r="BD1014" s="51"/>
      <c r="BE1014" s="54"/>
      <c r="BF1014" s="54"/>
      <c r="BG1014" s="47"/>
      <c r="BH1014" s="48"/>
      <c r="BI1014" s="48"/>
      <c r="BJ1014" s="48"/>
      <c r="BK1014" s="48"/>
      <c r="BL1014" s="48"/>
      <c r="BM1014" s="48"/>
      <c r="BN1014" s="48"/>
      <c r="BO1014" s="48"/>
      <c r="BP1014" s="48"/>
      <c r="BQ1014" s="48"/>
      <c r="BR1014" s="48"/>
      <c r="BS1014" s="48"/>
      <c r="BT1014" s="48"/>
      <c r="BU1014" s="48"/>
      <c r="BV1014" s="48"/>
      <c r="BW1014" s="48"/>
      <c r="BX1014" s="48"/>
      <c r="BY1014" s="48"/>
      <c r="BZ1014" s="48"/>
      <c r="CA1014" s="48"/>
      <c r="CB1014" s="48"/>
      <c r="CC1014" s="48"/>
      <c r="CD1014" s="48"/>
      <c r="CE1014" s="48"/>
      <c r="CF1014" s="52"/>
      <c r="CG1014" s="52"/>
      <c r="CH1014" s="48"/>
      <c r="CI1014" s="48"/>
      <c r="CJ1014" s="48"/>
      <c r="CK1014" s="48"/>
    </row>
    <row r="1015" spans="1:89" ht="15.75" customHeight="1" x14ac:dyDescent="0.3">
      <c r="A1015" s="47"/>
      <c r="B1015" s="48"/>
      <c r="C1015" s="47"/>
      <c r="D1015" s="48"/>
      <c r="E1015" s="48"/>
      <c r="F1015" s="48"/>
      <c r="G1015" s="48"/>
      <c r="H1015" s="48"/>
      <c r="I1015" s="49"/>
      <c r="J1015" s="47"/>
      <c r="K1015" s="47"/>
      <c r="L1015" s="47"/>
      <c r="M1015" s="47"/>
      <c r="N1015" s="47"/>
      <c r="O1015" s="47"/>
      <c r="P1015" s="47"/>
      <c r="Q1015" s="47"/>
      <c r="R1015" s="47"/>
      <c r="S1015" s="50"/>
      <c r="T1015" s="47"/>
      <c r="U1015" s="47"/>
      <c r="V1015" s="47"/>
      <c r="W1015" s="51"/>
      <c r="X1015" s="51"/>
      <c r="Y1015" s="47"/>
      <c r="Z1015" s="47"/>
      <c r="AA1015" s="47"/>
      <c r="AB1015" s="47"/>
      <c r="AC1015" s="47"/>
      <c r="AD1015" s="47"/>
      <c r="AE1015" s="54"/>
      <c r="AF1015" s="54"/>
      <c r="AG1015" s="54"/>
      <c r="AH1015" s="54"/>
      <c r="AI1015" s="54"/>
      <c r="AJ1015" s="54"/>
      <c r="AK1015" s="54"/>
      <c r="AL1015" s="54"/>
      <c r="AM1015" s="54"/>
      <c r="AN1015" s="54"/>
      <c r="AO1015" s="54"/>
      <c r="AP1015" s="54"/>
      <c r="AQ1015" s="54"/>
      <c r="AR1015" s="54"/>
      <c r="AS1015" s="54"/>
      <c r="AT1015" s="54"/>
      <c r="AU1015" s="54"/>
      <c r="AV1015" s="54"/>
      <c r="AW1015" s="54"/>
      <c r="AX1015" s="54"/>
      <c r="AY1015" s="54"/>
      <c r="AZ1015" s="54"/>
      <c r="BA1015" s="54"/>
      <c r="BB1015" s="54"/>
      <c r="BC1015" s="51"/>
      <c r="BD1015" s="51"/>
      <c r="BE1015" s="54"/>
      <c r="BF1015" s="54"/>
      <c r="BG1015" s="47"/>
      <c r="BH1015" s="48"/>
      <c r="BI1015" s="48"/>
      <c r="BJ1015" s="48"/>
      <c r="BK1015" s="48"/>
      <c r="BL1015" s="48"/>
      <c r="BM1015" s="48"/>
      <c r="BN1015" s="48"/>
      <c r="BO1015" s="48"/>
      <c r="BP1015" s="48"/>
      <c r="BQ1015" s="48"/>
      <c r="BR1015" s="48"/>
      <c r="BS1015" s="48"/>
      <c r="BT1015" s="48"/>
      <c r="BU1015" s="48"/>
      <c r="BV1015" s="48"/>
      <c r="BW1015" s="48"/>
      <c r="BX1015" s="48"/>
      <c r="BY1015" s="48"/>
      <c r="BZ1015" s="48"/>
      <c r="CA1015" s="48"/>
      <c r="CB1015" s="48"/>
      <c r="CC1015" s="48"/>
      <c r="CD1015" s="48"/>
      <c r="CE1015" s="48"/>
      <c r="CF1015" s="52"/>
      <c r="CG1015" s="52"/>
      <c r="CH1015" s="48"/>
      <c r="CI1015" s="48"/>
      <c r="CJ1015" s="48"/>
      <c r="CK1015" s="48"/>
    </row>
    <row r="1016" spans="1:89" ht="15.75" customHeight="1" x14ac:dyDescent="0.3">
      <c r="A1016" s="47"/>
      <c r="B1016" s="48"/>
      <c r="C1016" s="47"/>
      <c r="D1016" s="48"/>
      <c r="E1016" s="48"/>
      <c r="F1016" s="48"/>
      <c r="G1016" s="48"/>
      <c r="H1016" s="48"/>
      <c r="I1016" s="49"/>
      <c r="J1016" s="47"/>
      <c r="K1016" s="47"/>
      <c r="L1016" s="47"/>
      <c r="M1016" s="47"/>
      <c r="N1016" s="47"/>
      <c r="O1016" s="47"/>
      <c r="P1016" s="47"/>
      <c r="Q1016" s="47"/>
      <c r="R1016" s="47"/>
      <c r="S1016" s="50"/>
      <c r="T1016" s="47"/>
      <c r="U1016" s="47"/>
      <c r="V1016" s="47"/>
      <c r="W1016" s="51"/>
      <c r="X1016" s="51"/>
      <c r="Y1016" s="47"/>
      <c r="Z1016" s="47"/>
      <c r="AA1016" s="47"/>
      <c r="AB1016" s="47"/>
      <c r="AC1016" s="47"/>
      <c r="AD1016" s="47"/>
      <c r="AE1016" s="54"/>
      <c r="AF1016" s="54"/>
      <c r="AG1016" s="54"/>
      <c r="AH1016" s="54"/>
      <c r="AI1016" s="54"/>
      <c r="AJ1016" s="54"/>
      <c r="AK1016" s="54"/>
      <c r="AL1016" s="54"/>
      <c r="AM1016" s="54"/>
      <c r="AN1016" s="54"/>
      <c r="AO1016" s="54"/>
      <c r="AP1016" s="54"/>
      <c r="AQ1016" s="54"/>
      <c r="AR1016" s="54"/>
      <c r="AS1016" s="54"/>
      <c r="AT1016" s="54"/>
      <c r="AU1016" s="54"/>
      <c r="AV1016" s="54"/>
      <c r="AW1016" s="54"/>
      <c r="AX1016" s="54"/>
      <c r="AY1016" s="54"/>
      <c r="AZ1016" s="54"/>
      <c r="BA1016" s="54"/>
      <c r="BB1016" s="54"/>
      <c r="BC1016" s="51"/>
      <c r="BD1016" s="51"/>
      <c r="BE1016" s="54"/>
      <c r="BF1016" s="54"/>
      <c r="BG1016" s="47"/>
      <c r="BH1016" s="48"/>
      <c r="BI1016" s="48"/>
      <c r="BJ1016" s="48"/>
      <c r="BK1016" s="48"/>
      <c r="BL1016" s="48"/>
      <c r="BM1016" s="48"/>
      <c r="BN1016" s="48"/>
      <c r="BO1016" s="48"/>
      <c r="BP1016" s="48"/>
      <c r="BQ1016" s="48"/>
      <c r="BR1016" s="48"/>
      <c r="BS1016" s="48"/>
      <c r="BT1016" s="48"/>
      <c r="BU1016" s="48"/>
      <c r="BV1016" s="48"/>
      <c r="BW1016" s="48"/>
      <c r="BX1016" s="48"/>
      <c r="BY1016" s="48"/>
      <c r="BZ1016" s="48"/>
      <c r="CA1016" s="48"/>
      <c r="CB1016" s="48"/>
      <c r="CC1016" s="48"/>
      <c r="CD1016" s="48"/>
      <c r="CE1016" s="48"/>
      <c r="CF1016" s="52"/>
      <c r="CG1016" s="52"/>
      <c r="CH1016" s="48"/>
      <c r="CI1016" s="48"/>
      <c r="CJ1016" s="48"/>
      <c r="CK1016" s="48"/>
    </row>
    <row r="1017" spans="1:89" ht="15.75" customHeight="1" x14ac:dyDescent="0.3">
      <c r="A1017" s="47"/>
      <c r="B1017" s="48"/>
      <c r="C1017" s="47"/>
      <c r="D1017" s="48"/>
      <c r="E1017" s="48"/>
      <c r="F1017" s="48"/>
      <c r="G1017" s="48"/>
      <c r="H1017" s="48"/>
      <c r="I1017" s="49"/>
      <c r="J1017" s="47"/>
      <c r="K1017" s="47"/>
      <c r="L1017" s="47"/>
      <c r="M1017" s="47"/>
      <c r="N1017" s="47"/>
      <c r="O1017" s="47"/>
      <c r="P1017" s="47"/>
      <c r="Q1017" s="47"/>
      <c r="R1017" s="47"/>
      <c r="S1017" s="50"/>
      <c r="T1017" s="47"/>
      <c r="U1017" s="47"/>
      <c r="V1017" s="47"/>
      <c r="W1017" s="51"/>
      <c r="X1017" s="51"/>
      <c r="Y1017" s="47"/>
      <c r="Z1017" s="47"/>
      <c r="AA1017" s="47"/>
      <c r="AB1017" s="47"/>
      <c r="AC1017" s="47"/>
      <c r="AD1017" s="47"/>
      <c r="AE1017" s="54"/>
      <c r="AF1017" s="54"/>
      <c r="AG1017" s="54"/>
      <c r="AH1017" s="54"/>
      <c r="AI1017" s="54"/>
      <c r="AJ1017" s="54"/>
      <c r="AK1017" s="54"/>
      <c r="AL1017" s="54"/>
      <c r="AM1017" s="54"/>
      <c r="AN1017" s="54"/>
      <c r="AO1017" s="54"/>
      <c r="AP1017" s="54"/>
      <c r="AQ1017" s="54"/>
      <c r="AR1017" s="54"/>
      <c r="AS1017" s="54"/>
      <c r="AT1017" s="54"/>
      <c r="AU1017" s="54"/>
      <c r="AV1017" s="54"/>
      <c r="AW1017" s="54"/>
      <c r="AX1017" s="54"/>
      <c r="AY1017" s="54"/>
      <c r="AZ1017" s="54"/>
      <c r="BA1017" s="54"/>
      <c r="BB1017" s="54"/>
      <c r="BC1017" s="51"/>
      <c r="BD1017" s="51"/>
      <c r="BE1017" s="54"/>
      <c r="BF1017" s="54"/>
      <c r="BG1017" s="47"/>
      <c r="BH1017" s="48"/>
      <c r="BI1017" s="48"/>
      <c r="BJ1017" s="48"/>
      <c r="BK1017" s="48"/>
      <c r="BL1017" s="48"/>
      <c r="BM1017" s="48"/>
      <c r="BN1017" s="48"/>
      <c r="BO1017" s="48"/>
      <c r="BP1017" s="48"/>
      <c r="BQ1017" s="48"/>
      <c r="BR1017" s="48"/>
      <c r="BS1017" s="48"/>
      <c r="BT1017" s="48"/>
      <c r="BU1017" s="48"/>
      <c r="BV1017" s="48"/>
      <c r="BW1017" s="48"/>
      <c r="BX1017" s="48"/>
      <c r="BY1017" s="48"/>
      <c r="BZ1017" s="48"/>
      <c r="CA1017" s="48"/>
      <c r="CB1017" s="48"/>
      <c r="CC1017" s="48"/>
      <c r="CD1017" s="48"/>
      <c r="CE1017" s="48"/>
      <c r="CF1017" s="52"/>
      <c r="CG1017" s="52"/>
      <c r="CH1017" s="48"/>
      <c r="CI1017" s="48"/>
      <c r="CJ1017" s="48"/>
      <c r="CK1017" s="48"/>
    </row>
    <row r="1018" spans="1:89" ht="15.75" customHeight="1" x14ac:dyDescent="0.3">
      <c r="A1018" s="47"/>
      <c r="B1018" s="48"/>
      <c r="C1018" s="47"/>
      <c r="D1018" s="48"/>
      <c r="E1018" s="48"/>
      <c r="F1018" s="48"/>
      <c r="G1018" s="48"/>
      <c r="H1018" s="48"/>
      <c r="I1018" s="49"/>
      <c r="J1018" s="47"/>
      <c r="K1018" s="47"/>
      <c r="L1018" s="47"/>
      <c r="M1018" s="47"/>
      <c r="N1018" s="47"/>
      <c r="O1018" s="47"/>
      <c r="P1018" s="47"/>
      <c r="Q1018" s="47"/>
      <c r="R1018" s="47"/>
      <c r="S1018" s="50"/>
      <c r="T1018" s="47"/>
      <c r="U1018" s="47"/>
      <c r="V1018" s="47"/>
      <c r="W1018" s="51"/>
      <c r="X1018" s="51"/>
      <c r="Y1018" s="47"/>
      <c r="Z1018" s="47"/>
      <c r="AA1018" s="47"/>
      <c r="AB1018" s="47"/>
      <c r="AC1018" s="47"/>
      <c r="AD1018" s="47"/>
      <c r="AE1018" s="54"/>
      <c r="AF1018" s="54"/>
      <c r="AG1018" s="54"/>
      <c r="AH1018" s="54"/>
      <c r="AI1018" s="54"/>
      <c r="AJ1018" s="54"/>
      <c r="AK1018" s="54"/>
      <c r="AL1018" s="54"/>
      <c r="AM1018" s="54"/>
      <c r="AN1018" s="54"/>
      <c r="AO1018" s="54"/>
      <c r="AP1018" s="54"/>
      <c r="AQ1018" s="54"/>
      <c r="AR1018" s="54"/>
      <c r="AS1018" s="54"/>
      <c r="AT1018" s="54"/>
      <c r="AU1018" s="54"/>
      <c r="AV1018" s="54"/>
      <c r="AW1018" s="54"/>
      <c r="AX1018" s="54"/>
      <c r="AY1018" s="54"/>
      <c r="AZ1018" s="54"/>
      <c r="BA1018" s="54"/>
      <c r="BB1018" s="54"/>
      <c r="BC1018" s="51"/>
      <c r="BD1018" s="51"/>
      <c r="BE1018" s="54"/>
      <c r="BF1018" s="54"/>
      <c r="BG1018" s="47"/>
      <c r="BH1018" s="48"/>
      <c r="BI1018" s="48"/>
      <c r="BJ1018" s="48"/>
      <c r="BK1018" s="48"/>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52"/>
      <c r="CG1018" s="52"/>
      <c r="CH1018" s="48"/>
      <c r="CI1018" s="48"/>
      <c r="CJ1018" s="48"/>
      <c r="CK1018" s="48"/>
    </row>
    <row r="1019" spans="1:89" ht="15.75" customHeight="1" x14ac:dyDescent="0.3">
      <c r="A1019" s="47"/>
      <c r="B1019" s="48"/>
      <c r="C1019" s="47"/>
      <c r="D1019" s="48"/>
      <c r="E1019" s="48"/>
      <c r="F1019" s="48"/>
      <c r="G1019" s="48"/>
      <c r="H1019" s="48"/>
      <c r="I1019" s="49"/>
      <c r="J1019" s="47"/>
      <c r="K1019" s="47"/>
      <c r="L1019" s="47"/>
      <c r="M1019" s="47"/>
      <c r="N1019" s="47"/>
      <c r="O1019" s="47"/>
      <c r="P1019" s="47"/>
      <c r="Q1019" s="47"/>
      <c r="R1019" s="47"/>
      <c r="S1019" s="50"/>
      <c r="T1019" s="47"/>
      <c r="U1019" s="47"/>
      <c r="V1019" s="47"/>
      <c r="W1019" s="51"/>
      <c r="X1019" s="51"/>
      <c r="Y1019" s="47"/>
      <c r="Z1019" s="47"/>
      <c r="AA1019" s="47"/>
      <c r="AB1019" s="47"/>
      <c r="AC1019" s="47"/>
      <c r="AD1019" s="47"/>
      <c r="AE1019" s="54"/>
      <c r="AF1019" s="54"/>
      <c r="AG1019" s="54"/>
      <c r="AH1019" s="54"/>
      <c r="AI1019" s="54"/>
      <c r="AJ1019" s="54"/>
      <c r="AK1019" s="54"/>
      <c r="AL1019" s="54"/>
      <c r="AM1019" s="54"/>
      <c r="AN1019" s="54"/>
      <c r="AO1019" s="54"/>
      <c r="AP1019" s="54"/>
      <c r="AQ1019" s="54"/>
      <c r="AR1019" s="54"/>
      <c r="AS1019" s="54"/>
      <c r="AT1019" s="54"/>
      <c r="AU1019" s="54"/>
      <c r="AV1019" s="54"/>
      <c r="AW1019" s="54"/>
      <c r="AX1019" s="54"/>
      <c r="AY1019" s="54"/>
      <c r="AZ1019" s="54"/>
      <c r="BA1019" s="54"/>
      <c r="BB1019" s="54"/>
      <c r="BC1019" s="51"/>
      <c r="BD1019" s="51"/>
      <c r="BE1019" s="54"/>
      <c r="BF1019" s="54"/>
      <c r="BG1019" s="47"/>
      <c r="BH1019" s="48"/>
      <c r="BI1019" s="48"/>
      <c r="BJ1019" s="48"/>
      <c r="BK1019" s="48"/>
      <c r="BL1019" s="48"/>
      <c r="BM1019" s="48"/>
      <c r="BN1019" s="48"/>
      <c r="BO1019" s="48"/>
      <c r="BP1019" s="48"/>
      <c r="BQ1019" s="48"/>
      <c r="BR1019" s="48"/>
      <c r="BS1019" s="48"/>
      <c r="BT1019" s="48"/>
      <c r="BU1019" s="48"/>
      <c r="BV1019" s="48"/>
      <c r="BW1019" s="48"/>
      <c r="BX1019" s="48"/>
      <c r="BY1019" s="48"/>
      <c r="BZ1019" s="48"/>
      <c r="CA1019" s="48"/>
      <c r="CB1019" s="48"/>
      <c r="CC1019" s="48"/>
      <c r="CD1019" s="48"/>
      <c r="CE1019" s="48"/>
      <c r="CF1019" s="52"/>
      <c r="CG1019" s="52"/>
      <c r="CH1019" s="48"/>
      <c r="CI1019" s="48"/>
      <c r="CJ1019" s="48"/>
      <c r="CK1019" s="48"/>
    </row>
    <row r="1020" spans="1:89" ht="15.75" customHeight="1" x14ac:dyDescent="0.3">
      <c r="A1020" s="47"/>
      <c r="B1020" s="48"/>
      <c r="C1020" s="47"/>
      <c r="D1020" s="48"/>
      <c r="E1020" s="48"/>
      <c r="F1020" s="48"/>
      <c r="G1020" s="48"/>
      <c r="H1020" s="48"/>
      <c r="I1020" s="49"/>
      <c r="J1020" s="47"/>
      <c r="K1020" s="47"/>
      <c r="L1020" s="47"/>
      <c r="M1020" s="47"/>
      <c r="N1020" s="47"/>
      <c r="O1020" s="47"/>
      <c r="P1020" s="47"/>
      <c r="Q1020" s="47"/>
      <c r="R1020" s="47"/>
      <c r="S1020" s="50"/>
      <c r="T1020" s="47"/>
      <c r="U1020" s="47"/>
      <c r="V1020" s="47"/>
      <c r="W1020" s="51"/>
      <c r="X1020" s="51"/>
      <c r="Y1020" s="47"/>
      <c r="Z1020" s="47"/>
      <c r="AA1020" s="47"/>
      <c r="AB1020" s="47"/>
      <c r="AC1020" s="47"/>
      <c r="AD1020" s="47"/>
      <c r="AE1020" s="54"/>
      <c r="AF1020" s="54"/>
      <c r="AG1020" s="54"/>
      <c r="AH1020" s="54"/>
      <c r="AI1020" s="54"/>
      <c r="AJ1020" s="54"/>
      <c r="AK1020" s="54"/>
      <c r="AL1020" s="54"/>
      <c r="AM1020" s="54"/>
      <c r="AN1020" s="54"/>
      <c r="AO1020" s="54"/>
      <c r="AP1020" s="54"/>
      <c r="AQ1020" s="54"/>
      <c r="AR1020" s="54"/>
      <c r="AS1020" s="54"/>
      <c r="AT1020" s="54"/>
      <c r="AU1020" s="54"/>
      <c r="AV1020" s="54"/>
      <c r="AW1020" s="54"/>
      <c r="AX1020" s="54"/>
      <c r="AY1020" s="54"/>
      <c r="AZ1020" s="54"/>
      <c r="BA1020" s="54"/>
      <c r="BB1020" s="54"/>
      <c r="BC1020" s="51"/>
      <c r="BD1020" s="51"/>
      <c r="BE1020" s="54"/>
      <c r="BF1020" s="54"/>
      <c r="BG1020" s="47"/>
      <c r="BH1020" s="48"/>
      <c r="BI1020" s="48"/>
      <c r="BJ1020" s="48"/>
      <c r="BK1020" s="48"/>
      <c r="BL1020" s="48"/>
      <c r="BM1020" s="48"/>
      <c r="BN1020" s="48"/>
      <c r="BO1020" s="48"/>
      <c r="BP1020" s="48"/>
      <c r="BQ1020" s="48"/>
      <c r="BR1020" s="48"/>
      <c r="BS1020" s="48"/>
      <c r="BT1020" s="48"/>
      <c r="BU1020" s="48"/>
      <c r="BV1020" s="48"/>
      <c r="BW1020" s="48"/>
      <c r="BX1020" s="48"/>
      <c r="BY1020" s="48"/>
      <c r="BZ1020" s="48"/>
      <c r="CA1020" s="48"/>
      <c r="CB1020" s="48"/>
      <c r="CC1020" s="48"/>
      <c r="CD1020" s="48"/>
      <c r="CE1020" s="48"/>
      <c r="CF1020" s="52"/>
      <c r="CG1020" s="52"/>
      <c r="CH1020" s="48"/>
      <c r="CI1020" s="48"/>
      <c r="CJ1020" s="48"/>
      <c r="CK1020" s="48"/>
    </row>
    <row r="1021" spans="1:89" ht="15.75" customHeight="1" x14ac:dyDescent="0.3">
      <c r="A1021" s="47"/>
      <c r="B1021" s="48"/>
      <c r="C1021" s="47"/>
      <c r="D1021" s="48"/>
      <c r="E1021" s="48"/>
      <c r="F1021" s="48"/>
      <c r="G1021" s="48"/>
      <c r="H1021" s="48"/>
      <c r="I1021" s="49"/>
      <c r="J1021" s="47"/>
      <c r="K1021" s="47"/>
      <c r="L1021" s="47"/>
      <c r="M1021" s="47"/>
      <c r="N1021" s="47"/>
      <c r="O1021" s="47"/>
      <c r="P1021" s="47"/>
      <c r="Q1021" s="47"/>
      <c r="R1021" s="47"/>
      <c r="S1021" s="50"/>
      <c r="T1021" s="47"/>
      <c r="U1021" s="47"/>
      <c r="V1021" s="47"/>
      <c r="W1021" s="51"/>
      <c r="X1021" s="51"/>
      <c r="Y1021" s="47"/>
      <c r="Z1021" s="47"/>
      <c r="AA1021" s="47"/>
      <c r="AB1021" s="47"/>
      <c r="AC1021" s="47"/>
      <c r="AD1021" s="47"/>
      <c r="AE1021" s="54"/>
      <c r="AF1021" s="54"/>
      <c r="AG1021" s="54"/>
      <c r="AH1021" s="54"/>
      <c r="AI1021" s="54"/>
      <c r="AJ1021" s="54"/>
      <c r="AK1021" s="54"/>
      <c r="AL1021" s="54"/>
      <c r="AM1021" s="54"/>
      <c r="AN1021" s="54"/>
      <c r="AO1021" s="54"/>
      <c r="AP1021" s="54"/>
      <c r="AQ1021" s="54"/>
      <c r="AR1021" s="54"/>
      <c r="AS1021" s="54"/>
      <c r="AT1021" s="54"/>
      <c r="AU1021" s="54"/>
      <c r="AV1021" s="54"/>
      <c r="AW1021" s="54"/>
      <c r="AX1021" s="54"/>
      <c r="AY1021" s="54"/>
      <c r="AZ1021" s="54"/>
      <c r="BA1021" s="54"/>
      <c r="BB1021" s="54"/>
      <c r="BC1021" s="51"/>
      <c r="BD1021" s="51"/>
      <c r="BE1021" s="54"/>
      <c r="BF1021" s="54"/>
      <c r="BG1021" s="47"/>
      <c r="BH1021" s="48"/>
      <c r="BI1021" s="48"/>
      <c r="BJ1021" s="48"/>
      <c r="BK1021" s="48"/>
      <c r="BL1021" s="48"/>
      <c r="BM1021" s="48"/>
      <c r="BN1021" s="48"/>
      <c r="BO1021" s="48"/>
      <c r="BP1021" s="48"/>
      <c r="BQ1021" s="48"/>
      <c r="BR1021" s="48"/>
      <c r="BS1021" s="48"/>
      <c r="BT1021" s="48"/>
      <c r="BU1021" s="48"/>
      <c r="BV1021" s="48"/>
      <c r="BW1021" s="48"/>
      <c r="BX1021" s="48"/>
      <c r="BY1021" s="48"/>
      <c r="BZ1021" s="48"/>
      <c r="CA1021" s="48"/>
      <c r="CB1021" s="48"/>
      <c r="CC1021" s="48"/>
      <c r="CD1021" s="48"/>
      <c r="CE1021" s="48"/>
      <c r="CF1021" s="52"/>
      <c r="CG1021" s="52"/>
      <c r="CH1021" s="48"/>
      <c r="CI1021" s="48"/>
      <c r="CJ1021" s="48"/>
      <c r="CK1021" s="48"/>
    </row>
    <row r="1022" spans="1:89" ht="15.75" customHeight="1" x14ac:dyDescent="0.3">
      <c r="A1022" s="47"/>
      <c r="B1022" s="48"/>
      <c r="C1022" s="47"/>
      <c r="D1022" s="48"/>
      <c r="E1022" s="48"/>
      <c r="F1022" s="48"/>
      <c r="G1022" s="48"/>
      <c r="H1022" s="48"/>
      <c r="I1022" s="49"/>
      <c r="J1022" s="47"/>
      <c r="K1022" s="47"/>
      <c r="L1022" s="47"/>
      <c r="M1022" s="47"/>
      <c r="N1022" s="47"/>
      <c r="O1022" s="47"/>
      <c r="P1022" s="47"/>
      <c r="Q1022" s="47"/>
      <c r="R1022" s="47"/>
      <c r="S1022" s="50"/>
      <c r="T1022" s="47"/>
      <c r="U1022" s="47"/>
      <c r="V1022" s="47"/>
      <c r="W1022" s="51"/>
      <c r="X1022" s="51"/>
      <c r="Y1022" s="47"/>
      <c r="Z1022" s="47"/>
      <c r="AA1022" s="47"/>
      <c r="AB1022" s="47"/>
      <c r="AC1022" s="47"/>
      <c r="AD1022" s="47"/>
      <c r="AE1022" s="54"/>
      <c r="AF1022" s="54"/>
      <c r="AG1022" s="54"/>
      <c r="AH1022" s="54"/>
      <c r="AI1022" s="54"/>
      <c r="AJ1022" s="54"/>
      <c r="AK1022" s="54"/>
      <c r="AL1022" s="54"/>
      <c r="AM1022" s="54"/>
      <c r="AN1022" s="54"/>
      <c r="AO1022" s="54"/>
      <c r="AP1022" s="54"/>
      <c r="AQ1022" s="54"/>
      <c r="AR1022" s="54"/>
      <c r="AS1022" s="54"/>
      <c r="AT1022" s="54"/>
      <c r="AU1022" s="54"/>
      <c r="AV1022" s="54"/>
      <c r="AW1022" s="54"/>
      <c r="AX1022" s="54"/>
      <c r="AY1022" s="54"/>
      <c r="AZ1022" s="54"/>
      <c r="BA1022" s="54"/>
      <c r="BB1022" s="54"/>
      <c r="BC1022" s="51"/>
      <c r="BD1022" s="51"/>
      <c r="BE1022" s="54"/>
      <c r="BF1022" s="54"/>
      <c r="BG1022" s="47"/>
      <c r="BH1022" s="48"/>
      <c r="BI1022" s="48"/>
      <c r="BJ1022" s="48"/>
      <c r="BK1022" s="48"/>
      <c r="BL1022" s="48"/>
      <c r="BM1022" s="48"/>
      <c r="BN1022" s="48"/>
      <c r="BO1022" s="48"/>
      <c r="BP1022" s="48"/>
      <c r="BQ1022" s="48"/>
      <c r="BR1022" s="48"/>
      <c r="BS1022" s="48"/>
      <c r="BT1022" s="48"/>
      <c r="BU1022" s="48"/>
      <c r="BV1022" s="48"/>
      <c r="BW1022" s="48"/>
      <c r="BX1022" s="48"/>
      <c r="BY1022" s="48"/>
      <c r="BZ1022" s="48"/>
      <c r="CA1022" s="48"/>
      <c r="CB1022" s="48"/>
      <c r="CC1022" s="48"/>
      <c r="CD1022" s="48"/>
      <c r="CE1022" s="48"/>
      <c r="CF1022" s="52"/>
      <c r="CG1022" s="52"/>
      <c r="CH1022" s="48"/>
      <c r="CI1022" s="48"/>
      <c r="CJ1022" s="48"/>
      <c r="CK1022" s="48"/>
    </row>
    <row r="1023" spans="1:89" ht="15.75" customHeight="1" x14ac:dyDescent="0.3">
      <c r="A1023" s="47"/>
      <c r="B1023" s="48"/>
      <c r="C1023" s="47"/>
      <c r="D1023" s="48"/>
      <c r="E1023" s="48"/>
      <c r="F1023" s="48"/>
      <c r="G1023" s="48"/>
      <c r="H1023" s="48"/>
      <c r="I1023" s="49"/>
      <c r="J1023" s="47"/>
      <c r="K1023" s="47"/>
      <c r="L1023" s="47"/>
      <c r="M1023" s="47"/>
      <c r="N1023" s="47"/>
      <c r="O1023" s="47"/>
      <c r="P1023" s="47"/>
      <c r="Q1023" s="47"/>
      <c r="R1023" s="47"/>
      <c r="S1023" s="50"/>
      <c r="T1023" s="47"/>
      <c r="U1023" s="47"/>
      <c r="V1023" s="47"/>
      <c r="W1023" s="51"/>
      <c r="X1023" s="51"/>
      <c r="Y1023" s="47"/>
      <c r="Z1023" s="47"/>
      <c r="AA1023" s="47"/>
      <c r="AB1023" s="47"/>
      <c r="AC1023" s="47"/>
      <c r="AD1023" s="47"/>
      <c r="AE1023" s="54"/>
      <c r="AF1023" s="54"/>
      <c r="AG1023" s="54"/>
      <c r="AH1023" s="54"/>
      <c r="AI1023" s="54"/>
      <c r="AJ1023" s="54"/>
      <c r="AK1023" s="54"/>
      <c r="AL1023" s="54"/>
      <c r="AM1023" s="54"/>
      <c r="AN1023" s="54"/>
      <c r="AO1023" s="54"/>
      <c r="AP1023" s="54"/>
      <c r="AQ1023" s="54"/>
      <c r="AR1023" s="54"/>
      <c r="AS1023" s="54"/>
      <c r="AT1023" s="54"/>
      <c r="AU1023" s="54"/>
      <c r="AV1023" s="54"/>
      <c r="AW1023" s="54"/>
      <c r="AX1023" s="54"/>
      <c r="AY1023" s="54"/>
      <c r="AZ1023" s="54"/>
      <c r="BA1023" s="54"/>
      <c r="BB1023" s="54"/>
      <c r="BC1023" s="51"/>
      <c r="BD1023" s="51"/>
      <c r="BE1023" s="54"/>
      <c r="BF1023" s="54"/>
      <c r="BG1023" s="47"/>
      <c r="BH1023" s="48"/>
      <c r="BI1023" s="48"/>
      <c r="BJ1023" s="48"/>
      <c r="BK1023" s="48"/>
      <c r="BL1023" s="48"/>
      <c r="BM1023" s="48"/>
      <c r="BN1023" s="48"/>
      <c r="BO1023" s="48"/>
      <c r="BP1023" s="48"/>
      <c r="BQ1023" s="48"/>
      <c r="BR1023" s="48"/>
      <c r="BS1023" s="48"/>
      <c r="BT1023" s="48"/>
      <c r="BU1023" s="48"/>
      <c r="BV1023" s="48"/>
      <c r="BW1023" s="48"/>
      <c r="BX1023" s="48"/>
      <c r="BY1023" s="48"/>
      <c r="BZ1023" s="48"/>
      <c r="CA1023" s="48"/>
      <c r="CB1023" s="48"/>
      <c r="CC1023" s="48"/>
      <c r="CD1023" s="48"/>
      <c r="CE1023" s="48"/>
      <c r="CF1023" s="52"/>
      <c r="CG1023" s="52"/>
      <c r="CH1023" s="48"/>
      <c r="CI1023" s="48"/>
      <c r="CJ1023" s="48"/>
      <c r="CK1023" s="48"/>
    </row>
    <row r="1024" spans="1:89" ht="15.75" customHeight="1" x14ac:dyDescent="0.3">
      <c r="A1024" s="47"/>
      <c r="B1024" s="48"/>
      <c r="C1024" s="47"/>
      <c r="D1024" s="48"/>
      <c r="E1024" s="48"/>
      <c r="F1024" s="48"/>
      <c r="G1024" s="48"/>
      <c r="H1024" s="48"/>
      <c r="I1024" s="49"/>
      <c r="J1024" s="47"/>
      <c r="K1024" s="47"/>
      <c r="L1024" s="47"/>
      <c r="M1024" s="47"/>
      <c r="N1024" s="47"/>
      <c r="O1024" s="47"/>
      <c r="P1024" s="47"/>
      <c r="Q1024" s="47"/>
      <c r="R1024" s="47"/>
      <c r="S1024" s="50"/>
      <c r="T1024" s="47"/>
      <c r="U1024" s="47"/>
      <c r="V1024" s="47"/>
      <c r="W1024" s="51"/>
      <c r="X1024" s="51"/>
      <c r="Y1024" s="47"/>
      <c r="Z1024" s="47"/>
      <c r="AA1024" s="47"/>
      <c r="AB1024" s="47"/>
      <c r="AC1024" s="47"/>
      <c r="AD1024" s="47"/>
      <c r="AE1024" s="54"/>
      <c r="AF1024" s="54"/>
      <c r="AG1024" s="54"/>
      <c r="AH1024" s="54"/>
      <c r="AI1024" s="54"/>
      <c r="AJ1024" s="54"/>
      <c r="AK1024" s="54"/>
      <c r="AL1024" s="54"/>
      <c r="AM1024" s="54"/>
      <c r="AN1024" s="54"/>
      <c r="AO1024" s="54"/>
      <c r="AP1024" s="54"/>
      <c r="AQ1024" s="54"/>
      <c r="AR1024" s="54"/>
      <c r="AS1024" s="54"/>
      <c r="AT1024" s="54"/>
      <c r="AU1024" s="54"/>
      <c r="AV1024" s="54"/>
      <c r="AW1024" s="54"/>
      <c r="AX1024" s="54"/>
      <c r="AY1024" s="54"/>
      <c r="AZ1024" s="54"/>
      <c r="BA1024" s="54"/>
      <c r="BB1024" s="54"/>
      <c r="BC1024" s="51"/>
      <c r="BD1024" s="51"/>
      <c r="BE1024" s="54"/>
      <c r="BF1024" s="54"/>
      <c r="BG1024" s="47"/>
      <c r="BH1024" s="48"/>
      <c r="BI1024" s="48"/>
      <c r="BJ1024" s="48"/>
      <c r="BK1024" s="48"/>
      <c r="BL1024" s="48"/>
      <c r="BM1024" s="48"/>
      <c r="BN1024" s="48"/>
      <c r="BO1024" s="48"/>
      <c r="BP1024" s="48"/>
      <c r="BQ1024" s="48"/>
      <c r="BR1024" s="48"/>
      <c r="BS1024" s="48"/>
      <c r="BT1024" s="48"/>
      <c r="BU1024" s="48"/>
      <c r="BV1024" s="48"/>
      <c r="BW1024" s="48"/>
      <c r="BX1024" s="48"/>
      <c r="BY1024" s="48"/>
      <c r="BZ1024" s="48"/>
      <c r="CA1024" s="48"/>
      <c r="CB1024" s="48"/>
      <c r="CC1024" s="48"/>
      <c r="CD1024" s="48"/>
      <c r="CE1024" s="48"/>
      <c r="CF1024" s="52"/>
      <c r="CG1024" s="52"/>
      <c r="CH1024" s="48"/>
      <c r="CI1024" s="48"/>
      <c r="CJ1024" s="48"/>
      <c r="CK1024" s="48"/>
    </row>
    <row r="1025" spans="1:89" ht="15.75" customHeight="1" x14ac:dyDescent="0.3">
      <c r="A1025" s="47"/>
      <c r="B1025" s="48"/>
      <c r="C1025" s="47"/>
      <c r="D1025" s="48"/>
      <c r="E1025" s="48"/>
      <c r="F1025" s="48"/>
      <c r="G1025" s="48"/>
      <c r="H1025" s="48"/>
      <c r="I1025" s="49"/>
      <c r="J1025" s="47"/>
      <c r="K1025" s="47"/>
      <c r="L1025" s="47"/>
      <c r="M1025" s="47"/>
      <c r="N1025" s="47"/>
      <c r="O1025" s="47"/>
      <c r="P1025" s="47"/>
      <c r="Q1025" s="47"/>
      <c r="R1025" s="47"/>
      <c r="S1025" s="50"/>
      <c r="T1025" s="47"/>
      <c r="U1025" s="47"/>
      <c r="V1025" s="47"/>
      <c r="W1025" s="51"/>
      <c r="X1025" s="51"/>
      <c r="Y1025" s="47"/>
      <c r="Z1025" s="47"/>
      <c r="AA1025" s="47"/>
      <c r="AB1025" s="47"/>
      <c r="AC1025" s="47"/>
      <c r="AD1025" s="47"/>
      <c r="AE1025" s="54"/>
      <c r="AF1025" s="54"/>
      <c r="AG1025" s="54"/>
      <c r="AH1025" s="54"/>
      <c r="AI1025" s="54"/>
      <c r="AJ1025" s="54"/>
      <c r="AK1025" s="54"/>
      <c r="AL1025" s="54"/>
      <c r="AM1025" s="54"/>
      <c r="AN1025" s="54"/>
      <c r="AO1025" s="54"/>
      <c r="AP1025" s="54"/>
      <c r="AQ1025" s="54"/>
      <c r="AR1025" s="54"/>
      <c r="AS1025" s="54"/>
      <c r="AT1025" s="54"/>
      <c r="AU1025" s="54"/>
      <c r="AV1025" s="54"/>
      <c r="AW1025" s="54"/>
      <c r="AX1025" s="54"/>
      <c r="AY1025" s="54"/>
      <c r="AZ1025" s="54"/>
      <c r="BA1025" s="54"/>
      <c r="BB1025" s="54"/>
      <c r="BC1025" s="51"/>
      <c r="BD1025" s="51"/>
      <c r="BE1025" s="54"/>
      <c r="BF1025" s="54"/>
      <c r="BG1025" s="47"/>
      <c r="BH1025" s="48"/>
      <c r="BI1025" s="48"/>
      <c r="BJ1025" s="48"/>
      <c r="BK1025" s="48"/>
      <c r="BL1025" s="48"/>
      <c r="BM1025" s="48"/>
      <c r="BN1025" s="48"/>
      <c r="BO1025" s="48"/>
      <c r="BP1025" s="48"/>
      <c r="BQ1025" s="48"/>
      <c r="BR1025" s="48"/>
      <c r="BS1025" s="48"/>
      <c r="BT1025" s="48"/>
      <c r="BU1025" s="48"/>
      <c r="BV1025" s="48"/>
      <c r="BW1025" s="48"/>
      <c r="BX1025" s="48"/>
      <c r="BY1025" s="48"/>
      <c r="BZ1025" s="48"/>
      <c r="CA1025" s="48"/>
      <c r="CB1025" s="48"/>
      <c r="CC1025" s="48"/>
      <c r="CD1025" s="48"/>
      <c r="CE1025" s="48"/>
      <c r="CF1025" s="52"/>
      <c r="CG1025" s="52"/>
      <c r="CH1025" s="48"/>
      <c r="CI1025" s="48"/>
      <c r="CJ1025" s="48"/>
      <c r="CK1025" s="48"/>
    </row>
    <row r="1026" spans="1:89" ht="15.75" customHeight="1" x14ac:dyDescent="0.3">
      <c r="A1026" s="47"/>
      <c r="B1026" s="48"/>
      <c r="C1026" s="47"/>
      <c r="D1026" s="48"/>
      <c r="E1026" s="48"/>
      <c r="F1026" s="48"/>
      <c r="G1026" s="48"/>
      <c r="H1026" s="48"/>
      <c r="I1026" s="49"/>
      <c r="J1026" s="47"/>
      <c r="K1026" s="47"/>
      <c r="L1026" s="47"/>
      <c r="M1026" s="47"/>
      <c r="N1026" s="47"/>
      <c r="O1026" s="47"/>
      <c r="P1026" s="47"/>
      <c r="Q1026" s="47"/>
      <c r="R1026" s="47"/>
      <c r="S1026" s="50"/>
      <c r="T1026" s="47"/>
      <c r="U1026" s="47"/>
      <c r="V1026" s="47"/>
      <c r="W1026" s="51"/>
      <c r="X1026" s="51"/>
      <c r="Y1026" s="47"/>
      <c r="Z1026" s="47"/>
      <c r="AA1026" s="47"/>
      <c r="AB1026" s="47"/>
      <c r="AC1026" s="47"/>
      <c r="AD1026" s="47"/>
      <c r="AE1026" s="54"/>
      <c r="AF1026" s="54"/>
      <c r="AG1026" s="54"/>
      <c r="AH1026" s="54"/>
      <c r="AI1026" s="54"/>
      <c r="AJ1026" s="54"/>
      <c r="AK1026" s="54"/>
      <c r="AL1026" s="54"/>
      <c r="AM1026" s="54"/>
      <c r="AN1026" s="54"/>
      <c r="AO1026" s="54"/>
      <c r="AP1026" s="54"/>
      <c r="AQ1026" s="54"/>
      <c r="AR1026" s="54"/>
      <c r="AS1026" s="54"/>
      <c r="AT1026" s="54"/>
      <c r="AU1026" s="54"/>
      <c r="AV1026" s="54"/>
      <c r="AW1026" s="54"/>
      <c r="AX1026" s="54"/>
      <c r="AY1026" s="54"/>
      <c r="AZ1026" s="54"/>
      <c r="BA1026" s="54"/>
      <c r="BB1026" s="54"/>
      <c r="BC1026" s="51"/>
      <c r="BD1026" s="51"/>
      <c r="BE1026" s="54"/>
      <c r="BF1026" s="54"/>
      <c r="BG1026" s="47"/>
      <c r="BH1026" s="48"/>
      <c r="BI1026" s="48"/>
      <c r="BJ1026" s="48"/>
      <c r="BK1026" s="48"/>
      <c r="BL1026" s="48"/>
      <c r="BM1026" s="48"/>
      <c r="BN1026" s="48"/>
      <c r="BO1026" s="48"/>
      <c r="BP1026" s="48"/>
      <c r="BQ1026" s="48"/>
      <c r="BR1026" s="48"/>
      <c r="BS1026" s="48"/>
      <c r="BT1026" s="48"/>
      <c r="BU1026" s="48"/>
      <c r="BV1026" s="48"/>
      <c r="BW1026" s="48"/>
      <c r="BX1026" s="48"/>
      <c r="BY1026" s="48"/>
      <c r="BZ1026" s="48"/>
      <c r="CA1026" s="48"/>
      <c r="CB1026" s="48"/>
      <c r="CC1026" s="48"/>
      <c r="CD1026" s="48"/>
      <c r="CE1026" s="48"/>
      <c r="CF1026" s="52"/>
      <c r="CG1026" s="52"/>
      <c r="CH1026" s="48"/>
      <c r="CI1026" s="48"/>
      <c r="CJ1026" s="48"/>
      <c r="CK1026" s="48"/>
    </row>
    <row r="1027" spans="1:89" ht="15.75" customHeight="1" x14ac:dyDescent="0.3">
      <c r="A1027" s="47"/>
      <c r="B1027" s="48"/>
      <c r="C1027" s="47"/>
      <c r="D1027" s="48"/>
      <c r="E1027" s="48"/>
      <c r="F1027" s="48"/>
      <c r="G1027" s="48"/>
      <c r="H1027" s="48"/>
      <c r="I1027" s="49"/>
      <c r="J1027" s="47"/>
      <c r="K1027" s="47"/>
      <c r="L1027" s="47"/>
      <c r="M1027" s="47"/>
      <c r="N1027" s="47"/>
      <c r="O1027" s="47"/>
      <c r="P1027" s="47"/>
      <c r="Q1027" s="47"/>
      <c r="R1027" s="47"/>
      <c r="S1027" s="50"/>
      <c r="T1027" s="47"/>
      <c r="U1027" s="47"/>
      <c r="V1027" s="47"/>
      <c r="W1027" s="51"/>
      <c r="X1027" s="51"/>
      <c r="Y1027" s="47"/>
      <c r="Z1027" s="47"/>
      <c r="AA1027" s="47"/>
      <c r="AB1027" s="47"/>
      <c r="AC1027" s="47"/>
      <c r="AD1027" s="47"/>
      <c r="AE1027" s="54"/>
      <c r="AF1027" s="54"/>
      <c r="AG1027" s="54"/>
      <c r="AH1027" s="54"/>
      <c r="AI1027" s="54"/>
      <c r="AJ1027" s="54"/>
      <c r="AK1027" s="54"/>
      <c r="AL1027" s="54"/>
      <c r="AM1027" s="54"/>
      <c r="AN1027" s="54"/>
      <c r="AO1027" s="54"/>
      <c r="AP1027" s="54"/>
      <c r="AQ1027" s="54"/>
      <c r="AR1027" s="54"/>
      <c r="AS1027" s="54"/>
      <c r="AT1027" s="54"/>
      <c r="AU1027" s="54"/>
      <c r="AV1027" s="54"/>
      <c r="AW1027" s="54"/>
      <c r="AX1027" s="54"/>
      <c r="AY1027" s="54"/>
      <c r="AZ1027" s="54"/>
      <c r="BA1027" s="54"/>
      <c r="BB1027" s="54"/>
      <c r="BC1027" s="51"/>
      <c r="BD1027" s="51"/>
      <c r="BE1027" s="54"/>
      <c r="BF1027" s="54"/>
      <c r="BG1027" s="47"/>
      <c r="BH1027" s="48"/>
      <c r="BI1027" s="48"/>
      <c r="BJ1027" s="48"/>
      <c r="BK1027" s="48"/>
      <c r="BL1027" s="48"/>
      <c r="BM1027" s="48"/>
      <c r="BN1027" s="48"/>
      <c r="BO1027" s="48"/>
      <c r="BP1027" s="48"/>
      <c r="BQ1027" s="48"/>
      <c r="BR1027" s="48"/>
      <c r="BS1027" s="48"/>
      <c r="BT1027" s="48"/>
      <c r="BU1027" s="48"/>
      <c r="BV1027" s="48"/>
      <c r="BW1027" s="48"/>
      <c r="BX1027" s="48"/>
      <c r="BY1027" s="48"/>
      <c r="BZ1027" s="48"/>
      <c r="CA1027" s="48"/>
      <c r="CB1027" s="48"/>
      <c r="CC1027" s="48"/>
      <c r="CD1027" s="48"/>
      <c r="CE1027" s="48"/>
      <c r="CF1027" s="52"/>
      <c r="CG1027" s="52"/>
      <c r="CH1027" s="48"/>
      <c r="CI1027" s="48"/>
      <c r="CJ1027" s="48"/>
      <c r="CK1027" s="48"/>
    </row>
    <row r="1028" spans="1:89" ht="15.75" customHeight="1" x14ac:dyDescent="0.3">
      <c r="A1028" s="47"/>
      <c r="B1028" s="48"/>
      <c r="C1028" s="47"/>
      <c r="D1028" s="48"/>
      <c r="E1028" s="48"/>
      <c r="F1028" s="48"/>
      <c r="G1028" s="48"/>
      <c r="H1028" s="48"/>
      <c r="I1028" s="49"/>
      <c r="J1028" s="47"/>
      <c r="K1028" s="47"/>
      <c r="L1028" s="47"/>
      <c r="M1028" s="47"/>
      <c r="N1028" s="47"/>
      <c r="O1028" s="47"/>
      <c r="P1028" s="47"/>
      <c r="Q1028" s="47"/>
      <c r="R1028" s="47"/>
      <c r="S1028" s="50"/>
      <c r="T1028" s="47"/>
      <c r="U1028" s="47"/>
      <c r="V1028" s="47"/>
      <c r="W1028" s="51"/>
      <c r="X1028" s="51"/>
      <c r="Y1028" s="47"/>
      <c r="Z1028" s="47"/>
      <c r="AA1028" s="47"/>
      <c r="AB1028" s="47"/>
      <c r="AC1028" s="47"/>
      <c r="AD1028" s="47"/>
      <c r="AE1028" s="54"/>
      <c r="AF1028" s="54"/>
      <c r="AG1028" s="54"/>
      <c r="AH1028" s="54"/>
      <c r="AI1028" s="54"/>
      <c r="AJ1028" s="54"/>
      <c r="AK1028" s="54"/>
      <c r="AL1028" s="54"/>
      <c r="AM1028" s="54"/>
      <c r="AN1028" s="54"/>
      <c r="AO1028" s="54"/>
      <c r="AP1028" s="54"/>
      <c r="AQ1028" s="54"/>
      <c r="AR1028" s="54"/>
      <c r="AS1028" s="54"/>
      <c r="AT1028" s="54"/>
      <c r="AU1028" s="54"/>
      <c r="AV1028" s="54"/>
      <c r="AW1028" s="54"/>
      <c r="AX1028" s="54"/>
      <c r="AY1028" s="54"/>
      <c r="AZ1028" s="54"/>
      <c r="BA1028" s="54"/>
      <c r="BB1028" s="54"/>
      <c r="BC1028" s="51"/>
      <c r="BD1028" s="51"/>
      <c r="BE1028" s="54"/>
      <c r="BF1028" s="54"/>
      <c r="BG1028" s="47"/>
      <c r="BH1028" s="48"/>
      <c r="BI1028" s="48"/>
      <c r="BJ1028" s="48"/>
      <c r="BK1028" s="48"/>
      <c r="BL1028" s="48"/>
      <c r="BM1028" s="48"/>
      <c r="BN1028" s="48"/>
      <c r="BO1028" s="48"/>
      <c r="BP1028" s="48"/>
      <c r="BQ1028" s="48"/>
      <c r="BR1028" s="48"/>
      <c r="BS1028" s="48"/>
      <c r="BT1028" s="48"/>
      <c r="BU1028" s="48"/>
      <c r="BV1028" s="48"/>
      <c r="BW1028" s="48"/>
      <c r="BX1028" s="48"/>
      <c r="BY1028" s="48"/>
      <c r="BZ1028" s="48"/>
      <c r="CA1028" s="48"/>
      <c r="CB1028" s="48"/>
      <c r="CC1028" s="48"/>
      <c r="CD1028" s="48"/>
      <c r="CE1028" s="48"/>
      <c r="CF1028" s="52"/>
      <c r="CG1028" s="52"/>
      <c r="CH1028" s="48"/>
      <c r="CI1028" s="48"/>
      <c r="CJ1028" s="48"/>
      <c r="CK1028" s="48"/>
    </row>
    <row r="1029" spans="1:89" ht="15.75" customHeight="1" x14ac:dyDescent="0.3">
      <c r="A1029" s="47"/>
      <c r="B1029" s="48"/>
      <c r="C1029" s="47"/>
      <c r="D1029" s="48"/>
      <c r="E1029" s="48"/>
      <c r="F1029" s="48"/>
      <c r="G1029" s="48"/>
      <c r="H1029" s="48"/>
      <c r="I1029" s="49"/>
      <c r="J1029" s="47"/>
      <c r="K1029" s="47"/>
      <c r="L1029" s="47"/>
      <c r="M1029" s="47"/>
      <c r="N1029" s="47"/>
      <c r="O1029" s="47"/>
      <c r="P1029" s="47"/>
      <c r="Q1029" s="47"/>
      <c r="R1029" s="47"/>
      <c r="S1029" s="50"/>
      <c r="T1029" s="47"/>
      <c r="U1029" s="47"/>
      <c r="V1029" s="47"/>
      <c r="W1029" s="51"/>
      <c r="X1029" s="51"/>
      <c r="Y1029" s="47"/>
      <c r="Z1029" s="47"/>
      <c r="AA1029" s="47"/>
      <c r="AB1029" s="47"/>
      <c r="AC1029" s="47"/>
      <c r="AD1029" s="47"/>
      <c r="AE1029" s="54"/>
      <c r="AF1029" s="54"/>
      <c r="AG1029" s="54"/>
      <c r="AH1029" s="54"/>
      <c r="AI1029" s="54"/>
      <c r="AJ1029" s="54"/>
      <c r="AK1029" s="54"/>
      <c r="AL1029" s="54"/>
      <c r="AM1029" s="54"/>
      <c r="AN1029" s="54"/>
      <c r="AO1029" s="54"/>
      <c r="AP1029" s="54"/>
      <c r="AQ1029" s="54"/>
      <c r="AR1029" s="54"/>
      <c r="AS1029" s="54"/>
      <c r="AT1029" s="54"/>
      <c r="AU1029" s="54"/>
      <c r="AV1029" s="54"/>
      <c r="AW1029" s="54"/>
      <c r="AX1029" s="54"/>
      <c r="AY1029" s="54"/>
      <c r="AZ1029" s="54"/>
      <c r="BA1029" s="54"/>
      <c r="BB1029" s="54"/>
      <c r="BC1029" s="51"/>
      <c r="BD1029" s="51"/>
      <c r="BE1029" s="54"/>
      <c r="BF1029" s="54"/>
      <c r="BG1029" s="47"/>
      <c r="BH1029" s="48"/>
      <c r="BI1029" s="48"/>
      <c r="BJ1029" s="48"/>
      <c r="BK1029" s="48"/>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52"/>
      <c r="CG1029" s="52"/>
      <c r="CH1029" s="48"/>
      <c r="CI1029" s="48"/>
      <c r="CJ1029" s="48"/>
      <c r="CK1029" s="48"/>
    </row>
    <row r="1030" spans="1:89" ht="15.75" customHeight="1" x14ac:dyDescent="0.3">
      <c r="A1030" s="47"/>
      <c r="B1030" s="48"/>
      <c r="C1030" s="47"/>
      <c r="D1030" s="48"/>
      <c r="E1030" s="48"/>
      <c r="F1030" s="48"/>
      <c r="G1030" s="48"/>
      <c r="H1030" s="48"/>
      <c r="I1030" s="49"/>
      <c r="J1030" s="47"/>
      <c r="K1030" s="47"/>
      <c r="L1030" s="47"/>
      <c r="M1030" s="47"/>
      <c r="N1030" s="47"/>
      <c r="O1030" s="47"/>
      <c r="P1030" s="47"/>
      <c r="Q1030" s="47"/>
      <c r="R1030" s="47"/>
      <c r="S1030" s="50"/>
      <c r="T1030" s="47"/>
      <c r="U1030" s="47"/>
      <c r="V1030" s="47"/>
      <c r="W1030" s="51"/>
      <c r="X1030" s="51"/>
      <c r="Y1030" s="47"/>
      <c r="Z1030" s="47"/>
      <c r="AA1030" s="47"/>
      <c r="AB1030" s="47"/>
      <c r="AC1030" s="47"/>
      <c r="AD1030" s="47"/>
      <c r="AE1030" s="54"/>
      <c r="AF1030" s="54"/>
      <c r="AG1030" s="54"/>
      <c r="AH1030" s="54"/>
      <c r="AI1030" s="54"/>
      <c r="AJ1030" s="54"/>
      <c r="AK1030" s="54"/>
      <c r="AL1030" s="54"/>
      <c r="AM1030" s="54"/>
      <c r="AN1030" s="54"/>
      <c r="AO1030" s="54"/>
      <c r="AP1030" s="54"/>
      <c r="AQ1030" s="54"/>
      <c r="AR1030" s="54"/>
      <c r="AS1030" s="54"/>
      <c r="AT1030" s="54"/>
      <c r="AU1030" s="54"/>
      <c r="AV1030" s="54"/>
      <c r="AW1030" s="54"/>
      <c r="AX1030" s="54"/>
      <c r="AY1030" s="54"/>
      <c r="AZ1030" s="54"/>
      <c r="BA1030" s="54"/>
      <c r="BB1030" s="54"/>
      <c r="BC1030" s="51"/>
      <c r="BD1030" s="51"/>
      <c r="BE1030" s="54"/>
      <c r="BF1030" s="54"/>
      <c r="BG1030" s="47"/>
      <c r="BH1030" s="48"/>
      <c r="BI1030" s="48"/>
      <c r="BJ1030" s="48"/>
      <c r="BK1030" s="48"/>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52"/>
      <c r="CG1030" s="52"/>
      <c r="CH1030" s="48"/>
      <c r="CI1030" s="48"/>
      <c r="CJ1030" s="48"/>
      <c r="CK1030" s="48"/>
    </row>
    <row r="1031" spans="1:89" ht="15.75" customHeight="1" x14ac:dyDescent="0.3">
      <c r="A1031" s="47"/>
      <c r="B1031" s="48"/>
      <c r="C1031" s="47"/>
      <c r="D1031" s="48"/>
      <c r="E1031" s="48"/>
      <c r="F1031" s="48"/>
      <c r="G1031" s="48"/>
      <c r="H1031" s="48"/>
      <c r="I1031" s="49"/>
      <c r="J1031" s="47"/>
      <c r="K1031" s="47"/>
      <c r="L1031" s="47"/>
      <c r="M1031" s="47"/>
      <c r="N1031" s="47"/>
      <c r="O1031" s="47"/>
      <c r="P1031" s="47"/>
      <c r="Q1031" s="47"/>
      <c r="R1031" s="47"/>
      <c r="S1031" s="50"/>
      <c r="T1031" s="47"/>
      <c r="U1031" s="47"/>
      <c r="V1031" s="47"/>
      <c r="W1031" s="51"/>
      <c r="X1031" s="51"/>
      <c r="Y1031" s="47"/>
      <c r="Z1031" s="47"/>
      <c r="AA1031" s="47"/>
      <c r="AB1031" s="47"/>
      <c r="AC1031" s="47"/>
      <c r="AD1031" s="47"/>
      <c r="AE1031" s="54"/>
      <c r="AF1031" s="54"/>
      <c r="AG1031" s="54"/>
      <c r="AH1031" s="54"/>
      <c r="AI1031" s="54"/>
      <c r="AJ1031" s="54"/>
      <c r="AK1031" s="54"/>
      <c r="AL1031" s="54"/>
      <c r="AM1031" s="54"/>
      <c r="AN1031" s="54"/>
      <c r="AO1031" s="54"/>
      <c r="AP1031" s="54"/>
      <c r="AQ1031" s="54"/>
      <c r="AR1031" s="54"/>
      <c r="AS1031" s="54"/>
      <c r="AT1031" s="54"/>
      <c r="AU1031" s="54"/>
      <c r="AV1031" s="54"/>
      <c r="AW1031" s="54"/>
      <c r="AX1031" s="54"/>
      <c r="AY1031" s="54"/>
      <c r="AZ1031" s="54"/>
      <c r="BA1031" s="54"/>
      <c r="BB1031" s="54"/>
      <c r="BC1031" s="51"/>
      <c r="BD1031" s="51"/>
      <c r="BE1031" s="54"/>
      <c r="BF1031" s="54"/>
      <c r="BG1031" s="47"/>
      <c r="BH1031" s="48"/>
      <c r="BI1031" s="48"/>
      <c r="BJ1031" s="48"/>
      <c r="BK1031" s="48"/>
      <c r="BL1031" s="48"/>
      <c r="BM1031" s="48"/>
      <c r="BN1031" s="48"/>
      <c r="BO1031" s="48"/>
      <c r="BP1031" s="48"/>
      <c r="BQ1031" s="48"/>
      <c r="BR1031" s="48"/>
      <c r="BS1031" s="48"/>
      <c r="BT1031" s="48"/>
      <c r="BU1031" s="48"/>
      <c r="BV1031" s="48"/>
      <c r="BW1031" s="48"/>
      <c r="BX1031" s="48"/>
      <c r="BY1031" s="48"/>
      <c r="BZ1031" s="48"/>
      <c r="CA1031" s="48"/>
      <c r="CB1031" s="48"/>
      <c r="CC1031" s="48"/>
      <c r="CD1031" s="48"/>
      <c r="CE1031" s="48"/>
      <c r="CF1031" s="52"/>
      <c r="CG1031" s="52"/>
      <c r="CH1031" s="48"/>
      <c r="CI1031" s="48"/>
      <c r="CJ1031" s="48"/>
      <c r="CK1031" s="48"/>
    </row>
    <row r="1032" spans="1:89" ht="15.75" customHeight="1" x14ac:dyDescent="0.3">
      <c r="A1032" s="47"/>
      <c r="B1032" s="48"/>
      <c r="C1032" s="47"/>
      <c r="D1032" s="48"/>
      <c r="E1032" s="48"/>
      <c r="F1032" s="48"/>
      <c r="G1032" s="48"/>
      <c r="H1032" s="48"/>
      <c r="I1032" s="49"/>
      <c r="J1032" s="47"/>
      <c r="K1032" s="47"/>
      <c r="L1032" s="47"/>
      <c r="M1032" s="47"/>
      <c r="N1032" s="47"/>
      <c r="O1032" s="47"/>
      <c r="P1032" s="47"/>
      <c r="Q1032" s="47"/>
      <c r="R1032" s="47"/>
      <c r="S1032" s="50"/>
      <c r="T1032" s="47"/>
      <c r="U1032" s="47"/>
      <c r="V1032" s="47"/>
      <c r="W1032" s="51"/>
      <c r="X1032" s="51"/>
      <c r="Y1032" s="47"/>
      <c r="Z1032" s="47"/>
      <c r="AA1032" s="47"/>
      <c r="AB1032" s="47"/>
      <c r="AC1032" s="47"/>
      <c r="AD1032" s="47"/>
      <c r="AE1032" s="54"/>
      <c r="AF1032" s="54"/>
      <c r="AG1032" s="54"/>
      <c r="AH1032" s="54"/>
      <c r="AI1032" s="54"/>
      <c r="AJ1032" s="54"/>
      <c r="AK1032" s="54"/>
      <c r="AL1032" s="54"/>
      <c r="AM1032" s="54"/>
      <c r="AN1032" s="54"/>
      <c r="AO1032" s="54"/>
      <c r="AP1032" s="54"/>
      <c r="AQ1032" s="54"/>
      <c r="AR1032" s="54"/>
      <c r="AS1032" s="54"/>
      <c r="AT1032" s="54"/>
      <c r="AU1032" s="54"/>
      <c r="AV1032" s="54"/>
      <c r="AW1032" s="54"/>
      <c r="AX1032" s="54"/>
      <c r="AY1032" s="54"/>
      <c r="AZ1032" s="54"/>
      <c r="BA1032" s="54"/>
      <c r="BB1032" s="54"/>
      <c r="BC1032" s="51"/>
      <c r="BD1032" s="51"/>
      <c r="BE1032" s="54"/>
      <c r="BF1032" s="54"/>
      <c r="BG1032" s="47"/>
      <c r="BH1032" s="48"/>
      <c r="BI1032" s="48"/>
      <c r="BJ1032" s="48"/>
      <c r="BK1032" s="48"/>
      <c r="BL1032" s="48"/>
      <c r="BM1032" s="48"/>
      <c r="BN1032" s="48"/>
      <c r="BO1032" s="48"/>
      <c r="BP1032" s="48"/>
      <c r="BQ1032" s="48"/>
      <c r="BR1032" s="48"/>
      <c r="BS1032" s="48"/>
      <c r="BT1032" s="48"/>
      <c r="BU1032" s="48"/>
      <c r="BV1032" s="48"/>
      <c r="BW1032" s="48"/>
      <c r="BX1032" s="48"/>
      <c r="BY1032" s="48"/>
      <c r="BZ1032" s="48"/>
      <c r="CA1032" s="48"/>
      <c r="CB1032" s="48"/>
      <c r="CC1032" s="48"/>
      <c r="CD1032" s="48"/>
      <c r="CE1032" s="48"/>
      <c r="CF1032" s="52"/>
      <c r="CG1032" s="52"/>
      <c r="CH1032" s="48"/>
      <c r="CI1032" s="48"/>
      <c r="CJ1032" s="48"/>
      <c r="CK1032" s="48"/>
    </row>
    <row r="1033" spans="1:89" ht="15.75" customHeight="1" x14ac:dyDescent="0.3">
      <c r="A1033" s="47"/>
      <c r="B1033" s="48"/>
      <c r="C1033" s="47"/>
      <c r="D1033" s="48"/>
      <c r="E1033" s="48"/>
      <c r="F1033" s="48"/>
      <c r="G1033" s="48"/>
      <c r="H1033" s="48"/>
      <c r="I1033" s="49"/>
      <c r="J1033" s="47"/>
      <c r="K1033" s="47"/>
      <c r="L1033" s="47"/>
      <c r="M1033" s="47"/>
      <c r="N1033" s="47"/>
      <c r="O1033" s="47"/>
      <c r="P1033" s="47"/>
      <c r="Q1033" s="47"/>
      <c r="R1033" s="47"/>
      <c r="S1033" s="50"/>
      <c r="T1033" s="47"/>
      <c r="U1033" s="47"/>
      <c r="V1033" s="47"/>
      <c r="W1033" s="51"/>
      <c r="X1033" s="51"/>
      <c r="Y1033" s="47"/>
      <c r="Z1033" s="47"/>
      <c r="AA1033" s="47"/>
      <c r="AB1033" s="47"/>
      <c r="AC1033" s="47"/>
      <c r="AD1033" s="47"/>
      <c r="AE1033" s="54"/>
      <c r="AF1033" s="54"/>
      <c r="AG1033" s="54"/>
      <c r="AH1033" s="54"/>
      <c r="AI1033" s="54"/>
      <c r="AJ1033" s="54"/>
      <c r="AK1033" s="54"/>
      <c r="AL1033" s="54"/>
      <c r="AM1033" s="54"/>
      <c r="AN1033" s="54"/>
      <c r="AO1033" s="54"/>
      <c r="AP1033" s="54"/>
      <c r="AQ1033" s="54"/>
      <c r="AR1033" s="54"/>
      <c r="AS1033" s="54"/>
      <c r="AT1033" s="54"/>
      <c r="AU1033" s="54"/>
      <c r="AV1033" s="54"/>
      <c r="AW1033" s="54"/>
      <c r="AX1033" s="54"/>
      <c r="AY1033" s="54"/>
      <c r="AZ1033" s="54"/>
      <c r="BA1033" s="54"/>
      <c r="BB1033" s="54"/>
      <c r="BC1033" s="51"/>
      <c r="BD1033" s="51"/>
      <c r="BE1033" s="54"/>
      <c r="BF1033" s="54"/>
      <c r="BG1033" s="47"/>
      <c r="BH1033" s="48"/>
      <c r="BI1033" s="48"/>
      <c r="BJ1033" s="48"/>
      <c r="BK1033" s="48"/>
      <c r="BL1033" s="48"/>
      <c r="BM1033" s="48"/>
      <c r="BN1033" s="48"/>
      <c r="BO1033" s="48"/>
      <c r="BP1033" s="48"/>
      <c r="BQ1033" s="48"/>
      <c r="BR1033" s="48"/>
      <c r="BS1033" s="48"/>
      <c r="BT1033" s="48"/>
      <c r="BU1033" s="48"/>
      <c r="BV1033" s="48"/>
      <c r="BW1033" s="48"/>
      <c r="BX1033" s="48"/>
      <c r="BY1033" s="48"/>
      <c r="BZ1033" s="48"/>
      <c r="CA1033" s="48"/>
      <c r="CB1033" s="48"/>
      <c r="CC1033" s="48"/>
      <c r="CD1033" s="48"/>
      <c r="CE1033" s="48"/>
      <c r="CF1033" s="52"/>
      <c r="CG1033" s="52"/>
      <c r="CH1033" s="48"/>
      <c r="CI1033" s="48"/>
      <c r="CJ1033" s="48"/>
      <c r="CK1033" s="48"/>
    </row>
    <row r="1034" spans="1:89" ht="15.75" customHeight="1" x14ac:dyDescent="0.3">
      <c r="A1034" s="47"/>
      <c r="B1034" s="48"/>
      <c r="C1034" s="47"/>
      <c r="D1034" s="48"/>
      <c r="E1034" s="48"/>
      <c r="F1034" s="48"/>
      <c r="G1034" s="48"/>
      <c r="H1034" s="48"/>
      <c r="I1034" s="49"/>
      <c r="J1034" s="47"/>
      <c r="K1034" s="47"/>
      <c r="L1034" s="47"/>
      <c r="M1034" s="47"/>
      <c r="N1034" s="47"/>
      <c r="O1034" s="47"/>
      <c r="P1034" s="47"/>
      <c r="Q1034" s="47"/>
      <c r="R1034" s="47"/>
      <c r="S1034" s="50"/>
      <c r="T1034" s="47"/>
      <c r="U1034" s="47"/>
      <c r="V1034" s="47"/>
      <c r="W1034" s="51"/>
      <c r="X1034" s="51"/>
      <c r="Y1034" s="47"/>
      <c r="Z1034" s="47"/>
      <c r="AA1034" s="47"/>
      <c r="AB1034" s="47"/>
      <c r="AC1034" s="47"/>
      <c r="AD1034" s="47"/>
      <c r="AE1034" s="54"/>
      <c r="AF1034" s="54"/>
      <c r="AG1034" s="54"/>
      <c r="AH1034" s="54"/>
      <c r="AI1034" s="54"/>
      <c r="AJ1034" s="54"/>
      <c r="AK1034" s="54"/>
      <c r="AL1034" s="54"/>
      <c r="AM1034" s="54"/>
      <c r="AN1034" s="54"/>
      <c r="AO1034" s="54"/>
      <c r="AP1034" s="54"/>
      <c r="AQ1034" s="54"/>
      <c r="AR1034" s="54"/>
      <c r="AS1034" s="54"/>
      <c r="AT1034" s="54"/>
      <c r="AU1034" s="54"/>
      <c r="AV1034" s="54"/>
      <c r="AW1034" s="54"/>
      <c r="AX1034" s="54"/>
      <c r="AY1034" s="54"/>
      <c r="AZ1034" s="54"/>
      <c r="BA1034" s="54"/>
      <c r="BB1034" s="54"/>
      <c r="BC1034" s="51"/>
      <c r="BD1034" s="51"/>
      <c r="BE1034" s="54"/>
      <c r="BF1034" s="54"/>
      <c r="BG1034" s="47"/>
      <c r="BH1034" s="48"/>
      <c r="BI1034" s="48"/>
      <c r="BJ1034" s="48"/>
      <c r="BK1034" s="48"/>
      <c r="BL1034" s="48"/>
      <c r="BM1034" s="48"/>
      <c r="BN1034" s="48"/>
      <c r="BO1034" s="48"/>
      <c r="BP1034" s="48"/>
      <c r="BQ1034" s="48"/>
      <c r="BR1034" s="48"/>
      <c r="BS1034" s="48"/>
      <c r="BT1034" s="48"/>
      <c r="BU1034" s="48"/>
      <c r="BV1034" s="48"/>
      <c r="BW1034" s="48"/>
      <c r="BX1034" s="48"/>
      <c r="BY1034" s="48"/>
      <c r="BZ1034" s="48"/>
      <c r="CA1034" s="48"/>
      <c r="CB1034" s="48"/>
      <c r="CC1034" s="48"/>
      <c r="CD1034" s="48"/>
      <c r="CE1034" s="48"/>
      <c r="CF1034" s="52"/>
      <c r="CG1034" s="52"/>
      <c r="CH1034" s="48"/>
      <c r="CI1034" s="48"/>
      <c r="CJ1034" s="48"/>
      <c r="CK1034" s="48"/>
    </row>
    <row r="1035" spans="1:89" ht="15.75" customHeight="1" x14ac:dyDescent="0.3">
      <c r="A1035" s="47"/>
      <c r="B1035" s="48"/>
      <c r="C1035" s="47"/>
      <c r="D1035" s="48"/>
      <c r="E1035" s="48"/>
      <c r="F1035" s="48"/>
      <c r="G1035" s="48"/>
      <c r="H1035" s="48"/>
      <c r="I1035" s="49"/>
      <c r="J1035" s="47"/>
      <c r="K1035" s="47"/>
      <c r="L1035" s="47"/>
      <c r="M1035" s="47"/>
      <c r="N1035" s="47"/>
      <c r="O1035" s="47"/>
      <c r="P1035" s="47"/>
      <c r="Q1035" s="47"/>
      <c r="R1035" s="47"/>
      <c r="S1035" s="50"/>
      <c r="T1035" s="47"/>
      <c r="U1035" s="47"/>
      <c r="V1035" s="47"/>
      <c r="W1035" s="51"/>
      <c r="X1035" s="51"/>
      <c r="Y1035" s="47"/>
      <c r="Z1035" s="47"/>
      <c r="AA1035" s="47"/>
      <c r="AB1035" s="47"/>
      <c r="AC1035" s="47"/>
      <c r="AD1035" s="47"/>
      <c r="AE1035" s="54"/>
      <c r="AF1035" s="54"/>
      <c r="AG1035" s="54"/>
      <c r="AH1035" s="54"/>
      <c r="AI1035" s="54"/>
      <c r="AJ1035" s="54"/>
      <c r="AK1035" s="54"/>
      <c r="AL1035" s="54"/>
      <c r="AM1035" s="54"/>
      <c r="AN1035" s="54"/>
      <c r="AO1035" s="54"/>
      <c r="AP1035" s="54"/>
      <c r="AQ1035" s="54"/>
      <c r="AR1035" s="54"/>
      <c r="AS1035" s="54"/>
      <c r="AT1035" s="54"/>
      <c r="AU1035" s="54"/>
      <c r="AV1035" s="54"/>
      <c r="AW1035" s="54"/>
      <c r="AX1035" s="54"/>
      <c r="AY1035" s="54"/>
      <c r="AZ1035" s="54"/>
      <c r="BA1035" s="54"/>
      <c r="BB1035" s="54"/>
      <c r="BC1035" s="51"/>
      <c r="BD1035" s="51"/>
      <c r="BE1035" s="54"/>
      <c r="BF1035" s="54"/>
      <c r="BG1035" s="47"/>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52"/>
      <c r="CG1035" s="52"/>
      <c r="CH1035" s="48"/>
      <c r="CI1035" s="48"/>
      <c r="CJ1035" s="48"/>
      <c r="CK1035" s="48"/>
    </row>
    <row r="1036" spans="1:89" ht="15.75" customHeight="1" x14ac:dyDescent="0.3">
      <c r="A1036" s="47"/>
      <c r="B1036" s="48"/>
      <c r="C1036" s="47"/>
      <c r="D1036" s="48"/>
      <c r="E1036" s="48"/>
      <c r="F1036" s="48"/>
      <c r="G1036" s="48"/>
      <c r="H1036" s="48"/>
      <c r="I1036" s="49"/>
      <c r="J1036" s="47"/>
      <c r="K1036" s="47"/>
      <c r="L1036" s="47"/>
      <c r="M1036" s="47"/>
      <c r="N1036" s="47"/>
      <c r="O1036" s="47"/>
      <c r="P1036" s="47"/>
      <c r="Q1036" s="47"/>
      <c r="R1036" s="47"/>
      <c r="S1036" s="50"/>
      <c r="T1036" s="47"/>
      <c r="U1036" s="47"/>
      <c r="V1036" s="47"/>
      <c r="W1036" s="51"/>
      <c r="X1036" s="51"/>
      <c r="Y1036" s="47"/>
      <c r="Z1036" s="47"/>
      <c r="AA1036" s="47"/>
      <c r="AB1036" s="47"/>
      <c r="AC1036" s="47"/>
      <c r="AD1036" s="47"/>
      <c r="AE1036" s="54"/>
      <c r="AF1036" s="54"/>
      <c r="AG1036" s="54"/>
      <c r="AH1036" s="54"/>
      <c r="AI1036" s="54"/>
      <c r="AJ1036" s="54"/>
      <c r="AK1036" s="54"/>
      <c r="AL1036" s="54"/>
      <c r="AM1036" s="54"/>
      <c r="AN1036" s="54"/>
      <c r="AO1036" s="54"/>
      <c r="AP1036" s="54"/>
      <c r="AQ1036" s="54"/>
      <c r="AR1036" s="54"/>
      <c r="AS1036" s="54"/>
      <c r="AT1036" s="54"/>
      <c r="AU1036" s="54"/>
      <c r="AV1036" s="54"/>
      <c r="AW1036" s="54"/>
      <c r="AX1036" s="54"/>
      <c r="AY1036" s="54"/>
      <c r="AZ1036" s="54"/>
      <c r="BA1036" s="54"/>
      <c r="BB1036" s="54"/>
      <c r="BC1036" s="51"/>
      <c r="BD1036" s="51"/>
      <c r="BE1036" s="54"/>
      <c r="BF1036" s="54"/>
      <c r="BG1036" s="47"/>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52"/>
      <c r="CG1036" s="52"/>
      <c r="CH1036" s="48"/>
      <c r="CI1036" s="48"/>
      <c r="CJ1036" s="48"/>
      <c r="CK1036" s="48"/>
    </row>
    <row r="1037" spans="1:89" ht="15.75" customHeight="1" x14ac:dyDescent="0.3">
      <c r="A1037" s="47"/>
      <c r="B1037" s="48"/>
      <c r="C1037" s="47"/>
      <c r="D1037" s="48"/>
      <c r="E1037" s="48"/>
      <c r="F1037" s="48"/>
      <c r="G1037" s="48"/>
      <c r="H1037" s="48"/>
      <c r="I1037" s="49"/>
      <c r="J1037" s="47"/>
      <c r="K1037" s="47"/>
      <c r="L1037" s="47"/>
      <c r="M1037" s="47"/>
      <c r="N1037" s="47"/>
      <c r="O1037" s="47"/>
      <c r="P1037" s="47"/>
      <c r="Q1037" s="47"/>
      <c r="R1037" s="47"/>
      <c r="S1037" s="50"/>
      <c r="T1037" s="47"/>
      <c r="U1037" s="47"/>
      <c r="V1037" s="47"/>
      <c r="W1037" s="51"/>
      <c r="X1037" s="51"/>
      <c r="Y1037" s="47"/>
      <c r="Z1037" s="47"/>
      <c r="AA1037" s="47"/>
      <c r="AB1037" s="47"/>
      <c r="AC1037" s="47"/>
      <c r="AD1037" s="47"/>
      <c r="AE1037" s="54"/>
      <c r="AF1037" s="54"/>
      <c r="AG1037" s="54"/>
      <c r="AH1037" s="54"/>
      <c r="AI1037" s="54"/>
      <c r="AJ1037" s="54"/>
      <c r="AK1037" s="54"/>
      <c r="AL1037" s="54"/>
      <c r="AM1037" s="54"/>
      <c r="AN1037" s="54"/>
      <c r="AO1037" s="54"/>
      <c r="AP1037" s="54"/>
      <c r="AQ1037" s="54"/>
      <c r="AR1037" s="54"/>
      <c r="AS1037" s="54"/>
      <c r="AT1037" s="54"/>
      <c r="AU1037" s="54"/>
      <c r="AV1037" s="54"/>
      <c r="AW1037" s="54"/>
      <c r="AX1037" s="54"/>
      <c r="AY1037" s="54"/>
      <c r="AZ1037" s="54"/>
      <c r="BA1037" s="54"/>
      <c r="BB1037" s="54"/>
      <c r="BC1037" s="51"/>
      <c r="BD1037" s="51"/>
      <c r="BE1037" s="54"/>
      <c r="BF1037" s="54"/>
      <c r="BG1037" s="47"/>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52"/>
      <c r="CG1037" s="52"/>
      <c r="CH1037" s="48"/>
      <c r="CI1037" s="48"/>
      <c r="CJ1037" s="48"/>
      <c r="CK1037" s="48"/>
    </row>
    <row r="1038" spans="1:89" ht="15.75" customHeight="1" x14ac:dyDescent="0.3">
      <c r="A1038" s="47"/>
      <c r="B1038" s="48"/>
      <c r="C1038" s="47"/>
      <c r="D1038" s="48"/>
      <c r="E1038" s="48"/>
      <c r="F1038" s="48"/>
      <c r="G1038" s="48"/>
      <c r="H1038" s="48"/>
      <c r="I1038" s="49"/>
      <c r="J1038" s="47"/>
      <c r="K1038" s="47"/>
      <c r="L1038" s="47"/>
      <c r="M1038" s="47"/>
      <c r="N1038" s="47"/>
      <c r="O1038" s="47"/>
      <c r="P1038" s="47"/>
      <c r="Q1038" s="47"/>
      <c r="R1038" s="47"/>
      <c r="S1038" s="50"/>
      <c r="T1038" s="47"/>
      <c r="U1038" s="47"/>
      <c r="V1038" s="47"/>
      <c r="W1038" s="51"/>
      <c r="X1038" s="51"/>
      <c r="Y1038" s="47"/>
      <c r="Z1038" s="47"/>
      <c r="AA1038" s="47"/>
      <c r="AB1038" s="47"/>
      <c r="AC1038" s="47"/>
      <c r="AD1038" s="47"/>
      <c r="AE1038" s="54"/>
      <c r="AF1038" s="54"/>
      <c r="AG1038" s="54"/>
      <c r="AH1038" s="54"/>
      <c r="AI1038" s="54"/>
      <c r="AJ1038" s="54"/>
      <c r="AK1038" s="54"/>
      <c r="AL1038" s="54"/>
      <c r="AM1038" s="54"/>
      <c r="AN1038" s="54"/>
      <c r="AO1038" s="54"/>
      <c r="AP1038" s="54"/>
      <c r="AQ1038" s="54"/>
      <c r="AR1038" s="54"/>
      <c r="AS1038" s="54"/>
      <c r="AT1038" s="54"/>
      <c r="AU1038" s="54"/>
      <c r="AV1038" s="54"/>
      <c r="AW1038" s="54"/>
      <c r="AX1038" s="54"/>
      <c r="AY1038" s="54"/>
      <c r="AZ1038" s="54"/>
      <c r="BA1038" s="54"/>
      <c r="BB1038" s="54"/>
      <c r="BC1038" s="51"/>
      <c r="BD1038" s="51"/>
      <c r="BE1038" s="54"/>
      <c r="BF1038" s="54"/>
      <c r="BG1038" s="47"/>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52"/>
      <c r="CG1038" s="52"/>
      <c r="CH1038" s="48"/>
      <c r="CI1038" s="48"/>
      <c r="CJ1038" s="48"/>
      <c r="CK1038" s="48"/>
    </row>
    <row r="1039" spans="1:89" ht="15.75" customHeight="1" x14ac:dyDescent="0.3">
      <c r="A1039" s="47"/>
      <c r="B1039" s="48"/>
      <c r="C1039" s="47"/>
      <c r="D1039" s="48"/>
      <c r="E1039" s="48"/>
      <c r="F1039" s="48"/>
      <c r="G1039" s="48"/>
      <c r="H1039" s="48"/>
      <c r="I1039" s="49"/>
      <c r="J1039" s="47"/>
      <c r="K1039" s="47"/>
      <c r="L1039" s="47"/>
      <c r="M1039" s="47"/>
      <c r="N1039" s="47"/>
      <c r="O1039" s="47"/>
      <c r="P1039" s="47"/>
      <c r="Q1039" s="47"/>
      <c r="R1039" s="47"/>
      <c r="S1039" s="50"/>
      <c r="T1039" s="47"/>
      <c r="U1039" s="47"/>
      <c r="V1039" s="47"/>
      <c r="W1039" s="51"/>
      <c r="X1039" s="51"/>
      <c r="Y1039" s="47"/>
      <c r="Z1039" s="47"/>
      <c r="AA1039" s="47"/>
      <c r="AB1039" s="47"/>
      <c r="AC1039" s="47"/>
      <c r="AD1039" s="47"/>
      <c r="AE1039" s="54"/>
      <c r="AF1039" s="54"/>
      <c r="AG1039" s="54"/>
      <c r="AH1039" s="54"/>
      <c r="AI1039" s="54"/>
      <c r="AJ1039" s="54"/>
      <c r="AK1039" s="54"/>
      <c r="AL1039" s="54"/>
      <c r="AM1039" s="54"/>
      <c r="AN1039" s="54"/>
      <c r="AO1039" s="54"/>
      <c r="AP1039" s="54"/>
      <c r="AQ1039" s="54"/>
      <c r="AR1039" s="54"/>
      <c r="AS1039" s="54"/>
      <c r="AT1039" s="54"/>
      <c r="AU1039" s="54"/>
      <c r="AV1039" s="54"/>
      <c r="AW1039" s="54"/>
      <c r="AX1039" s="54"/>
      <c r="AY1039" s="54"/>
      <c r="AZ1039" s="54"/>
      <c r="BA1039" s="54"/>
      <c r="BB1039" s="54"/>
      <c r="BC1039" s="51"/>
      <c r="BD1039" s="51"/>
      <c r="BE1039" s="54"/>
      <c r="BF1039" s="54"/>
      <c r="BG1039" s="47"/>
      <c r="BH1039" s="48"/>
      <c r="BI1039" s="48"/>
      <c r="BJ1039" s="48"/>
      <c r="BK1039" s="48"/>
      <c r="BL1039" s="48"/>
      <c r="BM1039" s="48"/>
      <c r="BN1039" s="48"/>
      <c r="BO1039" s="48"/>
      <c r="BP1039" s="48"/>
      <c r="BQ1039" s="48"/>
      <c r="BR1039" s="48"/>
      <c r="BS1039" s="48"/>
      <c r="BT1039" s="48"/>
      <c r="BU1039" s="48"/>
      <c r="BV1039" s="48"/>
      <c r="BW1039" s="48"/>
      <c r="BX1039" s="48"/>
      <c r="BY1039" s="48"/>
      <c r="BZ1039" s="48"/>
      <c r="CA1039" s="48"/>
      <c r="CB1039" s="48"/>
      <c r="CC1039" s="48"/>
      <c r="CD1039" s="48"/>
      <c r="CE1039" s="48"/>
      <c r="CF1039" s="52"/>
      <c r="CG1039" s="52"/>
      <c r="CH1039" s="48"/>
      <c r="CI1039" s="48"/>
      <c r="CJ1039" s="48"/>
      <c r="CK1039" s="48"/>
    </row>
    <row r="1040" spans="1:89" ht="15.75" customHeight="1" x14ac:dyDescent="0.3">
      <c r="A1040" s="47"/>
      <c r="B1040" s="48"/>
      <c r="C1040" s="47"/>
      <c r="D1040" s="48"/>
      <c r="E1040" s="48"/>
      <c r="F1040" s="48"/>
      <c r="G1040" s="48"/>
      <c r="H1040" s="48"/>
      <c r="I1040" s="49"/>
      <c r="J1040" s="47"/>
      <c r="K1040" s="47"/>
      <c r="L1040" s="47"/>
      <c r="M1040" s="47"/>
      <c r="N1040" s="47"/>
      <c r="O1040" s="47"/>
      <c r="P1040" s="47"/>
      <c r="Q1040" s="47"/>
      <c r="R1040" s="47"/>
      <c r="S1040" s="50"/>
      <c r="T1040" s="47"/>
      <c r="U1040" s="47"/>
      <c r="V1040" s="47"/>
      <c r="W1040" s="51"/>
      <c r="X1040" s="51"/>
      <c r="Y1040" s="47"/>
      <c r="Z1040" s="47"/>
      <c r="AA1040" s="47"/>
      <c r="AB1040" s="47"/>
      <c r="AC1040" s="47"/>
      <c r="AD1040" s="47"/>
      <c r="AE1040" s="54"/>
      <c r="AF1040" s="54"/>
      <c r="AG1040" s="54"/>
      <c r="AH1040" s="54"/>
      <c r="AI1040" s="54"/>
      <c r="AJ1040" s="54"/>
      <c r="AK1040" s="54"/>
      <c r="AL1040" s="54"/>
      <c r="AM1040" s="54"/>
      <c r="AN1040" s="54"/>
      <c r="AO1040" s="54"/>
      <c r="AP1040" s="54"/>
      <c r="AQ1040" s="54"/>
      <c r="AR1040" s="54"/>
      <c r="AS1040" s="54"/>
      <c r="AT1040" s="54"/>
      <c r="AU1040" s="54"/>
      <c r="AV1040" s="54"/>
      <c r="AW1040" s="54"/>
      <c r="AX1040" s="54"/>
      <c r="AY1040" s="54"/>
      <c r="AZ1040" s="54"/>
      <c r="BA1040" s="54"/>
      <c r="BB1040" s="54"/>
      <c r="BC1040" s="51"/>
      <c r="BD1040" s="51"/>
      <c r="BE1040" s="54"/>
      <c r="BF1040" s="54"/>
      <c r="BG1040" s="47"/>
      <c r="BH1040" s="48"/>
      <c r="BI1040" s="48"/>
      <c r="BJ1040" s="48"/>
      <c r="BK1040" s="48"/>
      <c r="BL1040" s="48"/>
      <c r="BM1040" s="48"/>
      <c r="BN1040" s="48"/>
      <c r="BO1040" s="48"/>
      <c r="BP1040" s="48"/>
      <c r="BQ1040" s="48"/>
      <c r="BR1040" s="48"/>
      <c r="BS1040" s="48"/>
      <c r="BT1040" s="48"/>
      <c r="BU1040" s="48"/>
      <c r="BV1040" s="48"/>
      <c r="BW1040" s="48"/>
      <c r="BX1040" s="48"/>
      <c r="BY1040" s="48"/>
      <c r="BZ1040" s="48"/>
      <c r="CA1040" s="48"/>
      <c r="CB1040" s="48"/>
      <c r="CC1040" s="48"/>
      <c r="CD1040" s="48"/>
      <c r="CE1040" s="48"/>
      <c r="CF1040" s="52"/>
      <c r="CG1040" s="52"/>
      <c r="CH1040" s="48"/>
      <c r="CI1040" s="48"/>
      <c r="CJ1040" s="48"/>
      <c r="CK1040" s="48"/>
    </row>
    <row r="1041" spans="1:89" ht="15.75" customHeight="1" x14ac:dyDescent="0.3">
      <c r="A1041" s="47"/>
      <c r="B1041" s="48"/>
      <c r="C1041" s="47"/>
      <c r="D1041" s="48"/>
      <c r="E1041" s="48"/>
      <c r="F1041" s="48"/>
      <c r="G1041" s="48"/>
      <c r="H1041" s="48"/>
      <c r="I1041" s="49"/>
      <c r="J1041" s="47"/>
      <c r="K1041" s="47"/>
      <c r="L1041" s="47"/>
      <c r="M1041" s="47"/>
      <c r="N1041" s="47"/>
      <c r="O1041" s="47"/>
      <c r="P1041" s="47"/>
      <c r="Q1041" s="47"/>
      <c r="R1041" s="47"/>
      <c r="S1041" s="50"/>
      <c r="T1041" s="47"/>
      <c r="U1041" s="47"/>
      <c r="V1041" s="47"/>
      <c r="W1041" s="51"/>
      <c r="X1041" s="51"/>
      <c r="Y1041" s="47"/>
      <c r="Z1041" s="47"/>
      <c r="AA1041" s="47"/>
      <c r="AB1041" s="47"/>
      <c r="AC1041" s="47"/>
      <c r="AD1041" s="47"/>
      <c r="AE1041" s="54"/>
      <c r="AF1041" s="54"/>
      <c r="AG1041" s="54"/>
      <c r="AH1041" s="54"/>
      <c r="AI1041" s="54"/>
      <c r="AJ1041" s="54"/>
      <c r="AK1041" s="54"/>
      <c r="AL1041" s="54"/>
      <c r="AM1041" s="54"/>
      <c r="AN1041" s="54"/>
      <c r="AO1041" s="54"/>
      <c r="AP1041" s="54"/>
      <c r="AQ1041" s="54"/>
      <c r="AR1041" s="54"/>
      <c r="AS1041" s="54"/>
      <c r="AT1041" s="54"/>
      <c r="AU1041" s="54"/>
      <c r="AV1041" s="54"/>
      <c r="AW1041" s="54"/>
      <c r="AX1041" s="54"/>
      <c r="AY1041" s="54"/>
      <c r="AZ1041" s="54"/>
      <c r="BA1041" s="54"/>
      <c r="BB1041" s="54"/>
      <c r="BC1041" s="51"/>
      <c r="BD1041" s="51"/>
      <c r="BE1041" s="54"/>
      <c r="BF1041" s="54"/>
      <c r="BG1041" s="47"/>
      <c r="BH1041" s="48"/>
      <c r="BI1041" s="48"/>
      <c r="BJ1041" s="48"/>
      <c r="BK1041" s="48"/>
      <c r="BL1041" s="48"/>
      <c r="BM1041" s="48"/>
      <c r="BN1041" s="48"/>
      <c r="BO1041" s="48"/>
      <c r="BP1041" s="48"/>
      <c r="BQ1041" s="48"/>
      <c r="BR1041" s="48"/>
      <c r="BS1041" s="48"/>
      <c r="BT1041" s="48"/>
      <c r="BU1041" s="48"/>
      <c r="BV1041" s="48"/>
      <c r="BW1041" s="48"/>
      <c r="BX1041" s="48"/>
      <c r="BY1041" s="48"/>
      <c r="BZ1041" s="48"/>
      <c r="CA1041" s="48"/>
      <c r="CB1041" s="48"/>
      <c r="CC1041" s="48"/>
      <c r="CD1041" s="48"/>
      <c r="CE1041" s="48"/>
      <c r="CF1041" s="52"/>
      <c r="CG1041" s="52"/>
      <c r="CH1041" s="48"/>
      <c r="CI1041" s="48"/>
      <c r="CJ1041" s="48"/>
      <c r="CK1041" s="48"/>
    </row>
    <row r="1042" spans="1:89" ht="15.75" customHeight="1" x14ac:dyDescent="0.3">
      <c r="A1042" s="47"/>
      <c r="B1042" s="48"/>
      <c r="C1042" s="47"/>
      <c r="D1042" s="48"/>
      <c r="E1042" s="48"/>
      <c r="F1042" s="48"/>
      <c r="G1042" s="48"/>
      <c r="H1042" s="48"/>
      <c r="I1042" s="49"/>
      <c r="J1042" s="47"/>
      <c r="K1042" s="47"/>
      <c r="L1042" s="47"/>
      <c r="M1042" s="47"/>
      <c r="N1042" s="47"/>
      <c r="O1042" s="47"/>
      <c r="P1042" s="47"/>
      <c r="Q1042" s="47"/>
      <c r="R1042" s="47"/>
      <c r="S1042" s="50"/>
      <c r="T1042" s="47"/>
      <c r="U1042" s="47"/>
      <c r="V1042" s="47"/>
      <c r="W1042" s="51"/>
      <c r="X1042" s="51"/>
      <c r="Y1042" s="47"/>
      <c r="Z1042" s="47"/>
      <c r="AA1042" s="47"/>
      <c r="AB1042" s="47"/>
      <c r="AC1042" s="47"/>
      <c r="AD1042" s="47"/>
      <c r="AE1042" s="54"/>
      <c r="AF1042" s="54"/>
      <c r="AG1042" s="54"/>
      <c r="AH1042" s="54"/>
      <c r="AI1042" s="54"/>
      <c r="AJ1042" s="54"/>
      <c r="AK1042" s="54"/>
      <c r="AL1042" s="54"/>
      <c r="AM1042" s="54"/>
      <c r="AN1042" s="54"/>
      <c r="AO1042" s="54"/>
      <c r="AP1042" s="54"/>
      <c r="AQ1042" s="54"/>
      <c r="AR1042" s="54"/>
      <c r="AS1042" s="54"/>
      <c r="AT1042" s="54"/>
      <c r="AU1042" s="54"/>
      <c r="AV1042" s="54"/>
      <c r="AW1042" s="54"/>
      <c r="AX1042" s="54"/>
      <c r="AY1042" s="54"/>
      <c r="AZ1042" s="54"/>
      <c r="BA1042" s="54"/>
      <c r="BB1042" s="54"/>
      <c r="BC1042" s="51"/>
      <c r="BD1042" s="51"/>
      <c r="BE1042" s="54"/>
      <c r="BF1042" s="54"/>
      <c r="BG1042" s="47"/>
      <c r="BH1042" s="48"/>
      <c r="BI1042" s="48"/>
      <c r="BJ1042" s="48"/>
      <c r="BK1042" s="48"/>
      <c r="BL1042" s="48"/>
      <c r="BM1042" s="48"/>
      <c r="BN1042" s="48"/>
      <c r="BO1042" s="48"/>
      <c r="BP1042" s="48"/>
      <c r="BQ1042" s="48"/>
      <c r="BR1042" s="48"/>
      <c r="BS1042" s="48"/>
      <c r="BT1042" s="48"/>
      <c r="BU1042" s="48"/>
      <c r="BV1042" s="48"/>
      <c r="BW1042" s="48"/>
      <c r="BX1042" s="48"/>
      <c r="BY1042" s="48"/>
      <c r="BZ1042" s="48"/>
      <c r="CA1042" s="48"/>
      <c r="CB1042" s="48"/>
      <c r="CC1042" s="48"/>
      <c r="CD1042" s="48"/>
      <c r="CE1042" s="48"/>
      <c r="CF1042" s="52"/>
      <c r="CG1042" s="52"/>
      <c r="CH1042" s="48"/>
      <c r="CI1042" s="48"/>
      <c r="CJ1042" s="48"/>
      <c r="CK1042" s="48"/>
    </row>
    <row r="1043" spans="1:89" ht="15.75" customHeight="1" x14ac:dyDescent="0.3">
      <c r="A1043" s="47"/>
      <c r="B1043" s="48"/>
      <c r="C1043" s="47"/>
      <c r="D1043" s="48"/>
      <c r="E1043" s="48"/>
      <c r="F1043" s="48"/>
      <c r="G1043" s="48"/>
      <c r="H1043" s="48"/>
      <c r="I1043" s="49"/>
      <c r="J1043" s="47"/>
      <c r="K1043" s="47"/>
      <c r="L1043" s="47"/>
      <c r="M1043" s="47"/>
      <c r="N1043" s="47"/>
      <c r="O1043" s="47"/>
      <c r="P1043" s="47"/>
      <c r="Q1043" s="47"/>
      <c r="R1043" s="47"/>
      <c r="S1043" s="50"/>
      <c r="T1043" s="47"/>
      <c r="U1043" s="47"/>
      <c r="V1043" s="47"/>
      <c r="W1043" s="51"/>
      <c r="X1043" s="51"/>
      <c r="Y1043" s="47"/>
      <c r="Z1043" s="47"/>
      <c r="AA1043" s="47"/>
      <c r="AB1043" s="47"/>
      <c r="AC1043" s="47"/>
      <c r="AD1043" s="47"/>
      <c r="AE1043" s="54"/>
      <c r="AF1043" s="54"/>
      <c r="AG1043" s="54"/>
      <c r="AH1043" s="54"/>
      <c r="AI1043" s="54"/>
      <c r="AJ1043" s="54"/>
      <c r="AK1043" s="54"/>
      <c r="AL1043" s="54"/>
      <c r="AM1043" s="54"/>
      <c r="AN1043" s="54"/>
      <c r="AO1043" s="54"/>
      <c r="AP1043" s="54"/>
      <c r="AQ1043" s="54"/>
      <c r="AR1043" s="54"/>
      <c r="AS1043" s="54"/>
      <c r="AT1043" s="54"/>
      <c r="AU1043" s="54"/>
      <c r="AV1043" s="54"/>
      <c r="AW1043" s="54"/>
      <c r="AX1043" s="54"/>
      <c r="AY1043" s="54"/>
      <c r="AZ1043" s="54"/>
      <c r="BA1043" s="54"/>
      <c r="BB1043" s="54"/>
      <c r="BC1043" s="51"/>
      <c r="BD1043" s="51"/>
      <c r="BE1043" s="54"/>
      <c r="BF1043" s="54"/>
      <c r="BG1043" s="47"/>
      <c r="BH1043" s="48"/>
      <c r="BI1043" s="48"/>
      <c r="BJ1043" s="48"/>
      <c r="BK1043" s="48"/>
      <c r="BL1043" s="48"/>
      <c r="BM1043" s="48"/>
      <c r="BN1043" s="48"/>
      <c r="BO1043" s="48"/>
      <c r="BP1043" s="48"/>
      <c r="BQ1043" s="48"/>
      <c r="BR1043" s="48"/>
      <c r="BS1043" s="48"/>
      <c r="BT1043" s="48"/>
      <c r="BU1043" s="48"/>
      <c r="BV1043" s="48"/>
      <c r="BW1043" s="48"/>
      <c r="BX1043" s="48"/>
      <c r="BY1043" s="48"/>
      <c r="BZ1043" s="48"/>
      <c r="CA1043" s="48"/>
      <c r="CB1043" s="48"/>
      <c r="CC1043" s="48"/>
      <c r="CD1043" s="48"/>
      <c r="CE1043" s="48"/>
      <c r="CF1043" s="52"/>
      <c r="CG1043" s="52"/>
      <c r="CH1043" s="48"/>
      <c r="CI1043" s="48"/>
      <c r="CJ1043" s="48"/>
      <c r="CK1043" s="48"/>
    </row>
    <row r="1044" spans="1:89" ht="15.75" customHeight="1" x14ac:dyDescent="0.3">
      <c r="A1044" s="47"/>
      <c r="B1044" s="48"/>
      <c r="C1044" s="47"/>
      <c r="D1044" s="48"/>
      <c r="E1044" s="48"/>
      <c r="F1044" s="48"/>
      <c r="G1044" s="48"/>
      <c r="H1044" s="48"/>
      <c r="I1044" s="49"/>
      <c r="J1044" s="47"/>
      <c r="K1044" s="47"/>
      <c r="L1044" s="47"/>
      <c r="M1044" s="47"/>
      <c r="N1044" s="47"/>
      <c r="O1044" s="47"/>
      <c r="P1044" s="47"/>
      <c r="Q1044" s="47"/>
      <c r="R1044" s="47"/>
      <c r="S1044" s="50"/>
      <c r="T1044" s="47"/>
      <c r="U1044" s="47"/>
      <c r="V1044" s="47"/>
      <c r="W1044" s="51"/>
      <c r="X1044" s="51"/>
      <c r="Y1044" s="47"/>
      <c r="Z1044" s="47"/>
      <c r="AA1044" s="47"/>
      <c r="AB1044" s="47"/>
      <c r="AC1044" s="47"/>
      <c r="AD1044" s="47"/>
      <c r="AE1044" s="54"/>
      <c r="AF1044" s="54"/>
      <c r="AG1044" s="54"/>
      <c r="AH1044" s="54"/>
      <c r="AI1044" s="54"/>
      <c r="AJ1044" s="54"/>
      <c r="AK1044" s="54"/>
      <c r="AL1044" s="54"/>
      <c r="AM1044" s="54"/>
      <c r="AN1044" s="54"/>
      <c r="AO1044" s="54"/>
      <c r="AP1044" s="54"/>
      <c r="AQ1044" s="54"/>
      <c r="AR1044" s="54"/>
      <c r="AS1044" s="54"/>
      <c r="AT1044" s="54"/>
      <c r="AU1044" s="54"/>
      <c r="AV1044" s="54"/>
      <c r="AW1044" s="54"/>
      <c r="AX1044" s="54"/>
      <c r="AY1044" s="54"/>
      <c r="AZ1044" s="54"/>
      <c r="BA1044" s="54"/>
      <c r="BB1044" s="54"/>
      <c r="BC1044" s="51"/>
      <c r="BD1044" s="51"/>
      <c r="BE1044" s="54"/>
      <c r="BF1044" s="54"/>
      <c r="BG1044" s="47"/>
      <c r="BH1044" s="48"/>
      <c r="BI1044" s="48"/>
      <c r="BJ1044" s="48"/>
      <c r="BK1044" s="48"/>
      <c r="BL1044" s="48"/>
      <c r="BM1044" s="48"/>
      <c r="BN1044" s="48"/>
      <c r="BO1044" s="48"/>
      <c r="BP1044" s="48"/>
      <c r="BQ1044" s="48"/>
      <c r="BR1044" s="48"/>
      <c r="BS1044" s="48"/>
      <c r="BT1044" s="48"/>
      <c r="BU1044" s="48"/>
      <c r="BV1044" s="48"/>
      <c r="BW1044" s="48"/>
      <c r="BX1044" s="48"/>
      <c r="BY1044" s="48"/>
      <c r="BZ1044" s="48"/>
      <c r="CA1044" s="48"/>
      <c r="CB1044" s="48"/>
      <c r="CC1044" s="48"/>
      <c r="CD1044" s="48"/>
      <c r="CE1044" s="48"/>
      <c r="CF1044" s="52"/>
      <c r="CG1044" s="52"/>
      <c r="CH1044" s="48"/>
      <c r="CI1044" s="48"/>
      <c r="CJ1044" s="48"/>
      <c r="CK1044" s="48"/>
    </row>
    <row r="1045" spans="1:89" ht="15.75" customHeight="1" x14ac:dyDescent="0.3">
      <c r="A1045" s="47"/>
      <c r="B1045" s="48"/>
      <c r="C1045" s="47"/>
      <c r="D1045" s="48"/>
      <c r="E1045" s="48"/>
      <c r="F1045" s="48"/>
      <c r="G1045" s="48"/>
      <c r="H1045" s="48"/>
      <c r="I1045" s="49"/>
      <c r="J1045" s="47"/>
      <c r="K1045" s="47"/>
      <c r="L1045" s="47"/>
      <c r="M1045" s="47"/>
      <c r="N1045" s="47"/>
      <c r="O1045" s="47"/>
      <c r="P1045" s="47"/>
      <c r="Q1045" s="47"/>
      <c r="R1045" s="47"/>
      <c r="S1045" s="50"/>
      <c r="T1045" s="47"/>
      <c r="U1045" s="47"/>
      <c r="V1045" s="47"/>
      <c r="W1045" s="51"/>
      <c r="X1045" s="51"/>
      <c r="Y1045" s="47"/>
      <c r="Z1045" s="47"/>
      <c r="AA1045" s="47"/>
      <c r="AB1045" s="47"/>
      <c r="AC1045" s="47"/>
      <c r="AD1045" s="47"/>
      <c r="AE1045" s="54"/>
      <c r="AF1045" s="54"/>
      <c r="AG1045" s="54"/>
      <c r="AH1045" s="54"/>
      <c r="AI1045" s="54"/>
      <c r="AJ1045" s="54"/>
      <c r="AK1045" s="54"/>
      <c r="AL1045" s="54"/>
      <c r="AM1045" s="54"/>
      <c r="AN1045" s="54"/>
      <c r="AO1045" s="54"/>
      <c r="AP1045" s="54"/>
      <c r="AQ1045" s="54"/>
      <c r="AR1045" s="54"/>
      <c r="AS1045" s="54"/>
      <c r="AT1045" s="54"/>
      <c r="AU1045" s="54"/>
      <c r="AV1045" s="54"/>
      <c r="AW1045" s="54"/>
      <c r="AX1045" s="54"/>
      <c r="AY1045" s="54"/>
      <c r="AZ1045" s="54"/>
      <c r="BA1045" s="54"/>
      <c r="BB1045" s="54"/>
      <c r="BC1045" s="51"/>
      <c r="BD1045" s="51"/>
      <c r="BE1045" s="54"/>
      <c r="BF1045" s="54"/>
      <c r="BG1045" s="47"/>
      <c r="BH1045" s="48"/>
      <c r="BI1045" s="48"/>
      <c r="BJ1045" s="48"/>
      <c r="BK1045" s="48"/>
      <c r="BL1045" s="48"/>
      <c r="BM1045" s="48"/>
      <c r="BN1045" s="48"/>
      <c r="BO1045" s="48"/>
      <c r="BP1045" s="48"/>
      <c r="BQ1045" s="48"/>
      <c r="BR1045" s="48"/>
      <c r="BS1045" s="48"/>
      <c r="BT1045" s="48"/>
      <c r="BU1045" s="48"/>
      <c r="BV1045" s="48"/>
      <c r="BW1045" s="48"/>
      <c r="BX1045" s="48"/>
      <c r="BY1045" s="48"/>
      <c r="BZ1045" s="48"/>
      <c r="CA1045" s="48"/>
      <c r="CB1045" s="48"/>
      <c r="CC1045" s="48"/>
      <c r="CD1045" s="48"/>
      <c r="CE1045" s="48"/>
      <c r="CF1045" s="52"/>
      <c r="CG1045" s="52"/>
      <c r="CH1045" s="48"/>
      <c r="CI1045" s="48"/>
      <c r="CJ1045" s="48"/>
      <c r="CK1045" s="48"/>
    </row>
    <row r="1046" spans="1:89" ht="15.75" customHeight="1" x14ac:dyDescent="0.3">
      <c r="A1046" s="47"/>
      <c r="B1046" s="48"/>
      <c r="C1046" s="47"/>
      <c r="D1046" s="48"/>
      <c r="E1046" s="48"/>
      <c r="F1046" s="48"/>
      <c r="G1046" s="48"/>
      <c r="H1046" s="48"/>
      <c r="I1046" s="49"/>
      <c r="J1046" s="47"/>
      <c r="K1046" s="47"/>
      <c r="L1046" s="47"/>
      <c r="M1046" s="47"/>
      <c r="N1046" s="47"/>
      <c r="O1046" s="47"/>
      <c r="P1046" s="47"/>
      <c r="Q1046" s="47"/>
      <c r="R1046" s="47"/>
      <c r="S1046" s="50"/>
      <c r="T1046" s="47"/>
      <c r="U1046" s="47"/>
      <c r="V1046" s="47"/>
      <c r="W1046" s="51"/>
      <c r="X1046" s="51"/>
      <c r="Y1046" s="47"/>
      <c r="Z1046" s="47"/>
      <c r="AA1046" s="47"/>
      <c r="AB1046" s="47"/>
      <c r="AC1046" s="47"/>
      <c r="AD1046" s="47"/>
      <c r="AE1046" s="54"/>
      <c r="AF1046" s="54"/>
      <c r="AG1046" s="54"/>
      <c r="AH1046" s="54"/>
      <c r="AI1046" s="54"/>
      <c r="AJ1046" s="54"/>
      <c r="AK1046" s="54"/>
      <c r="AL1046" s="54"/>
      <c r="AM1046" s="54"/>
      <c r="AN1046" s="54"/>
      <c r="AO1046" s="54"/>
      <c r="AP1046" s="54"/>
      <c r="AQ1046" s="54"/>
      <c r="AR1046" s="54"/>
      <c r="AS1046" s="54"/>
      <c r="AT1046" s="54"/>
      <c r="AU1046" s="54"/>
      <c r="AV1046" s="54"/>
      <c r="AW1046" s="54"/>
      <c r="AX1046" s="54"/>
      <c r="AY1046" s="54"/>
      <c r="AZ1046" s="54"/>
      <c r="BA1046" s="54"/>
      <c r="BB1046" s="54"/>
      <c r="BC1046" s="51"/>
      <c r="BD1046" s="51"/>
      <c r="BE1046" s="54"/>
      <c r="BF1046" s="54"/>
      <c r="BG1046" s="47"/>
      <c r="BH1046" s="48"/>
      <c r="BI1046" s="48"/>
      <c r="BJ1046" s="48"/>
      <c r="BK1046" s="48"/>
      <c r="BL1046" s="48"/>
      <c r="BM1046" s="48"/>
      <c r="BN1046" s="48"/>
      <c r="BO1046" s="48"/>
      <c r="BP1046" s="48"/>
      <c r="BQ1046" s="48"/>
      <c r="BR1046" s="48"/>
      <c r="BS1046" s="48"/>
      <c r="BT1046" s="48"/>
      <c r="BU1046" s="48"/>
      <c r="BV1046" s="48"/>
      <c r="BW1046" s="48"/>
      <c r="BX1046" s="48"/>
      <c r="BY1046" s="48"/>
      <c r="BZ1046" s="48"/>
      <c r="CA1046" s="48"/>
      <c r="CB1046" s="48"/>
      <c r="CC1046" s="48"/>
      <c r="CD1046" s="48"/>
      <c r="CE1046" s="48"/>
      <c r="CF1046" s="52"/>
      <c r="CG1046" s="52"/>
      <c r="CH1046" s="48"/>
      <c r="CI1046" s="48"/>
      <c r="CJ1046" s="48"/>
      <c r="CK1046" s="48"/>
    </row>
    <row r="1047" spans="1:89" ht="15.75" customHeight="1" x14ac:dyDescent="0.3">
      <c r="A1047" s="47"/>
      <c r="B1047" s="48"/>
      <c r="C1047" s="47"/>
      <c r="D1047" s="48"/>
      <c r="E1047" s="48"/>
      <c r="F1047" s="48"/>
      <c r="G1047" s="48"/>
      <c r="H1047" s="48"/>
      <c r="I1047" s="49"/>
      <c r="J1047" s="47"/>
      <c r="K1047" s="47"/>
      <c r="L1047" s="47"/>
      <c r="M1047" s="47"/>
      <c r="N1047" s="47"/>
      <c r="O1047" s="47"/>
      <c r="P1047" s="47"/>
      <c r="Q1047" s="47"/>
      <c r="R1047" s="47"/>
      <c r="S1047" s="50"/>
      <c r="T1047" s="47"/>
      <c r="U1047" s="47"/>
      <c r="V1047" s="47"/>
      <c r="W1047" s="51"/>
      <c r="X1047" s="51"/>
      <c r="Y1047" s="47"/>
      <c r="Z1047" s="47"/>
      <c r="AA1047" s="47"/>
      <c r="AB1047" s="47"/>
      <c r="AC1047" s="47"/>
      <c r="AD1047" s="47"/>
      <c r="AE1047" s="54"/>
      <c r="AF1047" s="54"/>
      <c r="AG1047" s="54"/>
      <c r="AH1047" s="54"/>
      <c r="AI1047" s="54"/>
      <c r="AJ1047" s="54"/>
      <c r="AK1047" s="54"/>
      <c r="AL1047" s="54"/>
      <c r="AM1047" s="54"/>
      <c r="AN1047" s="54"/>
      <c r="AO1047" s="54"/>
      <c r="AP1047" s="54"/>
      <c r="AQ1047" s="54"/>
      <c r="AR1047" s="54"/>
      <c r="AS1047" s="54"/>
      <c r="AT1047" s="54"/>
      <c r="AU1047" s="54"/>
      <c r="AV1047" s="54"/>
      <c r="AW1047" s="54"/>
      <c r="AX1047" s="54"/>
      <c r="AY1047" s="54"/>
      <c r="AZ1047" s="54"/>
      <c r="BA1047" s="54"/>
      <c r="BB1047" s="54"/>
      <c r="BC1047" s="51"/>
      <c r="BD1047" s="51"/>
      <c r="BE1047" s="54"/>
      <c r="BF1047" s="54"/>
      <c r="BG1047" s="47"/>
      <c r="BH1047" s="48"/>
      <c r="BI1047" s="48"/>
      <c r="BJ1047" s="48"/>
      <c r="BK1047" s="48"/>
      <c r="BL1047" s="48"/>
      <c r="BM1047" s="48"/>
      <c r="BN1047" s="48"/>
      <c r="BO1047" s="48"/>
      <c r="BP1047" s="48"/>
      <c r="BQ1047" s="48"/>
      <c r="BR1047" s="48"/>
      <c r="BS1047" s="48"/>
      <c r="BT1047" s="48"/>
      <c r="BU1047" s="48"/>
      <c r="BV1047" s="48"/>
      <c r="BW1047" s="48"/>
      <c r="BX1047" s="48"/>
      <c r="BY1047" s="48"/>
      <c r="BZ1047" s="48"/>
      <c r="CA1047" s="48"/>
      <c r="CB1047" s="48"/>
      <c r="CC1047" s="48"/>
      <c r="CD1047" s="48"/>
      <c r="CE1047" s="48"/>
      <c r="CF1047" s="52"/>
      <c r="CG1047" s="52"/>
      <c r="CH1047" s="48"/>
      <c r="CI1047" s="48"/>
      <c r="CJ1047" s="48"/>
      <c r="CK1047" s="48"/>
    </row>
    <row r="1048" spans="1:89" ht="15.75" customHeight="1" x14ac:dyDescent="0.3">
      <c r="A1048" s="47"/>
      <c r="B1048" s="48"/>
      <c r="C1048" s="47"/>
      <c r="D1048" s="48"/>
      <c r="E1048" s="48"/>
      <c r="F1048" s="48"/>
      <c r="G1048" s="48"/>
      <c r="H1048" s="48"/>
      <c r="I1048" s="49"/>
      <c r="J1048" s="47"/>
      <c r="K1048" s="47"/>
      <c r="L1048" s="47"/>
      <c r="M1048" s="47"/>
      <c r="N1048" s="47"/>
      <c r="O1048" s="47"/>
      <c r="P1048" s="47"/>
      <c r="Q1048" s="47"/>
      <c r="R1048" s="47"/>
      <c r="S1048" s="50"/>
      <c r="T1048" s="47"/>
      <c r="U1048" s="47"/>
      <c r="V1048" s="47"/>
      <c r="W1048" s="51"/>
      <c r="X1048" s="51"/>
      <c r="Y1048" s="47"/>
      <c r="Z1048" s="47"/>
      <c r="AA1048" s="47"/>
      <c r="AB1048" s="47"/>
      <c r="AC1048" s="47"/>
      <c r="AD1048" s="47"/>
      <c r="AE1048" s="54"/>
      <c r="AF1048" s="54"/>
      <c r="AG1048" s="54"/>
      <c r="AH1048" s="54"/>
      <c r="AI1048" s="54"/>
      <c r="AJ1048" s="54"/>
      <c r="AK1048" s="54"/>
      <c r="AL1048" s="54"/>
      <c r="AM1048" s="54"/>
      <c r="AN1048" s="54"/>
      <c r="AO1048" s="54"/>
      <c r="AP1048" s="54"/>
      <c r="AQ1048" s="54"/>
      <c r="AR1048" s="54"/>
      <c r="AS1048" s="54"/>
      <c r="AT1048" s="54"/>
      <c r="AU1048" s="54"/>
      <c r="AV1048" s="54"/>
      <c r="AW1048" s="54"/>
      <c r="AX1048" s="54"/>
      <c r="AY1048" s="54"/>
      <c r="AZ1048" s="54"/>
      <c r="BA1048" s="54"/>
      <c r="BB1048" s="54"/>
      <c r="BC1048" s="51"/>
      <c r="BD1048" s="51"/>
      <c r="BE1048" s="54"/>
      <c r="BF1048" s="54"/>
      <c r="BG1048" s="47"/>
      <c r="BH1048" s="48"/>
      <c r="BI1048" s="48"/>
      <c r="BJ1048" s="48"/>
      <c r="BK1048" s="48"/>
      <c r="BL1048" s="48"/>
      <c r="BM1048" s="48"/>
      <c r="BN1048" s="48"/>
      <c r="BO1048" s="48"/>
      <c r="BP1048" s="48"/>
      <c r="BQ1048" s="48"/>
      <c r="BR1048" s="48"/>
      <c r="BS1048" s="48"/>
      <c r="BT1048" s="48"/>
      <c r="BU1048" s="48"/>
      <c r="BV1048" s="48"/>
      <c r="BW1048" s="48"/>
      <c r="BX1048" s="48"/>
      <c r="BY1048" s="48"/>
      <c r="BZ1048" s="48"/>
      <c r="CA1048" s="48"/>
      <c r="CB1048" s="48"/>
      <c r="CC1048" s="48"/>
      <c r="CD1048" s="48"/>
      <c r="CE1048" s="48"/>
      <c r="CF1048" s="52"/>
      <c r="CG1048" s="52"/>
      <c r="CH1048" s="48"/>
      <c r="CI1048" s="48"/>
      <c r="CJ1048" s="48"/>
      <c r="CK1048" s="48"/>
    </row>
    <row r="1049" spans="1:89" ht="15.75" customHeight="1" x14ac:dyDescent="0.3">
      <c r="A1049" s="47"/>
      <c r="B1049" s="48"/>
      <c r="C1049" s="47"/>
      <c r="D1049" s="48"/>
      <c r="E1049" s="48"/>
      <c r="F1049" s="48"/>
      <c r="G1049" s="48"/>
      <c r="H1049" s="48"/>
      <c r="I1049" s="49"/>
      <c r="J1049" s="47"/>
      <c r="K1049" s="47"/>
      <c r="L1049" s="47"/>
      <c r="M1049" s="47"/>
      <c r="N1049" s="47"/>
      <c r="O1049" s="47"/>
      <c r="P1049" s="47"/>
      <c r="Q1049" s="47"/>
      <c r="R1049" s="47"/>
      <c r="S1049" s="50"/>
      <c r="T1049" s="47"/>
      <c r="U1049" s="47"/>
      <c r="V1049" s="47"/>
      <c r="W1049" s="51"/>
      <c r="X1049" s="51"/>
      <c r="Y1049" s="47"/>
      <c r="Z1049" s="47"/>
      <c r="AA1049" s="47"/>
      <c r="AB1049" s="47"/>
      <c r="AC1049" s="47"/>
      <c r="AD1049" s="47"/>
      <c r="AE1049" s="54"/>
      <c r="AF1049" s="54"/>
      <c r="AG1049" s="54"/>
      <c r="AH1049" s="54"/>
      <c r="AI1049" s="54"/>
      <c r="AJ1049" s="54"/>
      <c r="AK1049" s="54"/>
      <c r="AL1049" s="54"/>
      <c r="AM1049" s="54"/>
      <c r="AN1049" s="54"/>
      <c r="AO1049" s="54"/>
      <c r="AP1049" s="54"/>
      <c r="AQ1049" s="54"/>
      <c r="AR1049" s="54"/>
      <c r="AS1049" s="54"/>
      <c r="AT1049" s="54"/>
      <c r="AU1049" s="54"/>
      <c r="AV1049" s="54"/>
      <c r="AW1049" s="54"/>
      <c r="AX1049" s="54"/>
      <c r="AY1049" s="54"/>
      <c r="AZ1049" s="54"/>
      <c r="BA1049" s="54"/>
      <c r="BB1049" s="54"/>
      <c r="BC1049" s="51"/>
      <c r="BD1049" s="51"/>
      <c r="BE1049" s="54"/>
      <c r="BF1049" s="54"/>
      <c r="BG1049" s="47"/>
      <c r="BH1049" s="48"/>
      <c r="BI1049" s="48"/>
      <c r="BJ1049" s="48"/>
      <c r="BK1049" s="48"/>
      <c r="BL1049" s="48"/>
      <c r="BM1049" s="48"/>
      <c r="BN1049" s="48"/>
      <c r="BO1049" s="48"/>
      <c r="BP1049" s="48"/>
      <c r="BQ1049" s="48"/>
      <c r="BR1049" s="48"/>
      <c r="BS1049" s="48"/>
      <c r="BT1049" s="48"/>
      <c r="BU1049" s="48"/>
      <c r="BV1049" s="48"/>
      <c r="BW1049" s="48"/>
      <c r="BX1049" s="48"/>
      <c r="BY1049" s="48"/>
      <c r="BZ1049" s="48"/>
      <c r="CA1049" s="48"/>
      <c r="CB1049" s="48"/>
      <c r="CC1049" s="48"/>
      <c r="CD1049" s="48"/>
      <c r="CE1049" s="48"/>
      <c r="CF1049" s="52"/>
      <c r="CG1049" s="52"/>
      <c r="CH1049" s="48"/>
      <c r="CI1049" s="48"/>
      <c r="CJ1049" s="48"/>
      <c r="CK1049" s="48"/>
    </row>
    <row r="1050" spans="1:89" ht="15.75" customHeight="1" x14ac:dyDescent="0.3">
      <c r="A1050" s="47"/>
      <c r="B1050" s="48"/>
      <c r="C1050" s="47"/>
      <c r="D1050" s="48"/>
      <c r="E1050" s="48"/>
      <c r="F1050" s="48"/>
      <c r="G1050" s="48"/>
      <c r="H1050" s="48"/>
      <c r="I1050" s="49"/>
      <c r="J1050" s="47"/>
      <c r="K1050" s="47"/>
      <c r="L1050" s="47"/>
      <c r="M1050" s="47"/>
      <c r="N1050" s="47"/>
      <c r="O1050" s="47"/>
      <c r="P1050" s="47"/>
      <c r="Q1050" s="47"/>
      <c r="R1050" s="47"/>
      <c r="S1050" s="50"/>
      <c r="T1050" s="47"/>
      <c r="U1050" s="47"/>
      <c r="V1050" s="47"/>
      <c r="W1050" s="51"/>
      <c r="X1050" s="51"/>
      <c r="Y1050" s="47"/>
      <c r="Z1050" s="47"/>
      <c r="AA1050" s="47"/>
      <c r="AB1050" s="47"/>
      <c r="AC1050" s="47"/>
      <c r="AD1050" s="47"/>
      <c r="AE1050" s="54"/>
      <c r="AF1050" s="54"/>
      <c r="AG1050" s="54"/>
      <c r="AH1050" s="54"/>
      <c r="AI1050" s="54"/>
      <c r="AJ1050" s="54"/>
      <c r="AK1050" s="54"/>
      <c r="AL1050" s="54"/>
      <c r="AM1050" s="54"/>
      <c r="AN1050" s="54"/>
      <c r="AO1050" s="54"/>
      <c r="AP1050" s="54"/>
      <c r="AQ1050" s="54"/>
      <c r="AR1050" s="54"/>
      <c r="AS1050" s="54"/>
      <c r="AT1050" s="54"/>
      <c r="AU1050" s="54"/>
      <c r="AV1050" s="54"/>
      <c r="AW1050" s="54"/>
      <c r="AX1050" s="54"/>
      <c r="AY1050" s="54"/>
      <c r="AZ1050" s="54"/>
      <c r="BA1050" s="54"/>
      <c r="BB1050" s="54"/>
      <c r="BC1050" s="51"/>
      <c r="BD1050" s="51"/>
      <c r="BE1050" s="54"/>
      <c r="BF1050" s="54"/>
      <c r="BG1050" s="47"/>
      <c r="BH1050" s="48"/>
      <c r="BI1050" s="48"/>
      <c r="BJ1050" s="48"/>
      <c r="BK1050" s="48"/>
      <c r="BL1050" s="48"/>
      <c r="BM1050" s="48"/>
      <c r="BN1050" s="48"/>
      <c r="BO1050" s="48"/>
      <c r="BP1050" s="48"/>
      <c r="BQ1050" s="48"/>
      <c r="BR1050" s="48"/>
      <c r="BS1050" s="48"/>
      <c r="BT1050" s="48"/>
      <c r="BU1050" s="48"/>
      <c r="BV1050" s="48"/>
      <c r="BW1050" s="48"/>
      <c r="BX1050" s="48"/>
      <c r="BY1050" s="48"/>
      <c r="BZ1050" s="48"/>
      <c r="CA1050" s="48"/>
      <c r="CB1050" s="48"/>
      <c r="CC1050" s="48"/>
      <c r="CD1050" s="48"/>
      <c r="CE1050" s="48"/>
      <c r="CF1050" s="52"/>
      <c r="CG1050" s="52"/>
      <c r="CH1050" s="48"/>
      <c r="CI1050" s="48"/>
      <c r="CJ1050" s="48"/>
      <c r="CK1050" s="48"/>
    </row>
    <row r="1051" spans="1:89" ht="15.75" customHeight="1" x14ac:dyDescent="0.3">
      <c r="A1051" s="47"/>
      <c r="B1051" s="48"/>
      <c r="C1051" s="47"/>
      <c r="D1051" s="48"/>
      <c r="E1051" s="48"/>
      <c r="F1051" s="48"/>
      <c r="G1051" s="48"/>
      <c r="H1051" s="48"/>
      <c r="I1051" s="49"/>
      <c r="J1051" s="47"/>
      <c r="K1051" s="47"/>
      <c r="L1051" s="47"/>
      <c r="M1051" s="47"/>
      <c r="N1051" s="47"/>
      <c r="O1051" s="47"/>
      <c r="P1051" s="47"/>
      <c r="Q1051" s="47"/>
      <c r="R1051" s="47"/>
      <c r="S1051" s="50"/>
      <c r="T1051" s="47"/>
      <c r="U1051" s="47"/>
      <c r="V1051" s="47"/>
      <c r="W1051" s="51"/>
      <c r="X1051" s="51"/>
      <c r="Y1051" s="47"/>
      <c r="Z1051" s="47"/>
      <c r="AA1051" s="47"/>
      <c r="AB1051" s="47"/>
      <c r="AC1051" s="47"/>
      <c r="AD1051" s="47"/>
      <c r="AE1051" s="54"/>
      <c r="AF1051" s="54"/>
      <c r="AG1051" s="54"/>
      <c r="AH1051" s="54"/>
      <c r="AI1051" s="54"/>
      <c r="AJ1051" s="54"/>
      <c r="AK1051" s="54"/>
      <c r="AL1051" s="54"/>
      <c r="AM1051" s="54"/>
      <c r="AN1051" s="54"/>
      <c r="AO1051" s="54"/>
      <c r="AP1051" s="54"/>
      <c r="AQ1051" s="54"/>
      <c r="AR1051" s="54"/>
      <c r="AS1051" s="54"/>
      <c r="AT1051" s="54"/>
      <c r="AU1051" s="54"/>
      <c r="AV1051" s="54"/>
      <c r="AW1051" s="54"/>
      <c r="AX1051" s="54"/>
      <c r="AY1051" s="54"/>
      <c r="AZ1051" s="54"/>
      <c r="BA1051" s="54"/>
      <c r="BB1051" s="54"/>
      <c r="BC1051" s="51"/>
      <c r="BD1051" s="51"/>
      <c r="BE1051" s="54"/>
      <c r="BF1051" s="54"/>
      <c r="BG1051" s="47"/>
      <c r="BH1051" s="48"/>
      <c r="BI1051" s="48"/>
      <c r="BJ1051" s="48"/>
      <c r="BK1051" s="48"/>
      <c r="BL1051" s="48"/>
      <c r="BM1051" s="48"/>
      <c r="BN1051" s="48"/>
      <c r="BO1051" s="48"/>
      <c r="BP1051" s="48"/>
      <c r="BQ1051" s="48"/>
      <c r="BR1051" s="48"/>
      <c r="BS1051" s="48"/>
      <c r="BT1051" s="48"/>
      <c r="BU1051" s="48"/>
      <c r="BV1051" s="48"/>
      <c r="BW1051" s="48"/>
      <c r="BX1051" s="48"/>
      <c r="BY1051" s="48"/>
      <c r="BZ1051" s="48"/>
      <c r="CA1051" s="48"/>
      <c r="CB1051" s="48"/>
      <c r="CC1051" s="48"/>
      <c r="CD1051" s="48"/>
      <c r="CE1051" s="48"/>
      <c r="CF1051" s="52"/>
      <c r="CG1051" s="52"/>
      <c r="CH1051" s="48"/>
      <c r="CI1051" s="48"/>
      <c r="CJ1051" s="48"/>
      <c r="CK1051" s="48"/>
    </row>
    <row r="1052" spans="1:89" ht="15.75" customHeight="1" x14ac:dyDescent="0.3">
      <c r="A1052" s="47"/>
      <c r="B1052" s="48"/>
      <c r="C1052" s="47"/>
      <c r="D1052" s="48"/>
      <c r="E1052" s="48"/>
      <c r="F1052" s="48"/>
      <c r="G1052" s="48"/>
      <c r="H1052" s="48"/>
      <c r="I1052" s="49"/>
      <c r="J1052" s="47"/>
      <c r="K1052" s="47"/>
      <c r="L1052" s="47"/>
      <c r="M1052" s="47"/>
      <c r="N1052" s="47"/>
      <c r="O1052" s="47"/>
      <c r="P1052" s="47"/>
      <c r="Q1052" s="47"/>
      <c r="R1052" s="47"/>
      <c r="S1052" s="50"/>
      <c r="T1052" s="47"/>
      <c r="U1052" s="47"/>
      <c r="V1052" s="47"/>
      <c r="W1052" s="51"/>
      <c r="X1052" s="51"/>
      <c r="Y1052" s="47"/>
      <c r="Z1052" s="47"/>
      <c r="AA1052" s="47"/>
      <c r="AB1052" s="47"/>
      <c r="AC1052" s="47"/>
      <c r="AD1052" s="47"/>
      <c r="AE1052" s="54"/>
      <c r="AF1052" s="54"/>
      <c r="AG1052" s="54"/>
      <c r="AH1052" s="54"/>
      <c r="AI1052" s="54"/>
      <c r="AJ1052" s="54"/>
      <c r="AK1052" s="54"/>
      <c r="AL1052" s="54"/>
      <c r="AM1052" s="54"/>
      <c r="AN1052" s="54"/>
      <c r="AO1052" s="54"/>
      <c r="AP1052" s="54"/>
      <c r="AQ1052" s="54"/>
      <c r="AR1052" s="54"/>
      <c r="AS1052" s="54"/>
      <c r="AT1052" s="54"/>
      <c r="AU1052" s="54"/>
      <c r="AV1052" s="54"/>
      <c r="AW1052" s="54"/>
      <c r="AX1052" s="54"/>
      <c r="AY1052" s="54"/>
      <c r="AZ1052" s="54"/>
      <c r="BA1052" s="54"/>
      <c r="BB1052" s="54"/>
      <c r="BC1052" s="51"/>
      <c r="BD1052" s="51"/>
      <c r="BE1052" s="54"/>
      <c r="BF1052" s="54"/>
      <c r="BG1052" s="47"/>
      <c r="BH1052" s="48"/>
      <c r="BI1052" s="48"/>
      <c r="BJ1052" s="48"/>
      <c r="BK1052" s="48"/>
      <c r="BL1052" s="48"/>
      <c r="BM1052" s="48"/>
      <c r="BN1052" s="48"/>
      <c r="BO1052" s="48"/>
      <c r="BP1052" s="48"/>
      <c r="BQ1052" s="48"/>
      <c r="BR1052" s="48"/>
      <c r="BS1052" s="48"/>
      <c r="BT1052" s="48"/>
      <c r="BU1052" s="48"/>
      <c r="BV1052" s="48"/>
      <c r="BW1052" s="48"/>
      <c r="BX1052" s="48"/>
      <c r="BY1052" s="48"/>
      <c r="BZ1052" s="48"/>
      <c r="CA1052" s="48"/>
      <c r="CB1052" s="48"/>
      <c r="CC1052" s="48"/>
      <c r="CD1052" s="48"/>
      <c r="CE1052" s="48"/>
      <c r="CF1052" s="52"/>
      <c r="CG1052" s="52"/>
      <c r="CH1052" s="48"/>
      <c r="CI1052" s="48"/>
      <c r="CJ1052" s="48"/>
      <c r="CK1052" s="48"/>
    </row>
    <row r="1053" spans="1:89" ht="15.75" customHeight="1" x14ac:dyDescent="0.3">
      <c r="A1053" s="47"/>
      <c r="B1053" s="48"/>
      <c r="C1053" s="47"/>
      <c r="D1053" s="48"/>
      <c r="E1053" s="48"/>
      <c r="F1053" s="48"/>
      <c r="G1053" s="48"/>
      <c r="H1053" s="48"/>
      <c r="I1053" s="49"/>
      <c r="J1053" s="47"/>
      <c r="K1053" s="47"/>
      <c r="L1053" s="47"/>
      <c r="M1053" s="47"/>
      <c r="N1053" s="47"/>
      <c r="O1053" s="47"/>
      <c r="P1053" s="47"/>
      <c r="Q1053" s="47"/>
      <c r="R1053" s="47"/>
      <c r="S1053" s="50"/>
      <c r="T1053" s="47"/>
      <c r="U1053" s="47"/>
      <c r="V1053" s="47"/>
      <c r="W1053" s="51"/>
      <c r="X1053" s="51"/>
      <c r="Y1053" s="47"/>
      <c r="Z1053" s="47"/>
      <c r="AA1053" s="47"/>
      <c r="AB1053" s="47"/>
      <c r="AC1053" s="47"/>
      <c r="AD1053" s="47"/>
      <c r="AE1053" s="54"/>
      <c r="AF1053" s="54"/>
      <c r="AG1053" s="54"/>
      <c r="AH1053" s="54"/>
      <c r="AI1053" s="54"/>
      <c r="AJ1053" s="54"/>
      <c r="AK1053" s="54"/>
      <c r="AL1053" s="54"/>
      <c r="AM1053" s="54"/>
      <c r="AN1053" s="54"/>
      <c r="AO1053" s="54"/>
      <c r="AP1053" s="54"/>
      <c r="AQ1053" s="54"/>
      <c r="AR1053" s="54"/>
      <c r="AS1053" s="54"/>
      <c r="AT1053" s="54"/>
      <c r="AU1053" s="54"/>
      <c r="AV1053" s="54"/>
      <c r="AW1053" s="54"/>
      <c r="AX1053" s="54"/>
      <c r="AY1053" s="54"/>
      <c r="AZ1053" s="54"/>
      <c r="BA1053" s="54"/>
      <c r="BB1053" s="54"/>
      <c r="BC1053" s="51"/>
      <c r="BD1053" s="51"/>
      <c r="BE1053" s="54"/>
      <c r="BF1053" s="54"/>
      <c r="BG1053" s="47"/>
      <c r="BH1053" s="48"/>
      <c r="BI1053" s="48"/>
      <c r="BJ1053" s="48"/>
      <c r="BK1053" s="48"/>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52"/>
      <c r="CG1053" s="52"/>
      <c r="CH1053" s="48"/>
      <c r="CI1053" s="48"/>
      <c r="CJ1053" s="48"/>
      <c r="CK1053" s="48"/>
    </row>
    <row r="1054" spans="1:89" ht="15.75" customHeight="1" x14ac:dyDescent="0.3">
      <c r="A1054" s="47"/>
      <c r="B1054" s="48"/>
      <c r="C1054" s="47"/>
      <c r="D1054" s="48"/>
      <c r="E1054" s="48"/>
      <c r="F1054" s="48"/>
      <c r="G1054" s="48"/>
      <c r="H1054" s="48"/>
      <c r="I1054" s="49"/>
      <c r="J1054" s="47"/>
      <c r="K1054" s="47"/>
      <c r="L1054" s="47"/>
      <c r="M1054" s="47"/>
      <c r="N1054" s="47"/>
      <c r="O1054" s="47"/>
      <c r="P1054" s="47"/>
      <c r="Q1054" s="47"/>
      <c r="R1054" s="47"/>
      <c r="S1054" s="50"/>
      <c r="T1054" s="47"/>
      <c r="U1054" s="47"/>
      <c r="V1054" s="47"/>
      <c r="W1054" s="51"/>
      <c r="X1054" s="51"/>
      <c r="Y1054" s="47"/>
      <c r="Z1054" s="47"/>
      <c r="AA1054" s="47"/>
      <c r="AB1054" s="47"/>
      <c r="AC1054" s="47"/>
      <c r="AD1054" s="47"/>
      <c r="AE1054" s="54"/>
      <c r="AF1054" s="54"/>
      <c r="AG1054" s="54"/>
      <c r="AH1054" s="54"/>
      <c r="AI1054" s="54"/>
      <c r="AJ1054" s="54"/>
      <c r="AK1054" s="54"/>
      <c r="AL1054" s="54"/>
      <c r="AM1054" s="54"/>
      <c r="AN1054" s="54"/>
      <c r="AO1054" s="54"/>
      <c r="AP1054" s="54"/>
      <c r="AQ1054" s="54"/>
      <c r="AR1054" s="54"/>
      <c r="AS1054" s="54"/>
      <c r="AT1054" s="54"/>
      <c r="AU1054" s="54"/>
      <c r="AV1054" s="54"/>
      <c r="AW1054" s="54"/>
      <c r="AX1054" s="54"/>
      <c r="AY1054" s="54"/>
      <c r="AZ1054" s="54"/>
      <c r="BA1054" s="54"/>
      <c r="BB1054" s="54"/>
      <c r="BC1054" s="51"/>
      <c r="BD1054" s="51"/>
      <c r="BE1054" s="54"/>
      <c r="BF1054" s="54"/>
      <c r="BG1054" s="47"/>
      <c r="BH1054" s="48"/>
      <c r="BI1054" s="48"/>
      <c r="BJ1054" s="48"/>
      <c r="BK1054" s="48"/>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52"/>
      <c r="CG1054" s="52"/>
      <c r="CH1054" s="48"/>
      <c r="CI1054" s="48"/>
      <c r="CJ1054" s="48"/>
      <c r="CK1054" s="48"/>
    </row>
    <row r="1055" spans="1:89" ht="15.75" customHeight="1" x14ac:dyDescent="0.3">
      <c r="A1055" s="47"/>
      <c r="B1055" s="48"/>
      <c r="C1055" s="47"/>
      <c r="D1055" s="48"/>
      <c r="E1055" s="48"/>
      <c r="F1055" s="48"/>
      <c r="G1055" s="48"/>
      <c r="H1055" s="48"/>
      <c r="I1055" s="49"/>
      <c r="J1055" s="47"/>
      <c r="K1055" s="47"/>
      <c r="L1055" s="47"/>
      <c r="M1055" s="47"/>
      <c r="N1055" s="47"/>
      <c r="O1055" s="47"/>
      <c r="P1055" s="47"/>
      <c r="Q1055" s="47"/>
      <c r="R1055" s="47"/>
      <c r="S1055" s="50"/>
      <c r="T1055" s="47"/>
      <c r="U1055" s="47"/>
      <c r="V1055" s="47"/>
      <c r="W1055" s="51"/>
      <c r="X1055" s="51"/>
      <c r="Y1055" s="47"/>
      <c r="Z1055" s="47"/>
      <c r="AA1055" s="47"/>
      <c r="AB1055" s="47"/>
      <c r="AC1055" s="47"/>
      <c r="AD1055" s="47"/>
      <c r="AE1055" s="54"/>
      <c r="AF1055" s="54"/>
      <c r="AG1055" s="54"/>
      <c r="AH1055" s="54"/>
      <c r="AI1055" s="54"/>
      <c r="AJ1055" s="54"/>
      <c r="AK1055" s="54"/>
      <c r="AL1055" s="54"/>
      <c r="AM1055" s="54"/>
      <c r="AN1055" s="54"/>
      <c r="AO1055" s="54"/>
      <c r="AP1055" s="54"/>
      <c r="AQ1055" s="54"/>
      <c r="AR1055" s="54"/>
      <c r="AS1055" s="54"/>
      <c r="AT1055" s="54"/>
      <c r="AU1055" s="54"/>
      <c r="AV1055" s="54"/>
      <c r="AW1055" s="54"/>
      <c r="AX1055" s="54"/>
      <c r="AY1055" s="54"/>
      <c r="AZ1055" s="54"/>
      <c r="BA1055" s="54"/>
      <c r="BB1055" s="54"/>
      <c r="BC1055" s="51"/>
      <c r="BD1055" s="51"/>
      <c r="BE1055" s="54"/>
      <c r="BF1055" s="54"/>
      <c r="BG1055" s="47"/>
      <c r="BH1055" s="48"/>
      <c r="BI1055" s="48"/>
      <c r="BJ1055" s="48"/>
      <c r="BK1055" s="48"/>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52"/>
      <c r="CG1055" s="52"/>
      <c r="CH1055" s="48"/>
      <c r="CI1055" s="48"/>
      <c r="CJ1055" s="48"/>
      <c r="CK1055" s="48"/>
    </row>
    <row r="1056" spans="1:89" ht="15.75" customHeight="1" x14ac:dyDescent="0.3">
      <c r="A1056" s="47"/>
      <c r="B1056" s="48"/>
      <c r="C1056" s="47"/>
      <c r="D1056" s="48"/>
      <c r="E1056" s="48"/>
      <c r="F1056" s="48"/>
      <c r="G1056" s="48"/>
      <c r="H1056" s="48"/>
      <c r="I1056" s="49"/>
      <c r="J1056" s="47"/>
      <c r="K1056" s="47"/>
      <c r="L1056" s="47"/>
      <c r="M1056" s="47"/>
      <c r="N1056" s="47"/>
      <c r="O1056" s="47"/>
      <c r="P1056" s="47"/>
      <c r="Q1056" s="47"/>
      <c r="R1056" s="47"/>
      <c r="S1056" s="50"/>
      <c r="T1056" s="47"/>
      <c r="U1056" s="47"/>
      <c r="V1056" s="47"/>
      <c r="W1056" s="51"/>
      <c r="X1056" s="51"/>
      <c r="Y1056" s="47"/>
      <c r="Z1056" s="47"/>
      <c r="AA1056" s="47"/>
      <c r="AB1056" s="47"/>
      <c r="AC1056" s="47"/>
      <c r="AD1056" s="47"/>
      <c r="AE1056" s="54"/>
      <c r="AF1056" s="54"/>
      <c r="AG1056" s="54"/>
      <c r="AH1056" s="54"/>
      <c r="AI1056" s="54"/>
      <c r="AJ1056" s="54"/>
      <c r="AK1056" s="54"/>
      <c r="AL1056" s="54"/>
      <c r="AM1056" s="54"/>
      <c r="AN1056" s="54"/>
      <c r="AO1056" s="54"/>
      <c r="AP1056" s="54"/>
      <c r="AQ1056" s="54"/>
      <c r="AR1056" s="54"/>
      <c r="AS1056" s="54"/>
      <c r="AT1056" s="54"/>
      <c r="AU1056" s="54"/>
      <c r="AV1056" s="54"/>
      <c r="AW1056" s="54"/>
      <c r="AX1056" s="54"/>
      <c r="AY1056" s="54"/>
      <c r="AZ1056" s="54"/>
      <c r="BA1056" s="54"/>
      <c r="BB1056" s="54"/>
      <c r="BC1056" s="51"/>
      <c r="BD1056" s="51"/>
      <c r="BE1056" s="54"/>
      <c r="BF1056" s="54"/>
      <c r="BG1056" s="47"/>
      <c r="BH1056" s="48"/>
      <c r="BI1056" s="48"/>
      <c r="BJ1056" s="48"/>
      <c r="BK1056" s="48"/>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52"/>
      <c r="CG1056" s="52"/>
      <c r="CH1056" s="48"/>
      <c r="CI1056" s="48"/>
      <c r="CJ1056" s="48"/>
      <c r="CK1056" s="48"/>
    </row>
    <row r="1057" spans="1:89" ht="15.75" customHeight="1" x14ac:dyDescent="0.3">
      <c r="A1057" s="47"/>
      <c r="B1057" s="48"/>
      <c r="C1057" s="47"/>
      <c r="D1057" s="48"/>
      <c r="E1057" s="48"/>
      <c r="F1057" s="48"/>
      <c r="G1057" s="48"/>
      <c r="H1057" s="48"/>
      <c r="I1057" s="49"/>
      <c r="J1057" s="47"/>
      <c r="K1057" s="47"/>
      <c r="L1057" s="47"/>
      <c r="M1057" s="47"/>
      <c r="N1057" s="47"/>
      <c r="O1057" s="47"/>
      <c r="P1057" s="47"/>
      <c r="Q1057" s="47"/>
      <c r="R1057" s="47"/>
      <c r="S1057" s="50"/>
      <c r="T1057" s="47"/>
      <c r="U1057" s="47"/>
      <c r="V1057" s="47"/>
      <c r="W1057" s="51"/>
      <c r="X1057" s="51"/>
      <c r="Y1057" s="47"/>
      <c r="Z1057" s="47"/>
      <c r="AA1057" s="47"/>
      <c r="AB1057" s="47"/>
      <c r="AC1057" s="47"/>
      <c r="AD1057" s="47"/>
      <c r="AE1057" s="54"/>
      <c r="AF1057" s="54"/>
      <c r="AG1057" s="54"/>
      <c r="AH1057" s="54"/>
      <c r="AI1057" s="54"/>
      <c r="AJ1057" s="54"/>
      <c r="AK1057" s="54"/>
      <c r="AL1057" s="54"/>
      <c r="AM1057" s="54"/>
      <c r="AN1057" s="54"/>
      <c r="AO1057" s="54"/>
      <c r="AP1057" s="54"/>
      <c r="AQ1057" s="54"/>
      <c r="AR1057" s="54"/>
      <c r="AS1057" s="54"/>
      <c r="AT1057" s="54"/>
      <c r="AU1057" s="54"/>
      <c r="AV1057" s="54"/>
      <c r="AW1057" s="54"/>
      <c r="AX1057" s="54"/>
      <c r="AY1057" s="54"/>
      <c r="AZ1057" s="54"/>
      <c r="BA1057" s="54"/>
      <c r="BB1057" s="54"/>
      <c r="BC1057" s="51"/>
      <c r="BD1057" s="51"/>
      <c r="BE1057" s="54"/>
      <c r="BF1057" s="54"/>
      <c r="BG1057" s="47"/>
      <c r="BH1057" s="48"/>
      <c r="BI1057" s="48"/>
      <c r="BJ1057" s="48"/>
      <c r="BK1057" s="48"/>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52"/>
      <c r="CG1057" s="52"/>
      <c r="CH1057" s="48"/>
      <c r="CI1057" s="48"/>
      <c r="CJ1057" s="48"/>
      <c r="CK1057" s="48"/>
    </row>
    <row r="1058" spans="1:89" ht="15.75" customHeight="1" x14ac:dyDescent="0.3">
      <c r="A1058" s="47"/>
      <c r="B1058" s="48"/>
      <c r="C1058" s="47"/>
      <c r="D1058" s="48"/>
      <c r="E1058" s="48"/>
      <c r="F1058" s="48"/>
      <c r="G1058" s="48"/>
      <c r="H1058" s="48"/>
      <c r="I1058" s="49"/>
      <c r="J1058" s="47"/>
      <c r="K1058" s="47"/>
      <c r="L1058" s="47"/>
      <c r="M1058" s="47"/>
      <c r="N1058" s="47"/>
      <c r="O1058" s="47"/>
      <c r="P1058" s="47"/>
      <c r="Q1058" s="47"/>
      <c r="R1058" s="47"/>
      <c r="S1058" s="50"/>
      <c r="T1058" s="47"/>
      <c r="U1058" s="47"/>
      <c r="V1058" s="47"/>
      <c r="W1058" s="51"/>
      <c r="X1058" s="51"/>
      <c r="Y1058" s="47"/>
      <c r="Z1058" s="47"/>
      <c r="AA1058" s="47"/>
      <c r="AB1058" s="47"/>
      <c r="AC1058" s="47"/>
      <c r="AD1058" s="47"/>
      <c r="AE1058" s="54"/>
      <c r="AF1058" s="54"/>
      <c r="AG1058" s="54"/>
      <c r="AH1058" s="54"/>
      <c r="AI1058" s="54"/>
      <c r="AJ1058" s="54"/>
      <c r="AK1058" s="54"/>
      <c r="AL1058" s="54"/>
      <c r="AM1058" s="54"/>
      <c r="AN1058" s="54"/>
      <c r="AO1058" s="54"/>
      <c r="AP1058" s="54"/>
      <c r="AQ1058" s="54"/>
      <c r="AR1058" s="54"/>
      <c r="AS1058" s="54"/>
      <c r="AT1058" s="54"/>
      <c r="AU1058" s="54"/>
      <c r="AV1058" s="54"/>
      <c r="AW1058" s="54"/>
      <c r="AX1058" s="54"/>
      <c r="AY1058" s="54"/>
      <c r="AZ1058" s="54"/>
      <c r="BA1058" s="54"/>
      <c r="BB1058" s="54"/>
      <c r="BC1058" s="51"/>
      <c r="BD1058" s="51"/>
      <c r="BE1058" s="54"/>
      <c r="BF1058" s="54"/>
      <c r="BG1058" s="47"/>
      <c r="BH1058" s="48"/>
      <c r="BI1058" s="48"/>
      <c r="BJ1058" s="48"/>
      <c r="BK1058" s="48"/>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52"/>
      <c r="CG1058" s="52"/>
      <c r="CH1058" s="48"/>
      <c r="CI1058" s="48"/>
      <c r="CJ1058" s="48"/>
      <c r="CK1058" s="48"/>
    </row>
    <row r="1059" spans="1:89" ht="15.75" customHeight="1" x14ac:dyDescent="0.3">
      <c r="A1059" s="47"/>
      <c r="B1059" s="48"/>
      <c r="C1059" s="47"/>
      <c r="D1059" s="48"/>
      <c r="E1059" s="48"/>
      <c r="F1059" s="48"/>
      <c r="G1059" s="48"/>
      <c r="H1059" s="48"/>
      <c r="I1059" s="49"/>
      <c r="J1059" s="47"/>
      <c r="K1059" s="47"/>
      <c r="L1059" s="47"/>
      <c r="M1059" s="47"/>
      <c r="N1059" s="47"/>
      <c r="O1059" s="47"/>
      <c r="P1059" s="47"/>
      <c r="Q1059" s="47"/>
      <c r="R1059" s="47"/>
      <c r="S1059" s="50"/>
      <c r="T1059" s="47"/>
      <c r="U1059" s="47"/>
      <c r="V1059" s="47"/>
      <c r="W1059" s="51"/>
      <c r="X1059" s="51"/>
      <c r="Y1059" s="47"/>
      <c r="Z1059" s="47"/>
      <c r="AA1059" s="47"/>
      <c r="AB1059" s="47"/>
      <c r="AC1059" s="47"/>
      <c r="AD1059" s="47"/>
      <c r="AE1059" s="54"/>
      <c r="AF1059" s="54"/>
      <c r="AG1059" s="54"/>
      <c r="AH1059" s="54"/>
      <c r="AI1059" s="54"/>
      <c r="AJ1059" s="54"/>
      <c r="AK1059" s="54"/>
      <c r="AL1059" s="54"/>
      <c r="AM1059" s="54"/>
      <c r="AN1059" s="54"/>
      <c r="AO1059" s="54"/>
      <c r="AP1059" s="54"/>
      <c r="AQ1059" s="54"/>
      <c r="AR1059" s="54"/>
      <c r="AS1059" s="54"/>
      <c r="AT1059" s="54"/>
      <c r="AU1059" s="54"/>
      <c r="AV1059" s="54"/>
      <c r="AW1059" s="54"/>
      <c r="AX1059" s="54"/>
      <c r="AY1059" s="54"/>
      <c r="AZ1059" s="54"/>
      <c r="BA1059" s="54"/>
      <c r="BB1059" s="54"/>
      <c r="BC1059" s="51"/>
      <c r="BD1059" s="51"/>
      <c r="BE1059" s="54"/>
      <c r="BF1059" s="54"/>
      <c r="BG1059" s="47"/>
      <c r="BH1059" s="48"/>
      <c r="BI1059" s="48"/>
      <c r="BJ1059" s="48"/>
      <c r="BK1059" s="48"/>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52"/>
      <c r="CG1059" s="52"/>
      <c r="CH1059" s="48"/>
      <c r="CI1059" s="48"/>
      <c r="CJ1059" s="48"/>
      <c r="CK1059" s="48"/>
    </row>
    <row r="1060" spans="1:89" ht="15.75" customHeight="1" x14ac:dyDescent="0.3">
      <c r="A1060" s="47"/>
      <c r="B1060" s="48"/>
      <c r="C1060" s="47"/>
      <c r="D1060" s="48"/>
      <c r="E1060" s="48"/>
      <c r="F1060" s="48"/>
      <c r="G1060" s="48"/>
      <c r="H1060" s="48"/>
      <c r="I1060" s="49"/>
      <c r="J1060" s="47"/>
      <c r="K1060" s="47"/>
      <c r="L1060" s="47"/>
      <c r="M1060" s="47"/>
      <c r="N1060" s="47"/>
      <c r="O1060" s="47"/>
      <c r="P1060" s="47"/>
      <c r="Q1060" s="47"/>
      <c r="R1060" s="47"/>
      <c r="S1060" s="50"/>
      <c r="T1060" s="47"/>
      <c r="U1060" s="47"/>
      <c r="V1060" s="47"/>
      <c r="W1060" s="51"/>
      <c r="X1060" s="51"/>
      <c r="Y1060" s="47"/>
      <c r="Z1060" s="47"/>
      <c r="AA1060" s="47"/>
      <c r="AB1060" s="47"/>
      <c r="AC1060" s="47"/>
      <c r="AD1060" s="47"/>
      <c r="AE1060" s="54"/>
      <c r="AF1060" s="54"/>
      <c r="AG1060" s="54"/>
      <c r="AH1060" s="54"/>
      <c r="AI1060" s="54"/>
      <c r="AJ1060" s="54"/>
      <c r="AK1060" s="54"/>
      <c r="AL1060" s="54"/>
      <c r="AM1060" s="54"/>
      <c r="AN1060" s="54"/>
      <c r="AO1060" s="54"/>
      <c r="AP1060" s="54"/>
      <c r="AQ1060" s="54"/>
      <c r="AR1060" s="54"/>
      <c r="AS1060" s="54"/>
      <c r="AT1060" s="54"/>
      <c r="AU1060" s="54"/>
      <c r="AV1060" s="54"/>
      <c r="AW1060" s="54"/>
      <c r="AX1060" s="54"/>
      <c r="AY1060" s="54"/>
      <c r="AZ1060" s="54"/>
      <c r="BA1060" s="54"/>
      <c r="BB1060" s="54"/>
      <c r="BC1060" s="51"/>
      <c r="BD1060" s="51"/>
      <c r="BE1060" s="54"/>
      <c r="BF1060" s="54"/>
      <c r="BG1060" s="47"/>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52"/>
      <c r="CG1060" s="52"/>
      <c r="CH1060" s="48"/>
      <c r="CI1060" s="48"/>
      <c r="CJ1060" s="48"/>
      <c r="CK1060" s="48"/>
    </row>
    <row r="1061" spans="1:89" ht="15.75" customHeight="1" x14ac:dyDescent="0.3">
      <c r="A1061" s="47"/>
      <c r="B1061" s="48"/>
      <c r="C1061" s="47"/>
      <c r="D1061" s="48"/>
      <c r="E1061" s="48"/>
      <c r="F1061" s="48"/>
      <c r="G1061" s="48"/>
      <c r="H1061" s="48"/>
      <c r="I1061" s="49"/>
      <c r="J1061" s="47"/>
      <c r="K1061" s="47"/>
      <c r="L1061" s="47"/>
      <c r="M1061" s="47"/>
      <c r="N1061" s="47"/>
      <c r="O1061" s="47"/>
      <c r="P1061" s="47"/>
      <c r="Q1061" s="47"/>
      <c r="R1061" s="47"/>
      <c r="S1061" s="50"/>
      <c r="T1061" s="47"/>
      <c r="U1061" s="47"/>
      <c r="V1061" s="47"/>
      <c r="W1061" s="51"/>
      <c r="X1061" s="51"/>
      <c r="Y1061" s="47"/>
      <c r="Z1061" s="47"/>
      <c r="AA1061" s="47"/>
      <c r="AB1061" s="47"/>
      <c r="AC1061" s="47"/>
      <c r="AD1061" s="47"/>
      <c r="AE1061" s="54"/>
      <c r="AF1061" s="54"/>
      <c r="AG1061" s="54"/>
      <c r="AH1061" s="54"/>
      <c r="AI1061" s="54"/>
      <c r="AJ1061" s="54"/>
      <c r="AK1061" s="54"/>
      <c r="AL1061" s="54"/>
      <c r="AM1061" s="54"/>
      <c r="AN1061" s="54"/>
      <c r="AO1061" s="54"/>
      <c r="AP1061" s="54"/>
      <c r="AQ1061" s="54"/>
      <c r="AR1061" s="54"/>
      <c r="AS1061" s="54"/>
      <c r="AT1061" s="54"/>
      <c r="AU1061" s="54"/>
      <c r="AV1061" s="54"/>
      <c r="AW1061" s="54"/>
      <c r="AX1061" s="54"/>
      <c r="AY1061" s="54"/>
      <c r="AZ1061" s="54"/>
      <c r="BA1061" s="54"/>
      <c r="BB1061" s="54"/>
      <c r="BC1061" s="51"/>
      <c r="BD1061" s="51"/>
      <c r="BE1061" s="54"/>
      <c r="BF1061" s="54"/>
      <c r="BG1061" s="47"/>
      <c r="BH1061" s="48"/>
      <c r="BI1061" s="48"/>
      <c r="BJ1061" s="48"/>
      <c r="BK1061" s="48"/>
      <c r="BL1061" s="48"/>
      <c r="BM1061" s="48"/>
      <c r="BN1061" s="48"/>
      <c r="BO1061" s="48"/>
      <c r="BP1061" s="48"/>
      <c r="BQ1061" s="48"/>
      <c r="BR1061" s="48"/>
      <c r="BS1061" s="48"/>
      <c r="BT1061" s="48"/>
      <c r="BU1061" s="48"/>
      <c r="BV1061" s="48"/>
      <c r="BW1061" s="48"/>
      <c r="BX1061" s="48"/>
      <c r="BY1061" s="48"/>
      <c r="BZ1061" s="48"/>
      <c r="CA1061" s="48"/>
      <c r="CB1061" s="48"/>
      <c r="CC1061" s="48"/>
      <c r="CD1061" s="48"/>
      <c r="CE1061" s="48"/>
      <c r="CF1061" s="52"/>
      <c r="CG1061" s="52"/>
      <c r="CH1061" s="48"/>
      <c r="CI1061" s="48"/>
      <c r="CJ1061" s="48"/>
      <c r="CK1061" s="48"/>
    </row>
    <row r="1062" spans="1:89" ht="15.75" customHeight="1" x14ac:dyDescent="0.3">
      <c r="A1062" s="47"/>
      <c r="B1062" s="48"/>
      <c r="C1062" s="47"/>
      <c r="D1062" s="48"/>
      <c r="E1062" s="48"/>
      <c r="F1062" s="48"/>
      <c r="G1062" s="48"/>
      <c r="H1062" s="48"/>
      <c r="I1062" s="49"/>
      <c r="J1062" s="47"/>
      <c r="K1062" s="47"/>
      <c r="L1062" s="47"/>
      <c r="M1062" s="47"/>
      <c r="N1062" s="47"/>
      <c r="O1062" s="47"/>
      <c r="P1062" s="47"/>
      <c r="Q1062" s="47"/>
      <c r="R1062" s="47"/>
      <c r="S1062" s="50"/>
      <c r="T1062" s="47"/>
      <c r="U1062" s="47"/>
      <c r="V1062" s="47"/>
      <c r="W1062" s="51"/>
      <c r="X1062" s="51"/>
      <c r="Y1062" s="47"/>
      <c r="Z1062" s="47"/>
      <c r="AA1062" s="47"/>
      <c r="AB1062" s="47"/>
      <c r="AC1062" s="47"/>
      <c r="AD1062" s="47"/>
      <c r="AE1062" s="54"/>
      <c r="AF1062" s="54"/>
      <c r="AG1062" s="54"/>
      <c r="AH1062" s="54"/>
      <c r="AI1062" s="54"/>
      <c r="AJ1062" s="54"/>
      <c r="AK1062" s="54"/>
      <c r="AL1062" s="54"/>
      <c r="AM1062" s="54"/>
      <c r="AN1062" s="54"/>
      <c r="AO1062" s="54"/>
      <c r="AP1062" s="54"/>
      <c r="AQ1062" s="54"/>
      <c r="AR1062" s="54"/>
      <c r="AS1062" s="54"/>
      <c r="AT1062" s="54"/>
      <c r="AU1062" s="54"/>
      <c r="AV1062" s="54"/>
      <c r="AW1062" s="54"/>
      <c r="AX1062" s="54"/>
      <c r="AY1062" s="54"/>
      <c r="AZ1062" s="54"/>
      <c r="BA1062" s="54"/>
      <c r="BB1062" s="54"/>
      <c r="BC1062" s="51"/>
      <c r="BD1062" s="51"/>
      <c r="BE1062" s="54"/>
      <c r="BF1062" s="54"/>
      <c r="BG1062" s="47"/>
      <c r="BH1062" s="48"/>
      <c r="BI1062" s="48"/>
      <c r="BJ1062" s="48"/>
      <c r="BK1062" s="48"/>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52"/>
      <c r="CG1062" s="52"/>
      <c r="CH1062" s="48"/>
      <c r="CI1062" s="48"/>
      <c r="CJ1062" s="48"/>
      <c r="CK1062" s="48"/>
    </row>
    <row r="1063" spans="1:89" ht="15.75" customHeight="1" x14ac:dyDescent="0.3">
      <c r="A1063" s="47"/>
      <c r="B1063" s="48"/>
      <c r="C1063" s="47"/>
      <c r="D1063" s="48"/>
      <c r="E1063" s="48"/>
      <c r="F1063" s="48"/>
      <c r="G1063" s="48"/>
      <c r="H1063" s="48"/>
      <c r="I1063" s="49"/>
      <c r="J1063" s="47"/>
      <c r="K1063" s="47"/>
      <c r="L1063" s="47"/>
      <c r="M1063" s="47"/>
      <c r="N1063" s="47"/>
      <c r="O1063" s="47"/>
      <c r="P1063" s="47"/>
      <c r="Q1063" s="47"/>
      <c r="R1063" s="47"/>
      <c r="S1063" s="50"/>
      <c r="T1063" s="47"/>
      <c r="U1063" s="47"/>
      <c r="V1063" s="47"/>
      <c r="W1063" s="51"/>
      <c r="X1063" s="51"/>
      <c r="Y1063" s="47"/>
      <c r="Z1063" s="47"/>
      <c r="AA1063" s="47"/>
      <c r="AB1063" s="47"/>
      <c r="AC1063" s="47"/>
      <c r="AD1063" s="47"/>
      <c r="AE1063" s="54"/>
      <c r="AF1063" s="54"/>
      <c r="AG1063" s="54"/>
      <c r="AH1063" s="54"/>
      <c r="AI1063" s="54"/>
      <c r="AJ1063" s="54"/>
      <c r="AK1063" s="54"/>
      <c r="AL1063" s="54"/>
      <c r="AM1063" s="54"/>
      <c r="AN1063" s="54"/>
      <c r="AO1063" s="54"/>
      <c r="AP1063" s="54"/>
      <c r="AQ1063" s="54"/>
      <c r="AR1063" s="54"/>
      <c r="AS1063" s="54"/>
      <c r="AT1063" s="54"/>
      <c r="AU1063" s="54"/>
      <c r="AV1063" s="54"/>
      <c r="AW1063" s="54"/>
      <c r="AX1063" s="54"/>
      <c r="AY1063" s="54"/>
      <c r="AZ1063" s="54"/>
      <c r="BA1063" s="54"/>
      <c r="BB1063" s="54"/>
      <c r="BC1063" s="51"/>
      <c r="BD1063" s="51"/>
      <c r="BE1063" s="54"/>
      <c r="BF1063" s="54"/>
      <c r="BG1063" s="47"/>
      <c r="BH1063" s="48"/>
      <c r="BI1063" s="48"/>
      <c r="BJ1063" s="48"/>
      <c r="BK1063" s="48"/>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52"/>
      <c r="CG1063" s="52"/>
      <c r="CH1063" s="48"/>
      <c r="CI1063" s="48"/>
      <c r="CJ1063" s="48"/>
      <c r="CK1063" s="48"/>
    </row>
    <row r="1064" spans="1:89" ht="15.75" customHeight="1" x14ac:dyDescent="0.3">
      <c r="A1064" s="47"/>
      <c r="B1064" s="48"/>
      <c r="C1064" s="47"/>
      <c r="D1064" s="48"/>
      <c r="E1064" s="48"/>
      <c r="F1064" s="48"/>
      <c r="G1064" s="48"/>
      <c r="H1064" s="48"/>
      <c r="I1064" s="49"/>
      <c r="J1064" s="47"/>
      <c r="K1064" s="47"/>
      <c r="L1064" s="47"/>
      <c r="M1064" s="47"/>
      <c r="N1064" s="47"/>
      <c r="O1064" s="47"/>
      <c r="P1064" s="47"/>
      <c r="Q1064" s="47"/>
      <c r="R1064" s="47"/>
      <c r="S1064" s="50"/>
      <c r="T1064" s="47"/>
      <c r="U1064" s="47"/>
      <c r="V1064" s="47"/>
      <c r="W1064" s="51"/>
      <c r="X1064" s="51"/>
      <c r="Y1064" s="47"/>
      <c r="Z1064" s="47"/>
      <c r="AA1064" s="47"/>
      <c r="AB1064" s="47"/>
      <c r="AC1064" s="47"/>
      <c r="AD1064" s="47"/>
      <c r="AE1064" s="54"/>
      <c r="AF1064" s="54"/>
      <c r="AG1064" s="54"/>
      <c r="AH1064" s="54"/>
      <c r="AI1064" s="54"/>
      <c r="AJ1064" s="54"/>
      <c r="AK1064" s="54"/>
      <c r="AL1064" s="54"/>
      <c r="AM1064" s="54"/>
      <c r="AN1064" s="54"/>
      <c r="AO1064" s="54"/>
      <c r="AP1064" s="54"/>
      <c r="AQ1064" s="54"/>
      <c r="AR1064" s="54"/>
      <c r="AS1064" s="54"/>
      <c r="AT1064" s="54"/>
      <c r="AU1064" s="54"/>
      <c r="AV1064" s="54"/>
      <c r="AW1064" s="54"/>
      <c r="AX1064" s="54"/>
      <c r="AY1064" s="54"/>
      <c r="AZ1064" s="54"/>
      <c r="BA1064" s="54"/>
      <c r="BB1064" s="54"/>
      <c r="BC1064" s="51"/>
      <c r="BD1064" s="51"/>
      <c r="BE1064" s="54"/>
      <c r="BF1064" s="54"/>
      <c r="BG1064" s="47"/>
      <c r="BH1064" s="48"/>
      <c r="BI1064" s="48"/>
      <c r="BJ1064" s="48"/>
      <c r="BK1064" s="48"/>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52"/>
      <c r="CG1064" s="52"/>
      <c r="CH1064" s="48"/>
      <c r="CI1064" s="48"/>
      <c r="CJ1064" s="48"/>
      <c r="CK1064" s="48"/>
    </row>
    <row r="1065" spans="1:89" ht="15.75" customHeight="1" x14ac:dyDescent="0.3">
      <c r="A1065" s="47"/>
      <c r="B1065" s="48"/>
      <c r="C1065" s="47"/>
      <c r="D1065" s="48"/>
      <c r="E1065" s="48"/>
      <c r="F1065" s="48"/>
      <c r="G1065" s="48"/>
      <c r="H1065" s="48"/>
      <c r="I1065" s="49"/>
      <c r="J1065" s="47"/>
      <c r="K1065" s="47"/>
      <c r="L1065" s="47"/>
      <c r="M1065" s="47"/>
      <c r="N1065" s="47"/>
      <c r="O1065" s="47"/>
      <c r="P1065" s="47"/>
      <c r="Q1065" s="47"/>
      <c r="R1065" s="47"/>
      <c r="S1065" s="50"/>
      <c r="T1065" s="47"/>
      <c r="U1065" s="47"/>
      <c r="V1065" s="47"/>
      <c r="W1065" s="51"/>
      <c r="X1065" s="51"/>
      <c r="Y1065" s="47"/>
      <c r="Z1065" s="47"/>
      <c r="AA1065" s="47"/>
      <c r="AB1065" s="47"/>
      <c r="AC1065" s="47"/>
      <c r="AD1065" s="47"/>
      <c r="AE1065" s="54"/>
      <c r="AF1065" s="54"/>
      <c r="AG1065" s="54"/>
      <c r="AH1065" s="54"/>
      <c r="AI1065" s="54"/>
      <c r="AJ1065" s="54"/>
      <c r="AK1065" s="54"/>
      <c r="AL1065" s="54"/>
      <c r="AM1065" s="54"/>
      <c r="AN1065" s="54"/>
      <c r="AO1065" s="54"/>
      <c r="AP1065" s="54"/>
      <c r="AQ1065" s="54"/>
      <c r="AR1065" s="54"/>
      <c r="AS1065" s="54"/>
      <c r="AT1065" s="54"/>
      <c r="AU1065" s="54"/>
      <c r="AV1065" s="54"/>
      <c r="AW1065" s="54"/>
      <c r="AX1065" s="54"/>
      <c r="AY1065" s="54"/>
      <c r="AZ1065" s="54"/>
      <c r="BA1065" s="54"/>
      <c r="BB1065" s="54"/>
      <c r="BC1065" s="51"/>
      <c r="BD1065" s="51"/>
      <c r="BE1065" s="54"/>
      <c r="BF1065" s="54"/>
      <c r="BG1065" s="47"/>
      <c r="BH1065" s="48"/>
      <c r="BI1065" s="48"/>
      <c r="BJ1065" s="48"/>
      <c r="BK1065" s="48"/>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52"/>
      <c r="CG1065" s="52"/>
      <c r="CH1065" s="48"/>
      <c r="CI1065" s="48"/>
      <c r="CJ1065" s="48"/>
      <c r="CK1065" s="48"/>
    </row>
    <row r="1066" spans="1:89" ht="15.75" customHeight="1" x14ac:dyDescent="0.3">
      <c r="A1066" s="47"/>
      <c r="B1066" s="48"/>
      <c r="C1066" s="47"/>
      <c r="D1066" s="48"/>
      <c r="E1066" s="48"/>
      <c r="F1066" s="48"/>
      <c r="G1066" s="48"/>
      <c r="H1066" s="48"/>
      <c r="I1066" s="49"/>
      <c r="J1066" s="47"/>
      <c r="K1066" s="47"/>
      <c r="L1066" s="47"/>
      <c r="M1066" s="47"/>
      <c r="N1066" s="47"/>
      <c r="O1066" s="47"/>
      <c r="P1066" s="47"/>
      <c r="Q1066" s="47"/>
      <c r="R1066" s="47"/>
      <c r="S1066" s="50"/>
      <c r="T1066" s="47"/>
      <c r="U1066" s="47"/>
      <c r="V1066" s="47"/>
      <c r="W1066" s="51"/>
      <c r="X1066" s="51"/>
      <c r="Y1066" s="47"/>
      <c r="Z1066" s="47"/>
      <c r="AA1066" s="47"/>
      <c r="AB1066" s="47"/>
      <c r="AC1066" s="47"/>
      <c r="AD1066" s="47"/>
      <c r="AE1066" s="54"/>
      <c r="AF1066" s="54"/>
      <c r="AG1066" s="54"/>
      <c r="AH1066" s="54"/>
      <c r="AI1066" s="54"/>
      <c r="AJ1066" s="54"/>
      <c r="AK1066" s="54"/>
      <c r="AL1066" s="54"/>
      <c r="AM1066" s="54"/>
      <c r="AN1066" s="54"/>
      <c r="AO1066" s="54"/>
      <c r="AP1066" s="54"/>
      <c r="AQ1066" s="54"/>
      <c r="AR1066" s="54"/>
      <c r="AS1066" s="54"/>
      <c r="AT1066" s="54"/>
      <c r="AU1066" s="54"/>
      <c r="AV1066" s="54"/>
      <c r="AW1066" s="54"/>
      <c r="AX1066" s="54"/>
      <c r="AY1066" s="54"/>
      <c r="AZ1066" s="54"/>
      <c r="BA1066" s="54"/>
      <c r="BB1066" s="54"/>
      <c r="BC1066" s="51"/>
      <c r="BD1066" s="51"/>
      <c r="BE1066" s="54"/>
      <c r="BF1066" s="54"/>
      <c r="BG1066" s="47"/>
      <c r="BH1066" s="48"/>
      <c r="BI1066" s="48"/>
      <c r="BJ1066" s="48"/>
      <c r="BK1066" s="48"/>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52"/>
      <c r="CG1066" s="52"/>
      <c r="CH1066" s="48"/>
      <c r="CI1066" s="48"/>
      <c r="CJ1066" s="48"/>
      <c r="CK1066" s="48"/>
    </row>
    <row r="1067" spans="1:89" ht="15.75" customHeight="1" x14ac:dyDescent="0.3">
      <c r="A1067" s="47"/>
      <c r="B1067" s="48"/>
      <c r="C1067" s="47"/>
      <c r="D1067" s="48"/>
      <c r="E1067" s="48"/>
      <c r="F1067" s="48"/>
      <c r="G1067" s="48"/>
      <c r="H1067" s="48"/>
      <c r="I1067" s="49"/>
      <c r="J1067" s="47"/>
      <c r="K1067" s="47"/>
      <c r="L1067" s="47"/>
      <c r="M1067" s="47"/>
      <c r="N1067" s="47"/>
      <c r="O1067" s="47"/>
      <c r="P1067" s="47"/>
      <c r="Q1067" s="47"/>
      <c r="R1067" s="47"/>
      <c r="S1067" s="50"/>
      <c r="T1067" s="47"/>
      <c r="U1067" s="47"/>
      <c r="V1067" s="47"/>
      <c r="W1067" s="51"/>
      <c r="X1067" s="51"/>
      <c r="Y1067" s="47"/>
      <c r="Z1067" s="47"/>
      <c r="AA1067" s="47"/>
      <c r="AB1067" s="47"/>
      <c r="AC1067" s="47"/>
      <c r="AD1067" s="47"/>
      <c r="AE1067" s="54"/>
      <c r="AF1067" s="54"/>
      <c r="AG1067" s="54"/>
      <c r="AH1067" s="54"/>
      <c r="AI1067" s="54"/>
      <c r="AJ1067" s="54"/>
      <c r="AK1067" s="54"/>
      <c r="AL1067" s="54"/>
      <c r="AM1067" s="54"/>
      <c r="AN1067" s="54"/>
      <c r="AO1067" s="54"/>
      <c r="AP1067" s="54"/>
      <c r="AQ1067" s="54"/>
      <c r="AR1067" s="54"/>
      <c r="AS1067" s="54"/>
      <c r="AT1067" s="54"/>
      <c r="AU1067" s="54"/>
      <c r="AV1067" s="54"/>
      <c r="AW1067" s="54"/>
      <c r="AX1067" s="54"/>
      <c r="AY1067" s="54"/>
      <c r="AZ1067" s="54"/>
      <c r="BA1067" s="54"/>
      <c r="BB1067" s="54"/>
      <c r="BC1067" s="51"/>
      <c r="BD1067" s="51"/>
      <c r="BE1067" s="54"/>
      <c r="BF1067" s="54"/>
      <c r="BG1067" s="47"/>
      <c r="BH1067" s="48"/>
      <c r="BI1067" s="48"/>
      <c r="BJ1067" s="48"/>
      <c r="BK1067" s="48"/>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52"/>
      <c r="CG1067" s="52"/>
      <c r="CH1067" s="48"/>
      <c r="CI1067" s="48"/>
      <c r="CJ1067" s="48"/>
      <c r="CK1067" s="48"/>
    </row>
    <row r="1068" spans="1:89" ht="15.75" customHeight="1" x14ac:dyDescent="0.3">
      <c r="A1068" s="47"/>
      <c r="B1068" s="48"/>
      <c r="C1068" s="47"/>
      <c r="D1068" s="48"/>
      <c r="E1068" s="48"/>
      <c r="F1068" s="48"/>
      <c r="G1068" s="48"/>
      <c r="H1068" s="48"/>
      <c r="I1068" s="49"/>
      <c r="J1068" s="47"/>
      <c r="K1068" s="47"/>
      <c r="L1068" s="47"/>
      <c r="M1068" s="47"/>
      <c r="N1068" s="47"/>
      <c r="O1068" s="47"/>
      <c r="P1068" s="47"/>
      <c r="Q1068" s="47"/>
      <c r="R1068" s="47"/>
      <c r="S1068" s="50"/>
      <c r="T1068" s="47"/>
      <c r="U1068" s="47"/>
      <c r="V1068" s="47"/>
      <c r="W1068" s="51"/>
      <c r="X1068" s="51"/>
      <c r="Y1068" s="47"/>
      <c r="Z1068" s="47"/>
      <c r="AA1068" s="47"/>
      <c r="AB1068" s="47"/>
      <c r="AC1068" s="47"/>
      <c r="AD1068" s="47"/>
      <c r="AE1068" s="54"/>
      <c r="AF1068" s="54"/>
      <c r="AG1068" s="54"/>
      <c r="AH1068" s="54"/>
      <c r="AI1068" s="54"/>
      <c r="AJ1068" s="54"/>
      <c r="AK1068" s="54"/>
      <c r="AL1068" s="54"/>
      <c r="AM1068" s="54"/>
      <c r="AN1068" s="54"/>
      <c r="AO1068" s="54"/>
      <c r="AP1068" s="54"/>
      <c r="AQ1068" s="54"/>
      <c r="AR1068" s="54"/>
      <c r="AS1068" s="54"/>
      <c r="AT1068" s="54"/>
      <c r="AU1068" s="54"/>
      <c r="AV1068" s="54"/>
      <c r="AW1068" s="54"/>
      <c r="AX1068" s="54"/>
      <c r="AY1068" s="54"/>
      <c r="AZ1068" s="54"/>
      <c r="BA1068" s="54"/>
      <c r="BB1068" s="54"/>
      <c r="BC1068" s="51"/>
      <c r="BD1068" s="51"/>
      <c r="BE1068" s="54"/>
      <c r="BF1068" s="54"/>
      <c r="BG1068" s="47"/>
      <c r="BH1068" s="48"/>
      <c r="BI1068" s="48"/>
      <c r="BJ1068" s="48"/>
      <c r="BK1068" s="48"/>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52"/>
      <c r="CG1068" s="52"/>
      <c r="CH1068" s="48"/>
      <c r="CI1068" s="48"/>
      <c r="CJ1068" s="48"/>
      <c r="CK1068" s="48"/>
    </row>
    <row r="1069" spans="1:89" ht="15.75" customHeight="1" x14ac:dyDescent="0.3">
      <c r="A1069" s="47"/>
      <c r="B1069" s="48"/>
      <c r="C1069" s="47"/>
      <c r="D1069" s="48"/>
      <c r="E1069" s="48"/>
      <c r="F1069" s="48"/>
      <c r="G1069" s="48"/>
      <c r="H1069" s="48"/>
      <c r="I1069" s="49"/>
      <c r="J1069" s="47"/>
      <c r="K1069" s="47"/>
      <c r="L1069" s="47"/>
      <c r="M1069" s="47"/>
      <c r="N1069" s="47"/>
      <c r="O1069" s="47"/>
      <c r="P1069" s="47"/>
      <c r="Q1069" s="47"/>
      <c r="R1069" s="47"/>
      <c r="S1069" s="50"/>
      <c r="T1069" s="47"/>
      <c r="U1069" s="47"/>
      <c r="V1069" s="47"/>
      <c r="W1069" s="51"/>
      <c r="X1069" s="51"/>
      <c r="Y1069" s="47"/>
      <c r="Z1069" s="47"/>
      <c r="AA1069" s="47"/>
      <c r="AB1069" s="47"/>
      <c r="AC1069" s="47"/>
      <c r="AD1069" s="47"/>
      <c r="AE1069" s="54"/>
      <c r="AF1069" s="54"/>
      <c r="AG1069" s="54"/>
      <c r="AH1069" s="54"/>
      <c r="AI1069" s="54"/>
      <c r="AJ1069" s="54"/>
      <c r="AK1069" s="54"/>
      <c r="AL1069" s="54"/>
      <c r="AM1069" s="54"/>
      <c r="AN1069" s="54"/>
      <c r="AO1069" s="54"/>
      <c r="AP1069" s="54"/>
      <c r="AQ1069" s="54"/>
      <c r="AR1069" s="54"/>
      <c r="AS1069" s="54"/>
      <c r="AT1069" s="54"/>
      <c r="AU1069" s="54"/>
      <c r="AV1069" s="54"/>
      <c r="AW1069" s="54"/>
      <c r="AX1069" s="54"/>
      <c r="AY1069" s="54"/>
      <c r="AZ1069" s="54"/>
      <c r="BA1069" s="54"/>
      <c r="BB1069" s="54"/>
      <c r="BC1069" s="51"/>
      <c r="BD1069" s="51"/>
      <c r="BE1069" s="54"/>
      <c r="BF1069" s="54"/>
      <c r="BG1069" s="47"/>
      <c r="BH1069" s="48"/>
      <c r="BI1069" s="48"/>
      <c r="BJ1069" s="48"/>
      <c r="BK1069" s="48"/>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52"/>
      <c r="CG1069" s="52"/>
      <c r="CH1069" s="48"/>
      <c r="CI1069" s="48"/>
      <c r="CJ1069" s="48"/>
      <c r="CK1069" s="48"/>
    </row>
    <row r="1070" spans="1:89" ht="15.75" customHeight="1" x14ac:dyDescent="0.3">
      <c r="A1070" s="47"/>
      <c r="B1070" s="48"/>
      <c r="C1070" s="47"/>
      <c r="D1070" s="48"/>
      <c r="E1070" s="48"/>
      <c r="F1070" s="48"/>
      <c r="G1070" s="48"/>
      <c r="H1070" s="48"/>
      <c r="I1070" s="49"/>
      <c r="J1070" s="47"/>
      <c r="K1070" s="47"/>
      <c r="L1070" s="47"/>
      <c r="M1070" s="47"/>
      <c r="N1070" s="47"/>
      <c r="O1070" s="47"/>
      <c r="P1070" s="47"/>
      <c r="Q1070" s="47"/>
      <c r="R1070" s="47"/>
      <c r="S1070" s="50"/>
      <c r="T1070" s="47"/>
      <c r="U1070" s="47"/>
      <c r="V1070" s="47"/>
      <c r="W1070" s="51"/>
      <c r="X1070" s="51"/>
      <c r="Y1070" s="47"/>
      <c r="Z1070" s="47"/>
      <c r="AA1070" s="47"/>
      <c r="AB1070" s="47"/>
      <c r="AC1070" s="47"/>
      <c r="AD1070" s="47"/>
      <c r="AE1070" s="54"/>
      <c r="AF1070" s="54"/>
      <c r="AG1070" s="54"/>
      <c r="AH1070" s="54"/>
      <c r="AI1070" s="54"/>
      <c r="AJ1070" s="54"/>
      <c r="AK1070" s="54"/>
      <c r="AL1070" s="54"/>
      <c r="AM1070" s="54"/>
      <c r="AN1070" s="54"/>
      <c r="AO1070" s="54"/>
      <c r="AP1070" s="54"/>
      <c r="AQ1070" s="54"/>
      <c r="AR1070" s="54"/>
      <c r="AS1070" s="54"/>
      <c r="AT1070" s="54"/>
      <c r="AU1070" s="54"/>
      <c r="AV1070" s="54"/>
      <c r="AW1070" s="54"/>
      <c r="AX1070" s="54"/>
      <c r="AY1070" s="54"/>
      <c r="AZ1070" s="54"/>
      <c r="BA1070" s="54"/>
      <c r="BB1070" s="54"/>
      <c r="BC1070" s="51"/>
      <c r="BD1070" s="51"/>
      <c r="BE1070" s="54"/>
      <c r="BF1070" s="54"/>
      <c r="BG1070" s="47"/>
      <c r="BH1070" s="48"/>
      <c r="BI1070" s="48"/>
      <c r="BJ1070" s="48"/>
      <c r="BK1070" s="48"/>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52"/>
      <c r="CG1070" s="52"/>
      <c r="CH1070" s="48"/>
      <c r="CI1070" s="48"/>
      <c r="CJ1070" s="48"/>
      <c r="CK1070" s="48"/>
    </row>
    <row r="1071" spans="1:89" ht="15.75" customHeight="1" x14ac:dyDescent="0.3">
      <c r="A1071" s="47"/>
      <c r="B1071" s="48"/>
      <c r="C1071" s="47"/>
      <c r="D1071" s="48"/>
      <c r="E1071" s="48"/>
      <c r="F1071" s="48"/>
      <c r="G1071" s="48"/>
      <c r="H1071" s="48"/>
      <c r="I1071" s="49"/>
      <c r="J1071" s="47"/>
      <c r="K1071" s="47"/>
      <c r="L1071" s="47"/>
      <c r="M1071" s="47"/>
      <c r="N1071" s="47"/>
      <c r="O1071" s="47"/>
      <c r="P1071" s="47"/>
      <c r="Q1071" s="47"/>
      <c r="R1071" s="47"/>
      <c r="S1071" s="50"/>
      <c r="T1071" s="47"/>
      <c r="U1071" s="47"/>
      <c r="V1071" s="47"/>
      <c r="W1071" s="51"/>
      <c r="X1071" s="51"/>
      <c r="Y1071" s="47"/>
      <c r="Z1071" s="47"/>
      <c r="AA1071" s="47"/>
      <c r="AB1071" s="47"/>
      <c r="AC1071" s="47"/>
      <c r="AD1071" s="47"/>
      <c r="AE1071" s="54"/>
      <c r="AF1071" s="54"/>
      <c r="AG1071" s="54"/>
      <c r="AH1071" s="54"/>
      <c r="AI1071" s="54"/>
      <c r="AJ1071" s="54"/>
      <c r="AK1071" s="54"/>
      <c r="AL1071" s="54"/>
      <c r="AM1071" s="54"/>
      <c r="AN1071" s="54"/>
      <c r="AO1071" s="54"/>
      <c r="AP1071" s="54"/>
      <c r="AQ1071" s="54"/>
      <c r="AR1071" s="54"/>
      <c r="AS1071" s="54"/>
      <c r="AT1071" s="54"/>
      <c r="AU1071" s="54"/>
      <c r="AV1071" s="54"/>
      <c r="AW1071" s="54"/>
      <c r="AX1071" s="54"/>
      <c r="AY1071" s="54"/>
      <c r="AZ1071" s="54"/>
      <c r="BA1071" s="54"/>
      <c r="BB1071" s="54"/>
      <c r="BC1071" s="51"/>
      <c r="BD1071" s="51"/>
      <c r="BE1071" s="54"/>
      <c r="BF1071" s="54"/>
      <c r="BG1071" s="47"/>
      <c r="BH1071" s="48"/>
      <c r="BI1071" s="48"/>
      <c r="BJ1071" s="48"/>
      <c r="BK1071" s="48"/>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52"/>
      <c r="CG1071" s="52"/>
      <c r="CH1071" s="48"/>
      <c r="CI1071" s="48"/>
      <c r="CJ1071" s="48"/>
      <c r="CK1071" s="48"/>
    </row>
    <row r="1072" spans="1:89" ht="15.75" customHeight="1" x14ac:dyDescent="0.3">
      <c r="A1072" s="47"/>
      <c r="B1072" s="48"/>
      <c r="C1072" s="47"/>
      <c r="D1072" s="48"/>
      <c r="E1072" s="48"/>
      <c r="F1072" s="48"/>
      <c r="G1072" s="48"/>
      <c r="H1072" s="48"/>
      <c r="I1072" s="49"/>
      <c r="J1072" s="47"/>
      <c r="K1072" s="47"/>
      <c r="L1072" s="47"/>
      <c r="M1072" s="47"/>
      <c r="N1072" s="47"/>
      <c r="O1072" s="47"/>
      <c r="P1072" s="47"/>
      <c r="Q1072" s="47"/>
      <c r="R1072" s="47"/>
      <c r="S1072" s="50"/>
      <c r="T1072" s="47"/>
      <c r="U1072" s="47"/>
      <c r="V1072" s="47"/>
      <c r="W1072" s="51"/>
      <c r="X1072" s="51"/>
      <c r="Y1072" s="47"/>
      <c r="Z1072" s="47"/>
      <c r="AA1072" s="47"/>
      <c r="AB1072" s="47"/>
      <c r="AC1072" s="47"/>
      <c r="AD1072" s="47"/>
      <c r="AE1072" s="54"/>
      <c r="AF1072" s="54"/>
      <c r="AG1072" s="54"/>
      <c r="AH1072" s="54"/>
      <c r="AI1072" s="54"/>
      <c r="AJ1072" s="54"/>
      <c r="AK1072" s="54"/>
      <c r="AL1072" s="54"/>
      <c r="AM1072" s="54"/>
      <c r="AN1072" s="54"/>
      <c r="AO1072" s="54"/>
      <c r="AP1072" s="54"/>
      <c r="AQ1072" s="54"/>
      <c r="AR1072" s="54"/>
      <c r="AS1072" s="54"/>
      <c r="AT1072" s="54"/>
      <c r="AU1072" s="54"/>
      <c r="AV1072" s="54"/>
      <c r="AW1072" s="54"/>
      <c r="AX1072" s="54"/>
      <c r="AY1072" s="54"/>
      <c r="AZ1072" s="54"/>
      <c r="BA1072" s="54"/>
      <c r="BB1072" s="54"/>
      <c r="BC1072" s="51"/>
      <c r="BD1072" s="51"/>
      <c r="BE1072" s="54"/>
      <c r="BF1072" s="54"/>
      <c r="BG1072" s="47"/>
      <c r="BH1072" s="48"/>
      <c r="BI1072" s="48"/>
      <c r="BJ1072" s="48"/>
      <c r="BK1072" s="48"/>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52"/>
      <c r="CG1072" s="52"/>
      <c r="CH1072" s="48"/>
      <c r="CI1072" s="48"/>
      <c r="CJ1072" s="48"/>
      <c r="CK1072" s="48"/>
    </row>
    <row r="1073" spans="1:89" ht="15.75" customHeight="1" x14ac:dyDescent="0.3">
      <c r="A1073" s="47"/>
      <c r="B1073" s="48"/>
      <c r="C1073" s="47"/>
      <c r="D1073" s="48"/>
      <c r="E1073" s="48"/>
      <c r="F1073" s="48"/>
      <c r="G1073" s="48"/>
      <c r="H1073" s="48"/>
      <c r="I1073" s="49"/>
      <c r="J1073" s="47"/>
      <c r="K1073" s="47"/>
      <c r="L1073" s="47"/>
      <c r="M1073" s="47"/>
      <c r="N1073" s="47"/>
      <c r="O1073" s="47"/>
      <c r="P1073" s="47"/>
      <c r="Q1073" s="47"/>
      <c r="R1073" s="47"/>
      <c r="S1073" s="50"/>
      <c r="T1073" s="47"/>
      <c r="U1073" s="47"/>
      <c r="V1073" s="47"/>
      <c r="W1073" s="51"/>
      <c r="X1073" s="51"/>
      <c r="Y1073" s="47"/>
      <c r="Z1073" s="47"/>
      <c r="AA1073" s="47"/>
      <c r="AB1073" s="47"/>
      <c r="AC1073" s="47"/>
      <c r="AD1073" s="47"/>
      <c r="AE1073" s="54"/>
      <c r="AF1073" s="54"/>
      <c r="AG1073" s="54"/>
      <c r="AH1073" s="54"/>
      <c r="AI1073" s="54"/>
      <c r="AJ1073" s="54"/>
      <c r="AK1073" s="54"/>
      <c r="AL1073" s="54"/>
      <c r="AM1073" s="54"/>
      <c r="AN1073" s="54"/>
      <c r="AO1073" s="54"/>
      <c r="AP1073" s="54"/>
      <c r="AQ1073" s="54"/>
      <c r="AR1073" s="54"/>
      <c r="AS1073" s="54"/>
      <c r="AT1073" s="54"/>
      <c r="AU1073" s="54"/>
      <c r="AV1073" s="54"/>
      <c r="AW1073" s="54"/>
      <c r="AX1073" s="54"/>
      <c r="AY1073" s="54"/>
      <c r="AZ1073" s="54"/>
      <c r="BA1073" s="54"/>
      <c r="BB1073" s="54"/>
      <c r="BC1073" s="51"/>
      <c r="BD1073" s="51"/>
      <c r="BE1073" s="54"/>
      <c r="BF1073" s="54"/>
      <c r="BG1073" s="47"/>
      <c r="BH1073" s="48"/>
      <c r="BI1073" s="48"/>
      <c r="BJ1073" s="48"/>
      <c r="BK1073" s="48"/>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52"/>
      <c r="CG1073" s="52"/>
      <c r="CH1073" s="48"/>
      <c r="CI1073" s="48"/>
      <c r="CJ1073" s="48"/>
      <c r="CK1073" s="48"/>
    </row>
    <row r="1074" spans="1:89" ht="15.75" customHeight="1" x14ac:dyDescent="0.3">
      <c r="A1074" s="47"/>
      <c r="B1074" s="48"/>
      <c r="C1074" s="47"/>
      <c r="D1074" s="48"/>
      <c r="E1074" s="48"/>
      <c r="F1074" s="48"/>
      <c r="G1074" s="48"/>
      <c r="H1074" s="48"/>
      <c r="I1074" s="49"/>
      <c r="J1074" s="47"/>
      <c r="K1074" s="47"/>
      <c r="L1074" s="47"/>
      <c r="M1074" s="47"/>
      <c r="N1074" s="47"/>
      <c r="O1074" s="47"/>
      <c r="P1074" s="47"/>
      <c r="Q1074" s="47"/>
      <c r="R1074" s="47"/>
      <c r="S1074" s="50"/>
      <c r="T1074" s="47"/>
      <c r="U1074" s="47"/>
      <c r="V1074" s="47"/>
      <c r="W1074" s="51"/>
      <c r="X1074" s="51"/>
      <c r="Y1074" s="47"/>
      <c r="Z1074" s="47"/>
      <c r="AA1074" s="47"/>
      <c r="AB1074" s="47"/>
      <c r="AC1074" s="47"/>
      <c r="AD1074" s="47"/>
      <c r="AE1074" s="54"/>
      <c r="AF1074" s="54"/>
      <c r="AG1074" s="54"/>
      <c r="AH1074" s="54"/>
      <c r="AI1074" s="54"/>
      <c r="AJ1074" s="54"/>
      <c r="AK1074" s="54"/>
      <c r="AL1074" s="54"/>
      <c r="AM1074" s="54"/>
      <c r="AN1074" s="54"/>
      <c r="AO1074" s="54"/>
      <c r="AP1074" s="54"/>
      <c r="AQ1074" s="54"/>
      <c r="AR1074" s="54"/>
      <c r="AS1074" s="54"/>
      <c r="AT1074" s="54"/>
      <c r="AU1074" s="54"/>
      <c r="AV1074" s="54"/>
      <c r="AW1074" s="54"/>
      <c r="AX1074" s="54"/>
      <c r="AY1074" s="54"/>
      <c r="AZ1074" s="54"/>
      <c r="BA1074" s="54"/>
      <c r="BB1074" s="54"/>
      <c r="BC1074" s="51"/>
      <c r="BD1074" s="51"/>
      <c r="BE1074" s="54"/>
      <c r="BF1074" s="54"/>
      <c r="BG1074" s="47"/>
      <c r="BH1074" s="48"/>
      <c r="BI1074" s="48"/>
      <c r="BJ1074" s="48"/>
      <c r="BK1074" s="48"/>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52"/>
      <c r="CG1074" s="52"/>
      <c r="CH1074" s="48"/>
      <c r="CI1074" s="48"/>
      <c r="CJ1074" s="48"/>
      <c r="CK1074" s="48"/>
    </row>
    <row r="1075" spans="1:89" ht="15.75" customHeight="1" x14ac:dyDescent="0.3">
      <c r="A1075" s="47"/>
      <c r="B1075" s="48"/>
      <c r="C1075" s="47"/>
      <c r="D1075" s="48"/>
      <c r="E1075" s="48"/>
      <c r="F1075" s="48"/>
      <c r="G1075" s="48"/>
      <c r="H1075" s="48"/>
      <c r="I1075" s="49"/>
      <c r="J1075" s="47"/>
      <c r="K1075" s="47"/>
      <c r="L1075" s="47"/>
      <c r="M1075" s="47"/>
      <c r="N1075" s="47"/>
      <c r="O1075" s="47"/>
      <c r="P1075" s="47"/>
      <c r="Q1075" s="47"/>
      <c r="R1075" s="47"/>
      <c r="S1075" s="50"/>
      <c r="T1075" s="47"/>
      <c r="U1075" s="47"/>
      <c r="V1075" s="47"/>
      <c r="W1075" s="51"/>
      <c r="X1075" s="51"/>
      <c r="Y1075" s="47"/>
      <c r="Z1075" s="47"/>
      <c r="AA1075" s="47"/>
      <c r="AB1075" s="47"/>
      <c r="AC1075" s="47"/>
      <c r="AD1075" s="47"/>
      <c r="AE1075" s="54"/>
      <c r="AF1075" s="54"/>
      <c r="AG1075" s="54"/>
      <c r="AH1075" s="54"/>
      <c r="AI1075" s="54"/>
      <c r="AJ1075" s="54"/>
      <c r="AK1075" s="54"/>
      <c r="AL1075" s="54"/>
      <c r="AM1075" s="54"/>
      <c r="AN1075" s="54"/>
      <c r="AO1075" s="54"/>
      <c r="AP1075" s="54"/>
      <c r="AQ1075" s="54"/>
      <c r="AR1075" s="54"/>
      <c r="AS1075" s="54"/>
      <c r="AT1075" s="54"/>
      <c r="AU1075" s="54"/>
      <c r="AV1075" s="54"/>
      <c r="AW1075" s="54"/>
      <c r="AX1075" s="54"/>
      <c r="AY1075" s="54"/>
      <c r="AZ1075" s="54"/>
      <c r="BA1075" s="54"/>
      <c r="BB1075" s="54"/>
      <c r="BC1075" s="51"/>
      <c r="BD1075" s="51"/>
      <c r="BE1075" s="54"/>
      <c r="BF1075" s="54"/>
      <c r="BG1075" s="47"/>
      <c r="BH1075" s="48"/>
      <c r="BI1075" s="48"/>
      <c r="BJ1075" s="48"/>
      <c r="BK1075" s="48"/>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52"/>
      <c r="CG1075" s="52"/>
      <c r="CH1075" s="48"/>
      <c r="CI1075" s="48"/>
      <c r="CJ1075" s="48"/>
      <c r="CK1075" s="48"/>
    </row>
    <row r="1076" spans="1:89" ht="15.75" customHeight="1" x14ac:dyDescent="0.3">
      <c r="A1076" s="47"/>
      <c r="B1076" s="48"/>
      <c r="C1076" s="47"/>
      <c r="D1076" s="48"/>
      <c r="E1076" s="48"/>
      <c r="F1076" s="48"/>
      <c r="G1076" s="48"/>
      <c r="H1076" s="48"/>
      <c r="I1076" s="49"/>
      <c r="J1076" s="47"/>
      <c r="K1076" s="47"/>
      <c r="L1076" s="47"/>
      <c r="M1076" s="47"/>
      <c r="N1076" s="47"/>
      <c r="O1076" s="47"/>
      <c r="P1076" s="47"/>
      <c r="Q1076" s="47"/>
      <c r="R1076" s="47"/>
      <c r="S1076" s="50"/>
      <c r="T1076" s="47"/>
      <c r="U1076" s="47"/>
      <c r="V1076" s="47"/>
      <c r="W1076" s="51"/>
      <c r="X1076" s="51"/>
      <c r="Y1076" s="47"/>
      <c r="Z1076" s="47"/>
      <c r="AA1076" s="47"/>
      <c r="AB1076" s="47"/>
      <c r="AC1076" s="47"/>
      <c r="AD1076" s="47"/>
      <c r="AE1076" s="54"/>
      <c r="AF1076" s="54"/>
      <c r="AG1076" s="54"/>
      <c r="AH1076" s="54"/>
      <c r="AI1076" s="54"/>
      <c r="AJ1076" s="54"/>
      <c r="AK1076" s="54"/>
      <c r="AL1076" s="54"/>
      <c r="AM1076" s="54"/>
      <c r="AN1076" s="54"/>
      <c r="AO1076" s="54"/>
      <c r="AP1076" s="54"/>
      <c r="AQ1076" s="54"/>
      <c r="AR1076" s="54"/>
      <c r="AS1076" s="54"/>
      <c r="AT1076" s="54"/>
      <c r="AU1076" s="54"/>
      <c r="AV1076" s="54"/>
      <c r="AW1076" s="54"/>
      <c r="AX1076" s="54"/>
      <c r="AY1076" s="54"/>
      <c r="AZ1076" s="54"/>
      <c r="BA1076" s="54"/>
      <c r="BB1076" s="54"/>
      <c r="BC1076" s="51"/>
      <c r="BD1076" s="51"/>
      <c r="BE1076" s="54"/>
      <c r="BF1076" s="54"/>
      <c r="BG1076" s="47"/>
      <c r="BH1076" s="48"/>
      <c r="BI1076" s="48"/>
      <c r="BJ1076" s="48"/>
      <c r="BK1076" s="48"/>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52"/>
      <c r="CG1076" s="52"/>
      <c r="CH1076" s="48"/>
      <c r="CI1076" s="48"/>
      <c r="CJ1076" s="48"/>
      <c r="CK1076" s="48"/>
    </row>
    <row r="1077" spans="1:89" ht="15.75" customHeight="1" x14ac:dyDescent="0.3">
      <c r="A1077" s="47"/>
      <c r="B1077" s="48"/>
      <c r="C1077" s="47"/>
      <c r="D1077" s="48"/>
      <c r="E1077" s="48"/>
      <c r="F1077" s="48"/>
      <c r="G1077" s="48"/>
      <c r="H1077" s="48"/>
      <c r="I1077" s="49"/>
      <c r="J1077" s="47"/>
      <c r="K1077" s="47"/>
      <c r="L1077" s="47"/>
      <c r="M1077" s="47"/>
      <c r="N1077" s="47"/>
      <c r="O1077" s="47"/>
      <c r="P1077" s="47"/>
      <c r="Q1077" s="47"/>
      <c r="R1077" s="47"/>
      <c r="S1077" s="50"/>
      <c r="T1077" s="47"/>
      <c r="U1077" s="47"/>
      <c r="V1077" s="47"/>
      <c r="W1077" s="51"/>
      <c r="X1077" s="51"/>
      <c r="Y1077" s="47"/>
      <c r="Z1077" s="47"/>
      <c r="AA1077" s="47"/>
      <c r="AB1077" s="47"/>
      <c r="AC1077" s="47"/>
      <c r="AD1077" s="47"/>
      <c r="AE1077" s="54"/>
      <c r="AF1077" s="54"/>
      <c r="AG1077" s="54"/>
      <c r="AH1077" s="54"/>
      <c r="AI1077" s="54"/>
      <c r="AJ1077" s="54"/>
      <c r="AK1077" s="54"/>
      <c r="AL1077" s="54"/>
      <c r="AM1077" s="54"/>
      <c r="AN1077" s="54"/>
      <c r="AO1077" s="54"/>
      <c r="AP1077" s="54"/>
      <c r="AQ1077" s="54"/>
      <c r="AR1077" s="54"/>
      <c r="AS1077" s="54"/>
      <c r="AT1077" s="54"/>
      <c r="AU1077" s="54"/>
      <c r="AV1077" s="54"/>
      <c r="AW1077" s="54"/>
      <c r="AX1077" s="54"/>
      <c r="AY1077" s="54"/>
      <c r="AZ1077" s="54"/>
      <c r="BA1077" s="54"/>
      <c r="BB1077" s="54"/>
      <c r="BC1077" s="51"/>
      <c r="BD1077" s="51"/>
      <c r="BE1077" s="54"/>
      <c r="BF1077" s="54"/>
      <c r="BG1077" s="47"/>
      <c r="BH1077" s="48"/>
      <c r="BI1077" s="48"/>
      <c r="BJ1077" s="48"/>
      <c r="BK1077" s="48"/>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52"/>
      <c r="CG1077" s="52"/>
      <c r="CH1077" s="48"/>
      <c r="CI1077" s="48"/>
      <c r="CJ1077" s="48"/>
      <c r="CK1077" s="48"/>
    </row>
    <row r="1078" spans="1:89" ht="15.75" customHeight="1" x14ac:dyDescent="0.3">
      <c r="A1078" s="47"/>
      <c r="B1078" s="48"/>
      <c r="C1078" s="47"/>
      <c r="D1078" s="48"/>
      <c r="E1078" s="48"/>
      <c r="F1078" s="48"/>
      <c r="G1078" s="48"/>
      <c r="H1078" s="48"/>
      <c r="I1078" s="49"/>
      <c r="J1078" s="47"/>
      <c r="K1078" s="47"/>
      <c r="L1078" s="47"/>
      <c r="M1078" s="47"/>
      <c r="N1078" s="47"/>
      <c r="O1078" s="47"/>
      <c r="P1078" s="47"/>
      <c r="Q1078" s="47"/>
      <c r="R1078" s="47"/>
      <c r="S1078" s="50"/>
      <c r="T1078" s="47"/>
      <c r="U1078" s="47"/>
      <c r="V1078" s="47"/>
      <c r="W1078" s="51"/>
      <c r="X1078" s="51"/>
      <c r="Y1078" s="47"/>
      <c r="Z1078" s="47"/>
      <c r="AA1078" s="47"/>
      <c r="AB1078" s="47"/>
      <c r="AC1078" s="47"/>
      <c r="AD1078" s="47"/>
      <c r="AE1078" s="54"/>
      <c r="AF1078" s="54"/>
      <c r="AG1078" s="54"/>
      <c r="AH1078" s="54"/>
      <c r="AI1078" s="54"/>
      <c r="AJ1078" s="54"/>
      <c r="AK1078" s="54"/>
      <c r="AL1078" s="54"/>
      <c r="AM1078" s="54"/>
      <c r="AN1078" s="54"/>
      <c r="AO1078" s="54"/>
      <c r="AP1078" s="54"/>
      <c r="AQ1078" s="54"/>
      <c r="AR1078" s="54"/>
      <c r="AS1078" s="54"/>
      <c r="AT1078" s="54"/>
      <c r="AU1078" s="54"/>
      <c r="AV1078" s="54"/>
      <c r="AW1078" s="54"/>
      <c r="AX1078" s="54"/>
      <c r="AY1078" s="54"/>
      <c r="AZ1078" s="54"/>
      <c r="BA1078" s="54"/>
      <c r="BB1078" s="54"/>
      <c r="BC1078" s="51"/>
      <c r="BD1078" s="51"/>
      <c r="BE1078" s="54"/>
      <c r="BF1078" s="54"/>
      <c r="BG1078" s="47"/>
      <c r="BH1078" s="48"/>
      <c r="BI1078" s="48"/>
      <c r="BJ1078" s="48"/>
      <c r="BK1078" s="48"/>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52"/>
      <c r="CG1078" s="52"/>
      <c r="CH1078" s="48"/>
      <c r="CI1078" s="48"/>
      <c r="CJ1078" s="48"/>
      <c r="CK1078" s="48"/>
    </row>
    <row r="1079" spans="1:89" ht="15.75" customHeight="1" x14ac:dyDescent="0.3">
      <c r="A1079" s="47"/>
      <c r="B1079" s="48"/>
      <c r="C1079" s="47"/>
      <c r="D1079" s="48"/>
      <c r="E1079" s="48"/>
      <c r="F1079" s="48"/>
      <c r="G1079" s="48"/>
      <c r="H1079" s="48"/>
      <c r="I1079" s="49"/>
      <c r="J1079" s="47"/>
      <c r="K1079" s="47"/>
      <c r="L1079" s="47"/>
      <c r="M1079" s="47"/>
      <c r="N1079" s="47"/>
      <c r="O1079" s="47"/>
      <c r="P1079" s="47"/>
      <c r="Q1079" s="47"/>
      <c r="R1079" s="47"/>
      <c r="S1079" s="50"/>
      <c r="T1079" s="47"/>
      <c r="U1079" s="47"/>
      <c r="V1079" s="47"/>
      <c r="W1079" s="51"/>
      <c r="X1079" s="51"/>
      <c r="Y1079" s="47"/>
      <c r="Z1079" s="47"/>
      <c r="AA1079" s="47"/>
      <c r="AB1079" s="47"/>
      <c r="AC1079" s="47"/>
      <c r="AD1079" s="47"/>
      <c r="AE1079" s="54"/>
      <c r="AF1079" s="54"/>
      <c r="AG1079" s="54"/>
      <c r="AH1079" s="54"/>
      <c r="AI1079" s="54"/>
      <c r="AJ1079" s="54"/>
      <c r="AK1079" s="54"/>
      <c r="AL1079" s="54"/>
      <c r="AM1079" s="54"/>
      <c r="AN1079" s="54"/>
      <c r="AO1079" s="54"/>
      <c r="AP1079" s="54"/>
      <c r="AQ1079" s="54"/>
      <c r="AR1079" s="54"/>
      <c r="AS1079" s="54"/>
      <c r="AT1079" s="54"/>
      <c r="AU1079" s="54"/>
      <c r="AV1079" s="54"/>
      <c r="AW1079" s="54"/>
      <c r="AX1079" s="54"/>
      <c r="AY1079" s="54"/>
      <c r="AZ1079" s="54"/>
      <c r="BA1079" s="54"/>
      <c r="BB1079" s="54"/>
      <c r="BC1079" s="51"/>
      <c r="BD1079" s="51"/>
      <c r="BE1079" s="54"/>
      <c r="BF1079" s="54"/>
      <c r="BG1079" s="47"/>
      <c r="BH1079" s="48"/>
      <c r="BI1079" s="48"/>
      <c r="BJ1079" s="48"/>
      <c r="BK1079" s="48"/>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52"/>
      <c r="CG1079" s="52"/>
      <c r="CH1079" s="48"/>
      <c r="CI1079" s="48"/>
      <c r="CJ1079" s="48"/>
      <c r="CK1079" s="48"/>
    </row>
    <row r="1080" spans="1:89" ht="15.75" customHeight="1" x14ac:dyDescent="0.3">
      <c r="A1080" s="47"/>
      <c r="B1080" s="48"/>
      <c r="C1080" s="47"/>
      <c r="D1080" s="48"/>
      <c r="E1080" s="48"/>
      <c r="F1080" s="48"/>
      <c r="G1080" s="48"/>
      <c r="H1080" s="48"/>
      <c r="I1080" s="49"/>
      <c r="J1080" s="47"/>
      <c r="K1080" s="47"/>
      <c r="L1080" s="47"/>
      <c r="M1080" s="47"/>
      <c r="N1080" s="47"/>
      <c r="O1080" s="47"/>
      <c r="P1080" s="47"/>
      <c r="Q1080" s="47"/>
      <c r="R1080" s="47"/>
      <c r="S1080" s="50"/>
      <c r="T1080" s="47"/>
      <c r="U1080" s="47"/>
      <c r="V1080" s="47"/>
      <c r="W1080" s="51"/>
      <c r="X1080" s="51"/>
      <c r="Y1080" s="47"/>
      <c r="Z1080" s="47"/>
      <c r="AA1080" s="47"/>
      <c r="AB1080" s="47"/>
      <c r="AC1080" s="47"/>
      <c r="AD1080" s="47"/>
      <c r="AE1080" s="54"/>
      <c r="AF1080" s="54"/>
      <c r="AG1080" s="54"/>
      <c r="AH1080" s="54"/>
      <c r="AI1080" s="54"/>
      <c r="AJ1080" s="54"/>
      <c r="AK1080" s="54"/>
      <c r="AL1080" s="54"/>
      <c r="AM1080" s="54"/>
      <c r="AN1080" s="54"/>
      <c r="AO1080" s="54"/>
      <c r="AP1080" s="54"/>
      <c r="AQ1080" s="54"/>
      <c r="AR1080" s="54"/>
      <c r="AS1080" s="54"/>
      <c r="AT1080" s="54"/>
      <c r="AU1080" s="54"/>
      <c r="AV1080" s="54"/>
      <c r="AW1080" s="54"/>
      <c r="AX1080" s="54"/>
      <c r="AY1080" s="54"/>
      <c r="AZ1080" s="54"/>
      <c r="BA1080" s="54"/>
      <c r="BB1080" s="54"/>
      <c r="BC1080" s="51"/>
      <c r="BD1080" s="51"/>
      <c r="BE1080" s="54"/>
      <c r="BF1080" s="54"/>
      <c r="BG1080" s="47"/>
      <c r="BH1080" s="48"/>
      <c r="BI1080" s="48"/>
      <c r="BJ1080" s="48"/>
      <c r="BK1080" s="48"/>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52"/>
      <c r="CG1080" s="52"/>
      <c r="CH1080" s="48"/>
      <c r="CI1080" s="48"/>
      <c r="CJ1080" s="48"/>
      <c r="CK1080" s="48"/>
    </row>
    <row r="1081" spans="1:89" ht="15.75" customHeight="1" x14ac:dyDescent="0.3">
      <c r="A1081" s="47"/>
      <c r="B1081" s="48"/>
      <c r="C1081" s="47"/>
      <c r="D1081" s="48"/>
      <c r="E1081" s="48"/>
      <c r="F1081" s="48"/>
      <c r="G1081" s="48"/>
      <c r="H1081" s="48"/>
      <c r="I1081" s="49"/>
      <c r="J1081" s="47"/>
      <c r="K1081" s="47"/>
      <c r="L1081" s="47"/>
      <c r="M1081" s="47"/>
      <c r="N1081" s="47"/>
      <c r="O1081" s="47"/>
      <c r="P1081" s="47"/>
      <c r="Q1081" s="47"/>
      <c r="R1081" s="47"/>
      <c r="S1081" s="50"/>
      <c r="T1081" s="47"/>
      <c r="U1081" s="47"/>
      <c r="V1081" s="47"/>
      <c r="W1081" s="51"/>
      <c r="X1081" s="51"/>
      <c r="Y1081" s="47"/>
      <c r="Z1081" s="47"/>
      <c r="AA1081" s="47"/>
      <c r="AB1081" s="47"/>
      <c r="AC1081" s="47"/>
      <c r="AD1081" s="47"/>
      <c r="AE1081" s="54"/>
      <c r="AF1081" s="54"/>
      <c r="AG1081" s="54"/>
      <c r="AH1081" s="54"/>
      <c r="AI1081" s="54"/>
      <c r="AJ1081" s="54"/>
      <c r="AK1081" s="54"/>
      <c r="AL1081" s="54"/>
      <c r="AM1081" s="54"/>
      <c r="AN1081" s="54"/>
      <c r="AO1081" s="54"/>
      <c r="AP1081" s="54"/>
      <c r="AQ1081" s="54"/>
      <c r="AR1081" s="54"/>
      <c r="AS1081" s="54"/>
      <c r="AT1081" s="54"/>
      <c r="AU1081" s="54"/>
      <c r="AV1081" s="54"/>
      <c r="AW1081" s="54"/>
      <c r="AX1081" s="54"/>
      <c r="AY1081" s="54"/>
      <c r="AZ1081" s="54"/>
      <c r="BA1081" s="54"/>
      <c r="BB1081" s="54"/>
      <c r="BC1081" s="51"/>
      <c r="BD1081" s="51"/>
      <c r="BE1081" s="54"/>
      <c r="BF1081" s="54"/>
      <c r="BG1081" s="47"/>
      <c r="BH1081" s="48"/>
      <c r="BI1081" s="48"/>
      <c r="BJ1081" s="48"/>
      <c r="BK1081" s="48"/>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52"/>
      <c r="CG1081" s="52"/>
      <c r="CH1081" s="48"/>
      <c r="CI1081" s="48"/>
      <c r="CJ1081" s="48"/>
      <c r="CK1081" s="48"/>
    </row>
    <row r="1082" spans="1:89" ht="15.75" customHeight="1" x14ac:dyDescent="0.3">
      <c r="A1082" s="47"/>
      <c r="B1082" s="48"/>
      <c r="C1082" s="47"/>
      <c r="D1082" s="48"/>
      <c r="E1082" s="48"/>
      <c r="F1082" s="48"/>
      <c r="G1082" s="48"/>
      <c r="H1082" s="48"/>
      <c r="I1082" s="49"/>
      <c r="J1082" s="47"/>
      <c r="K1082" s="47"/>
      <c r="L1082" s="47"/>
      <c r="M1082" s="47"/>
      <c r="N1082" s="47"/>
      <c r="O1082" s="47"/>
      <c r="P1082" s="47"/>
      <c r="Q1082" s="47"/>
      <c r="R1082" s="47"/>
      <c r="S1082" s="50"/>
      <c r="T1082" s="47"/>
      <c r="U1082" s="47"/>
      <c r="V1082" s="47"/>
      <c r="W1082" s="51"/>
      <c r="X1082" s="51"/>
      <c r="Y1082" s="47"/>
      <c r="Z1082" s="47"/>
      <c r="AA1082" s="47"/>
      <c r="AB1082" s="47"/>
      <c r="AC1082" s="47"/>
      <c r="AD1082" s="47"/>
      <c r="AE1082" s="54"/>
      <c r="AF1082" s="54"/>
      <c r="AG1082" s="54"/>
      <c r="AH1082" s="54"/>
      <c r="AI1082" s="54"/>
      <c r="AJ1082" s="54"/>
      <c r="AK1082" s="54"/>
      <c r="AL1082" s="54"/>
      <c r="AM1082" s="54"/>
      <c r="AN1082" s="54"/>
      <c r="AO1082" s="54"/>
      <c r="AP1082" s="54"/>
      <c r="AQ1082" s="54"/>
      <c r="AR1082" s="54"/>
      <c r="AS1082" s="54"/>
      <c r="AT1082" s="54"/>
      <c r="AU1082" s="54"/>
      <c r="AV1082" s="54"/>
      <c r="AW1082" s="54"/>
      <c r="AX1082" s="54"/>
      <c r="AY1082" s="54"/>
      <c r="AZ1082" s="54"/>
      <c r="BA1082" s="54"/>
      <c r="BB1082" s="54"/>
      <c r="BC1082" s="51"/>
      <c r="BD1082" s="51"/>
      <c r="BE1082" s="54"/>
      <c r="BF1082" s="54"/>
      <c r="BG1082" s="47"/>
      <c r="BH1082" s="48"/>
      <c r="BI1082" s="48"/>
      <c r="BJ1082" s="48"/>
      <c r="BK1082" s="48"/>
      <c r="BL1082" s="48"/>
      <c r="BM1082" s="48"/>
      <c r="BN1082" s="48"/>
      <c r="BO1082" s="48"/>
      <c r="BP1082" s="48"/>
      <c r="BQ1082" s="48"/>
      <c r="BR1082" s="48"/>
      <c r="BS1082" s="48"/>
      <c r="BT1082" s="48"/>
      <c r="BU1082" s="48"/>
      <c r="BV1082" s="48"/>
      <c r="BW1082" s="48"/>
      <c r="BX1082" s="48"/>
      <c r="BY1082" s="48"/>
      <c r="BZ1082" s="48"/>
      <c r="CA1082" s="48"/>
      <c r="CB1082" s="48"/>
      <c r="CC1082" s="48"/>
      <c r="CD1082" s="48"/>
      <c r="CE1082" s="48"/>
      <c r="CF1082" s="52"/>
      <c r="CG1082" s="52"/>
      <c r="CH1082" s="48"/>
      <c r="CI1082" s="48"/>
      <c r="CJ1082" s="48"/>
      <c r="CK1082" s="48"/>
    </row>
    <row r="1083" spans="1:89" ht="15.75" customHeight="1" x14ac:dyDescent="0.3">
      <c r="A1083" s="47"/>
      <c r="B1083" s="48"/>
      <c r="C1083" s="47"/>
      <c r="D1083" s="48"/>
      <c r="E1083" s="48"/>
      <c r="F1083" s="48"/>
      <c r="G1083" s="48"/>
      <c r="H1083" s="48"/>
      <c r="I1083" s="49"/>
      <c r="J1083" s="47"/>
      <c r="K1083" s="47"/>
      <c r="L1083" s="47"/>
      <c r="M1083" s="47"/>
      <c r="N1083" s="47"/>
      <c r="O1083" s="47"/>
      <c r="P1083" s="47"/>
      <c r="Q1083" s="47"/>
      <c r="R1083" s="47"/>
      <c r="S1083" s="50"/>
      <c r="T1083" s="47"/>
      <c r="U1083" s="47"/>
      <c r="V1083" s="47"/>
      <c r="W1083" s="51"/>
      <c r="X1083" s="51"/>
      <c r="Y1083" s="47"/>
      <c r="Z1083" s="47"/>
      <c r="AA1083" s="47"/>
      <c r="AB1083" s="47"/>
      <c r="AC1083" s="47"/>
      <c r="AD1083" s="47"/>
      <c r="AE1083" s="54"/>
      <c r="AF1083" s="54"/>
      <c r="AG1083" s="54"/>
      <c r="AH1083" s="54"/>
      <c r="AI1083" s="54"/>
      <c r="AJ1083" s="54"/>
      <c r="AK1083" s="54"/>
      <c r="AL1083" s="54"/>
      <c r="AM1083" s="54"/>
      <c r="AN1083" s="54"/>
      <c r="AO1083" s="54"/>
      <c r="AP1083" s="54"/>
      <c r="AQ1083" s="54"/>
      <c r="AR1083" s="54"/>
      <c r="AS1083" s="54"/>
      <c r="AT1083" s="54"/>
      <c r="AU1083" s="54"/>
      <c r="AV1083" s="54"/>
      <c r="AW1083" s="54"/>
      <c r="AX1083" s="54"/>
      <c r="AY1083" s="54"/>
      <c r="AZ1083" s="54"/>
      <c r="BA1083" s="54"/>
      <c r="BB1083" s="54"/>
      <c r="BC1083" s="51"/>
      <c r="BD1083" s="51"/>
      <c r="BE1083" s="54"/>
      <c r="BF1083" s="54"/>
      <c r="BG1083" s="47"/>
      <c r="BH1083" s="48"/>
      <c r="BI1083" s="48"/>
      <c r="BJ1083" s="48"/>
      <c r="BK1083" s="48"/>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52"/>
      <c r="CG1083" s="52"/>
      <c r="CH1083" s="48"/>
      <c r="CI1083" s="48"/>
      <c r="CJ1083" s="48"/>
      <c r="CK1083" s="48"/>
    </row>
    <row r="1084" spans="1:89" ht="15.75" customHeight="1" x14ac:dyDescent="0.3">
      <c r="A1084" s="47"/>
      <c r="B1084" s="48"/>
      <c r="C1084" s="47"/>
      <c r="D1084" s="48"/>
      <c r="E1084" s="48"/>
      <c r="F1084" s="48"/>
      <c r="G1084" s="48"/>
      <c r="H1084" s="48"/>
      <c r="I1084" s="49"/>
      <c r="J1084" s="47"/>
      <c r="K1084" s="47"/>
      <c r="L1084" s="47"/>
      <c r="M1084" s="47"/>
      <c r="N1084" s="47"/>
      <c r="O1084" s="47"/>
      <c r="P1084" s="47"/>
      <c r="Q1084" s="47"/>
      <c r="R1084" s="47"/>
      <c r="S1084" s="50"/>
      <c r="T1084" s="47"/>
      <c r="U1084" s="47"/>
      <c r="V1084" s="47"/>
      <c r="W1084" s="51"/>
      <c r="X1084" s="51"/>
      <c r="Y1084" s="47"/>
      <c r="Z1084" s="47"/>
      <c r="AA1084" s="47"/>
      <c r="AB1084" s="47"/>
      <c r="AC1084" s="47"/>
      <c r="AD1084" s="47"/>
      <c r="AE1084" s="54"/>
      <c r="AF1084" s="54"/>
      <c r="AG1084" s="54"/>
      <c r="AH1084" s="54"/>
      <c r="AI1084" s="54"/>
      <c r="AJ1084" s="54"/>
      <c r="AK1084" s="54"/>
      <c r="AL1084" s="54"/>
      <c r="AM1084" s="54"/>
      <c r="AN1084" s="54"/>
      <c r="AO1084" s="54"/>
      <c r="AP1084" s="54"/>
      <c r="AQ1084" s="54"/>
      <c r="AR1084" s="54"/>
      <c r="AS1084" s="54"/>
      <c r="AT1084" s="54"/>
      <c r="AU1084" s="54"/>
      <c r="AV1084" s="54"/>
      <c r="AW1084" s="54"/>
      <c r="AX1084" s="54"/>
      <c r="AY1084" s="54"/>
      <c r="AZ1084" s="54"/>
      <c r="BA1084" s="54"/>
      <c r="BB1084" s="54"/>
      <c r="BC1084" s="51"/>
      <c r="BD1084" s="51"/>
      <c r="BE1084" s="54"/>
      <c r="BF1084" s="54"/>
      <c r="BG1084" s="47"/>
      <c r="BH1084" s="48"/>
      <c r="BI1084" s="48"/>
      <c r="BJ1084" s="48"/>
      <c r="BK1084" s="48"/>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52"/>
      <c r="CG1084" s="52"/>
      <c r="CH1084" s="48"/>
      <c r="CI1084" s="48"/>
      <c r="CJ1084" s="48"/>
      <c r="CK1084" s="48"/>
    </row>
    <row r="1085" spans="1:89" ht="15.75" customHeight="1" x14ac:dyDescent="0.3">
      <c r="A1085" s="47"/>
      <c r="B1085" s="48"/>
      <c r="C1085" s="47"/>
      <c r="D1085" s="48"/>
      <c r="E1085" s="48"/>
      <c r="F1085" s="48"/>
      <c r="G1085" s="48"/>
      <c r="H1085" s="48"/>
      <c r="I1085" s="49"/>
      <c r="J1085" s="47"/>
      <c r="K1085" s="47"/>
      <c r="L1085" s="47"/>
      <c r="M1085" s="47"/>
      <c r="N1085" s="47"/>
      <c r="O1085" s="47"/>
      <c r="P1085" s="47"/>
      <c r="Q1085" s="47"/>
      <c r="R1085" s="47"/>
      <c r="S1085" s="50"/>
      <c r="T1085" s="47"/>
      <c r="U1085" s="47"/>
      <c r="V1085" s="47"/>
      <c r="W1085" s="51"/>
      <c r="X1085" s="51"/>
      <c r="Y1085" s="47"/>
      <c r="Z1085" s="47"/>
      <c r="AA1085" s="47"/>
      <c r="AB1085" s="47"/>
      <c r="AC1085" s="47"/>
      <c r="AD1085" s="47"/>
      <c r="AE1085" s="54"/>
      <c r="AF1085" s="54"/>
      <c r="AG1085" s="54"/>
      <c r="AH1085" s="54"/>
      <c r="AI1085" s="54"/>
      <c r="AJ1085" s="54"/>
      <c r="AK1085" s="54"/>
      <c r="AL1085" s="54"/>
      <c r="AM1085" s="54"/>
      <c r="AN1085" s="54"/>
      <c r="AO1085" s="54"/>
      <c r="AP1085" s="54"/>
      <c r="AQ1085" s="54"/>
      <c r="AR1085" s="54"/>
      <c r="AS1085" s="54"/>
      <c r="AT1085" s="54"/>
      <c r="AU1085" s="54"/>
      <c r="AV1085" s="54"/>
      <c r="AW1085" s="54"/>
      <c r="AX1085" s="54"/>
      <c r="AY1085" s="54"/>
      <c r="AZ1085" s="54"/>
      <c r="BA1085" s="54"/>
      <c r="BB1085" s="54"/>
      <c r="BC1085" s="51"/>
      <c r="BD1085" s="51"/>
      <c r="BE1085" s="54"/>
      <c r="BF1085" s="54"/>
      <c r="BG1085" s="47"/>
      <c r="BH1085" s="48"/>
      <c r="BI1085" s="48"/>
      <c r="BJ1085" s="48"/>
      <c r="BK1085" s="48"/>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52"/>
      <c r="CG1085" s="52"/>
      <c r="CH1085" s="48"/>
      <c r="CI1085" s="48"/>
      <c r="CJ1085" s="48"/>
      <c r="CK1085" s="48"/>
    </row>
    <row r="1086" spans="1:89" ht="15.75" customHeight="1" x14ac:dyDescent="0.3">
      <c r="A1086" s="47"/>
      <c r="B1086" s="48"/>
      <c r="C1086" s="47"/>
      <c r="D1086" s="48"/>
      <c r="E1086" s="48"/>
      <c r="F1086" s="48"/>
      <c r="G1086" s="48"/>
      <c r="H1086" s="48"/>
      <c r="I1086" s="49"/>
      <c r="J1086" s="47"/>
      <c r="K1086" s="47"/>
      <c r="L1086" s="47"/>
      <c r="M1086" s="47"/>
      <c r="N1086" s="47"/>
      <c r="O1086" s="47"/>
      <c r="P1086" s="47"/>
      <c r="Q1086" s="47"/>
      <c r="R1086" s="47"/>
      <c r="S1086" s="50"/>
      <c r="T1086" s="47"/>
      <c r="U1086" s="47"/>
      <c r="V1086" s="47"/>
      <c r="W1086" s="51"/>
      <c r="X1086" s="51"/>
      <c r="Y1086" s="47"/>
      <c r="Z1086" s="47"/>
      <c r="AA1086" s="47"/>
      <c r="AB1086" s="47"/>
      <c r="AC1086" s="47"/>
      <c r="AD1086" s="47"/>
      <c r="AE1086" s="54"/>
      <c r="AF1086" s="54"/>
      <c r="AG1086" s="54"/>
      <c r="AH1086" s="54"/>
      <c r="AI1086" s="54"/>
      <c r="AJ1086" s="54"/>
      <c r="AK1086" s="54"/>
      <c r="AL1086" s="54"/>
      <c r="AM1086" s="54"/>
      <c r="AN1086" s="54"/>
      <c r="AO1086" s="54"/>
      <c r="AP1086" s="54"/>
      <c r="AQ1086" s="54"/>
      <c r="AR1086" s="54"/>
      <c r="AS1086" s="54"/>
      <c r="AT1086" s="54"/>
      <c r="AU1086" s="54"/>
      <c r="AV1086" s="54"/>
      <c r="AW1086" s="54"/>
      <c r="AX1086" s="54"/>
      <c r="AY1086" s="54"/>
      <c r="AZ1086" s="54"/>
      <c r="BA1086" s="54"/>
      <c r="BB1086" s="54"/>
      <c r="BC1086" s="51"/>
      <c r="BD1086" s="51"/>
      <c r="BE1086" s="54"/>
      <c r="BF1086" s="54"/>
      <c r="BG1086" s="47"/>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52"/>
      <c r="CG1086" s="52"/>
      <c r="CH1086" s="48"/>
      <c r="CI1086" s="48"/>
      <c r="CJ1086" s="48"/>
      <c r="CK1086" s="48"/>
    </row>
    <row r="1087" spans="1:89" ht="15.75" customHeight="1" x14ac:dyDescent="0.3">
      <c r="A1087" s="47"/>
      <c r="B1087" s="48"/>
      <c r="C1087" s="47"/>
      <c r="D1087" s="48"/>
      <c r="E1087" s="48"/>
      <c r="F1087" s="48"/>
      <c r="G1087" s="48"/>
      <c r="H1087" s="48"/>
      <c r="I1087" s="49"/>
      <c r="J1087" s="47"/>
      <c r="K1087" s="47"/>
      <c r="L1087" s="47"/>
      <c r="M1087" s="47"/>
      <c r="N1087" s="47"/>
      <c r="O1087" s="47"/>
      <c r="P1087" s="47"/>
      <c r="Q1087" s="47"/>
      <c r="R1087" s="47"/>
      <c r="S1087" s="50"/>
      <c r="T1087" s="47"/>
      <c r="U1087" s="47"/>
      <c r="V1087" s="47"/>
      <c r="W1087" s="51"/>
      <c r="X1087" s="51"/>
      <c r="Y1087" s="47"/>
      <c r="Z1087" s="47"/>
      <c r="AA1087" s="47"/>
      <c r="AB1087" s="47"/>
      <c r="AC1087" s="47"/>
      <c r="AD1087" s="47"/>
      <c r="AE1087" s="54"/>
      <c r="AF1087" s="54"/>
      <c r="AG1087" s="54"/>
      <c r="AH1087" s="54"/>
      <c r="AI1087" s="54"/>
      <c r="AJ1087" s="54"/>
      <c r="AK1087" s="54"/>
      <c r="AL1087" s="54"/>
      <c r="AM1087" s="54"/>
      <c r="AN1087" s="54"/>
      <c r="AO1087" s="54"/>
      <c r="AP1087" s="54"/>
      <c r="AQ1087" s="54"/>
      <c r="AR1087" s="54"/>
      <c r="AS1087" s="54"/>
      <c r="AT1087" s="54"/>
      <c r="AU1087" s="54"/>
      <c r="AV1087" s="54"/>
      <c r="AW1087" s="54"/>
      <c r="AX1087" s="54"/>
      <c r="AY1087" s="54"/>
      <c r="AZ1087" s="54"/>
      <c r="BA1087" s="54"/>
      <c r="BB1087" s="54"/>
      <c r="BC1087" s="51"/>
      <c r="BD1087" s="51"/>
      <c r="BE1087" s="54"/>
      <c r="BF1087" s="54"/>
      <c r="BG1087" s="47"/>
      <c r="BH1087" s="48"/>
      <c r="BI1087" s="48"/>
      <c r="BJ1087" s="48"/>
      <c r="BK1087" s="48"/>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52"/>
      <c r="CG1087" s="52"/>
      <c r="CH1087" s="48"/>
      <c r="CI1087" s="48"/>
      <c r="CJ1087" s="48"/>
      <c r="CK1087" s="48"/>
    </row>
    <row r="1088" spans="1:89" ht="15.75" customHeight="1" x14ac:dyDescent="0.3">
      <c r="A1088" s="47"/>
      <c r="B1088" s="48"/>
      <c r="C1088" s="47"/>
      <c r="D1088" s="48"/>
      <c r="E1088" s="48"/>
      <c r="F1088" s="48"/>
      <c r="G1088" s="48"/>
      <c r="H1088" s="48"/>
      <c r="I1088" s="49"/>
      <c r="J1088" s="47"/>
      <c r="K1088" s="47"/>
      <c r="L1088" s="47"/>
      <c r="M1088" s="47"/>
      <c r="N1088" s="47"/>
      <c r="O1088" s="47"/>
      <c r="P1088" s="47"/>
      <c r="Q1088" s="47"/>
      <c r="R1088" s="47"/>
      <c r="S1088" s="50"/>
      <c r="T1088" s="47"/>
      <c r="U1088" s="47"/>
      <c r="V1088" s="47"/>
      <c r="W1088" s="51"/>
      <c r="X1088" s="51"/>
      <c r="Y1088" s="47"/>
      <c r="Z1088" s="47"/>
      <c r="AA1088" s="47"/>
      <c r="AB1088" s="47"/>
      <c r="AC1088" s="47"/>
      <c r="AD1088" s="47"/>
      <c r="AE1088" s="54"/>
      <c r="AF1088" s="54"/>
      <c r="AG1088" s="54"/>
      <c r="AH1088" s="54"/>
      <c r="AI1088" s="54"/>
      <c r="AJ1088" s="54"/>
      <c r="AK1088" s="54"/>
      <c r="AL1088" s="54"/>
      <c r="AM1088" s="54"/>
      <c r="AN1088" s="54"/>
      <c r="AO1088" s="54"/>
      <c r="AP1088" s="54"/>
      <c r="AQ1088" s="54"/>
      <c r="AR1088" s="54"/>
      <c r="AS1088" s="54"/>
      <c r="AT1088" s="54"/>
      <c r="AU1088" s="54"/>
      <c r="AV1088" s="54"/>
      <c r="AW1088" s="54"/>
      <c r="AX1088" s="54"/>
      <c r="AY1088" s="54"/>
      <c r="AZ1088" s="54"/>
      <c r="BA1088" s="54"/>
      <c r="BB1088" s="54"/>
      <c r="BC1088" s="51"/>
      <c r="BD1088" s="51"/>
      <c r="BE1088" s="54"/>
      <c r="BF1088" s="54"/>
      <c r="BG1088" s="47"/>
      <c r="BH1088" s="48"/>
      <c r="BI1088" s="48"/>
      <c r="BJ1088" s="48"/>
      <c r="BK1088" s="48"/>
      <c r="BL1088" s="48"/>
      <c r="BM1088" s="48"/>
      <c r="BN1088" s="48"/>
      <c r="BO1088" s="48"/>
      <c r="BP1088" s="48"/>
      <c r="BQ1088" s="48"/>
      <c r="BR1088" s="48"/>
      <c r="BS1088" s="48"/>
      <c r="BT1088" s="48"/>
      <c r="BU1088" s="48"/>
      <c r="BV1088" s="48"/>
      <c r="BW1088" s="48"/>
      <c r="BX1088" s="48"/>
      <c r="BY1088" s="48"/>
      <c r="BZ1088" s="48"/>
      <c r="CA1088" s="48"/>
      <c r="CB1088" s="48"/>
      <c r="CC1088" s="48"/>
      <c r="CD1088" s="48"/>
      <c r="CE1088" s="48"/>
      <c r="CF1088" s="52"/>
      <c r="CG1088" s="52"/>
      <c r="CH1088" s="48"/>
      <c r="CI1088" s="48"/>
      <c r="CJ1088" s="48"/>
      <c r="CK1088" s="48"/>
    </row>
    <row r="1089" spans="1:89" ht="15.75" customHeight="1" x14ac:dyDescent="0.3">
      <c r="A1089" s="47"/>
      <c r="B1089" s="48"/>
      <c r="C1089" s="47"/>
      <c r="D1089" s="48"/>
      <c r="E1089" s="48"/>
      <c r="F1089" s="48"/>
      <c r="G1089" s="48"/>
      <c r="H1089" s="48"/>
      <c r="I1089" s="49"/>
      <c r="J1089" s="47"/>
      <c r="K1089" s="47"/>
      <c r="L1089" s="47"/>
      <c r="M1089" s="47"/>
      <c r="N1089" s="47"/>
      <c r="O1089" s="47"/>
      <c r="P1089" s="47"/>
      <c r="Q1089" s="47"/>
      <c r="R1089" s="47"/>
      <c r="S1089" s="50"/>
      <c r="T1089" s="47"/>
      <c r="U1089" s="47"/>
      <c r="V1089" s="47"/>
      <c r="W1089" s="51"/>
      <c r="X1089" s="51"/>
      <c r="Y1089" s="47"/>
      <c r="Z1089" s="47"/>
      <c r="AA1089" s="47"/>
      <c r="AB1089" s="47"/>
      <c r="AC1089" s="47"/>
      <c r="AD1089" s="47"/>
      <c r="AE1089" s="54"/>
      <c r="AF1089" s="54"/>
      <c r="AG1089" s="54"/>
      <c r="AH1089" s="54"/>
      <c r="AI1089" s="54"/>
      <c r="AJ1089" s="54"/>
      <c r="AK1089" s="54"/>
      <c r="AL1089" s="54"/>
      <c r="AM1089" s="54"/>
      <c r="AN1089" s="54"/>
      <c r="AO1089" s="54"/>
      <c r="AP1089" s="54"/>
      <c r="AQ1089" s="54"/>
      <c r="AR1089" s="54"/>
      <c r="AS1089" s="54"/>
      <c r="AT1089" s="54"/>
      <c r="AU1089" s="54"/>
      <c r="AV1089" s="54"/>
      <c r="AW1089" s="54"/>
      <c r="AX1089" s="54"/>
      <c r="AY1089" s="54"/>
      <c r="AZ1089" s="54"/>
      <c r="BA1089" s="54"/>
      <c r="BB1089" s="54"/>
      <c r="BC1089" s="51"/>
      <c r="BD1089" s="51"/>
      <c r="BE1089" s="54"/>
      <c r="BF1089" s="54"/>
      <c r="BG1089" s="47"/>
      <c r="BH1089" s="48"/>
      <c r="BI1089" s="48"/>
      <c r="BJ1089" s="48"/>
      <c r="BK1089" s="48"/>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52"/>
      <c r="CG1089" s="52"/>
      <c r="CH1089" s="48"/>
      <c r="CI1089" s="48"/>
      <c r="CJ1089" s="48"/>
      <c r="CK1089" s="48"/>
    </row>
    <row r="1090" spans="1:89" ht="15.75" customHeight="1" x14ac:dyDescent="0.3">
      <c r="A1090" s="47"/>
      <c r="B1090" s="48"/>
      <c r="C1090" s="47"/>
      <c r="D1090" s="48"/>
      <c r="E1090" s="48"/>
      <c r="F1090" s="48"/>
      <c r="G1090" s="48"/>
      <c r="H1090" s="48"/>
      <c r="I1090" s="49"/>
      <c r="J1090" s="47"/>
      <c r="K1090" s="47"/>
      <c r="L1090" s="47"/>
      <c r="M1090" s="47"/>
      <c r="N1090" s="47"/>
      <c r="O1090" s="47"/>
      <c r="P1090" s="47"/>
      <c r="Q1090" s="47"/>
      <c r="R1090" s="47"/>
      <c r="S1090" s="50"/>
      <c r="T1090" s="47"/>
      <c r="U1090" s="47"/>
      <c r="V1090" s="47"/>
      <c r="W1090" s="51"/>
      <c r="X1090" s="51"/>
      <c r="Y1090" s="47"/>
      <c r="Z1090" s="47"/>
      <c r="AA1090" s="47"/>
      <c r="AB1090" s="47"/>
      <c r="AC1090" s="47"/>
      <c r="AD1090" s="47"/>
      <c r="AE1090" s="54"/>
      <c r="AF1090" s="54"/>
      <c r="AG1090" s="54"/>
      <c r="AH1090" s="54"/>
      <c r="AI1090" s="54"/>
      <c r="AJ1090" s="54"/>
      <c r="AK1090" s="54"/>
      <c r="AL1090" s="54"/>
      <c r="AM1090" s="54"/>
      <c r="AN1090" s="54"/>
      <c r="AO1090" s="54"/>
      <c r="AP1090" s="54"/>
      <c r="AQ1090" s="54"/>
      <c r="AR1090" s="54"/>
      <c r="AS1090" s="54"/>
      <c r="AT1090" s="54"/>
      <c r="AU1090" s="54"/>
      <c r="AV1090" s="54"/>
      <c r="AW1090" s="54"/>
      <c r="AX1090" s="54"/>
      <c r="AY1090" s="54"/>
      <c r="AZ1090" s="54"/>
      <c r="BA1090" s="54"/>
      <c r="BB1090" s="54"/>
      <c r="BC1090" s="51"/>
      <c r="BD1090" s="51"/>
      <c r="BE1090" s="54"/>
      <c r="BF1090" s="54"/>
      <c r="BG1090" s="47"/>
      <c r="BH1090" s="48"/>
      <c r="BI1090" s="48"/>
      <c r="BJ1090" s="48"/>
      <c r="BK1090" s="48"/>
      <c r="BL1090" s="48"/>
      <c r="BM1090" s="48"/>
      <c r="BN1090" s="48"/>
      <c r="BO1090" s="48"/>
      <c r="BP1090" s="48"/>
      <c r="BQ1090" s="48"/>
      <c r="BR1090" s="48"/>
      <c r="BS1090" s="48"/>
      <c r="BT1090" s="48"/>
      <c r="BU1090" s="48"/>
      <c r="BV1090" s="48"/>
      <c r="BW1090" s="48"/>
      <c r="BX1090" s="48"/>
      <c r="BY1090" s="48"/>
      <c r="BZ1090" s="48"/>
      <c r="CA1090" s="48"/>
      <c r="CB1090" s="48"/>
      <c r="CC1090" s="48"/>
      <c r="CD1090" s="48"/>
      <c r="CE1090" s="48"/>
      <c r="CF1090" s="52"/>
      <c r="CG1090" s="52"/>
      <c r="CH1090" s="48"/>
      <c r="CI1090" s="48"/>
      <c r="CJ1090" s="48"/>
      <c r="CK1090" s="48"/>
    </row>
    <row r="1091" spans="1:89" ht="15.75" customHeight="1" x14ac:dyDescent="0.3">
      <c r="A1091" s="47"/>
      <c r="B1091" s="48"/>
      <c r="C1091" s="47"/>
      <c r="D1091" s="48"/>
      <c r="E1091" s="48"/>
      <c r="F1091" s="48"/>
      <c r="G1091" s="48"/>
      <c r="H1091" s="48"/>
      <c r="I1091" s="49"/>
      <c r="J1091" s="47"/>
      <c r="K1091" s="47"/>
      <c r="L1091" s="47"/>
      <c r="M1091" s="47"/>
      <c r="N1091" s="47"/>
      <c r="O1091" s="47"/>
      <c r="P1091" s="47"/>
      <c r="Q1091" s="47"/>
      <c r="R1091" s="47"/>
      <c r="S1091" s="50"/>
      <c r="T1091" s="47"/>
      <c r="U1091" s="47"/>
      <c r="V1091" s="47"/>
      <c r="W1091" s="51"/>
      <c r="X1091" s="51"/>
      <c r="Y1091" s="47"/>
      <c r="Z1091" s="47"/>
      <c r="AA1091" s="47"/>
      <c r="AB1091" s="47"/>
      <c r="AC1091" s="47"/>
      <c r="AD1091" s="47"/>
      <c r="AE1091" s="54"/>
      <c r="AF1091" s="54"/>
      <c r="AG1091" s="54"/>
      <c r="AH1091" s="54"/>
      <c r="AI1091" s="54"/>
      <c r="AJ1091" s="54"/>
      <c r="AK1091" s="54"/>
      <c r="AL1091" s="54"/>
      <c r="AM1091" s="54"/>
      <c r="AN1091" s="54"/>
      <c r="AO1091" s="54"/>
      <c r="AP1091" s="54"/>
      <c r="AQ1091" s="54"/>
      <c r="AR1091" s="54"/>
      <c r="AS1091" s="54"/>
      <c r="AT1091" s="54"/>
      <c r="AU1091" s="54"/>
      <c r="AV1091" s="54"/>
      <c r="AW1091" s="54"/>
      <c r="AX1091" s="54"/>
      <c r="AY1091" s="54"/>
      <c r="AZ1091" s="54"/>
      <c r="BA1091" s="54"/>
      <c r="BB1091" s="54"/>
      <c r="BC1091" s="51"/>
      <c r="BD1091" s="51"/>
      <c r="BE1091" s="54"/>
      <c r="BF1091" s="54"/>
      <c r="BG1091" s="47"/>
      <c r="BH1091" s="48"/>
      <c r="BI1091" s="48"/>
      <c r="BJ1091" s="48"/>
      <c r="BK1091" s="48"/>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52"/>
      <c r="CG1091" s="52"/>
      <c r="CH1091" s="48"/>
      <c r="CI1091" s="48"/>
      <c r="CJ1091" s="48"/>
      <c r="CK1091" s="48"/>
    </row>
    <row r="1092" spans="1:89" ht="15.75" customHeight="1" x14ac:dyDescent="0.3">
      <c r="A1092" s="47"/>
      <c r="B1092" s="48"/>
      <c r="C1092" s="47"/>
      <c r="D1092" s="48"/>
      <c r="E1092" s="48"/>
      <c r="F1092" s="48"/>
      <c r="G1092" s="48"/>
      <c r="H1092" s="48"/>
      <c r="I1092" s="49"/>
      <c r="J1092" s="47"/>
      <c r="K1092" s="47"/>
      <c r="L1092" s="47"/>
      <c r="M1092" s="47"/>
      <c r="N1092" s="47"/>
      <c r="O1092" s="47"/>
      <c r="P1092" s="47"/>
      <c r="Q1092" s="47"/>
      <c r="R1092" s="47"/>
      <c r="S1092" s="50"/>
      <c r="T1092" s="47"/>
      <c r="U1092" s="47"/>
      <c r="V1092" s="47"/>
      <c r="W1092" s="51"/>
      <c r="X1092" s="51"/>
      <c r="Y1092" s="47"/>
      <c r="Z1092" s="47"/>
      <c r="AA1092" s="47"/>
      <c r="AB1092" s="47"/>
      <c r="AC1092" s="47"/>
      <c r="AD1092" s="47"/>
      <c r="AE1092" s="54"/>
      <c r="AF1092" s="54"/>
      <c r="AG1092" s="54"/>
      <c r="AH1092" s="54"/>
      <c r="AI1092" s="54"/>
      <c r="AJ1092" s="54"/>
      <c r="AK1092" s="54"/>
      <c r="AL1092" s="54"/>
      <c r="AM1092" s="54"/>
      <c r="AN1092" s="54"/>
      <c r="AO1092" s="54"/>
      <c r="AP1092" s="54"/>
      <c r="AQ1092" s="54"/>
      <c r="AR1092" s="54"/>
      <c r="AS1092" s="54"/>
      <c r="AT1092" s="54"/>
      <c r="AU1092" s="54"/>
      <c r="AV1092" s="54"/>
      <c r="AW1092" s="54"/>
      <c r="AX1092" s="54"/>
      <c r="AY1092" s="54"/>
      <c r="AZ1092" s="54"/>
      <c r="BA1092" s="54"/>
      <c r="BB1092" s="54"/>
      <c r="BC1092" s="51"/>
      <c r="BD1092" s="51"/>
      <c r="BE1092" s="54"/>
      <c r="BF1092" s="54"/>
      <c r="BG1092" s="47"/>
      <c r="BH1092" s="48"/>
      <c r="BI1092" s="48"/>
      <c r="BJ1092" s="48"/>
      <c r="BK1092" s="48"/>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52"/>
      <c r="CG1092" s="52"/>
      <c r="CH1092" s="48"/>
      <c r="CI1092" s="48"/>
      <c r="CJ1092" s="48"/>
      <c r="CK1092" s="48"/>
    </row>
    <row r="1093" spans="1:89" ht="15.75" customHeight="1" x14ac:dyDescent="0.3">
      <c r="A1093" s="47"/>
      <c r="B1093" s="48"/>
      <c r="C1093" s="47"/>
      <c r="D1093" s="48"/>
      <c r="E1093" s="48"/>
      <c r="F1093" s="48"/>
      <c r="G1093" s="48"/>
      <c r="H1093" s="48"/>
      <c r="I1093" s="49"/>
      <c r="J1093" s="47"/>
      <c r="K1093" s="47"/>
      <c r="L1093" s="47"/>
      <c r="M1093" s="47"/>
      <c r="N1093" s="47"/>
      <c r="O1093" s="47"/>
      <c r="P1093" s="47"/>
      <c r="Q1093" s="47"/>
      <c r="R1093" s="47"/>
      <c r="S1093" s="50"/>
      <c r="T1093" s="47"/>
      <c r="U1093" s="47"/>
      <c r="V1093" s="47"/>
      <c r="W1093" s="51"/>
      <c r="X1093" s="51"/>
      <c r="Y1093" s="47"/>
      <c r="Z1093" s="47"/>
      <c r="AA1093" s="47"/>
      <c r="AB1093" s="47"/>
      <c r="AC1093" s="47"/>
      <c r="AD1093" s="47"/>
      <c r="AE1093" s="54"/>
      <c r="AF1093" s="54"/>
      <c r="AG1093" s="54"/>
      <c r="AH1093" s="54"/>
      <c r="AI1093" s="54"/>
      <c r="AJ1093" s="54"/>
      <c r="AK1093" s="54"/>
      <c r="AL1093" s="54"/>
      <c r="AM1093" s="54"/>
      <c r="AN1093" s="54"/>
      <c r="AO1093" s="54"/>
      <c r="AP1093" s="54"/>
      <c r="AQ1093" s="54"/>
      <c r="AR1093" s="54"/>
      <c r="AS1093" s="54"/>
      <c r="AT1093" s="54"/>
      <c r="AU1093" s="54"/>
      <c r="AV1093" s="54"/>
      <c r="AW1093" s="54"/>
      <c r="AX1093" s="54"/>
      <c r="AY1093" s="54"/>
      <c r="AZ1093" s="54"/>
      <c r="BA1093" s="54"/>
      <c r="BB1093" s="54"/>
      <c r="BC1093" s="51"/>
      <c r="BD1093" s="51"/>
      <c r="BE1093" s="54"/>
      <c r="BF1093" s="54"/>
      <c r="BG1093" s="47"/>
      <c r="BH1093" s="48"/>
      <c r="BI1093" s="48"/>
      <c r="BJ1093" s="48"/>
      <c r="BK1093" s="48"/>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52"/>
      <c r="CG1093" s="52"/>
      <c r="CH1093" s="48"/>
      <c r="CI1093" s="48"/>
      <c r="CJ1093" s="48"/>
      <c r="CK1093" s="48"/>
    </row>
    <row r="1094" spans="1:89" ht="15.75" customHeight="1" x14ac:dyDescent="0.3">
      <c r="A1094" s="47"/>
      <c r="B1094" s="48"/>
      <c r="C1094" s="47"/>
      <c r="D1094" s="48"/>
      <c r="E1094" s="48"/>
      <c r="F1094" s="48"/>
      <c r="G1094" s="48"/>
      <c r="H1094" s="48"/>
      <c r="I1094" s="49"/>
      <c r="J1094" s="47"/>
      <c r="K1094" s="47"/>
      <c r="L1094" s="47"/>
      <c r="M1094" s="47"/>
      <c r="N1094" s="47"/>
      <c r="O1094" s="47"/>
      <c r="P1094" s="47"/>
      <c r="Q1094" s="47"/>
      <c r="R1094" s="47"/>
      <c r="S1094" s="50"/>
      <c r="T1094" s="47"/>
      <c r="U1094" s="47"/>
      <c r="V1094" s="47"/>
      <c r="W1094" s="51"/>
      <c r="X1094" s="51"/>
      <c r="Y1094" s="47"/>
      <c r="Z1094" s="47"/>
      <c r="AA1094" s="47"/>
      <c r="AB1094" s="47"/>
      <c r="AC1094" s="47"/>
      <c r="AD1094" s="47"/>
      <c r="AE1094" s="54"/>
      <c r="AF1094" s="54"/>
      <c r="AG1094" s="54"/>
      <c r="AH1094" s="54"/>
      <c r="AI1094" s="54"/>
      <c r="AJ1094" s="54"/>
      <c r="AK1094" s="54"/>
      <c r="AL1094" s="54"/>
      <c r="AM1094" s="54"/>
      <c r="AN1094" s="54"/>
      <c r="AO1094" s="54"/>
      <c r="AP1094" s="54"/>
      <c r="AQ1094" s="54"/>
      <c r="AR1094" s="54"/>
      <c r="AS1094" s="54"/>
      <c r="AT1094" s="54"/>
      <c r="AU1094" s="54"/>
      <c r="AV1094" s="54"/>
      <c r="AW1094" s="54"/>
      <c r="AX1094" s="54"/>
      <c r="AY1094" s="54"/>
      <c r="AZ1094" s="54"/>
      <c r="BA1094" s="54"/>
      <c r="BB1094" s="54"/>
      <c r="BC1094" s="51"/>
      <c r="BD1094" s="51"/>
      <c r="BE1094" s="54"/>
      <c r="BF1094" s="54"/>
      <c r="BG1094" s="47"/>
      <c r="BH1094" s="48"/>
      <c r="BI1094" s="48"/>
      <c r="BJ1094" s="48"/>
      <c r="BK1094" s="48"/>
      <c r="BL1094" s="48"/>
      <c r="BM1094" s="48"/>
      <c r="BN1094" s="48"/>
      <c r="BO1094" s="48"/>
      <c r="BP1094" s="48"/>
      <c r="BQ1094" s="48"/>
      <c r="BR1094" s="48"/>
      <c r="BS1094" s="48"/>
      <c r="BT1094" s="48"/>
      <c r="BU1094" s="48"/>
      <c r="BV1094" s="48"/>
      <c r="BW1094" s="48"/>
      <c r="BX1094" s="48"/>
      <c r="BY1094" s="48"/>
      <c r="BZ1094" s="48"/>
      <c r="CA1094" s="48"/>
      <c r="CB1094" s="48"/>
      <c r="CC1094" s="48"/>
      <c r="CD1094" s="48"/>
      <c r="CE1094" s="48"/>
      <c r="CF1094" s="52"/>
      <c r="CG1094" s="52"/>
      <c r="CH1094" s="48"/>
      <c r="CI1094" s="48"/>
      <c r="CJ1094" s="48"/>
      <c r="CK1094" s="48"/>
    </row>
    <row r="1095" spans="1:89" ht="15.75" customHeight="1" x14ac:dyDescent="0.3">
      <c r="A1095" s="47"/>
      <c r="B1095" s="48"/>
      <c r="C1095" s="47"/>
      <c r="D1095" s="48"/>
      <c r="E1095" s="48"/>
      <c r="F1095" s="48"/>
      <c r="G1095" s="48"/>
      <c r="H1095" s="48"/>
      <c r="I1095" s="49"/>
      <c r="J1095" s="47"/>
      <c r="K1095" s="47"/>
      <c r="L1095" s="47"/>
      <c r="M1095" s="47"/>
      <c r="N1095" s="47"/>
      <c r="O1095" s="47"/>
      <c r="P1095" s="47"/>
      <c r="Q1095" s="47"/>
      <c r="R1095" s="47"/>
      <c r="S1095" s="50"/>
      <c r="T1095" s="47"/>
      <c r="U1095" s="47"/>
      <c r="V1095" s="47"/>
      <c r="W1095" s="51"/>
      <c r="X1095" s="51"/>
      <c r="Y1095" s="47"/>
      <c r="Z1095" s="47"/>
      <c r="AA1095" s="47"/>
      <c r="AB1095" s="47"/>
      <c r="AC1095" s="47"/>
      <c r="AD1095" s="47"/>
      <c r="AE1095" s="54"/>
      <c r="AF1095" s="54"/>
      <c r="AG1095" s="54"/>
      <c r="AH1095" s="54"/>
      <c r="AI1095" s="54"/>
      <c r="AJ1095" s="54"/>
      <c r="AK1095" s="54"/>
      <c r="AL1095" s="54"/>
      <c r="AM1095" s="54"/>
      <c r="AN1095" s="54"/>
      <c r="AO1095" s="54"/>
      <c r="AP1095" s="54"/>
      <c r="AQ1095" s="54"/>
      <c r="AR1095" s="54"/>
      <c r="AS1095" s="54"/>
      <c r="AT1095" s="54"/>
      <c r="AU1095" s="54"/>
      <c r="AV1095" s="54"/>
      <c r="AW1095" s="54"/>
      <c r="AX1095" s="54"/>
      <c r="AY1095" s="54"/>
      <c r="AZ1095" s="54"/>
      <c r="BA1095" s="54"/>
      <c r="BB1095" s="54"/>
      <c r="BC1095" s="51"/>
      <c r="BD1095" s="51"/>
      <c r="BE1095" s="54"/>
      <c r="BF1095" s="54"/>
      <c r="BG1095" s="47"/>
      <c r="BH1095" s="48"/>
      <c r="BI1095" s="48"/>
      <c r="BJ1095" s="48"/>
      <c r="BK1095" s="48"/>
      <c r="BL1095" s="48"/>
      <c r="BM1095" s="48"/>
      <c r="BN1095" s="48"/>
      <c r="BO1095" s="48"/>
      <c r="BP1095" s="48"/>
      <c r="BQ1095" s="48"/>
      <c r="BR1095" s="48"/>
      <c r="BS1095" s="48"/>
      <c r="BT1095" s="48"/>
      <c r="BU1095" s="48"/>
      <c r="BV1095" s="48"/>
      <c r="BW1095" s="48"/>
      <c r="BX1095" s="48"/>
      <c r="BY1095" s="48"/>
      <c r="BZ1095" s="48"/>
      <c r="CA1095" s="48"/>
      <c r="CB1095" s="48"/>
      <c r="CC1095" s="48"/>
      <c r="CD1095" s="48"/>
      <c r="CE1095" s="48"/>
      <c r="CF1095" s="52"/>
      <c r="CG1095" s="52"/>
      <c r="CH1095" s="48"/>
      <c r="CI1095" s="48"/>
      <c r="CJ1095" s="48"/>
      <c r="CK1095" s="48"/>
    </row>
    <row r="1096" spans="1:89" ht="15.75" customHeight="1" x14ac:dyDescent="0.3">
      <c r="A1096" s="47"/>
      <c r="B1096" s="48"/>
      <c r="C1096" s="47"/>
      <c r="D1096" s="48"/>
      <c r="E1096" s="48"/>
      <c r="F1096" s="48"/>
      <c r="G1096" s="48"/>
      <c r="H1096" s="48"/>
      <c r="I1096" s="49"/>
      <c r="J1096" s="47"/>
      <c r="K1096" s="47"/>
      <c r="L1096" s="47"/>
      <c r="M1096" s="47"/>
      <c r="N1096" s="47"/>
      <c r="O1096" s="47"/>
      <c r="P1096" s="47"/>
      <c r="Q1096" s="47"/>
      <c r="R1096" s="47"/>
      <c r="S1096" s="50"/>
      <c r="T1096" s="47"/>
      <c r="U1096" s="47"/>
      <c r="V1096" s="47"/>
      <c r="W1096" s="51"/>
      <c r="X1096" s="51"/>
      <c r="Y1096" s="47"/>
      <c r="Z1096" s="47"/>
      <c r="AA1096" s="47"/>
      <c r="AB1096" s="47"/>
      <c r="AC1096" s="47"/>
      <c r="AD1096" s="47"/>
      <c r="AE1096" s="54"/>
      <c r="AF1096" s="54"/>
      <c r="AG1096" s="54"/>
      <c r="AH1096" s="54"/>
      <c r="AI1096" s="54"/>
      <c r="AJ1096" s="54"/>
      <c r="AK1096" s="54"/>
      <c r="AL1096" s="54"/>
      <c r="AM1096" s="54"/>
      <c r="AN1096" s="54"/>
      <c r="AO1096" s="54"/>
      <c r="AP1096" s="54"/>
      <c r="AQ1096" s="54"/>
      <c r="AR1096" s="54"/>
      <c r="AS1096" s="54"/>
      <c r="AT1096" s="54"/>
      <c r="AU1096" s="54"/>
      <c r="AV1096" s="54"/>
      <c r="AW1096" s="54"/>
      <c r="AX1096" s="54"/>
      <c r="AY1096" s="54"/>
      <c r="AZ1096" s="54"/>
      <c r="BA1096" s="54"/>
      <c r="BB1096" s="54"/>
      <c r="BC1096" s="51"/>
      <c r="BD1096" s="51"/>
      <c r="BE1096" s="54"/>
      <c r="BF1096" s="54"/>
      <c r="BG1096" s="47"/>
      <c r="BH1096" s="48"/>
      <c r="BI1096" s="48"/>
      <c r="BJ1096" s="48"/>
      <c r="BK1096" s="48"/>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52"/>
      <c r="CG1096" s="52"/>
      <c r="CH1096" s="48"/>
      <c r="CI1096" s="48"/>
      <c r="CJ1096" s="48"/>
      <c r="CK1096" s="48"/>
    </row>
    <row r="1097" spans="1:89" ht="15.75" customHeight="1" x14ac:dyDescent="0.3">
      <c r="A1097" s="47"/>
      <c r="B1097" s="48"/>
      <c r="C1097" s="47"/>
      <c r="D1097" s="48"/>
      <c r="E1097" s="48"/>
      <c r="F1097" s="48"/>
      <c r="G1097" s="48"/>
      <c r="H1097" s="48"/>
      <c r="I1097" s="49"/>
      <c r="J1097" s="47"/>
      <c r="K1097" s="47"/>
      <c r="L1097" s="47"/>
      <c r="M1097" s="47"/>
      <c r="N1097" s="47"/>
      <c r="O1097" s="47"/>
      <c r="P1097" s="47"/>
      <c r="Q1097" s="47"/>
      <c r="R1097" s="47"/>
      <c r="S1097" s="50"/>
      <c r="T1097" s="47"/>
      <c r="U1097" s="47"/>
      <c r="V1097" s="47"/>
      <c r="W1097" s="51"/>
      <c r="X1097" s="51"/>
      <c r="Y1097" s="47"/>
      <c r="Z1097" s="47"/>
      <c r="AA1097" s="47"/>
      <c r="AB1097" s="47"/>
      <c r="AC1097" s="47"/>
      <c r="AD1097" s="47"/>
      <c r="AE1097" s="54"/>
      <c r="AF1097" s="54"/>
      <c r="AG1097" s="54"/>
      <c r="AH1097" s="54"/>
      <c r="AI1097" s="54"/>
      <c r="AJ1097" s="54"/>
      <c r="AK1097" s="54"/>
      <c r="AL1097" s="54"/>
      <c r="AM1097" s="54"/>
      <c r="AN1097" s="54"/>
      <c r="AO1097" s="54"/>
      <c r="AP1097" s="54"/>
      <c r="AQ1097" s="54"/>
      <c r="AR1097" s="54"/>
      <c r="AS1097" s="54"/>
      <c r="AT1097" s="54"/>
      <c r="AU1097" s="54"/>
      <c r="AV1097" s="54"/>
      <c r="AW1097" s="54"/>
      <c r="AX1097" s="54"/>
      <c r="AY1097" s="54"/>
      <c r="AZ1097" s="54"/>
      <c r="BA1097" s="54"/>
      <c r="BB1097" s="54"/>
      <c r="BC1097" s="51"/>
      <c r="BD1097" s="51"/>
      <c r="BE1097" s="54"/>
      <c r="BF1097" s="54"/>
      <c r="BG1097" s="47"/>
      <c r="BH1097" s="48"/>
      <c r="BI1097" s="48"/>
      <c r="BJ1097" s="48"/>
      <c r="BK1097" s="48"/>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52"/>
      <c r="CG1097" s="52"/>
      <c r="CH1097" s="48"/>
      <c r="CI1097" s="48"/>
      <c r="CJ1097" s="48"/>
      <c r="CK1097" s="48"/>
    </row>
    <row r="1098" spans="1:89" ht="15.75" customHeight="1" x14ac:dyDescent="0.3">
      <c r="A1098" s="47"/>
      <c r="B1098" s="48"/>
      <c r="C1098" s="47"/>
      <c r="D1098" s="48"/>
      <c r="E1098" s="48"/>
      <c r="F1098" s="48"/>
      <c r="G1098" s="48"/>
      <c r="H1098" s="48"/>
      <c r="I1098" s="49"/>
      <c r="J1098" s="47"/>
      <c r="K1098" s="47"/>
      <c r="L1098" s="47"/>
      <c r="M1098" s="47"/>
      <c r="N1098" s="47"/>
      <c r="O1098" s="47"/>
      <c r="P1098" s="47"/>
      <c r="Q1098" s="47"/>
      <c r="R1098" s="47"/>
      <c r="S1098" s="50"/>
      <c r="T1098" s="47"/>
      <c r="U1098" s="47"/>
      <c r="V1098" s="47"/>
      <c r="W1098" s="51"/>
      <c r="X1098" s="51"/>
      <c r="Y1098" s="47"/>
      <c r="Z1098" s="47"/>
      <c r="AA1098" s="47"/>
      <c r="AB1098" s="47"/>
      <c r="AC1098" s="47"/>
      <c r="AD1098" s="47"/>
      <c r="AE1098" s="54"/>
      <c r="AF1098" s="54"/>
      <c r="AG1098" s="54"/>
      <c r="AH1098" s="54"/>
      <c r="AI1098" s="54"/>
      <c r="AJ1098" s="54"/>
      <c r="AK1098" s="54"/>
      <c r="AL1098" s="54"/>
      <c r="AM1098" s="54"/>
      <c r="AN1098" s="54"/>
      <c r="AO1098" s="54"/>
      <c r="AP1098" s="54"/>
      <c r="AQ1098" s="54"/>
      <c r="AR1098" s="54"/>
      <c r="AS1098" s="54"/>
      <c r="AT1098" s="54"/>
      <c r="AU1098" s="54"/>
      <c r="AV1098" s="54"/>
      <c r="AW1098" s="54"/>
      <c r="AX1098" s="54"/>
      <c r="AY1098" s="54"/>
      <c r="AZ1098" s="54"/>
      <c r="BA1098" s="54"/>
      <c r="BB1098" s="54"/>
      <c r="BC1098" s="51"/>
      <c r="BD1098" s="51"/>
      <c r="BE1098" s="54"/>
      <c r="BF1098" s="54"/>
      <c r="BG1098" s="47"/>
      <c r="BH1098" s="48"/>
      <c r="BI1098" s="48"/>
      <c r="BJ1098" s="48"/>
      <c r="BK1098" s="48"/>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52"/>
      <c r="CG1098" s="52"/>
      <c r="CH1098" s="48"/>
      <c r="CI1098" s="48"/>
      <c r="CJ1098" s="48"/>
      <c r="CK1098" s="48"/>
    </row>
    <row r="1099" spans="1:89" ht="15.75" customHeight="1" x14ac:dyDescent="0.3">
      <c r="A1099" s="47"/>
      <c r="B1099" s="48"/>
      <c r="C1099" s="47"/>
      <c r="D1099" s="48"/>
      <c r="E1099" s="48"/>
      <c r="F1099" s="48"/>
      <c r="G1099" s="48"/>
      <c r="H1099" s="48"/>
      <c r="I1099" s="49"/>
      <c r="J1099" s="47"/>
      <c r="K1099" s="47"/>
      <c r="L1099" s="47"/>
      <c r="M1099" s="47"/>
      <c r="N1099" s="47"/>
      <c r="O1099" s="47"/>
      <c r="P1099" s="47"/>
      <c r="Q1099" s="47"/>
      <c r="R1099" s="47"/>
      <c r="S1099" s="50"/>
      <c r="T1099" s="47"/>
      <c r="U1099" s="47"/>
      <c r="V1099" s="47"/>
      <c r="W1099" s="51"/>
      <c r="X1099" s="51"/>
      <c r="Y1099" s="47"/>
      <c r="Z1099" s="47"/>
      <c r="AA1099" s="47"/>
      <c r="AB1099" s="47"/>
      <c r="AC1099" s="47"/>
      <c r="AD1099" s="47"/>
      <c r="AE1099" s="54"/>
      <c r="AF1099" s="54"/>
      <c r="AG1099" s="54"/>
      <c r="AH1099" s="54"/>
      <c r="AI1099" s="54"/>
      <c r="AJ1099" s="54"/>
      <c r="AK1099" s="54"/>
      <c r="AL1099" s="54"/>
      <c r="AM1099" s="54"/>
      <c r="AN1099" s="54"/>
      <c r="AO1099" s="54"/>
      <c r="AP1099" s="54"/>
      <c r="AQ1099" s="54"/>
      <c r="AR1099" s="54"/>
      <c r="AS1099" s="54"/>
      <c r="AT1099" s="54"/>
      <c r="AU1099" s="54"/>
      <c r="AV1099" s="54"/>
      <c r="AW1099" s="54"/>
      <c r="AX1099" s="54"/>
      <c r="AY1099" s="54"/>
      <c r="AZ1099" s="54"/>
      <c r="BA1099" s="54"/>
      <c r="BB1099" s="54"/>
      <c r="BC1099" s="51"/>
      <c r="BD1099" s="51"/>
      <c r="BE1099" s="54"/>
      <c r="BF1099" s="54"/>
      <c r="BG1099" s="47"/>
      <c r="BH1099" s="48"/>
      <c r="BI1099" s="48"/>
      <c r="BJ1099" s="48"/>
      <c r="BK1099" s="48"/>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52"/>
      <c r="CG1099" s="52"/>
      <c r="CH1099" s="48"/>
      <c r="CI1099" s="48"/>
      <c r="CJ1099" s="48"/>
      <c r="CK1099" s="48"/>
    </row>
    <row r="1100" spans="1:89" ht="15.75" customHeight="1" x14ac:dyDescent="0.3">
      <c r="A1100" s="47"/>
      <c r="B1100" s="48"/>
      <c r="C1100" s="47"/>
      <c r="D1100" s="48"/>
      <c r="E1100" s="48"/>
      <c r="F1100" s="48"/>
      <c r="G1100" s="48"/>
      <c r="H1100" s="48"/>
      <c r="I1100" s="49"/>
      <c r="J1100" s="47"/>
      <c r="K1100" s="47"/>
      <c r="L1100" s="47"/>
      <c r="M1100" s="47"/>
      <c r="N1100" s="47"/>
      <c r="O1100" s="47"/>
      <c r="P1100" s="47"/>
      <c r="Q1100" s="47"/>
      <c r="R1100" s="47"/>
      <c r="S1100" s="50"/>
      <c r="T1100" s="47"/>
      <c r="U1100" s="47"/>
      <c r="V1100" s="47"/>
      <c r="W1100" s="51"/>
      <c r="X1100" s="51"/>
      <c r="Y1100" s="47"/>
      <c r="Z1100" s="47"/>
      <c r="AA1100" s="47"/>
      <c r="AB1100" s="47"/>
      <c r="AC1100" s="47"/>
      <c r="AD1100" s="47"/>
      <c r="AE1100" s="54"/>
      <c r="AF1100" s="54"/>
      <c r="AG1100" s="54"/>
      <c r="AH1100" s="54"/>
      <c r="AI1100" s="54"/>
      <c r="AJ1100" s="54"/>
      <c r="AK1100" s="54"/>
      <c r="AL1100" s="54"/>
      <c r="AM1100" s="54"/>
      <c r="AN1100" s="54"/>
      <c r="AO1100" s="54"/>
      <c r="AP1100" s="54"/>
      <c r="AQ1100" s="54"/>
      <c r="AR1100" s="54"/>
      <c r="AS1100" s="54"/>
      <c r="AT1100" s="54"/>
      <c r="AU1100" s="54"/>
      <c r="AV1100" s="54"/>
      <c r="AW1100" s="54"/>
      <c r="AX1100" s="54"/>
      <c r="AY1100" s="54"/>
      <c r="AZ1100" s="54"/>
      <c r="BA1100" s="54"/>
      <c r="BB1100" s="54"/>
      <c r="BC1100" s="51"/>
      <c r="BD1100" s="51"/>
      <c r="BE1100" s="54"/>
      <c r="BF1100" s="54"/>
      <c r="BG1100" s="47"/>
      <c r="BH1100" s="48"/>
      <c r="BI1100" s="48"/>
      <c r="BJ1100" s="48"/>
      <c r="BK1100" s="48"/>
      <c r="BL1100" s="48"/>
      <c r="BM1100" s="48"/>
      <c r="BN1100" s="48"/>
      <c r="BO1100" s="48"/>
      <c r="BP1100" s="48"/>
      <c r="BQ1100" s="48"/>
      <c r="BR1100" s="48"/>
      <c r="BS1100" s="48"/>
      <c r="BT1100" s="48"/>
      <c r="BU1100" s="48"/>
      <c r="BV1100" s="48"/>
      <c r="BW1100" s="48"/>
      <c r="BX1100" s="48"/>
      <c r="BY1100" s="48"/>
      <c r="BZ1100" s="48"/>
      <c r="CA1100" s="48"/>
      <c r="CB1100" s="48"/>
      <c r="CC1100" s="48"/>
      <c r="CD1100" s="48"/>
      <c r="CE1100" s="48"/>
      <c r="CF1100" s="52"/>
      <c r="CG1100" s="52"/>
      <c r="CH1100" s="48"/>
      <c r="CI1100" s="48"/>
      <c r="CJ1100" s="48"/>
      <c r="CK1100" s="48"/>
    </row>
    <row r="1101" spans="1:89" ht="15.75" customHeight="1" x14ac:dyDescent="0.3">
      <c r="A1101" s="47"/>
      <c r="B1101" s="48"/>
      <c r="C1101" s="47"/>
      <c r="D1101" s="48"/>
      <c r="E1101" s="48"/>
      <c r="F1101" s="48"/>
      <c r="G1101" s="48"/>
      <c r="H1101" s="48"/>
      <c r="I1101" s="49"/>
      <c r="J1101" s="47"/>
      <c r="K1101" s="47"/>
      <c r="L1101" s="47"/>
      <c r="M1101" s="47"/>
      <c r="N1101" s="47"/>
      <c r="O1101" s="47"/>
      <c r="P1101" s="47"/>
      <c r="Q1101" s="47"/>
      <c r="R1101" s="47"/>
      <c r="S1101" s="50"/>
      <c r="T1101" s="47"/>
      <c r="U1101" s="47"/>
      <c r="V1101" s="47"/>
      <c r="W1101" s="51"/>
      <c r="X1101" s="51"/>
      <c r="Y1101" s="47"/>
      <c r="Z1101" s="47"/>
      <c r="AA1101" s="47"/>
      <c r="AB1101" s="47"/>
      <c r="AC1101" s="47"/>
      <c r="AD1101" s="47"/>
      <c r="AE1101" s="54"/>
      <c r="AF1101" s="54"/>
      <c r="AG1101" s="54"/>
      <c r="AH1101" s="54"/>
      <c r="AI1101" s="54"/>
      <c r="AJ1101" s="54"/>
      <c r="AK1101" s="54"/>
      <c r="AL1101" s="54"/>
      <c r="AM1101" s="54"/>
      <c r="AN1101" s="54"/>
      <c r="AO1101" s="54"/>
      <c r="AP1101" s="54"/>
      <c r="AQ1101" s="54"/>
      <c r="AR1101" s="54"/>
      <c r="AS1101" s="54"/>
      <c r="AT1101" s="54"/>
      <c r="AU1101" s="54"/>
      <c r="AV1101" s="54"/>
      <c r="AW1101" s="54"/>
      <c r="AX1101" s="54"/>
      <c r="AY1101" s="54"/>
      <c r="AZ1101" s="54"/>
      <c r="BA1101" s="54"/>
      <c r="BB1101" s="54"/>
      <c r="BC1101" s="51"/>
      <c r="BD1101" s="51"/>
      <c r="BE1101" s="54"/>
      <c r="BF1101" s="54"/>
      <c r="BG1101" s="47"/>
      <c r="BH1101" s="48"/>
      <c r="BI1101" s="48"/>
      <c r="BJ1101" s="48"/>
      <c r="BK1101" s="48"/>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52"/>
      <c r="CG1101" s="52"/>
      <c r="CH1101" s="48"/>
      <c r="CI1101" s="48"/>
      <c r="CJ1101" s="48"/>
      <c r="CK1101" s="48"/>
    </row>
    <row r="1102" spans="1:89" ht="15.75" customHeight="1" x14ac:dyDescent="0.3">
      <c r="A1102" s="47"/>
      <c r="B1102" s="48"/>
      <c r="C1102" s="47"/>
      <c r="D1102" s="48"/>
      <c r="E1102" s="48"/>
      <c r="F1102" s="48"/>
      <c r="G1102" s="48"/>
      <c r="H1102" s="48"/>
      <c r="I1102" s="49"/>
      <c r="J1102" s="47"/>
      <c r="K1102" s="47"/>
      <c r="L1102" s="47"/>
      <c r="M1102" s="47"/>
      <c r="N1102" s="47"/>
      <c r="O1102" s="47"/>
      <c r="P1102" s="47"/>
      <c r="Q1102" s="47"/>
      <c r="R1102" s="47"/>
      <c r="S1102" s="50"/>
      <c r="T1102" s="47"/>
      <c r="U1102" s="47"/>
      <c r="V1102" s="47"/>
      <c r="W1102" s="51"/>
      <c r="X1102" s="51"/>
      <c r="Y1102" s="47"/>
      <c r="Z1102" s="47"/>
      <c r="AA1102" s="47"/>
      <c r="AB1102" s="47"/>
      <c r="AC1102" s="47"/>
      <c r="AD1102" s="47"/>
      <c r="AE1102" s="54"/>
      <c r="AF1102" s="54"/>
      <c r="AG1102" s="54"/>
      <c r="AH1102" s="54"/>
      <c r="AI1102" s="54"/>
      <c r="AJ1102" s="54"/>
      <c r="AK1102" s="54"/>
      <c r="AL1102" s="54"/>
      <c r="AM1102" s="54"/>
      <c r="AN1102" s="54"/>
      <c r="AO1102" s="54"/>
      <c r="AP1102" s="54"/>
      <c r="AQ1102" s="54"/>
      <c r="AR1102" s="54"/>
      <c r="AS1102" s="54"/>
      <c r="AT1102" s="54"/>
      <c r="AU1102" s="54"/>
      <c r="AV1102" s="54"/>
      <c r="AW1102" s="54"/>
      <c r="AX1102" s="54"/>
      <c r="AY1102" s="54"/>
      <c r="AZ1102" s="54"/>
      <c r="BA1102" s="54"/>
      <c r="BB1102" s="54"/>
      <c r="BC1102" s="51"/>
      <c r="BD1102" s="51"/>
      <c r="BE1102" s="54"/>
      <c r="BF1102" s="54"/>
      <c r="BG1102" s="47"/>
      <c r="BH1102" s="48"/>
      <c r="BI1102" s="48"/>
      <c r="BJ1102" s="48"/>
      <c r="BK1102" s="48"/>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52"/>
      <c r="CG1102" s="52"/>
      <c r="CH1102" s="48"/>
      <c r="CI1102" s="48"/>
      <c r="CJ1102" s="48"/>
      <c r="CK1102" s="48"/>
    </row>
    <row r="1103" spans="1:89" ht="15.75" customHeight="1" x14ac:dyDescent="0.3">
      <c r="A1103" s="47"/>
      <c r="B1103" s="48"/>
      <c r="C1103" s="47"/>
      <c r="D1103" s="48"/>
      <c r="E1103" s="48"/>
      <c r="F1103" s="48"/>
      <c r="G1103" s="48"/>
      <c r="H1103" s="48"/>
      <c r="I1103" s="49"/>
      <c r="J1103" s="47"/>
      <c r="K1103" s="47"/>
      <c r="L1103" s="47"/>
      <c r="M1103" s="47"/>
      <c r="N1103" s="47"/>
      <c r="O1103" s="47"/>
      <c r="P1103" s="47"/>
      <c r="Q1103" s="47"/>
      <c r="R1103" s="47"/>
      <c r="S1103" s="50"/>
      <c r="T1103" s="47"/>
      <c r="U1103" s="47"/>
      <c r="V1103" s="47"/>
      <c r="W1103" s="51"/>
      <c r="X1103" s="51"/>
      <c r="Y1103" s="47"/>
      <c r="Z1103" s="47"/>
      <c r="AA1103" s="47"/>
      <c r="AB1103" s="47"/>
      <c r="AC1103" s="47"/>
      <c r="AD1103" s="47"/>
      <c r="AE1103" s="54"/>
      <c r="AF1103" s="54"/>
      <c r="AG1103" s="54"/>
      <c r="AH1103" s="54"/>
      <c r="AI1103" s="54"/>
      <c r="AJ1103" s="54"/>
      <c r="AK1103" s="54"/>
      <c r="AL1103" s="54"/>
      <c r="AM1103" s="54"/>
      <c r="AN1103" s="54"/>
      <c r="AO1103" s="54"/>
      <c r="AP1103" s="54"/>
      <c r="AQ1103" s="54"/>
      <c r="AR1103" s="54"/>
      <c r="AS1103" s="54"/>
      <c r="AT1103" s="54"/>
      <c r="AU1103" s="54"/>
      <c r="AV1103" s="54"/>
      <c r="AW1103" s="54"/>
      <c r="AX1103" s="54"/>
      <c r="AY1103" s="54"/>
      <c r="AZ1103" s="54"/>
      <c r="BA1103" s="54"/>
      <c r="BB1103" s="54"/>
      <c r="BC1103" s="51"/>
      <c r="BD1103" s="51"/>
      <c r="BE1103" s="54"/>
      <c r="BF1103" s="54"/>
      <c r="BG1103" s="47"/>
      <c r="BH1103" s="48"/>
      <c r="BI1103" s="48"/>
      <c r="BJ1103" s="48"/>
      <c r="BK1103" s="48"/>
      <c r="BL1103" s="48"/>
      <c r="BM1103" s="48"/>
      <c r="BN1103" s="48"/>
      <c r="BO1103" s="48"/>
      <c r="BP1103" s="48"/>
      <c r="BQ1103" s="48"/>
      <c r="BR1103" s="48"/>
      <c r="BS1103" s="48"/>
      <c r="BT1103" s="48"/>
      <c r="BU1103" s="48"/>
      <c r="BV1103" s="48"/>
      <c r="BW1103" s="48"/>
      <c r="BX1103" s="48"/>
      <c r="BY1103" s="48"/>
      <c r="BZ1103" s="48"/>
      <c r="CA1103" s="48"/>
      <c r="CB1103" s="48"/>
      <c r="CC1103" s="48"/>
      <c r="CD1103" s="48"/>
      <c r="CE1103" s="48"/>
      <c r="CF1103" s="52"/>
      <c r="CG1103" s="52"/>
      <c r="CH1103" s="48"/>
      <c r="CI1103" s="48"/>
      <c r="CJ1103" s="48"/>
      <c r="CK1103" s="48"/>
    </row>
    <row r="1104" spans="1:89" ht="15.75" customHeight="1" x14ac:dyDescent="0.3">
      <c r="A1104" s="47"/>
      <c r="B1104" s="48"/>
      <c r="C1104" s="47"/>
      <c r="D1104" s="48"/>
      <c r="E1104" s="48"/>
      <c r="F1104" s="48"/>
      <c r="G1104" s="48"/>
      <c r="H1104" s="48"/>
      <c r="I1104" s="49"/>
      <c r="J1104" s="47"/>
      <c r="K1104" s="47"/>
      <c r="L1104" s="47"/>
      <c r="M1104" s="47"/>
      <c r="N1104" s="47"/>
      <c r="O1104" s="47"/>
      <c r="P1104" s="47"/>
      <c r="Q1104" s="47"/>
      <c r="R1104" s="47"/>
      <c r="S1104" s="50"/>
      <c r="T1104" s="47"/>
      <c r="U1104" s="47"/>
      <c r="V1104" s="47"/>
      <c r="W1104" s="51"/>
      <c r="X1104" s="51"/>
      <c r="Y1104" s="47"/>
      <c r="Z1104" s="47"/>
      <c r="AA1104" s="47"/>
      <c r="AB1104" s="47"/>
      <c r="AC1104" s="47"/>
      <c r="AD1104" s="47"/>
      <c r="AE1104" s="54"/>
      <c r="AF1104" s="54"/>
      <c r="AG1104" s="54"/>
      <c r="AH1104" s="54"/>
      <c r="AI1104" s="54"/>
      <c r="AJ1104" s="54"/>
      <c r="AK1104" s="54"/>
      <c r="AL1104" s="54"/>
      <c r="AM1104" s="54"/>
      <c r="AN1104" s="54"/>
      <c r="AO1104" s="54"/>
      <c r="AP1104" s="54"/>
      <c r="AQ1104" s="54"/>
      <c r="AR1104" s="54"/>
      <c r="AS1104" s="54"/>
      <c r="AT1104" s="54"/>
      <c r="AU1104" s="54"/>
      <c r="AV1104" s="54"/>
      <c r="AW1104" s="54"/>
      <c r="AX1104" s="54"/>
      <c r="AY1104" s="54"/>
      <c r="AZ1104" s="54"/>
      <c r="BA1104" s="54"/>
      <c r="BB1104" s="54"/>
      <c r="BC1104" s="51"/>
      <c r="BD1104" s="51"/>
      <c r="BE1104" s="54"/>
      <c r="BF1104" s="54"/>
      <c r="BG1104" s="47"/>
      <c r="BH1104" s="48"/>
      <c r="BI1104" s="48"/>
      <c r="BJ1104" s="48"/>
      <c r="BK1104" s="48"/>
      <c r="BL1104" s="48"/>
      <c r="BM1104" s="48"/>
      <c r="BN1104" s="48"/>
      <c r="BO1104" s="48"/>
      <c r="BP1104" s="48"/>
      <c r="BQ1104" s="48"/>
      <c r="BR1104" s="48"/>
      <c r="BS1104" s="48"/>
      <c r="BT1104" s="48"/>
      <c r="BU1104" s="48"/>
      <c r="BV1104" s="48"/>
      <c r="BW1104" s="48"/>
      <c r="BX1104" s="48"/>
      <c r="BY1104" s="48"/>
      <c r="BZ1104" s="48"/>
      <c r="CA1104" s="48"/>
      <c r="CB1104" s="48"/>
      <c r="CC1104" s="48"/>
      <c r="CD1104" s="48"/>
      <c r="CE1104" s="48"/>
      <c r="CF1104" s="52"/>
      <c r="CG1104" s="52"/>
      <c r="CH1104" s="48"/>
      <c r="CI1104" s="48"/>
      <c r="CJ1104" s="48"/>
      <c r="CK1104" s="48"/>
    </row>
    <row r="1105" spans="1:89" ht="15.75" customHeight="1" x14ac:dyDescent="0.3">
      <c r="A1105" s="47"/>
      <c r="B1105" s="48"/>
      <c r="C1105" s="47"/>
      <c r="D1105" s="48"/>
      <c r="E1105" s="48"/>
      <c r="F1105" s="48"/>
      <c r="G1105" s="48"/>
      <c r="H1105" s="48"/>
      <c r="I1105" s="49"/>
      <c r="J1105" s="47"/>
      <c r="K1105" s="47"/>
      <c r="L1105" s="47"/>
      <c r="M1105" s="47"/>
      <c r="N1105" s="47"/>
      <c r="O1105" s="47"/>
      <c r="P1105" s="47"/>
      <c r="Q1105" s="47"/>
      <c r="R1105" s="47"/>
      <c r="S1105" s="50"/>
      <c r="T1105" s="47"/>
      <c r="U1105" s="47"/>
      <c r="V1105" s="47"/>
      <c r="W1105" s="51"/>
      <c r="X1105" s="51"/>
      <c r="Y1105" s="47"/>
      <c r="Z1105" s="47"/>
      <c r="AA1105" s="47"/>
      <c r="AB1105" s="47"/>
      <c r="AC1105" s="47"/>
      <c r="AD1105" s="47"/>
      <c r="AE1105" s="54"/>
      <c r="AF1105" s="54"/>
      <c r="AG1105" s="54"/>
      <c r="AH1105" s="54"/>
      <c r="AI1105" s="54"/>
      <c r="AJ1105" s="54"/>
      <c r="AK1105" s="54"/>
      <c r="AL1105" s="54"/>
      <c r="AM1105" s="54"/>
      <c r="AN1105" s="54"/>
      <c r="AO1105" s="54"/>
      <c r="AP1105" s="54"/>
      <c r="AQ1105" s="54"/>
      <c r="AR1105" s="54"/>
      <c r="AS1105" s="54"/>
      <c r="AT1105" s="54"/>
      <c r="AU1105" s="54"/>
      <c r="AV1105" s="54"/>
      <c r="AW1105" s="54"/>
      <c r="AX1105" s="54"/>
      <c r="AY1105" s="54"/>
      <c r="AZ1105" s="54"/>
      <c r="BA1105" s="54"/>
      <c r="BB1105" s="54"/>
      <c r="BC1105" s="51"/>
      <c r="BD1105" s="51"/>
      <c r="BE1105" s="54"/>
      <c r="BF1105" s="54"/>
      <c r="BG1105" s="47"/>
      <c r="BH1105" s="48"/>
      <c r="BI1105" s="48"/>
      <c r="BJ1105" s="48"/>
      <c r="BK1105" s="48"/>
      <c r="BL1105" s="48"/>
      <c r="BM1105" s="48"/>
      <c r="BN1105" s="48"/>
      <c r="BO1105" s="48"/>
      <c r="BP1105" s="48"/>
      <c r="BQ1105" s="48"/>
      <c r="BR1105" s="48"/>
      <c r="BS1105" s="48"/>
      <c r="BT1105" s="48"/>
      <c r="BU1105" s="48"/>
      <c r="BV1105" s="48"/>
      <c r="BW1105" s="48"/>
      <c r="BX1105" s="48"/>
      <c r="BY1105" s="48"/>
      <c r="BZ1105" s="48"/>
      <c r="CA1105" s="48"/>
      <c r="CB1105" s="48"/>
      <c r="CC1105" s="48"/>
      <c r="CD1105" s="48"/>
      <c r="CE1105" s="48"/>
      <c r="CF1105" s="52"/>
      <c r="CG1105" s="52"/>
      <c r="CH1105" s="48"/>
      <c r="CI1105" s="48"/>
      <c r="CJ1105" s="48"/>
      <c r="CK1105" s="48"/>
    </row>
    <row r="1106" spans="1:89" ht="15.75" customHeight="1" x14ac:dyDescent="0.3">
      <c r="A1106" s="47"/>
      <c r="B1106" s="48"/>
      <c r="C1106" s="47"/>
      <c r="D1106" s="48"/>
      <c r="E1106" s="48"/>
      <c r="F1106" s="48"/>
      <c r="G1106" s="48"/>
      <c r="H1106" s="48"/>
      <c r="I1106" s="49"/>
      <c r="J1106" s="47"/>
      <c r="K1106" s="47"/>
      <c r="L1106" s="47"/>
      <c r="M1106" s="47"/>
      <c r="N1106" s="47"/>
      <c r="O1106" s="47"/>
      <c r="P1106" s="47"/>
      <c r="Q1106" s="47"/>
      <c r="R1106" s="47"/>
      <c r="S1106" s="50"/>
      <c r="T1106" s="47"/>
      <c r="U1106" s="47"/>
      <c r="V1106" s="47"/>
      <c r="W1106" s="51"/>
      <c r="X1106" s="51"/>
      <c r="Y1106" s="47"/>
      <c r="Z1106" s="47"/>
      <c r="AA1106" s="47"/>
      <c r="AB1106" s="47"/>
      <c r="AC1106" s="47"/>
      <c r="AD1106" s="47"/>
      <c r="AE1106" s="54"/>
      <c r="AF1106" s="54"/>
      <c r="AG1106" s="54"/>
      <c r="AH1106" s="54"/>
      <c r="AI1106" s="54"/>
      <c r="AJ1106" s="54"/>
      <c r="AK1106" s="54"/>
      <c r="AL1106" s="54"/>
      <c r="AM1106" s="54"/>
      <c r="AN1106" s="54"/>
      <c r="AO1106" s="54"/>
      <c r="AP1106" s="54"/>
      <c r="AQ1106" s="54"/>
      <c r="AR1106" s="54"/>
      <c r="AS1106" s="54"/>
      <c r="AT1106" s="54"/>
      <c r="AU1106" s="54"/>
      <c r="AV1106" s="54"/>
      <c r="AW1106" s="54"/>
      <c r="AX1106" s="54"/>
      <c r="AY1106" s="54"/>
      <c r="AZ1106" s="54"/>
      <c r="BA1106" s="54"/>
      <c r="BB1106" s="54"/>
      <c r="BC1106" s="51"/>
      <c r="BD1106" s="51"/>
      <c r="BE1106" s="54"/>
      <c r="BF1106" s="54"/>
      <c r="BG1106" s="47"/>
      <c r="BH1106" s="48"/>
      <c r="BI1106" s="48"/>
      <c r="BJ1106" s="48"/>
      <c r="BK1106" s="48"/>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52"/>
      <c r="CG1106" s="52"/>
      <c r="CH1106" s="48"/>
      <c r="CI1106" s="48"/>
      <c r="CJ1106" s="48"/>
      <c r="CK1106" s="48"/>
    </row>
    <row r="1107" spans="1:89" ht="15.75" customHeight="1" x14ac:dyDescent="0.3">
      <c r="A1107" s="47"/>
      <c r="B1107" s="48"/>
      <c r="C1107" s="47"/>
      <c r="D1107" s="48"/>
      <c r="E1107" s="48"/>
      <c r="F1107" s="48"/>
      <c r="G1107" s="48"/>
      <c r="H1107" s="48"/>
      <c r="I1107" s="49"/>
      <c r="J1107" s="47"/>
      <c r="K1107" s="47"/>
      <c r="L1107" s="47"/>
      <c r="M1107" s="47"/>
      <c r="N1107" s="47"/>
      <c r="O1107" s="47"/>
      <c r="P1107" s="47"/>
      <c r="Q1107" s="47"/>
      <c r="R1107" s="47"/>
      <c r="S1107" s="50"/>
      <c r="T1107" s="47"/>
      <c r="U1107" s="47"/>
      <c r="V1107" s="47"/>
      <c r="W1107" s="51"/>
      <c r="X1107" s="51"/>
      <c r="Y1107" s="47"/>
      <c r="Z1107" s="47"/>
      <c r="AA1107" s="47"/>
      <c r="AB1107" s="47"/>
      <c r="AC1107" s="47"/>
      <c r="AD1107" s="47"/>
      <c r="AE1107" s="54"/>
      <c r="AF1107" s="54"/>
      <c r="AG1107" s="54"/>
      <c r="AH1107" s="54"/>
      <c r="AI1107" s="54"/>
      <c r="AJ1107" s="54"/>
      <c r="AK1107" s="54"/>
      <c r="AL1107" s="54"/>
      <c r="AM1107" s="54"/>
      <c r="AN1107" s="54"/>
      <c r="AO1107" s="54"/>
      <c r="AP1107" s="54"/>
      <c r="AQ1107" s="54"/>
      <c r="AR1107" s="54"/>
      <c r="AS1107" s="54"/>
      <c r="AT1107" s="54"/>
      <c r="AU1107" s="54"/>
      <c r="AV1107" s="54"/>
      <c r="AW1107" s="54"/>
      <c r="AX1107" s="54"/>
      <c r="AY1107" s="54"/>
      <c r="AZ1107" s="54"/>
      <c r="BA1107" s="54"/>
      <c r="BB1107" s="54"/>
      <c r="BC1107" s="51"/>
      <c r="BD1107" s="51"/>
      <c r="BE1107" s="54"/>
      <c r="BF1107" s="54"/>
      <c r="BG1107" s="47"/>
      <c r="BH1107" s="48"/>
      <c r="BI1107" s="48"/>
      <c r="BJ1107" s="48"/>
      <c r="BK1107" s="48"/>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52"/>
      <c r="CG1107" s="52"/>
      <c r="CH1107" s="48"/>
      <c r="CI1107" s="48"/>
      <c r="CJ1107" s="48"/>
      <c r="CK1107" s="48"/>
    </row>
    <row r="1108" spans="1:89" ht="15.75" customHeight="1" x14ac:dyDescent="0.3">
      <c r="A1108" s="47"/>
      <c r="B1108" s="48"/>
      <c r="C1108" s="47"/>
      <c r="D1108" s="48"/>
      <c r="E1108" s="48"/>
      <c r="F1108" s="48"/>
      <c r="G1108" s="48"/>
      <c r="H1108" s="48"/>
      <c r="I1108" s="49"/>
      <c r="J1108" s="47"/>
      <c r="K1108" s="47"/>
      <c r="L1108" s="47"/>
      <c r="M1108" s="47"/>
      <c r="N1108" s="47"/>
      <c r="O1108" s="47"/>
      <c r="P1108" s="47"/>
      <c r="Q1108" s="47"/>
      <c r="R1108" s="47"/>
      <c r="S1108" s="50"/>
      <c r="T1108" s="47"/>
      <c r="U1108" s="47"/>
      <c r="V1108" s="47"/>
      <c r="W1108" s="51"/>
      <c r="X1108" s="51"/>
      <c r="Y1108" s="47"/>
      <c r="Z1108" s="47"/>
      <c r="AA1108" s="47"/>
      <c r="AB1108" s="47"/>
      <c r="AC1108" s="47"/>
      <c r="AD1108" s="47"/>
      <c r="AE1108" s="54"/>
      <c r="AF1108" s="54"/>
      <c r="AG1108" s="54"/>
      <c r="AH1108" s="54"/>
      <c r="AI1108" s="54"/>
      <c r="AJ1108" s="54"/>
      <c r="AK1108" s="54"/>
      <c r="AL1108" s="54"/>
      <c r="AM1108" s="54"/>
      <c r="AN1108" s="54"/>
      <c r="AO1108" s="54"/>
      <c r="AP1108" s="54"/>
      <c r="AQ1108" s="54"/>
      <c r="AR1108" s="54"/>
      <c r="AS1108" s="54"/>
      <c r="AT1108" s="54"/>
      <c r="AU1108" s="54"/>
      <c r="AV1108" s="54"/>
      <c r="AW1108" s="54"/>
      <c r="AX1108" s="54"/>
      <c r="AY1108" s="54"/>
      <c r="AZ1108" s="54"/>
      <c r="BA1108" s="54"/>
      <c r="BB1108" s="54"/>
      <c r="BC1108" s="51"/>
      <c r="BD1108" s="51"/>
      <c r="BE1108" s="54"/>
      <c r="BF1108" s="54"/>
      <c r="BG1108" s="47"/>
      <c r="BH1108" s="48"/>
      <c r="BI1108" s="48"/>
      <c r="BJ1108" s="48"/>
      <c r="BK1108" s="48"/>
      <c r="BL1108" s="48"/>
      <c r="BM1108" s="48"/>
      <c r="BN1108" s="48"/>
      <c r="BO1108" s="48"/>
      <c r="BP1108" s="48"/>
      <c r="BQ1108" s="48"/>
      <c r="BR1108" s="48"/>
      <c r="BS1108" s="48"/>
      <c r="BT1108" s="48"/>
      <c r="BU1108" s="48"/>
      <c r="BV1108" s="48"/>
      <c r="BW1108" s="48"/>
      <c r="BX1108" s="48"/>
      <c r="BY1108" s="48"/>
      <c r="BZ1108" s="48"/>
      <c r="CA1108" s="48"/>
      <c r="CB1108" s="48"/>
      <c r="CC1108" s="48"/>
      <c r="CD1108" s="48"/>
      <c r="CE1108" s="48"/>
      <c r="CF1108" s="52"/>
      <c r="CG1108" s="52"/>
      <c r="CH1108" s="48"/>
      <c r="CI1108" s="48"/>
      <c r="CJ1108" s="48"/>
      <c r="CK1108" s="48"/>
    </row>
    <row r="1109" spans="1:89" ht="15.75" customHeight="1" x14ac:dyDescent="0.3">
      <c r="A1109" s="47"/>
      <c r="B1109" s="48"/>
      <c r="C1109" s="47"/>
      <c r="D1109" s="48"/>
      <c r="E1109" s="48"/>
      <c r="F1109" s="48"/>
      <c r="G1109" s="48"/>
      <c r="H1109" s="48"/>
      <c r="I1109" s="49"/>
      <c r="J1109" s="47"/>
      <c r="K1109" s="47"/>
      <c r="L1109" s="47"/>
      <c r="M1109" s="47"/>
      <c r="N1109" s="47"/>
      <c r="O1109" s="47"/>
      <c r="P1109" s="47"/>
      <c r="Q1109" s="47"/>
      <c r="R1109" s="47"/>
      <c r="S1109" s="50"/>
      <c r="T1109" s="47"/>
      <c r="U1109" s="47"/>
      <c r="V1109" s="47"/>
      <c r="W1109" s="51"/>
      <c r="X1109" s="51"/>
      <c r="Y1109" s="47"/>
      <c r="Z1109" s="47"/>
      <c r="AA1109" s="47"/>
      <c r="AB1109" s="47"/>
      <c r="AC1109" s="47"/>
      <c r="AD1109" s="47"/>
      <c r="AE1109" s="54"/>
      <c r="AF1109" s="54"/>
      <c r="AG1109" s="55"/>
      <c r="AH1109" s="54"/>
      <c r="AI1109" s="54"/>
      <c r="AJ1109" s="54"/>
      <c r="AK1109" s="54"/>
      <c r="AL1109" s="54"/>
      <c r="AM1109" s="54"/>
      <c r="AN1109" s="54"/>
      <c r="AO1109" s="54"/>
      <c r="AP1109" s="54"/>
      <c r="AQ1109" s="54"/>
      <c r="AR1109" s="54"/>
      <c r="AS1109" s="54"/>
      <c r="AT1109" s="54"/>
      <c r="AU1109" s="54"/>
      <c r="AV1109" s="54"/>
      <c r="AW1109" s="54"/>
      <c r="AX1109" s="54"/>
      <c r="AY1109" s="54"/>
      <c r="AZ1109" s="54"/>
      <c r="BA1109" s="54"/>
      <c r="BB1109" s="54"/>
      <c r="BC1109" s="56"/>
      <c r="BD1109" s="51"/>
      <c r="BE1109" s="54"/>
      <c r="BF1109" s="54"/>
      <c r="BG1109" s="47"/>
      <c r="BH1109" s="48"/>
      <c r="BI1109" s="48"/>
      <c r="BJ1109" s="48"/>
      <c r="BK1109" s="48"/>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52"/>
      <c r="CG1109" s="52"/>
      <c r="CH1109" s="48"/>
      <c r="CI1109" s="48"/>
      <c r="CJ1109" s="48"/>
      <c r="CK1109" s="48"/>
    </row>
    <row r="1110" spans="1:89" ht="15.75" customHeight="1" x14ac:dyDescent="0.3">
      <c r="A1110" s="47"/>
      <c r="B1110" s="48"/>
      <c r="C1110" s="47"/>
      <c r="D1110" s="48"/>
      <c r="E1110" s="48"/>
      <c r="F1110" s="48"/>
      <c r="G1110" s="48"/>
      <c r="H1110" s="48"/>
      <c r="I1110" s="49"/>
      <c r="J1110" s="47"/>
      <c r="K1110" s="47"/>
      <c r="L1110" s="47"/>
      <c r="M1110" s="47"/>
      <c r="N1110" s="47"/>
      <c r="O1110" s="47"/>
      <c r="P1110" s="47"/>
      <c r="Q1110" s="47"/>
      <c r="R1110" s="47"/>
      <c r="S1110" s="50"/>
      <c r="T1110" s="47"/>
      <c r="U1110" s="47"/>
      <c r="V1110" s="47"/>
      <c r="W1110" s="51"/>
      <c r="X1110" s="51"/>
      <c r="Y1110" s="47"/>
      <c r="Z1110" s="47"/>
      <c r="AA1110" s="47"/>
      <c r="AB1110" s="47"/>
      <c r="AC1110" s="47"/>
      <c r="AD1110" s="47"/>
      <c r="AE1110" s="54"/>
      <c r="AF1110" s="54"/>
      <c r="AG1110" s="55"/>
      <c r="AH1110" s="54"/>
      <c r="AI1110" s="54"/>
      <c r="AJ1110" s="54"/>
      <c r="AK1110" s="54"/>
      <c r="AL1110" s="54"/>
      <c r="AM1110" s="54"/>
      <c r="AN1110" s="54"/>
      <c r="AO1110" s="54"/>
      <c r="AP1110" s="54"/>
      <c r="AQ1110" s="54"/>
      <c r="AR1110" s="54"/>
      <c r="AS1110" s="54"/>
      <c r="AT1110" s="54"/>
      <c r="AU1110" s="54"/>
      <c r="AV1110" s="54"/>
      <c r="AW1110" s="54"/>
      <c r="AX1110" s="54"/>
      <c r="AY1110" s="54"/>
      <c r="AZ1110" s="54"/>
      <c r="BA1110" s="54"/>
      <c r="BB1110" s="54"/>
      <c r="BC1110" s="56"/>
      <c r="BD1110" s="51"/>
      <c r="BE1110" s="54"/>
      <c r="BF1110" s="54"/>
      <c r="BG1110" s="47"/>
      <c r="BH1110" s="48"/>
      <c r="BI1110" s="48"/>
      <c r="BJ1110" s="48"/>
      <c r="BK1110" s="48"/>
      <c r="BL1110" s="48"/>
      <c r="BM1110" s="48"/>
      <c r="BN1110" s="48"/>
      <c r="BO1110" s="48"/>
      <c r="BP1110" s="48"/>
      <c r="BQ1110" s="48"/>
      <c r="BR1110" s="48"/>
      <c r="BS1110" s="48"/>
      <c r="BT1110" s="48"/>
      <c r="BU1110" s="48"/>
      <c r="BV1110" s="48"/>
      <c r="BW1110" s="48"/>
      <c r="BX1110" s="48"/>
      <c r="BY1110" s="48"/>
      <c r="BZ1110" s="48"/>
      <c r="CA1110" s="48"/>
      <c r="CB1110" s="48"/>
      <c r="CC1110" s="48"/>
      <c r="CD1110" s="48"/>
      <c r="CE1110" s="48"/>
      <c r="CF1110" s="52"/>
      <c r="CG1110" s="52"/>
      <c r="CH1110" s="48"/>
      <c r="CI1110" s="48"/>
      <c r="CJ1110" s="48"/>
      <c r="CK1110" s="48"/>
    </row>
    <row r="1111" spans="1:89" ht="15.75" customHeight="1" x14ac:dyDescent="0.3">
      <c r="A1111" s="47"/>
      <c r="B1111" s="48"/>
      <c r="C1111" s="47"/>
      <c r="D1111" s="48"/>
      <c r="E1111" s="48"/>
      <c r="F1111" s="48"/>
      <c r="G1111" s="48"/>
      <c r="H1111" s="48"/>
      <c r="I1111" s="49"/>
      <c r="J1111" s="47"/>
      <c r="K1111" s="47"/>
      <c r="L1111" s="47"/>
      <c r="M1111" s="47"/>
      <c r="N1111" s="47"/>
      <c r="O1111" s="47"/>
      <c r="P1111" s="47"/>
      <c r="Q1111" s="47"/>
      <c r="R1111" s="47"/>
      <c r="S1111" s="50"/>
      <c r="T1111" s="47"/>
      <c r="U1111" s="47"/>
      <c r="V1111" s="47"/>
      <c r="W1111" s="51"/>
      <c r="X1111" s="51"/>
      <c r="Y1111" s="47"/>
      <c r="Z1111" s="47"/>
      <c r="AA1111" s="47"/>
      <c r="AB1111" s="47"/>
      <c r="AC1111" s="47"/>
      <c r="AD1111" s="47"/>
      <c r="AE1111" s="54"/>
      <c r="AF1111" s="54"/>
      <c r="AG1111" s="55"/>
      <c r="AH1111" s="54"/>
      <c r="AI1111" s="54"/>
      <c r="AJ1111" s="54"/>
      <c r="AK1111" s="54"/>
      <c r="AL1111" s="54"/>
      <c r="AM1111" s="54"/>
      <c r="AN1111" s="54"/>
      <c r="AO1111" s="54"/>
      <c r="AP1111" s="54"/>
      <c r="AQ1111" s="54"/>
      <c r="AR1111" s="54"/>
      <c r="AS1111" s="54"/>
      <c r="AT1111" s="54"/>
      <c r="AU1111" s="54"/>
      <c r="AV1111" s="54"/>
      <c r="AW1111" s="54"/>
      <c r="AX1111" s="54"/>
      <c r="AY1111" s="54"/>
      <c r="AZ1111" s="54"/>
      <c r="BA1111" s="54"/>
      <c r="BB1111" s="54"/>
      <c r="BC1111" s="56"/>
      <c r="BD1111" s="51"/>
      <c r="BE1111" s="54"/>
      <c r="BF1111" s="54"/>
      <c r="BG1111" s="47"/>
      <c r="BH1111" s="48"/>
      <c r="BI1111" s="48"/>
      <c r="BJ1111" s="48"/>
      <c r="BK1111" s="48"/>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52"/>
      <c r="CG1111" s="52"/>
      <c r="CH1111" s="48"/>
      <c r="CI1111" s="48"/>
      <c r="CJ1111" s="48"/>
      <c r="CK1111" s="48"/>
    </row>
    <row r="1112" spans="1:89" ht="15.75" customHeight="1" x14ac:dyDescent="0.3">
      <c r="A1112" s="47"/>
      <c r="B1112" s="48"/>
      <c r="C1112" s="47"/>
      <c r="D1112" s="48"/>
      <c r="E1112" s="48"/>
      <c r="F1112" s="48"/>
      <c r="G1112" s="48"/>
      <c r="H1112" s="48"/>
      <c r="I1112" s="49"/>
      <c r="J1112" s="47"/>
      <c r="K1112" s="47"/>
      <c r="L1112" s="47"/>
      <c r="M1112" s="47"/>
      <c r="N1112" s="47"/>
      <c r="O1112" s="47"/>
      <c r="P1112" s="47"/>
      <c r="Q1112" s="47"/>
      <c r="R1112" s="47"/>
      <c r="S1112" s="50"/>
      <c r="T1112" s="47"/>
      <c r="U1112" s="47"/>
      <c r="V1112" s="47"/>
      <c r="W1112" s="51"/>
      <c r="X1112" s="51"/>
      <c r="Y1112" s="47"/>
      <c r="Z1112" s="47"/>
      <c r="AA1112" s="47"/>
      <c r="AB1112" s="47"/>
      <c r="AC1112" s="47"/>
      <c r="AD1112" s="47"/>
      <c r="AE1112" s="54"/>
      <c r="AF1112" s="54"/>
      <c r="AG1112" s="55"/>
      <c r="AH1112" s="54"/>
      <c r="AI1112" s="54"/>
      <c r="AJ1112" s="54"/>
      <c r="AK1112" s="54"/>
      <c r="AL1112" s="54"/>
      <c r="AM1112" s="54"/>
      <c r="AN1112" s="54"/>
      <c r="AO1112" s="54"/>
      <c r="AP1112" s="54"/>
      <c r="AQ1112" s="54"/>
      <c r="AR1112" s="54"/>
      <c r="AS1112" s="54"/>
      <c r="AT1112" s="54"/>
      <c r="AU1112" s="54"/>
      <c r="AV1112" s="54"/>
      <c r="AW1112" s="54"/>
      <c r="AX1112" s="54"/>
      <c r="AY1112" s="54"/>
      <c r="AZ1112" s="54"/>
      <c r="BA1112" s="54"/>
      <c r="BB1112" s="54"/>
      <c r="BC1112" s="56"/>
      <c r="BD1112" s="51"/>
      <c r="BE1112" s="54"/>
      <c r="BF1112" s="54"/>
      <c r="BG1112" s="47"/>
      <c r="BH1112" s="48"/>
      <c r="BI1112" s="48"/>
      <c r="BJ1112" s="48"/>
      <c r="BK1112" s="48"/>
      <c r="BL1112" s="48"/>
      <c r="BM1112" s="48"/>
      <c r="BN1112" s="48"/>
      <c r="BO1112" s="48"/>
      <c r="BP1112" s="48"/>
      <c r="BQ1112" s="48"/>
      <c r="BR1112" s="48"/>
      <c r="BS1112" s="48"/>
      <c r="BT1112" s="48"/>
      <c r="BU1112" s="48"/>
      <c r="BV1112" s="48"/>
      <c r="BW1112" s="48"/>
      <c r="BX1112" s="48"/>
      <c r="BY1112" s="48"/>
      <c r="BZ1112" s="48"/>
      <c r="CA1112" s="48"/>
      <c r="CB1112" s="48"/>
      <c r="CC1112" s="48"/>
      <c r="CD1112" s="48"/>
      <c r="CE1112" s="48"/>
      <c r="CF1112" s="52"/>
      <c r="CG1112" s="52"/>
      <c r="CH1112" s="48"/>
      <c r="CI1112" s="48"/>
      <c r="CJ1112" s="48"/>
      <c r="CK1112" s="48"/>
    </row>
    <row r="1113" spans="1:89" ht="15.75" customHeight="1" x14ac:dyDescent="0.3">
      <c r="A1113" s="47"/>
      <c r="B1113" s="48"/>
      <c r="C1113" s="47"/>
      <c r="D1113" s="48"/>
      <c r="E1113" s="48"/>
      <c r="F1113" s="48"/>
      <c r="G1113" s="48"/>
      <c r="H1113" s="48"/>
      <c r="I1113" s="49"/>
      <c r="J1113" s="47"/>
      <c r="K1113" s="47"/>
      <c r="L1113" s="47"/>
      <c r="M1113" s="47"/>
      <c r="N1113" s="47"/>
      <c r="O1113" s="47"/>
      <c r="P1113" s="47"/>
      <c r="Q1113" s="47"/>
      <c r="R1113" s="47"/>
      <c r="S1113" s="50"/>
      <c r="T1113" s="47"/>
      <c r="U1113" s="47"/>
      <c r="V1113" s="47"/>
      <c r="W1113" s="51"/>
      <c r="X1113" s="51"/>
      <c r="Y1113" s="47"/>
      <c r="Z1113" s="47"/>
      <c r="AA1113" s="47"/>
      <c r="AB1113" s="47"/>
      <c r="AC1113" s="47"/>
      <c r="AD1113" s="47"/>
      <c r="AE1113" s="54"/>
      <c r="AF1113" s="54"/>
      <c r="AG1113" s="55"/>
      <c r="AH1113" s="54"/>
      <c r="AI1113" s="54"/>
      <c r="AJ1113" s="54"/>
      <c r="AK1113" s="54"/>
      <c r="AL1113" s="54"/>
      <c r="AM1113" s="54"/>
      <c r="AN1113" s="54"/>
      <c r="AO1113" s="54"/>
      <c r="AP1113" s="54"/>
      <c r="AQ1113" s="54"/>
      <c r="AR1113" s="54"/>
      <c r="AS1113" s="54"/>
      <c r="AT1113" s="54"/>
      <c r="AU1113" s="54"/>
      <c r="AV1113" s="54"/>
      <c r="AW1113" s="54"/>
      <c r="AX1113" s="54"/>
      <c r="AY1113" s="54"/>
      <c r="AZ1113" s="54"/>
      <c r="BA1113" s="54"/>
      <c r="BB1113" s="54"/>
      <c r="BC1113" s="56"/>
      <c r="BD1113" s="51"/>
      <c r="BE1113" s="54"/>
      <c r="BF1113" s="54"/>
      <c r="BG1113" s="47"/>
      <c r="BH1113" s="48"/>
      <c r="BI1113" s="48"/>
      <c r="BJ1113" s="48"/>
      <c r="BK1113" s="48"/>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52"/>
      <c r="CG1113" s="52"/>
      <c r="CH1113" s="48"/>
      <c r="CI1113" s="48"/>
      <c r="CJ1113" s="48"/>
      <c r="CK1113" s="48"/>
    </row>
    <row r="1114" spans="1:89" ht="15.75" customHeight="1" x14ac:dyDescent="0.3">
      <c r="A1114" s="47"/>
      <c r="B1114" s="48"/>
      <c r="C1114" s="47"/>
      <c r="D1114" s="48"/>
      <c r="E1114" s="48"/>
      <c r="F1114" s="48"/>
      <c r="G1114" s="48"/>
      <c r="H1114" s="48"/>
      <c r="I1114" s="49"/>
      <c r="J1114" s="47"/>
      <c r="K1114" s="47"/>
      <c r="L1114" s="47"/>
      <c r="M1114" s="47"/>
      <c r="N1114" s="47"/>
      <c r="O1114" s="47"/>
      <c r="P1114" s="47"/>
      <c r="Q1114" s="47"/>
      <c r="R1114" s="47"/>
      <c r="S1114" s="50"/>
      <c r="T1114" s="47"/>
      <c r="U1114" s="47"/>
      <c r="V1114" s="47"/>
      <c r="W1114" s="51"/>
      <c r="X1114" s="51"/>
      <c r="Y1114" s="47"/>
      <c r="Z1114" s="47"/>
      <c r="AA1114" s="47"/>
      <c r="AB1114" s="47"/>
      <c r="AC1114" s="47"/>
      <c r="AD1114" s="47"/>
      <c r="AE1114" s="54"/>
      <c r="AF1114" s="54"/>
      <c r="AG1114" s="55"/>
      <c r="AH1114" s="54"/>
      <c r="AI1114" s="54"/>
      <c r="AJ1114" s="54"/>
      <c r="AK1114" s="54"/>
      <c r="AL1114" s="54"/>
      <c r="AM1114" s="54"/>
      <c r="AN1114" s="54"/>
      <c r="AO1114" s="54"/>
      <c r="AP1114" s="54"/>
      <c r="AQ1114" s="54"/>
      <c r="AR1114" s="54"/>
      <c r="AS1114" s="54"/>
      <c r="AT1114" s="54"/>
      <c r="AU1114" s="54"/>
      <c r="AV1114" s="54"/>
      <c r="AW1114" s="54"/>
      <c r="AX1114" s="54"/>
      <c r="AY1114" s="54"/>
      <c r="AZ1114" s="54"/>
      <c r="BA1114" s="54"/>
      <c r="BB1114" s="54"/>
      <c r="BC1114" s="56"/>
      <c r="BD1114" s="51"/>
      <c r="BE1114" s="54"/>
      <c r="BF1114" s="54"/>
      <c r="BG1114" s="47"/>
      <c r="BH1114" s="48"/>
      <c r="BI1114" s="48"/>
      <c r="BJ1114" s="48"/>
      <c r="BK1114" s="48"/>
      <c r="BL1114" s="48"/>
      <c r="BM1114" s="48"/>
      <c r="BN1114" s="48"/>
      <c r="BO1114" s="48"/>
      <c r="BP1114" s="48"/>
      <c r="BQ1114" s="48"/>
      <c r="BR1114" s="48"/>
      <c r="BS1114" s="48"/>
      <c r="BT1114" s="48"/>
      <c r="BU1114" s="48"/>
      <c r="BV1114" s="48"/>
      <c r="BW1114" s="48"/>
      <c r="BX1114" s="48"/>
      <c r="BY1114" s="48"/>
      <c r="BZ1114" s="48"/>
      <c r="CA1114" s="48"/>
      <c r="CB1114" s="48"/>
      <c r="CC1114" s="48"/>
      <c r="CD1114" s="48"/>
      <c r="CE1114" s="48"/>
      <c r="CF1114" s="52"/>
      <c r="CG1114" s="52"/>
      <c r="CH1114" s="48"/>
      <c r="CI1114" s="48"/>
      <c r="CJ1114" s="48"/>
      <c r="CK1114" s="48"/>
    </row>
    <row r="1115" spans="1:89" ht="15.75" customHeight="1" x14ac:dyDescent="0.3">
      <c r="A1115" s="47"/>
      <c r="B1115" s="48"/>
      <c r="C1115" s="47"/>
      <c r="D1115" s="48"/>
      <c r="E1115" s="48"/>
      <c r="F1115" s="48"/>
      <c r="G1115" s="48"/>
      <c r="H1115" s="48"/>
      <c r="I1115" s="49"/>
      <c r="J1115" s="47"/>
      <c r="K1115" s="47"/>
      <c r="L1115" s="47"/>
      <c r="M1115" s="47"/>
      <c r="N1115" s="47"/>
      <c r="O1115" s="47"/>
      <c r="P1115" s="47"/>
      <c r="Q1115" s="47"/>
      <c r="R1115" s="47"/>
      <c r="S1115" s="50"/>
      <c r="T1115" s="47"/>
      <c r="U1115" s="47"/>
      <c r="V1115" s="47"/>
      <c r="W1115" s="51"/>
      <c r="X1115" s="51"/>
      <c r="Y1115" s="47"/>
      <c r="Z1115" s="47"/>
      <c r="AA1115" s="47"/>
      <c r="AB1115" s="47"/>
      <c r="AC1115" s="47"/>
      <c r="AD1115" s="47"/>
      <c r="AE1115" s="54"/>
      <c r="AF1115" s="54"/>
      <c r="AG1115" s="55"/>
      <c r="AH1115" s="54"/>
      <c r="AI1115" s="54"/>
      <c r="AJ1115" s="54"/>
      <c r="AK1115" s="54"/>
      <c r="AL1115" s="54"/>
      <c r="AM1115" s="54"/>
      <c r="AN1115" s="54"/>
      <c r="AO1115" s="54"/>
      <c r="AP1115" s="54"/>
      <c r="AQ1115" s="54"/>
      <c r="AR1115" s="54"/>
      <c r="AS1115" s="54"/>
      <c r="AT1115" s="54"/>
      <c r="AU1115" s="54"/>
      <c r="AV1115" s="54"/>
      <c r="AW1115" s="54"/>
      <c r="AX1115" s="54"/>
      <c r="AY1115" s="54"/>
      <c r="AZ1115" s="54"/>
      <c r="BA1115" s="54"/>
      <c r="BB1115" s="54"/>
      <c r="BC1115" s="56"/>
      <c r="BD1115" s="51"/>
      <c r="BE1115" s="54"/>
      <c r="BF1115" s="54"/>
      <c r="BG1115" s="47"/>
      <c r="BH1115" s="48"/>
      <c r="BI1115" s="48"/>
      <c r="BJ1115" s="48"/>
      <c r="BK1115" s="48"/>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52"/>
      <c r="CG1115" s="52"/>
      <c r="CH1115" s="48"/>
      <c r="CI1115" s="48"/>
      <c r="CJ1115" s="48"/>
      <c r="CK1115" s="48"/>
    </row>
    <row r="1116" spans="1:89" ht="15.75" customHeight="1" x14ac:dyDescent="0.3">
      <c r="A1116" s="47"/>
      <c r="B1116" s="48"/>
      <c r="C1116" s="47"/>
      <c r="D1116" s="48"/>
      <c r="E1116" s="48"/>
      <c r="F1116" s="48"/>
      <c r="G1116" s="48"/>
      <c r="H1116" s="48"/>
      <c r="I1116" s="49"/>
      <c r="J1116" s="47"/>
      <c r="K1116" s="47"/>
      <c r="L1116" s="47"/>
      <c r="M1116" s="47"/>
      <c r="N1116" s="47"/>
      <c r="O1116" s="47"/>
      <c r="P1116" s="47"/>
      <c r="Q1116" s="47"/>
      <c r="R1116" s="47"/>
      <c r="S1116" s="50"/>
      <c r="T1116" s="47"/>
      <c r="U1116" s="47"/>
      <c r="V1116" s="47"/>
      <c r="W1116" s="51"/>
      <c r="X1116" s="51"/>
      <c r="Y1116" s="47"/>
      <c r="Z1116" s="47"/>
      <c r="AA1116" s="47"/>
      <c r="AB1116" s="47"/>
      <c r="AC1116" s="47"/>
      <c r="AD1116" s="47"/>
      <c r="AE1116" s="54"/>
      <c r="AF1116" s="54"/>
      <c r="AG1116" s="55"/>
      <c r="AH1116" s="54"/>
      <c r="AI1116" s="54"/>
      <c r="AJ1116" s="54"/>
      <c r="AK1116" s="54"/>
      <c r="AL1116" s="54"/>
      <c r="AM1116" s="54"/>
      <c r="AN1116" s="54"/>
      <c r="AO1116" s="54"/>
      <c r="AP1116" s="54"/>
      <c r="AQ1116" s="54"/>
      <c r="AR1116" s="54"/>
      <c r="AS1116" s="54"/>
      <c r="AT1116" s="54"/>
      <c r="AU1116" s="54"/>
      <c r="AV1116" s="54"/>
      <c r="AW1116" s="54"/>
      <c r="AX1116" s="54"/>
      <c r="AY1116" s="54"/>
      <c r="AZ1116" s="54"/>
      <c r="BA1116" s="54"/>
      <c r="BB1116" s="54"/>
      <c r="BC1116" s="56"/>
      <c r="BD1116" s="51"/>
      <c r="BE1116" s="54"/>
      <c r="BF1116" s="54"/>
      <c r="BG1116" s="47"/>
      <c r="BH1116" s="48"/>
      <c r="BI1116" s="48"/>
      <c r="BJ1116" s="48"/>
      <c r="BK1116" s="48"/>
      <c r="BL1116" s="48"/>
      <c r="BM1116" s="48"/>
      <c r="BN1116" s="48"/>
      <c r="BO1116" s="48"/>
      <c r="BP1116" s="48"/>
      <c r="BQ1116" s="48"/>
      <c r="BR1116" s="48"/>
      <c r="BS1116" s="48"/>
      <c r="BT1116" s="48"/>
      <c r="BU1116" s="48"/>
      <c r="BV1116" s="48"/>
      <c r="BW1116" s="48"/>
      <c r="BX1116" s="48"/>
      <c r="BY1116" s="48"/>
      <c r="BZ1116" s="48"/>
      <c r="CA1116" s="48"/>
      <c r="CB1116" s="48"/>
      <c r="CC1116" s="48"/>
      <c r="CD1116" s="48"/>
      <c r="CE1116" s="48"/>
      <c r="CF1116" s="52"/>
      <c r="CG1116" s="52"/>
      <c r="CH1116" s="48"/>
      <c r="CI1116" s="48"/>
      <c r="CJ1116" s="48"/>
      <c r="CK1116" s="48"/>
    </row>
    <row r="1117" spans="1:89" ht="15.75" customHeight="1" x14ac:dyDescent="0.3">
      <c r="A1117" s="47"/>
      <c r="B1117" s="48"/>
      <c r="C1117" s="47"/>
      <c r="D1117" s="48"/>
      <c r="E1117" s="48"/>
      <c r="F1117" s="48"/>
      <c r="G1117" s="48"/>
      <c r="H1117" s="48"/>
      <c r="I1117" s="49"/>
      <c r="J1117" s="47"/>
      <c r="K1117" s="47"/>
      <c r="L1117" s="47"/>
      <c r="M1117" s="47"/>
      <c r="N1117" s="47"/>
      <c r="O1117" s="47"/>
      <c r="P1117" s="47"/>
      <c r="Q1117" s="47"/>
      <c r="R1117" s="47"/>
      <c r="S1117" s="50"/>
      <c r="T1117" s="47"/>
      <c r="U1117" s="47"/>
      <c r="V1117" s="47"/>
      <c r="W1117" s="51"/>
      <c r="X1117" s="51"/>
      <c r="Y1117" s="47"/>
      <c r="Z1117" s="47"/>
      <c r="AA1117" s="47"/>
      <c r="AB1117" s="47"/>
      <c r="AC1117" s="47"/>
      <c r="AD1117" s="47"/>
      <c r="AE1117" s="54"/>
      <c r="AF1117" s="54"/>
      <c r="AG1117" s="55"/>
      <c r="AH1117" s="54"/>
      <c r="AI1117" s="54"/>
      <c r="AJ1117" s="54"/>
      <c r="AK1117" s="54"/>
      <c r="AL1117" s="54"/>
      <c r="AM1117" s="54"/>
      <c r="AN1117" s="54"/>
      <c r="AO1117" s="54"/>
      <c r="AP1117" s="54"/>
      <c r="AQ1117" s="54"/>
      <c r="AR1117" s="54"/>
      <c r="AS1117" s="54"/>
      <c r="AT1117" s="54"/>
      <c r="AU1117" s="54"/>
      <c r="AV1117" s="54"/>
      <c r="AW1117" s="54"/>
      <c r="AX1117" s="54"/>
      <c r="AY1117" s="54"/>
      <c r="AZ1117" s="54"/>
      <c r="BA1117" s="54"/>
      <c r="BB1117" s="54"/>
      <c r="BC1117" s="56"/>
      <c r="BD1117" s="51"/>
      <c r="BE1117" s="54"/>
      <c r="BF1117" s="54"/>
      <c r="BG1117" s="47"/>
      <c r="BH1117" s="48"/>
      <c r="BI1117" s="48"/>
      <c r="BJ1117" s="48"/>
      <c r="BK1117" s="48"/>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52"/>
      <c r="CG1117" s="52"/>
      <c r="CH1117" s="48"/>
      <c r="CI1117" s="48"/>
      <c r="CJ1117" s="48"/>
      <c r="CK1117" s="48"/>
    </row>
    <row r="1118" spans="1:89" ht="15.75" customHeight="1" x14ac:dyDescent="0.3">
      <c r="A1118" s="47"/>
      <c r="B1118" s="48"/>
      <c r="C1118" s="47"/>
      <c r="D1118" s="48"/>
      <c r="E1118" s="48"/>
      <c r="F1118" s="48"/>
      <c r="G1118" s="48"/>
      <c r="H1118" s="48"/>
      <c r="I1118" s="49"/>
      <c r="J1118" s="47"/>
      <c r="K1118" s="47"/>
      <c r="L1118" s="47"/>
      <c r="M1118" s="47"/>
      <c r="N1118" s="47"/>
      <c r="O1118" s="47"/>
      <c r="P1118" s="47"/>
      <c r="Q1118" s="47"/>
      <c r="R1118" s="47"/>
      <c r="S1118" s="50"/>
      <c r="T1118" s="47"/>
      <c r="U1118" s="47"/>
      <c r="V1118" s="47"/>
      <c r="W1118" s="51"/>
      <c r="X1118" s="51"/>
      <c r="Y1118" s="47"/>
      <c r="Z1118" s="47"/>
      <c r="AA1118" s="47"/>
      <c r="AB1118" s="47"/>
      <c r="AC1118" s="47"/>
      <c r="AD1118" s="47"/>
      <c r="AE1118" s="54"/>
      <c r="AF1118" s="54"/>
      <c r="AG1118" s="55"/>
      <c r="AH1118" s="54"/>
      <c r="AI1118" s="54"/>
      <c r="AJ1118" s="54"/>
      <c r="AK1118" s="54"/>
      <c r="AL1118" s="54"/>
      <c r="AM1118" s="54"/>
      <c r="AN1118" s="54"/>
      <c r="AO1118" s="54"/>
      <c r="AP1118" s="54"/>
      <c r="AQ1118" s="54"/>
      <c r="AR1118" s="54"/>
      <c r="AS1118" s="54"/>
      <c r="AT1118" s="54"/>
      <c r="AU1118" s="54"/>
      <c r="AV1118" s="54"/>
      <c r="AW1118" s="54"/>
      <c r="AX1118" s="54"/>
      <c r="AY1118" s="54"/>
      <c r="AZ1118" s="54"/>
      <c r="BA1118" s="54"/>
      <c r="BB1118" s="54"/>
      <c r="BC1118" s="56"/>
      <c r="BD1118" s="51"/>
      <c r="BE1118" s="54"/>
      <c r="BF1118" s="54"/>
      <c r="BG1118" s="47"/>
      <c r="BH1118" s="48"/>
      <c r="BI1118" s="48"/>
      <c r="BJ1118" s="48"/>
      <c r="BK1118" s="48"/>
      <c r="BL1118" s="48"/>
      <c r="BM1118" s="48"/>
      <c r="BN1118" s="48"/>
      <c r="BO1118" s="48"/>
      <c r="BP1118" s="48"/>
      <c r="BQ1118" s="48"/>
      <c r="BR1118" s="48"/>
      <c r="BS1118" s="48"/>
      <c r="BT1118" s="48"/>
      <c r="BU1118" s="48"/>
      <c r="BV1118" s="48"/>
      <c r="BW1118" s="48"/>
      <c r="BX1118" s="48"/>
      <c r="BY1118" s="48"/>
      <c r="BZ1118" s="48"/>
      <c r="CA1118" s="48"/>
      <c r="CB1118" s="48"/>
      <c r="CC1118" s="48"/>
      <c r="CD1118" s="48"/>
      <c r="CE1118" s="48"/>
      <c r="CF1118" s="52"/>
      <c r="CG1118" s="52"/>
      <c r="CH1118" s="48"/>
      <c r="CI1118" s="48"/>
      <c r="CJ1118" s="48"/>
      <c r="CK1118" s="48"/>
    </row>
    <row r="1119" spans="1:89" ht="15.75" customHeight="1" x14ac:dyDescent="0.3">
      <c r="A1119" s="47"/>
      <c r="B1119" s="48"/>
      <c r="C1119" s="47"/>
      <c r="D1119" s="48"/>
      <c r="E1119" s="48"/>
      <c r="F1119" s="48"/>
      <c r="G1119" s="48"/>
      <c r="H1119" s="48"/>
      <c r="I1119" s="49"/>
      <c r="J1119" s="47"/>
      <c r="K1119" s="47"/>
      <c r="L1119" s="47"/>
      <c r="M1119" s="47"/>
      <c r="N1119" s="47"/>
      <c r="O1119" s="47"/>
      <c r="P1119" s="47"/>
      <c r="Q1119" s="47"/>
      <c r="R1119" s="47"/>
      <c r="S1119" s="50"/>
      <c r="T1119" s="47"/>
      <c r="U1119" s="47"/>
      <c r="V1119" s="47"/>
      <c r="W1119" s="51"/>
      <c r="X1119" s="51"/>
      <c r="Y1119" s="47"/>
      <c r="Z1119" s="47"/>
      <c r="AA1119" s="47"/>
      <c r="AB1119" s="47"/>
      <c r="AC1119" s="47"/>
      <c r="AD1119" s="47"/>
      <c r="AE1119" s="54"/>
      <c r="AF1119" s="54"/>
      <c r="AG1119" s="55"/>
      <c r="AH1119" s="54"/>
      <c r="AI1119" s="54"/>
      <c r="AJ1119" s="54"/>
      <c r="AK1119" s="54"/>
      <c r="AL1119" s="54"/>
      <c r="AM1119" s="54"/>
      <c r="AN1119" s="54"/>
      <c r="AO1119" s="54"/>
      <c r="AP1119" s="54"/>
      <c r="AQ1119" s="54"/>
      <c r="AR1119" s="54"/>
      <c r="AS1119" s="54"/>
      <c r="AT1119" s="54"/>
      <c r="AU1119" s="54"/>
      <c r="AV1119" s="54"/>
      <c r="AW1119" s="54"/>
      <c r="AX1119" s="54"/>
      <c r="AY1119" s="54"/>
      <c r="AZ1119" s="54"/>
      <c r="BA1119" s="54"/>
      <c r="BB1119" s="54"/>
      <c r="BC1119" s="56"/>
      <c r="BD1119" s="51"/>
      <c r="BE1119" s="54"/>
      <c r="BF1119" s="54"/>
      <c r="BG1119" s="47"/>
      <c r="BH1119" s="48"/>
      <c r="BI1119" s="48"/>
      <c r="BJ1119" s="48"/>
      <c r="BK1119" s="48"/>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52"/>
      <c r="CG1119" s="52"/>
      <c r="CH1119" s="48"/>
      <c r="CI1119" s="48"/>
      <c r="CJ1119" s="48"/>
      <c r="CK1119" s="48"/>
    </row>
    <row r="1120" spans="1:89" ht="15.75" customHeight="1" x14ac:dyDescent="0.3">
      <c r="A1120" s="47"/>
      <c r="B1120" s="48"/>
      <c r="C1120" s="47"/>
      <c r="D1120" s="48"/>
      <c r="E1120" s="48"/>
      <c r="F1120" s="48"/>
      <c r="G1120" s="48"/>
      <c r="H1120" s="48"/>
      <c r="I1120" s="49"/>
      <c r="J1120" s="47"/>
      <c r="K1120" s="47"/>
      <c r="L1120" s="47"/>
      <c r="M1120" s="47"/>
      <c r="N1120" s="47"/>
      <c r="O1120" s="47"/>
      <c r="P1120" s="47"/>
      <c r="Q1120" s="47"/>
      <c r="R1120" s="47"/>
      <c r="S1120" s="50"/>
      <c r="T1120" s="47"/>
      <c r="U1120" s="47"/>
      <c r="V1120" s="47"/>
      <c r="W1120" s="51"/>
      <c r="X1120" s="51"/>
      <c r="Y1120" s="47"/>
      <c r="Z1120" s="47"/>
      <c r="AA1120" s="47"/>
      <c r="AB1120" s="47"/>
      <c r="AC1120" s="47"/>
      <c r="AD1120" s="47"/>
      <c r="AE1120" s="54"/>
      <c r="AF1120" s="54"/>
      <c r="AG1120" s="55"/>
      <c r="AH1120" s="54"/>
      <c r="AI1120" s="54"/>
      <c r="AJ1120" s="54"/>
      <c r="AK1120" s="54"/>
      <c r="AL1120" s="54"/>
      <c r="AM1120" s="54"/>
      <c r="AN1120" s="54"/>
      <c r="AO1120" s="54"/>
      <c r="AP1120" s="54"/>
      <c r="AQ1120" s="54"/>
      <c r="AR1120" s="54"/>
      <c r="AS1120" s="54"/>
      <c r="AT1120" s="54"/>
      <c r="AU1120" s="54"/>
      <c r="AV1120" s="54"/>
      <c r="AW1120" s="54"/>
      <c r="AX1120" s="54"/>
      <c r="AY1120" s="54"/>
      <c r="AZ1120" s="54"/>
      <c r="BA1120" s="54"/>
      <c r="BB1120" s="54"/>
      <c r="BC1120" s="56"/>
      <c r="BD1120" s="51"/>
      <c r="BE1120" s="54"/>
      <c r="BF1120" s="54"/>
      <c r="BG1120" s="47"/>
      <c r="BH1120" s="48"/>
      <c r="BI1120" s="48"/>
      <c r="BJ1120" s="48"/>
      <c r="BK1120" s="48"/>
      <c r="BL1120" s="48"/>
      <c r="BM1120" s="48"/>
      <c r="BN1120" s="48"/>
      <c r="BO1120" s="48"/>
      <c r="BP1120" s="48"/>
      <c r="BQ1120" s="48"/>
      <c r="BR1120" s="48"/>
      <c r="BS1120" s="48"/>
      <c r="BT1120" s="48"/>
      <c r="BU1120" s="48"/>
      <c r="BV1120" s="48"/>
      <c r="BW1120" s="48"/>
      <c r="BX1120" s="48"/>
      <c r="BY1120" s="48"/>
      <c r="BZ1120" s="48"/>
      <c r="CA1120" s="48"/>
      <c r="CB1120" s="48"/>
      <c r="CC1120" s="48"/>
      <c r="CD1120" s="48"/>
      <c r="CE1120" s="48"/>
      <c r="CF1120" s="52"/>
      <c r="CG1120" s="52"/>
      <c r="CH1120" s="48"/>
      <c r="CI1120" s="48"/>
      <c r="CJ1120" s="48"/>
      <c r="CK1120" s="48"/>
    </row>
    <row r="1121" spans="1:89" ht="15.75" customHeight="1" x14ac:dyDescent="0.3">
      <c r="A1121" s="47"/>
      <c r="B1121" s="48"/>
      <c r="C1121" s="47"/>
      <c r="D1121" s="48"/>
      <c r="E1121" s="48"/>
      <c r="F1121" s="48"/>
      <c r="G1121" s="48"/>
      <c r="H1121" s="48"/>
      <c r="I1121" s="49"/>
      <c r="J1121" s="47"/>
      <c r="K1121" s="47"/>
      <c r="L1121" s="47"/>
      <c r="M1121" s="47"/>
      <c r="N1121" s="47"/>
      <c r="O1121" s="47"/>
      <c r="P1121" s="47"/>
      <c r="Q1121" s="47"/>
      <c r="R1121" s="47"/>
      <c r="S1121" s="50"/>
      <c r="T1121" s="47"/>
      <c r="U1121" s="47"/>
      <c r="V1121" s="47"/>
      <c r="W1121" s="51"/>
      <c r="X1121" s="51"/>
      <c r="Y1121" s="47"/>
      <c r="Z1121" s="47"/>
      <c r="AA1121" s="47"/>
      <c r="AB1121" s="47"/>
      <c r="AC1121" s="47"/>
      <c r="AD1121" s="47"/>
      <c r="AE1121" s="54"/>
      <c r="AF1121" s="54"/>
      <c r="AG1121" s="55"/>
      <c r="AH1121" s="54"/>
      <c r="AI1121" s="54"/>
      <c r="AJ1121" s="54"/>
      <c r="AK1121" s="54"/>
      <c r="AL1121" s="54"/>
      <c r="AM1121" s="54"/>
      <c r="AN1121" s="54"/>
      <c r="AO1121" s="54"/>
      <c r="AP1121" s="54"/>
      <c r="AQ1121" s="54"/>
      <c r="AR1121" s="54"/>
      <c r="AS1121" s="54"/>
      <c r="AT1121" s="54"/>
      <c r="AU1121" s="54"/>
      <c r="AV1121" s="54"/>
      <c r="AW1121" s="54"/>
      <c r="AX1121" s="54"/>
      <c r="AY1121" s="54"/>
      <c r="AZ1121" s="54"/>
      <c r="BA1121" s="54"/>
      <c r="BB1121" s="54"/>
      <c r="BC1121" s="56"/>
      <c r="BD1121" s="51"/>
      <c r="BE1121" s="54"/>
      <c r="BF1121" s="54"/>
      <c r="BG1121" s="47"/>
      <c r="BH1121" s="48"/>
      <c r="BI1121" s="48"/>
      <c r="BJ1121" s="48"/>
      <c r="BK1121" s="48"/>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52"/>
      <c r="CG1121" s="52"/>
      <c r="CH1121" s="48"/>
      <c r="CI1121" s="48"/>
      <c r="CJ1121" s="48"/>
      <c r="CK1121" s="48"/>
    </row>
    <row r="1122" spans="1:89" ht="15.75" customHeight="1" x14ac:dyDescent="0.3">
      <c r="A1122" s="47"/>
      <c r="B1122" s="48"/>
      <c r="C1122" s="47"/>
      <c r="D1122" s="48"/>
      <c r="E1122" s="48"/>
      <c r="F1122" s="48"/>
      <c r="G1122" s="48"/>
      <c r="H1122" s="48"/>
      <c r="I1122" s="49"/>
      <c r="J1122" s="47"/>
      <c r="K1122" s="47"/>
      <c r="L1122" s="47"/>
      <c r="M1122" s="47"/>
      <c r="N1122" s="47"/>
      <c r="O1122" s="47"/>
      <c r="P1122" s="47"/>
      <c r="Q1122" s="47"/>
      <c r="R1122" s="47"/>
      <c r="S1122" s="50"/>
      <c r="T1122" s="47"/>
      <c r="U1122" s="47"/>
      <c r="V1122" s="47"/>
      <c r="W1122" s="51"/>
      <c r="X1122" s="51"/>
      <c r="Y1122" s="47"/>
      <c r="Z1122" s="47"/>
      <c r="AA1122" s="47"/>
      <c r="AB1122" s="47"/>
      <c r="AC1122" s="47"/>
      <c r="AD1122" s="47"/>
      <c r="AE1122" s="54"/>
      <c r="AF1122" s="54"/>
      <c r="AG1122" s="55"/>
      <c r="AH1122" s="54"/>
      <c r="AI1122" s="54"/>
      <c r="AJ1122" s="54"/>
      <c r="AK1122" s="54"/>
      <c r="AL1122" s="54"/>
      <c r="AM1122" s="54"/>
      <c r="AN1122" s="54"/>
      <c r="AO1122" s="54"/>
      <c r="AP1122" s="54"/>
      <c r="AQ1122" s="54"/>
      <c r="AR1122" s="54"/>
      <c r="AS1122" s="54"/>
      <c r="AT1122" s="54"/>
      <c r="AU1122" s="54"/>
      <c r="AV1122" s="54"/>
      <c r="AW1122" s="54"/>
      <c r="AX1122" s="54"/>
      <c r="AY1122" s="54"/>
      <c r="AZ1122" s="54"/>
      <c r="BA1122" s="54"/>
      <c r="BB1122" s="54"/>
      <c r="BC1122" s="56"/>
      <c r="BD1122" s="51"/>
      <c r="BE1122" s="54"/>
      <c r="BF1122" s="54"/>
      <c r="BG1122" s="47"/>
      <c r="BH1122" s="48"/>
      <c r="BI1122" s="48"/>
      <c r="BJ1122" s="48"/>
      <c r="BK1122" s="48"/>
      <c r="BL1122" s="48"/>
      <c r="BM1122" s="48"/>
      <c r="BN1122" s="48"/>
      <c r="BO1122" s="48"/>
      <c r="BP1122" s="48"/>
      <c r="BQ1122" s="48"/>
      <c r="BR1122" s="48"/>
      <c r="BS1122" s="48"/>
      <c r="BT1122" s="48"/>
      <c r="BU1122" s="48"/>
      <c r="BV1122" s="48"/>
      <c r="BW1122" s="48"/>
      <c r="BX1122" s="48"/>
      <c r="BY1122" s="48"/>
      <c r="BZ1122" s="48"/>
      <c r="CA1122" s="48"/>
      <c r="CB1122" s="48"/>
      <c r="CC1122" s="48"/>
      <c r="CD1122" s="48"/>
      <c r="CE1122" s="48"/>
      <c r="CF1122" s="52"/>
      <c r="CG1122" s="52"/>
      <c r="CH1122" s="48"/>
      <c r="CI1122" s="48"/>
      <c r="CJ1122" s="48"/>
      <c r="CK1122" s="48"/>
    </row>
    <row r="1123" spans="1:89" ht="15.75" customHeight="1" x14ac:dyDescent="0.3">
      <c r="A1123" s="47"/>
      <c r="B1123" s="48"/>
      <c r="C1123" s="47"/>
      <c r="D1123" s="48"/>
      <c r="E1123" s="48"/>
      <c r="F1123" s="48"/>
      <c r="G1123" s="48"/>
      <c r="H1123" s="48"/>
      <c r="I1123" s="49"/>
      <c r="J1123" s="47"/>
      <c r="K1123" s="47"/>
      <c r="L1123" s="47"/>
      <c r="M1123" s="47"/>
      <c r="N1123" s="47"/>
      <c r="O1123" s="47"/>
      <c r="P1123" s="47"/>
      <c r="Q1123" s="47"/>
      <c r="R1123" s="47"/>
      <c r="S1123" s="50"/>
      <c r="T1123" s="47"/>
      <c r="U1123" s="47"/>
      <c r="V1123" s="47"/>
      <c r="W1123" s="51"/>
      <c r="X1123" s="51"/>
      <c r="Y1123" s="47"/>
      <c r="Z1123" s="47"/>
      <c r="AA1123" s="47"/>
      <c r="AB1123" s="47"/>
      <c r="AC1123" s="47"/>
      <c r="AD1123" s="47"/>
      <c r="AE1123" s="54"/>
      <c r="AF1123" s="54"/>
      <c r="AG1123" s="55"/>
      <c r="AH1123" s="54"/>
      <c r="AI1123" s="54"/>
      <c r="AJ1123" s="54"/>
      <c r="AK1123" s="54"/>
      <c r="AL1123" s="54"/>
      <c r="AM1123" s="54"/>
      <c r="AN1123" s="54"/>
      <c r="AO1123" s="54"/>
      <c r="AP1123" s="54"/>
      <c r="AQ1123" s="54"/>
      <c r="AR1123" s="54"/>
      <c r="AS1123" s="54"/>
      <c r="AT1123" s="54"/>
      <c r="AU1123" s="54"/>
      <c r="AV1123" s="54"/>
      <c r="AW1123" s="54"/>
      <c r="AX1123" s="54"/>
      <c r="AY1123" s="54"/>
      <c r="AZ1123" s="54"/>
      <c r="BA1123" s="54"/>
      <c r="BB1123" s="54"/>
      <c r="BC1123" s="56"/>
      <c r="BD1123" s="51"/>
      <c r="BE1123" s="54"/>
      <c r="BF1123" s="54"/>
      <c r="BG1123" s="47"/>
      <c r="BH1123" s="48"/>
      <c r="BI1123" s="48"/>
      <c r="BJ1123" s="48"/>
      <c r="BK1123" s="48"/>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52"/>
      <c r="CG1123" s="52"/>
      <c r="CH1123" s="48"/>
      <c r="CI1123" s="48"/>
      <c r="CJ1123" s="48"/>
      <c r="CK1123" s="48"/>
    </row>
    <row r="1124" spans="1:89" ht="15.75" customHeight="1" x14ac:dyDescent="0.3">
      <c r="A1124" s="47"/>
      <c r="B1124" s="48"/>
      <c r="C1124" s="47"/>
      <c r="D1124" s="48"/>
      <c r="E1124" s="48"/>
      <c r="F1124" s="48"/>
      <c r="G1124" s="48"/>
      <c r="H1124" s="48"/>
      <c r="I1124" s="49"/>
      <c r="J1124" s="47"/>
      <c r="K1124" s="47"/>
      <c r="L1124" s="47"/>
      <c r="M1124" s="47"/>
      <c r="N1124" s="47"/>
      <c r="O1124" s="47"/>
      <c r="P1124" s="47"/>
      <c r="Q1124" s="47"/>
      <c r="R1124" s="47"/>
      <c r="S1124" s="50"/>
      <c r="T1124" s="47"/>
      <c r="U1124" s="47"/>
      <c r="V1124" s="47"/>
      <c r="W1124" s="51"/>
      <c r="X1124" s="51"/>
      <c r="Y1124" s="47"/>
      <c r="Z1124" s="47"/>
      <c r="AA1124" s="47"/>
      <c r="AB1124" s="47"/>
      <c r="AC1124" s="47"/>
      <c r="AD1124" s="47"/>
      <c r="AE1124" s="54"/>
      <c r="AF1124" s="54"/>
      <c r="AG1124" s="55"/>
      <c r="AH1124" s="54"/>
      <c r="AI1124" s="54"/>
      <c r="AJ1124" s="54"/>
      <c r="AK1124" s="54"/>
      <c r="AL1124" s="54"/>
      <c r="AM1124" s="54"/>
      <c r="AN1124" s="54"/>
      <c r="AO1124" s="54"/>
      <c r="AP1124" s="54"/>
      <c r="AQ1124" s="54"/>
      <c r="AR1124" s="54"/>
      <c r="AS1124" s="54"/>
      <c r="AT1124" s="54"/>
      <c r="AU1124" s="54"/>
      <c r="AV1124" s="54"/>
      <c r="AW1124" s="54"/>
      <c r="AX1124" s="54"/>
      <c r="AY1124" s="54"/>
      <c r="AZ1124" s="54"/>
      <c r="BA1124" s="54"/>
      <c r="BB1124" s="54"/>
      <c r="BC1124" s="56"/>
      <c r="BD1124" s="51"/>
      <c r="BE1124" s="54"/>
      <c r="BF1124" s="54"/>
      <c r="BG1124" s="47"/>
      <c r="BH1124" s="48"/>
      <c r="BI1124" s="48"/>
      <c r="BJ1124" s="48"/>
      <c r="BK1124" s="48"/>
      <c r="BL1124" s="48"/>
      <c r="BM1124" s="48"/>
      <c r="BN1124" s="48"/>
      <c r="BO1124" s="48"/>
      <c r="BP1124" s="48"/>
      <c r="BQ1124" s="48"/>
      <c r="BR1124" s="48"/>
      <c r="BS1124" s="48"/>
      <c r="BT1124" s="48"/>
      <c r="BU1124" s="48"/>
      <c r="BV1124" s="48"/>
      <c r="BW1124" s="48"/>
      <c r="BX1124" s="48"/>
      <c r="BY1124" s="48"/>
      <c r="BZ1124" s="48"/>
      <c r="CA1124" s="48"/>
      <c r="CB1124" s="48"/>
      <c r="CC1124" s="48"/>
      <c r="CD1124" s="48"/>
      <c r="CE1124" s="48"/>
      <c r="CF1124" s="52"/>
      <c r="CG1124" s="52"/>
      <c r="CH1124" s="48"/>
      <c r="CI1124" s="48"/>
      <c r="CJ1124" s="48"/>
      <c r="CK1124" s="48"/>
    </row>
    <row r="1125" spans="1:89" ht="15.75" customHeight="1" x14ac:dyDescent="0.3">
      <c r="A1125" s="47"/>
      <c r="B1125" s="48"/>
      <c r="C1125" s="47"/>
      <c r="D1125" s="48"/>
      <c r="E1125" s="48"/>
      <c r="F1125" s="48"/>
      <c r="G1125" s="48"/>
      <c r="H1125" s="48"/>
      <c r="I1125" s="49"/>
      <c r="J1125" s="47"/>
      <c r="K1125" s="47"/>
      <c r="L1125" s="47"/>
      <c r="M1125" s="47"/>
      <c r="N1125" s="47"/>
      <c r="O1125" s="47"/>
      <c r="P1125" s="47"/>
      <c r="Q1125" s="47"/>
      <c r="R1125" s="47"/>
      <c r="S1125" s="50"/>
      <c r="T1125" s="47"/>
      <c r="U1125" s="47"/>
      <c r="V1125" s="47"/>
      <c r="W1125" s="51"/>
      <c r="X1125" s="51"/>
      <c r="Y1125" s="47"/>
      <c r="Z1125" s="47"/>
      <c r="AA1125" s="47"/>
      <c r="AB1125" s="47"/>
      <c r="AC1125" s="47"/>
      <c r="AD1125" s="47"/>
      <c r="AE1125" s="54"/>
      <c r="AF1125" s="54"/>
      <c r="AG1125" s="55"/>
      <c r="AH1125" s="54"/>
      <c r="AI1125" s="54"/>
      <c r="AJ1125" s="54"/>
      <c r="AK1125" s="54"/>
      <c r="AL1125" s="54"/>
      <c r="AM1125" s="54"/>
      <c r="AN1125" s="54"/>
      <c r="AO1125" s="54"/>
      <c r="AP1125" s="54"/>
      <c r="AQ1125" s="54"/>
      <c r="AR1125" s="54"/>
      <c r="AS1125" s="54"/>
      <c r="AT1125" s="54"/>
      <c r="AU1125" s="54"/>
      <c r="AV1125" s="54"/>
      <c r="AW1125" s="54"/>
      <c r="AX1125" s="54"/>
      <c r="AY1125" s="54"/>
      <c r="AZ1125" s="54"/>
      <c r="BA1125" s="54"/>
      <c r="BB1125" s="54"/>
      <c r="BC1125" s="56"/>
      <c r="BD1125" s="51"/>
      <c r="BE1125" s="54"/>
      <c r="BF1125" s="54"/>
      <c r="BG1125" s="47"/>
      <c r="BH1125" s="48"/>
      <c r="BI1125" s="48"/>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52"/>
      <c r="CG1125" s="52"/>
      <c r="CH1125" s="48"/>
      <c r="CI1125" s="48"/>
      <c r="CJ1125" s="48"/>
      <c r="CK1125" s="48"/>
    </row>
    <row r="1126" spans="1:89" ht="15.75" customHeight="1" x14ac:dyDescent="0.3">
      <c r="A1126" s="47"/>
      <c r="B1126" s="48"/>
      <c r="C1126" s="47"/>
      <c r="D1126" s="48"/>
      <c r="E1126" s="48"/>
      <c r="F1126" s="48"/>
      <c r="G1126" s="48"/>
      <c r="H1126" s="48"/>
      <c r="I1126" s="49"/>
      <c r="J1126" s="47"/>
      <c r="K1126" s="47"/>
      <c r="L1126" s="47"/>
      <c r="M1126" s="47"/>
      <c r="N1126" s="47"/>
      <c r="O1126" s="47"/>
      <c r="P1126" s="47"/>
      <c r="Q1126" s="47"/>
      <c r="R1126" s="47"/>
      <c r="S1126" s="50"/>
      <c r="T1126" s="47"/>
      <c r="U1126" s="47"/>
      <c r="V1126" s="47"/>
      <c r="W1126" s="51"/>
      <c r="X1126" s="51"/>
      <c r="Y1126" s="47"/>
      <c r="Z1126" s="47"/>
      <c r="AA1126" s="47"/>
      <c r="AB1126" s="47"/>
      <c r="AC1126" s="47"/>
      <c r="AD1126" s="47"/>
      <c r="AE1126" s="54"/>
      <c r="AF1126" s="54"/>
      <c r="AG1126" s="55"/>
      <c r="AH1126" s="54"/>
      <c r="AI1126" s="54"/>
      <c r="AJ1126" s="54"/>
      <c r="AK1126" s="54"/>
      <c r="AL1126" s="54"/>
      <c r="AM1126" s="54"/>
      <c r="AN1126" s="54"/>
      <c r="AO1126" s="54"/>
      <c r="AP1126" s="54"/>
      <c r="AQ1126" s="54"/>
      <c r="AR1126" s="54"/>
      <c r="AS1126" s="54"/>
      <c r="AT1126" s="54"/>
      <c r="AU1126" s="54"/>
      <c r="AV1126" s="54"/>
      <c r="AW1126" s="54"/>
      <c r="AX1126" s="54"/>
      <c r="AY1126" s="54"/>
      <c r="AZ1126" s="54"/>
      <c r="BA1126" s="54"/>
      <c r="BB1126" s="54"/>
      <c r="BC1126" s="56"/>
      <c r="BD1126" s="51"/>
      <c r="BE1126" s="54"/>
      <c r="BF1126" s="54"/>
      <c r="BG1126" s="47"/>
      <c r="BH1126" s="48"/>
      <c r="BI1126" s="48"/>
      <c r="BJ1126" s="48"/>
      <c r="BK1126" s="48"/>
      <c r="BL1126" s="48"/>
      <c r="BM1126" s="48"/>
      <c r="BN1126" s="48"/>
      <c r="BO1126" s="48"/>
      <c r="BP1126" s="48"/>
      <c r="BQ1126" s="48"/>
      <c r="BR1126" s="48"/>
      <c r="BS1126" s="48"/>
      <c r="BT1126" s="48"/>
      <c r="BU1126" s="48"/>
      <c r="BV1126" s="48"/>
      <c r="BW1126" s="48"/>
      <c r="BX1126" s="48"/>
      <c r="BY1126" s="48"/>
      <c r="BZ1126" s="48"/>
      <c r="CA1126" s="48"/>
      <c r="CB1126" s="48"/>
      <c r="CC1126" s="48"/>
      <c r="CD1126" s="48"/>
      <c r="CE1126" s="48"/>
      <c r="CF1126" s="52"/>
      <c r="CG1126" s="52"/>
      <c r="CH1126" s="48"/>
      <c r="CI1126" s="48"/>
      <c r="CJ1126" s="48"/>
      <c r="CK1126" s="48"/>
    </row>
    <row r="1127" spans="1:89" ht="15.75" customHeight="1" x14ac:dyDescent="0.3">
      <c r="A1127" s="47"/>
      <c r="B1127" s="48"/>
      <c r="C1127" s="47"/>
      <c r="D1127" s="48"/>
      <c r="E1127" s="48"/>
      <c r="F1127" s="48"/>
      <c r="G1127" s="48"/>
      <c r="H1127" s="48"/>
      <c r="I1127" s="49"/>
      <c r="J1127" s="47"/>
      <c r="K1127" s="47"/>
      <c r="L1127" s="47"/>
      <c r="M1127" s="47"/>
      <c r="N1127" s="47"/>
      <c r="O1127" s="47"/>
      <c r="P1127" s="47"/>
      <c r="Q1127" s="47"/>
      <c r="R1127" s="47"/>
      <c r="S1127" s="50"/>
      <c r="T1127" s="47"/>
      <c r="U1127" s="47"/>
      <c r="V1127" s="47"/>
      <c r="W1127" s="51"/>
      <c r="X1127" s="51"/>
      <c r="Y1127" s="47"/>
      <c r="Z1127" s="47"/>
      <c r="AA1127" s="47"/>
      <c r="AB1127" s="47"/>
      <c r="AC1127" s="47"/>
      <c r="AD1127" s="47"/>
      <c r="AE1127" s="54"/>
      <c r="AF1127" s="54"/>
      <c r="AG1127" s="55"/>
      <c r="AH1127" s="54"/>
      <c r="AI1127" s="54"/>
      <c r="AJ1127" s="54"/>
      <c r="AK1127" s="54"/>
      <c r="AL1127" s="54"/>
      <c r="AM1127" s="54"/>
      <c r="AN1127" s="54"/>
      <c r="AO1127" s="54"/>
      <c r="AP1127" s="54"/>
      <c r="AQ1127" s="54"/>
      <c r="AR1127" s="54"/>
      <c r="AS1127" s="54"/>
      <c r="AT1127" s="54"/>
      <c r="AU1127" s="54"/>
      <c r="AV1127" s="54"/>
      <c r="AW1127" s="54"/>
      <c r="AX1127" s="54"/>
      <c r="AY1127" s="54"/>
      <c r="AZ1127" s="54"/>
      <c r="BA1127" s="54"/>
      <c r="BB1127" s="54"/>
      <c r="BC1127" s="56"/>
      <c r="BD1127" s="51"/>
      <c r="BE1127" s="54"/>
      <c r="BF1127" s="54"/>
      <c r="BG1127" s="47"/>
      <c r="BH1127" s="48"/>
      <c r="BI1127" s="48"/>
      <c r="BJ1127" s="48"/>
      <c r="BK1127" s="48"/>
      <c r="BL1127" s="48"/>
      <c r="BM1127" s="48"/>
      <c r="BN1127" s="48"/>
      <c r="BO1127" s="48"/>
      <c r="BP1127" s="48"/>
      <c r="BQ1127" s="48"/>
      <c r="BR1127" s="48"/>
      <c r="BS1127" s="48"/>
      <c r="BT1127" s="48"/>
      <c r="BU1127" s="48"/>
      <c r="BV1127" s="48"/>
      <c r="BW1127" s="48"/>
      <c r="BX1127" s="48"/>
      <c r="BY1127" s="48"/>
      <c r="BZ1127" s="48"/>
      <c r="CA1127" s="48"/>
      <c r="CB1127" s="48"/>
      <c r="CC1127" s="48"/>
      <c r="CD1127" s="48"/>
      <c r="CE1127" s="48"/>
      <c r="CF1127" s="52"/>
      <c r="CG1127" s="52"/>
      <c r="CH1127" s="48"/>
      <c r="CI1127" s="48"/>
      <c r="CJ1127" s="48"/>
      <c r="CK1127" s="48"/>
    </row>
    <row r="1128" spans="1:89" ht="15.75" customHeight="1" x14ac:dyDescent="0.3">
      <c r="A1128" s="47"/>
      <c r="B1128" s="48"/>
      <c r="C1128" s="47"/>
      <c r="D1128" s="48"/>
      <c r="E1128" s="48"/>
      <c r="F1128" s="48"/>
      <c r="G1128" s="48"/>
      <c r="H1128" s="48"/>
      <c r="I1128" s="49"/>
      <c r="J1128" s="47"/>
      <c r="K1128" s="47"/>
      <c r="L1128" s="47"/>
      <c r="M1128" s="47"/>
      <c r="N1128" s="47"/>
      <c r="O1128" s="47"/>
      <c r="P1128" s="47"/>
      <c r="Q1128" s="47"/>
      <c r="R1128" s="47"/>
      <c r="S1128" s="50"/>
      <c r="T1128" s="47"/>
      <c r="U1128" s="47"/>
      <c r="V1128" s="47"/>
      <c r="W1128" s="51"/>
      <c r="X1128" s="51"/>
      <c r="Y1128" s="47"/>
      <c r="Z1128" s="47"/>
      <c r="AA1128" s="47"/>
      <c r="AB1128" s="47"/>
      <c r="AC1128" s="47"/>
      <c r="AD1128" s="47"/>
      <c r="AE1128" s="54"/>
      <c r="AF1128" s="54"/>
      <c r="AG1128" s="55"/>
      <c r="AH1128" s="54"/>
      <c r="AI1128" s="54"/>
      <c r="AJ1128" s="54"/>
      <c r="AK1128" s="54"/>
      <c r="AL1128" s="54"/>
      <c r="AM1128" s="54"/>
      <c r="AN1128" s="54"/>
      <c r="AO1128" s="54"/>
      <c r="AP1128" s="54"/>
      <c r="AQ1128" s="54"/>
      <c r="AR1128" s="54"/>
      <c r="AS1128" s="54"/>
      <c r="AT1128" s="54"/>
      <c r="AU1128" s="54"/>
      <c r="AV1128" s="54"/>
      <c r="AW1128" s="54"/>
      <c r="AX1128" s="54"/>
      <c r="AY1128" s="54"/>
      <c r="AZ1128" s="54"/>
      <c r="BA1128" s="54"/>
      <c r="BB1128" s="54"/>
      <c r="BC1128" s="56"/>
      <c r="BD1128" s="51"/>
      <c r="BE1128" s="54"/>
      <c r="BF1128" s="54"/>
      <c r="BG1128" s="47"/>
      <c r="BH1128" s="48"/>
      <c r="BI1128" s="48"/>
      <c r="BJ1128" s="48"/>
      <c r="BK1128" s="48"/>
      <c r="BL1128" s="48"/>
      <c r="BM1128" s="48"/>
      <c r="BN1128" s="48"/>
      <c r="BO1128" s="48"/>
      <c r="BP1128" s="48"/>
      <c r="BQ1128" s="48"/>
      <c r="BR1128" s="48"/>
      <c r="BS1128" s="48"/>
      <c r="BT1128" s="48"/>
      <c r="BU1128" s="48"/>
      <c r="BV1128" s="48"/>
      <c r="BW1128" s="48"/>
      <c r="BX1128" s="48"/>
      <c r="BY1128" s="48"/>
      <c r="BZ1128" s="48"/>
      <c r="CA1128" s="48"/>
      <c r="CB1128" s="48"/>
      <c r="CC1128" s="48"/>
      <c r="CD1128" s="48"/>
      <c r="CE1128" s="48"/>
      <c r="CF1128" s="52"/>
      <c r="CG1128" s="52"/>
      <c r="CH1128" s="48"/>
      <c r="CI1128" s="48"/>
      <c r="CJ1128" s="48"/>
      <c r="CK1128" s="48"/>
    </row>
    <row r="1129" spans="1:89" ht="15.75" customHeight="1" x14ac:dyDescent="0.3">
      <c r="A1129" s="47"/>
      <c r="B1129" s="48"/>
      <c r="C1129" s="47"/>
      <c r="D1129" s="48"/>
      <c r="E1129" s="48"/>
      <c r="F1129" s="48"/>
      <c r="G1129" s="48"/>
      <c r="H1129" s="48"/>
      <c r="I1129" s="49"/>
      <c r="J1129" s="47"/>
      <c r="K1129" s="47"/>
      <c r="L1129" s="47"/>
      <c r="M1129" s="47"/>
      <c r="N1129" s="47"/>
      <c r="O1129" s="47"/>
      <c r="P1129" s="47"/>
      <c r="Q1129" s="47"/>
      <c r="R1129" s="47"/>
      <c r="S1129" s="50"/>
      <c r="T1129" s="47"/>
      <c r="U1129" s="47"/>
      <c r="V1129" s="47"/>
      <c r="W1129" s="51"/>
      <c r="X1129" s="51"/>
      <c r="Y1129" s="47"/>
      <c r="Z1129" s="47"/>
      <c r="AA1129" s="47"/>
      <c r="AB1129" s="47"/>
      <c r="AC1129" s="47"/>
      <c r="AD1129" s="47"/>
      <c r="AE1129" s="54"/>
      <c r="AF1129" s="54"/>
      <c r="AG1129" s="55"/>
      <c r="AH1129" s="54"/>
      <c r="AI1129" s="54"/>
      <c r="AJ1129" s="54"/>
      <c r="AK1129" s="54"/>
      <c r="AL1129" s="54"/>
      <c r="AM1129" s="54"/>
      <c r="AN1129" s="54"/>
      <c r="AO1129" s="54"/>
      <c r="AP1129" s="54"/>
      <c r="AQ1129" s="54"/>
      <c r="AR1129" s="54"/>
      <c r="AS1129" s="54"/>
      <c r="AT1129" s="54"/>
      <c r="AU1129" s="54"/>
      <c r="AV1129" s="54"/>
      <c r="AW1129" s="54"/>
      <c r="AX1129" s="54"/>
      <c r="AY1129" s="54"/>
      <c r="AZ1129" s="54"/>
      <c r="BA1129" s="54"/>
      <c r="BB1129" s="54"/>
      <c r="BC1129" s="56"/>
      <c r="BD1129" s="51"/>
      <c r="BE1129" s="54"/>
      <c r="BF1129" s="54"/>
      <c r="BG1129" s="47"/>
      <c r="BH1129" s="48"/>
      <c r="BI1129" s="48"/>
      <c r="BJ1129" s="48"/>
      <c r="BK1129" s="48"/>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52"/>
      <c r="CG1129" s="52"/>
      <c r="CH1129" s="48"/>
      <c r="CI1129" s="48"/>
      <c r="CJ1129" s="48"/>
      <c r="CK1129" s="48"/>
    </row>
    <row r="1130" spans="1:89" ht="15.75" customHeight="1" x14ac:dyDescent="0.3">
      <c r="A1130" s="47"/>
      <c r="B1130" s="48"/>
      <c r="C1130" s="47"/>
      <c r="D1130" s="48"/>
      <c r="E1130" s="48"/>
      <c r="F1130" s="48"/>
      <c r="G1130" s="48"/>
      <c r="H1130" s="48"/>
      <c r="I1130" s="49"/>
      <c r="J1130" s="47"/>
      <c r="K1130" s="47"/>
      <c r="L1130" s="47"/>
      <c r="M1130" s="47"/>
      <c r="N1130" s="47"/>
      <c r="O1130" s="47"/>
      <c r="P1130" s="47"/>
      <c r="Q1130" s="47"/>
      <c r="R1130" s="47"/>
      <c r="S1130" s="50"/>
      <c r="T1130" s="47"/>
      <c r="U1130" s="47"/>
      <c r="V1130" s="47"/>
      <c r="W1130" s="51"/>
      <c r="X1130" s="51"/>
      <c r="Y1130" s="47"/>
      <c r="Z1130" s="47"/>
      <c r="AA1130" s="47"/>
      <c r="AB1130" s="47"/>
      <c r="AC1130" s="47"/>
      <c r="AD1130" s="47"/>
      <c r="AE1130" s="54"/>
      <c r="AF1130" s="54"/>
      <c r="AG1130" s="55"/>
      <c r="AH1130" s="54"/>
      <c r="AI1130" s="54"/>
      <c r="AJ1130" s="54"/>
      <c r="AK1130" s="54"/>
      <c r="AL1130" s="54"/>
      <c r="AM1130" s="54"/>
      <c r="AN1130" s="54"/>
      <c r="AO1130" s="54"/>
      <c r="AP1130" s="54"/>
      <c r="AQ1130" s="54"/>
      <c r="AR1130" s="54"/>
      <c r="AS1130" s="54"/>
      <c r="AT1130" s="54"/>
      <c r="AU1130" s="54"/>
      <c r="AV1130" s="54"/>
      <c r="AW1130" s="54"/>
      <c r="AX1130" s="54"/>
      <c r="AY1130" s="54"/>
      <c r="AZ1130" s="54"/>
      <c r="BA1130" s="54"/>
      <c r="BB1130" s="54"/>
      <c r="BC1130" s="56"/>
      <c r="BD1130" s="51"/>
      <c r="BE1130" s="54"/>
      <c r="BF1130" s="54"/>
      <c r="BG1130" s="47"/>
      <c r="BH1130" s="48"/>
      <c r="BI1130" s="48"/>
      <c r="BJ1130" s="48"/>
      <c r="BK1130" s="48"/>
      <c r="BL1130" s="48"/>
      <c r="BM1130" s="48"/>
      <c r="BN1130" s="48"/>
      <c r="BO1130" s="48"/>
      <c r="BP1130" s="48"/>
      <c r="BQ1130" s="48"/>
      <c r="BR1130" s="48"/>
      <c r="BS1130" s="48"/>
      <c r="BT1130" s="48"/>
      <c r="BU1130" s="48"/>
      <c r="BV1130" s="48"/>
      <c r="BW1130" s="48"/>
      <c r="BX1130" s="48"/>
      <c r="BY1130" s="48"/>
      <c r="BZ1130" s="48"/>
      <c r="CA1130" s="48"/>
      <c r="CB1130" s="48"/>
      <c r="CC1130" s="48"/>
      <c r="CD1130" s="48"/>
      <c r="CE1130" s="48"/>
      <c r="CF1130" s="52"/>
      <c r="CG1130" s="52"/>
      <c r="CH1130" s="48"/>
      <c r="CI1130" s="48"/>
      <c r="CJ1130" s="48"/>
      <c r="CK1130" s="48"/>
    </row>
    <row r="1131" spans="1:89" ht="15.75" customHeight="1" x14ac:dyDescent="0.3">
      <c r="A1131" s="47"/>
      <c r="B1131" s="48"/>
      <c r="C1131" s="47"/>
      <c r="D1131" s="48"/>
      <c r="E1131" s="48"/>
      <c r="F1131" s="48"/>
      <c r="G1131" s="48"/>
      <c r="H1131" s="48"/>
      <c r="I1131" s="49"/>
      <c r="J1131" s="47"/>
      <c r="K1131" s="47"/>
      <c r="L1131" s="47"/>
      <c r="M1131" s="47"/>
      <c r="N1131" s="47"/>
      <c r="O1131" s="47"/>
      <c r="P1131" s="47"/>
      <c r="Q1131" s="47"/>
      <c r="R1131" s="47"/>
      <c r="S1131" s="50"/>
      <c r="T1131" s="47"/>
      <c r="U1131" s="47"/>
      <c r="V1131" s="47"/>
      <c r="W1131" s="51"/>
      <c r="X1131" s="51"/>
      <c r="Y1131" s="47"/>
      <c r="Z1131" s="47"/>
      <c r="AA1131" s="47"/>
      <c r="AB1131" s="47"/>
      <c r="AC1131" s="47"/>
      <c r="AD1131" s="47"/>
      <c r="AE1131" s="54"/>
      <c r="AF1131" s="54"/>
      <c r="AG1131" s="55"/>
      <c r="AH1131" s="54"/>
      <c r="AI1131" s="54"/>
      <c r="AJ1131" s="54"/>
      <c r="AK1131" s="54"/>
      <c r="AL1131" s="54"/>
      <c r="AM1131" s="54"/>
      <c r="AN1131" s="54"/>
      <c r="AO1131" s="54"/>
      <c r="AP1131" s="54"/>
      <c r="AQ1131" s="54"/>
      <c r="AR1131" s="54"/>
      <c r="AS1131" s="54"/>
      <c r="AT1131" s="54"/>
      <c r="AU1131" s="54"/>
      <c r="AV1131" s="54"/>
      <c r="AW1131" s="54"/>
      <c r="AX1131" s="54"/>
      <c r="AY1131" s="54"/>
      <c r="AZ1131" s="54"/>
      <c r="BA1131" s="54"/>
      <c r="BB1131" s="54"/>
      <c r="BC1131" s="56"/>
      <c r="BD1131" s="51"/>
      <c r="BE1131" s="54"/>
      <c r="BF1131" s="54"/>
      <c r="BG1131" s="47"/>
      <c r="BH1131" s="48"/>
      <c r="BI1131" s="48"/>
      <c r="BJ1131" s="48"/>
      <c r="BK1131" s="48"/>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52"/>
      <c r="CG1131" s="52"/>
      <c r="CH1131" s="48"/>
      <c r="CI1131" s="48"/>
      <c r="CJ1131" s="48"/>
      <c r="CK1131" s="48"/>
    </row>
    <row r="1132" spans="1:89" ht="15.75" customHeight="1" x14ac:dyDescent="0.3">
      <c r="A1132" s="47"/>
      <c r="B1132" s="48"/>
      <c r="C1132" s="47"/>
      <c r="D1132" s="48"/>
      <c r="E1132" s="48"/>
      <c r="F1132" s="48"/>
      <c r="G1132" s="48"/>
      <c r="H1132" s="48"/>
      <c r="I1132" s="49"/>
      <c r="J1132" s="47"/>
      <c r="K1132" s="47"/>
      <c r="L1132" s="47"/>
      <c r="M1132" s="47"/>
      <c r="N1132" s="47"/>
      <c r="O1132" s="47"/>
      <c r="P1132" s="47"/>
      <c r="Q1132" s="47"/>
      <c r="R1132" s="47"/>
      <c r="S1132" s="50"/>
      <c r="T1132" s="47"/>
      <c r="U1132" s="47"/>
      <c r="V1132" s="47"/>
      <c r="W1132" s="51"/>
      <c r="X1132" s="51"/>
      <c r="Y1132" s="47"/>
      <c r="Z1132" s="47"/>
      <c r="AA1132" s="47"/>
      <c r="AB1132" s="47"/>
      <c r="AC1132" s="47"/>
      <c r="AD1132" s="47"/>
      <c r="AE1132" s="54"/>
      <c r="AF1132" s="54"/>
      <c r="AG1132" s="55"/>
      <c r="AH1132" s="54"/>
      <c r="AI1132" s="54"/>
      <c r="AJ1132" s="54"/>
      <c r="AK1132" s="54"/>
      <c r="AL1132" s="54"/>
      <c r="AM1132" s="54"/>
      <c r="AN1132" s="54"/>
      <c r="AO1132" s="54"/>
      <c r="AP1132" s="54"/>
      <c r="AQ1132" s="54"/>
      <c r="AR1132" s="54"/>
      <c r="AS1132" s="54"/>
      <c r="AT1132" s="54"/>
      <c r="AU1132" s="54"/>
      <c r="AV1132" s="54"/>
      <c r="AW1132" s="54"/>
      <c r="AX1132" s="54"/>
      <c r="AY1132" s="54"/>
      <c r="AZ1132" s="54"/>
      <c r="BA1132" s="54"/>
      <c r="BB1132" s="54"/>
      <c r="BC1132" s="56"/>
      <c r="BD1132" s="51"/>
      <c r="BE1132" s="54"/>
      <c r="BF1132" s="54"/>
      <c r="BG1132" s="47"/>
      <c r="BH1132" s="48"/>
      <c r="BI1132" s="48"/>
      <c r="BJ1132" s="48"/>
      <c r="BK1132" s="48"/>
      <c r="BL1132" s="48"/>
      <c r="BM1132" s="48"/>
      <c r="BN1132" s="48"/>
      <c r="BO1132" s="48"/>
      <c r="BP1132" s="48"/>
      <c r="BQ1132" s="48"/>
      <c r="BR1132" s="48"/>
      <c r="BS1132" s="48"/>
      <c r="BT1132" s="48"/>
      <c r="BU1132" s="48"/>
      <c r="BV1132" s="48"/>
      <c r="BW1132" s="48"/>
      <c r="BX1132" s="48"/>
      <c r="BY1132" s="48"/>
      <c r="BZ1132" s="48"/>
      <c r="CA1132" s="48"/>
      <c r="CB1132" s="48"/>
      <c r="CC1132" s="48"/>
      <c r="CD1132" s="48"/>
      <c r="CE1132" s="48"/>
      <c r="CF1132" s="52"/>
      <c r="CG1132" s="52"/>
      <c r="CH1132" s="48"/>
      <c r="CI1132" s="48"/>
      <c r="CJ1132" s="48"/>
      <c r="CK1132" s="48"/>
    </row>
    <row r="1133" spans="1:89" ht="15.75" customHeight="1" x14ac:dyDescent="0.3">
      <c r="A1133" s="47"/>
      <c r="B1133" s="48"/>
      <c r="C1133" s="47"/>
      <c r="D1133" s="48"/>
      <c r="E1133" s="48"/>
      <c r="F1133" s="48"/>
      <c r="G1133" s="48"/>
      <c r="H1133" s="48"/>
      <c r="I1133" s="49"/>
      <c r="J1133" s="47"/>
      <c r="K1133" s="47"/>
      <c r="L1133" s="47"/>
      <c r="M1133" s="47"/>
      <c r="N1133" s="47"/>
      <c r="O1133" s="47"/>
      <c r="P1133" s="47"/>
      <c r="Q1133" s="47"/>
      <c r="R1133" s="47"/>
      <c r="S1133" s="50"/>
      <c r="T1133" s="47"/>
      <c r="U1133" s="47"/>
      <c r="V1133" s="47"/>
      <c r="W1133" s="51"/>
      <c r="X1133" s="51"/>
      <c r="Y1133" s="47"/>
      <c r="Z1133" s="47"/>
      <c r="AA1133" s="47"/>
      <c r="AB1133" s="47"/>
      <c r="AC1133" s="47"/>
      <c r="AD1133" s="47"/>
      <c r="AE1133" s="54"/>
      <c r="AF1133" s="54"/>
      <c r="AG1133" s="55"/>
      <c r="AH1133" s="54"/>
      <c r="AI1133" s="54"/>
      <c r="AJ1133" s="54"/>
      <c r="AK1133" s="54"/>
      <c r="AL1133" s="54"/>
      <c r="AM1133" s="54"/>
      <c r="AN1133" s="54"/>
      <c r="AO1133" s="54"/>
      <c r="AP1133" s="54"/>
      <c r="AQ1133" s="54"/>
      <c r="AR1133" s="54"/>
      <c r="AS1133" s="54"/>
      <c r="AT1133" s="54"/>
      <c r="AU1133" s="54"/>
      <c r="AV1133" s="54"/>
      <c r="AW1133" s="54"/>
      <c r="AX1133" s="54"/>
      <c r="AY1133" s="54"/>
      <c r="AZ1133" s="54"/>
      <c r="BA1133" s="54"/>
      <c r="BB1133" s="54"/>
      <c r="BC1133" s="56"/>
      <c r="BD1133" s="51"/>
      <c r="BE1133" s="54"/>
      <c r="BF1133" s="54"/>
      <c r="BG1133" s="47"/>
      <c r="BH1133" s="48"/>
      <c r="BI1133" s="48"/>
      <c r="BJ1133" s="48"/>
      <c r="BK1133" s="48"/>
      <c r="BL1133" s="48"/>
      <c r="BM1133" s="48"/>
      <c r="BN1133" s="48"/>
      <c r="BO1133" s="48"/>
      <c r="BP1133" s="48"/>
      <c r="BQ1133" s="48"/>
      <c r="BR1133" s="48"/>
      <c r="BS1133" s="48"/>
      <c r="BT1133" s="48"/>
      <c r="BU1133" s="48"/>
      <c r="BV1133" s="48"/>
      <c r="BW1133" s="48"/>
      <c r="BX1133" s="48"/>
      <c r="BY1133" s="48"/>
      <c r="BZ1133" s="48"/>
      <c r="CA1133" s="48"/>
      <c r="CB1133" s="48"/>
      <c r="CC1133" s="48"/>
      <c r="CD1133" s="48"/>
      <c r="CE1133" s="48"/>
      <c r="CF1133" s="52"/>
      <c r="CG1133" s="52"/>
      <c r="CH1133" s="48"/>
      <c r="CI1133" s="48"/>
      <c r="CJ1133" s="48"/>
      <c r="CK1133" s="48"/>
    </row>
    <row r="1134" spans="1:89" ht="15.75" customHeight="1" x14ac:dyDescent="0.3">
      <c r="A1134" s="47"/>
      <c r="B1134" s="48"/>
      <c r="C1134" s="47"/>
      <c r="D1134" s="48"/>
      <c r="E1134" s="48"/>
      <c r="F1134" s="48"/>
      <c r="G1134" s="48"/>
      <c r="H1134" s="48"/>
      <c r="I1134" s="49"/>
      <c r="J1134" s="47"/>
      <c r="K1134" s="47"/>
      <c r="L1134" s="47"/>
      <c r="M1134" s="47"/>
      <c r="N1134" s="47"/>
      <c r="O1134" s="47"/>
      <c r="P1134" s="47"/>
      <c r="Q1134" s="47"/>
      <c r="R1134" s="47"/>
      <c r="S1134" s="50"/>
      <c r="T1134" s="47"/>
      <c r="U1134" s="47"/>
      <c r="V1134" s="47"/>
      <c r="W1134" s="51"/>
      <c r="X1134" s="51"/>
      <c r="Y1134" s="47"/>
      <c r="Z1134" s="47"/>
      <c r="AA1134" s="47"/>
      <c r="AB1134" s="47"/>
      <c r="AC1134" s="47"/>
      <c r="AD1134" s="47"/>
      <c r="AE1134" s="54"/>
      <c r="AF1134" s="54"/>
      <c r="AG1134" s="55"/>
      <c r="AH1134" s="54"/>
      <c r="AI1134" s="54"/>
      <c r="AJ1134" s="54"/>
      <c r="AK1134" s="54"/>
      <c r="AL1134" s="54"/>
      <c r="AM1134" s="54"/>
      <c r="AN1134" s="54"/>
      <c r="AO1134" s="54"/>
      <c r="AP1134" s="54"/>
      <c r="AQ1134" s="54"/>
      <c r="AR1134" s="54"/>
      <c r="AS1134" s="54"/>
      <c r="AT1134" s="54"/>
      <c r="AU1134" s="54"/>
      <c r="AV1134" s="54"/>
      <c r="AW1134" s="54"/>
      <c r="AX1134" s="54"/>
      <c r="AY1134" s="54"/>
      <c r="AZ1134" s="54"/>
      <c r="BA1134" s="54"/>
      <c r="BB1134" s="54"/>
      <c r="BC1134" s="56"/>
      <c r="BD1134" s="51"/>
      <c r="BE1134" s="54"/>
      <c r="BF1134" s="54"/>
      <c r="BG1134" s="47"/>
      <c r="BH1134" s="48"/>
      <c r="BI1134" s="48"/>
      <c r="BJ1134" s="48"/>
      <c r="BK1134" s="48"/>
      <c r="BL1134" s="48"/>
      <c r="BM1134" s="48"/>
      <c r="BN1134" s="48"/>
      <c r="BO1134" s="48"/>
      <c r="BP1134" s="48"/>
      <c r="BQ1134" s="48"/>
      <c r="BR1134" s="48"/>
      <c r="BS1134" s="48"/>
      <c r="BT1134" s="48"/>
      <c r="BU1134" s="48"/>
      <c r="BV1134" s="48"/>
      <c r="BW1134" s="48"/>
      <c r="BX1134" s="48"/>
      <c r="BY1134" s="48"/>
      <c r="BZ1134" s="48"/>
      <c r="CA1134" s="48"/>
      <c r="CB1134" s="48"/>
      <c r="CC1134" s="48"/>
      <c r="CD1134" s="48"/>
      <c r="CE1134" s="48"/>
      <c r="CF1134" s="52"/>
      <c r="CG1134" s="52"/>
      <c r="CH1134" s="48"/>
      <c r="CI1134" s="48"/>
      <c r="CJ1134" s="48"/>
      <c r="CK1134" s="48"/>
    </row>
    <row r="1135" spans="1:89" ht="15.75" customHeight="1" x14ac:dyDescent="0.3">
      <c r="A1135" s="47"/>
      <c r="B1135" s="48"/>
      <c r="C1135" s="47"/>
      <c r="D1135" s="48"/>
      <c r="E1135" s="48"/>
      <c r="F1135" s="48"/>
      <c r="G1135" s="48"/>
      <c r="H1135" s="48"/>
      <c r="I1135" s="49"/>
      <c r="J1135" s="47"/>
      <c r="K1135" s="47"/>
      <c r="L1135" s="47"/>
      <c r="M1135" s="47"/>
      <c r="N1135" s="47"/>
      <c r="O1135" s="47"/>
      <c r="P1135" s="47"/>
      <c r="Q1135" s="47"/>
      <c r="R1135" s="47"/>
      <c r="S1135" s="50"/>
      <c r="T1135" s="47"/>
      <c r="U1135" s="47"/>
      <c r="V1135" s="47"/>
      <c r="W1135" s="51"/>
      <c r="X1135" s="51"/>
      <c r="Y1135" s="47"/>
      <c r="Z1135" s="47"/>
      <c r="AA1135" s="47"/>
      <c r="AB1135" s="47"/>
      <c r="AC1135" s="47"/>
      <c r="AD1135" s="47"/>
      <c r="AE1135" s="54"/>
      <c r="AF1135" s="54"/>
      <c r="AG1135" s="55"/>
      <c r="AH1135" s="54"/>
      <c r="AI1135" s="54"/>
      <c r="AJ1135" s="54"/>
      <c r="AK1135" s="54"/>
      <c r="AL1135" s="54"/>
      <c r="AM1135" s="54"/>
      <c r="AN1135" s="54"/>
      <c r="AO1135" s="54"/>
      <c r="AP1135" s="54"/>
      <c r="AQ1135" s="54"/>
      <c r="AR1135" s="54"/>
      <c r="AS1135" s="54"/>
      <c r="AT1135" s="54"/>
      <c r="AU1135" s="54"/>
      <c r="AV1135" s="54"/>
      <c r="AW1135" s="54"/>
      <c r="AX1135" s="54"/>
      <c r="AY1135" s="54"/>
      <c r="AZ1135" s="54"/>
      <c r="BA1135" s="54"/>
      <c r="BB1135" s="54"/>
      <c r="BC1135" s="56"/>
      <c r="BD1135" s="51"/>
      <c r="BE1135" s="54"/>
      <c r="BF1135" s="54"/>
      <c r="BG1135" s="47"/>
      <c r="BH1135" s="48"/>
      <c r="BI1135" s="48"/>
      <c r="BJ1135" s="48"/>
      <c r="BK1135" s="48"/>
      <c r="BL1135" s="48"/>
      <c r="BM1135" s="48"/>
      <c r="BN1135" s="48"/>
      <c r="BO1135" s="48"/>
      <c r="BP1135" s="48"/>
      <c r="BQ1135" s="48"/>
      <c r="BR1135" s="48"/>
      <c r="BS1135" s="48"/>
      <c r="BT1135" s="48"/>
      <c r="BU1135" s="48"/>
      <c r="BV1135" s="48"/>
      <c r="BW1135" s="48"/>
      <c r="BX1135" s="48"/>
      <c r="BY1135" s="48"/>
      <c r="BZ1135" s="48"/>
      <c r="CA1135" s="48"/>
      <c r="CB1135" s="48"/>
      <c r="CC1135" s="48"/>
      <c r="CD1135" s="48"/>
      <c r="CE1135" s="48"/>
      <c r="CF1135" s="52"/>
      <c r="CG1135" s="52"/>
      <c r="CH1135" s="48"/>
      <c r="CI1135" s="48"/>
      <c r="CJ1135" s="48"/>
      <c r="CK1135" s="48"/>
    </row>
    <row r="1136" spans="1:89" ht="15.75" customHeight="1" x14ac:dyDescent="0.3">
      <c r="A1136" s="47"/>
      <c r="B1136" s="48"/>
      <c r="C1136" s="47"/>
      <c r="D1136" s="48"/>
      <c r="E1136" s="48"/>
      <c r="F1136" s="48"/>
      <c r="G1136" s="48"/>
      <c r="H1136" s="48"/>
      <c r="I1136" s="49"/>
      <c r="J1136" s="47"/>
      <c r="K1136" s="47"/>
      <c r="L1136" s="47"/>
      <c r="M1136" s="47"/>
      <c r="N1136" s="47"/>
      <c r="O1136" s="47"/>
      <c r="P1136" s="47"/>
      <c r="Q1136" s="47"/>
      <c r="R1136" s="47"/>
      <c r="S1136" s="50"/>
      <c r="T1136" s="47"/>
      <c r="U1136" s="47"/>
      <c r="V1136" s="47"/>
      <c r="W1136" s="51"/>
      <c r="X1136" s="51"/>
      <c r="Y1136" s="47"/>
      <c r="Z1136" s="47"/>
      <c r="AA1136" s="47"/>
      <c r="AB1136" s="47"/>
      <c r="AC1136" s="47"/>
      <c r="AD1136" s="47"/>
      <c r="AE1136" s="54"/>
      <c r="AF1136" s="54"/>
      <c r="AG1136" s="55"/>
      <c r="AH1136" s="54"/>
      <c r="AI1136" s="54"/>
      <c r="AJ1136" s="54"/>
      <c r="AK1136" s="54"/>
      <c r="AL1136" s="54"/>
      <c r="AM1136" s="54"/>
      <c r="AN1136" s="54"/>
      <c r="AO1136" s="54"/>
      <c r="AP1136" s="54"/>
      <c r="AQ1136" s="54"/>
      <c r="AR1136" s="54"/>
      <c r="AS1136" s="54"/>
      <c r="AT1136" s="54"/>
      <c r="AU1136" s="54"/>
      <c r="AV1136" s="54"/>
      <c r="AW1136" s="54"/>
      <c r="AX1136" s="54"/>
      <c r="AY1136" s="54"/>
      <c r="AZ1136" s="54"/>
      <c r="BA1136" s="54"/>
      <c r="BB1136" s="54"/>
      <c r="BC1136" s="56"/>
      <c r="BD1136" s="51"/>
      <c r="BE1136" s="54"/>
      <c r="BF1136" s="54"/>
      <c r="BG1136" s="47"/>
      <c r="BH1136" s="48"/>
      <c r="BI1136" s="48"/>
      <c r="BJ1136" s="48"/>
      <c r="BK1136" s="48"/>
      <c r="BL1136" s="48"/>
      <c r="BM1136" s="48"/>
      <c r="BN1136" s="48"/>
      <c r="BO1136" s="48"/>
      <c r="BP1136" s="48"/>
      <c r="BQ1136" s="48"/>
      <c r="BR1136" s="48"/>
      <c r="BS1136" s="48"/>
      <c r="BT1136" s="48"/>
      <c r="BU1136" s="48"/>
      <c r="BV1136" s="48"/>
      <c r="BW1136" s="48"/>
      <c r="BX1136" s="48"/>
      <c r="BY1136" s="48"/>
      <c r="BZ1136" s="48"/>
      <c r="CA1136" s="48"/>
      <c r="CB1136" s="48"/>
      <c r="CC1136" s="48"/>
      <c r="CD1136" s="48"/>
      <c r="CE1136" s="48"/>
      <c r="CF1136" s="52"/>
      <c r="CG1136" s="52"/>
      <c r="CH1136" s="48"/>
      <c r="CI1136" s="48"/>
      <c r="CJ1136" s="48"/>
      <c r="CK1136" s="48"/>
    </row>
    <row r="1137" spans="1:89" ht="15.75" customHeight="1" x14ac:dyDescent="0.3">
      <c r="A1137" s="47"/>
      <c r="B1137" s="48"/>
      <c r="C1137" s="47"/>
      <c r="D1137" s="48"/>
      <c r="E1137" s="48"/>
      <c r="F1137" s="48"/>
      <c r="G1137" s="48"/>
      <c r="H1137" s="48"/>
      <c r="I1137" s="49"/>
      <c r="J1137" s="47"/>
      <c r="K1137" s="47"/>
      <c r="L1137" s="47"/>
      <c r="M1137" s="47"/>
      <c r="N1137" s="47"/>
      <c r="O1137" s="47"/>
      <c r="P1137" s="47"/>
      <c r="Q1137" s="47"/>
      <c r="R1137" s="47"/>
      <c r="S1137" s="50"/>
      <c r="T1137" s="47"/>
      <c r="U1137" s="47"/>
      <c r="V1137" s="47"/>
      <c r="W1137" s="51"/>
      <c r="X1137" s="51"/>
      <c r="Y1137" s="47"/>
      <c r="Z1137" s="47"/>
      <c r="AA1137" s="47"/>
      <c r="AB1137" s="47"/>
      <c r="AC1137" s="47"/>
      <c r="AD1137" s="47"/>
      <c r="AE1137" s="54"/>
      <c r="AF1137" s="54"/>
      <c r="AG1137" s="55"/>
      <c r="AH1137" s="54"/>
      <c r="AI1137" s="54"/>
      <c r="AJ1137" s="54"/>
      <c r="AK1137" s="54"/>
      <c r="AL1137" s="54"/>
      <c r="AM1137" s="54"/>
      <c r="AN1137" s="54"/>
      <c r="AO1137" s="54"/>
      <c r="AP1137" s="54"/>
      <c r="AQ1137" s="54"/>
      <c r="AR1137" s="54"/>
      <c r="AS1137" s="54"/>
      <c r="AT1137" s="54"/>
      <c r="AU1137" s="54"/>
      <c r="AV1137" s="54"/>
      <c r="AW1137" s="54"/>
      <c r="AX1137" s="54"/>
      <c r="AY1137" s="54"/>
      <c r="AZ1137" s="54"/>
      <c r="BA1137" s="54"/>
      <c r="BB1137" s="54"/>
      <c r="BC1137" s="56"/>
      <c r="BD1137" s="51"/>
      <c r="BE1137" s="54"/>
      <c r="BF1137" s="54"/>
      <c r="BG1137" s="47"/>
      <c r="BH1137" s="48"/>
      <c r="BI1137" s="48"/>
      <c r="BJ1137" s="48"/>
      <c r="BK1137" s="48"/>
      <c r="BL1137" s="48"/>
      <c r="BM1137" s="48"/>
      <c r="BN1137" s="48"/>
      <c r="BO1137" s="48"/>
      <c r="BP1137" s="48"/>
      <c r="BQ1137" s="48"/>
      <c r="BR1137" s="48"/>
      <c r="BS1137" s="48"/>
      <c r="BT1137" s="48"/>
      <c r="BU1137" s="48"/>
      <c r="BV1137" s="48"/>
      <c r="BW1137" s="48"/>
      <c r="BX1137" s="48"/>
      <c r="BY1137" s="48"/>
      <c r="BZ1137" s="48"/>
      <c r="CA1137" s="48"/>
      <c r="CB1137" s="48"/>
      <c r="CC1137" s="48"/>
      <c r="CD1137" s="48"/>
      <c r="CE1137" s="48"/>
      <c r="CF1137" s="52"/>
      <c r="CG1137" s="52"/>
      <c r="CH1137" s="48"/>
      <c r="CI1137" s="48"/>
      <c r="CJ1137" s="48"/>
      <c r="CK1137" s="48"/>
    </row>
    <row r="1138" spans="1:89" ht="15.75" customHeight="1" x14ac:dyDescent="0.3">
      <c r="A1138" s="47"/>
      <c r="B1138" s="48"/>
      <c r="C1138" s="47"/>
      <c r="D1138" s="48"/>
      <c r="E1138" s="48"/>
      <c r="F1138" s="48"/>
      <c r="G1138" s="48"/>
      <c r="H1138" s="48"/>
      <c r="I1138" s="49"/>
      <c r="J1138" s="47"/>
      <c r="K1138" s="47"/>
      <c r="L1138" s="47"/>
      <c r="M1138" s="47"/>
      <c r="N1138" s="47"/>
      <c r="O1138" s="47"/>
      <c r="P1138" s="47"/>
      <c r="Q1138" s="47"/>
      <c r="R1138" s="47"/>
      <c r="S1138" s="50"/>
      <c r="T1138" s="47"/>
      <c r="U1138" s="47"/>
      <c r="V1138" s="47"/>
      <c r="W1138" s="51"/>
      <c r="X1138" s="51"/>
      <c r="Y1138" s="47"/>
      <c r="Z1138" s="47"/>
      <c r="AA1138" s="47"/>
      <c r="AB1138" s="47"/>
      <c r="AC1138" s="47"/>
      <c r="AD1138" s="47"/>
      <c r="AE1138" s="54"/>
      <c r="AF1138" s="54"/>
      <c r="AG1138" s="55"/>
      <c r="AH1138" s="54"/>
      <c r="AI1138" s="54"/>
      <c r="AJ1138" s="54"/>
      <c r="AK1138" s="54"/>
      <c r="AL1138" s="54"/>
      <c r="AM1138" s="54"/>
      <c r="AN1138" s="54"/>
      <c r="AO1138" s="54"/>
      <c r="AP1138" s="54"/>
      <c r="AQ1138" s="54"/>
      <c r="AR1138" s="54"/>
      <c r="AS1138" s="54"/>
      <c r="AT1138" s="54"/>
      <c r="AU1138" s="54"/>
      <c r="AV1138" s="54"/>
      <c r="AW1138" s="54"/>
      <c r="AX1138" s="54"/>
      <c r="AY1138" s="54"/>
      <c r="AZ1138" s="54"/>
      <c r="BA1138" s="54"/>
      <c r="BB1138" s="54"/>
      <c r="BC1138" s="56"/>
      <c r="BD1138" s="51"/>
      <c r="BE1138" s="54"/>
      <c r="BF1138" s="54"/>
      <c r="BG1138" s="47"/>
      <c r="BH1138" s="48"/>
      <c r="BI1138" s="48"/>
      <c r="BJ1138" s="48"/>
      <c r="BK1138" s="48"/>
      <c r="BL1138" s="48"/>
      <c r="BM1138" s="48"/>
      <c r="BN1138" s="48"/>
      <c r="BO1138" s="48"/>
      <c r="BP1138" s="48"/>
      <c r="BQ1138" s="48"/>
      <c r="BR1138" s="48"/>
      <c r="BS1138" s="48"/>
      <c r="BT1138" s="48"/>
      <c r="BU1138" s="48"/>
      <c r="BV1138" s="48"/>
      <c r="BW1138" s="48"/>
      <c r="BX1138" s="48"/>
      <c r="BY1138" s="48"/>
      <c r="BZ1138" s="48"/>
      <c r="CA1138" s="48"/>
      <c r="CB1138" s="48"/>
      <c r="CC1138" s="48"/>
      <c r="CD1138" s="48"/>
      <c r="CE1138" s="48"/>
      <c r="CF1138" s="52"/>
      <c r="CG1138" s="52"/>
      <c r="CH1138" s="48"/>
      <c r="CI1138" s="48"/>
      <c r="CJ1138" s="48"/>
      <c r="CK1138" s="48"/>
    </row>
    <row r="1139" spans="1:89" ht="15.75" customHeight="1" x14ac:dyDescent="0.3">
      <c r="A1139" s="47"/>
      <c r="B1139" s="48"/>
      <c r="C1139" s="47"/>
      <c r="D1139" s="48"/>
      <c r="E1139" s="48"/>
      <c r="F1139" s="48"/>
      <c r="G1139" s="48"/>
      <c r="H1139" s="48"/>
      <c r="I1139" s="49"/>
      <c r="J1139" s="47"/>
      <c r="K1139" s="47"/>
      <c r="L1139" s="47"/>
      <c r="M1139" s="47"/>
      <c r="N1139" s="47"/>
      <c r="O1139" s="47"/>
      <c r="P1139" s="47"/>
      <c r="Q1139" s="47"/>
      <c r="R1139" s="47"/>
      <c r="S1139" s="50"/>
      <c r="T1139" s="47"/>
      <c r="U1139" s="47"/>
      <c r="V1139" s="47"/>
      <c r="W1139" s="51"/>
      <c r="X1139" s="51"/>
      <c r="Y1139" s="47"/>
      <c r="Z1139" s="47"/>
      <c r="AA1139" s="47"/>
      <c r="AB1139" s="47"/>
      <c r="AC1139" s="47"/>
      <c r="AD1139" s="47"/>
      <c r="AE1139" s="54"/>
      <c r="AF1139" s="54"/>
      <c r="AG1139" s="55"/>
      <c r="AH1139" s="54"/>
      <c r="AI1139" s="54"/>
      <c r="AJ1139" s="54"/>
      <c r="AK1139" s="54"/>
      <c r="AL1139" s="54"/>
      <c r="AM1139" s="54"/>
      <c r="AN1139" s="54"/>
      <c r="AO1139" s="54"/>
      <c r="AP1139" s="54"/>
      <c r="AQ1139" s="54"/>
      <c r="AR1139" s="54"/>
      <c r="AS1139" s="54"/>
      <c r="AT1139" s="54"/>
      <c r="AU1139" s="54"/>
      <c r="AV1139" s="54"/>
      <c r="AW1139" s="54"/>
      <c r="AX1139" s="54"/>
      <c r="AY1139" s="54"/>
      <c r="AZ1139" s="54"/>
      <c r="BA1139" s="54"/>
      <c r="BB1139" s="54"/>
      <c r="BC1139" s="56"/>
      <c r="BD1139" s="51"/>
      <c r="BE1139" s="54"/>
      <c r="BF1139" s="54"/>
      <c r="BG1139" s="47"/>
      <c r="BH1139" s="48"/>
      <c r="BI1139" s="48"/>
      <c r="BJ1139" s="48"/>
      <c r="BK1139" s="48"/>
      <c r="BL1139" s="48"/>
      <c r="BM1139" s="48"/>
      <c r="BN1139" s="48"/>
      <c r="BO1139" s="48"/>
      <c r="BP1139" s="48"/>
      <c r="BQ1139" s="48"/>
      <c r="BR1139" s="48"/>
      <c r="BS1139" s="48"/>
      <c r="BT1139" s="48"/>
      <c r="BU1139" s="48"/>
      <c r="BV1139" s="48"/>
      <c r="BW1139" s="48"/>
      <c r="BX1139" s="48"/>
      <c r="BY1139" s="48"/>
      <c r="BZ1139" s="48"/>
      <c r="CA1139" s="48"/>
      <c r="CB1139" s="48"/>
      <c r="CC1139" s="48"/>
      <c r="CD1139" s="48"/>
      <c r="CE1139" s="48"/>
      <c r="CF1139" s="52"/>
      <c r="CG1139" s="52"/>
      <c r="CH1139" s="48"/>
      <c r="CI1139" s="48"/>
      <c r="CJ1139" s="48"/>
      <c r="CK1139" s="48"/>
    </row>
    <row r="1140" spans="1:89" ht="15.75" customHeight="1" x14ac:dyDescent="0.3">
      <c r="A1140" s="47"/>
      <c r="B1140" s="48"/>
      <c r="C1140" s="47"/>
      <c r="D1140" s="48"/>
      <c r="E1140" s="48"/>
      <c r="F1140" s="48"/>
      <c r="G1140" s="48"/>
      <c r="H1140" s="48"/>
      <c r="I1140" s="49"/>
      <c r="J1140" s="47"/>
      <c r="K1140" s="47"/>
      <c r="L1140" s="47"/>
      <c r="M1140" s="47"/>
      <c r="N1140" s="47"/>
      <c r="O1140" s="47"/>
      <c r="P1140" s="47"/>
      <c r="Q1140" s="47"/>
      <c r="R1140" s="47"/>
      <c r="S1140" s="50"/>
      <c r="T1140" s="47"/>
      <c r="U1140" s="47"/>
      <c r="V1140" s="47"/>
      <c r="W1140" s="51"/>
      <c r="X1140" s="51"/>
      <c r="Y1140" s="47"/>
      <c r="Z1140" s="47"/>
      <c r="AA1140" s="47"/>
      <c r="AB1140" s="47"/>
      <c r="AC1140" s="47"/>
      <c r="AD1140" s="47"/>
      <c r="AE1140" s="54"/>
      <c r="AF1140" s="54"/>
      <c r="AG1140" s="55"/>
      <c r="AH1140" s="54"/>
      <c r="AI1140" s="54"/>
      <c r="AJ1140" s="54"/>
      <c r="AK1140" s="54"/>
      <c r="AL1140" s="54"/>
      <c r="AM1140" s="54"/>
      <c r="AN1140" s="54"/>
      <c r="AO1140" s="54"/>
      <c r="AP1140" s="54"/>
      <c r="AQ1140" s="54"/>
      <c r="AR1140" s="54"/>
      <c r="AS1140" s="54"/>
      <c r="AT1140" s="54"/>
      <c r="AU1140" s="54"/>
      <c r="AV1140" s="54"/>
      <c r="AW1140" s="54"/>
      <c r="AX1140" s="54"/>
      <c r="AY1140" s="54"/>
      <c r="AZ1140" s="54"/>
      <c r="BA1140" s="54"/>
      <c r="BB1140" s="54"/>
      <c r="BC1140" s="56"/>
      <c r="BD1140" s="51"/>
      <c r="BE1140" s="54"/>
      <c r="BF1140" s="54"/>
      <c r="BG1140" s="47"/>
      <c r="BH1140" s="48"/>
      <c r="BI1140" s="48"/>
      <c r="BJ1140" s="48"/>
      <c r="BK1140" s="48"/>
      <c r="BL1140" s="48"/>
      <c r="BM1140" s="48"/>
      <c r="BN1140" s="48"/>
      <c r="BO1140" s="48"/>
      <c r="BP1140" s="48"/>
      <c r="BQ1140" s="48"/>
      <c r="BR1140" s="48"/>
      <c r="BS1140" s="48"/>
      <c r="BT1140" s="48"/>
      <c r="BU1140" s="48"/>
      <c r="BV1140" s="48"/>
      <c r="BW1140" s="48"/>
      <c r="BX1140" s="48"/>
      <c r="BY1140" s="48"/>
      <c r="BZ1140" s="48"/>
      <c r="CA1140" s="48"/>
      <c r="CB1140" s="48"/>
      <c r="CC1140" s="48"/>
      <c r="CD1140" s="48"/>
      <c r="CE1140" s="48"/>
      <c r="CF1140" s="52"/>
      <c r="CG1140" s="52"/>
      <c r="CH1140" s="48"/>
      <c r="CI1140" s="48"/>
      <c r="CJ1140" s="48"/>
      <c r="CK1140" s="48"/>
    </row>
    <row r="1141" spans="1:89" ht="15.75" customHeight="1" x14ac:dyDescent="0.3">
      <c r="A1141" s="47"/>
      <c r="B1141" s="48"/>
      <c r="C1141" s="47"/>
      <c r="D1141" s="48"/>
      <c r="E1141" s="48"/>
      <c r="F1141" s="48"/>
      <c r="G1141" s="48"/>
      <c r="H1141" s="48"/>
      <c r="I1141" s="49"/>
      <c r="J1141" s="47"/>
      <c r="K1141" s="47"/>
      <c r="L1141" s="47"/>
      <c r="M1141" s="47"/>
      <c r="N1141" s="47"/>
      <c r="O1141" s="47"/>
      <c r="P1141" s="47"/>
      <c r="Q1141" s="47"/>
      <c r="R1141" s="47"/>
      <c r="S1141" s="50"/>
      <c r="T1141" s="47"/>
      <c r="U1141" s="47"/>
      <c r="V1141" s="47"/>
      <c r="W1141" s="51"/>
      <c r="X1141" s="51"/>
      <c r="Y1141" s="47"/>
      <c r="Z1141" s="47"/>
      <c r="AA1141" s="47"/>
      <c r="AB1141" s="47"/>
      <c r="AC1141" s="47"/>
      <c r="AD1141" s="47"/>
      <c r="AE1141" s="54"/>
      <c r="AF1141" s="54"/>
      <c r="AG1141" s="55"/>
      <c r="AH1141" s="54"/>
      <c r="AI1141" s="54"/>
      <c r="AJ1141" s="54"/>
      <c r="AK1141" s="54"/>
      <c r="AL1141" s="54"/>
      <c r="AM1141" s="54"/>
      <c r="AN1141" s="54"/>
      <c r="AO1141" s="54"/>
      <c r="AP1141" s="54"/>
      <c r="AQ1141" s="54"/>
      <c r="AR1141" s="54"/>
      <c r="AS1141" s="54"/>
      <c r="AT1141" s="54"/>
      <c r="AU1141" s="54"/>
      <c r="AV1141" s="54"/>
      <c r="AW1141" s="54"/>
      <c r="AX1141" s="54"/>
      <c r="AY1141" s="54"/>
      <c r="AZ1141" s="54"/>
      <c r="BA1141" s="54"/>
      <c r="BB1141" s="54"/>
      <c r="BC1141" s="56"/>
      <c r="BD1141" s="51"/>
      <c r="BE1141" s="54"/>
      <c r="BF1141" s="54"/>
      <c r="BG1141" s="47"/>
      <c r="BH1141" s="48"/>
      <c r="BI1141" s="48"/>
      <c r="BJ1141" s="48"/>
      <c r="BK1141" s="48"/>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52"/>
      <c r="CG1141" s="52"/>
      <c r="CH1141" s="48"/>
      <c r="CI1141" s="48"/>
      <c r="CJ1141" s="48"/>
      <c r="CK1141" s="48"/>
    </row>
    <row r="1142" spans="1:89" ht="15.75" customHeight="1" x14ac:dyDescent="0.3">
      <c r="A1142" s="47"/>
      <c r="B1142" s="48"/>
      <c r="C1142" s="47"/>
      <c r="D1142" s="48"/>
      <c r="E1142" s="48"/>
      <c r="F1142" s="48"/>
      <c r="G1142" s="48"/>
      <c r="H1142" s="48"/>
      <c r="I1142" s="49"/>
      <c r="J1142" s="47"/>
      <c r="K1142" s="47"/>
      <c r="L1142" s="47"/>
      <c r="M1142" s="47"/>
      <c r="N1142" s="47"/>
      <c r="O1142" s="47"/>
      <c r="P1142" s="47"/>
      <c r="Q1142" s="47"/>
      <c r="R1142" s="47"/>
      <c r="S1142" s="50"/>
      <c r="T1142" s="47"/>
      <c r="U1142" s="47"/>
      <c r="V1142" s="47"/>
      <c r="W1142" s="51"/>
      <c r="X1142" s="51"/>
      <c r="Y1142" s="47"/>
      <c r="Z1142" s="47"/>
      <c r="AA1142" s="47"/>
      <c r="AB1142" s="47"/>
      <c r="AC1142" s="47"/>
      <c r="AD1142" s="47"/>
      <c r="AE1142" s="54"/>
      <c r="AF1142" s="54"/>
      <c r="AG1142" s="55"/>
      <c r="AH1142" s="54"/>
      <c r="AI1142" s="54"/>
      <c r="AJ1142" s="54"/>
      <c r="AK1142" s="54"/>
      <c r="AL1142" s="54"/>
      <c r="AM1142" s="54"/>
      <c r="AN1142" s="54"/>
      <c r="AO1142" s="54"/>
      <c r="AP1142" s="54"/>
      <c r="AQ1142" s="54"/>
      <c r="AR1142" s="54"/>
      <c r="AS1142" s="54"/>
      <c r="AT1142" s="54"/>
      <c r="AU1142" s="54"/>
      <c r="AV1142" s="54"/>
      <c r="AW1142" s="54"/>
      <c r="AX1142" s="54"/>
      <c r="AY1142" s="54"/>
      <c r="AZ1142" s="54"/>
      <c r="BA1142" s="54"/>
      <c r="BB1142" s="54"/>
      <c r="BC1142" s="56"/>
      <c r="BD1142" s="51"/>
      <c r="BE1142" s="54"/>
      <c r="BF1142" s="54"/>
      <c r="BG1142" s="47"/>
      <c r="BH1142" s="48"/>
      <c r="BI1142" s="48"/>
      <c r="BJ1142" s="48"/>
      <c r="BK1142" s="48"/>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52"/>
      <c r="CG1142" s="52"/>
      <c r="CH1142" s="48"/>
      <c r="CI1142" s="48"/>
      <c r="CJ1142" s="48"/>
      <c r="CK1142" s="48"/>
    </row>
    <row r="1143" spans="1:89" ht="15.75" customHeight="1" x14ac:dyDescent="0.3">
      <c r="A1143" s="47"/>
      <c r="B1143" s="48"/>
      <c r="C1143" s="47"/>
      <c r="D1143" s="48"/>
      <c r="E1143" s="48"/>
      <c r="F1143" s="48"/>
      <c r="G1143" s="48"/>
      <c r="H1143" s="48"/>
      <c r="I1143" s="49"/>
      <c r="J1143" s="47"/>
      <c r="K1143" s="47"/>
      <c r="L1143" s="47"/>
      <c r="M1143" s="47"/>
      <c r="N1143" s="47"/>
      <c r="O1143" s="47"/>
      <c r="P1143" s="47"/>
      <c r="Q1143" s="47"/>
      <c r="R1143" s="47"/>
      <c r="S1143" s="50"/>
      <c r="T1143" s="47"/>
      <c r="U1143" s="47"/>
      <c r="V1143" s="47"/>
      <c r="W1143" s="51"/>
      <c r="X1143" s="51"/>
      <c r="Y1143" s="47"/>
      <c r="Z1143" s="47"/>
      <c r="AA1143" s="47"/>
      <c r="AB1143" s="47"/>
      <c r="AC1143" s="47"/>
      <c r="AD1143" s="47"/>
      <c r="AE1143" s="54"/>
      <c r="AF1143" s="54"/>
      <c r="AG1143" s="55"/>
      <c r="AH1143" s="54"/>
      <c r="AI1143" s="54"/>
      <c r="AJ1143" s="54"/>
      <c r="AK1143" s="54"/>
      <c r="AL1143" s="54"/>
      <c r="AM1143" s="54"/>
      <c r="AN1143" s="54"/>
      <c r="AO1143" s="54"/>
      <c r="AP1143" s="54"/>
      <c r="AQ1143" s="54"/>
      <c r="AR1143" s="54"/>
      <c r="AS1143" s="54"/>
      <c r="AT1143" s="54"/>
      <c r="AU1143" s="54"/>
      <c r="AV1143" s="54"/>
      <c r="AW1143" s="54"/>
      <c r="AX1143" s="54"/>
      <c r="AY1143" s="54"/>
      <c r="AZ1143" s="54"/>
      <c r="BA1143" s="54"/>
      <c r="BB1143" s="54"/>
      <c r="BC1143" s="56"/>
      <c r="BD1143" s="51"/>
      <c r="BE1143" s="54"/>
      <c r="BF1143" s="54"/>
      <c r="BG1143" s="47"/>
      <c r="BH1143" s="48"/>
      <c r="BI1143" s="48"/>
      <c r="BJ1143" s="48"/>
      <c r="BK1143" s="48"/>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52"/>
      <c r="CG1143" s="52"/>
      <c r="CH1143" s="48"/>
      <c r="CI1143" s="48"/>
      <c r="CJ1143" s="48"/>
      <c r="CK1143" s="48"/>
    </row>
    <row r="1144" spans="1:89" ht="15.75" customHeight="1" x14ac:dyDescent="0.3">
      <c r="A1144" s="47"/>
      <c r="B1144" s="48"/>
      <c r="C1144" s="47"/>
      <c r="D1144" s="48"/>
      <c r="E1144" s="48"/>
      <c r="F1144" s="48"/>
      <c r="G1144" s="48"/>
      <c r="H1144" s="48"/>
      <c r="I1144" s="49"/>
      <c r="J1144" s="47"/>
      <c r="K1144" s="47"/>
      <c r="L1144" s="47"/>
      <c r="M1144" s="47"/>
      <c r="N1144" s="47"/>
      <c r="O1144" s="47"/>
      <c r="P1144" s="47"/>
      <c r="Q1144" s="47"/>
      <c r="R1144" s="47"/>
      <c r="S1144" s="50"/>
      <c r="T1144" s="47"/>
      <c r="U1144" s="47"/>
      <c r="V1144" s="47"/>
      <c r="W1144" s="51"/>
      <c r="X1144" s="51"/>
      <c r="Y1144" s="47"/>
      <c r="Z1144" s="47"/>
      <c r="AA1144" s="47"/>
      <c r="AB1144" s="47"/>
      <c r="AC1144" s="47"/>
      <c r="AD1144" s="47"/>
      <c r="AE1144" s="54"/>
      <c r="AF1144" s="54"/>
      <c r="AG1144" s="55"/>
      <c r="AH1144" s="54"/>
      <c r="AI1144" s="54"/>
      <c r="AJ1144" s="54"/>
      <c r="AK1144" s="54"/>
      <c r="AL1144" s="54"/>
      <c r="AM1144" s="54"/>
      <c r="AN1144" s="54"/>
      <c r="AO1144" s="54"/>
      <c r="AP1144" s="54"/>
      <c r="AQ1144" s="54"/>
      <c r="AR1144" s="54"/>
      <c r="AS1144" s="54"/>
      <c r="AT1144" s="54"/>
      <c r="AU1144" s="54"/>
      <c r="AV1144" s="54"/>
      <c r="AW1144" s="54"/>
      <c r="AX1144" s="54"/>
      <c r="AY1144" s="54"/>
      <c r="AZ1144" s="54"/>
      <c r="BA1144" s="54"/>
      <c r="BB1144" s="54"/>
      <c r="BC1144" s="56"/>
      <c r="BD1144" s="51"/>
      <c r="BE1144" s="54"/>
      <c r="BF1144" s="54"/>
      <c r="BG1144" s="47"/>
      <c r="BH1144" s="48"/>
      <c r="BI1144" s="48"/>
      <c r="BJ1144" s="48"/>
      <c r="BK1144" s="48"/>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52"/>
      <c r="CG1144" s="52"/>
      <c r="CH1144" s="48"/>
      <c r="CI1144" s="48"/>
      <c r="CJ1144" s="48"/>
      <c r="CK1144" s="48"/>
    </row>
    <row r="1145" spans="1:89" ht="15.75" customHeight="1" x14ac:dyDescent="0.3">
      <c r="A1145" s="47"/>
      <c r="B1145" s="48"/>
      <c r="C1145" s="47"/>
      <c r="D1145" s="48"/>
      <c r="E1145" s="48"/>
      <c r="F1145" s="48"/>
      <c r="G1145" s="48"/>
      <c r="H1145" s="48"/>
      <c r="I1145" s="49"/>
      <c r="J1145" s="47"/>
      <c r="K1145" s="47"/>
      <c r="L1145" s="47"/>
      <c r="M1145" s="47"/>
      <c r="N1145" s="47"/>
      <c r="O1145" s="47"/>
      <c r="P1145" s="47"/>
      <c r="Q1145" s="47"/>
      <c r="R1145" s="47"/>
      <c r="S1145" s="50"/>
      <c r="T1145" s="47"/>
      <c r="U1145" s="47"/>
      <c r="V1145" s="47"/>
      <c r="W1145" s="51"/>
      <c r="X1145" s="51"/>
      <c r="Y1145" s="47"/>
      <c r="Z1145" s="47"/>
      <c r="AA1145" s="47"/>
      <c r="AB1145" s="47"/>
      <c r="AC1145" s="47"/>
      <c r="AD1145" s="47"/>
      <c r="AE1145" s="54"/>
      <c r="AF1145" s="54"/>
      <c r="AG1145" s="55"/>
      <c r="AH1145" s="54"/>
      <c r="AI1145" s="54"/>
      <c r="AJ1145" s="54"/>
      <c r="AK1145" s="54"/>
      <c r="AL1145" s="54"/>
      <c r="AM1145" s="54"/>
      <c r="AN1145" s="54"/>
      <c r="AO1145" s="54"/>
      <c r="AP1145" s="54"/>
      <c r="AQ1145" s="54"/>
      <c r="AR1145" s="54"/>
      <c r="AS1145" s="54"/>
      <c r="AT1145" s="54"/>
      <c r="AU1145" s="54"/>
      <c r="AV1145" s="54"/>
      <c r="AW1145" s="54"/>
      <c r="AX1145" s="54"/>
      <c r="AY1145" s="54"/>
      <c r="AZ1145" s="54"/>
      <c r="BA1145" s="54"/>
      <c r="BB1145" s="54"/>
      <c r="BC1145" s="56"/>
      <c r="BD1145" s="51"/>
      <c r="BE1145" s="54"/>
      <c r="BF1145" s="54"/>
      <c r="BG1145" s="47"/>
      <c r="BH1145" s="48"/>
      <c r="BI1145" s="48"/>
      <c r="BJ1145" s="48"/>
      <c r="BK1145" s="48"/>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52"/>
      <c r="CG1145" s="52"/>
      <c r="CH1145" s="48"/>
      <c r="CI1145" s="48"/>
      <c r="CJ1145" s="48"/>
      <c r="CK1145" s="48"/>
    </row>
    <row r="1146" spans="1:89" ht="15.75" customHeight="1" x14ac:dyDescent="0.3">
      <c r="A1146" s="47"/>
      <c r="B1146" s="48"/>
      <c r="C1146" s="47"/>
      <c r="D1146" s="48"/>
      <c r="E1146" s="48"/>
      <c r="F1146" s="48"/>
      <c r="G1146" s="48"/>
      <c r="H1146" s="48"/>
      <c r="I1146" s="49"/>
      <c r="J1146" s="47"/>
      <c r="K1146" s="47"/>
      <c r="L1146" s="47"/>
      <c r="M1146" s="47"/>
      <c r="N1146" s="47"/>
      <c r="O1146" s="47"/>
      <c r="P1146" s="47"/>
      <c r="Q1146" s="47"/>
      <c r="R1146" s="47"/>
      <c r="S1146" s="50"/>
      <c r="T1146" s="47"/>
      <c r="U1146" s="47"/>
      <c r="V1146" s="47"/>
      <c r="W1146" s="51"/>
      <c r="X1146" s="51"/>
      <c r="Y1146" s="47"/>
      <c r="Z1146" s="47"/>
      <c r="AA1146" s="47"/>
      <c r="AB1146" s="47"/>
      <c r="AC1146" s="47"/>
      <c r="AD1146" s="47"/>
      <c r="AE1146" s="54"/>
      <c r="AF1146" s="54"/>
      <c r="AG1146" s="55"/>
      <c r="AH1146" s="54"/>
      <c r="AI1146" s="54"/>
      <c r="AJ1146" s="54"/>
      <c r="AK1146" s="54"/>
      <c r="AL1146" s="54"/>
      <c r="AM1146" s="54"/>
      <c r="AN1146" s="54"/>
      <c r="AO1146" s="54"/>
      <c r="AP1146" s="54"/>
      <c r="AQ1146" s="54"/>
      <c r="AR1146" s="54"/>
      <c r="AS1146" s="54"/>
      <c r="AT1146" s="54"/>
      <c r="AU1146" s="54"/>
      <c r="AV1146" s="54"/>
      <c r="AW1146" s="54"/>
      <c r="AX1146" s="54"/>
      <c r="AY1146" s="54"/>
      <c r="AZ1146" s="54"/>
      <c r="BA1146" s="54"/>
      <c r="BB1146" s="54"/>
      <c r="BC1146" s="56"/>
      <c r="BD1146" s="51"/>
      <c r="BE1146" s="54"/>
      <c r="BF1146" s="54"/>
      <c r="BG1146" s="47"/>
      <c r="BH1146" s="48"/>
      <c r="BI1146" s="48"/>
      <c r="BJ1146" s="48"/>
      <c r="BK1146" s="48"/>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52"/>
      <c r="CG1146" s="52"/>
      <c r="CH1146" s="48"/>
      <c r="CI1146" s="48"/>
      <c r="CJ1146" s="48"/>
      <c r="CK1146" s="48"/>
    </row>
    <row r="1147" spans="1:89" ht="15.75" customHeight="1" x14ac:dyDescent="0.3">
      <c r="A1147" s="47"/>
      <c r="B1147" s="48"/>
      <c r="C1147" s="47"/>
      <c r="D1147" s="48"/>
      <c r="E1147" s="48"/>
      <c r="F1147" s="48"/>
      <c r="G1147" s="48"/>
      <c r="H1147" s="48"/>
      <c r="I1147" s="49"/>
      <c r="J1147" s="47"/>
      <c r="K1147" s="47"/>
      <c r="L1147" s="47"/>
      <c r="M1147" s="47"/>
      <c r="N1147" s="47"/>
      <c r="O1147" s="47"/>
      <c r="P1147" s="47"/>
      <c r="Q1147" s="47"/>
      <c r="R1147" s="47"/>
      <c r="S1147" s="50"/>
      <c r="T1147" s="47"/>
      <c r="U1147" s="47"/>
      <c r="V1147" s="47"/>
      <c r="W1147" s="51"/>
      <c r="X1147" s="51"/>
      <c r="Y1147" s="47"/>
      <c r="Z1147" s="47"/>
      <c r="AA1147" s="47"/>
      <c r="AB1147" s="47"/>
      <c r="AC1147" s="47"/>
      <c r="AD1147" s="47"/>
      <c r="AE1147" s="54"/>
      <c r="AF1147" s="54"/>
      <c r="AG1147" s="55"/>
      <c r="AH1147" s="54"/>
      <c r="AI1147" s="54"/>
      <c r="AJ1147" s="54"/>
      <c r="AK1147" s="54"/>
      <c r="AL1147" s="54"/>
      <c r="AM1147" s="54"/>
      <c r="AN1147" s="54"/>
      <c r="AO1147" s="54"/>
      <c r="AP1147" s="54"/>
      <c r="AQ1147" s="54"/>
      <c r="AR1147" s="54"/>
      <c r="AS1147" s="54"/>
      <c r="AT1147" s="54"/>
      <c r="AU1147" s="54"/>
      <c r="AV1147" s="54"/>
      <c r="AW1147" s="54"/>
      <c r="AX1147" s="54"/>
      <c r="AY1147" s="54"/>
      <c r="AZ1147" s="54"/>
      <c r="BA1147" s="54"/>
      <c r="BB1147" s="54"/>
      <c r="BC1147" s="56"/>
      <c r="BD1147" s="51"/>
      <c r="BE1147" s="54"/>
      <c r="BF1147" s="54"/>
      <c r="BG1147" s="47"/>
      <c r="BH1147" s="48"/>
      <c r="BI1147" s="48"/>
      <c r="BJ1147" s="48"/>
      <c r="BK1147" s="48"/>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52"/>
      <c r="CG1147" s="52"/>
      <c r="CH1147" s="48"/>
      <c r="CI1147" s="48"/>
      <c r="CJ1147" s="48"/>
      <c r="CK1147" s="48"/>
    </row>
    <row r="1148" spans="1:89" ht="15.75" customHeight="1" x14ac:dyDescent="0.3">
      <c r="A1148" s="47"/>
      <c r="B1148" s="48"/>
      <c r="C1148" s="47"/>
      <c r="D1148" s="48"/>
      <c r="E1148" s="48"/>
      <c r="F1148" s="48"/>
      <c r="G1148" s="48"/>
      <c r="H1148" s="48"/>
      <c r="I1148" s="49"/>
      <c r="J1148" s="47"/>
      <c r="K1148" s="47"/>
      <c r="L1148" s="47"/>
      <c r="M1148" s="47"/>
      <c r="N1148" s="47"/>
      <c r="O1148" s="47"/>
      <c r="P1148" s="47"/>
      <c r="Q1148" s="47"/>
      <c r="R1148" s="47"/>
      <c r="S1148" s="50"/>
      <c r="T1148" s="47"/>
      <c r="U1148" s="47"/>
      <c r="V1148" s="47"/>
      <c r="W1148" s="51"/>
      <c r="X1148" s="51"/>
      <c r="Y1148" s="47"/>
      <c r="Z1148" s="47"/>
      <c r="AA1148" s="47"/>
      <c r="AB1148" s="47"/>
      <c r="AC1148" s="47"/>
      <c r="AD1148" s="47"/>
      <c r="AE1148" s="54"/>
      <c r="AF1148" s="54"/>
      <c r="AG1148" s="55"/>
      <c r="AH1148" s="54"/>
      <c r="AI1148" s="54"/>
      <c r="AJ1148" s="54"/>
      <c r="AK1148" s="54"/>
      <c r="AL1148" s="54"/>
      <c r="AM1148" s="54"/>
      <c r="AN1148" s="54"/>
      <c r="AO1148" s="54"/>
      <c r="AP1148" s="54"/>
      <c r="AQ1148" s="54"/>
      <c r="AR1148" s="54"/>
      <c r="AS1148" s="54"/>
      <c r="AT1148" s="54"/>
      <c r="AU1148" s="54"/>
      <c r="AV1148" s="54"/>
      <c r="AW1148" s="54"/>
      <c r="AX1148" s="54"/>
      <c r="AY1148" s="54"/>
      <c r="AZ1148" s="54"/>
      <c r="BA1148" s="54"/>
      <c r="BB1148" s="54"/>
      <c r="BC1148" s="56"/>
      <c r="BD1148" s="51"/>
      <c r="BE1148" s="54"/>
      <c r="BF1148" s="54"/>
      <c r="BG1148" s="47"/>
      <c r="BH1148" s="48"/>
      <c r="BI1148" s="48"/>
      <c r="BJ1148" s="48"/>
      <c r="BK1148" s="48"/>
      <c r="BL1148" s="48"/>
      <c r="BM1148" s="48"/>
      <c r="BN1148" s="48"/>
      <c r="BO1148" s="48"/>
      <c r="BP1148" s="48"/>
      <c r="BQ1148" s="48"/>
      <c r="BR1148" s="48"/>
      <c r="BS1148" s="48"/>
      <c r="BT1148" s="48"/>
      <c r="BU1148" s="48"/>
      <c r="BV1148" s="48"/>
      <c r="BW1148" s="48"/>
      <c r="BX1148" s="48"/>
      <c r="BY1148" s="48"/>
      <c r="BZ1148" s="48"/>
      <c r="CA1148" s="48"/>
      <c r="CB1148" s="48"/>
      <c r="CC1148" s="48"/>
      <c r="CD1148" s="48"/>
      <c r="CE1148" s="48"/>
      <c r="CF1148" s="52"/>
      <c r="CG1148" s="52"/>
      <c r="CH1148" s="48"/>
      <c r="CI1148" s="48"/>
      <c r="CJ1148" s="48"/>
      <c r="CK1148" s="48"/>
    </row>
    <row r="1149" spans="1:89" ht="15.75" customHeight="1" x14ac:dyDescent="0.3">
      <c r="A1149" s="47"/>
      <c r="B1149" s="48"/>
      <c r="C1149" s="47"/>
      <c r="D1149" s="48"/>
      <c r="E1149" s="48"/>
      <c r="F1149" s="48"/>
      <c r="G1149" s="48"/>
      <c r="H1149" s="48"/>
      <c r="I1149" s="49"/>
      <c r="J1149" s="47"/>
      <c r="K1149" s="47"/>
      <c r="L1149" s="47"/>
      <c r="M1149" s="47"/>
      <c r="N1149" s="47"/>
      <c r="O1149" s="47"/>
      <c r="P1149" s="47"/>
      <c r="Q1149" s="47"/>
      <c r="R1149" s="47"/>
      <c r="S1149" s="50"/>
      <c r="T1149" s="47"/>
      <c r="U1149" s="47"/>
      <c r="V1149" s="47"/>
      <c r="W1149" s="51"/>
      <c r="X1149" s="51"/>
      <c r="Y1149" s="47"/>
      <c r="Z1149" s="47"/>
      <c r="AA1149" s="47"/>
      <c r="AB1149" s="47"/>
      <c r="AC1149" s="47"/>
      <c r="AD1149" s="47"/>
      <c r="AE1149" s="54"/>
      <c r="AF1149" s="54"/>
      <c r="AG1149" s="55"/>
      <c r="AH1149" s="54"/>
      <c r="AI1149" s="54"/>
      <c r="AJ1149" s="54"/>
      <c r="AK1149" s="54"/>
      <c r="AL1149" s="54"/>
      <c r="AM1149" s="54"/>
      <c r="AN1149" s="54"/>
      <c r="AO1149" s="54"/>
      <c r="AP1149" s="54"/>
      <c r="AQ1149" s="54"/>
      <c r="AR1149" s="54"/>
      <c r="AS1149" s="54"/>
      <c r="AT1149" s="54"/>
      <c r="AU1149" s="54"/>
      <c r="AV1149" s="54"/>
      <c r="AW1149" s="54"/>
      <c r="AX1149" s="54"/>
      <c r="AY1149" s="54"/>
      <c r="AZ1149" s="54"/>
      <c r="BA1149" s="54"/>
      <c r="BB1149" s="54"/>
      <c r="BC1149" s="56"/>
      <c r="BD1149" s="51"/>
      <c r="BE1149" s="54"/>
      <c r="BF1149" s="54"/>
      <c r="BG1149" s="47"/>
      <c r="BH1149" s="48"/>
      <c r="BI1149" s="48"/>
      <c r="BJ1149" s="48"/>
      <c r="BK1149" s="48"/>
      <c r="BL1149" s="48"/>
      <c r="BM1149" s="48"/>
      <c r="BN1149" s="48"/>
      <c r="BO1149" s="48"/>
      <c r="BP1149" s="48"/>
      <c r="BQ1149" s="48"/>
      <c r="BR1149" s="48"/>
      <c r="BS1149" s="48"/>
      <c r="BT1149" s="48"/>
      <c r="BU1149" s="48"/>
      <c r="BV1149" s="48"/>
      <c r="BW1149" s="48"/>
      <c r="BX1149" s="48"/>
      <c r="BY1149" s="48"/>
      <c r="BZ1149" s="48"/>
      <c r="CA1149" s="48"/>
      <c r="CB1149" s="48"/>
      <c r="CC1149" s="48"/>
      <c r="CD1149" s="48"/>
      <c r="CE1149" s="48"/>
      <c r="CF1149" s="52"/>
      <c r="CG1149" s="52"/>
      <c r="CH1149" s="48"/>
      <c r="CI1149" s="48"/>
      <c r="CJ1149" s="48"/>
      <c r="CK1149" s="48"/>
    </row>
    <row r="1150" spans="1:89" ht="15.75" customHeight="1" x14ac:dyDescent="0.3">
      <c r="A1150" s="47"/>
      <c r="B1150" s="48"/>
      <c r="C1150" s="47"/>
      <c r="D1150" s="48"/>
      <c r="E1150" s="48"/>
      <c r="F1150" s="48"/>
      <c r="G1150" s="48"/>
      <c r="H1150" s="48"/>
      <c r="I1150" s="49"/>
      <c r="J1150" s="47"/>
      <c r="K1150" s="47"/>
      <c r="L1150" s="47"/>
      <c r="M1150" s="47"/>
      <c r="N1150" s="47"/>
      <c r="O1150" s="47"/>
      <c r="P1150" s="47"/>
      <c r="Q1150" s="47"/>
      <c r="R1150" s="47"/>
      <c r="S1150" s="50"/>
      <c r="T1150" s="47"/>
      <c r="U1150" s="47"/>
      <c r="V1150" s="47"/>
      <c r="W1150" s="51"/>
      <c r="X1150" s="51"/>
      <c r="Y1150" s="47"/>
      <c r="Z1150" s="47"/>
      <c r="AA1150" s="47"/>
      <c r="AB1150" s="47"/>
      <c r="AC1150" s="47"/>
      <c r="AD1150" s="47"/>
      <c r="AE1150" s="54"/>
      <c r="AF1150" s="54"/>
      <c r="AG1150" s="55"/>
      <c r="AH1150" s="54"/>
      <c r="AI1150" s="54"/>
      <c r="AJ1150" s="54"/>
      <c r="AK1150" s="54"/>
      <c r="AL1150" s="54"/>
      <c r="AM1150" s="54"/>
      <c r="AN1150" s="54"/>
      <c r="AO1150" s="54"/>
      <c r="AP1150" s="54"/>
      <c r="AQ1150" s="54"/>
      <c r="AR1150" s="54"/>
      <c r="AS1150" s="54"/>
      <c r="AT1150" s="54"/>
      <c r="AU1150" s="54"/>
      <c r="AV1150" s="54"/>
      <c r="AW1150" s="54"/>
      <c r="AX1150" s="54"/>
      <c r="AY1150" s="54"/>
      <c r="AZ1150" s="54"/>
      <c r="BA1150" s="54"/>
      <c r="BB1150" s="54"/>
      <c r="BC1150" s="56"/>
      <c r="BD1150" s="51"/>
      <c r="BE1150" s="54"/>
      <c r="BF1150" s="54"/>
      <c r="BG1150" s="47"/>
      <c r="BH1150" s="48"/>
      <c r="BI1150" s="48"/>
      <c r="BJ1150" s="48"/>
      <c r="BK1150" s="48"/>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52"/>
      <c r="CG1150" s="52"/>
      <c r="CH1150" s="48"/>
      <c r="CI1150" s="48"/>
      <c r="CJ1150" s="48"/>
      <c r="CK1150" s="48"/>
    </row>
    <row r="1151" spans="1:89" ht="15.75" customHeight="1" x14ac:dyDescent="0.3">
      <c r="A1151" s="47"/>
      <c r="B1151" s="48"/>
      <c r="C1151" s="47"/>
      <c r="D1151" s="48"/>
      <c r="E1151" s="48"/>
      <c r="F1151" s="48"/>
      <c r="G1151" s="48"/>
      <c r="H1151" s="48"/>
      <c r="I1151" s="49"/>
      <c r="J1151" s="47"/>
      <c r="K1151" s="47"/>
      <c r="L1151" s="47"/>
      <c r="M1151" s="47"/>
      <c r="N1151" s="47"/>
      <c r="O1151" s="47"/>
      <c r="P1151" s="47"/>
      <c r="Q1151" s="47"/>
      <c r="R1151" s="47"/>
      <c r="S1151" s="50"/>
      <c r="T1151" s="47"/>
      <c r="U1151" s="47"/>
      <c r="V1151" s="47"/>
      <c r="W1151" s="51"/>
      <c r="X1151" s="51"/>
      <c r="Y1151" s="47"/>
      <c r="Z1151" s="47"/>
      <c r="AA1151" s="47"/>
      <c r="AB1151" s="47"/>
      <c r="AC1151" s="47"/>
      <c r="AD1151" s="47"/>
      <c r="AE1151" s="54"/>
      <c r="AF1151" s="54"/>
      <c r="AG1151" s="55"/>
      <c r="AH1151" s="54"/>
      <c r="AI1151" s="54"/>
      <c r="AJ1151" s="54"/>
      <c r="AK1151" s="54"/>
      <c r="AL1151" s="54"/>
      <c r="AM1151" s="54"/>
      <c r="AN1151" s="54"/>
      <c r="AO1151" s="54"/>
      <c r="AP1151" s="54"/>
      <c r="AQ1151" s="54"/>
      <c r="AR1151" s="54"/>
      <c r="AS1151" s="54"/>
      <c r="AT1151" s="54"/>
      <c r="AU1151" s="54"/>
      <c r="AV1151" s="54"/>
      <c r="AW1151" s="54"/>
      <c r="AX1151" s="54"/>
      <c r="AY1151" s="54"/>
      <c r="AZ1151" s="54"/>
      <c r="BA1151" s="54"/>
      <c r="BB1151" s="54"/>
      <c r="BC1151" s="56"/>
      <c r="BD1151" s="51"/>
      <c r="BE1151" s="54"/>
      <c r="BF1151" s="54"/>
      <c r="BG1151" s="47"/>
      <c r="BH1151" s="48"/>
      <c r="BI1151" s="48"/>
      <c r="BJ1151" s="48"/>
      <c r="BK1151" s="48"/>
      <c r="BL1151" s="48"/>
      <c r="BM1151" s="48"/>
      <c r="BN1151" s="48"/>
      <c r="BO1151" s="48"/>
      <c r="BP1151" s="48"/>
      <c r="BQ1151" s="48"/>
      <c r="BR1151" s="48"/>
      <c r="BS1151" s="48"/>
      <c r="BT1151" s="48"/>
      <c r="BU1151" s="48"/>
      <c r="BV1151" s="48"/>
      <c r="BW1151" s="48"/>
      <c r="BX1151" s="48"/>
      <c r="BY1151" s="48"/>
      <c r="BZ1151" s="48"/>
      <c r="CA1151" s="48"/>
      <c r="CB1151" s="48"/>
      <c r="CC1151" s="48"/>
      <c r="CD1151" s="48"/>
      <c r="CE1151" s="48"/>
      <c r="CF1151" s="52"/>
      <c r="CG1151" s="52"/>
      <c r="CH1151" s="48"/>
      <c r="CI1151" s="48"/>
      <c r="CJ1151" s="48"/>
      <c r="CK1151" s="48"/>
    </row>
    <row r="1152" spans="1:89" ht="15.75" customHeight="1" x14ac:dyDescent="0.3">
      <c r="A1152" s="47"/>
      <c r="B1152" s="48"/>
      <c r="C1152" s="47"/>
      <c r="D1152" s="48"/>
      <c r="E1152" s="48"/>
      <c r="F1152" s="48"/>
      <c r="G1152" s="48"/>
      <c r="H1152" s="48"/>
      <c r="I1152" s="49"/>
      <c r="J1152" s="47"/>
      <c r="K1152" s="47"/>
      <c r="L1152" s="47"/>
      <c r="M1152" s="47"/>
      <c r="N1152" s="47"/>
      <c r="O1152" s="47"/>
      <c r="P1152" s="47"/>
      <c r="Q1152" s="47"/>
      <c r="R1152" s="47"/>
      <c r="S1152" s="50"/>
      <c r="T1152" s="47"/>
      <c r="U1152" s="47"/>
      <c r="V1152" s="47"/>
      <c r="W1152" s="51"/>
      <c r="X1152" s="51"/>
      <c r="Y1152" s="47"/>
      <c r="Z1152" s="47"/>
      <c r="AA1152" s="47"/>
      <c r="AB1152" s="47"/>
      <c r="AC1152" s="47"/>
      <c r="AD1152" s="47"/>
      <c r="AE1152" s="54"/>
      <c r="AF1152" s="54"/>
      <c r="AG1152" s="55"/>
      <c r="AH1152" s="54"/>
      <c r="AI1152" s="54"/>
      <c r="AJ1152" s="54"/>
      <c r="AK1152" s="54"/>
      <c r="AL1152" s="54"/>
      <c r="AM1152" s="54"/>
      <c r="AN1152" s="54"/>
      <c r="AO1152" s="54"/>
      <c r="AP1152" s="54"/>
      <c r="AQ1152" s="54"/>
      <c r="AR1152" s="54"/>
      <c r="AS1152" s="54"/>
      <c r="AT1152" s="54"/>
      <c r="AU1152" s="54"/>
      <c r="AV1152" s="54"/>
      <c r="AW1152" s="54"/>
      <c r="AX1152" s="54"/>
      <c r="AY1152" s="54"/>
      <c r="AZ1152" s="54"/>
      <c r="BA1152" s="54"/>
      <c r="BB1152" s="54"/>
      <c r="BC1152" s="56"/>
      <c r="BD1152" s="51"/>
      <c r="BE1152" s="54"/>
      <c r="BF1152" s="54"/>
      <c r="BG1152" s="47"/>
      <c r="BH1152" s="48"/>
      <c r="BI1152" s="48"/>
      <c r="BJ1152" s="48"/>
      <c r="BK1152" s="48"/>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52"/>
      <c r="CG1152" s="52"/>
      <c r="CH1152" s="48"/>
      <c r="CI1152" s="48"/>
      <c r="CJ1152" s="48"/>
      <c r="CK1152" s="48"/>
    </row>
    <row r="1153" spans="1:89" ht="15.75" customHeight="1" x14ac:dyDescent="0.3">
      <c r="A1153" s="47"/>
      <c r="B1153" s="48"/>
      <c r="C1153" s="47"/>
      <c r="D1153" s="48"/>
      <c r="E1153" s="48"/>
      <c r="F1153" s="48"/>
      <c r="G1153" s="48"/>
      <c r="H1153" s="48"/>
      <c r="I1153" s="49"/>
      <c r="J1153" s="47"/>
      <c r="K1153" s="47"/>
      <c r="L1153" s="47"/>
      <c r="M1153" s="47"/>
      <c r="N1153" s="47"/>
      <c r="O1153" s="47"/>
      <c r="P1153" s="47"/>
      <c r="Q1153" s="47"/>
      <c r="R1153" s="47"/>
      <c r="S1153" s="50"/>
      <c r="T1153" s="47"/>
      <c r="U1153" s="47"/>
      <c r="V1153" s="47"/>
      <c r="W1153" s="51"/>
      <c r="X1153" s="51"/>
      <c r="Y1153" s="47"/>
      <c r="Z1153" s="47"/>
      <c r="AA1153" s="47"/>
      <c r="AB1153" s="47"/>
      <c r="AC1153" s="47"/>
      <c r="AD1153" s="47"/>
      <c r="AE1153" s="54"/>
      <c r="AF1153" s="54"/>
      <c r="AG1153" s="55"/>
      <c r="AH1153" s="54"/>
      <c r="AI1153" s="54"/>
      <c r="AJ1153" s="54"/>
      <c r="AK1153" s="54"/>
      <c r="AL1153" s="54"/>
      <c r="AM1153" s="54"/>
      <c r="AN1153" s="54"/>
      <c r="AO1153" s="54"/>
      <c r="AP1153" s="54"/>
      <c r="AQ1153" s="54"/>
      <c r="AR1153" s="54"/>
      <c r="AS1153" s="54"/>
      <c r="AT1153" s="54"/>
      <c r="AU1153" s="54"/>
      <c r="AV1153" s="54"/>
      <c r="AW1153" s="54"/>
      <c r="AX1153" s="54"/>
      <c r="AY1153" s="54"/>
      <c r="AZ1153" s="54"/>
      <c r="BA1153" s="54"/>
      <c r="BB1153" s="54"/>
      <c r="BC1153" s="56"/>
      <c r="BD1153" s="51"/>
      <c r="BE1153" s="54"/>
      <c r="BF1153" s="54"/>
      <c r="BG1153" s="47"/>
      <c r="BH1153" s="48"/>
      <c r="BI1153" s="48"/>
      <c r="BJ1153" s="48"/>
      <c r="BK1153" s="48"/>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52"/>
      <c r="CG1153" s="52"/>
      <c r="CH1153" s="48"/>
      <c r="CI1153" s="48"/>
      <c r="CJ1153" s="48"/>
      <c r="CK1153" s="48"/>
    </row>
    <row r="1154" spans="1:89" ht="15.75" customHeight="1" x14ac:dyDescent="0.3">
      <c r="A1154" s="47"/>
      <c r="B1154" s="48"/>
      <c r="C1154" s="47"/>
      <c r="D1154" s="48"/>
      <c r="E1154" s="48"/>
      <c r="F1154" s="48"/>
      <c r="G1154" s="48"/>
      <c r="H1154" s="48"/>
      <c r="I1154" s="49"/>
      <c r="J1154" s="47"/>
      <c r="K1154" s="47"/>
      <c r="L1154" s="47"/>
      <c r="M1154" s="47"/>
      <c r="N1154" s="47"/>
      <c r="O1154" s="47"/>
      <c r="P1154" s="47"/>
      <c r="Q1154" s="47"/>
      <c r="R1154" s="47"/>
      <c r="S1154" s="50"/>
      <c r="T1154" s="47"/>
      <c r="U1154" s="47"/>
      <c r="V1154" s="47"/>
      <c r="W1154" s="51"/>
      <c r="X1154" s="51"/>
      <c r="Y1154" s="47"/>
      <c r="Z1154" s="47"/>
      <c r="AA1154" s="47"/>
      <c r="AB1154" s="47"/>
      <c r="AC1154" s="47"/>
      <c r="AD1154" s="47"/>
      <c r="AE1154" s="54"/>
      <c r="AF1154" s="54"/>
      <c r="AG1154" s="55"/>
      <c r="AH1154" s="54"/>
      <c r="AI1154" s="54"/>
      <c r="AJ1154" s="54"/>
      <c r="AK1154" s="54"/>
      <c r="AL1154" s="54"/>
      <c r="AM1154" s="54"/>
      <c r="AN1154" s="54"/>
      <c r="AO1154" s="54"/>
      <c r="AP1154" s="54"/>
      <c r="AQ1154" s="54"/>
      <c r="AR1154" s="54"/>
      <c r="AS1154" s="54"/>
      <c r="AT1154" s="54"/>
      <c r="AU1154" s="54"/>
      <c r="AV1154" s="54"/>
      <c r="AW1154" s="54"/>
      <c r="AX1154" s="54"/>
      <c r="AY1154" s="54"/>
      <c r="AZ1154" s="54"/>
      <c r="BA1154" s="54"/>
      <c r="BB1154" s="54"/>
      <c r="BC1154" s="56"/>
      <c r="BD1154" s="51"/>
      <c r="BE1154" s="54"/>
      <c r="BF1154" s="54"/>
      <c r="BG1154" s="47"/>
      <c r="BH1154" s="48"/>
      <c r="BI1154" s="48"/>
      <c r="BJ1154" s="48"/>
      <c r="BK1154" s="48"/>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52"/>
      <c r="CG1154" s="52"/>
      <c r="CH1154" s="48"/>
      <c r="CI1154" s="48"/>
      <c r="CJ1154" s="48"/>
      <c r="CK1154" s="48"/>
    </row>
    <row r="1155" spans="1:89" ht="15.75" customHeight="1" x14ac:dyDescent="0.3">
      <c r="A1155" s="47"/>
      <c r="B1155" s="48"/>
      <c r="C1155" s="47"/>
      <c r="D1155" s="48"/>
      <c r="E1155" s="48"/>
      <c r="F1155" s="48"/>
      <c r="G1155" s="48"/>
      <c r="H1155" s="48"/>
      <c r="I1155" s="49"/>
      <c r="J1155" s="47"/>
      <c r="K1155" s="47"/>
      <c r="L1155" s="47"/>
      <c r="M1155" s="47"/>
      <c r="N1155" s="47"/>
      <c r="O1155" s="47"/>
      <c r="P1155" s="47"/>
      <c r="Q1155" s="47"/>
      <c r="R1155" s="47"/>
      <c r="S1155" s="50"/>
      <c r="T1155" s="47"/>
      <c r="U1155" s="47"/>
      <c r="V1155" s="47"/>
      <c r="W1155" s="51"/>
      <c r="X1155" s="51"/>
      <c r="Y1155" s="47"/>
      <c r="Z1155" s="47"/>
      <c r="AA1155" s="47"/>
      <c r="AB1155" s="47"/>
      <c r="AC1155" s="47"/>
      <c r="AD1155" s="47"/>
      <c r="AE1155" s="54"/>
      <c r="AF1155" s="54"/>
      <c r="AG1155" s="55"/>
      <c r="AH1155" s="54"/>
      <c r="AI1155" s="54"/>
      <c r="AJ1155" s="54"/>
      <c r="AK1155" s="54"/>
      <c r="AL1155" s="54"/>
      <c r="AM1155" s="54"/>
      <c r="AN1155" s="54"/>
      <c r="AO1155" s="54"/>
      <c r="AP1155" s="54"/>
      <c r="AQ1155" s="54"/>
      <c r="AR1155" s="54"/>
      <c r="AS1155" s="54"/>
      <c r="AT1155" s="54"/>
      <c r="AU1155" s="54"/>
      <c r="AV1155" s="54"/>
      <c r="AW1155" s="54"/>
      <c r="AX1155" s="54"/>
      <c r="AY1155" s="54"/>
      <c r="AZ1155" s="54"/>
      <c r="BA1155" s="54"/>
      <c r="BB1155" s="54"/>
      <c r="BC1155" s="56"/>
      <c r="BD1155" s="51"/>
      <c r="BE1155" s="54"/>
      <c r="BF1155" s="54"/>
      <c r="BG1155" s="47"/>
      <c r="BH1155" s="48"/>
      <c r="BI1155" s="48"/>
      <c r="BJ1155" s="48"/>
      <c r="BK1155" s="48"/>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52"/>
      <c r="CG1155" s="52"/>
      <c r="CH1155" s="48"/>
      <c r="CI1155" s="48"/>
      <c r="CJ1155" s="48"/>
      <c r="CK1155" s="48"/>
    </row>
    <row r="1156" spans="1:89" ht="15.75" customHeight="1" x14ac:dyDescent="0.3">
      <c r="A1156" s="47"/>
      <c r="B1156" s="48"/>
      <c r="C1156" s="47"/>
      <c r="D1156" s="48"/>
      <c r="E1156" s="48"/>
      <c r="F1156" s="48"/>
      <c r="G1156" s="48"/>
      <c r="H1156" s="48"/>
      <c r="I1156" s="49"/>
      <c r="J1156" s="47"/>
      <c r="K1156" s="47"/>
      <c r="L1156" s="47"/>
      <c r="M1156" s="47"/>
      <c r="N1156" s="47"/>
      <c r="O1156" s="47"/>
      <c r="P1156" s="47"/>
      <c r="Q1156" s="47"/>
      <c r="R1156" s="47"/>
      <c r="S1156" s="50"/>
      <c r="T1156" s="47"/>
      <c r="U1156" s="47"/>
      <c r="V1156" s="47"/>
      <c r="W1156" s="51"/>
      <c r="X1156" s="51"/>
      <c r="Y1156" s="47"/>
      <c r="Z1156" s="47"/>
      <c r="AA1156" s="47"/>
      <c r="AB1156" s="47"/>
      <c r="AC1156" s="47"/>
      <c r="AD1156" s="47"/>
      <c r="AE1156" s="54"/>
      <c r="AF1156" s="54"/>
      <c r="AG1156" s="55"/>
      <c r="AH1156" s="54"/>
      <c r="AI1156" s="54"/>
      <c r="AJ1156" s="54"/>
      <c r="AK1156" s="54"/>
      <c r="AL1156" s="54"/>
      <c r="AM1156" s="54"/>
      <c r="AN1156" s="54"/>
      <c r="AO1156" s="54"/>
      <c r="AP1156" s="54"/>
      <c r="AQ1156" s="54"/>
      <c r="AR1156" s="54"/>
      <c r="AS1156" s="54"/>
      <c r="AT1156" s="54"/>
      <c r="AU1156" s="54"/>
      <c r="AV1156" s="54"/>
      <c r="AW1156" s="54"/>
      <c r="AX1156" s="54"/>
      <c r="AY1156" s="54"/>
      <c r="AZ1156" s="54"/>
      <c r="BA1156" s="54"/>
      <c r="BB1156" s="54"/>
      <c r="BC1156" s="56"/>
      <c r="BD1156" s="51"/>
      <c r="BE1156" s="54"/>
      <c r="BF1156" s="54"/>
      <c r="BG1156" s="47"/>
      <c r="BH1156" s="48"/>
      <c r="BI1156" s="48"/>
      <c r="BJ1156" s="48"/>
      <c r="BK1156" s="48"/>
      <c r="BL1156" s="48"/>
      <c r="BM1156" s="48"/>
      <c r="BN1156" s="48"/>
      <c r="BO1156" s="48"/>
      <c r="BP1156" s="48"/>
      <c r="BQ1156" s="48"/>
      <c r="BR1156" s="48"/>
      <c r="BS1156" s="48"/>
      <c r="BT1156" s="48"/>
      <c r="BU1156" s="48"/>
      <c r="BV1156" s="48"/>
      <c r="BW1156" s="48"/>
      <c r="BX1156" s="48"/>
      <c r="BY1156" s="48"/>
      <c r="BZ1156" s="48"/>
      <c r="CA1156" s="48"/>
      <c r="CB1156" s="48"/>
      <c r="CC1156" s="48"/>
      <c r="CD1156" s="48"/>
      <c r="CE1156" s="48"/>
      <c r="CF1156" s="52"/>
      <c r="CG1156" s="52"/>
      <c r="CH1156" s="48"/>
      <c r="CI1156" s="48"/>
      <c r="CJ1156" s="48"/>
      <c r="CK1156" s="48"/>
    </row>
    <row r="1157" spans="1:89" ht="15.75" customHeight="1" x14ac:dyDescent="0.3">
      <c r="A1157" s="47"/>
      <c r="B1157" s="48"/>
      <c r="C1157" s="47"/>
      <c r="D1157" s="48"/>
      <c r="E1157" s="48"/>
      <c r="F1157" s="48"/>
      <c r="G1157" s="48"/>
      <c r="H1157" s="48"/>
      <c r="I1157" s="49"/>
      <c r="J1157" s="47"/>
      <c r="K1157" s="47"/>
      <c r="L1157" s="47"/>
      <c r="M1157" s="47"/>
      <c r="N1157" s="47"/>
      <c r="O1157" s="47"/>
      <c r="P1157" s="47"/>
      <c r="Q1157" s="47"/>
      <c r="R1157" s="47"/>
      <c r="S1157" s="50"/>
      <c r="T1157" s="47"/>
      <c r="U1157" s="47"/>
      <c r="V1157" s="47"/>
      <c r="W1157" s="51"/>
      <c r="X1157" s="51"/>
      <c r="Y1157" s="47"/>
      <c r="Z1157" s="47"/>
      <c r="AA1157" s="47"/>
      <c r="AB1157" s="47"/>
      <c r="AC1157" s="47"/>
      <c r="AD1157" s="47"/>
      <c r="AE1157" s="54"/>
      <c r="AF1157" s="54"/>
      <c r="AG1157" s="55"/>
      <c r="AH1157" s="54"/>
      <c r="AI1157" s="54"/>
      <c r="AJ1157" s="54"/>
      <c r="AK1157" s="54"/>
      <c r="AL1157" s="54"/>
      <c r="AM1157" s="54"/>
      <c r="AN1157" s="54"/>
      <c r="AO1157" s="54"/>
      <c r="AP1157" s="54"/>
      <c r="AQ1157" s="54"/>
      <c r="AR1157" s="54"/>
      <c r="AS1157" s="54"/>
      <c r="AT1157" s="54"/>
      <c r="AU1157" s="54"/>
      <c r="AV1157" s="54"/>
      <c r="AW1157" s="54"/>
      <c r="AX1157" s="54"/>
      <c r="AY1157" s="54"/>
      <c r="AZ1157" s="54"/>
      <c r="BA1157" s="54"/>
      <c r="BB1157" s="54"/>
      <c r="BC1157" s="56"/>
      <c r="BD1157" s="51"/>
      <c r="BE1157" s="54"/>
      <c r="BF1157" s="54"/>
      <c r="BG1157" s="47"/>
      <c r="BH1157" s="48"/>
      <c r="BI1157" s="48"/>
      <c r="BJ1157" s="48"/>
      <c r="BK1157" s="48"/>
      <c r="BL1157" s="48"/>
      <c r="BM1157" s="48"/>
      <c r="BN1157" s="48"/>
      <c r="BO1157" s="48"/>
      <c r="BP1157" s="48"/>
      <c r="BQ1157" s="48"/>
      <c r="BR1157" s="48"/>
      <c r="BS1157" s="48"/>
      <c r="BT1157" s="48"/>
      <c r="BU1157" s="48"/>
      <c r="BV1157" s="48"/>
      <c r="BW1157" s="48"/>
      <c r="BX1157" s="48"/>
      <c r="BY1157" s="48"/>
      <c r="BZ1157" s="48"/>
      <c r="CA1157" s="48"/>
      <c r="CB1157" s="48"/>
      <c r="CC1157" s="48"/>
      <c r="CD1157" s="48"/>
      <c r="CE1157" s="48"/>
      <c r="CF1157" s="52"/>
      <c r="CG1157" s="52"/>
      <c r="CH1157" s="48"/>
      <c r="CI1157" s="48"/>
      <c r="CJ1157" s="48"/>
      <c r="CK1157" s="48"/>
    </row>
    <row r="1158" spans="1:89" ht="15.75" customHeight="1" x14ac:dyDescent="0.3">
      <c r="A1158" s="47"/>
      <c r="B1158" s="48"/>
      <c r="C1158" s="47"/>
      <c r="D1158" s="48"/>
      <c r="E1158" s="48"/>
      <c r="F1158" s="48"/>
      <c r="G1158" s="48"/>
      <c r="H1158" s="48"/>
      <c r="I1158" s="49"/>
      <c r="J1158" s="47"/>
      <c r="K1158" s="47"/>
      <c r="L1158" s="47"/>
      <c r="M1158" s="47"/>
      <c r="N1158" s="47"/>
      <c r="O1158" s="47"/>
      <c r="P1158" s="47"/>
      <c r="Q1158" s="47"/>
      <c r="R1158" s="47"/>
      <c r="S1158" s="50"/>
      <c r="T1158" s="47"/>
      <c r="U1158" s="47"/>
      <c r="V1158" s="47"/>
      <c r="W1158" s="51"/>
      <c r="X1158" s="51"/>
      <c r="Y1158" s="47"/>
      <c r="Z1158" s="47"/>
      <c r="AA1158" s="47"/>
      <c r="AB1158" s="47"/>
      <c r="AC1158" s="47"/>
      <c r="AD1158" s="47"/>
      <c r="AE1158" s="54"/>
      <c r="AF1158" s="54"/>
      <c r="AG1158" s="55"/>
      <c r="AH1158" s="54"/>
      <c r="AI1158" s="54"/>
      <c r="AJ1158" s="54"/>
      <c r="AK1158" s="54"/>
      <c r="AL1158" s="54"/>
      <c r="AM1158" s="54"/>
      <c r="AN1158" s="54"/>
      <c r="AO1158" s="54"/>
      <c r="AP1158" s="54"/>
      <c r="AQ1158" s="54"/>
      <c r="AR1158" s="54"/>
      <c r="AS1158" s="54"/>
      <c r="AT1158" s="54"/>
      <c r="AU1158" s="54"/>
      <c r="AV1158" s="54"/>
      <c r="AW1158" s="54"/>
      <c r="AX1158" s="54"/>
      <c r="AY1158" s="54"/>
      <c r="AZ1158" s="54"/>
      <c r="BA1158" s="54"/>
      <c r="BB1158" s="54"/>
      <c r="BC1158" s="56"/>
      <c r="BD1158" s="51"/>
      <c r="BE1158" s="54"/>
      <c r="BF1158" s="54"/>
      <c r="BG1158" s="47"/>
      <c r="BH1158" s="48"/>
      <c r="BI1158" s="48"/>
      <c r="BJ1158" s="48"/>
      <c r="BK1158" s="48"/>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52"/>
      <c r="CG1158" s="52"/>
      <c r="CH1158" s="48"/>
      <c r="CI1158" s="48"/>
      <c r="CJ1158" s="48"/>
      <c r="CK1158" s="48"/>
    </row>
    <row r="1159" spans="1:89" ht="15.75" customHeight="1" x14ac:dyDescent="0.3">
      <c r="A1159" s="47"/>
      <c r="B1159" s="48"/>
      <c r="C1159" s="47"/>
      <c r="D1159" s="48"/>
      <c r="E1159" s="48"/>
      <c r="F1159" s="48"/>
      <c r="G1159" s="48"/>
      <c r="H1159" s="48"/>
      <c r="I1159" s="49"/>
      <c r="J1159" s="47"/>
      <c r="K1159" s="47"/>
      <c r="L1159" s="47"/>
      <c r="M1159" s="47"/>
      <c r="N1159" s="47"/>
      <c r="O1159" s="47"/>
      <c r="P1159" s="47"/>
      <c r="Q1159" s="47"/>
      <c r="R1159" s="47"/>
      <c r="S1159" s="50"/>
      <c r="T1159" s="47"/>
      <c r="U1159" s="47"/>
      <c r="V1159" s="47"/>
      <c r="W1159" s="51"/>
      <c r="X1159" s="51"/>
      <c r="Y1159" s="47"/>
      <c r="Z1159" s="47"/>
      <c r="AA1159" s="47"/>
      <c r="AB1159" s="47"/>
      <c r="AC1159" s="47"/>
      <c r="AD1159" s="47"/>
      <c r="AE1159" s="54"/>
      <c r="AF1159" s="54"/>
      <c r="AG1159" s="55"/>
      <c r="AH1159" s="54"/>
      <c r="AI1159" s="54"/>
      <c r="AJ1159" s="54"/>
      <c r="AK1159" s="54"/>
      <c r="AL1159" s="54"/>
      <c r="AM1159" s="54"/>
      <c r="AN1159" s="54"/>
      <c r="AO1159" s="54"/>
      <c r="AP1159" s="54"/>
      <c r="AQ1159" s="54"/>
      <c r="AR1159" s="54"/>
      <c r="AS1159" s="54"/>
      <c r="AT1159" s="54"/>
      <c r="AU1159" s="54"/>
      <c r="AV1159" s="54"/>
      <c r="AW1159" s="54"/>
      <c r="AX1159" s="54"/>
      <c r="AY1159" s="54"/>
      <c r="AZ1159" s="54"/>
      <c r="BA1159" s="54"/>
      <c r="BB1159" s="54"/>
      <c r="BC1159" s="56"/>
      <c r="BD1159" s="51"/>
      <c r="BE1159" s="54"/>
      <c r="BF1159" s="54"/>
      <c r="BG1159" s="47"/>
      <c r="BH1159" s="48"/>
      <c r="BI1159" s="48"/>
      <c r="BJ1159" s="48"/>
      <c r="BK1159" s="48"/>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52"/>
      <c r="CG1159" s="52"/>
      <c r="CH1159" s="48"/>
      <c r="CI1159" s="48"/>
      <c r="CJ1159" s="48"/>
      <c r="CK1159" s="48"/>
    </row>
    <row r="1160" spans="1:89" ht="15.75" customHeight="1" x14ac:dyDescent="0.3">
      <c r="A1160" s="47"/>
      <c r="B1160" s="48"/>
      <c r="C1160" s="47"/>
      <c r="D1160" s="48"/>
      <c r="E1160" s="48"/>
      <c r="F1160" s="48"/>
      <c r="G1160" s="48"/>
      <c r="H1160" s="48"/>
      <c r="I1160" s="49"/>
      <c r="J1160" s="47"/>
      <c r="K1160" s="47"/>
      <c r="L1160" s="47"/>
      <c r="M1160" s="47"/>
      <c r="N1160" s="47"/>
      <c r="O1160" s="47"/>
      <c r="P1160" s="47"/>
      <c r="Q1160" s="47"/>
      <c r="R1160" s="47"/>
      <c r="S1160" s="50"/>
      <c r="T1160" s="47"/>
      <c r="U1160" s="47"/>
      <c r="V1160" s="47"/>
      <c r="W1160" s="51"/>
      <c r="X1160" s="51"/>
      <c r="Y1160" s="47"/>
      <c r="Z1160" s="47"/>
      <c r="AA1160" s="47"/>
      <c r="AB1160" s="47"/>
      <c r="AC1160" s="47"/>
      <c r="AD1160" s="47"/>
      <c r="AE1160" s="54"/>
      <c r="AF1160" s="54"/>
      <c r="AG1160" s="55"/>
      <c r="AH1160" s="54"/>
      <c r="AI1160" s="54"/>
      <c r="AJ1160" s="54"/>
      <c r="AK1160" s="54"/>
      <c r="AL1160" s="54"/>
      <c r="AM1160" s="54"/>
      <c r="AN1160" s="54"/>
      <c r="AO1160" s="54"/>
      <c r="AP1160" s="54"/>
      <c r="AQ1160" s="54"/>
      <c r="AR1160" s="54"/>
      <c r="AS1160" s="54"/>
      <c r="AT1160" s="54"/>
      <c r="AU1160" s="54"/>
      <c r="AV1160" s="54"/>
      <c r="AW1160" s="54"/>
      <c r="AX1160" s="54"/>
      <c r="AY1160" s="54"/>
      <c r="AZ1160" s="54"/>
      <c r="BA1160" s="54"/>
      <c r="BB1160" s="54"/>
      <c r="BC1160" s="56"/>
      <c r="BD1160" s="51"/>
      <c r="BE1160" s="54"/>
      <c r="BF1160" s="54"/>
      <c r="BG1160" s="47"/>
      <c r="BH1160" s="48"/>
      <c r="BI1160" s="48"/>
      <c r="BJ1160" s="48"/>
      <c r="BK1160" s="48"/>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52"/>
      <c r="CG1160" s="52"/>
      <c r="CH1160" s="48"/>
      <c r="CI1160" s="48"/>
      <c r="CJ1160" s="48"/>
      <c r="CK1160" s="48"/>
    </row>
    <row r="1161" spans="1:89" ht="15.75" customHeight="1" x14ac:dyDescent="0.3">
      <c r="A1161" s="47"/>
      <c r="B1161" s="48"/>
      <c r="C1161" s="47"/>
      <c r="D1161" s="48"/>
      <c r="E1161" s="48"/>
      <c r="F1161" s="48"/>
      <c r="G1161" s="48"/>
      <c r="H1161" s="48"/>
      <c r="I1161" s="49"/>
      <c r="J1161" s="47"/>
      <c r="K1161" s="47"/>
      <c r="L1161" s="47"/>
      <c r="M1161" s="47"/>
      <c r="N1161" s="47"/>
      <c r="O1161" s="47"/>
      <c r="P1161" s="47"/>
      <c r="Q1161" s="47"/>
      <c r="R1161" s="47"/>
      <c r="S1161" s="50"/>
      <c r="T1161" s="47"/>
      <c r="U1161" s="47"/>
      <c r="V1161" s="47"/>
      <c r="W1161" s="51"/>
      <c r="X1161" s="51"/>
      <c r="Y1161" s="47"/>
      <c r="Z1161" s="47"/>
      <c r="AA1161" s="47"/>
      <c r="AB1161" s="47"/>
      <c r="AC1161" s="47"/>
      <c r="AD1161" s="47"/>
      <c r="AE1161" s="54"/>
      <c r="AF1161" s="54"/>
      <c r="AG1161" s="55"/>
      <c r="AH1161" s="54"/>
      <c r="AI1161" s="54"/>
      <c r="AJ1161" s="54"/>
      <c r="AK1161" s="54"/>
      <c r="AL1161" s="54"/>
      <c r="AM1161" s="54"/>
      <c r="AN1161" s="54"/>
      <c r="AO1161" s="54"/>
      <c r="AP1161" s="54"/>
      <c r="AQ1161" s="54"/>
      <c r="AR1161" s="54"/>
      <c r="AS1161" s="54"/>
      <c r="AT1161" s="54"/>
      <c r="AU1161" s="54"/>
      <c r="AV1161" s="54"/>
      <c r="AW1161" s="54"/>
      <c r="AX1161" s="54"/>
      <c r="AY1161" s="54"/>
      <c r="AZ1161" s="54"/>
      <c r="BA1161" s="54"/>
      <c r="BB1161" s="54"/>
      <c r="BC1161" s="56"/>
      <c r="BD1161" s="51"/>
      <c r="BE1161" s="54"/>
      <c r="BF1161" s="54"/>
      <c r="BG1161" s="47"/>
      <c r="BH1161" s="48"/>
      <c r="BI1161" s="48"/>
      <c r="BJ1161" s="48"/>
      <c r="BK1161" s="48"/>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52"/>
      <c r="CG1161" s="52"/>
      <c r="CH1161" s="48"/>
      <c r="CI1161" s="48"/>
      <c r="CJ1161" s="48"/>
      <c r="CK1161" s="48"/>
    </row>
    <row r="1162" spans="1:89" ht="15.75" customHeight="1" x14ac:dyDescent="0.3">
      <c r="A1162" s="47"/>
      <c r="B1162" s="48"/>
      <c r="C1162" s="47"/>
      <c r="D1162" s="48"/>
      <c r="E1162" s="48"/>
      <c r="F1162" s="48"/>
      <c r="G1162" s="48"/>
      <c r="H1162" s="48"/>
      <c r="I1162" s="49"/>
      <c r="J1162" s="47"/>
      <c r="K1162" s="47"/>
      <c r="L1162" s="47"/>
      <c r="M1162" s="47"/>
      <c r="N1162" s="47"/>
      <c r="O1162" s="47"/>
      <c r="P1162" s="47"/>
      <c r="Q1162" s="47"/>
      <c r="R1162" s="47"/>
      <c r="S1162" s="50"/>
      <c r="T1162" s="47"/>
      <c r="U1162" s="47"/>
      <c r="V1162" s="47"/>
      <c r="W1162" s="51"/>
      <c r="X1162" s="51"/>
      <c r="Y1162" s="47"/>
      <c r="Z1162" s="47"/>
      <c r="AA1162" s="47"/>
      <c r="AB1162" s="47"/>
      <c r="AC1162" s="47"/>
      <c r="AD1162" s="47"/>
      <c r="AE1162" s="54"/>
      <c r="AF1162" s="54"/>
      <c r="AG1162" s="55"/>
      <c r="AH1162" s="54"/>
      <c r="AI1162" s="54"/>
      <c r="AJ1162" s="54"/>
      <c r="AK1162" s="54"/>
      <c r="AL1162" s="54"/>
      <c r="AM1162" s="54"/>
      <c r="AN1162" s="54"/>
      <c r="AO1162" s="54"/>
      <c r="AP1162" s="54"/>
      <c r="AQ1162" s="54"/>
      <c r="AR1162" s="54"/>
      <c r="AS1162" s="54"/>
      <c r="AT1162" s="54"/>
      <c r="AU1162" s="54"/>
      <c r="AV1162" s="54"/>
      <c r="AW1162" s="54"/>
      <c r="AX1162" s="54"/>
      <c r="AY1162" s="54"/>
      <c r="AZ1162" s="54"/>
      <c r="BA1162" s="54"/>
      <c r="BB1162" s="54"/>
      <c r="BC1162" s="56"/>
      <c r="BD1162" s="51"/>
      <c r="BE1162" s="54"/>
      <c r="BF1162" s="54"/>
      <c r="BG1162" s="47"/>
      <c r="BH1162" s="48"/>
      <c r="BI1162" s="48"/>
      <c r="BJ1162" s="48"/>
      <c r="BK1162" s="48"/>
      <c r="BL1162" s="48"/>
      <c r="BM1162" s="48"/>
      <c r="BN1162" s="48"/>
      <c r="BO1162" s="48"/>
      <c r="BP1162" s="48"/>
      <c r="BQ1162" s="48"/>
      <c r="BR1162" s="48"/>
      <c r="BS1162" s="48"/>
      <c r="BT1162" s="48"/>
      <c r="BU1162" s="48"/>
      <c r="BV1162" s="48"/>
      <c r="BW1162" s="48"/>
      <c r="BX1162" s="48"/>
      <c r="BY1162" s="48"/>
      <c r="BZ1162" s="48"/>
      <c r="CA1162" s="48"/>
      <c r="CB1162" s="48"/>
      <c r="CC1162" s="48"/>
      <c r="CD1162" s="48"/>
      <c r="CE1162" s="48"/>
      <c r="CF1162" s="52"/>
      <c r="CG1162" s="52"/>
      <c r="CH1162" s="48"/>
      <c r="CI1162" s="48"/>
      <c r="CJ1162" s="48"/>
      <c r="CK1162" s="48"/>
    </row>
    <row r="1163" spans="1:89" ht="15.75" customHeight="1" x14ac:dyDescent="0.3">
      <c r="A1163" s="47"/>
      <c r="B1163" s="48"/>
      <c r="C1163" s="47"/>
      <c r="D1163" s="48"/>
      <c r="E1163" s="48"/>
      <c r="F1163" s="48"/>
      <c r="G1163" s="48"/>
      <c r="H1163" s="48"/>
      <c r="I1163" s="49"/>
      <c r="J1163" s="47"/>
      <c r="K1163" s="47"/>
      <c r="L1163" s="47"/>
      <c r="M1163" s="47"/>
      <c r="N1163" s="47"/>
      <c r="O1163" s="47"/>
      <c r="P1163" s="47"/>
      <c r="Q1163" s="47"/>
      <c r="R1163" s="47"/>
      <c r="S1163" s="50"/>
      <c r="T1163" s="47"/>
      <c r="U1163" s="47"/>
      <c r="V1163" s="47"/>
      <c r="W1163" s="51"/>
      <c r="X1163" s="51"/>
      <c r="Y1163" s="47"/>
      <c r="Z1163" s="47"/>
      <c r="AA1163" s="47"/>
      <c r="AB1163" s="47"/>
      <c r="AC1163" s="47"/>
      <c r="AD1163" s="47"/>
      <c r="AE1163" s="54"/>
      <c r="AF1163" s="54"/>
      <c r="AG1163" s="55"/>
      <c r="AH1163" s="54"/>
      <c r="AI1163" s="54"/>
      <c r="AJ1163" s="54"/>
      <c r="AK1163" s="54"/>
      <c r="AL1163" s="54"/>
      <c r="AM1163" s="54"/>
      <c r="AN1163" s="54"/>
      <c r="AO1163" s="54"/>
      <c r="AP1163" s="54"/>
      <c r="AQ1163" s="54"/>
      <c r="AR1163" s="54"/>
      <c r="AS1163" s="54"/>
      <c r="AT1163" s="54"/>
      <c r="AU1163" s="54"/>
      <c r="AV1163" s="54"/>
      <c r="AW1163" s="54"/>
      <c r="AX1163" s="54"/>
      <c r="AY1163" s="54"/>
      <c r="AZ1163" s="54"/>
      <c r="BA1163" s="54"/>
      <c r="BB1163" s="54"/>
      <c r="BC1163" s="56"/>
      <c r="BD1163" s="51"/>
      <c r="BE1163" s="54"/>
      <c r="BF1163" s="54"/>
      <c r="BG1163" s="47"/>
      <c r="BH1163" s="48"/>
      <c r="BI1163" s="48"/>
      <c r="BJ1163" s="48"/>
      <c r="BK1163" s="48"/>
      <c r="BL1163" s="48"/>
      <c r="BM1163" s="48"/>
      <c r="BN1163" s="48"/>
      <c r="BO1163" s="48"/>
      <c r="BP1163" s="48"/>
      <c r="BQ1163" s="48"/>
      <c r="BR1163" s="48"/>
      <c r="BS1163" s="48"/>
      <c r="BT1163" s="48"/>
      <c r="BU1163" s="48"/>
      <c r="BV1163" s="48"/>
      <c r="BW1163" s="48"/>
      <c r="BX1163" s="48"/>
      <c r="BY1163" s="48"/>
      <c r="BZ1163" s="48"/>
      <c r="CA1163" s="48"/>
      <c r="CB1163" s="48"/>
      <c r="CC1163" s="48"/>
      <c r="CD1163" s="48"/>
      <c r="CE1163" s="48"/>
      <c r="CF1163" s="52"/>
      <c r="CG1163" s="52"/>
      <c r="CH1163" s="48"/>
      <c r="CI1163" s="48"/>
      <c r="CJ1163" s="48"/>
      <c r="CK1163" s="48"/>
    </row>
    <row r="1164" spans="1:89" ht="15.75" customHeight="1" x14ac:dyDescent="0.3">
      <c r="A1164" s="47"/>
      <c r="B1164" s="48"/>
      <c r="C1164" s="47"/>
      <c r="D1164" s="48"/>
      <c r="E1164" s="48"/>
      <c r="F1164" s="48"/>
      <c r="G1164" s="48"/>
      <c r="H1164" s="48"/>
      <c r="I1164" s="49"/>
      <c r="J1164" s="47"/>
      <c r="K1164" s="47"/>
      <c r="L1164" s="47"/>
      <c r="M1164" s="47"/>
      <c r="N1164" s="47"/>
      <c r="O1164" s="47"/>
      <c r="P1164" s="47"/>
      <c r="Q1164" s="47"/>
      <c r="R1164" s="47"/>
      <c r="S1164" s="50"/>
      <c r="T1164" s="47"/>
      <c r="U1164" s="47"/>
      <c r="V1164" s="47"/>
      <c r="W1164" s="51"/>
      <c r="X1164" s="51"/>
      <c r="Y1164" s="47"/>
      <c r="Z1164" s="47"/>
      <c r="AA1164" s="47"/>
      <c r="AB1164" s="47"/>
      <c r="AC1164" s="47"/>
      <c r="AD1164" s="47"/>
      <c r="AE1164" s="54"/>
      <c r="AF1164" s="54"/>
      <c r="AG1164" s="55"/>
      <c r="AH1164" s="54"/>
      <c r="AI1164" s="54"/>
      <c r="AJ1164" s="54"/>
      <c r="AK1164" s="54"/>
      <c r="AL1164" s="54"/>
      <c r="AM1164" s="54"/>
      <c r="AN1164" s="54"/>
      <c r="AO1164" s="54"/>
      <c r="AP1164" s="54"/>
      <c r="AQ1164" s="54"/>
      <c r="AR1164" s="54"/>
      <c r="AS1164" s="54"/>
      <c r="AT1164" s="54"/>
      <c r="AU1164" s="54"/>
      <c r="AV1164" s="54"/>
      <c r="AW1164" s="54"/>
      <c r="AX1164" s="54"/>
      <c r="AY1164" s="54"/>
      <c r="AZ1164" s="54"/>
      <c r="BA1164" s="54"/>
      <c r="BB1164" s="54"/>
      <c r="BC1164" s="56"/>
      <c r="BD1164" s="51"/>
      <c r="BE1164" s="54"/>
      <c r="BF1164" s="54"/>
      <c r="BG1164" s="47"/>
      <c r="BH1164" s="48"/>
      <c r="BI1164" s="48"/>
      <c r="BJ1164" s="48"/>
      <c r="BK1164" s="48"/>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52"/>
      <c r="CG1164" s="52"/>
      <c r="CH1164" s="48"/>
      <c r="CI1164" s="48"/>
      <c r="CJ1164" s="48"/>
      <c r="CK1164" s="48"/>
    </row>
    <row r="1165" spans="1:89" ht="15.75" customHeight="1" x14ac:dyDescent="0.3">
      <c r="A1165" s="47"/>
      <c r="B1165" s="48"/>
      <c r="C1165" s="47"/>
      <c r="D1165" s="48"/>
      <c r="E1165" s="48"/>
      <c r="F1165" s="48"/>
      <c r="G1165" s="48"/>
      <c r="H1165" s="48"/>
      <c r="I1165" s="49"/>
      <c r="J1165" s="47"/>
      <c r="K1165" s="47"/>
      <c r="L1165" s="47"/>
      <c r="M1165" s="47"/>
      <c r="N1165" s="47"/>
      <c r="O1165" s="47"/>
      <c r="P1165" s="47"/>
      <c r="Q1165" s="47"/>
      <c r="R1165" s="47"/>
      <c r="S1165" s="50"/>
      <c r="T1165" s="47"/>
      <c r="U1165" s="47"/>
      <c r="V1165" s="47"/>
      <c r="W1165" s="51"/>
      <c r="X1165" s="51"/>
      <c r="Y1165" s="47"/>
      <c r="Z1165" s="47"/>
      <c r="AA1165" s="47"/>
      <c r="AB1165" s="47"/>
      <c r="AC1165" s="47"/>
      <c r="AD1165" s="47"/>
      <c r="AE1165" s="54"/>
      <c r="AF1165" s="54"/>
      <c r="AG1165" s="55"/>
      <c r="AH1165" s="54"/>
      <c r="AI1165" s="54"/>
      <c r="AJ1165" s="54"/>
      <c r="AK1165" s="54"/>
      <c r="AL1165" s="54"/>
      <c r="AM1165" s="54"/>
      <c r="AN1165" s="54"/>
      <c r="AO1165" s="54"/>
      <c r="AP1165" s="54"/>
      <c r="AQ1165" s="54"/>
      <c r="AR1165" s="54"/>
      <c r="AS1165" s="54"/>
      <c r="AT1165" s="54"/>
      <c r="AU1165" s="54"/>
      <c r="AV1165" s="54"/>
      <c r="AW1165" s="54"/>
      <c r="AX1165" s="54"/>
      <c r="AY1165" s="54"/>
      <c r="AZ1165" s="54"/>
      <c r="BA1165" s="54"/>
      <c r="BB1165" s="54"/>
      <c r="BC1165" s="56"/>
      <c r="BD1165" s="51"/>
      <c r="BE1165" s="54"/>
      <c r="BF1165" s="54"/>
      <c r="BG1165" s="47"/>
      <c r="BH1165" s="48"/>
      <c r="BI1165" s="48"/>
      <c r="BJ1165" s="48"/>
      <c r="BK1165" s="48"/>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52"/>
      <c r="CG1165" s="52"/>
      <c r="CH1165" s="48"/>
      <c r="CI1165" s="48"/>
      <c r="CJ1165" s="48"/>
      <c r="CK1165" s="48"/>
    </row>
    <row r="1166" spans="1:89" ht="15.75" customHeight="1" x14ac:dyDescent="0.3">
      <c r="A1166" s="47"/>
      <c r="B1166" s="48"/>
      <c r="C1166" s="47"/>
      <c r="D1166" s="48"/>
      <c r="E1166" s="48"/>
      <c r="F1166" s="48"/>
      <c r="G1166" s="48"/>
      <c r="H1166" s="48"/>
      <c r="I1166" s="49"/>
      <c r="J1166" s="47"/>
      <c r="K1166" s="47"/>
      <c r="L1166" s="47"/>
      <c r="M1166" s="47"/>
      <c r="N1166" s="47"/>
      <c r="O1166" s="47"/>
      <c r="P1166" s="47"/>
      <c r="Q1166" s="47"/>
      <c r="R1166" s="47"/>
      <c r="S1166" s="50"/>
      <c r="T1166" s="47"/>
      <c r="U1166" s="47"/>
      <c r="V1166" s="47"/>
      <c r="W1166" s="51"/>
      <c r="X1166" s="51"/>
      <c r="Y1166" s="47"/>
      <c r="Z1166" s="47"/>
      <c r="AA1166" s="47"/>
      <c r="AB1166" s="47"/>
      <c r="AC1166" s="47"/>
      <c r="AD1166" s="47"/>
      <c r="AE1166" s="54"/>
      <c r="AF1166" s="54"/>
      <c r="AG1166" s="55"/>
      <c r="AH1166" s="54"/>
      <c r="AI1166" s="54"/>
      <c r="AJ1166" s="54"/>
      <c r="AK1166" s="54"/>
      <c r="AL1166" s="54"/>
      <c r="AM1166" s="54"/>
      <c r="AN1166" s="54"/>
      <c r="AO1166" s="54"/>
      <c r="AP1166" s="54"/>
      <c r="AQ1166" s="54"/>
      <c r="AR1166" s="54"/>
      <c r="AS1166" s="54"/>
      <c r="AT1166" s="54"/>
      <c r="AU1166" s="54"/>
      <c r="AV1166" s="54"/>
      <c r="AW1166" s="54"/>
      <c r="AX1166" s="54"/>
      <c r="AY1166" s="54"/>
      <c r="AZ1166" s="54"/>
      <c r="BA1166" s="54"/>
      <c r="BB1166" s="54"/>
      <c r="BC1166" s="56"/>
      <c r="BD1166" s="51"/>
      <c r="BE1166" s="54"/>
      <c r="BF1166" s="54"/>
      <c r="BG1166" s="47"/>
      <c r="BH1166" s="48"/>
      <c r="BI1166" s="48"/>
      <c r="BJ1166" s="48"/>
      <c r="BK1166" s="48"/>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52"/>
      <c r="CG1166" s="52"/>
      <c r="CH1166" s="48"/>
      <c r="CI1166" s="48"/>
      <c r="CJ1166" s="48"/>
      <c r="CK1166" s="48"/>
    </row>
    <row r="1167" spans="1:89" ht="15.75" customHeight="1" x14ac:dyDescent="0.3">
      <c r="A1167" s="47"/>
      <c r="B1167" s="48"/>
      <c r="C1167" s="47"/>
      <c r="D1167" s="48"/>
      <c r="E1167" s="48"/>
      <c r="F1167" s="48"/>
      <c r="G1167" s="48"/>
      <c r="H1167" s="48"/>
      <c r="I1167" s="49"/>
      <c r="J1167" s="47"/>
      <c r="K1167" s="47"/>
      <c r="L1167" s="47"/>
      <c r="M1167" s="47"/>
      <c r="N1167" s="47"/>
      <c r="O1167" s="47"/>
      <c r="P1167" s="47"/>
      <c r="Q1167" s="47"/>
      <c r="R1167" s="47"/>
      <c r="S1167" s="50"/>
      <c r="T1167" s="47"/>
      <c r="U1167" s="47"/>
      <c r="V1167" s="47"/>
      <c r="W1167" s="51"/>
      <c r="X1167" s="51"/>
      <c r="Y1167" s="47"/>
      <c r="Z1167" s="47"/>
      <c r="AA1167" s="47"/>
      <c r="AB1167" s="47"/>
      <c r="AC1167" s="47"/>
      <c r="AD1167" s="47"/>
      <c r="AE1167" s="54"/>
      <c r="AF1167" s="54"/>
      <c r="AG1167" s="55"/>
      <c r="AH1167" s="54"/>
      <c r="AI1167" s="54"/>
      <c r="AJ1167" s="54"/>
      <c r="AK1167" s="54"/>
      <c r="AL1167" s="54"/>
      <c r="AM1167" s="54"/>
      <c r="AN1167" s="54"/>
      <c r="AO1167" s="54"/>
      <c r="AP1167" s="54"/>
      <c r="AQ1167" s="54"/>
      <c r="AR1167" s="54"/>
      <c r="AS1167" s="54"/>
      <c r="AT1167" s="54"/>
      <c r="AU1167" s="54"/>
      <c r="AV1167" s="54"/>
      <c r="AW1167" s="54"/>
      <c r="AX1167" s="54"/>
      <c r="AY1167" s="54"/>
      <c r="AZ1167" s="54"/>
      <c r="BA1167" s="54"/>
      <c r="BB1167" s="54"/>
      <c r="BC1167" s="56"/>
      <c r="BD1167" s="51"/>
      <c r="BE1167" s="54"/>
      <c r="BF1167" s="54"/>
      <c r="BG1167" s="47"/>
      <c r="BH1167" s="48"/>
      <c r="BI1167" s="48"/>
      <c r="BJ1167" s="48"/>
      <c r="BK1167" s="48"/>
      <c r="BL1167" s="48"/>
      <c r="BM1167" s="48"/>
      <c r="BN1167" s="48"/>
      <c r="BO1167" s="48"/>
      <c r="BP1167" s="48"/>
      <c r="BQ1167" s="48"/>
      <c r="BR1167" s="48"/>
      <c r="BS1167" s="48"/>
      <c r="BT1167" s="48"/>
      <c r="BU1167" s="48"/>
      <c r="BV1167" s="48"/>
      <c r="BW1167" s="48"/>
      <c r="BX1167" s="48"/>
      <c r="BY1167" s="48"/>
      <c r="BZ1167" s="48"/>
      <c r="CA1167" s="48"/>
      <c r="CB1167" s="48"/>
      <c r="CC1167" s="48"/>
      <c r="CD1167" s="48"/>
      <c r="CE1167" s="48"/>
      <c r="CF1167" s="52"/>
      <c r="CG1167" s="52"/>
      <c r="CH1167" s="48"/>
      <c r="CI1167" s="48"/>
      <c r="CJ1167" s="48"/>
      <c r="CK1167" s="48"/>
    </row>
    <row r="1168" spans="1:89" ht="15.75" customHeight="1" x14ac:dyDescent="0.3">
      <c r="A1168" s="47"/>
      <c r="B1168" s="48"/>
      <c r="C1168" s="47"/>
      <c r="D1168" s="48"/>
      <c r="E1168" s="48"/>
      <c r="F1168" s="48"/>
      <c r="G1168" s="48"/>
      <c r="H1168" s="48"/>
      <c r="I1168" s="49"/>
      <c r="J1168" s="47"/>
      <c r="K1168" s="47"/>
      <c r="L1168" s="47"/>
      <c r="M1168" s="47"/>
      <c r="N1168" s="47"/>
      <c r="O1168" s="47"/>
      <c r="P1168" s="47"/>
      <c r="Q1168" s="47"/>
      <c r="R1168" s="47"/>
      <c r="S1168" s="50"/>
      <c r="T1168" s="47"/>
      <c r="U1168" s="47"/>
      <c r="V1168" s="47"/>
      <c r="W1168" s="51"/>
      <c r="X1168" s="51"/>
      <c r="Y1168" s="47"/>
      <c r="Z1168" s="47"/>
      <c r="AA1168" s="47"/>
      <c r="AB1168" s="47"/>
      <c r="AC1168" s="47"/>
      <c r="AD1168" s="47"/>
      <c r="AE1168" s="54"/>
      <c r="AF1168" s="54"/>
      <c r="AG1168" s="55"/>
      <c r="AH1168" s="54"/>
      <c r="AI1168" s="54"/>
      <c r="AJ1168" s="54"/>
      <c r="AK1168" s="54"/>
      <c r="AL1168" s="54"/>
      <c r="AM1168" s="54"/>
      <c r="AN1168" s="54"/>
      <c r="AO1168" s="54"/>
      <c r="AP1168" s="54"/>
      <c r="AQ1168" s="54"/>
      <c r="AR1168" s="54"/>
      <c r="AS1168" s="54"/>
      <c r="AT1168" s="54"/>
      <c r="AU1168" s="54"/>
      <c r="AV1168" s="54"/>
      <c r="AW1168" s="54"/>
      <c r="AX1168" s="54"/>
      <c r="AY1168" s="54"/>
      <c r="AZ1168" s="54"/>
      <c r="BA1168" s="54"/>
      <c r="BB1168" s="54"/>
      <c r="BC1168" s="56"/>
      <c r="BD1168" s="51"/>
      <c r="BE1168" s="54"/>
      <c r="BF1168" s="54"/>
      <c r="BG1168" s="47"/>
      <c r="BH1168" s="48"/>
      <c r="BI1168" s="48"/>
      <c r="BJ1168" s="48"/>
      <c r="BK1168" s="48"/>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52"/>
      <c r="CG1168" s="52"/>
      <c r="CH1168" s="48"/>
      <c r="CI1168" s="48"/>
      <c r="CJ1168" s="48"/>
      <c r="CK1168" s="48"/>
    </row>
    <row r="1169" spans="1:89" ht="15.75" customHeight="1" x14ac:dyDescent="0.3">
      <c r="A1169" s="47"/>
      <c r="B1169" s="48"/>
      <c r="C1169" s="47"/>
      <c r="D1169" s="48"/>
      <c r="E1169" s="48"/>
      <c r="F1169" s="48"/>
      <c r="G1169" s="48"/>
      <c r="H1169" s="48"/>
      <c r="I1169" s="49"/>
      <c r="J1169" s="47"/>
      <c r="K1169" s="47"/>
      <c r="L1169" s="47"/>
      <c r="M1169" s="47"/>
      <c r="N1169" s="47"/>
      <c r="O1169" s="47"/>
      <c r="P1169" s="47"/>
      <c r="Q1169" s="47"/>
      <c r="R1169" s="47"/>
      <c r="S1169" s="50"/>
      <c r="T1169" s="47"/>
      <c r="U1169" s="47"/>
      <c r="V1169" s="47"/>
      <c r="W1169" s="51"/>
      <c r="X1169" s="51"/>
      <c r="Y1169" s="47"/>
      <c r="Z1169" s="47"/>
      <c r="AA1169" s="47"/>
      <c r="AB1169" s="47"/>
      <c r="AC1169" s="47"/>
      <c r="AD1169" s="47"/>
      <c r="AE1169" s="54"/>
      <c r="AF1169" s="54"/>
      <c r="AG1169" s="55"/>
      <c r="AH1169" s="54"/>
      <c r="AI1169" s="54"/>
      <c r="AJ1169" s="54"/>
      <c r="AK1169" s="54"/>
      <c r="AL1169" s="54"/>
      <c r="AM1169" s="54"/>
      <c r="AN1169" s="54"/>
      <c r="AO1169" s="54"/>
      <c r="AP1169" s="54"/>
      <c r="AQ1169" s="54"/>
      <c r="AR1169" s="54"/>
      <c r="AS1169" s="54"/>
      <c r="AT1169" s="54"/>
      <c r="AU1169" s="54"/>
      <c r="AV1169" s="54"/>
      <c r="AW1169" s="54"/>
      <c r="AX1169" s="54"/>
      <c r="AY1169" s="54"/>
      <c r="AZ1169" s="54"/>
      <c r="BA1169" s="54"/>
      <c r="BB1169" s="54"/>
      <c r="BC1169" s="56"/>
      <c r="BD1169" s="51"/>
      <c r="BE1169" s="54"/>
      <c r="BF1169" s="54"/>
      <c r="BG1169" s="47"/>
      <c r="BH1169" s="48"/>
      <c r="BI1169" s="48"/>
      <c r="BJ1169" s="48"/>
      <c r="BK1169" s="48"/>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52"/>
      <c r="CG1169" s="52"/>
      <c r="CH1169" s="48"/>
      <c r="CI1169" s="48"/>
      <c r="CJ1169" s="48"/>
      <c r="CK1169" s="48"/>
    </row>
    <row r="1170" spans="1:89" ht="15.75" customHeight="1" x14ac:dyDescent="0.3">
      <c r="A1170" s="47"/>
      <c r="B1170" s="48"/>
      <c r="C1170" s="47"/>
      <c r="D1170" s="48"/>
      <c r="E1170" s="48"/>
      <c r="F1170" s="48"/>
      <c r="G1170" s="48"/>
      <c r="H1170" s="48"/>
      <c r="I1170" s="49"/>
      <c r="J1170" s="47"/>
      <c r="K1170" s="47"/>
      <c r="L1170" s="47"/>
      <c r="M1170" s="47"/>
      <c r="N1170" s="47"/>
      <c r="O1170" s="47"/>
      <c r="P1170" s="47"/>
      <c r="Q1170" s="47"/>
      <c r="R1170" s="47"/>
      <c r="S1170" s="50"/>
      <c r="T1170" s="47"/>
      <c r="U1170" s="47"/>
      <c r="V1170" s="47"/>
      <c r="W1170" s="51"/>
      <c r="X1170" s="51"/>
      <c r="Y1170" s="47"/>
      <c r="Z1170" s="47"/>
      <c r="AA1170" s="47"/>
      <c r="AB1170" s="47"/>
      <c r="AC1170" s="47"/>
      <c r="AD1170" s="47"/>
      <c r="AE1170" s="54"/>
      <c r="AF1170" s="54"/>
      <c r="AG1170" s="55"/>
      <c r="AH1170" s="54"/>
      <c r="AI1170" s="54"/>
      <c r="AJ1170" s="54"/>
      <c r="AK1170" s="54"/>
      <c r="AL1170" s="54"/>
      <c r="AM1170" s="54"/>
      <c r="AN1170" s="54"/>
      <c r="AO1170" s="54"/>
      <c r="AP1170" s="54"/>
      <c r="AQ1170" s="54"/>
      <c r="AR1170" s="54"/>
      <c r="AS1170" s="54"/>
      <c r="AT1170" s="54"/>
      <c r="AU1170" s="54"/>
      <c r="AV1170" s="54"/>
      <c r="AW1170" s="54"/>
      <c r="AX1170" s="54"/>
      <c r="AY1170" s="54"/>
      <c r="AZ1170" s="54"/>
      <c r="BA1170" s="54"/>
      <c r="BB1170" s="54"/>
      <c r="BC1170" s="56"/>
      <c r="BD1170" s="51"/>
      <c r="BE1170" s="54"/>
      <c r="BF1170" s="54"/>
      <c r="BG1170" s="47"/>
      <c r="BH1170" s="48"/>
      <c r="BI1170" s="48"/>
      <c r="BJ1170" s="48"/>
      <c r="BK1170" s="48"/>
      <c r="BL1170" s="48"/>
      <c r="BM1170" s="48"/>
      <c r="BN1170" s="48"/>
      <c r="BO1170" s="48"/>
      <c r="BP1170" s="48"/>
      <c r="BQ1170" s="48"/>
      <c r="BR1170" s="48"/>
      <c r="BS1170" s="48"/>
      <c r="BT1170" s="48"/>
      <c r="BU1170" s="48"/>
      <c r="BV1170" s="48"/>
      <c r="BW1170" s="48"/>
      <c r="BX1170" s="48"/>
      <c r="BY1170" s="48"/>
      <c r="BZ1170" s="48"/>
      <c r="CA1170" s="48"/>
      <c r="CB1170" s="48"/>
      <c r="CC1170" s="48"/>
      <c r="CD1170" s="48"/>
      <c r="CE1170" s="48"/>
      <c r="CF1170" s="52"/>
      <c r="CG1170" s="52"/>
      <c r="CH1170" s="48"/>
      <c r="CI1170" s="48"/>
      <c r="CJ1170" s="48"/>
      <c r="CK1170" s="48"/>
    </row>
    <row r="1171" spans="1:89" ht="15.75" customHeight="1" x14ac:dyDescent="0.3">
      <c r="A1171" s="47"/>
      <c r="B1171" s="48"/>
      <c r="C1171" s="47"/>
      <c r="D1171" s="48"/>
      <c r="E1171" s="48"/>
      <c r="F1171" s="48"/>
      <c r="G1171" s="48"/>
      <c r="H1171" s="48"/>
      <c r="I1171" s="49"/>
      <c r="J1171" s="47"/>
      <c r="K1171" s="47"/>
      <c r="L1171" s="47"/>
      <c r="M1171" s="47"/>
      <c r="N1171" s="47"/>
      <c r="O1171" s="47"/>
      <c r="P1171" s="47"/>
      <c r="Q1171" s="47"/>
      <c r="R1171" s="47"/>
      <c r="S1171" s="50"/>
      <c r="T1171" s="47"/>
      <c r="U1171" s="47"/>
      <c r="V1171" s="47"/>
      <c r="W1171" s="51"/>
      <c r="X1171" s="51"/>
      <c r="Y1171" s="47"/>
      <c r="Z1171" s="47"/>
      <c r="AA1171" s="47"/>
      <c r="AB1171" s="47"/>
      <c r="AC1171" s="47"/>
      <c r="AD1171" s="47"/>
      <c r="AE1171" s="54"/>
      <c r="AF1171" s="54"/>
      <c r="AG1171" s="55"/>
      <c r="AH1171" s="54"/>
      <c r="AI1171" s="54"/>
      <c r="AJ1171" s="54"/>
      <c r="AK1171" s="54"/>
      <c r="AL1171" s="54"/>
      <c r="AM1171" s="54"/>
      <c r="AN1171" s="54"/>
      <c r="AO1171" s="54"/>
      <c r="AP1171" s="54"/>
      <c r="AQ1171" s="54"/>
      <c r="AR1171" s="54"/>
      <c r="AS1171" s="54"/>
      <c r="AT1171" s="54"/>
      <c r="AU1171" s="54"/>
      <c r="AV1171" s="54"/>
      <c r="AW1171" s="54"/>
      <c r="AX1171" s="54"/>
      <c r="AY1171" s="54"/>
      <c r="AZ1171" s="54"/>
      <c r="BA1171" s="54"/>
      <c r="BB1171" s="54"/>
      <c r="BC1171" s="56"/>
      <c r="BD1171" s="51"/>
      <c r="BE1171" s="54"/>
      <c r="BF1171" s="54"/>
      <c r="BG1171" s="47"/>
      <c r="BH1171" s="48"/>
      <c r="BI1171" s="48"/>
      <c r="BJ1171" s="48"/>
      <c r="BK1171" s="48"/>
      <c r="BL1171" s="48"/>
      <c r="BM1171" s="48"/>
      <c r="BN1171" s="48"/>
      <c r="BO1171" s="48"/>
      <c r="BP1171" s="48"/>
      <c r="BQ1171" s="48"/>
      <c r="BR1171" s="48"/>
      <c r="BS1171" s="48"/>
      <c r="BT1171" s="48"/>
      <c r="BU1171" s="48"/>
      <c r="BV1171" s="48"/>
      <c r="BW1171" s="48"/>
      <c r="BX1171" s="48"/>
      <c r="BY1171" s="48"/>
      <c r="BZ1171" s="48"/>
      <c r="CA1171" s="48"/>
      <c r="CB1171" s="48"/>
      <c r="CC1171" s="48"/>
      <c r="CD1171" s="48"/>
      <c r="CE1171" s="48"/>
      <c r="CF1171" s="52"/>
      <c r="CG1171" s="52"/>
      <c r="CH1171" s="48"/>
      <c r="CI1171" s="48"/>
      <c r="CJ1171" s="48"/>
      <c r="CK1171" s="48"/>
    </row>
    <row r="1172" spans="1:89" ht="15.75" customHeight="1" x14ac:dyDescent="0.3">
      <c r="A1172" s="47"/>
      <c r="B1172" s="48"/>
      <c r="C1172" s="47"/>
      <c r="D1172" s="48"/>
      <c r="E1172" s="48"/>
      <c r="F1172" s="48"/>
      <c r="G1172" s="48"/>
      <c r="H1172" s="48"/>
      <c r="I1172" s="49"/>
      <c r="J1172" s="47"/>
      <c r="K1172" s="47"/>
      <c r="L1172" s="47"/>
      <c r="M1172" s="47"/>
      <c r="N1172" s="47"/>
      <c r="O1172" s="47"/>
      <c r="P1172" s="47"/>
      <c r="Q1172" s="47"/>
      <c r="R1172" s="47"/>
      <c r="S1172" s="50"/>
      <c r="T1172" s="47"/>
      <c r="U1172" s="47"/>
      <c r="V1172" s="47"/>
      <c r="W1172" s="51"/>
      <c r="X1172" s="51"/>
      <c r="Y1172" s="47"/>
      <c r="Z1172" s="47"/>
      <c r="AA1172" s="47"/>
      <c r="AB1172" s="47"/>
      <c r="AC1172" s="47"/>
      <c r="AD1172" s="47"/>
      <c r="AE1172" s="54"/>
      <c r="AF1172" s="54"/>
      <c r="AG1172" s="55"/>
      <c r="AH1172" s="54"/>
      <c r="AI1172" s="54"/>
      <c r="AJ1172" s="54"/>
      <c r="AK1172" s="54"/>
      <c r="AL1172" s="54"/>
      <c r="AM1172" s="54"/>
      <c r="AN1172" s="54"/>
      <c r="AO1172" s="54"/>
      <c r="AP1172" s="54"/>
      <c r="AQ1172" s="54"/>
      <c r="AR1172" s="54"/>
      <c r="AS1172" s="54"/>
      <c r="AT1172" s="54"/>
      <c r="AU1172" s="54"/>
      <c r="AV1172" s="54"/>
      <c r="AW1172" s="54"/>
      <c r="AX1172" s="54"/>
      <c r="AY1172" s="54"/>
      <c r="AZ1172" s="54"/>
      <c r="BA1172" s="54"/>
      <c r="BB1172" s="54"/>
      <c r="BC1172" s="56"/>
      <c r="BD1172" s="51"/>
      <c r="BE1172" s="54"/>
      <c r="BF1172" s="54"/>
      <c r="BG1172" s="47"/>
      <c r="BH1172" s="48"/>
      <c r="BI1172" s="48"/>
      <c r="BJ1172" s="48"/>
      <c r="BK1172" s="48"/>
      <c r="BL1172" s="48"/>
      <c r="BM1172" s="48"/>
      <c r="BN1172" s="48"/>
      <c r="BO1172" s="48"/>
      <c r="BP1172" s="48"/>
      <c r="BQ1172" s="48"/>
      <c r="BR1172" s="48"/>
      <c r="BS1172" s="48"/>
      <c r="BT1172" s="48"/>
      <c r="BU1172" s="48"/>
      <c r="BV1172" s="48"/>
      <c r="BW1172" s="48"/>
      <c r="BX1172" s="48"/>
      <c r="BY1172" s="48"/>
      <c r="BZ1172" s="48"/>
      <c r="CA1172" s="48"/>
      <c r="CB1172" s="48"/>
      <c r="CC1172" s="48"/>
      <c r="CD1172" s="48"/>
      <c r="CE1172" s="48"/>
      <c r="CF1172" s="52"/>
      <c r="CG1172" s="52"/>
      <c r="CH1172" s="48"/>
      <c r="CI1172" s="48"/>
      <c r="CJ1172" s="48"/>
      <c r="CK1172" s="48"/>
    </row>
    <row r="1173" spans="1:89" ht="15.75" customHeight="1" x14ac:dyDescent="0.3">
      <c r="A1173" s="47"/>
      <c r="B1173" s="48"/>
      <c r="C1173" s="47"/>
      <c r="D1173" s="48"/>
      <c r="E1173" s="48"/>
      <c r="F1173" s="48"/>
      <c r="G1173" s="48"/>
      <c r="H1173" s="48"/>
      <c r="I1173" s="49"/>
      <c r="J1173" s="47"/>
      <c r="K1173" s="47"/>
      <c r="L1173" s="47"/>
      <c r="M1173" s="47"/>
      <c r="N1173" s="47"/>
      <c r="O1173" s="47"/>
      <c r="P1173" s="47"/>
      <c r="Q1173" s="47"/>
      <c r="R1173" s="47"/>
      <c r="S1173" s="50"/>
      <c r="T1173" s="47"/>
      <c r="U1173" s="47"/>
      <c r="V1173" s="47"/>
      <c r="W1173" s="51"/>
      <c r="X1173" s="51"/>
      <c r="Y1173" s="47"/>
      <c r="Z1173" s="47"/>
      <c r="AA1173" s="47"/>
      <c r="AB1173" s="47"/>
      <c r="AC1173" s="47"/>
      <c r="AD1173" s="47"/>
      <c r="AE1173" s="54"/>
      <c r="AF1173" s="54"/>
      <c r="AG1173" s="55"/>
      <c r="AH1173" s="54"/>
      <c r="AI1173" s="54"/>
      <c r="AJ1173" s="54"/>
      <c r="AK1173" s="54"/>
      <c r="AL1173" s="54"/>
      <c r="AM1173" s="54"/>
      <c r="AN1173" s="54"/>
      <c r="AO1173" s="54"/>
      <c r="AP1173" s="54"/>
      <c r="AQ1173" s="54"/>
      <c r="AR1173" s="54"/>
      <c r="AS1173" s="54"/>
      <c r="AT1173" s="54"/>
      <c r="AU1173" s="54"/>
      <c r="AV1173" s="54"/>
      <c r="AW1173" s="54"/>
      <c r="AX1173" s="54"/>
      <c r="AY1173" s="54"/>
      <c r="AZ1173" s="54"/>
      <c r="BA1173" s="54"/>
      <c r="BB1173" s="54"/>
      <c r="BC1173" s="56"/>
      <c r="BD1173" s="51"/>
      <c r="BE1173" s="54"/>
      <c r="BF1173" s="54"/>
      <c r="BG1173" s="47"/>
      <c r="BH1173" s="48"/>
      <c r="BI1173" s="48"/>
      <c r="BJ1173" s="48"/>
      <c r="BK1173" s="48"/>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52"/>
      <c r="CG1173" s="52"/>
      <c r="CH1173" s="48"/>
      <c r="CI1173" s="48"/>
      <c r="CJ1173" s="48"/>
      <c r="CK1173" s="48"/>
    </row>
    <row r="1174" spans="1:89" ht="15.75" customHeight="1" x14ac:dyDescent="0.3">
      <c r="A1174" s="47"/>
      <c r="B1174" s="48"/>
      <c r="C1174" s="47"/>
      <c r="D1174" s="48"/>
      <c r="E1174" s="48"/>
      <c r="F1174" s="48"/>
      <c r="G1174" s="48"/>
      <c r="H1174" s="48"/>
      <c r="I1174" s="49"/>
      <c r="J1174" s="47"/>
      <c r="K1174" s="47"/>
      <c r="L1174" s="47"/>
      <c r="M1174" s="47"/>
      <c r="N1174" s="47"/>
      <c r="O1174" s="47"/>
      <c r="P1174" s="47"/>
      <c r="Q1174" s="47"/>
      <c r="R1174" s="47"/>
      <c r="S1174" s="50"/>
      <c r="T1174" s="47"/>
      <c r="U1174" s="47"/>
      <c r="V1174" s="47"/>
      <c r="W1174" s="51"/>
      <c r="X1174" s="51"/>
      <c r="Y1174" s="47"/>
      <c r="Z1174" s="47"/>
      <c r="AA1174" s="47"/>
      <c r="AB1174" s="47"/>
      <c r="AC1174" s="47"/>
      <c r="AD1174" s="47"/>
      <c r="AE1174" s="54"/>
      <c r="AF1174" s="54"/>
      <c r="AG1174" s="55"/>
      <c r="AH1174" s="54"/>
      <c r="AI1174" s="54"/>
      <c r="AJ1174" s="54"/>
      <c r="AK1174" s="54"/>
      <c r="AL1174" s="54"/>
      <c r="AM1174" s="54"/>
      <c r="AN1174" s="54"/>
      <c r="AO1174" s="54"/>
      <c r="AP1174" s="54"/>
      <c r="AQ1174" s="54"/>
      <c r="AR1174" s="54"/>
      <c r="AS1174" s="54"/>
      <c r="AT1174" s="54"/>
      <c r="AU1174" s="54"/>
      <c r="AV1174" s="54"/>
      <c r="AW1174" s="54"/>
      <c r="AX1174" s="54"/>
      <c r="AY1174" s="54"/>
      <c r="AZ1174" s="54"/>
      <c r="BA1174" s="54"/>
      <c r="BB1174" s="54"/>
      <c r="BC1174" s="56"/>
      <c r="BD1174" s="51"/>
      <c r="BE1174" s="54"/>
      <c r="BF1174" s="54"/>
      <c r="BG1174" s="47"/>
      <c r="BH1174" s="48"/>
      <c r="BI1174" s="48"/>
      <c r="BJ1174" s="48"/>
      <c r="BK1174" s="48"/>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52"/>
      <c r="CG1174" s="52"/>
      <c r="CH1174" s="48"/>
      <c r="CI1174" s="48"/>
      <c r="CJ1174" s="48"/>
      <c r="CK1174" s="48"/>
    </row>
    <row r="1175" spans="1:89" ht="15.75" customHeight="1" x14ac:dyDescent="0.3">
      <c r="A1175" s="47"/>
      <c r="B1175" s="48"/>
      <c r="C1175" s="47"/>
      <c r="D1175" s="48"/>
      <c r="E1175" s="48"/>
      <c r="F1175" s="48"/>
      <c r="G1175" s="48"/>
      <c r="H1175" s="48"/>
      <c r="I1175" s="49"/>
      <c r="J1175" s="47"/>
      <c r="K1175" s="47"/>
      <c r="L1175" s="47"/>
      <c r="M1175" s="47"/>
      <c r="N1175" s="47"/>
      <c r="O1175" s="47"/>
      <c r="P1175" s="47"/>
      <c r="Q1175" s="47"/>
      <c r="R1175" s="47"/>
      <c r="S1175" s="50"/>
      <c r="T1175" s="47"/>
      <c r="U1175" s="47"/>
      <c r="V1175" s="47"/>
      <c r="W1175" s="51"/>
      <c r="X1175" s="51"/>
      <c r="Y1175" s="47"/>
      <c r="Z1175" s="47"/>
      <c r="AA1175" s="47"/>
      <c r="AB1175" s="47"/>
      <c r="AC1175" s="47"/>
      <c r="AD1175" s="47"/>
      <c r="AE1175" s="54"/>
      <c r="AF1175" s="54"/>
      <c r="AG1175" s="55"/>
      <c r="AH1175" s="54"/>
      <c r="AI1175" s="54"/>
      <c r="AJ1175" s="54"/>
      <c r="AK1175" s="54"/>
      <c r="AL1175" s="54"/>
      <c r="AM1175" s="54"/>
      <c r="AN1175" s="54"/>
      <c r="AO1175" s="54"/>
      <c r="AP1175" s="54"/>
      <c r="AQ1175" s="54"/>
      <c r="AR1175" s="54"/>
      <c r="AS1175" s="54"/>
      <c r="AT1175" s="54"/>
      <c r="AU1175" s="54"/>
      <c r="AV1175" s="54"/>
      <c r="AW1175" s="54"/>
      <c r="AX1175" s="54"/>
      <c r="AY1175" s="54"/>
      <c r="AZ1175" s="54"/>
      <c r="BA1175" s="54"/>
      <c r="BB1175" s="54"/>
      <c r="BC1175" s="56"/>
      <c r="BD1175" s="51"/>
      <c r="BE1175" s="54"/>
      <c r="BF1175" s="54"/>
      <c r="BG1175" s="47"/>
      <c r="BH1175" s="48"/>
      <c r="BI1175" s="48"/>
      <c r="BJ1175" s="48"/>
      <c r="BK1175" s="48"/>
      <c r="BL1175" s="48"/>
      <c r="BM1175" s="48"/>
      <c r="BN1175" s="48"/>
      <c r="BO1175" s="48"/>
      <c r="BP1175" s="48"/>
      <c r="BQ1175" s="48"/>
      <c r="BR1175" s="48"/>
      <c r="BS1175" s="48"/>
      <c r="BT1175" s="48"/>
      <c r="BU1175" s="48"/>
      <c r="BV1175" s="48"/>
      <c r="BW1175" s="48"/>
      <c r="BX1175" s="48"/>
      <c r="BY1175" s="48"/>
      <c r="BZ1175" s="48"/>
      <c r="CA1175" s="48"/>
      <c r="CB1175" s="48"/>
      <c r="CC1175" s="48"/>
      <c r="CD1175" s="48"/>
      <c r="CE1175" s="48"/>
      <c r="CF1175" s="52"/>
      <c r="CG1175" s="52"/>
      <c r="CH1175" s="48"/>
      <c r="CI1175" s="48"/>
      <c r="CJ1175" s="48"/>
      <c r="CK1175" s="48"/>
    </row>
    <row r="1176" spans="1:89" ht="15.75" customHeight="1" x14ac:dyDescent="0.3">
      <c r="A1176" s="47"/>
      <c r="B1176" s="48"/>
      <c r="C1176" s="47"/>
      <c r="D1176" s="48"/>
      <c r="E1176" s="48"/>
      <c r="F1176" s="48"/>
      <c r="G1176" s="48"/>
      <c r="H1176" s="48"/>
      <c r="I1176" s="49"/>
      <c r="J1176" s="47"/>
      <c r="K1176" s="47"/>
      <c r="L1176" s="47"/>
      <c r="M1176" s="47"/>
      <c r="N1176" s="47"/>
      <c r="O1176" s="47"/>
      <c r="P1176" s="47"/>
      <c r="Q1176" s="47"/>
      <c r="R1176" s="47"/>
      <c r="S1176" s="50"/>
      <c r="T1176" s="47"/>
      <c r="U1176" s="47"/>
      <c r="V1176" s="47"/>
      <c r="W1176" s="51"/>
      <c r="X1176" s="51"/>
      <c r="Y1176" s="47"/>
      <c r="Z1176" s="47"/>
      <c r="AA1176" s="47"/>
      <c r="AB1176" s="47"/>
      <c r="AC1176" s="47"/>
      <c r="AD1176" s="47"/>
      <c r="AE1176" s="54"/>
      <c r="AF1176" s="54"/>
      <c r="AG1176" s="55"/>
      <c r="AH1176" s="54"/>
      <c r="AI1176" s="54"/>
      <c r="AJ1176" s="54"/>
      <c r="AK1176" s="54"/>
      <c r="AL1176" s="54"/>
      <c r="AM1176" s="54"/>
      <c r="AN1176" s="54"/>
      <c r="AO1176" s="54"/>
      <c r="AP1176" s="54"/>
      <c r="AQ1176" s="54"/>
      <c r="AR1176" s="54"/>
      <c r="AS1176" s="54"/>
      <c r="AT1176" s="54"/>
      <c r="AU1176" s="54"/>
      <c r="AV1176" s="54"/>
      <c r="AW1176" s="54"/>
      <c r="AX1176" s="54"/>
      <c r="AY1176" s="54"/>
      <c r="AZ1176" s="54"/>
      <c r="BA1176" s="54"/>
      <c r="BB1176" s="54"/>
      <c r="BC1176" s="56"/>
      <c r="BD1176" s="51"/>
      <c r="BE1176" s="54"/>
      <c r="BF1176" s="54"/>
      <c r="BG1176" s="47"/>
      <c r="BH1176" s="48"/>
      <c r="BI1176" s="48"/>
      <c r="BJ1176" s="48"/>
      <c r="BK1176" s="48"/>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52"/>
      <c r="CG1176" s="52"/>
      <c r="CH1176" s="48"/>
      <c r="CI1176" s="48"/>
      <c r="CJ1176" s="48"/>
      <c r="CK1176" s="48"/>
    </row>
    <row r="1177" spans="1:89" ht="15.75" customHeight="1" x14ac:dyDescent="0.3">
      <c r="A1177" s="47"/>
      <c r="B1177" s="48"/>
      <c r="C1177" s="47"/>
      <c r="D1177" s="48"/>
      <c r="E1177" s="48"/>
      <c r="F1177" s="48"/>
      <c r="G1177" s="48"/>
      <c r="H1177" s="48"/>
      <c r="I1177" s="49"/>
      <c r="J1177" s="47"/>
      <c r="K1177" s="47"/>
      <c r="L1177" s="47"/>
      <c r="M1177" s="47"/>
      <c r="N1177" s="47"/>
      <c r="O1177" s="47"/>
      <c r="P1177" s="47"/>
      <c r="Q1177" s="47"/>
      <c r="R1177" s="47"/>
      <c r="S1177" s="50"/>
      <c r="T1177" s="47"/>
      <c r="U1177" s="47"/>
      <c r="V1177" s="47"/>
      <c r="W1177" s="51"/>
      <c r="X1177" s="51"/>
      <c r="Y1177" s="47"/>
      <c r="Z1177" s="47"/>
      <c r="AA1177" s="47"/>
      <c r="AB1177" s="47"/>
      <c r="AC1177" s="47"/>
      <c r="AD1177" s="47"/>
      <c r="AE1177" s="54"/>
      <c r="AF1177" s="54"/>
      <c r="AG1177" s="55"/>
      <c r="AH1177" s="54"/>
      <c r="AI1177" s="54"/>
      <c r="AJ1177" s="54"/>
      <c r="AK1177" s="54"/>
      <c r="AL1177" s="54"/>
      <c r="AM1177" s="54"/>
      <c r="AN1177" s="54"/>
      <c r="AO1177" s="54"/>
      <c r="AP1177" s="54"/>
      <c r="AQ1177" s="54"/>
      <c r="AR1177" s="54"/>
      <c r="AS1177" s="54"/>
      <c r="AT1177" s="54"/>
      <c r="AU1177" s="54"/>
      <c r="AV1177" s="54"/>
      <c r="AW1177" s="54"/>
      <c r="AX1177" s="54"/>
      <c r="AY1177" s="54"/>
      <c r="AZ1177" s="54"/>
      <c r="BA1177" s="54"/>
      <c r="BB1177" s="54"/>
      <c r="BC1177" s="56"/>
      <c r="BD1177" s="51"/>
      <c r="BE1177" s="54"/>
      <c r="BF1177" s="54"/>
      <c r="BG1177" s="47"/>
      <c r="BH1177" s="48"/>
      <c r="BI1177" s="48"/>
      <c r="BJ1177" s="48"/>
      <c r="BK1177" s="48"/>
      <c r="BL1177" s="48"/>
      <c r="BM1177" s="48"/>
      <c r="BN1177" s="48"/>
      <c r="BO1177" s="48"/>
      <c r="BP1177" s="48"/>
      <c r="BQ1177" s="48"/>
      <c r="BR1177" s="48"/>
      <c r="BS1177" s="48"/>
      <c r="BT1177" s="48"/>
      <c r="BU1177" s="48"/>
      <c r="BV1177" s="48"/>
      <c r="BW1177" s="48"/>
      <c r="BX1177" s="48"/>
      <c r="BY1177" s="48"/>
      <c r="BZ1177" s="48"/>
      <c r="CA1177" s="48"/>
      <c r="CB1177" s="48"/>
      <c r="CC1177" s="48"/>
      <c r="CD1177" s="48"/>
      <c r="CE1177" s="48"/>
      <c r="CF1177" s="52"/>
      <c r="CG1177" s="52"/>
      <c r="CH1177" s="48"/>
      <c r="CI1177" s="48"/>
      <c r="CJ1177" s="48"/>
      <c r="CK1177" s="48"/>
    </row>
    <row r="1178" spans="1:89" ht="15.75" customHeight="1" x14ac:dyDescent="0.3">
      <c r="A1178" s="47"/>
      <c r="B1178" s="48"/>
      <c r="C1178" s="47"/>
      <c r="D1178" s="48"/>
      <c r="E1178" s="48"/>
      <c r="F1178" s="48"/>
      <c r="G1178" s="48"/>
      <c r="H1178" s="48"/>
      <c r="I1178" s="49"/>
      <c r="J1178" s="47"/>
      <c r="K1178" s="47"/>
      <c r="L1178" s="47"/>
      <c r="M1178" s="47"/>
      <c r="N1178" s="47"/>
      <c r="O1178" s="47"/>
      <c r="P1178" s="47"/>
      <c r="Q1178" s="47"/>
      <c r="R1178" s="47"/>
      <c r="S1178" s="50"/>
      <c r="T1178" s="47"/>
      <c r="U1178" s="47"/>
      <c r="V1178" s="47"/>
      <c r="W1178" s="51"/>
      <c r="X1178" s="51"/>
      <c r="Y1178" s="47"/>
      <c r="Z1178" s="47"/>
      <c r="AA1178" s="47"/>
      <c r="AB1178" s="47"/>
      <c r="AC1178" s="47"/>
      <c r="AD1178" s="47"/>
      <c r="AE1178" s="54"/>
      <c r="AF1178" s="54"/>
      <c r="AG1178" s="55"/>
      <c r="AH1178" s="54"/>
      <c r="AI1178" s="54"/>
      <c r="AJ1178" s="54"/>
      <c r="AK1178" s="54"/>
      <c r="AL1178" s="54"/>
      <c r="AM1178" s="54"/>
      <c r="AN1178" s="54"/>
      <c r="AO1178" s="54"/>
      <c r="AP1178" s="54"/>
      <c r="AQ1178" s="54"/>
      <c r="AR1178" s="54"/>
      <c r="AS1178" s="54"/>
      <c r="AT1178" s="54"/>
      <c r="AU1178" s="54"/>
      <c r="AV1178" s="54"/>
      <c r="AW1178" s="54"/>
      <c r="AX1178" s="54"/>
      <c r="AY1178" s="54"/>
      <c r="AZ1178" s="54"/>
      <c r="BA1178" s="54"/>
      <c r="BB1178" s="54"/>
      <c r="BC1178" s="56"/>
      <c r="BD1178" s="51"/>
      <c r="BE1178" s="54"/>
      <c r="BF1178" s="54"/>
      <c r="BG1178" s="47"/>
      <c r="BH1178" s="48"/>
      <c r="BI1178" s="48"/>
      <c r="BJ1178" s="48"/>
      <c r="BK1178" s="48"/>
      <c r="BL1178" s="48"/>
      <c r="BM1178" s="48"/>
      <c r="BN1178" s="48"/>
      <c r="BO1178" s="48"/>
      <c r="BP1178" s="48"/>
      <c r="BQ1178" s="48"/>
      <c r="BR1178" s="48"/>
      <c r="BS1178" s="48"/>
      <c r="BT1178" s="48"/>
      <c r="BU1178" s="48"/>
      <c r="BV1178" s="48"/>
      <c r="BW1178" s="48"/>
      <c r="BX1178" s="48"/>
      <c r="BY1178" s="48"/>
      <c r="BZ1178" s="48"/>
      <c r="CA1178" s="48"/>
      <c r="CB1178" s="48"/>
      <c r="CC1178" s="48"/>
      <c r="CD1178" s="48"/>
      <c r="CE1178" s="48"/>
      <c r="CF1178" s="52"/>
      <c r="CG1178" s="52"/>
      <c r="CH1178" s="48"/>
      <c r="CI1178" s="48"/>
      <c r="CJ1178" s="48"/>
      <c r="CK1178" s="48"/>
    </row>
    <row r="1179" spans="1:89" ht="15.75" customHeight="1" x14ac:dyDescent="0.3">
      <c r="A1179" s="47"/>
      <c r="B1179" s="48"/>
      <c r="C1179" s="47"/>
      <c r="D1179" s="48"/>
      <c r="E1179" s="48"/>
      <c r="F1179" s="48"/>
      <c r="G1179" s="48"/>
      <c r="H1179" s="48"/>
      <c r="I1179" s="49"/>
      <c r="J1179" s="47"/>
      <c r="K1179" s="47"/>
      <c r="L1179" s="47"/>
      <c r="M1179" s="47"/>
      <c r="N1179" s="47"/>
      <c r="O1179" s="47"/>
      <c r="P1179" s="47"/>
      <c r="Q1179" s="47"/>
      <c r="R1179" s="47"/>
      <c r="S1179" s="50"/>
      <c r="T1179" s="47"/>
      <c r="U1179" s="47"/>
      <c r="V1179" s="47"/>
      <c r="W1179" s="51"/>
      <c r="X1179" s="51"/>
      <c r="Y1179" s="47"/>
      <c r="Z1179" s="47"/>
      <c r="AA1179" s="47"/>
      <c r="AB1179" s="47"/>
      <c r="AC1179" s="47"/>
      <c r="AD1179" s="47"/>
      <c r="AE1179" s="54"/>
      <c r="AF1179" s="54"/>
      <c r="AG1179" s="55"/>
      <c r="AH1179" s="54"/>
      <c r="AI1179" s="54"/>
      <c r="AJ1179" s="54"/>
      <c r="AK1179" s="54"/>
      <c r="AL1179" s="54"/>
      <c r="AM1179" s="54"/>
      <c r="AN1179" s="54"/>
      <c r="AO1179" s="54"/>
      <c r="AP1179" s="54"/>
      <c r="AQ1179" s="54"/>
      <c r="AR1179" s="54"/>
      <c r="AS1179" s="54"/>
      <c r="AT1179" s="54"/>
      <c r="AU1179" s="54"/>
      <c r="AV1179" s="54"/>
      <c r="AW1179" s="54"/>
      <c r="AX1179" s="54"/>
      <c r="AY1179" s="54"/>
      <c r="AZ1179" s="54"/>
      <c r="BA1179" s="54"/>
      <c r="BB1179" s="54"/>
      <c r="BC1179" s="56"/>
      <c r="BD1179" s="51"/>
      <c r="BE1179" s="54"/>
      <c r="BF1179" s="54"/>
      <c r="BG1179" s="47"/>
      <c r="BH1179" s="48"/>
      <c r="BI1179" s="48"/>
      <c r="BJ1179" s="48"/>
      <c r="BK1179" s="48"/>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52"/>
      <c r="CG1179" s="52"/>
      <c r="CH1179" s="48"/>
      <c r="CI1179" s="48"/>
      <c r="CJ1179" s="48"/>
      <c r="CK1179" s="48"/>
    </row>
    <row r="1180" spans="1:89" ht="15.75" customHeight="1" x14ac:dyDescent="0.3">
      <c r="A1180" s="47"/>
      <c r="B1180" s="48"/>
      <c r="C1180" s="47"/>
      <c r="D1180" s="48"/>
      <c r="E1180" s="48"/>
      <c r="F1180" s="48"/>
      <c r="G1180" s="48"/>
      <c r="H1180" s="48"/>
      <c r="I1180" s="49"/>
      <c r="J1180" s="47"/>
      <c r="K1180" s="47"/>
      <c r="L1180" s="47"/>
      <c r="M1180" s="47"/>
      <c r="N1180" s="47"/>
      <c r="O1180" s="47"/>
      <c r="P1180" s="47"/>
      <c r="Q1180" s="47"/>
      <c r="R1180" s="47"/>
      <c r="S1180" s="50"/>
      <c r="T1180" s="47"/>
      <c r="U1180" s="47"/>
      <c r="V1180" s="47"/>
      <c r="W1180" s="51"/>
      <c r="X1180" s="51"/>
      <c r="Y1180" s="47"/>
      <c r="Z1180" s="47"/>
      <c r="AA1180" s="47"/>
      <c r="AB1180" s="47"/>
      <c r="AC1180" s="47"/>
      <c r="AD1180" s="47"/>
      <c r="AE1180" s="54"/>
      <c r="AF1180" s="54"/>
      <c r="AG1180" s="55"/>
      <c r="AH1180" s="54"/>
      <c r="AI1180" s="54"/>
      <c r="AJ1180" s="54"/>
      <c r="AK1180" s="54"/>
      <c r="AL1180" s="54"/>
      <c r="AM1180" s="54"/>
      <c r="AN1180" s="54"/>
      <c r="AO1180" s="54"/>
      <c r="AP1180" s="54"/>
      <c r="AQ1180" s="54"/>
      <c r="AR1180" s="54"/>
      <c r="AS1180" s="54"/>
      <c r="AT1180" s="54"/>
      <c r="AU1180" s="54"/>
      <c r="AV1180" s="54"/>
      <c r="AW1180" s="54"/>
      <c r="AX1180" s="54"/>
      <c r="AY1180" s="54"/>
      <c r="AZ1180" s="54"/>
      <c r="BA1180" s="54"/>
      <c r="BB1180" s="54"/>
      <c r="BC1180" s="56"/>
      <c r="BD1180" s="51"/>
      <c r="BE1180" s="54"/>
      <c r="BF1180" s="54"/>
      <c r="BG1180" s="47"/>
      <c r="BH1180" s="48"/>
      <c r="BI1180" s="48"/>
      <c r="BJ1180" s="48"/>
      <c r="BK1180" s="48"/>
      <c r="BL1180" s="48"/>
      <c r="BM1180" s="48"/>
      <c r="BN1180" s="48"/>
      <c r="BO1180" s="48"/>
      <c r="BP1180" s="48"/>
      <c r="BQ1180" s="48"/>
      <c r="BR1180" s="48"/>
      <c r="BS1180" s="48"/>
      <c r="BT1180" s="48"/>
      <c r="BU1180" s="48"/>
      <c r="BV1180" s="48"/>
      <c r="BW1180" s="48"/>
      <c r="BX1180" s="48"/>
      <c r="BY1180" s="48"/>
      <c r="BZ1180" s="48"/>
      <c r="CA1180" s="48"/>
      <c r="CB1180" s="48"/>
      <c r="CC1180" s="48"/>
      <c r="CD1180" s="48"/>
      <c r="CE1180" s="48"/>
      <c r="CF1180" s="52"/>
      <c r="CG1180" s="52"/>
      <c r="CH1180" s="48"/>
      <c r="CI1180" s="48"/>
      <c r="CJ1180" s="48"/>
      <c r="CK1180" s="48"/>
    </row>
    <row r="1181" spans="1:89" ht="15.75" customHeight="1" x14ac:dyDescent="0.3">
      <c r="A1181" s="47"/>
      <c r="B1181" s="48"/>
      <c r="C1181" s="47"/>
      <c r="D1181" s="48"/>
      <c r="E1181" s="48"/>
      <c r="F1181" s="48"/>
      <c r="G1181" s="48"/>
      <c r="H1181" s="48"/>
      <c r="I1181" s="49"/>
      <c r="J1181" s="47"/>
      <c r="K1181" s="47"/>
      <c r="L1181" s="47"/>
      <c r="M1181" s="47"/>
      <c r="N1181" s="47"/>
      <c r="O1181" s="47"/>
      <c r="P1181" s="47"/>
      <c r="Q1181" s="47"/>
      <c r="R1181" s="47"/>
      <c r="S1181" s="50"/>
      <c r="T1181" s="47"/>
      <c r="U1181" s="47"/>
      <c r="V1181" s="47"/>
      <c r="W1181" s="51"/>
      <c r="X1181" s="51"/>
      <c r="Y1181" s="47"/>
      <c r="Z1181" s="47"/>
      <c r="AA1181" s="47"/>
      <c r="AB1181" s="47"/>
      <c r="AC1181" s="47"/>
      <c r="AD1181" s="47"/>
      <c r="AE1181" s="54"/>
      <c r="AF1181" s="54"/>
      <c r="AG1181" s="55"/>
      <c r="AH1181" s="54"/>
      <c r="AI1181" s="54"/>
      <c r="AJ1181" s="54"/>
      <c r="AK1181" s="54"/>
      <c r="AL1181" s="54"/>
      <c r="AM1181" s="54"/>
      <c r="AN1181" s="54"/>
      <c r="AO1181" s="54"/>
      <c r="AP1181" s="54"/>
      <c r="AQ1181" s="54"/>
      <c r="AR1181" s="54"/>
      <c r="AS1181" s="54"/>
      <c r="AT1181" s="54"/>
      <c r="AU1181" s="54"/>
      <c r="AV1181" s="54"/>
      <c r="AW1181" s="54"/>
      <c r="AX1181" s="54"/>
      <c r="AY1181" s="54"/>
      <c r="AZ1181" s="54"/>
      <c r="BA1181" s="54"/>
      <c r="BB1181" s="54"/>
      <c r="BC1181" s="56"/>
      <c r="BD1181" s="51"/>
      <c r="BE1181" s="54"/>
      <c r="BF1181" s="54"/>
      <c r="BG1181" s="47"/>
      <c r="BH1181" s="48"/>
      <c r="BI1181" s="48"/>
      <c r="BJ1181" s="48"/>
      <c r="BK1181" s="48"/>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52"/>
      <c r="CG1181" s="52"/>
      <c r="CH1181" s="48"/>
      <c r="CI1181" s="48"/>
      <c r="CJ1181" s="48"/>
      <c r="CK1181" s="48"/>
    </row>
    <row r="1182" spans="1:89" ht="15.75" customHeight="1" x14ac:dyDescent="0.3">
      <c r="A1182" s="47"/>
      <c r="B1182" s="48"/>
      <c r="C1182" s="47"/>
      <c r="D1182" s="48"/>
      <c r="E1182" s="48"/>
      <c r="F1182" s="48"/>
      <c r="G1182" s="48"/>
      <c r="H1182" s="48"/>
      <c r="I1182" s="49"/>
      <c r="J1182" s="47"/>
      <c r="K1182" s="47"/>
      <c r="L1182" s="47"/>
      <c r="M1182" s="47"/>
      <c r="N1182" s="47"/>
      <c r="O1182" s="47"/>
      <c r="P1182" s="47"/>
      <c r="Q1182" s="47"/>
      <c r="R1182" s="47"/>
      <c r="S1182" s="50"/>
      <c r="T1182" s="47"/>
      <c r="U1182" s="47"/>
      <c r="V1182" s="47"/>
      <c r="W1182" s="51"/>
      <c r="X1182" s="51"/>
      <c r="Y1182" s="47"/>
      <c r="Z1182" s="47"/>
      <c r="AA1182" s="47"/>
      <c r="AB1182" s="47"/>
      <c r="AC1182" s="47"/>
      <c r="AD1182" s="47"/>
      <c r="AE1182" s="54"/>
      <c r="AF1182" s="54"/>
      <c r="AG1182" s="55"/>
      <c r="AH1182" s="54"/>
      <c r="AI1182" s="54"/>
      <c r="AJ1182" s="54"/>
      <c r="AK1182" s="54"/>
      <c r="AL1182" s="54"/>
      <c r="AM1182" s="54"/>
      <c r="AN1182" s="54"/>
      <c r="AO1182" s="54"/>
      <c r="AP1182" s="54"/>
      <c r="AQ1182" s="54"/>
      <c r="AR1182" s="54"/>
      <c r="AS1182" s="54"/>
      <c r="AT1182" s="54"/>
      <c r="AU1182" s="54"/>
      <c r="AV1182" s="54"/>
      <c r="AW1182" s="54"/>
      <c r="AX1182" s="54"/>
      <c r="AY1182" s="54"/>
      <c r="AZ1182" s="54"/>
      <c r="BA1182" s="54"/>
      <c r="BB1182" s="54"/>
      <c r="BC1182" s="56"/>
      <c r="BD1182" s="51"/>
      <c r="BE1182" s="54"/>
      <c r="BF1182" s="54"/>
      <c r="BG1182" s="47"/>
      <c r="BH1182" s="48"/>
      <c r="BI1182" s="48"/>
      <c r="BJ1182" s="48"/>
      <c r="BK1182" s="48"/>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52"/>
      <c r="CG1182" s="52"/>
      <c r="CH1182" s="48"/>
      <c r="CI1182" s="48"/>
      <c r="CJ1182" s="48"/>
      <c r="CK1182" s="48"/>
    </row>
    <row r="1183" spans="1:89" ht="15.75" customHeight="1" x14ac:dyDescent="0.3">
      <c r="A1183" s="47"/>
      <c r="B1183" s="48"/>
      <c r="C1183" s="47"/>
      <c r="D1183" s="48"/>
      <c r="E1183" s="48"/>
      <c r="F1183" s="48"/>
      <c r="G1183" s="48"/>
      <c r="H1183" s="48"/>
      <c r="I1183" s="49"/>
      <c r="J1183" s="47"/>
      <c r="K1183" s="47"/>
      <c r="L1183" s="47"/>
      <c r="M1183" s="47"/>
      <c r="N1183" s="47"/>
      <c r="O1183" s="47"/>
      <c r="P1183" s="47"/>
      <c r="Q1183" s="47"/>
      <c r="R1183" s="47"/>
      <c r="S1183" s="50"/>
      <c r="T1183" s="47"/>
      <c r="U1183" s="47"/>
      <c r="V1183" s="47"/>
      <c r="W1183" s="51"/>
      <c r="X1183" s="51"/>
      <c r="Y1183" s="47"/>
      <c r="Z1183" s="47"/>
      <c r="AA1183" s="47"/>
      <c r="AB1183" s="47"/>
      <c r="AC1183" s="47"/>
      <c r="AD1183" s="47"/>
      <c r="AE1183" s="54"/>
      <c r="AF1183" s="54"/>
      <c r="AG1183" s="55"/>
      <c r="AH1183" s="54"/>
      <c r="AI1183" s="54"/>
      <c r="AJ1183" s="54"/>
      <c r="AK1183" s="54"/>
      <c r="AL1183" s="54"/>
      <c r="AM1183" s="54"/>
      <c r="AN1183" s="54"/>
      <c r="AO1183" s="54"/>
      <c r="AP1183" s="54"/>
      <c r="AQ1183" s="54"/>
      <c r="AR1183" s="54"/>
      <c r="AS1183" s="54"/>
      <c r="AT1183" s="54"/>
      <c r="AU1183" s="54"/>
      <c r="AV1183" s="54"/>
      <c r="AW1183" s="54"/>
      <c r="AX1183" s="54"/>
      <c r="AY1183" s="54"/>
      <c r="AZ1183" s="54"/>
      <c r="BA1183" s="54"/>
      <c r="BB1183" s="54"/>
      <c r="BC1183" s="56"/>
      <c r="BD1183" s="51"/>
      <c r="BE1183" s="54"/>
      <c r="BF1183" s="54"/>
      <c r="BG1183" s="47"/>
      <c r="BH1183" s="48"/>
      <c r="BI1183" s="48"/>
      <c r="BJ1183" s="48"/>
      <c r="BK1183" s="48"/>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52"/>
      <c r="CG1183" s="52"/>
      <c r="CH1183" s="48"/>
      <c r="CI1183" s="48"/>
      <c r="CJ1183" s="48"/>
      <c r="CK1183" s="48"/>
    </row>
    <row r="1184" spans="1:89" ht="15.75" customHeight="1" x14ac:dyDescent="0.3">
      <c r="A1184" s="47"/>
      <c r="B1184" s="48"/>
      <c r="C1184" s="47"/>
      <c r="D1184" s="48"/>
      <c r="E1184" s="48"/>
      <c r="F1184" s="48"/>
      <c r="G1184" s="48"/>
      <c r="H1184" s="48"/>
      <c r="I1184" s="49"/>
      <c r="J1184" s="47"/>
      <c r="K1184" s="47"/>
      <c r="L1184" s="47"/>
      <c r="M1184" s="47"/>
      <c r="N1184" s="47"/>
      <c r="O1184" s="47"/>
      <c r="P1184" s="47"/>
      <c r="Q1184" s="47"/>
      <c r="R1184" s="47"/>
      <c r="S1184" s="50"/>
      <c r="T1184" s="47"/>
      <c r="U1184" s="47"/>
      <c r="V1184" s="47"/>
      <c r="W1184" s="51"/>
      <c r="X1184" s="51"/>
      <c r="Y1184" s="47"/>
      <c r="Z1184" s="47"/>
      <c r="AA1184" s="47"/>
      <c r="AB1184" s="47"/>
      <c r="AC1184" s="47"/>
      <c r="AD1184" s="47"/>
      <c r="AE1184" s="54"/>
      <c r="AF1184" s="54"/>
      <c r="AG1184" s="55"/>
      <c r="AH1184" s="54"/>
      <c r="AI1184" s="54"/>
      <c r="AJ1184" s="54"/>
      <c r="AK1184" s="54"/>
      <c r="AL1184" s="54"/>
      <c r="AM1184" s="54"/>
      <c r="AN1184" s="54"/>
      <c r="AO1184" s="54"/>
      <c r="AP1184" s="54"/>
      <c r="AQ1184" s="54"/>
      <c r="AR1184" s="54"/>
      <c r="AS1184" s="54"/>
      <c r="AT1184" s="54"/>
      <c r="AU1184" s="54"/>
      <c r="AV1184" s="54"/>
      <c r="AW1184" s="54"/>
      <c r="AX1184" s="54"/>
      <c r="AY1184" s="54"/>
      <c r="AZ1184" s="54"/>
      <c r="BA1184" s="54"/>
      <c r="BB1184" s="54"/>
      <c r="BC1184" s="56"/>
      <c r="BD1184" s="51"/>
      <c r="BE1184" s="54"/>
      <c r="BF1184" s="54"/>
      <c r="BG1184" s="47"/>
      <c r="BH1184" s="48"/>
      <c r="BI1184" s="48"/>
      <c r="BJ1184" s="48"/>
      <c r="BK1184" s="48"/>
      <c r="BL1184" s="48"/>
      <c r="BM1184" s="48"/>
      <c r="BN1184" s="48"/>
      <c r="BO1184" s="48"/>
      <c r="BP1184" s="48"/>
      <c r="BQ1184" s="48"/>
      <c r="BR1184" s="48"/>
      <c r="BS1184" s="48"/>
      <c r="BT1184" s="48"/>
      <c r="BU1184" s="48"/>
      <c r="BV1184" s="48"/>
      <c r="BW1184" s="48"/>
      <c r="BX1184" s="48"/>
      <c r="BY1184" s="48"/>
      <c r="BZ1184" s="48"/>
      <c r="CA1184" s="48"/>
      <c r="CB1184" s="48"/>
      <c r="CC1184" s="48"/>
      <c r="CD1184" s="48"/>
      <c r="CE1184" s="48"/>
      <c r="CF1184" s="52"/>
      <c r="CG1184" s="52"/>
      <c r="CH1184" s="48"/>
      <c r="CI1184" s="48"/>
      <c r="CJ1184" s="48"/>
      <c r="CK1184" s="48"/>
    </row>
    <row r="1185" spans="1:89" ht="15.75" customHeight="1" x14ac:dyDescent="0.3">
      <c r="A1185" s="47"/>
      <c r="B1185" s="48"/>
      <c r="C1185" s="47"/>
      <c r="D1185" s="48"/>
      <c r="E1185" s="48"/>
      <c r="F1185" s="48"/>
      <c r="G1185" s="48"/>
      <c r="H1185" s="48"/>
      <c r="I1185" s="49"/>
      <c r="J1185" s="47"/>
      <c r="K1185" s="47"/>
      <c r="L1185" s="47"/>
      <c r="M1185" s="47"/>
      <c r="N1185" s="47"/>
      <c r="O1185" s="47"/>
      <c r="P1185" s="47"/>
      <c r="Q1185" s="47"/>
      <c r="R1185" s="47"/>
      <c r="S1185" s="50"/>
      <c r="T1185" s="47"/>
      <c r="U1185" s="47"/>
      <c r="V1185" s="47"/>
      <c r="W1185" s="51"/>
      <c r="X1185" s="51"/>
      <c r="Y1185" s="47"/>
      <c r="Z1185" s="47"/>
      <c r="AA1185" s="47"/>
      <c r="AB1185" s="47"/>
      <c r="AC1185" s="47"/>
      <c r="AD1185" s="47"/>
      <c r="AE1185" s="54"/>
      <c r="AF1185" s="54"/>
      <c r="AG1185" s="55"/>
      <c r="AH1185" s="54"/>
      <c r="AI1185" s="54"/>
      <c r="AJ1185" s="54"/>
      <c r="AK1185" s="54"/>
      <c r="AL1185" s="54"/>
      <c r="AM1185" s="54"/>
      <c r="AN1185" s="54"/>
      <c r="AO1185" s="54"/>
      <c r="AP1185" s="54"/>
      <c r="AQ1185" s="54"/>
      <c r="AR1185" s="54"/>
      <c r="AS1185" s="54"/>
      <c r="AT1185" s="54"/>
      <c r="AU1185" s="54"/>
      <c r="AV1185" s="54"/>
      <c r="AW1185" s="54"/>
      <c r="AX1185" s="54"/>
      <c r="AY1185" s="54"/>
      <c r="AZ1185" s="54"/>
      <c r="BA1185" s="54"/>
      <c r="BB1185" s="54"/>
      <c r="BC1185" s="56"/>
      <c r="BD1185" s="51"/>
      <c r="BE1185" s="54"/>
      <c r="BF1185" s="54"/>
      <c r="BG1185" s="47"/>
      <c r="BH1185" s="48"/>
      <c r="BI1185" s="48"/>
      <c r="BJ1185" s="48"/>
      <c r="BK1185" s="48"/>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52"/>
      <c r="CG1185" s="52"/>
      <c r="CH1185" s="48"/>
      <c r="CI1185" s="48"/>
      <c r="CJ1185" s="48"/>
      <c r="CK1185" s="48"/>
    </row>
    <row r="1186" spans="1:89" ht="15.75" customHeight="1" x14ac:dyDescent="0.3">
      <c r="A1186" s="47"/>
      <c r="B1186" s="48"/>
      <c r="C1186" s="47"/>
      <c r="D1186" s="48"/>
      <c r="E1186" s="48"/>
      <c r="F1186" s="48"/>
      <c r="G1186" s="48"/>
      <c r="H1186" s="48"/>
      <c r="I1186" s="49"/>
      <c r="J1186" s="47"/>
      <c r="K1186" s="47"/>
      <c r="L1186" s="47"/>
      <c r="M1186" s="47"/>
      <c r="N1186" s="47"/>
      <c r="O1186" s="47"/>
      <c r="P1186" s="47"/>
      <c r="Q1186" s="47"/>
      <c r="R1186" s="47"/>
      <c r="S1186" s="50"/>
      <c r="T1186" s="47"/>
      <c r="U1186" s="47"/>
      <c r="V1186" s="47"/>
      <c r="W1186" s="51"/>
      <c r="X1186" s="51"/>
      <c r="Y1186" s="47"/>
      <c r="Z1186" s="47"/>
      <c r="AA1186" s="47"/>
      <c r="AB1186" s="47"/>
      <c r="AC1186" s="47"/>
      <c r="AD1186" s="47"/>
      <c r="AE1186" s="54"/>
      <c r="AF1186" s="54"/>
      <c r="AG1186" s="55"/>
      <c r="AH1186" s="54"/>
      <c r="AI1186" s="54"/>
      <c r="AJ1186" s="54"/>
      <c r="AK1186" s="54"/>
      <c r="AL1186" s="54"/>
      <c r="AM1186" s="54"/>
      <c r="AN1186" s="54"/>
      <c r="AO1186" s="54"/>
      <c r="AP1186" s="54"/>
      <c r="AQ1186" s="54"/>
      <c r="AR1186" s="54"/>
      <c r="AS1186" s="54"/>
      <c r="AT1186" s="54"/>
      <c r="AU1186" s="54"/>
      <c r="AV1186" s="54"/>
      <c r="AW1186" s="54"/>
      <c r="AX1186" s="54"/>
      <c r="AY1186" s="54"/>
      <c r="AZ1186" s="54"/>
      <c r="BA1186" s="54"/>
      <c r="BB1186" s="54"/>
      <c r="BC1186" s="56"/>
      <c r="BD1186" s="51"/>
      <c r="BE1186" s="54"/>
      <c r="BF1186" s="54"/>
      <c r="BG1186" s="47"/>
      <c r="BH1186" s="48"/>
      <c r="BI1186" s="48"/>
      <c r="BJ1186" s="48"/>
      <c r="BK1186" s="48"/>
      <c r="BL1186" s="48"/>
      <c r="BM1186" s="48"/>
      <c r="BN1186" s="48"/>
      <c r="BO1186" s="48"/>
      <c r="BP1186" s="48"/>
      <c r="BQ1186" s="48"/>
      <c r="BR1186" s="48"/>
      <c r="BS1186" s="48"/>
      <c r="BT1186" s="48"/>
      <c r="BU1186" s="48"/>
      <c r="BV1186" s="48"/>
      <c r="BW1186" s="48"/>
      <c r="BX1186" s="48"/>
      <c r="BY1186" s="48"/>
      <c r="BZ1186" s="48"/>
      <c r="CA1186" s="48"/>
      <c r="CB1186" s="48"/>
      <c r="CC1186" s="48"/>
      <c r="CD1186" s="48"/>
      <c r="CE1186" s="48"/>
      <c r="CF1186" s="52"/>
      <c r="CG1186" s="52"/>
      <c r="CH1186" s="48"/>
      <c r="CI1186" s="48"/>
      <c r="CJ1186" s="48"/>
      <c r="CK1186" s="48"/>
    </row>
    <row r="1187" spans="1:89" ht="15.75" customHeight="1" x14ac:dyDescent="0.3">
      <c r="A1187" s="47"/>
      <c r="B1187" s="48"/>
      <c r="C1187" s="47"/>
      <c r="D1187" s="48"/>
      <c r="E1187" s="48"/>
      <c r="F1187" s="48"/>
      <c r="G1187" s="48"/>
      <c r="H1187" s="48"/>
      <c r="I1187" s="49"/>
      <c r="J1187" s="47"/>
      <c r="K1187" s="47"/>
      <c r="L1187" s="47"/>
      <c r="M1187" s="47"/>
      <c r="N1187" s="47"/>
      <c r="O1187" s="47"/>
      <c r="P1187" s="47"/>
      <c r="Q1187" s="47"/>
      <c r="R1187" s="47"/>
      <c r="S1187" s="50"/>
      <c r="T1187" s="47"/>
      <c r="U1187" s="47"/>
      <c r="V1187" s="47"/>
      <c r="W1187" s="51"/>
      <c r="X1187" s="51"/>
      <c r="Y1187" s="47"/>
      <c r="Z1187" s="47"/>
      <c r="AA1187" s="47"/>
      <c r="AB1187" s="47"/>
      <c r="AC1187" s="47"/>
      <c r="AD1187" s="47"/>
      <c r="AE1187" s="54"/>
      <c r="AF1187" s="54"/>
      <c r="AG1187" s="55"/>
      <c r="AH1187" s="54"/>
      <c r="AI1187" s="54"/>
      <c r="AJ1187" s="54"/>
      <c r="AK1187" s="54"/>
      <c r="AL1187" s="54"/>
      <c r="AM1187" s="54"/>
      <c r="AN1187" s="54"/>
      <c r="AO1187" s="54"/>
      <c r="AP1187" s="54"/>
      <c r="AQ1187" s="54"/>
      <c r="AR1187" s="54"/>
      <c r="AS1187" s="54"/>
      <c r="AT1187" s="54"/>
      <c r="AU1187" s="54"/>
      <c r="AV1187" s="54"/>
      <c r="AW1187" s="54"/>
      <c r="AX1187" s="54"/>
      <c r="AY1187" s="54"/>
      <c r="AZ1187" s="54"/>
      <c r="BA1187" s="54"/>
      <c r="BB1187" s="54"/>
      <c r="BC1187" s="56"/>
      <c r="BD1187" s="51"/>
      <c r="BE1187" s="54"/>
      <c r="BF1187" s="54"/>
      <c r="BG1187" s="47"/>
      <c r="BH1187" s="48"/>
      <c r="BI1187" s="48"/>
      <c r="BJ1187" s="48"/>
      <c r="BK1187" s="48"/>
      <c r="BL1187" s="48"/>
      <c r="BM1187" s="48"/>
      <c r="BN1187" s="48"/>
      <c r="BO1187" s="48"/>
      <c r="BP1187" s="48"/>
      <c r="BQ1187" s="48"/>
      <c r="BR1187" s="48"/>
      <c r="BS1187" s="48"/>
      <c r="BT1187" s="48"/>
      <c r="BU1187" s="48"/>
      <c r="BV1187" s="48"/>
      <c r="BW1187" s="48"/>
      <c r="BX1187" s="48"/>
      <c r="BY1187" s="48"/>
      <c r="BZ1187" s="48"/>
      <c r="CA1187" s="48"/>
      <c r="CB1187" s="48"/>
      <c r="CC1187" s="48"/>
      <c r="CD1187" s="48"/>
      <c r="CE1187" s="48"/>
      <c r="CF1187" s="52"/>
      <c r="CG1187" s="52"/>
      <c r="CH1187" s="48"/>
      <c r="CI1187" s="48"/>
      <c r="CJ1187" s="48"/>
      <c r="CK1187" s="48"/>
    </row>
    <row r="1188" spans="1:89" ht="15.75" customHeight="1" x14ac:dyDescent="0.3">
      <c r="A1188" s="47"/>
      <c r="B1188" s="48"/>
      <c r="C1188" s="47"/>
      <c r="D1188" s="48"/>
      <c r="E1188" s="48"/>
      <c r="F1188" s="48"/>
      <c r="G1188" s="48"/>
      <c r="H1188" s="48"/>
      <c r="I1188" s="49"/>
      <c r="J1188" s="47"/>
      <c r="K1188" s="47"/>
      <c r="L1188" s="47"/>
      <c r="M1188" s="47"/>
      <c r="N1188" s="47"/>
      <c r="O1188" s="47"/>
      <c r="P1188" s="47"/>
      <c r="Q1188" s="47"/>
      <c r="R1188" s="47"/>
      <c r="S1188" s="50"/>
      <c r="T1188" s="47"/>
      <c r="U1188" s="47"/>
      <c r="V1188" s="47"/>
      <c r="W1188" s="51"/>
      <c r="X1188" s="51"/>
      <c r="Y1188" s="47"/>
      <c r="Z1188" s="47"/>
      <c r="AA1188" s="47"/>
      <c r="AB1188" s="47"/>
      <c r="AC1188" s="47"/>
      <c r="AD1188" s="47"/>
      <c r="AE1188" s="54"/>
      <c r="AF1188" s="54"/>
      <c r="AG1188" s="55"/>
      <c r="AH1188" s="54"/>
      <c r="AI1188" s="54"/>
      <c r="AJ1188" s="54"/>
      <c r="AK1188" s="54"/>
      <c r="AL1188" s="54"/>
      <c r="AM1188" s="54"/>
      <c r="AN1188" s="54"/>
      <c r="AO1188" s="54"/>
      <c r="AP1188" s="54"/>
      <c r="AQ1188" s="54"/>
      <c r="AR1188" s="54"/>
      <c r="AS1188" s="54"/>
      <c r="AT1188" s="54"/>
      <c r="AU1188" s="54"/>
      <c r="AV1188" s="54"/>
      <c r="AW1188" s="54"/>
      <c r="AX1188" s="54"/>
      <c r="AY1188" s="54"/>
      <c r="AZ1188" s="54"/>
      <c r="BA1188" s="54"/>
      <c r="BB1188" s="54"/>
      <c r="BC1188" s="56"/>
      <c r="BD1188" s="51"/>
      <c r="BE1188" s="54"/>
      <c r="BF1188" s="54"/>
      <c r="BG1188" s="47"/>
      <c r="BH1188" s="48"/>
      <c r="BI1188" s="48"/>
      <c r="BJ1188" s="48"/>
      <c r="BK1188" s="48"/>
      <c r="BL1188" s="48"/>
      <c r="BM1188" s="48"/>
      <c r="BN1188" s="48"/>
      <c r="BO1188" s="48"/>
      <c r="BP1188" s="48"/>
      <c r="BQ1188" s="48"/>
      <c r="BR1188" s="48"/>
      <c r="BS1188" s="48"/>
      <c r="BT1188" s="48"/>
      <c r="BU1188" s="48"/>
      <c r="BV1188" s="48"/>
      <c r="BW1188" s="48"/>
      <c r="BX1188" s="48"/>
      <c r="BY1188" s="48"/>
      <c r="BZ1188" s="48"/>
      <c r="CA1188" s="48"/>
      <c r="CB1188" s="48"/>
      <c r="CC1188" s="48"/>
      <c r="CD1188" s="48"/>
      <c r="CE1188" s="48"/>
      <c r="CF1188" s="52"/>
      <c r="CG1188" s="52"/>
      <c r="CH1188" s="48"/>
      <c r="CI1188" s="48"/>
      <c r="CJ1188" s="48"/>
      <c r="CK1188" s="48"/>
    </row>
    <row r="1189" spans="1:89" ht="15.75" customHeight="1" x14ac:dyDescent="0.3">
      <c r="A1189" s="47"/>
      <c r="B1189" s="48"/>
      <c r="C1189" s="47"/>
      <c r="D1189" s="48"/>
      <c r="E1189" s="48"/>
      <c r="F1189" s="48"/>
      <c r="G1189" s="48"/>
      <c r="H1189" s="48"/>
      <c r="I1189" s="49"/>
      <c r="J1189" s="47"/>
      <c r="K1189" s="47"/>
      <c r="L1189" s="47"/>
      <c r="M1189" s="47"/>
      <c r="N1189" s="47"/>
      <c r="O1189" s="47"/>
      <c r="P1189" s="47"/>
      <c r="Q1189" s="47"/>
      <c r="R1189" s="47"/>
      <c r="S1189" s="50"/>
      <c r="T1189" s="47"/>
      <c r="U1189" s="47"/>
      <c r="V1189" s="47"/>
      <c r="W1189" s="51"/>
      <c r="X1189" s="51"/>
      <c r="Y1189" s="47"/>
      <c r="Z1189" s="47"/>
      <c r="AA1189" s="47"/>
      <c r="AB1189" s="47"/>
      <c r="AC1189" s="47"/>
      <c r="AD1189" s="47"/>
      <c r="AE1189" s="54"/>
      <c r="AF1189" s="54"/>
      <c r="AG1189" s="55"/>
      <c r="AH1189" s="54"/>
      <c r="AI1189" s="54"/>
      <c r="AJ1189" s="54"/>
      <c r="AK1189" s="54"/>
      <c r="AL1189" s="54"/>
      <c r="AM1189" s="54"/>
      <c r="AN1189" s="54"/>
      <c r="AO1189" s="54"/>
      <c r="AP1189" s="54"/>
      <c r="AQ1189" s="54"/>
      <c r="AR1189" s="54"/>
      <c r="AS1189" s="54"/>
      <c r="AT1189" s="54"/>
      <c r="AU1189" s="54"/>
      <c r="AV1189" s="54"/>
      <c r="AW1189" s="54"/>
      <c r="AX1189" s="54"/>
      <c r="AY1189" s="54"/>
      <c r="AZ1189" s="54"/>
      <c r="BA1189" s="54"/>
      <c r="BB1189" s="54"/>
      <c r="BC1189" s="56"/>
      <c r="BD1189" s="51"/>
      <c r="BE1189" s="54"/>
      <c r="BF1189" s="54"/>
      <c r="BG1189" s="47"/>
      <c r="BH1189" s="48"/>
      <c r="BI1189" s="48"/>
      <c r="BJ1189" s="48"/>
      <c r="BK1189" s="48"/>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52"/>
      <c r="CG1189" s="52"/>
      <c r="CH1189" s="48"/>
      <c r="CI1189" s="48"/>
      <c r="CJ1189" s="48"/>
      <c r="CK1189" s="48"/>
    </row>
    <row r="1190" spans="1:89" ht="15.75" customHeight="1" x14ac:dyDescent="0.3">
      <c r="A1190" s="47"/>
      <c r="B1190" s="48"/>
      <c r="C1190" s="47"/>
      <c r="D1190" s="48"/>
      <c r="E1190" s="48"/>
      <c r="F1190" s="48"/>
      <c r="G1190" s="48"/>
      <c r="H1190" s="48"/>
      <c r="I1190" s="49"/>
      <c r="J1190" s="47"/>
      <c r="K1190" s="47"/>
      <c r="L1190" s="47"/>
      <c r="M1190" s="47"/>
      <c r="N1190" s="47"/>
      <c r="O1190" s="47"/>
      <c r="P1190" s="47"/>
      <c r="Q1190" s="47"/>
      <c r="R1190" s="47"/>
      <c r="S1190" s="50"/>
      <c r="T1190" s="47"/>
      <c r="U1190" s="47"/>
      <c r="V1190" s="47"/>
      <c r="W1190" s="51"/>
      <c r="X1190" s="51"/>
      <c r="Y1190" s="47"/>
      <c r="Z1190" s="47"/>
      <c r="AA1190" s="47"/>
      <c r="AB1190" s="47"/>
      <c r="AC1190" s="47"/>
      <c r="AD1190" s="47"/>
      <c r="AE1190" s="54"/>
      <c r="AF1190" s="54"/>
      <c r="AG1190" s="55"/>
      <c r="AH1190" s="54"/>
      <c r="AI1190" s="54"/>
      <c r="AJ1190" s="54"/>
      <c r="AK1190" s="54"/>
      <c r="AL1190" s="54"/>
      <c r="AM1190" s="54"/>
      <c r="AN1190" s="54"/>
      <c r="AO1190" s="54"/>
      <c r="AP1190" s="54"/>
      <c r="AQ1190" s="54"/>
      <c r="AR1190" s="54"/>
      <c r="AS1190" s="54"/>
      <c r="AT1190" s="54"/>
      <c r="AU1190" s="54"/>
      <c r="AV1190" s="54"/>
      <c r="AW1190" s="54"/>
      <c r="AX1190" s="54"/>
      <c r="AY1190" s="54"/>
      <c r="AZ1190" s="54"/>
      <c r="BA1190" s="54"/>
      <c r="BB1190" s="54"/>
      <c r="BC1190" s="56"/>
      <c r="BD1190" s="51"/>
      <c r="BE1190" s="54"/>
      <c r="BF1190" s="54"/>
      <c r="BG1190" s="47"/>
      <c r="BH1190" s="48"/>
      <c r="BI1190" s="48"/>
      <c r="BJ1190" s="48"/>
      <c r="BK1190" s="48"/>
      <c r="BL1190" s="48"/>
      <c r="BM1190" s="48"/>
      <c r="BN1190" s="48"/>
      <c r="BO1190" s="48"/>
      <c r="BP1190" s="48"/>
      <c r="BQ1190" s="48"/>
      <c r="BR1190" s="48"/>
      <c r="BS1190" s="48"/>
      <c r="BT1190" s="48"/>
      <c r="BU1190" s="48"/>
      <c r="BV1190" s="48"/>
      <c r="BW1190" s="48"/>
      <c r="BX1190" s="48"/>
      <c r="BY1190" s="48"/>
      <c r="BZ1190" s="48"/>
      <c r="CA1190" s="48"/>
      <c r="CB1190" s="48"/>
      <c r="CC1190" s="48"/>
      <c r="CD1190" s="48"/>
      <c r="CE1190" s="48"/>
      <c r="CF1190" s="52"/>
      <c r="CG1190" s="52"/>
      <c r="CH1190" s="48"/>
      <c r="CI1190" s="48"/>
      <c r="CJ1190" s="48"/>
      <c r="CK1190" s="48"/>
    </row>
    <row r="1191" spans="1:89" ht="15.75" customHeight="1" x14ac:dyDescent="0.3">
      <c r="A1191" s="47"/>
      <c r="B1191" s="48"/>
      <c r="C1191" s="47"/>
      <c r="D1191" s="48"/>
      <c r="E1191" s="48"/>
      <c r="F1191" s="48"/>
      <c r="G1191" s="48"/>
      <c r="H1191" s="48"/>
      <c r="I1191" s="49"/>
      <c r="J1191" s="47"/>
      <c r="K1191" s="47"/>
      <c r="L1191" s="47"/>
      <c r="M1191" s="47"/>
      <c r="N1191" s="47"/>
      <c r="O1191" s="47"/>
      <c r="P1191" s="47"/>
      <c r="Q1191" s="47"/>
      <c r="R1191" s="47"/>
      <c r="S1191" s="50"/>
      <c r="T1191" s="47"/>
      <c r="U1191" s="47"/>
      <c r="V1191" s="47"/>
      <c r="W1191" s="51"/>
      <c r="X1191" s="51"/>
      <c r="Y1191" s="47"/>
      <c r="Z1191" s="47"/>
      <c r="AA1191" s="47"/>
      <c r="AB1191" s="47"/>
      <c r="AC1191" s="47"/>
      <c r="AD1191" s="47"/>
      <c r="AE1191" s="54"/>
      <c r="AF1191" s="54"/>
      <c r="AG1191" s="55"/>
      <c r="AH1191" s="54"/>
      <c r="AI1191" s="54"/>
      <c r="AJ1191" s="54"/>
      <c r="AK1191" s="54"/>
      <c r="AL1191" s="54"/>
      <c r="AM1191" s="54"/>
      <c r="AN1191" s="54"/>
      <c r="AO1191" s="54"/>
      <c r="AP1191" s="54"/>
      <c r="AQ1191" s="54"/>
      <c r="AR1191" s="54"/>
      <c r="AS1191" s="54"/>
      <c r="AT1191" s="54"/>
      <c r="AU1191" s="54"/>
      <c r="AV1191" s="54"/>
      <c r="AW1191" s="54"/>
      <c r="AX1191" s="54"/>
      <c r="AY1191" s="54"/>
      <c r="AZ1191" s="54"/>
      <c r="BA1191" s="54"/>
      <c r="BB1191" s="54"/>
      <c r="BC1191" s="56"/>
      <c r="BD1191" s="51"/>
      <c r="BE1191" s="54"/>
      <c r="BF1191" s="54"/>
      <c r="BG1191" s="47"/>
      <c r="BH1191" s="48"/>
      <c r="BI1191" s="48"/>
      <c r="BJ1191" s="48"/>
      <c r="BK1191" s="48"/>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52"/>
      <c r="CG1191" s="52"/>
      <c r="CH1191" s="48"/>
      <c r="CI1191" s="48"/>
      <c r="CJ1191" s="48"/>
      <c r="CK1191" s="48"/>
    </row>
    <row r="1192" spans="1:89" ht="15.75" customHeight="1" x14ac:dyDescent="0.3">
      <c r="A1192" s="47"/>
      <c r="B1192" s="48"/>
      <c r="C1192" s="47"/>
      <c r="D1192" s="48"/>
      <c r="E1192" s="48"/>
      <c r="F1192" s="48"/>
      <c r="G1192" s="48"/>
      <c r="H1192" s="48"/>
      <c r="I1192" s="49"/>
      <c r="J1192" s="47"/>
      <c r="K1192" s="47"/>
      <c r="L1192" s="47"/>
      <c r="M1192" s="47"/>
      <c r="N1192" s="47"/>
      <c r="O1192" s="47"/>
      <c r="P1192" s="47"/>
      <c r="Q1192" s="47"/>
      <c r="R1192" s="47"/>
      <c r="S1192" s="50"/>
      <c r="T1192" s="47"/>
      <c r="U1192" s="47"/>
      <c r="V1192" s="47"/>
      <c r="W1192" s="51"/>
      <c r="X1192" s="51"/>
      <c r="Y1192" s="47"/>
      <c r="Z1192" s="47"/>
      <c r="AA1192" s="47"/>
      <c r="AB1192" s="47"/>
      <c r="AC1192" s="47"/>
      <c r="AD1192" s="47"/>
      <c r="AE1192" s="54"/>
      <c r="AF1192" s="54"/>
      <c r="AG1192" s="55"/>
      <c r="AH1192" s="54"/>
      <c r="AI1192" s="54"/>
      <c r="AJ1192" s="54"/>
      <c r="AK1192" s="54"/>
      <c r="AL1192" s="54"/>
      <c r="AM1192" s="54"/>
      <c r="AN1192" s="54"/>
      <c r="AO1192" s="54"/>
      <c r="AP1192" s="54"/>
      <c r="AQ1192" s="54"/>
      <c r="AR1192" s="54"/>
      <c r="AS1192" s="54"/>
      <c r="AT1192" s="54"/>
      <c r="AU1192" s="54"/>
      <c r="AV1192" s="54"/>
      <c r="AW1192" s="54"/>
      <c r="AX1192" s="54"/>
      <c r="AY1192" s="54"/>
      <c r="AZ1192" s="54"/>
      <c r="BA1192" s="54"/>
      <c r="BB1192" s="54"/>
      <c r="BC1192" s="56"/>
      <c r="BD1192" s="51"/>
      <c r="BE1192" s="54"/>
      <c r="BF1192" s="54"/>
      <c r="BG1192" s="47"/>
      <c r="BH1192" s="48"/>
      <c r="BI1192" s="48"/>
      <c r="BJ1192" s="48"/>
      <c r="BK1192" s="48"/>
      <c r="BL1192" s="48"/>
      <c r="BM1192" s="48"/>
      <c r="BN1192" s="48"/>
      <c r="BO1192" s="48"/>
      <c r="BP1192" s="48"/>
      <c r="BQ1192" s="48"/>
      <c r="BR1192" s="48"/>
      <c r="BS1192" s="48"/>
      <c r="BT1192" s="48"/>
      <c r="BU1192" s="48"/>
      <c r="BV1192" s="48"/>
      <c r="BW1192" s="48"/>
      <c r="BX1192" s="48"/>
      <c r="BY1192" s="48"/>
      <c r="BZ1192" s="48"/>
      <c r="CA1192" s="48"/>
      <c r="CB1192" s="48"/>
      <c r="CC1192" s="48"/>
      <c r="CD1192" s="48"/>
      <c r="CE1192" s="48"/>
      <c r="CF1192" s="52"/>
      <c r="CG1192" s="52"/>
      <c r="CH1192" s="48"/>
      <c r="CI1192" s="48"/>
      <c r="CJ1192" s="48"/>
      <c r="CK1192" s="48"/>
    </row>
    <row r="1193" spans="1:89" ht="15.75" customHeight="1" x14ac:dyDescent="0.3">
      <c r="A1193" s="47"/>
      <c r="B1193" s="48"/>
      <c r="C1193" s="47"/>
      <c r="D1193" s="48"/>
      <c r="E1193" s="48"/>
      <c r="F1193" s="48"/>
      <c r="G1193" s="48"/>
      <c r="H1193" s="48"/>
      <c r="I1193" s="49"/>
      <c r="J1193" s="47"/>
      <c r="K1193" s="47"/>
      <c r="L1193" s="47"/>
      <c r="M1193" s="47"/>
      <c r="N1193" s="47"/>
      <c r="O1193" s="47"/>
      <c r="P1193" s="47"/>
      <c r="Q1193" s="47"/>
      <c r="R1193" s="47"/>
      <c r="S1193" s="50"/>
      <c r="T1193" s="47"/>
      <c r="U1193" s="47"/>
      <c r="V1193" s="47"/>
      <c r="W1193" s="51"/>
      <c r="X1193" s="51"/>
      <c r="Y1193" s="47"/>
      <c r="Z1193" s="47"/>
      <c r="AA1193" s="47"/>
      <c r="AB1193" s="47"/>
      <c r="AC1193" s="47"/>
      <c r="AD1193" s="47"/>
      <c r="AE1193" s="54"/>
      <c r="AF1193" s="54"/>
      <c r="AG1193" s="55"/>
      <c r="AH1193" s="54"/>
      <c r="AI1193" s="54"/>
      <c r="AJ1193" s="54"/>
      <c r="AK1193" s="54"/>
      <c r="AL1193" s="54"/>
      <c r="AM1193" s="54"/>
      <c r="AN1193" s="54"/>
      <c r="AO1193" s="54"/>
      <c r="AP1193" s="54"/>
      <c r="AQ1193" s="54"/>
      <c r="AR1193" s="54"/>
      <c r="AS1193" s="54"/>
      <c r="AT1193" s="54"/>
      <c r="AU1193" s="54"/>
      <c r="AV1193" s="54"/>
      <c r="AW1193" s="54"/>
      <c r="AX1193" s="54"/>
      <c r="AY1193" s="54"/>
      <c r="AZ1193" s="54"/>
      <c r="BA1193" s="54"/>
      <c r="BB1193" s="54"/>
      <c r="BC1193" s="56"/>
      <c r="BD1193" s="51"/>
      <c r="BE1193" s="54"/>
      <c r="BF1193" s="54"/>
      <c r="BG1193" s="47"/>
      <c r="BH1193" s="48"/>
      <c r="BI1193" s="48"/>
      <c r="BJ1193" s="48"/>
      <c r="BK1193" s="48"/>
      <c r="BL1193" s="48"/>
      <c r="BM1193" s="48"/>
      <c r="BN1193" s="48"/>
      <c r="BO1193" s="48"/>
      <c r="BP1193" s="48"/>
      <c r="BQ1193" s="48"/>
      <c r="BR1193" s="48"/>
      <c r="BS1193" s="48"/>
      <c r="BT1193" s="48"/>
      <c r="BU1193" s="48"/>
      <c r="BV1193" s="48"/>
      <c r="BW1193" s="48"/>
      <c r="BX1193" s="48"/>
      <c r="BY1193" s="48"/>
      <c r="BZ1193" s="48"/>
      <c r="CA1193" s="48"/>
      <c r="CB1193" s="48"/>
      <c r="CC1193" s="48"/>
      <c r="CD1193" s="48"/>
      <c r="CE1193" s="48"/>
      <c r="CF1193" s="52"/>
      <c r="CG1193" s="52"/>
      <c r="CH1193" s="48"/>
      <c r="CI1193" s="48"/>
      <c r="CJ1193" s="48"/>
      <c r="CK1193" s="48"/>
    </row>
    <row r="1194" spans="1:89" ht="15.75" customHeight="1" x14ac:dyDescent="0.3">
      <c r="A1194" s="47"/>
      <c r="B1194" s="48"/>
      <c r="C1194" s="47"/>
      <c r="D1194" s="48"/>
      <c r="E1194" s="48"/>
      <c r="F1194" s="48"/>
      <c r="G1194" s="48"/>
      <c r="H1194" s="48"/>
      <c r="I1194" s="49"/>
      <c r="J1194" s="47"/>
      <c r="K1194" s="47"/>
      <c r="L1194" s="47"/>
      <c r="M1194" s="47"/>
      <c r="N1194" s="47"/>
      <c r="O1194" s="47"/>
      <c r="P1194" s="47"/>
      <c r="Q1194" s="47"/>
      <c r="R1194" s="47"/>
      <c r="S1194" s="50"/>
      <c r="T1194" s="47"/>
      <c r="U1194" s="47"/>
      <c r="V1194" s="47"/>
      <c r="W1194" s="51"/>
      <c r="X1194" s="51"/>
      <c r="Y1194" s="47"/>
      <c r="Z1194" s="47"/>
      <c r="AA1194" s="47"/>
      <c r="AB1194" s="47"/>
      <c r="AC1194" s="47"/>
      <c r="AD1194" s="47"/>
      <c r="AE1194" s="54"/>
      <c r="AF1194" s="54"/>
      <c r="AG1194" s="55"/>
      <c r="AH1194" s="54"/>
      <c r="AI1194" s="54"/>
      <c r="AJ1194" s="54"/>
      <c r="AK1194" s="54"/>
      <c r="AL1194" s="54"/>
      <c r="AM1194" s="54"/>
      <c r="AN1194" s="54"/>
      <c r="AO1194" s="54"/>
      <c r="AP1194" s="54"/>
      <c r="AQ1194" s="54"/>
      <c r="AR1194" s="54"/>
      <c r="AS1194" s="54"/>
      <c r="AT1194" s="54"/>
      <c r="AU1194" s="54"/>
      <c r="AV1194" s="54"/>
      <c r="AW1194" s="54"/>
      <c r="AX1194" s="54"/>
      <c r="AY1194" s="54"/>
      <c r="AZ1194" s="54"/>
      <c r="BA1194" s="54"/>
      <c r="BB1194" s="54"/>
      <c r="BC1194" s="56"/>
      <c r="BD1194" s="51"/>
      <c r="BE1194" s="54"/>
      <c r="BF1194" s="54"/>
      <c r="BG1194" s="47"/>
      <c r="BH1194" s="48"/>
      <c r="BI1194" s="48"/>
      <c r="BJ1194" s="48"/>
      <c r="BK1194" s="48"/>
      <c r="BL1194" s="48"/>
      <c r="BM1194" s="48"/>
      <c r="BN1194" s="48"/>
      <c r="BO1194" s="48"/>
      <c r="BP1194" s="48"/>
      <c r="BQ1194" s="48"/>
      <c r="BR1194" s="48"/>
      <c r="BS1194" s="48"/>
      <c r="BT1194" s="48"/>
      <c r="BU1194" s="48"/>
      <c r="BV1194" s="48"/>
      <c r="BW1194" s="48"/>
      <c r="BX1194" s="48"/>
      <c r="BY1194" s="48"/>
      <c r="BZ1194" s="48"/>
      <c r="CA1194" s="48"/>
      <c r="CB1194" s="48"/>
      <c r="CC1194" s="48"/>
      <c r="CD1194" s="48"/>
      <c r="CE1194" s="48"/>
      <c r="CF1194" s="52"/>
      <c r="CG1194" s="52"/>
      <c r="CH1194" s="48"/>
      <c r="CI1194" s="48"/>
      <c r="CJ1194" s="48"/>
      <c r="CK1194" s="48"/>
    </row>
    <row r="1195" spans="1:89" ht="15.75" customHeight="1" x14ac:dyDescent="0.3">
      <c r="A1195" s="47"/>
      <c r="B1195" s="48"/>
      <c r="C1195" s="47"/>
      <c r="D1195" s="48"/>
      <c r="E1195" s="48"/>
      <c r="F1195" s="48"/>
      <c r="G1195" s="48"/>
      <c r="H1195" s="48"/>
      <c r="I1195" s="49"/>
      <c r="J1195" s="47"/>
      <c r="K1195" s="47"/>
      <c r="L1195" s="47"/>
      <c r="M1195" s="47"/>
      <c r="N1195" s="47"/>
      <c r="O1195" s="47"/>
      <c r="P1195" s="47"/>
      <c r="Q1195" s="47"/>
      <c r="R1195" s="47"/>
      <c r="S1195" s="50"/>
      <c r="T1195" s="47"/>
      <c r="U1195" s="47"/>
      <c r="V1195" s="47"/>
      <c r="W1195" s="51"/>
      <c r="X1195" s="51"/>
      <c r="Y1195" s="47"/>
      <c r="Z1195" s="47"/>
      <c r="AA1195" s="47"/>
      <c r="AB1195" s="47"/>
      <c r="AC1195" s="47"/>
      <c r="AD1195" s="47"/>
      <c r="AE1195" s="54"/>
      <c r="AF1195" s="54"/>
      <c r="AG1195" s="55"/>
      <c r="AH1195" s="54"/>
      <c r="AI1195" s="54"/>
      <c r="AJ1195" s="54"/>
      <c r="AK1195" s="54"/>
      <c r="AL1195" s="54"/>
      <c r="AM1195" s="54"/>
      <c r="AN1195" s="54"/>
      <c r="AO1195" s="54"/>
      <c r="AP1195" s="54"/>
      <c r="AQ1195" s="54"/>
      <c r="AR1195" s="54"/>
      <c r="AS1195" s="54"/>
      <c r="AT1195" s="54"/>
      <c r="AU1195" s="54"/>
      <c r="AV1195" s="54"/>
      <c r="AW1195" s="54"/>
      <c r="AX1195" s="54"/>
      <c r="AY1195" s="54"/>
      <c r="AZ1195" s="54"/>
      <c r="BA1195" s="54"/>
      <c r="BB1195" s="54"/>
      <c r="BC1195" s="56"/>
      <c r="BD1195" s="51"/>
      <c r="BE1195" s="54"/>
      <c r="BF1195" s="54"/>
      <c r="BG1195" s="47"/>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52"/>
      <c r="CG1195" s="52"/>
      <c r="CH1195" s="48"/>
      <c r="CI1195" s="48"/>
      <c r="CJ1195" s="48"/>
      <c r="CK1195" s="48"/>
    </row>
    <row r="1196" spans="1:89" ht="15.75" customHeight="1" x14ac:dyDescent="0.3">
      <c r="A1196" s="47"/>
      <c r="B1196" s="48"/>
      <c r="C1196" s="47"/>
      <c r="D1196" s="48"/>
      <c r="E1196" s="48"/>
      <c r="F1196" s="48"/>
      <c r="G1196" s="48"/>
      <c r="H1196" s="48"/>
      <c r="I1196" s="49"/>
      <c r="J1196" s="47"/>
      <c r="K1196" s="47"/>
      <c r="L1196" s="47"/>
      <c r="M1196" s="47"/>
      <c r="N1196" s="47"/>
      <c r="O1196" s="47"/>
      <c r="P1196" s="47"/>
      <c r="Q1196" s="47"/>
      <c r="R1196" s="47"/>
      <c r="S1196" s="50"/>
      <c r="T1196" s="47"/>
      <c r="U1196" s="47"/>
      <c r="V1196" s="47"/>
      <c r="W1196" s="51"/>
      <c r="X1196" s="51"/>
      <c r="Y1196" s="47"/>
      <c r="Z1196" s="47"/>
      <c r="AA1196" s="47"/>
      <c r="AB1196" s="47"/>
      <c r="AC1196" s="47"/>
      <c r="AD1196" s="47"/>
      <c r="AE1196" s="54"/>
      <c r="AF1196" s="54"/>
      <c r="AG1196" s="55"/>
      <c r="AH1196" s="54"/>
      <c r="AI1196" s="54"/>
      <c r="AJ1196" s="54"/>
      <c r="AK1196" s="54"/>
      <c r="AL1196" s="54"/>
      <c r="AM1196" s="54"/>
      <c r="AN1196" s="54"/>
      <c r="AO1196" s="54"/>
      <c r="AP1196" s="54"/>
      <c r="AQ1196" s="54"/>
      <c r="AR1196" s="54"/>
      <c r="AS1196" s="54"/>
      <c r="AT1196" s="54"/>
      <c r="AU1196" s="54"/>
      <c r="AV1196" s="54"/>
      <c r="AW1196" s="54"/>
      <c r="AX1196" s="54"/>
      <c r="AY1196" s="54"/>
      <c r="AZ1196" s="54"/>
      <c r="BA1196" s="54"/>
      <c r="BB1196" s="54"/>
      <c r="BC1196" s="56"/>
      <c r="BD1196" s="51"/>
      <c r="BE1196" s="54"/>
      <c r="BF1196" s="54"/>
      <c r="BG1196" s="47"/>
      <c r="BH1196" s="48"/>
      <c r="BI1196" s="48"/>
      <c r="BJ1196" s="48"/>
      <c r="BK1196" s="48"/>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52"/>
      <c r="CG1196" s="52"/>
      <c r="CH1196" s="48"/>
      <c r="CI1196" s="48"/>
      <c r="CJ1196" s="48"/>
      <c r="CK1196" s="48"/>
    </row>
    <row r="1197" spans="1:89" ht="15.75" customHeight="1" x14ac:dyDescent="0.3">
      <c r="A1197" s="47"/>
      <c r="B1197" s="48"/>
      <c r="C1197" s="47"/>
      <c r="D1197" s="48"/>
      <c r="E1197" s="48"/>
      <c r="F1197" s="48"/>
      <c r="G1197" s="48"/>
      <c r="H1197" s="48"/>
      <c r="I1197" s="49"/>
      <c r="J1197" s="47"/>
      <c r="K1197" s="47"/>
      <c r="L1197" s="47"/>
      <c r="M1197" s="47"/>
      <c r="N1197" s="47"/>
      <c r="O1197" s="47"/>
      <c r="P1197" s="47"/>
      <c r="Q1197" s="47"/>
      <c r="R1197" s="47"/>
      <c r="S1197" s="50"/>
      <c r="T1197" s="47"/>
      <c r="U1197" s="47"/>
      <c r="V1197" s="47"/>
      <c r="W1197" s="51"/>
      <c r="X1197" s="51"/>
      <c r="Y1197" s="47"/>
      <c r="Z1197" s="47"/>
      <c r="AA1197" s="47"/>
      <c r="AB1197" s="47"/>
      <c r="AC1197" s="47"/>
      <c r="AD1197" s="47"/>
      <c r="AE1197" s="54"/>
      <c r="AF1197" s="54"/>
      <c r="AG1197" s="55"/>
      <c r="AH1197" s="54"/>
      <c r="AI1197" s="54"/>
      <c r="AJ1197" s="54"/>
      <c r="AK1197" s="54"/>
      <c r="AL1197" s="54"/>
      <c r="AM1197" s="54"/>
      <c r="AN1197" s="54"/>
      <c r="AO1197" s="54"/>
      <c r="AP1197" s="54"/>
      <c r="AQ1197" s="54"/>
      <c r="AR1197" s="54"/>
      <c r="AS1197" s="54"/>
      <c r="AT1197" s="54"/>
      <c r="AU1197" s="54"/>
      <c r="AV1197" s="54"/>
      <c r="AW1197" s="54"/>
      <c r="AX1197" s="54"/>
      <c r="AY1197" s="54"/>
      <c r="AZ1197" s="54"/>
      <c r="BA1197" s="54"/>
      <c r="BB1197" s="54"/>
      <c r="BC1197" s="56"/>
      <c r="BD1197" s="51"/>
      <c r="BE1197" s="54"/>
      <c r="BF1197" s="54"/>
      <c r="BG1197" s="47"/>
      <c r="BH1197" s="48"/>
      <c r="BI1197" s="48"/>
      <c r="BJ1197" s="48"/>
      <c r="BK1197" s="48"/>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52"/>
      <c r="CG1197" s="52"/>
      <c r="CH1197" s="48"/>
      <c r="CI1197" s="48"/>
      <c r="CJ1197" s="48"/>
      <c r="CK1197" s="48"/>
    </row>
    <row r="1198" spans="1:89" ht="15.75" customHeight="1" x14ac:dyDescent="0.3">
      <c r="A1198" s="47"/>
      <c r="B1198" s="48"/>
      <c r="C1198" s="47"/>
      <c r="D1198" s="48"/>
      <c r="E1198" s="48"/>
      <c r="F1198" s="48"/>
      <c r="G1198" s="48"/>
      <c r="H1198" s="48"/>
      <c r="I1198" s="49"/>
      <c r="J1198" s="47"/>
      <c r="K1198" s="47"/>
      <c r="L1198" s="47"/>
      <c r="M1198" s="47"/>
      <c r="N1198" s="47"/>
      <c r="O1198" s="47"/>
      <c r="P1198" s="47"/>
      <c r="Q1198" s="47"/>
      <c r="R1198" s="47"/>
      <c r="S1198" s="50"/>
      <c r="T1198" s="47"/>
      <c r="U1198" s="47"/>
      <c r="V1198" s="47"/>
      <c r="W1198" s="51"/>
      <c r="X1198" s="51"/>
      <c r="Y1198" s="47"/>
      <c r="Z1198" s="47"/>
      <c r="AA1198" s="47"/>
      <c r="AB1198" s="47"/>
      <c r="AC1198" s="47"/>
      <c r="AD1198" s="47"/>
      <c r="AE1198" s="54"/>
      <c r="AF1198" s="54"/>
      <c r="AG1198" s="55"/>
      <c r="AH1198" s="54"/>
      <c r="AI1198" s="54"/>
      <c r="AJ1198" s="54"/>
      <c r="AK1198" s="54"/>
      <c r="AL1198" s="54"/>
      <c r="AM1198" s="54"/>
      <c r="AN1198" s="54"/>
      <c r="AO1198" s="54"/>
      <c r="AP1198" s="54"/>
      <c r="AQ1198" s="54"/>
      <c r="AR1198" s="54"/>
      <c r="AS1198" s="54"/>
      <c r="AT1198" s="54"/>
      <c r="AU1198" s="54"/>
      <c r="AV1198" s="54"/>
      <c r="AW1198" s="54"/>
      <c r="AX1198" s="54"/>
      <c r="AY1198" s="54"/>
      <c r="AZ1198" s="54"/>
      <c r="BA1198" s="54"/>
      <c r="BB1198" s="54"/>
      <c r="BC1198" s="56"/>
      <c r="BD1198" s="51"/>
      <c r="BE1198" s="54"/>
      <c r="BF1198" s="54"/>
      <c r="BG1198" s="47"/>
      <c r="BH1198" s="48"/>
      <c r="BI1198" s="48"/>
      <c r="BJ1198" s="48"/>
      <c r="BK1198" s="48"/>
      <c r="BL1198" s="48"/>
      <c r="BM1198" s="48"/>
      <c r="BN1198" s="48"/>
      <c r="BO1198" s="48"/>
      <c r="BP1198" s="48"/>
      <c r="BQ1198" s="48"/>
      <c r="BR1198" s="48"/>
      <c r="BS1198" s="48"/>
      <c r="BT1198" s="48"/>
      <c r="BU1198" s="48"/>
      <c r="BV1198" s="48"/>
      <c r="BW1198" s="48"/>
      <c r="BX1198" s="48"/>
      <c r="BY1198" s="48"/>
      <c r="BZ1198" s="48"/>
      <c r="CA1198" s="48"/>
      <c r="CB1198" s="48"/>
      <c r="CC1198" s="48"/>
      <c r="CD1198" s="48"/>
      <c r="CE1198" s="48"/>
      <c r="CF1198" s="52"/>
      <c r="CG1198" s="52"/>
      <c r="CH1198" s="48"/>
      <c r="CI1198" s="48"/>
      <c r="CJ1198" s="48"/>
      <c r="CK1198" s="48"/>
    </row>
    <row r="1199" spans="1:89" ht="15.75" customHeight="1" x14ac:dyDescent="0.3">
      <c r="A1199" s="47"/>
      <c r="B1199" s="48"/>
      <c r="C1199" s="47"/>
      <c r="D1199" s="48"/>
      <c r="E1199" s="48"/>
      <c r="F1199" s="48"/>
      <c r="G1199" s="48"/>
      <c r="H1199" s="48"/>
      <c r="I1199" s="49"/>
      <c r="J1199" s="47"/>
      <c r="K1199" s="47"/>
      <c r="L1199" s="47"/>
      <c r="M1199" s="47"/>
      <c r="N1199" s="47"/>
      <c r="O1199" s="47"/>
      <c r="P1199" s="47"/>
      <c r="Q1199" s="47"/>
      <c r="R1199" s="47"/>
      <c r="S1199" s="50"/>
      <c r="T1199" s="47"/>
      <c r="U1199" s="47"/>
      <c r="V1199" s="47"/>
      <c r="W1199" s="51"/>
      <c r="X1199" s="51"/>
      <c r="Y1199" s="47"/>
      <c r="Z1199" s="47"/>
      <c r="AA1199" s="47"/>
      <c r="AB1199" s="47"/>
      <c r="AC1199" s="47"/>
      <c r="AD1199" s="47"/>
      <c r="AE1199" s="54"/>
      <c r="AF1199" s="54"/>
      <c r="AG1199" s="55"/>
      <c r="AH1199" s="54"/>
      <c r="AI1199" s="54"/>
      <c r="AJ1199" s="54"/>
      <c r="AK1199" s="54"/>
      <c r="AL1199" s="54"/>
      <c r="AM1199" s="54"/>
      <c r="AN1199" s="54"/>
      <c r="AO1199" s="54"/>
      <c r="AP1199" s="54"/>
      <c r="AQ1199" s="54"/>
      <c r="AR1199" s="54"/>
      <c r="AS1199" s="54"/>
      <c r="AT1199" s="54"/>
      <c r="AU1199" s="54"/>
      <c r="AV1199" s="54"/>
      <c r="AW1199" s="54"/>
      <c r="AX1199" s="54"/>
      <c r="AY1199" s="54"/>
      <c r="AZ1199" s="54"/>
      <c r="BA1199" s="54"/>
      <c r="BB1199" s="54"/>
      <c r="BC1199" s="56"/>
      <c r="BD1199" s="51"/>
      <c r="BE1199" s="54"/>
      <c r="BF1199" s="54"/>
      <c r="BG1199" s="47"/>
      <c r="BH1199" s="48"/>
      <c r="BI1199" s="48"/>
      <c r="BJ1199" s="48"/>
      <c r="BK1199" s="48"/>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52"/>
      <c r="CG1199" s="52"/>
      <c r="CH1199" s="48"/>
      <c r="CI1199" s="48"/>
      <c r="CJ1199" s="48"/>
      <c r="CK1199" s="48"/>
    </row>
    <row r="1200" spans="1:89" ht="15.75" customHeight="1" x14ac:dyDescent="0.3">
      <c r="A1200" s="47"/>
      <c r="B1200" s="48"/>
      <c r="C1200" s="47"/>
      <c r="D1200" s="48"/>
      <c r="E1200" s="48"/>
      <c r="F1200" s="48"/>
      <c r="G1200" s="48"/>
      <c r="H1200" s="48"/>
      <c r="I1200" s="49"/>
      <c r="J1200" s="47"/>
      <c r="K1200" s="47"/>
      <c r="L1200" s="47"/>
      <c r="M1200" s="47"/>
      <c r="N1200" s="47"/>
      <c r="O1200" s="47"/>
      <c r="P1200" s="47"/>
      <c r="Q1200" s="47"/>
      <c r="R1200" s="47"/>
      <c r="S1200" s="50"/>
      <c r="T1200" s="47"/>
      <c r="U1200" s="47"/>
      <c r="V1200" s="47"/>
      <c r="W1200" s="51"/>
      <c r="X1200" s="51"/>
      <c r="Y1200" s="47"/>
      <c r="Z1200" s="47"/>
      <c r="AA1200" s="47"/>
      <c r="AB1200" s="47"/>
      <c r="AC1200" s="47"/>
      <c r="AD1200" s="47"/>
      <c r="AE1200" s="54"/>
      <c r="AF1200" s="54"/>
      <c r="AG1200" s="55"/>
      <c r="AH1200" s="54"/>
      <c r="AI1200" s="54"/>
      <c r="AJ1200" s="54"/>
      <c r="AK1200" s="54"/>
      <c r="AL1200" s="54"/>
      <c r="AM1200" s="54"/>
      <c r="AN1200" s="54"/>
      <c r="AO1200" s="54"/>
      <c r="AP1200" s="54"/>
      <c r="AQ1200" s="54"/>
      <c r="AR1200" s="54"/>
      <c r="AS1200" s="54"/>
      <c r="AT1200" s="54"/>
      <c r="AU1200" s="54"/>
      <c r="AV1200" s="54"/>
      <c r="AW1200" s="54"/>
      <c r="AX1200" s="54"/>
      <c r="AY1200" s="54"/>
      <c r="AZ1200" s="54"/>
      <c r="BA1200" s="54"/>
      <c r="BB1200" s="54"/>
      <c r="BC1200" s="56"/>
      <c r="BD1200" s="51"/>
      <c r="BE1200" s="54"/>
      <c r="BF1200" s="54"/>
      <c r="BG1200" s="47"/>
      <c r="BH1200" s="48"/>
      <c r="BI1200" s="48"/>
      <c r="BJ1200" s="48"/>
      <c r="BK1200" s="48"/>
      <c r="BL1200" s="48"/>
      <c r="BM1200" s="48"/>
      <c r="BN1200" s="48"/>
      <c r="BO1200" s="48"/>
      <c r="BP1200" s="48"/>
      <c r="BQ1200" s="48"/>
      <c r="BR1200" s="48"/>
      <c r="BS1200" s="48"/>
      <c r="BT1200" s="48"/>
      <c r="BU1200" s="48"/>
      <c r="BV1200" s="48"/>
      <c r="BW1200" s="48"/>
      <c r="BX1200" s="48"/>
      <c r="BY1200" s="48"/>
      <c r="BZ1200" s="48"/>
      <c r="CA1200" s="48"/>
      <c r="CB1200" s="48"/>
      <c r="CC1200" s="48"/>
      <c r="CD1200" s="48"/>
      <c r="CE1200" s="48"/>
      <c r="CF1200" s="52"/>
      <c r="CG1200" s="52"/>
      <c r="CH1200" s="48"/>
      <c r="CI1200" s="48"/>
      <c r="CJ1200" s="48"/>
      <c r="CK1200" s="48"/>
    </row>
    <row r="1201" spans="1:89" ht="15.75" customHeight="1" x14ac:dyDescent="0.3">
      <c r="A1201" s="47"/>
      <c r="B1201" s="48"/>
      <c r="C1201" s="47"/>
      <c r="D1201" s="48"/>
      <c r="E1201" s="48"/>
      <c r="F1201" s="48"/>
      <c r="G1201" s="48"/>
      <c r="H1201" s="48"/>
      <c r="I1201" s="49"/>
      <c r="J1201" s="47"/>
      <c r="K1201" s="47"/>
      <c r="L1201" s="47"/>
      <c r="M1201" s="47"/>
      <c r="N1201" s="47"/>
      <c r="O1201" s="47"/>
      <c r="P1201" s="47"/>
      <c r="Q1201" s="47"/>
      <c r="R1201" s="47"/>
      <c r="S1201" s="50"/>
      <c r="T1201" s="47"/>
      <c r="U1201" s="47"/>
      <c r="V1201" s="47"/>
      <c r="W1201" s="51"/>
      <c r="X1201" s="51"/>
      <c r="Y1201" s="47"/>
      <c r="Z1201" s="47"/>
      <c r="AA1201" s="47"/>
      <c r="AB1201" s="47"/>
      <c r="AC1201" s="47"/>
      <c r="AD1201" s="47"/>
      <c r="AE1201" s="54"/>
      <c r="AF1201" s="54"/>
      <c r="AG1201" s="55"/>
      <c r="AH1201" s="54"/>
      <c r="AI1201" s="54"/>
      <c r="AJ1201" s="54"/>
      <c r="AK1201" s="54"/>
      <c r="AL1201" s="54"/>
      <c r="AM1201" s="54"/>
      <c r="AN1201" s="54"/>
      <c r="AO1201" s="54"/>
      <c r="AP1201" s="54"/>
      <c r="AQ1201" s="54"/>
      <c r="AR1201" s="54"/>
      <c r="AS1201" s="54"/>
      <c r="AT1201" s="54"/>
      <c r="AU1201" s="54"/>
      <c r="AV1201" s="54"/>
      <c r="AW1201" s="54"/>
      <c r="AX1201" s="54"/>
      <c r="AY1201" s="54"/>
      <c r="AZ1201" s="54"/>
      <c r="BA1201" s="54"/>
      <c r="BB1201" s="54"/>
      <c r="BC1201" s="56"/>
      <c r="BD1201" s="51"/>
      <c r="BE1201" s="54"/>
      <c r="BF1201" s="54"/>
      <c r="BG1201" s="47"/>
      <c r="BH1201" s="48"/>
      <c r="BI1201" s="48"/>
      <c r="BJ1201" s="48"/>
      <c r="BK1201" s="48"/>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52"/>
      <c r="CG1201" s="52"/>
      <c r="CH1201" s="48"/>
      <c r="CI1201" s="48"/>
      <c r="CJ1201" s="48"/>
      <c r="CK1201" s="48"/>
    </row>
    <row r="1202" spans="1:89" ht="15.75" customHeight="1" x14ac:dyDescent="0.3">
      <c r="A1202" s="47"/>
      <c r="B1202" s="48"/>
      <c r="C1202" s="47"/>
      <c r="D1202" s="48"/>
      <c r="E1202" s="48"/>
      <c r="F1202" s="48"/>
      <c r="G1202" s="48"/>
      <c r="H1202" s="48"/>
      <c r="I1202" s="49"/>
      <c r="J1202" s="47"/>
      <c r="K1202" s="47"/>
      <c r="L1202" s="47"/>
      <c r="M1202" s="47"/>
      <c r="N1202" s="47"/>
      <c r="O1202" s="47"/>
      <c r="P1202" s="47"/>
      <c r="Q1202" s="47"/>
      <c r="R1202" s="47"/>
      <c r="S1202" s="50"/>
      <c r="T1202" s="47"/>
      <c r="U1202" s="47"/>
      <c r="V1202" s="47"/>
      <c r="W1202" s="51"/>
      <c r="X1202" s="51"/>
      <c r="Y1202" s="47"/>
      <c r="Z1202" s="47"/>
      <c r="AA1202" s="47"/>
      <c r="AB1202" s="47"/>
      <c r="AC1202" s="47"/>
      <c r="AD1202" s="47"/>
      <c r="AE1202" s="54"/>
      <c r="AF1202" s="54"/>
      <c r="AG1202" s="55"/>
      <c r="AH1202" s="54"/>
      <c r="AI1202" s="54"/>
      <c r="AJ1202" s="54"/>
      <c r="AK1202" s="54"/>
      <c r="AL1202" s="54"/>
      <c r="AM1202" s="54"/>
      <c r="AN1202" s="54"/>
      <c r="AO1202" s="54"/>
      <c r="AP1202" s="54"/>
      <c r="AQ1202" s="54"/>
      <c r="AR1202" s="54"/>
      <c r="AS1202" s="54"/>
      <c r="AT1202" s="54"/>
      <c r="AU1202" s="54"/>
      <c r="AV1202" s="54"/>
      <c r="AW1202" s="54"/>
      <c r="AX1202" s="54"/>
      <c r="AY1202" s="54"/>
      <c r="AZ1202" s="54"/>
      <c r="BA1202" s="54"/>
      <c r="BB1202" s="54"/>
      <c r="BC1202" s="56"/>
      <c r="BD1202" s="51"/>
      <c r="BE1202" s="54"/>
      <c r="BF1202" s="54"/>
      <c r="BG1202" s="47"/>
      <c r="BH1202" s="48"/>
      <c r="BI1202" s="48"/>
      <c r="BJ1202" s="48"/>
      <c r="BK1202" s="48"/>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52"/>
      <c r="CG1202" s="52"/>
      <c r="CH1202" s="48"/>
      <c r="CI1202" s="48"/>
      <c r="CJ1202" s="48"/>
      <c r="CK1202" s="48"/>
    </row>
    <row r="1203" spans="1:89" ht="15.75" customHeight="1" x14ac:dyDescent="0.3">
      <c r="A1203" s="47"/>
      <c r="B1203" s="48"/>
      <c r="C1203" s="47"/>
      <c r="D1203" s="48"/>
      <c r="E1203" s="48"/>
      <c r="F1203" s="48"/>
      <c r="G1203" s="48"/>
      <c r="H1203" s="48"/>
      <c r="I1203" s="49"/>
      <c r="J1203" s="47"/>
      <c r="K1203" s="47"/>
      <c r="L1203" s="47"/>
      <c r="M1203" s="47"/>
      <c r="N1203" s="47"/>
      <c r="O1203" s="47"/>
      <c r="P1203" s="47"/>
      <c r="Q1203" s="47"/>
      <c r="R1203" s="47"/>
      <c r="S1203" s="50"/>
      <c r="T1203" s="47"/>
      <c r="U1203" s="47"/>
      <c r="V1203" s="47"/>
      <c r="W1203" s="51"/>
      <c r="X1203" s="51"/>
      <c r="Y1203" s="47"/>
      <c r="Z1203" s="47"/>
      <c r="AA1203" s="47"/>
      <c r="AB1203" s="47"/>
      <c r="AC1203" s="47"/>
      <c r="AD1203" s="47"/>
      <c r="AE1203" s="54"/>
      <c r="AF1203" s="54"/>
      <c r="AG1203" s="55"/>
      <c r="AH1203" s="54"/>
      <c r="AI1203" s="54"/>
      <c r="AJ1203" s="54"/>
      <c r="AK1203" s="54"/>
      <c r="AL1203" s="54"/>
      <c r="AM1203" s="54"/>
      <c r="AN1203" s="54"/>
      <c r="AO1203" s="54"/>
      <c r="AP1203" s="54"/>
      <c r="AQ1203" s="54"/>
      <c r="AR1203" s="54"/>
      <c r="AS1203" s="54"/>
      <c r="AT1203" s="54"/>
      <c r="AU1203" s="54"/>
      <c r="AV1203" s="54"/>
      <c r="AW1203" s="54"/>
      <c r="AX1203" s="54"/>
      <c r="AY1203" s="54"/>
      <c r="AZ1203" s="54"/>
      <c r="BA1203" s="54"/>
      <c r="BB1203" s="54"/>
      <c r="BC1203" s="56"/>
      <c r="BD1203" s="51"/>
      <c r="BE1203" s="54"/>
      <c r="BF1203" s="54"/>
      <c r="BG1203" s="47"/>
      <c r="BH1203" s="48"/>
      <c r="BI1203" s="48"/>
      <c r="BJ1203" s="48"/>
      <c r="BK1203" s="48"/>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52"/>
      <c r="CG1203" s="52"/>
      <c r="CH1203" s="48"/>
      <c r="CI1203" s="48"/>
      <c r="CJ1203" s="48"/>
      <c r="CK1203" s="48"/>
    </row>
    <row r="1204" spans="1:89" ht="15.75" customHeight="1" x14ac:dyDescent="0.3">
      <c r="A1204" s="47"/>
      <c r="B1204" s="48"/>
      <c r="C1204" s="47"/>
      <c r="D1204" s="48"/>
      <c r="E1204" s="48"/>
      <c r="F1204" s="48"/>
      <c r="G1204" s="48"/>
      <c r="H1204" s="48"/>
      <c r="I1204" s="49"/>
      <c r="J1204" s="47"/>
      <c r="K1204" s="47"/>
      <c r="L1204" s="47"/>
      <c r="M1204" s="47"/>
      <c r="N1204" s="47"/>
      <c r="O1204" s="47"/>
      <c r="P1204" s="47"/>
      <c r="Q1204" s="47"/>
      <c r="R1204" s="47"/>
      <c r="S1204" s="50"/>
      <c r="T1204" s="47"/>
      <c r="U1204" s="47"/>
      <c r="V1204" s="47"/>
      <c r="W1204" s="51"/>
      <c r="X1204" s="51"/>
      <c r="Y1204" s="47"/>
      <c r="Z1204" s="47"/>
      <c r="AA1204" s="47"/>
      <c r="AB1204" s="47"/>
      <c r="AC1204" s="47"/>
      <c r="AD1204" s="47"/>
      <c r="AE1204" s="54"/>
      <c r="AF1204" s="54"/>
      <c r="AG1204" s="55"/>
      <c r="AH1204" s="54"/>
      <c r="AI1204" s="54"/>
      <c r="AJ1204" s="54"/>
      <c r="AK1204" s="54"/>
      <c r="AL1204" s="54"/>
      <c r="AM1204" s="54"/>
      <c r="AN1204" s="54"/>
      <c r="AO1204" s="54"/>
      <c r="AP1204" s="54"/>
      <c r="AQ1204" s="54"/>
      <c r="AR1204" s="54"/>
      <c r="AS1204" s="54"/>
      <c r="AT1204" s="54"/>
      <c r="AU1204" s="54"/>
      <c r="AV1204" s="54"/>
      <c r="AW1204" s="54"/>
      <c r="AX1204" s="54"/>
      <c r="AY1204" s="54"/>
      <c r="AZ1204" s="54"/>
      <c r="BA1204" s="54"/>
      <c r="BB1204" s="54"/>
      <c r="BC1204" s="56"/>
      <c r="BD1204" s="51"/>
      <c r="BE1204" s="54"/>
      <c r="BF1204" s="54"/>
      <c r="BG1204" s="47"/>
      <c r="BH1204" s="48"/>
      <c r="BI1204" s="48"/>
      <c r="BJ1204" s="48"/>
      <c r="BK1204" s="48"/>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52"/>
      <c r="CG1204" s="52"/>
      <c r="CH1204" s="48"/>
      <c r="CI1204" s="48"/>
      <c r="CJ1204" s="48"/>
      <c r="CK1204" s="48"/>
    </row>
    <row r="1205" spans="1:89" ht="15.75" customHeight="1" x14ac:dyDescent="0.3">
      <c r="A1205" s="47"/>
      <c r="B1205" s="48"/>
      <c r="C1205" s="47"/>
      <c r="D1205" s="48"/>
      <c r="E1205" s="48"/>
      <c r="F1205" s="48"/>
      <c r="G1205" s="48"/>
      <c r="H1205" s="48"/>
      <c r="I1205" s="49"/>
      <c r="J1205" s="47"/>
      <c r="K1205" s="47"/>
      <c r="L1205" s="47"/>
      <c r="M1205" s="47"/>
      <c r="N1205" s="47"/>
      <c r="O1205" s="47"/>
      <c r="P1205" s="47"/>
      <c r="Q1205" s="47"/>
      <c r="R1205" s="47"/>
      <c r="S1205" s="50"/>
      <c r="T1205" s="47"/>
      <c r="U1205" s="47"/>
      <c r="V1205" s="47"/>
      <c r="W1205" s="51"/>
      <c r="X1205" s="51"/>
      <c r="Y1205" s="47"/>
      <c r="Z1205" s="47"/>
      <c r="AA1205" s="47"/>
      <c r="AB1205" s="47"/>
      <c r="AC1205" s="47"/>
      <c r="AD1205" s="47"/>
      <c r="AE1205" s="54"/>
      <c r="AF1205" s="54"/>
      <c r="AG1205" s="55"/>
      <c r="AH1205" s="54"/>
      <c r="AI1205" s="54"/>
      <c r="AJ1205" s="54"/>
      <c r="AK1205" s="54"/>
      <c r="AL1205" s="54"/>
      <c r="AM1205" s="54"/>
      <c r="AN1205" s="54"/>
      <c r="AO1205" s="54"/>
      <c r="AP1205" s="54"/>
      <c r="AQ1205" s="54"/>
      <c r="AR1205" s="54"/>
      <c r="AS1205" s="54"/>
      <c r="AT1205" s="54"/>
      <c r="AU1205" s="54"/>
      <c r="AV1205" s="54"/>
      <c r="AW1205" s="54"/>
      <c r="AX1205" s="54"/>
      <c r="AY1205" s="54"/>
      <c r="AZ1205" s="54"/>
      <c r="BA1205" s="54"/>
      <c r="BB1205" s="54"/>
      <c r="BC1205" s="56"/>
      <c r="BD1205" s="51"/>
      <c r="BE1205" s="54"/>
      <c r="BF1205" s="54"/>
      <c r="BG1205" s="47"/>
      <c r="BH1205" s="48"/>
      <c r="BI1205" s="48"/>
      <c r="BJ1205" s="48"/>
      <c r="BK1205" s="48"/>
      <c r="BL1205" s="48"/>
      <c r="BM1205" s="48"/>
      <c r="BN1205" s="48"/>
      <c r="BO1205" s="48"/>
      <c r="BP1205" s="48"/>
      <c r="BQ1205" s="48"/>
      <c r="BR1205" s="48"/>
      <c r="BS1205" s="48"/>
      <c r="BT1205" s="48"/>
      <c r="BU1205" s="48"/>
      <c r="BV1205" s="48"/>
      <c r="BW1205" s="48"/>
      <c r="BX1205" s="48"/>
      <c r="BY1205" s="48"/>
      <c r="BZ1205" s="48"/>
      <c r="CA1205" s="48"/>
      <c r="CB1205" s="48"/>
      <c r="CC1205" s="48"/>
      <c r="CD1205" s="48"/>
      <c r="CE1205" s="48"/>
      <c r="CF1205" s="52"/>
      <c r="CG1205" s="52"/>
      <c r="CH1205" s="48"/>
      <c r="CI1205" s="48"/>
      <c r="CJ1205" s="48"/>
      <c r="CK1205" s="48"/>
    </row>
    <row r="1206" spans="1:89" ht="15.75" customHeight="1" x14ac:dyDescent="0.3">
      <c r="A1206" s="47"/>
      <c r="B1206" s="48"/>
      <c r="C1206" s="47"/>
      <c r="D1206" s="48"/>
      <c r="E1206" s="48"/>
      <c r="F1206" s="48"/>
      <c r="G1206" s="48"/>
      <c r="H1206" s="48"/>
      <c r="I1206" s="49"/>
      <c r="J1206" s="47"/>
      <c r="K1206" s="47"/>
      <c r="L1206" s="47"/>
      <c r="M1206" s="47"/>
      <c r="N1206" s="47"/>
      <c r="O1206" s="47"/>
      <c r="P1206" s="47"/>
      <c r="Q1206" s="47"/>
      <c r="R1206" s="47"/>
      <c r="S1206" s="50"/>
      <c r="T1206" s="47"/>
      <c r="U1206" s="47"/>
      <c r="V1206" s="47"/>
      <c r="W1206" s="51"/>
      <c r="X1206" s="51"/>
      <c r="Y1206" s="47"/>
      <c r="Z1206" s="47"/>
      <c r="AA1206" s="47"/>
      <c r="AB1206" s="47"/>
      <c r="AC1206" s="47"/>
      <c r="AD1206" s="47"/>
      <c r="AE1206" s="54"/>
      <c r="AF1206" s="54"/>
      <c r="AG1206" s="55"/>
      <c r="AH1206" s="54"/>
      <c r="AI1206" s="54"/>
      <c r="AJ1206" s="54"/>
      <c r="AK1206" s="54"/>
      <c r="AL1206" s="54"/>
      <c r="AM1206" s="54"/>
      <c r="AN1206" s="54"/>
      <c r="AO1206" s="54"/>
      <c r="AP1206" s="54"/>
      <c r="AQ1206" s="54"/>
      <c r="AR1206" s="54"/>
      <c r="AS1206" s="54"/>
      <c r="AT1206" s="54"/>
      <c r="AU1206" s="54"/>
      <c r="AV1206" s="54"/>
      <c r="AW1206" s="54"/>
      <c r="AX1206" s="54"/>
      <c r="AY1206" s="54"/>
      <c r="AZ1206" s="54"/>
      <c r="BA1206" s="54"/>
      <c r="BB1206" s="54"/>
      <c r="BC1206" s="56"/>
      <c r="BD1206" s="51"/>
      <c r="BE1206" s="54"/>
      <c r="BF1206" s="54"/>
      <c r="BG1206" s="47"/>
      <c r="BH1206" s="48"/>
      <c r="BI1206" s="48"/>
      <c r="BJ1206" s="48"/>
      <c r="BK1206" s="48"/>
      <c r="BL1206" s="48"/>
      <c r="BM1206" s="48"/>
      <c r="BN1206" s="48"/>
      <c r="BO1206" s="48"/>
      <c r="BP1206" s="48"/>
      <c r="BQ1206" s="48"/>
      <c r="BR1206" s="48"/>
      <c r="BS1206" s="48"/>
      <c r="BT1206" s="48"/>
      <c r="BU1206" s="48"/>
      <c r="BV1206" s="48"/>
      <c r="BW1206" s="48"/>
      <c r="BX1206" s="48"/>
      <c r="BY1206" s="48"/>
      <c r="BZ1206" s="48"/>
      <c r="CA1206" s="48"/>
      <c r="CB1206" s="48"/>
      <c r="CC1206" s="48"/>
      <c r="CD1206" s="48"/>
      <c r="CE1206" s="48"/>
      <c r="CF1206" s="52"/>
      <c r="CG1206" s="52"/>
      <c r="CH1206" s="48"/>
      <c r="CI1206" s="48"/>
      <c r="CJ1206" s="48"/>
      <c r="CK1206" s="48"/>
    </row>
    <row r="1207" spans="1:89" ht="15.75" customHeight="1" x14ac:dyDescent="0.3">
      <c r="A1207" s="47"/>
      <c r="B1207" s="48"/>
      <c r="C1207" s="47"/>
      <c r="D1207" s="48"/>
      <c r="E1207" s="48"/>
      <c r="F1207" s="48"/>
      <c r="G1207" s="48"/>
      <c r="H1207" s="48"/>
      <c r="I1207" s="49"/>
      <c r="J1207" s="47"/>
      <c r="K1207" s="47"/>
      <c r="L1207" s="47"/>
      <c r="M1207" s="47"/>
      <c r="N1207" s="47"/>
      <c r="O1207" s="47"/>
      <c r="P1207" s="47"/>
      <c r="Q1207" s="47"/>
      <c r="R1207" s="47"/>
      <c r="S1207" s="50"/>
      <c r="T1207" s="47"/>
      <c r="U1207" s="47"/>
      <c r="V1207" s="47"/>
      <c r="W1207" s="51"/>
      <c r="X1207" s="51"/>
      <c r="Y1207" s="47"/>
      <c r="Z1207" s="47"/>
      <c r="AA1207" s="47"/>
      <c r="AB1207" s="47"/>
      <c r="AC1207" s="47"/>
      <c r="AD1207" s="47"/>
      <c r="AE1207" s="54"/>
      <c r="AF1207" s="54"/>
      <c r="AG1207" s="55"/>
      <c r="AH1207" s="54"/>
      <c r="AI1207" s="54"/>
      <c r="AJ1207" s="54"/>
      <c r="AK1207" s="54"/>
      <c r="AL1207" s="54"/>
      <c r="AM1207" s="54"/>
      <c r="AN1207" s="54"/>
      <c r="AO1207" s="54"/>
      <c r="AP1207" s="54"/>
      <c r="AQ1207" s="54"/>
      <c r="AR1207" s="54"/>
      <c r="AS1207" s="54"/>
      <c r="AT1207" s="54"/>
      <c r="AU1207" s="54"/>
      <c r="AV1207" s="54"/>
      <c r="AW1207" s="54"/>
      <c r="AX1207" s="54"/>
      <c r="AY1207" s="54"/>
      <c r="AZ1207" s="54"/>
      <c r="BA1207" s="54"/>
      <c r="BB1207" s="54"/>
      <c r="BC1207" s="56"/>
      <c r="BD1207" s="51"/>
      <c r="BE1207" s="54"/>
      <c r="BF1207" s="54"/>
      <c r="BG1207" s="47"/>
      <c r="BH1207" s="48"/>
      <c r="BI1207" s="48"/>
      <c r="BJ1207" s="48"/>
      <c r="BK1207" s="48"/>
      <c r="BL1207" s="48"/>
      <c r="BM1207" s="48"/>
      <c r="BN1207" s="48"/>
      <c r="BO1207" s="48"/>
      <c r="BP1207" s="48"/>
      <c r="BQ1207" s="48"/>
      <c r="BR1207" s="48"/>
      <c r="BS1207" s="48"/>
      <c r="BT1207" s="48"/>
      <c r="BU1207" s="48"/>
      <c r="BV1207" s="48"/>
      <c r="BW1207" s="48"/>
      <c r="BX1207" s="48"/>
      <c r="BY1207" s="48"/>
      <c r="BZ1207" s="48"/>
      <c r="CA1207" s="48"/>
      <c r="CB1207" s="48"/>
      <c r="CC1207" s="48"/>
      <c r="CD1207" s="48"/>
      <c r="CE1207" s="48"/>
      <c r="CF1207" s="52"/>
      <c r="CG1207" s="52"/>
      <c r="CH1207" s="48"/>
      <c r="CI1207" s="48"/>
      <c r="CJ1207" s="48"/>
      <c r="CK1207" s="48"/>
    </row>
    <row r="1208" spans="1:89" ht="15.75" customHeight="1" x14ac:dyDescent="0.3">
      <c r="A1208" s="47"/>
      <c r="B1208" s="48"/>
      <c r="C1208" s="47"/>
      <c r="D1208" s="48"/>
      <c r="E1208" s="48"/>
      <c r="F1208" s="48"/>
      <c r="G1208" s="48"/>
      <c r="H1208" s="48"/>
      <c r="I1208" s="49"/>
      <c r="J1208" s="47"/>
      <c r="K1208" s="47"/>
      <c r="L1208" s="47"/>
      <c r="M1208" s="47"/>
      <c r="N1208" s="47"/>
      <c r="O1208" s="47"/>
      <c r="P1208" s="47"/>
      <c r="Q1208" s="47"/>
      <c r="R1208" s="47"/>
      <c r="S1208" s="50"/>
      <c r="T1208" s="47"/>
      <c r="U1208" s="47"/>
      <c r="V1208" s="47"/>
      <c r="W1208" s="51"/>
      <c r="X1208" s="51"/>
      <c r="Y1208" s="47"/>
      <c r="Z1208" s="47"/>
      <c r="AA1208" s="47"/>
      <c r="AB1208" s="47"/>
      <c r="AC1208" s="47"/>
      <c r="AD1208" s="47"/>
      <c r="AE1208" s="54"/>
      <c r="AF1208" s="54"/>
      <c r="AG1208" s="55"/>
      <c r="AH1208" s="54"/>
      <c r="AI1208" s="54"/>
      <c r="AJ1208" s="54"/>
      <c r="AK1208" s="54"/>
      <c r="AL1208" s="54"/>
      <c r="AM1208" s="54"/>
      <c r="AN1208" s="54"/>
      <c r="AO1208" s="54"/>
      <c r="AP1208" s="54"/>
      <c r="AQ1208" s="54"/>
      <c r="AR1208" s="54"/>
      <c r="AS1208" s="54"/>
      <c r="AT1208" s="54"/>
      <c r="AU1208" s="54"/>
      <c r="AV1208" s="54"/>
      <c r="AW1208" s="54"/>
      <c r="AX1208" s="54"/>
      <c r="AY1208" s="54"/>
      <c r="AZ1208" s="54"/>
      <c r="BA1208" s="54"/>
      <c r="BB1208" s="54"/>
      <c r="BC1208" s="56"/>
      <c r="BD1208" s="51"/>
      <c r="BE1208" s="54"/>
      <c r="BF1208" s="54"/>
      <c r="BG1208" s="47"/>
      <c r="BH1208" s="48"/>
      <c r="BI1208" s="48"/>
      <c r="BJ1208" s="48"/>
      <c r="BK1208" s="48"/>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52"/>
      <c r="CG1208" s="52"/>
      <c r="CH1208" s="48"/>
      <c r="CI1208" s="48"/>
      <c r="CJ1208" s="48"/>
      <c r="CK1208" s="48"/>
    </row>
    <row r="1209" spans="1:89" ht="15.75" customHeight="1" x14ac:dyDescent="0.3">
      <c r="A1209" s="47"/>
      <c r="B1209" s="48"/>
      <c r="C1209" s="47"/>
      <c r="D1209" s="48"/>
      <c r="E1209" s="48"/>
      <c r="F1209" s="48"/>
      <c r="G1209" s="48"/>
      <c r="H1209" s="48"/>
      <c r="I1209" s="49"/>
      <c r="J1209" s="47"/>
      <c r="K1209" s="47"/>
      <c r="L1209" s="47"/>
      <c r="M1209" s="47"/>
      <c r="N1209" s="47"/>
      <c r="O1209" s="47"/>
      <c r="P1209" s="47"/>
      <c r="Q1209" s="47"/>
      <c r="R1209" s="47"/>
      <c r="S1209" s="50"/>
      <c r="T1209" s="47"/>
      <c r="U1209" s="47"/>
      <c r="V1209" s="47"/>
      <c r="W1209" s="51"/>
      <c r="X1209" s="51"/>
      <c r="Y1209" s="47"/>
      <c r="Z1209" s="47"/>
      <c r="AA1209" s="47"/>
      <c r="AB1209" s="47"/>
      <c r="AC1209" s="47"/>
      <c r="AD1209" s="47"/>
      <c r="AE1209" s="54"/>
      <c r="AF1209" s="54"/>
      <c r="AG1209" s="55"/>
      <c r="AH1209" s="54"/>
      <c r="AI1209" s="54"/>
      <c r="AJ1209" s="54"/>
      <c r="AK1209" s="54"/>
      <c r="AL1209" s="54"/>
      <c r="AM1209" s="54"/>
      <c r="AN1209" s="54"/>
      <c r="AO1209" s="54"/>
      <c r="AP1209" s="54"/>
      <c r="AQ1209" s="54"/>
      <c r="AR1209" s="54"/>
      <c r="AS1209" s="54"/>
      <c r="AT1209" s="54"/>
      <c r="AU1209" s="54"/>
      <c r="AV1209" s="54"/>
      <c r="AW1209" s="54"/>
      <c r="AX1209" s="54"/>
      <c r="AY1209" s="54"/>
      <c r="AZ1209" s="54"/>
      <c r="BA1209" s="54"/>
      <c r="BB1209" s="54"/>
      <c r="BC1209" s="56"/>
      <c r="BD1209" s="51"/>
      <c r="BE1209" s="54"/>
      <c r="BF1209" s="54"/>
      <c r="BG1209" s="47"/>
      <c r="BH1209" s="48"/>
      <c r="BI1209" s="48"/>
      <c r="BJ1209" s="48"/>
      <c r="BK1209" s="48"/>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52"/>
      <c r="CG1209" s="52"/>
      <c r="CH1209" s="48"/>
      <c r="CI1209" s="48"/>
      <c r="CJ1209" s="48"/>
      <c r="CK1209" s="48"/>
    </row>
    <row r="1210" spans="1:89" ht="15.75" customHeight="1" x14ac:dyDescent="0.3">
      <c r="A1210" s="47"/>
      <c r="B1210" s="48"/>
      <c r="C1210" s="47"/>
      <c r="D1210" s="48"/>
      <c r="E1210" s="48"/>
      <c r="F1210" s="48"/>
      <c r="G1210" s="48"/>
      <c r="H1210" s="48"/>
      <c r="I1210" s="49"/>
      <c r="J1210" s="47"/>
      <c r="K1210" s="47"/>
      <c r="L1210" s="47"/>
      <c r="M1210" s="47"/>
      <c r="N1210" s="47"/>
      <c r="O1210" s="47"/>
      <c r="P1210" s="47"/>
      <c r="Q1210" s="47"/>
      <c r="R1210" s="47"/>
      <c r="S1210" s="50"/>
      <c r="T1210" s="47"/>
      <c r="U1210" s="47"/>
      <c r="V1210" s="47"/>
      <c r="W1210" s="51"/>
      <c r="X1210" s="51"/>
      <c r="Y1210" s="47"/>
      <c r="Z1210" s="47"/>
      <c r="AA1210" s="47"/>
      <c r="AB1210" s="47"/>
      <c r="AC1210" s="47"/>
      <c r="AD1210" s="47"/>
      <c r="AE1210" s="54"/>
      <c r="AF1210" s="54"/>
      <c r="AG1210" s="55"/>
      <c r="AH1210" s="54"/>
      <c r="AI1210" s="54"/>
      <c r="AJ1210" s="54"/>
      <c r="AK1210" s="54"/>
      <c r="AL1210" s="54"/>
      <c r="AM1210" s="54"/>
      <c r="AN1210" s="54"/>
      <c r="AO1210" s="54"/>
      <c r="AP1210" s="54"/>
      <c r="AQ1210" s="54"/>
      <c r="AR1210" s="54"/>
      <c r="AS1210" s="54"/>
      <c r="AT1210" s="54"/>
      <c r="AU1210" s="54"/>
      <c r="AV1210" s="54"/>
      <c r="AW1210" s="54"/>
      <c r="AX1210" s="54"/>
      <c r="AY1210" s="54"/>
      <c r="AZ1210" s="54"/>
      <c r="BA1210" s="54"/>
      <c r="BB1210" s="54"/>
      <c r="BC1210" s="56"/>
      <c r="BD1210" s="51"/>
      <c r="BE1210" s="54"/>
      <c r="BF1210" s="54"/>
      <c r="BG1210" s="47"/>
      <c r="BH1210" s="48"/>
      <c r="BI1210" s="48"/>
      <c r="BJ1210" s="48"/>
      <c r="BK1210" s="48"/>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52"/>
      <c r="CG1210" s="52"/>
      <c r="CH1210" s="48"/>
      <c r="CI1210" s="48"/>
      <c r="CJ1210" s="48"/>
      <c r="CK1210" s="48"/>
    </row>
    <row r="1211" spans="1:89" ht="15.75" customHeight="1" x14ac:dyDescent="0.3">
      <c r="A1211" s="47"/>
      <c r="B1211" s="48"/>
      <c r="C1211" s="47"/>
      <c r="D1211" s="48"/>
      <c r="E1211" s="48"/>
      <c r="F1211" s="48"/>
      <c r="G1211" s="48"/>
      <c r="H1211" s="48"/>
      <c r="I1211" s="49"/>
      <c r="J1211" s="47"/>
      <c r="K1211" s="47"/>
      <c r="L1211" s="47"/>
      <c r="M1211" s="47"/>
      <c r="N1211" s="47"/>
      <c r="O1211" s="47"/>
      <c r="P1211" s="47"/>
      <c r="Q1211" s="47"/>
      <c r="R1211" s="47"/>
      <c r="S1211" s="50"/>
      <c r="T1211" s="47"/>
      <c r="U1211" s="47"/>
      <c r="V1211" s="47"/>
      <c r="W1211" s="51"/>
      <c r="X1211" s="51"/>
      <c r="Y1211" s="47"/>
      <c r="Z1211" s="47"/>
      <c r="AA1211" s="47"/>
      <c r="AB1211" s="47"/>
      <c r="AC1211" s="47"/>
      <c r="AD1211" s="47"/>
      <c r="AE1211" s="54"/>
      <c r="AF1211" s="54"/>
      <c r="AG1211" s="55"/>
      <c r="AH1211" s="54"/>
      <c r="AI1211" s="54"/>
      <c r="AJ1211" s="54"/>
      <c r="AK1211" s="54"/>
      <c r="AL1211" s="54"/>
      <c r="AM1211" s="54"/>
      <c r="AN1211" s="54"/>
      <c r="AO1211" s="54"/>
      <c r="AP1211" s="54"/>
      <c r="AQ1211" s="54"/>
      <c r="AR1211" s="54"/>
      <c r="AS1211" s="54"/>
      <c r="AT1211" s="54"/>
      <c r="AU1211" s="54"/>
      <c r="AV1211" s="54"/>
      <c r="AW1211" s="54"/>
      <c r="AX1211" s="54"/>
      <c r="AY1211" s="54"/>
      <c r="AZ1211" s="54"/>
      <c r="BA1211" s="54"/>
      <c r="BB1211" s="54"/>
      <c r="BC1211" s="56"/>
      <c r="BD1211" s="51"/>
      <c r="BE1211" s="54"/>
      <c r="BF1211" s="54"/>
      <c r="BG1211" s="47"/>
      <c r="BH1211" s="48"/>
      <c r="BI1211" s="48"/>
      <c r="BJ1211" s="48"/>
      <c r="BK1211" s="48"/>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52"/>
      <c r="CG1211" s="52"/>
      <c r="CH1211" s="48"/>
      <c r="CI1211" s="48"/>
      <c r="CJ1211" s="48"/>
      <c r="CK1211" s="48"/>
    </row>
    <row r="1212" spans="1:89" ht="15.75" customHeight="1" x14ac:dyDescent="0.3">
      <c r="A1212" s="47"/>
      <c r="B1212" s="48"/>
      <c r="C1212" s="47"/>
      <c r="D1212" s="48"/>
      <c r="E1212" s="48"/>
      <c r="F1212" s="48"/>
      <c r="G1212" s="48"/>
      <c r="H1212" s="48"/>
      <c r="I1212" s="49"/>
      <c r="J1212" s="47"/>
      <c r="K1212" s="47"/>
      <c r="L1212" s="47"/>
      <c r="M1212" s="47"/>
      <c r="N1212" s="47"/>
      <c r="O1212" s="47"/>
      <c r="P1212" s="47"/>
      <c r="Q1212" s="47"/>
      <c r="R1212" s="47"/>
      <c r="S1212" s="50"/>
      <c r="T1212" s="47"/>
      <c r="U1212" s="47"/>
      <c r="V1212" s="47"/>
      <c r="W1212" s="51"/>
      <c r="X1212" s="51"/>
      <c r="Y1212" s="47"/>
      <c r="Z1212" s="47"/>
      <c r="AA1212" s="47"/>
      <c r="AB1212" s="47"/>
      <c r="AC1212" s="47"/>
      <c r="AD1212" s="47"/>
      <c r="AE1212" s="54"/>
      <c r="AF1212" s="54"/>
      <c r="AG1212" s="55"/>
      <c r="AH1212" s="54"/>
      <c r="AI1212" s="54"/>
      <c r="AJ1212" s="54"/>
      <c r="AK1212" s="54"/>
      <c r="AL1212" s="54"/>
      <c r="AM1212" s="54"/>
      <c r="AN1212" s="54"/>
      <c r="AO1212" s="54"/>
      <c r="AP1212" s="54"/>
      <c r="AQ1212" s="54"/>
      <c r="AR1212" s="54"/>
      <c r="AS1212" s="54"/>
      <c r="AT1212" s="54"/>
      <c r="AU1212" s="54"/>
      <c r="AV1212" s="54"/>
      <c r="AW1212" s="54"/>
      <c r="AX1212" s="54"/>
      <c r="AY1212" s="54"/>
      <c r="AZ1212" s="54"/>
      <c r="BA1212" s="54"/>
      <c r="BB1212" s="54"/>
      <c r="BC1212" s="56"/>
      <c r="BD1212" s="51"/>
      <c r="BE1212" s="54"/>
      <c r="BF1212" s="54"/>
      <c r="BG1212" s="47"/>
      <c r="BH1212" s="48"/>
      <c r="BI1212" s="48"/>
      <c r="BJ1212" s="48"/>
      <c r="BK1212" s="48"/>
      <c r="BL1212" s="48"/>
      <c r="BM1212" s="48"/>
      <c r="BN1212" s="48"/>
      <c r="BO1212" s="48"/>
      <c r="BP1212" s="48"/>
      <c r="BQ1212" s="48"/>
      <c r="BR1212" s="48"/>
      <c r="BS1212" s="48"/>
      <c r="BT1212" s="48"/>
      <c r="BU1212" s="48"/>
      <c r="BV1212" s="48"/>
      <c r="BW1212" s="48"/>
      <c r="BX1212" s="48"/>
      <c r="BY1212" s="48"/>
      <c r="BZ1212" s="48"/>
      <c r="CA1212" s="48"/>
      <c r="CB1212" s="48"/>
      <c r="CC1212" s="48"/>
      <c r="CD1212" s="48"/>
      <c r="CE1212" s="48"/>
      <c r="CF1212" s="52"/>
      <c r="CG1212" s="52"/>
      <c r="CH1212" s="48"/>
      <c r="CI1212" s="48"/>
      <c r="CJ1212" s="48"/>
      <c r="CK1212" s="48"/>
    </row>
    <row r="1213" spans="1:89" ht="15.75" customHeight="1" x14ac:dyDescent="0.3">
      <c r="A1213" s="47"/>
      <c r="B1213" s="48"/>
      <c r="C1213" s="47"/>
      <c r="D1213" s="48"/>
      <c r="E1213" s="48"/>
      <c r="F1213" s="48"/>
      <c r="G1213" s="48"/>
      <c r="H1213" s="48"/>
      <c r="I1213" s="49"/>
      <c r="J1213" s="47"/>
      <c r="K1213" s="47"/>
      <c r="L1213" s="47"/>
      <c r="M1213" s="47"/>
      <c r="N1213" s="47"/>
      <c r="O1213" s="47"/>
      <c r="P1213" s="47"/>
      <c r="Q1213" s="47"/>
      <c r="R1213" s="47"/>
      <c r="S1213" s="50"/>
      <c r="T1213" s="47"/>
      <c r="U1213" s="47"/>
      <c r="V1213" s="47"/>
      <c r="W1213" s="51"/>
      <c r="X1213" s="51"/>
      <c r="Y1213" s="47"/>
      <c r="Z1213" s="47"/>
      <c r="AA1213" s="47"/>
      <c r="AB1213" s="47"/>
      <c r="AC1213" s="47"/>
      <c r="AD1213" s="47"/>
      <c r="AE1213" s="54"/>
      <c r="AF1213" s="54"/>
      <c r="AG1213" s="55"/>
      <c r="AH1213" s="54"/>
      <c r="AI1213" s="54"/>
      <c r="AJ1213" s="54"/>
      <c r="AK1213" s="54"/>
      <c r="AL1213" s="54"/>
      <c r="AM1213" s="54"/>
      <c r="AN1213" s="54"/>
      <c r="AO1213" s="54"/>
      <c r="AP1213" s="54"/>
      <c r="AQ1213" s="54"/>
      <c r="AR1213" s="54"/>
      <c r="AS1213" s="54"/>
      <c r="AT1213" s="54"/>
      <c r="AU1213" s="54"/>
      <c r="AV1213" s="54"/>
      <c r="AW1213" s="54"/>
      <c r="AX1213" s="54"/>
      <c r="AY1213" s="54"/>
      <c r="AZ1213" s="54"/>
      <c r="BA1213" s="54"/>
      <c r="BB1213" s="54"/>
      <c r="BC1213" s="56"/>
      <c r="BD1213" s="51"/>
      <c r="BE1213" s="54"/>
      <c r="BF1213" s="54"/>
      <c r="BG1213" s="47"/>
      <c r="BH1213" s="48"/>
      <c r="BI1213" s="48"/>
      <c r="BJ1213" s="48"/>
      <c r="BK1213" s="48"/>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52"/>
      <c r="CG1213" s="52"/>
      <c r="CH1213" s="48"/>
      <c r="CI1213" s="48"/>
      <c r="CJ1213" s="48"/>
      <c r="CK1213" s="48"/>
    </row>
    <row r="1214" spans="1:89" ht="15.75" customHeight="1" x14ac:dyDescent="0.3">
      <c r="A1214" s="47"/>
      <c r="B1214" s="48"/>
      <c r="C1214" s="47"/>
      <c r="D1214" s="48"/>
      <c r="E1214" s="48"/>
      <c r="F1214" s="48"/>
      <c r="G1214" s="48"/>
      <c r="H1214" s="48"/>
      <c r="I1214" s="49"/>
      <c r="J1214" s="47"/>
      <c r="K1214" s="47"/>
      <c r="L1214" s="47"/>
      <c r="M1214" s="47"/>
      <c r="N1214" s="47"/>
      <c r="O1214" s="47"/>
      <c r="P1214" s="47"/>
      <c r="Q1214" s="47"/>
      <c r="R1214" s="47"/>
      <c r="S1214" s="50"/>
      <c r="T1214" s="47"/>
      <c r="U1214" s="47"/>
      <c r="V1214" s="47"/>
      <c r="W1214" s="51"/>
      <c r="X1214" s="51"/>
      <c r="Y1214" s="47"/>
      <c r="Z1214" s="47"/>
      <c r="AA1214" s="47"/>
      <c r="AB1214" s="47"/>
      <c r="AC1214" s="47"/>
      <c r="AD1214" s="47"/>
      <c r="AE1214" s="54"/>
      <c r="AF1214" s="54"/>
      <c r="AG1214" s="55"/>
      <c r="AH1214" s="54"/>
      <c r="AI1214" s="54"/>
      <c r="AJ1214" s="54"/>
      <c r="AK1214" s="54"/>
      <c r="AL1214" s="54"/>
      <c r="AM1214" s="54"/>
      <c r="AN1214" s="54"/>
      <c r="AO1214" s="54"/>
      <c r="AP1214" s="54"/>
      <c r="AQ1214" s="54"/>
      <c r="AR1214" s="54"/>
      <c r="AS1214" s="54"/>
      <c r="AT1214" s="54"/>
      <c r="AU1214" s="54"/>
      <c r="AV1214" s="54"/>
      <c r="AW1214" s="54"/>
      <c r="AX1214" s="54"/>
      <c r="AY1214" s="54"/>
      <c r="AZ1214" s="54"/>
      <c r="BA1214" s="54"/>
      <c r="BB1214" s="54"/>
      <c r="BC1214" s="56"/>
      <c r="BD1214" s="51"/>
      <c r="BE1214" s="54"/>
      <c r="BF1214" s="54"/>
      <c r="BG1214" s="47"/>
      <c r="BH1214" s="48"/>
      <c r="BI1214" s="48"/>
      <c r="BJ1214" s="48"/>
      <c r="BK1214" s="48"/>
      <c r="BL1214" s="48"/>
      <c r="BM1214" s="48"/>
      <c r="BN1214" s="48"/>
      <c r="BO1214" s="48"/>
      <c r="BP1214" s="48"/>
      <c r="BQ1214" s="48"/>
      <c r="BR1214" s="48"/>
      <c r="BS1214" s="48"/>
      <c r="BT1214" s="48"/>
      <c r="BU1214" s="48"/>
      <c r="BV1214" s="48"/>
      <c r="BW1214" s="48"/>
      <c r="BX1214" s="48"/>
      <c r="BY1214" s="48"/>
      <c r="BZ1214" s="48"/>
      <c r="CA1214" s="48"/>
      <c r="CB1214" s="48"/>
      <c r="CC1214" s="48"/>
      <c r="CD1214" s="48"/>
      <c r="CE1214" s="48"/>
      <c r="CF1214" s="52"/>
      <c r="CG1214" s="52"/>
      <c r="CH1214" s="48"/>
      <c r="CI1214" s="48"/>
      <c r="CJ1214" s="48"/>
      <c r="CK1214" s="48"/>
    </row>
    <row r="1215" spans="1:89" ht="15.75" customHeight="1" x14ac:dyDescent="0.3">
      <c r="A1215" s="47"/>
      <c r="B1215" s="48"/>
      <c r="C1215" s="47"/>
      <c r="D1215" s="48"/>
      <c r="E1215" s="48"/>
      <c r="F1215" s="48"/>
      <c r="G1215" s="48"/>
      <c r="H1215" s="48"/>
      <c r="I1215" s="49"/>
      <c r="J1215" s="47"/>
      <c r="K1215" s="47"/>
      <c r="L1215" s="47"/>
      <c r="M1215" s="47"/>
      <c r="N1215" s="47"/>
      <c r="O1215" s="47"/>
      <c r="P1215" s="47"/>
      <c r="Q1215" s="47"/>
      <c r="R1215" s="47"/>
      <c r="S1215" s="50"/>
      <c r="T1215" s="47"/>
      <c r="U1215" s="47"/>
      <c r="V1215" s="47"/>
      <c r="W1215" s="51"/>
      <c r="X1215" s="51"/>
      <c r="Y1215" s="47"/>
      <c r="Z1215" s="47"/>
      <c r="AA1215" s="47"/>
      <c r="AB1215" s="47"/>
      <c r="AC1215" s="47"/>
      <c r="AD1215" s="47"/>
      <c r="AE1215" s="54"/>
      <c r="AF1215" s="54"/>
      <c r="AG1215" s="55"/>
      <c r="AH1215" s="54"/>
      <c r="AI1215" s="54"/>
      <c r="AJ1215" s="54"/>
      <c r="AK1215" s="54"/>
      <c r="AL1215" s="54"/>
      <c r="AM1215" s="54"/>
      <c r="AN1215" s="54"/>
      <c r="AO1215" s="54"/>
      <c r="AP1215" s="54"/>
      <c r="AQ1215" s="54"/>
      <c r="AR1215" s="54"/>
      <c r="AS1215" s="54"/>
      <c r="AT1215" s="54"/>
      <c r="AU1215" s="54"/>
      <c r="AV1215" s="54"/>
      <c r="AW1215" s="54"/>
      <c r="AX1215" s="54"/>
      <c r="AY1215" s="54"/>
      <c r="AZ1215" s="54"/>
      <c r="BA1215" s="54"/>
      <c r="BB1215" s="54"/>
      <c r="BC1215" s="56"/>
      <c r="BD1215" s="51"/>
      <c r="BE1215" s="54"/>
      <c r="BF1215" s="54"/>
      <c r="BG1215" s="47"/>
      <c r="BH1215" s="48"/>
      <c r="BI1215" s="48"/>
      <c r="BJ1215" s="48"/>
      <c r="BK1215" s="48"/>
      <c r="BL1215" s="48"/>
      <c r="BM1215" s="48"/>
      <c r="BN1215" s="48"/>
      <c r="BO1215" s="48"/>
      <c r="BP1215" s="48"/>
      <c r="BQ1215" s="48"/>
      <c r="BR1215" s="48"/>
      <c r="BS1215" s="48"/>
      <c r="BT1215" s="48"/>
      <c r="BU1215" s="48"/>
      <c r="BV1215" s="48"/>
      <c r="BW1215" s="48"/>
      <c r="BX1215" s="48"/>
      <c r="BY1215" s="48"/>
      <c r="BZ1215" s="48"/>
      <c r="CA1215" s="48"/>
      <c r="CB1215" s="48"/>
      <c r="CC1215" s="48"/>
      <c r="CD1215" s="48"/>
      <c r="CE1215" s="48"/>
      <c r="CF1215" s="52"/>
      <c r="CG1215" s="52"/>
      <c r="CH1215" s="48"/>
      <c r="CI1215" s="48"/>
      <c r="CJ1215" s="48"/>
      <c r="CK1215" s="48"/>
    </row>
    <row r="1216" spans="1:89" ht="15.75" customHeight="1" x14ac:dyDescent="0.3">
      <c r="A1216" s="47"/>
      <c r="B1216" s="48"/>
      <c r="C1216" s="47"/>
      <c r="D1216" s="48"/>
      <c r="E1216" s="48"/>
      <c r="F1216" s="48"/>
      <c r="G1216" s="48"/>
      <c r="H1216" s="48"/>
      <c r="I1216" s="49"/>
      <c r="J1216" s="47"/>
      <c r="K1216" s="47"/>
      <c r="L1216" s="47"/>
      <c r="M1216" s="47"/>
      <c r="N1216" s="47"/>
      <c r="O1216" s="47"/>
      <c r="P1216" s="47"/>
      <c r="Q1216" s="47"/>
      <c r="R1216" s="47"/>
      <c r="S1216" s="50"/>
      <c r="T1216" s="47"/>
      <c r="U1216" s="47"/>
      <c r="V1216" s="47"/>
      <c r="W1216" s="51"/>
      <c r="X1216" s="51"/>
      <c r="Y1216" s="47"/>
      <c r="Z1216" s="47"/>
      <c r="AA1216" s="47"/>
      <c r="AB1216" s="47"/>
      <c r="AC1216" s="47"/>
      <c r="AD1216" s="47"/>
      <c r="AE1216" s="54"/>
      <c r="AF1216" s="54"/>
      <c r="AG1216" s="55"/>
      <c r="AH1216" s="54"/>
      <c r="AI1216" s="54"/>
      <c r="AJ1216" s="54"/>
      <c r="AK1216" s="54"/>
      <c r="AL1216" s="54"/>
      <c r="AM1216" s="54"/>
      <c r="AN1216" s="54"/>
      <c r="AO1216" s="54"/>
      <c r="AP1216" s="54"/>
      <c r="AQ1216" s="54"/>
      <c r="AR1216" s="54"/>
      <c r="AS1216" s="54"/>
      <c r="AT1216" s="54"/>
      <c r="AU1216" s="54"/>
      <c r="AV1216" s="54"/>
      <c r="AW1216" s="54"/>
      <c r="AX1216" s="54"/>
      <c r="AY1216" s="54"/>
      <c r="AZ1216" s="54"/>
      <c r="BA1216" s="54"/>
      <c r="BB1216" s="54"/>
      <c r="BC1216" s="56"/>
      <c r="BD1216" s="51"/>
      <c r="BE1216" s="54"/>
      <c r="BF1216" s="54"/>
      <c r="BG1216" s="47"/>
      <c r="BH1216" s="48"/>
      <c r="BI1216" s="48"/>
      <c r="BJ1216" s="48"/>
      <c r="BK1216" s="48"/>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52"/>
      <c r="CG1216" s="52"/>
      <c r="CH1216" s="48"/>
      <c r="CI1216" s="48"/>
      <c r="CJ1216" s="48"/>
      <c r="CK1216" s="48"/>
    </row>
    <row r="1217" spans="1:89" ht="15.75" customHeight="1" x14ac:dyDescent="0.3">
      <c r="A1217" s="47"/>
      <c r="B1217" s="48"/>
      <c r="C1217" s="47"/>
      <c r="D1217" s="48"/>
      <c r="E1217" s="48"/>
      <c r="F1217" s="48"/>
      <c r="G1217" s="48"/>
      <c r="H1217" s="48"/>
      <c r="I1217" s="49"/>
      <c r="J1217" s="47"/>
      <c r="K1217" s="47"/>
      <c r="L1217" s="47"/>
      <c r="M1217" s="47"/>
      <c r="N1217" s="47"/>
      <c r="O1217" s="47"/>
      <c r="P1217" s="47"/>
      <c r="Q1217" s="47"/>
      <c r="R1217" s="47"/>
      <c r="S1217" s="50"/>
      <c r="T1217" s="47"/>
      <c r="U1217" s="47"/>
      <c r="V1217" s="47"/>
      <c r="W1217" s="51"/>
      <c r="X1217" s="51"/>
      <c r="Y1217" s="47"/>
      <c r="Z1217" s="47"/>
      <c r="AA1217" s="47"/>
      <c r="AB1217" s="47"/>
      <c r="AC1217" s="47"/>
      <c r="AD1217" s="47"/>
      <c r="AE1217" s="54"/>
      <c r="AF1217" s="54"/>
      <c r="AG1217" s="55"/>
      <c r="AH1217" s="54"/>
      <c r="AI1217" s="54"/>
      <c r="AJ1217" s="54"/>
      <c r="AK1217" s="54"/>
      <c r="AL1217" s="54"/>
      <c r="AM1217" s="54"/>
      <c r="AN1217" s="54"/>
      <c r="AO1217" s="54"/>
      <c r="AP1217" s="54"/>
      <c r="AQ1217" s="54"/>
      <c r="AR1217" s="54"/>
      <c r="AS1217" s="54"/>
      <c r="AT1217" s="54"/>
      <c r="AU1217" s="54"/>
      <c r="AV1217" s="54"/>
      <c r="AW1217" s="54"/>
      <c r="AX1217" s="54"/>
      <c r="AY1217" s="54"/>
      <c r="AZ1217" s="54"/>
      <c r="BA1217" s="54"/>
      <c r="BB1217" s="54"/>
      <c r="BC1217" s="56"/>
      <c r="BD1217" s="51"/>
      <c r="BE1217" s="54"/>
      <c r="BF1217" s="54"/>
      <c r="BG1217" s="47"/>
      <c r="BH1217" s="48"/>
      <c r="BI1217" s="48"/>
      <c r="BJ1217" s="48"/>
      <c r="BK1217" s="48"/>
      <c r="BL1217" s="48"/>
      <c r="BM1217" s="48"/>
      <c r="BN1217" s="48"/>
      <c r="BO1217" s="48"/>
      <c r="BP1217" s="48"/>
      <c r="BQ1217" s="48"/>
      <c r="BR1217" s="48"/>
      <c r="BS1217" s="48"/>
      <c r="BT1217" s="48"/>
      <c r="BU1217" s="48"/>
      <c r="BV1217" s="48"/>
      <c r="BW1217" s="48"/>
      <c r="BX1217" s="48"/>
      <c r="BY1217" s="48"/>
      <c r="BZ1217" s="48"/>
      <c r="CA1217" s="48"/>
      <c r="CB1217" s="48"/>
      <c r="CC1217" s="48"/>
      <c r="CD1217" s="48"/>
      <c r="CE1217" s="48"/>
      <c r="CF1217" s="52"/>
      <c r="CG1217" s="52"/>
      <c r="CH1217" s="48"/>
      <c r="CI1217" s="48"/>
      <c r="CJ1217" s="48"/>
      <c r="CK1217" s="48"/>
    </row>
    <row r="1218" spans="1:89" ht="15.75" customHeight="1" x14ac:dyDescent="0.3">
      <c r="A1218" s="47"/>
      <c r="B1218" s="48"/>
      <c r="C1218" s="47"/>
      <c r="D1218" s="48"/>
      <c r="E1218" s="48"/>
      <c r="F1218" s="48"/>
      <c r="G1218" s="48"/>
      <c r="H1218" s="48"/>
      <c r="I1218" s="49"/>
      <c r="J1218" s="47"/>
      <c r="K1218" s="47"/>
      <c r="L1218" s="47"/>
      <c r="M1218" s="47"/>
      <c r="N1218" s="47"/>
      <c r="O1218" s="47"/>
      <c r="P1218" s="47"/>
      <c r="Q1218" s="47"/>
      <c r="R1218" s="47"/>
      <c r="S1218" s="50"/>
      <c r="T1218" s="47"/>
      <c r="U1218" s="47"/>
      <c r="V1218" s="47"/>
      <c r="W1218" s="51"/>
      <c r="X1218" s="51"/>
      <c r="Y1218" s="47"/>
      <c r="Z1218" s="47"/>
      <c r="AA1218" s="47"/>
      <c r="AB1218" s="47"/>
      <c r="AC1218" s="47"/>
      <c r="AD1218" s="47"/>
      <c r="AE1218" s="54"/>
      <c r="AF1218" s="54"/>
      <c r="AG1218" s="55"/>
      <c r="AH1218" s="54"/>
      <c r="AI1218" s="54"/>
      <c r="AJ1218" s="54"/>
      <c r="AK1218" s="54"/>
      <c r="AL1218" s="54"/>
      <c r="AM1218" s="54"/>
      <c r="AN1218" s="54"/>
      <c r="AO1218" s="54"/>
      <c r="AP1218" s="54"/>
      <c r="AQ1218" s="54"/>
      <c r="AR1218" s="54"/>
      <c r="AS1218" s="54"/>
      <c r="AT1218" s="54"/>
      <c r="AU1218" s="54"/>
      <c r="AV1218" s="54"/>
      <c r="AW1218" s="54"/>
      <c r="AX1218" s="54"/>
      <c r="AY1218" s="54"/>
      <c r="AZ1218" s="54"/>
      <c r="BA1218" s="54"/>
      <c r="BB1218" s="54"/>
      <c r="BC1218" s="56"/>
      <c r="BD1218" s="51"/>
      <c r="BE1218" s="54"/>
      <c r="BF1218" s="54"/>
      <c r="BG1218" s="47"/>
      <c r="BH1218" s="48"/>
      <c r="BI1218" s="48"/>
      <c r="BJ1218" s="48"/>
      <c r="BK1218" s="48"/>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52"/>
      <c r="CG1218" s="52"/>
      <c r="CH1218" s="48"/>
      <c r="CI1218" s="48"/>
      <c r="CJ1218" s="48"/>
      <c r="CK1218" s="48"/>
    </row>
    <row r="1219" spans="1:89" ht="15.75" customHeight="1" x14ac:dyDescent="0.3">
      <c r="A1219" s="47"/>
      <c r="B1219" s="48"/>
      <c r="C1219" s="47"/>
      <c r="D1219" s="48"/>
      <c r="E1219" s="48"/>
      <c r="F1219" s="48"/>
      <c r="G1219" s="48"/>
      <c r="H1219" s="48"/>
      <c r="I1219" s="49"/>
      <c r="J1219" s="47"/>
      <c r="K1219" s="47"/>
      <c r="L1219" s="47"/>
      <c r="M1219" s="47"/>
      <c r="N1219" s="47"/>
      <c r="O1219" s="47"/>
      <c r="P1219" s="47"/>
      <c r="Q1219" s="47"/>
      <c r="R1219" s="47"/>
      <c r="S1219" s="50"/>
      <c r="T1219" s="47"/>
      <c r="U1219" s="47"/>
      <c r="V1219" s="47"/>
      <c r="W1219" s="51"/>
      <c r="X1219" s="51"/>
      <c r="Y1219" s="47"/>
      <c r="Z1219" s="47"/>
      <c r="AA1219" s="47"/>
      <c r="AB1219" s="47"/>
      <c r="AC1219" s="47"/>
      <c r="AD1219" s="47"/>
      <c r="AE1219" s="54"/>
      <c r="AF1219" s="54"/>
      <c r="AG1219" s="55"/>
      <c r="AH1219" s="54"/>
      <c r="AI1219" s="54"/>
      <c r="AJ1219" s="54"/>
      <c r="AK1219" s="54"/>
      <c r="AL1219" s="54"/>
      <c r="AM1219" s="54"/>
      <c r="AN1219" s="54"/>
      <c r="AO1219" s="54"/>
      <c r="AP1219" s="54"/>
      <c r="AQ1219" s="54"/>
      <c r="AR1219" s="54"/>
      <c r="AS1219" s="54"/>
      <c r="AT1219" s="54"/>
      <c r="AU1219" s="54"/>
      <c r="AV1219" s="54"/>
      <c r="AW1219" s="54"/>
      <c r="AX1219" s="54"/>
      <c r="AY1219" s="54"/>
      <c r="AZ1219" s="54"/>
      <c r="BA1219" s="54"/>
      <c r="BB1219" s="54"/>
      <c r="BC1219" s="56"/>
      <c r="BD1219" s="51"/>
      <c r="BE1219" s="54"/>
      <c r="BF1219" s="54"/>
      <c r="BG1219" s="47"/>
      <c r="BH1219" s="48"/>
      <c r="BI1219" s="48"/>
      <c r="BJ1219" s="48"/>
      <c r="BK1219" s="48"/>
      <c r="BL1219" s="48"/>
      <c r="BM1219" s="48"/>
      <c r="BN1219" s="48"/>
      <c r="BO1219" s="48"/>
      <c r="BP1219" s="48"/>
      <c r="BQ1219" s="48"/>
      <c r="BR1219" s="48"/>
      <c r="BS1219" s="48"/>
      <c r="BT1219" s="48"/>
      <c r="BU1219" s="48"/>
      <c r="BV1219" s="48"/>
      <c r="BW1219" s="48"/>
      <c r="BX1219" s="48"/>
      <c r="BY1219" s="48"/>
      <c r="BZ1219" s="48"/>
      <c r="CA1219" s="48"/>
      <c r="CB1219" s="48"/>
      <c r="CC1219" s="48"/>
      <c r="CD1219" s="48"/>
      <c r="CE1219" s="48"/>
      <c r="CF1219" s="52"/>
      <c r="CG1219" s="52"/>
      <c r="CH1219" s="48"/>
      <c r="CI1219" s="48"/>
      <c r="CJ1219" s="48"/>
      <c r="CK1219" s="48"/>
    </row>
    <row r="1220" spans="1:89" ht="15.75" customHeight="1" x14ac:dyDescent="0.3">
      <c r="A1220" s="47"/>
      <c r="B1220" s="48"/>
      <c r="C1220" s="47"/>
      <c r="D1220" s="48"/>
      <c r="E1220" s="48"/>
      <c r="F1220" s="48"/>
      <c r="G1220" s="48"/>
      <c r="H1220" s="48"/>
      <c r="I1220" s="49"/>
      <c r="J1220" s="47"/>
      <c r="K1220" s="47"/>
      <c r="L1220" s="47"/>
      <c r="M1220" s="47"/>
      <c r="N1220" s="47"/>
      <c r="O1220" s="47"/>
      <c r="P1220" s="47"/>
      <c r="Q1220" s="47"/>
      <c r="R1220" s="47"/>
      <c r="S1220" s="50"/>
      <c r="T1220" s="47"/>
      <c r="U1220" s="47"/>
      <c r="V1220" s="47"/>
      <c r="W1220" s="51"/>
      <c r="X1220" s="51"/>
      <c r="Y1220" s="47"/>
      <c r="Z1220" s="47"/>
      <c r="AA1220" s="47"/>
      <c r="AB1220" s="47"/>
      <c r="AC1220" s="47"/>
      <c r="AD1220" s="47"/>
      <c r="AE1220" s="54"/>
      <c r="AF1220" s="54"/>
      <c r="AG1220" s="55"/>
      <c r="AH1220" s="54"/>
      <c r="AI1220" s="54"/>
      <c r="AJ1220" s="54"/>
      <c r="AK1220" s="54"/>
      <c r="AL1220" s="54"/>
      <c r="AM1220" s="54"/>
      <c r="AN1220" s="54"/>
      <c r="AO1220" s="54"/>
      <c r="AP1220" s="54"/>
      <c r="AQ1220" s="54"/>
      <c r="AR1220" s="54"/>
      <c r="AS1220" s="54"/>
      <c r="AT1220" s="54"/>
      <c r="AU1220" s="54"/>
      <c r="AV1220" s="54"/>
      <c r="AW1220" s="54"/>
      <c r="AX1220" s="54"/>
      <c r="AY1220" s="54"/>
      <c r="AZ1220" s="54"/>
      <c r="BA1220" s="54"/>
      <c r="BB1220" s="54"/>
      <c r="BC1220" s="56"/>
      <c r="BD1220" s="51"/>
      <c r="BE1220" s="54"/>
      <c r="BF1220" s="54"/>
      <c r="BG1220" s="47"/>
      <c r="BH1220" s="48"/>
      <c r="BI1220" s="48"/>
      <c r="BJ1220" s="48"/>
      <c r="BK1220" s="48"/>
      <c r="BL1220" s="48"/>
      <c r="BM1220" s="48"/>
      <c r="BN1220" s="48"/>
      <c r="BO1220" s="48"/>
      <c r="BP1220" s="48"/>
      <c r="BQ1220" s="48"/>
      <c r="BR1220" s="48"/>
      <c r="BS1220" s="48"/>
      <c r="BT1220" s="48"/>
      <c r="BU1220" s="48"/>
      <c r="BV1220" s="48"/>
      <c r="BW1220" s="48"/>
      <c r="BX1220" s="48"/>
      <c r="BY1220" s="48"/>
      <c r="BZ1220" s="48"/>
      <c r="CA1220" s="48"/>
      <c r="CB1220" s="48"/>
      <c r="CC1220" s="48"/>
      <c r="CD1220" s="48"/>
      <c r="CE1220" s="48"/>
      <c r="CF1220" s="52"/>
      <c r="CG1220" s="52"/>
      <c r="CH1220" s="48"/>
      <c r="CI1220" s="48"/>
      <c r="CJ1220" s="48"/>
      <c r="CK1220" s="48"/>
    </row>
    <row r="1221" spans="1:89" ht="15.75" customHeight="1" x14ac:dyDescent="0.3">
      <c r="A1221" s="47"/>
      <c r="B1221" s="48"/>
      <c r="C1221" s="47"/>
      <c r="D1221" s="48"/>
      <c r="E1221" s="48"/>
      <c r="F1221" s="48"/>
      <c r="G1221" s="48"/>
      <c r="H1221" s="48"/>
      <c r="I1221" s="49"/>
      <c r="J1221" s="47"/>
      <c r="K1221" s="47"/>
      <c r="L1221" s="47"/>
      <c r="M1221" s="47"/>
      <c r="N1221" s="47"/>
      <c r="O1221" s="47"/>
      <c r="P1221" s="47"/>
      <c r="Q1221" s="47"/>
      <c r="R1221" s="47"/>
      <c r="S1221" s="50"/>
      <c r="T1221" s="47"/>
      <c r="U1221" s="47"/>
      <c r="V1221" s="47"/>
      <c r="W1221" s="51"/>
      <c r="X1221" s="51"/>
      <c r="Y1221" s="47"/>
      <c r="Z1221" s="47"/>
      <c r="AA1221" s="47"/>
      <c r="AB1221" s="47"/>
      <c r="AC1221" s="47"/>
      <c r="AD1221" s="47"/>
      <c r="AE1221" s="54"/>
      <c r="AF1221" s="54"/>
      <c r="AG1221" s="55"/>
      <c r="AH1221" s="54"/>
      <c r="AI1221" s="54"/>
      <c r="AJ1221" s="54"/>
      <c r="AK1221" s="54"/>
      <c r="AL1221" s="54"/>
      <c r="AM1221" s="54"/>
      <c r="AN1221" s="54"/>
      <c r="AO1221" s="54"/>
      <c r="AP1221" s="54"/>
      <c r="AQ1221" s="54"/>
      <c r="AR1221" s="54"/>
      <c r="AS1221" s="54"/>
      <c r="AT1221" s="54"/>
      <c r="AU1221" s="54"/>
      <c r="AV1221" s="54"/>
      <c r="AW1221" s="54"/>
      <c r="AX1221" s="54"/>
      <c r="AY1221" s="54"/>
      <c r="AZ1221" s="54"/>
      <c r="BA1221" s="54"/>
      <c r="BB1221" s="54"/>
      <c r="BC1221" s="56"/>
      <c r="BD1221" s="51"/>
      <c r="BE1221" s="54"/>
      <c r="BF1221" s="54"/>
      <c r="BG1221" s="47"/>
      <c r="BH1221" s="48"/>
      <c r="BI1221" s="48"/>
      <c r="BJ1221" s="48"/>
      <c r="BK1221" s="48"/>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52"/>
      <c r="CG1221" s="52"/>
      <c r="CH1221" s="48"/>
      <c r="CI1221" s="48"/>
      <c r="CJ1221" s="48"/>
      <c r="CK1221" s="48"/>
    </row>
    <row r="1222" spans="1:89" ht="15.75" customHeight="1" x14ac:dyDescent="0.3">
      <c r="A1222" s="47"/>
      <c r="B1222" s="48"/>
      <c r="C1222" s="47"/>
      <c r="D1222" s="48"/>
      <c r="E1222" s="48"/>
      <c r="F1222" s="48"/>
      <c r="G1222" s="48"/>
      <c r="H1222" s="48"/>
      <c r="I1222" s="49"/>
      <c r="J1222" s="47"/>
      <c r="K1222" s="47"/>
      <c r="L1222" s="47"/>
      <c r="M1222" s="47"/>
      <c r="N1222" s="47"/>
      <c r="O1222" s="47"/>
      <c r="P1222" s="47"/>
      <c r="Q1222" s="47"/>
      <c r="R1222" s="47"/>
      <c r="S1222" s="50"/>
      <c r="T1222" s="47"/>
      <c r="U1222" s="47"/>
      <c r="V1222" s="47"/>
      <c r="W1222" s="51"/>
      <c r="X1222" s="51"/>
      <c r="Y1222" s="47"/>
      <c r="Z1222" s="47"/>
      <c r="AA1222" s="47"/>
      <c r="AB1222" s="47"/>
      <c r="AC1222" s="47"/>
      <c r="AD1222" s="47"/>
      <c r="AE1222" s="54"/>
      <c r="AF1222" s="54"/>
      <c r="AG1222" s="55"/>
      <c r="AH1222" s="54"/>
      <c r="AI1222" s="54"/>
      <c r="AJ1222" s="54"/>
      <c r="AK1222" s="54"/>
      <c r="AL1222" s="54"/>
      <c r="AM1222" s="54"/>
      <c r="AN1222" s="54"/>
      <c r="AO1222" s="54"/>
      <c r="AP1222" s="54"/>
      <c r="AQ1222" s="54"/>
      <c r="AR1222" s="54"/>
      <c r="AS1222" s="54"/>
      <c r="AT1222" s="54"/>
      <c r="AU1222" s="54"/>
      <c r="AV1222" s="54"/>
      <c r="AW1222" s="54"/>
      <c r="AX1222" s="54"/>
      <c r="AY1222" s="54"/>
      <c r="AZ1222" s="54"/>
      <c r="BA1222" s="54"/>
      <c r="BB1222" s="54"/>
      <c r="BC1222" s="56"/>
      <c r="BD1222" s="51"/>
      <c r="BE1222" s="54"/>
      <c r="BF1222" s="54"/>
      <c r="BG1222" s="47"/>
      <c r="BH1222" s="48"/>
      <c r="BI1222" s="48"/>
      <c r="BJ1222" s="48"/>
      <c r="BK1222" s="48"/>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52"/>
      <c r="CG1222" s="52"/>
      <c r="CH1222" s="48"/>
      <c r="CI1222" s="48"/>
      <c r="CJ1222" s="48"/>
      <c r="CK1222" s="48"/>
    </row>
    <row r="1223" spans="1:89" ht="15.75" customHeight="1" x14ac:dyDescent="0.3">
      <c r="A1223" s="47"/>
      <c r="B1223" s="48"/>
      <c r="C1223" s="47"/>
      <c r="D1223" s="48"/>
      <c r="E1223" s="48"/>
      <c r="F1223" s="48"/>
      <c r="G1223" s="48"/>
      <c r="H1223" s="48"/>
      <c r="I1223" s="49"/>
      <c r="J1223" s="47"/>
      <c r="K1223" s="47"/>
      <c r="L1223" s="47"/>
      <c r="M1223" s="47"/>
      <c r="N1223" s="47"/>
      <c r="O1223" s="47"/>
      <c r="P1223" s="47"/>
      <c r="Q1223" s="47"/>
      <c r="R1223" s="47"/>
      <c r="S1223" s="50"/>
      <c r="T1223" s="47"/>
      <c r="U1223" s="47"/>
      <c r="V1223" s="47"/>
      <c r="W1223" s="51"/>
      <c r="X1223" s="51"/>
      <c r="Y1223" s="47"/>
      <c r="Z1223" s="47"/>
      <c r="AA1223" s="47"/>
      <c r="AB1223" s="47"/>
      <c r="AC1223" s="47"/>
      <c r="AD1223" s="47"/>
      <c r="AE1223" s="54"/>
      <c r="AF1223" s="54"/>
      <c r="AG1223" s="55"/>
      <c r="AH1223" s="54"/>
      <c r="AI1223" s="54"/>
      <c r="AJ1223" s="54"/>
      <c r="AK1223" s="54"/>
      <c r="AL1223" s="54"/>
      <c r="AM1223" s="54"/>
      <c r="AN1223" s="54"/>
      <c r="AO1223" s="54"/>
      <c r="AP1223" s="54"/>
      <c r="AQ1223" s="54"/>
      <c r="AR1223" s="54"/>
      <c r="AS1223" s="54"/>
      <c r="AT1223" s="54"/>
      <c r="AU1223" s="54"/>
      <c r="AV1223" s="54"/>
      <c r="AW1223" s="54"/>
      <c r="AX1223" s="54"/>
      <c r="AY1223" s="54"/>
      <c r="AZ1223" s="54"/>
      <c r="BA1223" s="54"/>
      <c r="BB1223" s="54"/>
      <c r="BC1223" s="56"/>
      <c r="BD1223" s="51"/>
      <c r="BE1223" s="54"/>
      <c r="BF1223" s="54"/>
      <c r="BG1223" s="47"/>
      <c r="BH1223" s="48"/>
      <c r="BI1223" s="48"/>
      <c r="BJ1223" s="48"/>
      <c r="BK1223" s="48"/>
      <c r="BL1223" s="48"/>
      <c r="BM1223" s="48"/>
      <c r="BN1223" s="48"/>
      <c r="BO1223" s="48"/>
      <c r="BP1223" s="48"/>
      <c r="BQ1223" s="48"/>
      <c r="BR1223" s="48"/>
      <c r="BS1223" s="48"/>
      <c r="BT1223" s="48"/>
      <c r="BU1223" s="48"/>
      <c r="BV1223" s="48"/>
      <c r="BW1223" s="48"/>
      <c r="BX1223" s="48"/>
      <c r="BY1223" s="48"/>
      <c r="BZ1223" s="48"/>
      <c r="CA1223" s="48"/>
      <c r="CB1223" s="48"/>
      <c r="CC1223" s="48"/>
      <c r="CD1223" s="48"/>
      <c r="CE1223" s="48"/>
      <c r="CF1223" s="52"/>
      <c r="CG1223" s="52"/>
      <c r="CH1223" s="48"/>
      <c r="CI1223" s="48"/>
      <c r="CJ1223" s="48"/>
      <c r="CK1223" s="48"/>
    </row>
    <row r="1224" spans="1:89" ht="15.75" customHeight="1" x14ac:dyDescent="0.3">
      <c r="A1224" s="47"/>
      <c r="B1224" s="48"/>
      <c r="C1224" s="47"/>
      <c r="D1224" s="48"/>
      <c r="E1224" s="48"/>
      <c r="F1224" s="48"/>
      <c r="G1224" s="48"/>
      <c r="H1224" s="48"/>
      <c r="I1224" s="49"/>
      <c r="J1224" s="47"/>
      <c r="K1224" s="47"/>
      <c r="L1224" s="47"/>
      <c r="M1224" s="47"/>
      <c r="N1224" s="47"/>
      <c r="O1224" s="47"/>
      <c r="P1224" s="47"/>
      <c r="Q1224" s="47"/>
      <c r="R1224" s="47"/>
      <c r="S1224" s="50"/>
      <c r="T1224" s="47"/>
      <c r="U1224" s="47"/>
      <c r="V1224" s="47"/>
      <c r="W1224" s="51"/>
      <c r="X1224" s="51"/>
      <c r="Y1224" s="47"/>
      <c r="Z1224" s="47"/>
      <c r="AA1224" s="47"/>
      <c r="AB1224" s="47"/>
      <c r="AC1224" s="47"/>
      <c r="AD1224" s="47"/>
      <c r="AE1224" s="54"/>
      <c r="AF1224" s="54"/>
      <c r="AG1224" s="55"/>
      <c r="AH1224" s="54"/>
      <c r="AI1224" s="54"/>
      <c r="AJ1224" s="54"/>
      <c r="AK1224" s="54"/>
      <c r="AL1224" s="54"/>
      <c r="AM1224" s="54"/>
      <c r="AN1224" s="54"/>
      <c r="AO1224" s="54"/>
      <c r="AP1224" s="54"/>
      <c r="AQ1224" s="54"/>
      <c r="AR1224" s="54"/>
      <c r="AS1224" s="54"/>
      <c r="AT1224" s="54"/>
      <c r="AU1224" s="54"/>
      <c r="AV1224" s="54"/>
      <c r="AW1224" s="54"/>
      <c r="AX1224" s="54"/>
      <c r="AY1224" s="54"/>
      <c r="AZ1224" s="54"/>
      <c r="BA1224" s="54"/>
      <c r="BB1224" s="54"/>
      <c r="BC1224" s="56"/>
      <c r="BD1224" s="51"/>
      <c r="BE1224" s="54"/>
      <c r="BF1224" s="54"/>
      <c r="BG1224" s="47"/>
      <c r="BH1224" s="48"/>
      <c r="BI1224" s="48"/>
      <c r="BJ1224" s="48"/>
      <c r="BK1224" s="48"/>
      <c r="BL1224" s="48"/>
      <c r="BM1224" s="48"/>
      <c r="BN1224" s="48"/>
      <c r="BO1224" s="48"/>
      <c r="BP1224" s="48"/>
      <c r="BQ1224" s="48"/>
      <c r="BR1224" s="48"/>
      <c r="BS1224" s="48"/>
      <c r="BT1224" s="48"/>
      <c r="BU1224" s="48"/>
      <c r="BV1224" s="48"/>
      <c r="BW1224" s="48"/>
      <c r="BX1224" s="48"/>
      <c r="BY1224" s="48"/>
      <c r="BZ1224" s="48"/>
      <c r="CA1224" s="48"/>
      <c r="CB1224" s="48"/>
      <c r="CC1224" s="48"/>
      <c r="CD1224" s="48"/>
      <c r="CE1224" s="48"/>
      <c r="CF1224" s="52"/>
      <c r="CG1224" s="52"/>
      <c r="CH1224" s="48"/>
      <c r="CI1224" s="48"/>
      <c r="CJ1224" s="48"/>
      <c r="CK1224" s="48"/>
    </row>
    <row r="1225" spans="1:89" ht="15.75" customHeight="1" x14ac:dyDescent="0.3">
      <c r="A1225" s="47"/>
      <c r="B1225" s="48"/>
      <c r="C1225" s="47"/>
      <c r="D1225" s="48"/>
      <c r="E1225" s="48"/>
      <c r="F1225" s="48"/>
      <c r="G1225" s="48"/>
      <c r="H1225" s="48"/>
      <c r="I1225" s="49"/>
      <c r="J1225" s="47"/>
      <c r="K1225" s="47"/>
      <c r="L1225" s="47"/>
      <c r="M1225" s="47"/>
      <c r="N1225" s="47"/>
      <c r="O1225" s="47"/>
      <c r="P1225" s="47"/>
      <c r="Q1225" s="47"/>
      <c r="R1225" s="47"/>
      <c r="S1225" s="50"/>
      <c r="T1225" s="47"/>
      <c r="U1225" s="47"/>
      <c r="V1225" s="47"/>
      <c r="W1225" s="51"/>
      <c r="X1225" s="51"/>
      <c r="Y1225" s="47"/>
      <c r="Z1225" s="47"/>
      <c r="AA1225" s="47"/>
      <c r="AB1225" s="47"/>
      <c r="AC1225" s="47"/>
      <c r="AD1225" s="47"/>
      <c r="AE1225" s="54"/>
      <c r="AF1225" s="54"/>
      <c r="AG1225" s="55"/>
      <c r="AH1225" s="54"/>
      <c r="AI1225" s="54"/>
      <c r="AJ1225" s="54"/>
      <c r="AK1225" s="54"/>
      <c r="AL1225" s="54"/>
      <c r="AM1225" s="54"/>
      <c r="AN1225" s="54"/>
      <c r="AO1225" s="54"/>
      <c r="AP1225" s="54"/>
      <c r="AQ1225" s="54"/>
      <c r="AR1225" s="54"/>
      <c r="AS1225" s="54"/>
      <c r="AT1225" s="54"/>
      <c r="AU1225" s="54"/>
      <c r="AV1225" s="54"/>
      <c r="AW1225" s="54"/>
      <c r="AX1225" s="54"/>
      <c r="AY1225" s="54"/>
      <c r="AZ1225" s="54"/>
      <c r="BA1225" s="54"/>
      <c r="BB1225" s="54"/>
      <c r="BC1225" s="56"/>
      <c r="BD1225" s="51"/>
      <c r="BE1225" s="54"/>
      <c r="BF1225" s="54"/>
      <c r="BG1225" s="47"/>
      <c r="BH1225" s="48"/>
      <c r="BI1225" s="48"/>
      <c r="BJ1225" s="48"/>
      <c r="BK1225" s="48"/>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52"/>
      <c r="CG1225" s="52"/>
      <c r="CH1225" s="48"/>
      <c r="CI1225" s="48"/>
      <c r="CJ1225" s="48"/>
      <c r="CK1225" s="48"/>
    </row>
    <row r="1226" spans="1:89" ht="15.75" customHeight="1" x14ac:dyDescent="0.3">
      <c r="A1226" s="47"/>
      <c r="B1226" s="48"/>
      <c r="C1226" s="47"/>
      <c r="D1226" s="48"/>
      <c r="E1226" s="48"/>
      <c r="F1226" s="48"/>
      <c r="G1226" s="48"/>
      <c r="H1226" s="48"/>
      <c r="I1226" s="49"/>
      <c r="J1226" s="47"/>
      <c r="K1226" s="47"/>
      <c r="L1226" s="47"/>
      <c r="M1226" s="47"/>
      <c r="N1226" s="47"/>
      <c r="O1226" s="47"/>
      <c r="P1226" s="47"/>
      <c r="Q1226" s="47"/>
      <c r="R1226" s="47"/>
      <c r="S1226" s="50"/>
      <c r="T1226" s="47"/>
      <c r="U1226" s="47"/>
      <c r="V1226" s="47"/>
      <c r="W1226" s="51"/>
      <c r="X1226" s="51"/>
      <c r="Y1226" s="47"/>
      <c r="Z1226" s="47"/>
      <c r="AA1226" s="47"/>
      <c r="AB1226" s="47"/>
      <c r="AC1226" s="47"/>
      <c r="AD1226" s="47"/>
      <c r="AE1226" s="54"/>
      <c r="AF1226" s="54"/>
      <c r="AG1226" s="55"/>
      <c r="AH1226" s="54"/>
      <c r="AI1226" s="54"/>
      <c r="AJ1226" s="54"/>
      <c r="AK1226" s="54"/>
      <c r="AL1226" s="54"/>
      <c r="AM1226" s="54"/>
      <c r="AN1226" s="54"/>
      <c r="AO1226" s="54"/>
      <c r="AP1226" s="54"/>
      <c r="AQ1226" s="54"/>
      <c r="AR1226" s="54"/>
      <c r="AS1226" s="54"/>
      <c r="AT1226" s="54"/>
      <c r="AU1226" s="54"/>
      <c r="AV1226" s="54"/>
      <c r="AW1226" s="54"/>
      <c r="AX1226" s="54"/>
      <c r="AY1226" s="54"/>
      <c r="AZ1226" s="54"/>
      <c r="BA1226" s="54"/>
      <c r="BB1226" s="54"/>
      <c r="BC1226" s="56"/>
      <c r="BD1226" s="51"/>
      <c r="BE1226" s="54"/>
      <c r="BF1226" s="54"/>
      <c r="BG1226" s="47"/>
      <c r="BH1226" s="48"/>
      <c r="BI1226" s="48"/>
      <c r="BJ1226" s="48"/>
      <c r="BK1226" s="48"/>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52"/>
      <c r="CG1226" s="52"/>
      <c r="CH1226" s="48"/>
      <c r="CI1226" s="48"/>
      <c r="CJ1226" s="48"/>
      <c r="CK1226" s="48"/>
    </row>
    <row r="1227" spans="1:89" ht="15.75" customHeight="1" x14ac:dyDescent="0.3">
      <c r="A1227" s="47"/>
      <c r="B1227" s="48"/>
      <c r="C1227" s="47"/>
      <c r="D1227" s="48"/>
      <c r="E1227" s="48"/>
      <c r="F1227" s="48"/>
      <c r="G1227" s="48"/>
      <c r="H1227" s="48"/>
      <c r="I1227" s="49"/>
      <c r="J1227" s="47"/>
      <c r="K1227" s="47"/>
      <c r="L1227" s="47"/>
      <c r="M1227" s="47"/>
      <c r="N1227" s="47"/>
      <c r="O1227" s="47"/>
      <c r="P1227" s="47"/>
      <c r="Q1227" s="47"/>
      <c r="R1227" s="47"/>
      <c r="S1227" s="50"/>
      <c r="T1227" s="47"/>
      <c r="U1227" s="47"/>
      <c r="V1227" s="47"/>
      <c r="W1227" s="51"/>
      <c r="X1227" s="51"/>
      <c r="Y1227" s="47"/>
      <c r="Z1227" s="47"/>
      <c r="AA1227" s="47"/>
      <c r="AB1227" s="47"/>
      <c r="AC1227" s="47"/>
      <c r="AD1227" s="47"/>
      <c r="AE1227" s="54"/>
      <c r="AF1227" s="54"/>
      <c r="AG1227" s="55"/>
      <c r="AH1227" s="54"/>
      <c r="AI1227" s="54"/>
      <c r="AJ1227" s="54"/>
      <c r="AK1227" s="54"/>
      <c r="AL1227" s="54"/>
      <c r="AM1227" s="54"/>
      <c r="AN1227" s="54"/>
      <c r="AO1227" s="54"/>
      <c r="AP1227" s="54"/>
      <c r="AQ1227" s="54"/>
      <c r="AR1227" s="54"/>
      <c r="AS1227" s="54"/>
      <c r="AT1227" s="54"/>
      <c r="AU1227" s="54"/>
      <c r="AV1227" s="54"/>
      <c r="AW1227" s="54"/>
      <c r="AX1227" s="54"/>
      <c r="AY1227" s="54"/>
      <c r="AZ1227" s="54"/>
      <c r="BA1227" s="54"/>
      <c r="BB1227" s="54"/>
      <c r="BC1227" s="56"/>
      <c r="BD1227" s="51"/>
      <c r="BE1227" s="54"/>
      <c r="BF1227" s="54"/>
      <c r="BG1227" s="47"/>
      <c r="BH1227" s="48"/>
      <c r="BI1227" s="48"/>
      <c r="BJ1227" s="48"/>
      <c r="BK1227" s="48"/>
      <c r="BL1227" s="48"/>
      <c r="BM1227" s="48"/>
      <c r="BN1227" s="48"/>
      <c r="BO1227" s="48"/>
      <c r="BP1227" s="48"/>
      <c r="BQ1227" s="48"/>
      <c r="BR1227" s="48"/>
      <c r="BS1227" s="48"/>
      <c r="BT1227" s="48"/>
      <c r="BU1227" s="48"/>
      <c r="BV1227" s="48"/>
      <c r="BW1227" s="48"/>
      <c r="BX1227" s="48"/>
      <c r="BY1227" s="48"/>
      <c r="BZ1227" s="48"/>
      <c r="CA1227" s="48"/>
      <c r="CB1227" s="48"/>
      <c r="CC1227" s="48"/>
      <c r="CD1227" s="48"/>
      <c r="CE1227" s="48"/>
      <c r="CF1227" s="52"/>
      <c r="CG1227" s="52"/>
      <c r="CH1227" s="48"/>
      <c r="CI1227" s="48"/>
      <c r="CJ1227" s="48"/>
      <c r="CK1227" s="48"/>
    </row>
    <row r="1228" spans="1:89" ht="15.75" customHeight="1" x14ac:dyDescent="0.3">
      <c r="A1228" s="47"/>
      <c r="B1228" s="48"/>
      <c r="C1228" s="47"/>
      <c r="D1228" s="48"/>
      <c r="E1228" s="48"/>
      <c r="F1228" s="48"/>
      <c r="G1228" s="48"/>
      <c r="H1228" s="48"/>
      <c r="I1228" s="49"/>
      <c r="J1228" s="47"/>
      <c r="K1228" s="47"/>
      <c r="L1228" s="47"/>
      <c r="M1228" s="47"/>
      <c r="N1228" s="47"/>
      <c r="O1228" s="47"/>
      <c r="P1228" s="47"/>
      <c r="Q1228" s="47"/>
      <c r="R1228" s="47"/>
      <c r="S1228" s="50"/>
      <c r="T1228" s="47"/>
      <c r="U1228" s="47"/>
      <c r="V1228" s="47"/>
      <c r="W1228" s="51"/>
      <c r="X1228" s="51"/>
      <c r="Y1228" s="47"/>
      <c r="Z1228" s="47"/>
      <c r="AA1228" s="47"/>
      <c r="AB1228" s="47"/>
      <c r="AC1228" s="47"/>
      <c r="AD1228" s="47"/>
      <c r="AE1228" s="54"/>
      <c r="AF1228" s="54"/>
      <c r="AG1228" s="55"/>
      <c r="AH1228" s="54"/>
      <c r="AI1228" s="54"/>
      <c r="AJ1228" s="54"/>
      <c r="AK1228" s="54"/>
      <c r="AL1228" s="54"/>
      <c r="AM1228" s="54"/>
      <c r="AN1228" s="54"/>
      <c r="AO1228" s="54"/>
      <c r="AP1228" s="54"/>
      <c r="AQ1228" s="54"/>
      <c r="AR1228" s="54"/>
      <c r="AS1228" s="54"/>
      <c r="AT1228" s="54"/>
      <c r="AU1228" s="54"/>
      <c r="AV1228" s="54"/>
      <c r="AW1228" s="54"/>
      <c r="AX1228" s="54"/>
      <c r="AY1228" s="54"/>
      <c r="AZ1228" s="54"/>
      <c r="BA1228" s="54"/>
      <c r="BB1228" s="54"/>
      <c r="BC1228" s="56"/>
      <c r="BD1228" s="51"/>
      <c r="BE1228" s="54"/>
      <c r="BF1228" s="54"/>
      <c r="BG1228" s="47"/>
      <c r="BH1228" s="48"/>
      <c r="BI1228" s="48"/>
      <c r="BJ1228" s="48"/>
      <c r="BK1228" s="48"/>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52"/>
      <c r="CG1228" s="52"/>
      <c r="CH1228" s="48"/>
      <c r="CI1228" s="48"/>
      <c r="CJ1228" s="48"/>
      <c r="CK1228" s="48"/>
    </row>
    <row r="1229" spans="1:89" ht="15.75" customHeight="1" x14ac:dyDescent="0.3">
      <c r="A1229" s="47"/>
      <c r="B1229" s="48"/>
      <c r="C1229" s="47"/>
      <c r="D1229" s="48"/>
      <c r="E1229" s="48"/>
      <c r="F1229" s="48"/>
      <c r="G1229" s="48"/>
      <c r="H1229" s="48"/>
      <c r="I1229" s="49"/>
      <c r="J1229" s="47"/>
      <c r="K1229" s="47"/>
      <c r="L1229" s="47"/>
      <c r="M1229" s="47"/>
      <c r="N1229" s="47"/>
      <c r="O1229" s="47"/>
      <c r="P1229" s="47"/>
      <c r="Q1229" s="47"/>
      <c r="R1229" s="47"/>
      <c r="S1229" s="50"/>
      <c r="T1229" s="47"/>
      <c r="U1229" s="47"/>
      <c r="V1229" s="47"/>
      <c r="W1229" s="51"/>
      <c r="X1229" s="51"/>
      <c r="Y1229" s="47"/>
      <c r="Z1229" s="47"/>
      <c r="AA1229" s="47"/>
      <c r="AB1229" s="47"/>
      <c r="AC1229" s="47"/>
      <c r="AD1229" s="47"/>
      <c r="AE1229" s="54"/>
      <c r="AF1229" s="54"/>
      <c r="AG1229" s="55"/>
      <c r="AH1229" s="54"/>
      <c r="AI1229" s="54"/>
      <c r="AJ1229" s="54"/>
      <c r="AK1229" s="54"/>
      <c r="AL1229" s="54"/>
      <c r="AM1229" s="54"/>
      <c r="AN1229" s="54"/>
      <c r="AO1229" s="54"/>
      <c r="AP1229" s="54"/>
      <c r="AQ1229" s="54"/>
      <c r="AR1229" s="54"/>
      <c r="AS1229" s="54"/>
      <c r="AT1229" s="54"/>
      <c r="AU1229" s="54"/>
      <c r="AV1229" s="54"/>
      <c r="AW1229" s="54"/>
      <c r="AX1229" s="54"/>
      <c r="AY1229" s="54"/>
      <c r="AZ1229" s="54"/>
      <c r="BA1229" s="54"/>
      <c r="BB1229" s="54"/>
      <c r="BC1229" s="56"/>
      <c r="BD1229" s="51"/>
      <c r="BE1229" s="54"/>
      <c r="BF1229" s="54"/>
      <c r="BG1229" s="47"/>
      <c r="BH1229" s="48"/>
      <c r="BI1229" s="48"/>
      <c r="BJ1229" s="48"/>
      <c r="BK1229" s="48"/>
      <c r="BL1229" s="48"/>
      <c r="BM1229" s="48"/>
      <c r="BN1229" s="48"/>
      <c r="BO1229" s="48"/>
      <c r="BP1229" s="48"/>
      <c r="BQ1229" s="48"/>
      <c r="BR1229" s="48"/>
      <c r="BS1229" s="48"/>
      <c r="BT1229" s="48"/>
      <c r="BU1229" s="48"/>
      <c r="BV1229" s="48"/>
      <c r="BW1229" s="48"/>
      <c r="BX1229" s="48"/>
      <c r="BY1229" s="48"/>
      <c r="BZ1229" s="48"/>
      <c r="CA1229" s="48"/>
      <c r="CB1229" s="48"/>
      <c r="CC1229" s="48"/>
      <c r="CD1229" s="48"/>
      <c r="CE1229" s="48"/>
      <c r="CF1229" s="52"/>
      <c r="CG1229" s="52"/>
      <c r="CH1229" s="48"/>
      <c r="CI1229" s="48"/>
      <c r="CJ1229" s="48"/>
      <c r="CK1229" s="48"/>
    </row>
    <row r="1230" spans="1:89" ht="15.75" customHeight="1" x14ac:dyDescent="0.3">
      <c r="A1230" s="47"/>
      <c r="B1230" s="48"/>
      <c r="C1230" s="47"/>
      <c r="D1230" s="48"/>
      <c r="E1230" s="48"/>
      <c r="F1230" s="48"/>
      <c r="G1230" s="48"/>
      <c r="H1230" s="48"/>
      <c r="I1230" s="49"/>
      <c r="J1230" s="47"/>
      <c r="K1230" s="47"/>
      <c r="L1230" s="47"/>
      <c r="M1230" s="47"/>
      <c r="N1230" s="47"/>
      <c r="O1230" s="47"/>
      <c r="P1230" s="47"/>
      <c r="Q1230" s="47"/>
      <c r="R1230" s="47"/>
      <c r="S1230" s="50"/>
      <c r="T1230" s="47"/>
      <c r="U1230" s="47"/>
      <c r="V1230" s="47"/>
      <c r="W1230" s="51"/>
      <c r="X1230" s="51"/>
      <c r="Y1230" s="47"/>
      <c r="Z1230" s="47"/>
      <c r="AA1230" s="47"/>
      <c r="AB1230" s="47"/>
      <c r="AC1230" s="47"/>
      <c r="AD1230" s="47"/>
      <c r="AE1230" s="54"/>
      <c r="AF1230" s="54"/>
      <c r="AG1230" s="55"/>
      <c r="AH1230" s="54"/>
      <c r="AI1230" s="54"/>
      <c r="AJ1230" s="54"/>
      <c r="AK1230" s="54"/>
      <c r="AL1230" s="54"/>
      <c r="AM1230" s="54"/>
      <c r="AN1230" s="54"/>
      <c r="AO1230" s="54"/>
      <c r="AP1230" s="54"/>
      <c r="AQ1230" s="54"/>
      <c r="AR1230" s="54"/>
      <c r="AS1230" s="54"/>
      <c r="AT1230" s="54"/>
      <c r="AU1230" s="54"/>
      <c r="AV1230" s="54"/>
      <c r="AW1230" s="54"/>
      <c r="AX1230" s="54"/>
      <c r="AY1230" s="54"/>
      <c r="AZ1230" s="54"/>
      <c r="BA1230" s="54"/>
      <c r="BB1230" s="54"/>
      <c r="BC1230" s="56"/>
      <c r="BD1230" s="51"/>
      <c r="BE1230" s="54"/>
      <c r="BF1230" s="54"/>
      <c r="BG1230" s="47"/>
      <c r="BH1230" s="48"/>
      <c r="BI1230" s="48"/>
      <c r="BJ1230" s="48"/>
      <c r="BK1230" s="48"/>
      <c r="BL1230" s="48"/>
      <c r="BM1230" s="48"/>
      <c r="BN1230" s="48"/>
      <c r="BO1230" s="48"/>
      <c r="BP1230" s="48"/>
      <c r="BQ1230" s="48"/>
      <c r="BR1230" s="48"/>
      <c r="BS1230" s="48"/>
      <c r="BT1230" s="48"/>
      <c r="BU1230" s="48"/>
      <c r="BV1230" s="48"/>
      <c r="BW1230" s="48"/>
      <c r="BX1230" s="48"/>
      <c r="BY1230" s="48"/>
      <c r="BZ1230" s="48"/>
      <c r="CA1230" s="48"/>
      <c r="CB1230" s="48"/>
      <c r="CC1230" s="48"/>
      <c r="CD1230" s="48"/>
      <c r="CE1230" s="48"/>
      <c r="CF1230" s="52"/>
      <c r="CG1230" s="52"/>
      <c r="CH1230" s="48"/>
      <c r="CI1230" s="48"/>
      <c r="CJ1230" s="48"/>
      <c r="CK1230" s="48"/>
    </row>
    <row r="1231" spans="1:89" ht="15.75" customHeight="1" x14ac:dyDescent="0.3">
      <c r="A1231" s="47"/>
      <c r="B1231" s="48"/>
      <c r="C1231" s="47"/>
      <c r="D1231" s="48"/>
      <c r="E1231" s="48"/>
      <c r="F1231" s="48"/>
      <c r="G1231" s="48"/>
      <c r="H1231" s="48"/>
      <c r="I1231" s="49"/>
      <c r="J1231" s="47"/>
      <c r="K1231" s="47"/>
      <c r="L1231" s="47"/>
      <c r="M1231" s="47"/>
      <c r="N1231" s="47"/>
      <c r="O1231" s="47"/>
      <c r="P1231" s="47"/>
      <c r="Q1231" s="47"/>
      <c r="R1231" s="47"/>
      <c r="S1231" s="50"/>
      <c r="T1231" s="47"/>
      <c r="U1231" s="47"/>
      <c r="V1231" s="47"/>
      <c r="W1231" s="51"/>
      <c r="X1231" s="51"/>
      <c r="Y1231" s="47"/>
      <c r="Z1231" s="47"/>
      <c r="AA1231" s="47"/>
      <c r="AB1231" s="47"/>
      <c r="AC1231" s="47"/>
      <c r="AD1231" s="47"/>
      <c r="AE1231" s="54"/>
      <c r="AF1231" s="54"/>
      <c r="AG1231" s="55"/>
      <c r="AH1231" s="54"/>
      <c r="AI1231" s="54"/>
      <c r="AJ1231" s="54"/>
      <c r="AK1231" s="54"/>
      <c r="AL1231" s="54"/>
      <c r="AM1231" s="54"/>
      <c r="AN1231" s="54"/>
      <c r="AO1231" s="54"/>
      <c r="AP1231" s="54"/>
      <c r="AQ1231" s="54"/>
      <c r="AR1231" s="54"/>
      <c r="AS1231" s="54"/>
      <c r="AT1231" s="54"/>
      <c r="AU1231" s="54"/>
      <c r="AV1231" s="54"/>
      <c r="AW1231" s="54"/>
      <c r="AX1231" s="54"/>
      <c r="AY1231" s="54"/>
      <c r="AZ1231" s="54"/>
      <c r="BA1231" s="54"/>
      <c r="BB1231" s="54"/>
      <c r="BC1231" s="56"/>
      <c r="BD1231" s="51"/>
      <c r="BE1231" s="54"/>
      <c r="BF1231" s="54"/>
      <c r="BG1231" s="47"/>
      <c r="BH1231" s="48"/>
      <c r="BI1231" s="48"/>
      <c r="BJ1231" s="48"/>
      <c r="BK1231" s="48"/>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52"/>
      <c r="CG1231" s="52"/>
      <c r="CH1231" s="48"/>
      <c r="CI1231" s="48"/>
      <c r="CJ1231" s="48"/>
      <c r="CK1231" s="48"/>
    </row>
    <row r="1232" spans="1:89" ht="15.75" customHeight="1" x14ac:dyDescent="0.3">
      <c r="A1232" s="47"/>
      <c r="B1232" s="48"/>
      <c r="C1232" s="47"/>
      <c r="D1232" s="48"/>
      <c r="E1232" s="48"/>
      <c r="F1232" s="48"/>
      <c r="G1232" s="48"/>
      <c r="H1232" s="48"/>
      <c r="I1232" s="49"/>
      <c r="J1232" s="47"/>
      <c r="K1232" s="47"/>
      <c r="L1232" s="47"/>
      <c r="M1232" s="47"/>
      <c r="N1232" s="47"/>
      <c r="O1232" s="47"/>
      <c r="P1232" s="47"/>
      <c r="Q1232" s="47"/>
      <c r="R1232" s="47"/>
      <c r="S1232" s="50"/>
      <c r="T1232" s="47"/>
      <c r="U1232" s="47"/>
      <c r="V1232" s="47"/>
      <c r="W1232" s="51"/>
      <c r="X1232" s="51"/>
      <c r="Y1232" s="47"/>
      <c r="Z1232" s="47"/>
      <c r="AA1232" s="47"/>
      <c r="AB1232" s="47"/>
      <c r="AC1232" s="47"/>
      <c r="AD1232" s="47"/>
      <c r="AE1232" s="54"/>
      <c r="AF1232" s="54"/>
      <c r="AG1232" s="55"/>
      <c r="AH1232" s="54"/>
      <c r="AI1232" s="54"/>
      <c r="AJ1232" s="54"/>
      <c r="AK1232" s="54"/>
      <c r="AL1232" s="54"/>
      <c r="AM1232" s="54"/>
      <c r="AN1232" s="54"/>
      <c r="AO1232" s="54"/>
      <c r="AP1232" s="54"/>
      <c r="AQ1232" s="54"/>
      <c r="AR1232" s="54"/>
      <c r="AS1232" s="54"/>
      <c r="AT1232" s="54"/>
      <c r="AU1232" s="54"/>
      <c r="AV1232" s="54"/>
      <c r="AW1232" s="54"/>
      <c r="AX1232" s="54"/>
      <c r="AY1232" s="54"/>
      <c r="AZ1232" s="54"/>
      <c r="BA1232" s="54"/>
      <c r="BB1232" s="54"/>
      <c r="BC1232" s="56"/>
      <c r="BD1232" s="51"/>
      <c r="BE1232" s="54"/>
      <c r="BF1232" s="54"/>
      <c r="BG1232" s="47"/>
      <c r="BH1232" s="48"/>
      <c r="BI1232" s="48"/>
      <c r="BJ1232" s="48"/>
      <c r="BK1232" s="48"/>
      <c r="BL1232" s="48"/>
      <c r="BM1232" s="48"/>
      <c r="BN1232" s="48"/>
      <c r="BO1232" s="48"/>
      <c r="BP1232" s="48"/>
      <c r="BQ1232" s="48"/>
      <c r="BR1232" s="48"/>
      <c r="BS1232" s="48"/>
      <c r="BT1232" s="48"/>
      <c r="BU1232" s="48"/>
      <c r="BV1232" s="48"/>
      <c r="BW1232" s="48"/>
      <c r="BX1232" s="48"/>
      <c r="BY1232" s="48"/>
      <c r="BZ1232" s="48"/>
      <c r="CA1232" s="48"/>
      <c r="CB1232" s="48"/>
      <c r="CC1232" s="48"/>
      <c r="CD1232" s="48"/>
      <c r="CE1232" s="48"/>
      <c r="CF1232" s="52"/>
      <c r="CG1232" s="52"/>
      <c r="CH1232" s="48"/>
      <c r="CI1232" s="48"/>
      <c r="CJ1232" s="48"/>
      <c r="CK1232" s="48"/>
    </row>
    <row r="1233" spans="1:89" ht="15.75" customHeight="1" x14ac:dyDescent="0.3">
      <c r="A1233" s="47"/>
      <c r="B1233" s="48"/>
      <c r="C1233" s="47"/>
      <c r="D1233" s="48"/>
      <c r="E1233" s="48"/>
      <c r="F1233" s="48"/>
      <c r="G1233" s="48"/>
      <c r="H1233" s="48"/>
      <c r="I1233" s="49"/>
      <c r="J1233" s="47"/>
      <c r="K1233" s="47"/>
      <c r="L1233" s="47"/>
      <c r="M1233" s="47"/>
      <c r="N1233" s="47"/>
      <c r="O1233" s="47"/>
      <c r="P1233" s="47"/>
      <c r="Q1233" s="47"/>
      <c r="R1233" s="47"/>
      <c r="S1233" s="50"/>
      <c r="T1233" s="47"/>
      <c r="U1233" s="47"/>
      <c r="V1233" s="47"/>
      <c r="W1233" s="51"/>
      <c r="X1233" s="51"/>
      <c r="Y1233" s="47"/>
      <c r="Z1233" s="47"/>
      <c r="AA1233" s="47"/>
      <c r="AB1233" s="47"/>
      <c r="AC1233" s="47"/>
      <c r="AD1233" s="47"/>
      <c r="AE1233" s="54"/>
      <c r="AF1233" s="54"/>
      <c r="AG1233" s="55"/>
      <c r="AH1233" s="54"/>
      <c r="AI1233" s="54"/>
      <c r="AJ1233" s="54"/>
      <c r="AK1233" s="54"/>
      <c r="AL1233" s="54"/>
      <c r="AM1233" s="54"/>
      <c r="AN1233" s="54"/>
      <c r="AO1233" s="54"/>
      <c r="AP1233" s="54"/>
      <c r="AQ1233" s="54"/>
      <c r="AR1233" s="54"/>
      <c r="AS1233" s="54"/>
      <c r="AT1233" s="54"/>
      <c r="AU1233" s="54"/>
      <c r="AV1233" s="54"/>
      <c r="AW1233" s="54"/>
      <c r="AX1233" s="54"/>
      <c r="AY1233" s="54"/>
      <c r="AZ1233" s="54"/>
      <c r="BA1233" s="54"/>
      <c r="BB1233" s="54"/>
      <c r="BC1233" s="56"/>
      <c r="BD1233" s="51"/>
      <c r="BE1233" s="54"/>
      <c r="BF1233" s="54"/>
      <c r="BG1233" s="47"/>
      <c r="BH1233" s="48"/>
      <c r="BI1233" s="48"/>
      <c r="BJ1233" s="48"/>
      <c r="BK1233" s="48"/>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52"/>
      <c r="CG1233" s="52"/>
      <c r="CH1233" s="48"/>
      <c r="CI1233" s="48"/>
      <c r="CJ1233" s="48"/>
      <c r="CK1233" s="48"/>
    </row>
    <row r="1234" spans="1:89" ht="15.75" customHeight="1" x14ac:dyDescent="0.3">
      <c r="A1234" s="47"/>
      <c r="B1234" s="48"/>
      <c r="C1234" s="47"/>
      <c r="D1234" s="48"/>
      <c r="E1234" s="48"/>
      <c r="F1234" s="48"/>
      <c r="G1234" s="48"/>
      <c r="H1234" s="48"/>
      <c r="I1234" s="49"/>
      <c r="J1234" s="47"/>
      <c r="K1234" s="47"/>
      <c r="L1234" s="47"/>
      <c r="M1234" s="47"/>
      <c r="N1234" s="47"/>
      <c r="O1234" s="47"/>
      <c r="P1234" s="47"/>
      <c r="Q1234" s="47"/>
      <c r="R1234" s="47"/>
      <c r="S1234" s="50"/>
      <c r="T1234" s="47"/>
      <c r="U1234" s="47"/>
      <c r="V1234" s="47"/>
      <c r="W1234" s="51"/>
      <c r="X1234" s="51"/>
      <c r="Y1234" s="47"/>
      <c r="Z1234" s="47"/>
      <c r="AA1234" s="47"/>
      <c r="AB1234" s="47"/>
      <c r="AC1234" s="47"/>
      <c r="AD1234" s="47"/>
      <c r="AE1234" s="54"/>
      <c r="AF1234" s="54"/>
      <c r="AG1234" s="55"/>
      <c r="AH1234" s="54"/>
      <c r="AI1234" s="54"/>
      <c r="AJ1234" s="54"/>
      <c r="AK1234" s="54"/>
      <c r="AL1234" s="54"/>
      <c r="AM1234" s="54"/>
      <c r="AN1234" s="54"/>
      <c r="AO1234" s="54"/>
      <c r="AP1234" s="54"/>
      <c r="AQ1234" s="54"/>
      <c r="AR1234" s="54"/>
      <c r="AS1234" s="54"/>
      <c r="AT1234" s="54"/>
      <c r="AU1234" s="54"/>
      <c r="AV1234" s="54"/>
      <c r="AW1234" s="54"/>
      <c r="AX1234" s="54"/>
      <c r="AY1234" s="54"/>
      <c r="AZ1234" s="54"/>
      <c r="BA1234" s="54"/>
      <c r="BB1234" s="54"/>
      <c r="BC1234" s="56"/>
      <c r="BD1234" s="51"/>
      <c r="BE1234" s="54"/>
      <c r="BF1234" s="54"/>
      <c r="BG1234" s="47"/>
      <c r="BH1234" s="48"/>
      <c r="BI1234" s="48"/>
      <c r="BJ1234" s="48"/>
      <c r="BK1234" s="48"/>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52"/>
      <c r="CG1234" s="52"/>
      <c r="CH1234" s="48"/>
      <c r="CI1234" s="48"/>
      <c r="CJ1234" s="48"/>
      <c r="CK1234" s="48"/>
    </row>
    <row r="1235" spans="1:89" ht="15.75" customHeight="1" x14ac:dyDescent="0.3">
      <c r="A1235" s="47"/>
      <c r="B1235" s="48"/>
      <c r="C1235" s="47"/>
      <c r="D1235" s="48"/>
      <c r="E1235" s="48"/>
      <c r="F1235" s="48"/>
      <c r="G1235" s="48"/>
      <c r="H1235" s="48"/>
      <c r="I1235" s="49"/>
      <c r="J1235" s="47"/>
      <c r="K1235" s="47"/>
      <c r="L1235" s="47"/>
      <c r="M1235" s="47"/>
      <c r="N1235" s="47"/>
      <c r="O1235" s="47"/>
      <c r="P1235" s="47"/>
      <c r="Q1235" s="47"/>
      <c r="R1235" s="47"/>
      <c r="S1235" s="50"/>
      <c r="T1235" s="47"/>
      <c r="U1235" s="47"/>
      <c r="V1235" s="47"/>
      <c r="W1235" s="51"/>
      <c r="X1235" s="51"/>
      <c r="Y1235" s="47"/>
      <c r="Z1235" s="47"/>
      <c r="AA1235" s="47"/>
      <c r="AB1235" s="47"/>
      <c r="AC1235" s="47"/>
      <c r="AD1235" s="47"/>
      <c r="AE1235" s="54"/>
      <c r="AF1235" s="54"/>
      <c r="AG1235" s="55"/>
      <c r="AH1235" s="54"/>
      <c r="AI1235" s="54"/>
      <c r="AJ1235" s="54"/>
      <c r="AK1235" s="54"/>
      <c r="AL1235" s="54"/>
      <c r="AM1235" s="54"/>
      <c r="AN1235" s="54"/>
      <c r="AO1235" s="54"/>
      <c r="AP1235" s="54"/>
      <c r="AQ1235" s="54"/>
      <c r="AR1235" s="54"/>
      <c r="AS1235" s="54"/>
      <c r="AT1235" s="54"/>
      <c r="AU1235" s="54"/>
      <c r="AV1235" s="54"/>
      <c r="AW1235" s="54"/>
      <c r="AX1235" s="54"/>
      <c r="AY1235" s="54"/>
      <c r="AZ1235" s="54"/>
      <c r="BA1235" s="54"/>
      <c r="BB1235" s="54"/>
      <c r="BC1235" s="56"/>
      <c r="BD1235" s="51"/>
      <c r="BE1235" s="54"/>
      <c r="BF1235" s="54"/>
      <c r="BG1235" s="47"/>
      <c r="BH1235" s="48"/>
      <c r="BI1235" s="48"/>
      <c r="BJ1235" s="48"/>
      <c r="BK1235" s="48"/>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52"/>
      <c r="CG1235" s="52"/>
      <c r="CH1235" s="48"/>
      <c r="CI1235" s="48"/>
      <c r="CJ1235" s="48"/>
      <c r="CK1235" s="48"/>
    </row>
    <row r="1236" spans="1:89" ht="15.75" customHeight="1" x14ac:dyDescent="0.3">
      <c r="A1236" s="47"/>
      <c r="B1236" s="48"/>
      <c r="C1236" s="47"/>
      <c r="D1236" s="48"/>
      <c r="E1236" s="48"/>
      <c r="F1236" s="48"/>
      <c r="G1236" s="48"/>
      <c r="H1236" s="48"/>
      <c r="I1236" s="49"/>
      <c r="J1236" s="47"/>
      <c r="K1236" s="47"/>
      <c r="L1236" s="47"/>
      <c r="M1236" s="47"/>
      <c r="N1236" s="47"/>
      <c r="O1236" s="47"/>
      <c r="P1236" s="47"/>
      <c r="Q1236" s="47"/>
      <c r="R1236" s="47"/>
      <c r="S1236" s="50"/>
      <c r="T1236" s="47"/>
      <c r="U1236" s="47"/>
      <c r="V1236" s="47"/>
      <c r="W1236" s="51"/>
      <c r="X1236" s="51"/>
      <c r="Y1236" s="47"/>
      <c r="Z1236" s="47"/>
      <c r="AA1236" s="47"/>
      <c r="AB1236" s="47"/>
      <c r="AC1236" s="47"/>
      <c r="AD1236" s="47"/>
      <c r="AE1236" s="54"/>
      <c r="AF1236" s="54"/>
      <c r="AG1236" s="55"/>
      <c r="AH1236" s="54"/>
      <c r="AI1236" s="54"/>
      <c r="AJ1236" s="54"/>
      <c r="AK1236" s="54"/>
      <c r="AL1236" s="54"/>
      <c r="AM1236" s="54"/>
      <c r="AN1236" s="54"/>
      <c r="AO1236" s="54"/>
      <c r="AP1236" s="54"/>
      <c r="AQ1236" s="54"/>
      <c r="AR1236" s="54"/>
      <c r="AS1236" s="54"/>
      <c r="AT1236" s="54"/>
      <c r="AU1236" s="54"/>
      <c r="AV1236" s="54"/>
      <c r="AW1236" s="54"/>
      <c r="AX1236" s="54"/>
      <c r="AY1236" s="54"/>
      <c r="AZ1236" s="54"/>
      <c r="BA1236" s="54"/>
      <c r="BB1236" s="54"/>
      <c r="BC1236" s="56"/>
      <c r="BD1236" s="51"/>
      <c r="BE1236" s="54"/>
      <c r="BF1236" s="54"/>
      <c r="BG1236" s="47"/>
      <c r="BH1236" s="48"/>
      <c r="BI1236" s="48"/>
      <c r="BJ1236" s="48"/>
      <c r="BK1236" s="48"/>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52"/>
      <c r="CG1236" s="52"/>
      <c r="CH1236" s="48"/>
      <c r="CI1236" s="48"/>
      <c r="CJ1236" s="48"/>
      <c r="CK1236" s="48"/>
    </row>
    <row r="1237" spans="1:89" ht="15.75" customHeight="1" x14ac:dyDescent="0.3">
      <c r="A1237" s="47"/>
      <c r="B1237" s="48"/>
      <c r="C1237" s="47"/>
      <c r="D1237" s="48"/>
      <c r="E1237" s="48"/>
      <c r="F1237" s="48"/>
      <c r="G1237" s="48"/>
      <c r="H1237" s="48"/>
      <c r="I1237" s="49"/>
      <c r="J1237" s="47"/>
      <c r="K1237" s="47"/>
      <c r="L1237" s="47"/>
      <c r="M1237" s="47"/>
      <c r="N1237" s="47"/>
      <c r="O1237" s="47"/>
      <c r="P1237" s="47"/>
      <c r="Q1237" s="47"/>
      <c r="R1237" s="47"/>
      <c r="S1237" s="50"/>
      <c r="T1237" s="47"/>
      <c r="U1237" s="47"/>
      <c r="V1237" s="47"/>
      <c r="W1237" s="51"/>
      <c r="X1237" s="51"/>
      <c r="Y1237" s="47"/>
      <c r="Z1237" s="47"/>
      <c r="AA1237" s="47"/>
      <c r="AB1237" s="47"/>
      <c r="AC1237" s="47"/>
      <c r="AD1237" s="47"/>
      <c r="AE1237" s="54"/>
      <c r="AF1237" s="54"/>
      <c r="AG1237" s="55"/>
      <c r="AH1237" s="54"/>
      <c r="AI1237" s="54"/>
      <c r="AJ1237" s="54"/>
      <c r="AK1237" s="54"/>
      <c r="AL1237" s="54"/>
      <c r="AM1237" s="54"/>
      <c r="AN1237" s="54"/>
      <c r="AO1237" s="54"/>
      <c r="AP1237" s="54"/>
      <c r="AQ1237" s="54"/>
      <c r="AR1237" s="54"/>
      <c r="AS1237" s="54"/>
      <c r="AT1237" s="54"/>
      <c r="AU1237" s="54"/>
      <c r="AV1237" s="54"/>
      <c r="AW1237" s="54"/>
      <c r="AX1237" s="54"/>
      <c r="AY1237" s="54"/>
      <c r="AZ1237" s="54"/>
      <c r="BA1237" s="54"/>
      <c r="BB1237" s="54"/>
      <c r="BC1237" s="56"/>
      <c r="BD1237" s="51"/>
      <c r="BE1237" s="54"/>
      <c r="BF1237" s="54"/>
      <c r="BG1237" s="47"/>
      <c r="BH1237" s="48"/>
      <c r="BI1237" s="48"/>
      <c r="BJ1237" s="48"/>
      <c r="BK1237" s="48"/>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52"/>
      <c r="CG1237" s="52"/>
      <c r="CH1237" s="48"/>
      <c r="CI1237" s="48"/>
      <c r="CJ1237" s="48"/>
      <c r="CK1237" s="48"/>
    </row>
    <row r="1238" spans="1:89" ht="15.75" customHeight="1" x14ac:dyDescent="0.3">
      <c r="A1238" s="47"/>
      <c r="B1238" s="48"/>
      <c r="C1238" s="47"/>
      <c r="D1238" s="48"/>
      <c r="E1238" s="48"/>
      <c r="F1238" s="48"/>
      <c r="G1238" s="48"/>
      <c r="H1238" s="48"/>
      <c r="I1238" s="49"/>
      <c r="J1238" s="47"/>
      <c r="K1238" s="47"/>
      <c r="L1238" s="47"/>
      <c r="M1238" s="47"/>
      <c r="N1238" s="47"/>
      <c r="O1238" s="47"/>
      <c r="P1238" s="47"/>
      <c r="Q1238" s="47"/>
      <c r="R1238" s="47"/>
      <c r="S1238" s="50"/>
      <c r="T1238" s="47"/>
      <c r="U1238" s="47"/>
      <c r="V1238" s="47"/>
      <c r="W1238" s="51"/>
      <c r="X1238" s="51"/>
      <c r="Y1238" s="47"/>
      <c r="Z1238" s="47"/>
      <c r="AA1238" s="47"/>
      <c r="AB1238" s="47"/>
      <c r="AC1238" s="47"/>
      <c r="AD1238" s="47"/>
      <c r="AE1238" s="54"/>
      <c r="AF1238" s="54"/>
      <c r="AG1238" s="55"/>
      <c r="AH1238" s="54"/>
      <c r="AI1238" s="54"/>
      <c r="AJ1238" s="54"/>
      <c r="AK1238" s="54"/>
      <c r="AL1238" s="54"/>
      <c r="AM1238" s="54"/>
      <c r="AN1238" s="54"/>
      <c r="AO1238" s="54"/>
      <c r="AP1238" s="54"/>
      <c r="AQ1238" s="54"/>
      <c r="AR1238" s="54"/>
      <c r="AS1238" s="54"/>
      <c r="AT1238" s="54"/>
      <c r="AU1238" s="54"/>
      <c r="AV1238" s="54"/>
      <c r="AW1238" s="54"/>
      <c r="AX1238" s="54"/>
      <c r="AY1238" s="54"/>
      <c r="AZ1238" s="54"/>
      <c r="BA1238" s="54"/>
      <c r="BB1238" s="54"/>
      <c r="BC1238" s="56"/>
      <c r="BD1238" s="51"/>
      <c r="BE1238" s="54"/>
      <c r="BF1238" s="54"/>
      <c r="BG1238" s="47"/>
      <c r="BH1238" s="48"/>
      <c r="BI1238" s="48"/>
      <c r="BJ1238" s="48"/>
      <c r="BK1238" s="48"/>
      <c r="BL1238" s="48"/>
      <c r="BM1238" s="48"/>
      <c r="BN1238" s="48"/>
      <c r="BO1238" s="48"/>
      <c r="BP1238" s="48"/>
      <c r="BQ1238" s="48"/>
      <c r="BR1238" s="48"/>
      <c r="BS1238" s="48"/>
      <c r="BT1238" s="48"/>
      <c r="BU1238" s="48"/>
      <c r="BV1238" s="48"/>
      <c r="BW1238" s="48"/>
      <c r="BX1238" s="48"/>
      <c r="BY1238" s="48"/>
      <c r="BZ1238" s="48"/>
      <c r="CA1238" s="48"/>
      <c r="CB1238" s="48"/>
      <c r="CC1238" s="48"/>
      <c r="CD1238" s="48"/>
      <c r="CE1238" s="48"/>
      <c r="CF1238" s="52"/>
      <c r="CG1238" s="52"/>
      <c r="CH1238" s="48"/>
      <c r="CI1238" s="48"/>
      <c r="CJ1238" s="48"/>
      <c r="CK1238" s="48"/>
    </row>
    <row r="1239" spans="1:89" ht="15.75" customHeight="1" x14ac:dyDescent="0.3">
      <c r="A1239" s="47"/>
      <c r="B1239" s="48"/>
      <c r="C1239" s="47"/>
      <c r="D1239" s="48"/>
      <c r="E1239" s="48"/>
      <c r="F1239" s="48"/>
      <c r="G1239" s="48"/>
      <c r="H1239" s="48"/>
      <c r="I1239" s="49"/>
      <c r="J1239" s="47"/>
      <c r="K1239" s="47"/>
      <c r="L1239" s="47"/>
      <c r="M1239" s="47"/>
      <c r="N1239" s="47"/>
      <c r="O1239" s="47"/>
      <c r="P1239" s="47"/>
      <c r="Q1239" s="47"/>
      <c r="R1239" s="47"/>
      <c r="S1239" s="50"/>
      <c r="T1239" s="47"/>
      <c r="U1239" s="47"/>
      <c r="V1239" s="47"/>
      <c r="W1239" s="51"/>
      <c r="X1239" s="51"/>
      <c r="Y1239" s="47"/>
      <c r="Z1239" s="47"/>
      <c r="AA1239" s="47"/>
      <c r="AB1239" s="47"/>
      <c r="AC1239" s="47"/>
      <c r="AD1239" s="47"/>
      <c r="AE1239" s="54"/>
      <c r="AF1239" s="54"/>
      <c r="AG1239" s="55"/>
      <c r="AH1239" s="54"/>
      <c r="AI1239" s="54"/>
      <c r="AJ1239" s="54"/>
      <c r="AK1239" s="54"/>
      <c r="AL1239" s="54"/>
      <c r="AM1239" s="54"/>
      <c r="AN1239" s="54"/>
      <c r="AO1239" s="54"/>
      <c r="AP1239" s="54"/>
      <c r="AQ1239" s="54"/>
      <c r="AR1239" s="54"/>
      <c r="AS1239" s="54"/>
      <c r="AT1239" s="54"/>
      <c r="AU1239" s="54"/>
      <c r="AV1239" s="54"/>
      <c r="AW1239" s="54"/>
      <c r="AX1239" s="54"/>
      <c r="AY1239" s="54"/>
      <c r="AZ1239" s="54"/>
      <c r="BA1239" s="54"/>
      <c r="BB1239" s="54"/>
      <c r="BC1239" s="56"/>
      <c r="BD1239" s="51"/>
      <c r="BE1239" s="54"/>
      <c r="BF1239" s="54"/>
      <c r="BG1239" s="47"/>
      <c r="BH1239" s="48"/>
      <c r="BI1239" s="48"/>
      <c r="BJ1239" s="48"/>
      <c r="BK1239" s="48"/>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52"/>
      <c r="CG1239" s="52"/>
      <c r="CH1239" s="48"/>
      <c r="CI1239" s="48"/>
      <c r="CJ1239" s="48"/>
      <c r="CK1239" s="48"/>
    </row>
    <row r="1240" spans="1:89" ht="15.75" customHeight="1" x14ac:dyDescent="0.3">
      <c r="A1240" s="47"/>
      <c r="B1240" s="48"/>
      <c r="C1240" s="47"/>
      <c r="D1240" s="48"/>
      <c r="E1240" s="48"/>
      <c r="F1240" s="48"/>
      <c r="G1240" s="48"/>
      <c r="H1240" s="48"/>
      <c r="I1240" s="49"/>
      <c r="J1240" s="47"/>
      <c r="K1240" s="47"/>
      <c r="L1240" s="47"/>
      <c r="M1240" s="47"/>
      <c r="N1240" s="47"/>
      <c r="O1240" s="47"/>
      <c r="P1240" s="47"/>
      <c r="Q1240" s="47"/>
      <c r="R1240" s="47"/>
      <c r="S1240" s="50"/>
      <c r="T1240" s="47"/>
      <c r="U1240" s="47"/>
      <c r="V1240" s="47"/>
      <c r="W1240" s="51"/>
      <c r="X1240" s="51"/>
      <c r="Y1240" s="47"/>
      <c r="Z1240" s="47"/>
      <c r="AA1240" s="47"/>
      <c r="AB1240" s="47"/>
      <c r="AC1240" s="47"/>
      <c r="AD1240" s="47"/>
      <c r="AE1240" s="54"/>
      <c r="AF1240" s="54"/>
      <c r="AG1240" s="55"/>
      <c r="AH1240" s="54"/>
      <c r="AI1240" s="54"/>
      <c r="AJ1240" s="54"/>
      <c r="AK1240" s="54"/>
      <c r="AL1240" s="54"/>
      <c r="AM1240" s="54"/>
      <c r="AN1240" s="54"/>
      <c r="AO1240" s="54"/>
      <c r="AP1240" s="54"/>
      <c r="AQ1240" s="54"/>
      <c r="AR1240" s="54"/>
      <c r="AS1240" s="54"/>
      <c r="AT1240" s="54"/>
      <c r="AU1240" s="54"/>
      <c r="AV1240" s="54"/>
      <c r="AW1240" s="54"/>
      <c r="AX1240" s="54"/>
      <c r="AY1240" s="54"/>
      <c r="AZ1240" s="54"/>
      <c r="BA1240" s="54"/>
      <c r="BB1240" s="54"/>
      <c r="BC1240" s="56"/>
      <c r="BD1240" s="51"/>
      <c r="BE1240" s="54"/>
      <c r="BF1240" s="54"/>
      <c r="BG1240" s="47"/>
      <c r="BH1240" s="48"/>
      <c r="BI1240" s="48"/>
      <c r="BJ1240" s="48"/>
      <c r="BK1240" s="48"/>
      <c r="BL1240" s="48"/>
      <c r="BM1240" s="48"/>
      <c r="BN1240" s="48"/>
      <c r="BO1240" s="48"/>
      <c r="BP1240" s="48"/>
      <c r="BQ1240" s="48"/>
      <c r="BR1240" s="48"/>
      <c r="BS1240" s="48"/>
      <c r="BT1240" s="48"/>
      <c r="BU1240" s="48"/>
      <c r="BV1240" s="48"/>
      <c r="BW1240" s="48"/>
      <c r="BX1240" s="48"/>
      <c r="BY1240" s="48"/>
      <c r="BZ1240" s="48"/>
      <c r="CA1240" s="48"/>
      <c r="CB1240" s="48"/>
      <c r="CC1240" s="48"/>
      <c r="CD1240" s="48"/>
      <c r="CE1240" s="48"/>
      <c r="CF1240" s="52"/>
      <c r="CG1240" s="52"/>
      <c r="CH1240" s="48"/>
      <c r="CI1240" s="48"/>
      <c r="CJ1240" s="48"/>
      <c r="CK1240" s="48"/>
    </row>
    <row r="1241" spans="1:89" ht="15.75" customHeight="1" x14ac:dyDescent="0.3">
      <c r="A1241" s="47"/>
      <c r="B1241" s="48"/>
      <c r="C1241" s="47"/>
      <c r="D1241" s="48"/>
      <c r="E1241" s="48"/>
      <c r="F1241" s="48"/>
      <c r="G1241" s="48"/>
      <c r="H1241" s="48"/>
      <c r="I1241" s="49"/>
      <c r="J1241" s="47"/>
      <c r="K1241" s="47"/>
      <c r="L1241" s="47"/>
      <c r="M1241" s="47"/>
      <c r="N1241" s="47"/>
      <c r="O1241" s="47"/>
      <c r="P1241" s="47"/>
      <c r="Q1241" s="47"/>
      <c r="R1241" s="47"/>
      <c r="S1241" s="50"/>
      <c r="T1241" s="47"/>
      <c r="U1241" s="47"/>
      <c r="V1241" s="47"/>
      <c r="W1241" s="51"/>
      <c r="X1241" s="51"/>
      <c r="Y1241" s="47"/>
      <c r="Z1241" s="47"/>
      <c r="AA1241" s="47"/>
      <c r="AB1241" s="47"/>
      <c r="AC1241" s="47"/>
      <c r="AD1241" s="47"/>
      <c r="AE1241" s="54"/>
      <c r="AF1241" s="54"/>
      <c r="AG1241" s="55"/>
      <c r="AH1241" s="54"/>
      <c r="AI1241" s="54"/>
      <c r="AJ1241" s="54"/>
      <c r="AK1241" s="54"/>
      <c r="AL1241" s="54"/>
      <c r="AM1241" s="54"/>
      <c r="AN1241" s="54"/>
      <c r="AO1241" s="54"/>
      <c r="AP1241" s="54"/>
      <c r="AQ1241" s="54"/>
      <c r="AR1241" s="54"/>
      <c r="AS1241" s="54"/>
      <c r="AT1241" s="54"/>
      <c r="AU1241" s="54"/>
      <c r="AV1241" s="54"/>
      <c r="AW1241" s="54"/>
      <c r="AX1241" s="54"/>
      <c r="AY1241" s="54"/>
      <c r="AZ1241" s="54"/>
      <c r="BA1241" s="54"/>
      <c r="BB1241" s="54"/>
      <c r="BC1241" s="56"/>
      <c r="BD1241" s="51"/>
      <c r="BE1241" s="54"/>
      <c r="BF1241" s="54"/>
      <c r="BG1241" s="47"/>
      <c r="BH1241" s="48"/>
      <c r="BI1241" s="48"/>
      <c r="BJ1241" s="48"/>
      <c r="BK1241" s="48"/>
      <c r="BL1241" s="48"/>
      <c r="BM1241" s="48"/>
      <c r="BN1241" s="48"/>
      <c r="BO1241" s="48"/>
      <c r="BP1241" s="48"/>
      <c r="BQ1241" s="48"/>
      <c r="BR1241" s="48"/>
      <c r="BS1241" s="48"/>
      <c r="BT1241" s="48"/>
      <c r="BU1241" s="48"/>
      <c r="BV1241" s="48"/>
      <c r="BW1241" s="48"/>
      <c r="BX1241" s="48"/>
      <c r="BY1241" s="48"/>
      <c r="BZ1241" s="48"/>
      <c r="CA1241" s="48"/>
      <c r="CB1241" s="48"/>
      <c r="CC1241" s="48"/>
      <c r="CD1241" s="48"/>
      <c r="CE1241" s="48"/>
      <c r="CF1241" s="52"/>
      <c r="CG1241" s="52"/>
      <c r="CH1241" s="48"/>
      <c r="CI1241" s="48"/>
      <c r="CJ1241" s="48"/>
      <c r="CK1241" s="48"/>
    </row>
    <row r="1242" spans="1:89" ht="15.75" customHeight="1" x14ac:dyDescent="0.3">
      <c r="A1242" s="47"/>
      <c r="B1242" s="48"/>
      <c r="C1242" s="47"/>
      <c r="D1242" s="48"/>
      <c r="E1242" s="48"/>
      <c r="F1242" s="48"/>
      <c r="G1242" s="48"/>
      <c r="H1242" s="48"/>
      <c r="I1242" s="49"/>
      <c r="J1242" s="47"/>
      <c r="K1242" s="47"/>
      <c r="L1242" s="47"/>
      <c r="M1242" s="47"/>
      <c r="N1242" s="47"/>
      <c r="O1242" s="47"/>
      <c r="P1242" s="47"/>
      <c r="Q1242" s="47"/>
      <c r="R1242" s="47"/>
      <c r="S1242" s="50"/>
      <c r="T1242" s="47"/>
      <c r="U1242" s="47"/>
      <c r="V1242" s="47"/>
      <c r="W1242" s="51"/>
      <c r="X1242" s="51"/>
      <c r="Y1242" s="47"/>
      <c r="Z1242" s="47"/>
      <c r="AA1242" s="47"/>
      <c r="AB1242" s="47"/>
      <c r="AC1242" s="47"/>
      <c r="AD1242" s="47"/>
      <c r="AE1242" s="54"/>
      <c r="AF1242" s="54"/>
      <c r="AG1242" s="55"/>
      <c r="AH1242" s="54"/>
      <c r="AI1242" s="54"/>
      <c r="AJ1242" s="54"/>
      <c r="AK1242" s="54"/>
      <c r="AL1242" s="54"/>
      <c r="AM1242" s="54"/>
      <c r="AN1242" s="54"/>
      <c r="AO1242" s="54"/>
      <c r="AP1242" s="54"/>
      <c r="AQ1242" s="54"/>
      <c r="AR1242" s="54"/>
      <c r="AS1242" s="54"/>
      <c r="AT1242" s="54"/>
      <c r="AU1242" s="54"/>
      <c r="AV1242" s="54"/>
      <c r="AW1242" s="54"/>
      <c r="AX1242" s="54"/>
      <c r="AY1242" s="54"/>
      <c r="AZ1242" s="54"/>
      <c r="BA1242" s="54"/>
      <c r="BB1242" s="54"/>
      <c r="BC1242" s="56"/>
      <c r="BD1242" s="51"/>
      <c r="BE1242" s="54"/>
      <c r="BF1242" s="54"/>
      <c r="BG1242" s="47"/>
      <c r="BH1242" s="48"/>
      <c r="BI1242" s="48"/>
      <c r="BJ1242" s="48"/>
      <c r="BK1242" s="48"/>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52"/>
      <c r="CG1242" s="52"/>
      <c r="CH1242" s="48"/>
      <c r="CI1242" s="48"/>
      <c r="CJ1242" s="48"/>
      <c r="CK1242" s="48"/>
    </row>
    <row r="1243" spans="1:89" ht="15.75" customHeight="1" x14ac:dyDescent="0.3">
      <c r="A1243" s="47"/>
      <c r="B1243" s="48"/>
      <c r="C1243" s="47"/>
      <c r="D1243" s="48"/>
      <c r="E1243" s="48"/>
      <c r="F1243" s="48"/>
      <c r="G1243" s="48"/>
      <c r="H1243" s="48"/>
      <c r="I1243" s="49"/>
      <c r="J1243" s="47"/>
      <c r="K1243" s="47"/>
      <c r="L1243" s="47"/>
      <c r="M1243" s="47"/>
      <c r="N1243" s="47"/>
      <c r="O1243" s="47"/>
      <c r="P1243" s="47"/>
      <c r="Q1243" s="47"/>
      <c r="R1243" s="47"/>
      <c r="S1243" s="50"/>
      <c r="T1243" s="47"/>
      <c r="U1243" s="47"/>
      <c r="V1243" s="47"/>
      <c r="W1243" s="51"/>
      <c r="X1243" s="51"/>
      <c r="Y1243" s="47"/>
      <c r="Z1243" s="47"/>
      <c r="AA1243" s="47"/>
      <c r="AB1243" s="47"/>
      <c r="AC1243" s="47"/>
      <c r="AD1243" s="47"/>
      <c r="AE1243" s="54"/>
      <c r="AF1243" s="54"/>
      <c r="AG1243" s="55"/>
      <c r="AH1243" s="54"/>
      <c r="AI1243" s="54"/>
      <c r="AJ1243" s="54"/>
      <c r="AK1243" s="54"/>
      <c r="AL1243" s="54"/>
      <c r="AM1243" s="54"/>
      <c r="AN1243" s="54"/>
      <c r="AO1243" s="54"/>
      <c r="AP1243" s="54"/>
      <c r="AQ1243" s="54"/>
      <c r="AR1243" s="54"/>
      <c r="AS1243" s="54"/>
      <c r="AT1243" s="54"/>
      <c r="AU1243" s="54"/>
      <c r="AV1243" s="54"/>
      <c r="AW1243" s="54"/>
      <c r="AX1243" s="54"/>
      <c r="AY1243" s="54"/>
      <c r="AZ1243" s="54"/>
      <c r="BA1243" s="54"/>
      <c r="BB1243" s="54"/>
      <c r="BC1243" s="56"/>
      <c r="BD1243" s="51"/>
      <c r="BE1243" s="54"/>
      <c r="BF1243" s="54"/>
      <c r="BG1243" s="47"/>
      <c r="BH1243" s="48"/>
      <c r="BI1243" s="48"/>
      <c r="BJ1243" s="48"/>
      <c r="BK1243" s="48"/>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52"/>
      <c r="CG1243" s="52"/>
      <c r="CH1243" s="48"/>
      <c r="CI1243" s="48"/>
      <c r="CJ1243" s="48"/>
      <c r="CK1243" s="48"/>
    </row>
    <row r="1244" spans="1:89" ht="15.75" customHeight="1" x14ac:dyDescent="0.3">
      <c r="A1244" s="47"/>
      <c r="B1244" s="48"/>
      <c r="C1244" s="47"/>
      <c r="D1244" s="48"/>
      <c r="E1244" s="48"/>
      <c r="F1244" s="48"/>
      <c r="G1244" s="48"/>
      <c r="H1244" s="48"/>
      <c r="I1244" s="49"/>
      <c r="J1244" s="47"/>
      <c r="K1244" s="47"/>
      <c r="L1244" s="47"/>
      <c r="M1244" s="47"/>
      <c r="N1244" s="47"/>
      <c r="O1244" s="47"/>
      <c r="P1244" s="47"/>
      <c r="Q1244" s="47"/>
      <c r="R1244" s="47"/>
      <c r="S1244" s="50"/>
      <c r="T1244" s="47"/>
      <c r="U1244" s="47"/>
      <c r="V1244" s="47"/>
      <c r="W1244" s="51"/>
      <c r="X1244" s="51"/>
      <c r="Y1244" s="47"/>
      <c r="Z1244" s="47"/>
      <c r="AA1244" s="47"/>
      <c r="AB1244" s="47"/>
      <c r="AC1244" s="47"/>
      <c r="AD1244" s="47"/>
      <c r="AE1244" s="54"/>
      <c r="AF1244" s="54"/>
      <c r="AG1244" s="55"/>
      <c r="AH1244" s="54"/>
      <c r="AI1244" s="54"/>
      <c r="AJ1244" s="54"/>
      <c r="AK1244" s="54"/>
      <c r="AL1244" s="54"/>
      <c r="AM1244" s="54"/>
      <c r="AN1244" s="54"/>
      <c r="AO1244" s="54"/>
      <c r="AP1244" s="54"/>
      <c r="AQ1244" s="54"/>
      <c r="AR1244" s="54"/>
      <c r="AS1244" s="54"/>
      <c r="AT1244" s="54"/>
      <c r="AU1244" s="54"/>
      <c r="AV1244" s="54"/>
      <c r="AW1244" s="54"/>
      <c r="AX1244" s="54"/>
      <c r="AY1244" s="54"/>
      <c r="AZ1244" s="54"/>
      <c r="BA1244" s="54"/>
      <c r="BB1244" s="54"/>
      <c r="BC1244" s="56"/>
      <c r="BD1244" s="51"/>
      <c r="BE1244" s="54"/>
      <c r="BF1244" s="54"/>
      <c r="BG1244" s="47"/>
      <c r="BH1244" s="48"/>
      <c r="BI1244" s="48"/>
      <c r="BJ1244" s="48"/>
      <c r="BK1244" s="48"/>
      <c r="BL1244" s="48"/>
      <c r="BM1244" s="48"/>
      <c r="BN1244" s="48"/>
      <c r="BO1244" s="48"/>
      <c r="BP1244" s="48"/>
      <c r="BQ1244" s="48"/>
      <c r="BR1244" s="48"/>
      <c r="BS1244" s="48"/>
      <c r="BT1244" s="48"/>
      <c r="BU1244" s="48"/>
      <c r="BV1244" s="48"/>
      <c r="BW1244" s="48"/>
      <c r="BX1244" s="48"/>
      <c r="BY1244" s="48"/>
      <c r="BZ1244" s="48"/>
      <c r="CA1244" s="48"/>
      <c r="CB1244" s="48"/>
      <c r="CC1244" s="48"/>
      <c r="CD1244" s="48"/>
      <c r="CE1244" s="48"/>
      <c r="CF1244" s="52"/>
      <c r="CG1244" s="52"/>
      <c r="CH1244" s="48"/>
      <c r="CI1244" s="48"/>
      <c r="CJ1244" s="48"/>
      <c r="CK1244" s="48"/>
    </row>
    <row r="1245" spans="1:89" ht="15.75" customHeight="1" x14ac:dyDescent="0.3">
      <c r="A1245" s="47"/>
      <c r="B1245" s="48"/>
      <c r="C1245" s="47"/>
      <c r="D1245" s="48"/>
      <c r="E1245" s="48"/>
      <c r="F1245" s="48"/>
      <c r="G1245" s="48"/>
      <c r="H1245" s="48"/>
      <c r="I1245" s="49"/>
      <c r="J1245" s="47"/>
      <c r="K1245" s="47"/>
      <c r="L1245" s="47"/>
      <c r="M1245" s="47"/>
      <c r="N1245" s="47"/>
      <c r="O1245" s="47"/>
      <c r="P1245" s="47"/>
      <c r="Q1245" s="47"/>
      <c r="R1245" s="47"/>
      <c r="S1245" s="50"/>
      <c r="T1245" s="47"/>
      <c r="U1245" s="47"/>
      <c r="V1245" s="47"/>
      <c r="W1245" s="51"/>
      <c r="X1245" s="51"/>
      <c r="Y1245" s="47"/>
      <c r="Z1245" s="47"/>
      <c r="AA1245" s="47"/>
      <c r="AB1245" s="47"/>
      <c r="AC1245" s="47"/>
      <c r="AD1245" s="47"/>
      <c r="AE1245" s="54"/>
      <c r="AF1245" s="54"/>
      <c r="AG1245" s="55"/>
      <c r="AH1245" s="54"/>
      <c r="AI1245" s="54"/>
      <c r="AJ1245" s="54"/>
      <c r="AK1245" s="54"/>
      <c r="AL1245" s="54"/>
      <c r="AM1245" s="54"/>
      <c r="AN1245" s="54"/>
      <c r="AO1245" s="54"/>
      <c r="AP1245" s="54"/>
      <c r="AQ1245" s="54"/>
      <c r="AR1245" s="54"/>
      <c r="AS1245" s="54"/>
      <c r="AT1245" s="54"/>
      <c r="AU1245" s="54"/>
      <c r="AV1245" s="54"/>
      <c r="AW1245" s="54"/>
      <c r="AX1245" s="54"/>
      <c r="AY1245" s="54"/>
      <c r="AZ1245" s="54"/>
      <c r="BA1245" s="54"/>
      <c r="BB1245" s="54"/>
      <c r="BC1245" s="56"/>
      <c r="BD1245" s="51"/>
      <c r="BE1245" s="54"/>
      <c r="BF1245" s="54"/>
      <c r="BG1245" s="47"/>
      <c r="BH1245" s="48"/>
      <c r="BI1245" s="48"/>
      <c r="BJ1245" s="48"/>
      <c r="BK1245" s="48"/>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52"/>
      <c r="CG1245" s="52"/>
      <c r="CH1245" s="48"/>
      <c r="CI1245" s="48"/>
      <c r="CJ1245" s="48"/>
      <c r="CK1245" s="48"/>
    </row>
    <row r="1246" spans="1:89" ht="15.75" customHeight="1" x14ac:dyDescent="0.3">
      <c r="A1246" s="47"/>
      <c r="B1246" s="48"/>
      <c r="C1246" s="47"/>
      <c r="D1246" s="48"/>
      <c r="E1246" s="48"/>
      <c r="F1246" s="48"/>
      <c r="G1246" s="48"/>
      <c r="H1246" s="48"/>
      <c r="I1246" s="49"/>
      <c r="J1246" s="47"/>
      <c r="K1246" s="47"/>
      <c r="L1246" s="47"/>
      <c r="M1246" s="47"/>
      <c r="N1246" s="47"/>
      <c r="O1246" s="47"/>
      <c r="P1246" s="47"/>
      <c r="Q1246" s="47"/>
      <c r="R1246" s="47"/>
      <c r="S1246" s="50"/>
      <c r="T1246" s="47"/>
      <c r="U1246" s="47"/>
      <c r="V1246" s="47"/>
      <c r="W1246" s="51"/>
      <c r="X1246" s="51"/>
      <c r="Y1246" s="47"/>
      <c r="Z1246" s="47"/>
      <c r="AA1246" s="47"/>
      <c r="AB1246" s="47"/>
      <c r="AC1246" s="47"/>
      <c r="AD1246" s="47"/>
      <c r="AE1246" s="54"/>
      <c r="AF1246" s="54"/>
      <c r="AG1246" s="55"/>
      <c r="AH1246" s="54"/>
      <c r="AI1246" s="54"/>
      <c r="AJ1246" s="54"/>
      <c r="AK1246" s="54"/>
      <c r="AL1246" s="54"/>
      <c r="AM1246" s="54"/>
      <c r="AN1246" s="54"/>
      <c r="AO1246" s="54"/>
      <c r="AP1246" s="54"/>
      <c r="AQ1246" s="54"/>
      <c r="AR1246" s="54"/>
      <c r="AS1246" s="54"/>
      <c r="AT1246" s="54"/>
      <c r="AU1246" s="54"/>
      <c r="AV1246" s="54"/>
      <c r="AW1246" s="54"/>
      <c r="AX1246" s="54"/>
      <c r="AY1246" s="54"/>
      <c r="AZ1246" s="54"/>
      <c r="BA1246" s="54"/>
      <c r="BB1246" s="54"/>
      <c r="BC1246" s="56"/>
      <c r="BD1246" s="51"/>
      <c r="BE1246" s="54"/>
      <c r="BF1246" s="54"/>
      <c r="BG1246" s="47"/>
      <c r="BH1246" s="48"/>
      <c r="BI1246" s="48"/>
      <c r="BJ1246" s="48"/>
      <c r="BK1246" s="48"/>
      <c r="BL1246" s="48"/>
      <c r="BM1246" s="48"/>
      <c r="BN1246" s="48"/>
      <c r="BO1246" s="48"/>
      <c r="BP1246" s="48"/>
      <c r="BQ1246" s="48"/>
      <c r="BR1246" s="48"/>
      <c r="BS1246" s="48"/>
      <c r="BT1246" s="48"/>
      <c r="BU1246" s="48"/>
      <c r="BV1246" s="48"/>
      <c r="BW1246" s="48"/>
      <c r="BX1246" s="48"/>
      <c r="BY1246" s="48"/>
      <c r="BZ1246" s="48"/>
      <c r="CA1246" s="48"/>
      <c r="CB1246" s="48"/>
      <c r="CC1246" s="48"/>
      <c r="CD1246" s="48"/>
      <c r="CE1246" s="48"/>
      <c r="CF1246" s="52"/>
      <c r="CG1246" s="52"/>
      <c r="CH1246" s="48"/>
      <c r="CI1246" s="48"/>
      <c r="CJ1246" s="48"/>
      <c r="CK1246" s="48"/>
    </row>
    <row r="1247" spans="1:89" ht="15.75" customHeight="1" x14ac:dyDescent="0.3">
      <c r="A1247" s="47"/>
      <c r="B1247" s="48"/>
      <c r="C1247" s="47"/>
      <c r="D1247" s="48"/>
      <c r="E1247" s="48"/>
      <c r="F1247" s="48"/>
      <c r="G1247" s="48"/>
      <c r="H1247" s="48"/>
      <c r="I1247" s="49"/>
      <c r="J1247" s="47"/>
      <c r="K1247" s="47"/>
      <c r="L1247" s="47"/>
      <c r="M1247" s="47"/>
      <c r="N1247" s="47"/>
      <c r="O1247" s="47"/>
      <c r="P1247" s="47"/>
      <c r="Q1247" s="47"/>
      <c r="R1247" s="47"/>
      <c r="S1247" s="50"/>
      <c r="T1247" s="47"/>
      <c r="U1247" s="47"/>
      <c r="V1247" s="47"/>
      <c r="W1247" s="51"/>
      <c r="X1247" s="51"/>
      <c r="Y1247" s="47"/>
      <c r="Z1247" s="47"/>
      <c r="AA1247" s="47"/>
      <c r="AB1247" s="47"/>
      <c r="AC1247" s="47"/>
      <c r="AD1247" s="47"/>
      <c r="AE1247" s="54"/>
      <c r="AF1247" s="54"/>
      <c r="AG1247" s="55"/>
      <c r="AH1247" s="54"/>
      <c r="AI1247" s="54"/>
      <c r="AJ1247" s="54"/>
      <c r="AK1247" s="54"/>
      <c r="AL1247" s="54"/>
      <c r="AM1247" s="54"/>
      <c r="AN1247" s="54"/>
      <c r="AO1247" s="54"/>
      <c r="AP1247" s="54"/>
      <c r="AQ1247" s="54"/>
      <c r="AR1247" s="54"/>
      <c r="AS1247" s="54"/>
      <c r="AT1247" s="54"/>
      <c r="AU1247" s="54"/>
      <c r="AV1247" s="54"/>
      <c r="AW1247" s="54"/>
      <c r="AX1247" s="54"/>
      <c r="AY1247" s="54"/>
      <c r="AZ1247" s="54"/>
      <c r="BA1247" s="54"/>
      <c r="BB1247" s="54"/>
      <c r="BC1247" s="56"/>
      <c r="BD1247" s="51"/>
      <c r="BE1247" s="54"/>
      <c r="BF1247" s="54"/>
      <c r="BG1247" s="47"/>
      <c r="BH1247" s="48"/>
      <c r="BI1247" s="48"/>
      <c r="BJ1247" s="48"/>
      <c r="BK1247" s="48"/>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52"/>
      <c r="CG1247" s="52"/>
      <c r="CH1247" s="48"/>
      <c r="CI1247" s="48"/>
      <c r="CJ1247" s="48"/>
      <c r="CK1247" s="48"/>
    </row>
    <row r="1248" spans="1:89" ht="15.75" customHeight="1" x14ac:dyDescent="0.3">
      <c r="A1248" s="47"/>
      <c r="B1248" s="48"/>
      <c r="C1248" s="47"/>
      <c r="D1248" s="48"/>
      <c r="E1248" s="48"/>
      <c r="F1248" s="48"/>
      <c r="G1248" s="48"/>
      <c r="H1248" s="48"/>
      <c r="I1248" s="49"/>
      <c r="J1248" s="47"/>
      <c r="K1248" s="47"/>
      <c r="L1248" s="47"/>
      <c r="M1248" s="47"/>
      <c r="N1248" s="47"/>
      <c r="O1248" s="47"/>
      <c r="P1248" s="47"/>
      <c r="Q1248" s="47"/>
      <c r="R1248" s="47"/>
      <c r="S1248" s="50"/>
      <c r="T1248" s="47"/>
      <c r="U1248" s="47"/>
      <c r="V1248" s="47"/>
      <c r="W1248" s="51"/>
      <c r="X1248" s="51"/>
      <c r="Y1248" s="47"/>
      <c r="Z1248" s="47"/>
      <c r="AA1248" s="47"/>
      <c r="AB1248" s="47"/>
      <c r="AC1248" s="47"/>
      <c r="AD1248" s="47"/>
      <c r="AE1248" s="54"/>
      <c r="AF1248" s="54"/>
      <c r="AG1248" s="55"/>
      <c r="AH1248" s="54"/>
      <c r="AI1248" s="54"/>
      <c r="AJ1248" s="54"/>
      <c r="AK1248" s="54"/>
      <c r="AL1248" s="54"/>
      <c r="AM1248" s="54"/>
      <c r="AN1248" s="54"/>
      <c r="AO1248" s="54"/>
      <c r="AP1248" s="54"/>
      <c r="AQ1248" s="54"/>
      <c r="AR1248" s="54"/>
      <c r="AS1248" s="54"/>
      <c r="AT1248" s="54"/>
      <c r="AU1248" s="54"/>
      <c r="AV1248" s="54"/>
      <c r="AW1248" s="54"/>
      <c r="AX1248" s="54"/>
      <c r="AY1248" s="54"/>
      <c r="AZ1248" s="54"/>
      <c r="BA1248" s="54"/>
      <c r="BB1248" s="54"/>
      <c r="BC1248" s="56"/>
      <c r="BD1248" s="51"/>
      <c r="BE1248" s="54"/>
      <c r="BF1248" s="54"/>
      <c r="BG1248" s="47"/>
      <c r="BH1248" s="48"/>
      <c r="BI1248" s="48"/>
      <c r="BJ1248" s="48"/>
      <c r="BK1248" s="48"/>
      <c r="BL1248" s="48"/>
      <c r="BM1248" s="48"/>
      <c r="BN1248" s="48"/>
      <c r="BO1248" s="48"/>
      <c r="BP1248" s="48"/>
      <c r="BQ1248" s="48"/>
      <c r="BR1248" s="48"/>
      <c r="BS1248" s="48"/>
      <c r="BT1248" s="48"/>
      <c r="BU1248" s="48"/>
      <c r="BV1248" s="48"/>
      <c r="BW1248" s="48"/>
      <c r="BX1248" s="48"/>
      <c r="BY1248" s="48"/>
      <c r="BZ1248" s="48"/>
      <c r="CA1248" s="48"/>
      <c r="CB1248" s="48"/>
      <c r="CC1248" s="48"/>
      <c r="CD1248" s="48"/>
      <c r="CE1248" s="48"/>
      <c r="CF1248" s="52"/>
      <c r="CG1248" s="52"/>
      <c r="CH1248" s="48"/>
      <c r="CI1248" s="48"/>
      <c r="CJ1248" s="48"/>
      <c r="CK1248" s="48"/>
    </row>
    <row r="1249" spans="1:89" ht="15.75" customHeight="1" x14ac:dyDescent="0.3">
      <c r="A1249" s="47"/>
      <c r="B1249" s="48"/>
      <c r="C1249" s="47"/>
      <c r="D1249" s="48"/>
      <c r="E1249" s="48"/>
      <c r="F1249" s="48"/>
      <c r="G1249" s="48"/>
      <c r="H1249" s="48"/>
      <c r="I1249" s="49"/>
      <c r="J1249" s="47"/>
      <c r="K1249" s="47"/>
      <c r="L1249" s="47"/>
      <c r="M1249" s="47"/>
      <c r="N1249" s="47"/>
      <c r="O1249" s="47"/>
      <c r="P1249" s="47"/>
      <c r="Q1249" s="47"/>
      <c r="R1249" s="47"/>
      <c r="S1249" s="50"/>
      <c r="T1249" s="47"/>
      <c r="U1249" s="47"/>
      <c r="V1249" s="47"/>
      <c r="W1249" s="51"/>
      <c r="X1249" s="51"/>
      <c r="Y1249" s="47"/>
      <c r="Z1249" s="47"/>
      <c r="AA1249" s="47"/>
      <c r="AB1249" s="47"/>
      <c r="AC1249" s="47"/>
      <c r="AD1249" s="47"/>
      <c r="AE1249" s="54"/>
      <c r="AF1249" s="54"/>
      <c r="AG1249" s="55"/>
      <c r="AH1249" s="54"/>
      <c r="AI1249" s="54"/>
      <c r="AJ1249" s="54"/>
      <c r="AK1249" s="54"/>
      <c r="AL1249" s="54"/>
      <c r="AM1249" s="54"/>
      <c r="AN1249" s="54"/>
      <c r="AO1249" s="54"/>
      <c r="AP1249" s="54"/>
      <c r="AQ1249" s="54"/>
      <c r="AR1249" s="54"/>
      <c r="AS1249" s="54"/>
      <c r="AT1249" s="54"/>
      <c r="AU1249" s="54"/>
      <c r="AV1249" s="54"/>
      <c r="AW1249" s="54"/>
      <c r="AX1249" s="54"/>
      <c r="AY1249" s="54"/>
      <c r="AZ1249" s="54"/>
      <c r="BA1249" s="54"/>
      <c r="BB1249" s="54"/>
      <c r="BC1249" s="56"/>
      <c r="BD1249" s="51"/>
      <c r="BE1249" s="54"/>
      <c r="BF1249" s="54"/>
      <c r="BG1249" s="47"/>
      <c r="BH1249" s="48"/>
      <c r="BI1249" s="48"/>
      <c r="BJ1249" s="48"/>
      <c r="BK1249" s="48"/>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52"/>
      <c r="CG1249" s="52"/>
      <c r="CH1249" s="48"/>
      <c r="CI1249" s="48"/>
      <c r="CJ1249" s="48"/>
      <c r="CK1249" s="48"/>
    </row>
    <row r="1250" spans="1:89" ht="15.75" customHeight="1" x14ac:dyDescent="0.3">
      <c r="A1250" s="47"/>
      <c r="B1250" s="48"/>
      <c r="C1250" s="47"/>
      <c r="D1250" s="48"/>
      <c r="E1250" s="48"/>
      <c r="F1250" s="48"/>
      <c r="G1250" s="48"/>
      <c r="H1250" s="48"/>
      <c r="I1250" s="49"/>
      <c r="J1250" s="47"/>
      <c r="K1250" s="47"/>
      <c r="L1250" s="47"/>
      <c r="M1250" s="47"/>
      <c r="N1250" s="47"/>
      <c r="O1250" s="47"/>
      <c r="P1250" s="47"/>
      <c r="Q1250" s="47"/>
      <c r="R1250" s="47"/>
      <c r="S1250" s="50"/>
      <c r="T1250" s="47"/>
      <c r="U1250" s="47"/>
      <c r="V1250" s="47"/>
      <c r="W1250" s="51"/>
      <c r="X1250" s="51"/>
      <c r="Y1250" s="47"/>
      <c r="Z1250" s="47"/>
      <c r="AA1250" s="47"/>
      <c r="AB1250" s="47"/>
      <c r="AC1250" s="47"/>
      <c r="AD1250" s="47"/>
      <c r="AE1250" s="54"/>
      <c r="AF1250" s="54"/>
      <c r="AG1250" s="55"/>
      <c r="AH1250" s="54"/>
      <c r="AI1250" s="54"/>
      <c r="AJ1250" s="54"/>
      <c r="AK1250" s="54"/>
      <c r="AL1250" s="54"/>
      <c r="AM1250" s="54"/>
      <c r="AN1250" s="54"/>
      <c r="AO1250" s="54"/>
      <c r="AP1250" s="54"/>
      <c r="AQ1250" s="54"/>
      <c r="AR1250" s="54"/>
      <c r="AS1250" s="54"/>
      <c r="AT1250" s="54"/>
      <c r="AU1250" s="54"/>
      <c r="AV1250" s="54"/>
      <c r="AW1250" s="54"/>
      <c r="AX1250" s="54"/>
      <c r="AY1250" s="54"/>
      <c r="AZ1250" s="54"/>
      <c r="BA1250" s="54"/>
      <c r="BB1250" s="54"/>
      <c r="BC1250" s="56"/>
      <c r="BD1250" s="51"/>
      <c r="BE1250" s="54"/>
      <c r="BF1250" s="54"/>
      <c r="BG1250" s="47"/>
      <c r="BH1250" s="48"/>
      <c r="BI1250" s="48"/>
      <c r="BJ1250" s="48"/>
      <c r="BK1250" s="48"/>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52"/>
      <c r="CG1250" s="52"/>
      <c r="CH1250" s="48"/>
      <c r="CI1250" s="48"/>
      <c r="CJ1250" s="48"/>
      <c r="CK1250" s="48"/>
    </row>
    <row r="1251" spans="1:89" ht="15.75" customHeight="1" x14ac:dyDescent="0.3">
      <c r="A1251" s="47"/>
      <c r="B1251" s="48"/>
      <c r="C1251" s="47"/>
      <c r="D1251" s="48"/>
      <c r="E1251" s="48"/>
      <c r="F1251" s="48"/>
      <c r="G1251" s="48"/>
      <c r="H1251" s="48"/>
      <c r="I1251" s="49"/>
      <c r="J1251" s="47"/>
      <c r="K1251" s="47"/>
      <c r="L1251" s="47"/>
      <c r="M1251" s="47"/>
      <c r="N1251" s="47"/>
      <c r="O1251" s="47"/>
      <c r="P1251" s="47"/>
      <c r="Q1251" s="47"/>
      <c r="R1251" s="47"/>
      <c r="S1251" s="50"/>
      <c r="T1251" s="47"/>
      <c r="U1251" s="47"/>
      <c r="V1251" s="47"/>
      <c r="W1251" s="51"/>
      <c r="X1251" s="51"/>
      <c r="Y1251" s="47"/>
      <c r="Z1251" s="47"/>
      <c r="AA1251" s="47"/>
      <c r="AB1251" s="47"/>
      <c r="AC1251" s="47"/>
      <c r="AD1251" s="47"/>
      <c r="AE1251" s="54"/>
      <c r="AF1251" s="54"/>
      <c r="AG1251" s="55"/>
      <c r="AH1251" s="54"/>
      <c r="AI1251" s="54"/>
      <c r="AJ1251" s="54"/>
      <c r="AK1251" s="54"/>
      <c r="AL1251" s="54"/>
      <c r="AM1251" s="54"/>
      <c r="AN1251" s="54"/>
      <c r="AO1251" s="54"/>
      <c r="AP1251" s="54"/>
      <c r="AQ1251" s="54"/>
      <c r="AR1251" s="54"/>
      <c r="AS1251" s="54"/>
      <c r="AT1251" s="54"/>
      <c r="AU1251" s="54"/>
      <c r="AV1251" s="54"/>
      <c r="AW1251" s="54"/>
      <c r="AX1251" s="54"/>
      <c r="AY1251" s="54"/>
      <c r="AZ1251" s="54"/>
      <c r="BA1251" s="54"/>
      <c r="BB1251" s="54"/>
      <c r="BC1251" s="56"/>
      <c r="BD1251" s="51"/>
      <c r="BE1251" s="54"/>
      <c r="BF1251" s="54"/>
      <c r="BG1251" s="47"/>
      <c r="BH1251" s="48"/>
      <c r="BI1251" s="48"/>
      <c r="BJ1251" s="48"/>
      <c r="BK1251" s="48"/>
      <c r="BL1251" s="48"/>
      <c r="BM1251" s="48"/>
      <c r="BN1251" s="48"/>
      <c r="BO1251" s="48"/>
      <c r="BP1251" s="48"/>
      <c r="BQ1251" s="48"/>
      <c r="BR1251" s="48"/>
      <c r="BS1251" s="48"/>
      <c r="BT1251" s="48"/>
      <c r="BU1251" s="48"/>
      <c r="BV1251" s="48"/>
      <c r="BW1251" s="48"/>
      <c r="BX1251" s="48"/>
      <c r="BY1251" s="48"/>
      <c r="BZ1251" s="48"/>
      <c r="CA1251" s="48"/>
      <c r="CB1251" s="48"/>
      <c r="CC1251" s="48"/>
      <c r="CD1251" s="48"/>
      <c r="CE1251" s="48"/>
      <c r="CF1251" s="52"/>
      <c r="CG1251" s="52"/>
      <c r="CH1251" s="48"/>
      <c r="CI1251" s="48"/>
      <c r="CJ1251" s="48"/>
      <c r="CK1251" s="48"/>
    </row>
    <row r="1252" spans="1:89" ht="15.75" customHeight="1" x14ac:dyDescent="0.3">
      <c r="A1252" s="47"/>
      <c r="B1252" s="48"/>
      <c r="C1252" s="47"/>
      <c r="D1252" s="48"/>
      <c r="E1252" s="48"/>
      <c r="F1252" s="48"/>
      <c r="G1252" s="48"/>
      <c r="H1252" s="48"/>
      <c r="I1252" s="49"/>
      <c r="J1252" s="47"/>
      <c r="K1252" s="47"/>
      <c r="L1252" s="47"/>
      <c r="M1252" s="47"/>
      <c r="N1252" s="47"/>
      <c r="O1252" s="47"/>
      <c r="P1252" s="47"/>
      <c r="Q1252" s="47"/>
      <c r="R1252" s="47"/>
      <c r="S1252" s="50"/>
      <c r="T1252" s="47"/>
      <c r="U1252" s="47"/>
      <c r="V1252" s="47"/>
      <c r="W1252" s="51"/>
      <c r="X1252" s="51"/>
      <c r="Y1252" s="47"/>
      <c r="Z1252" s="47"/>
      <c r="AA1252" s="47"/>
      <c r="AB1252" s="47"/>
      <c r="AC1252" s="47"/>
      <c r="AD1252" s="47"/>
      <c r="AE1252" s="54"/>
      <c r="AF1252" s="54"/>
      <c r="AG1252" s="55"/>
      <c r="AH1252" s="54"/>
      <c r="AI1252" s="54"/>
      <c r="AJ1252" s="54"/>
      <c r="AK1252" s="54"/>
      <c r="AL1252" s="54"/>
      <c r="AM1252" s="54"/>
      <c r="AN1252" s="54"/>
      <c r="AO1252" s="54"/>
      <c r="AP1252" s="54"/>
      <c r="AQ1252" s="54"/>
      <c r="AR1252" s="54"/>
      <c r="AS1252" s="54"/>
      <c r="AT1252" s="54"/>
      <c r="AU1252" s="54"/>
      <c r="AV1252" s="54"/>
      <c r="AW1252" s="54"/>
      <c r="AX1252" s="54"/>
      <c r="AY1252" s="54"/>
      <c r="AZ1252" s="54"/>
      <c r="BA1252" s="54"/>
      <c r="BB1252" s="54"/>
      <c r="BC1252" s="56"/>
      <c r="BD1252" s="51"/>
      <c r="BE1252" s="54"/>
      <c r="BF1252" s="54"/>
      <c r="BG1252" s="47"/>
      <c r="BH1252" s="48"/>
      <c r="BI1252" s="48"/>
      <c r="BJ1252" s="48"/>
      <c r="BK1252" s="48"/>
      <c r="BL1252" s="48"/>
      <c r="BM1252" s="48"/>
      <c r="BN1252" s="48"/>
      <c r="BO1252" s="48"/>
      <c r="BP1252" s="48"/>
      <c r="BQ1252" s="48"/>
      <c r="BR1252" s="48"/>
      <c r="BS1252" s="48"/>
      <c r="BT1252" s="48"/>
      <c r="BU1252" s="48"/>
      <c r="BV1252" s="48"/>
      <c r="BW1252" s="48"/>
      <c r="BX1252" s="48"/>
      <c r="BY1252" s="48"/>
      <c r="BZ1252" s="48"/>
      <c r="CA1252" s="48"/>
      <c r="CB1252" s="48"/>
      <c r="CC1252" s="48"/>
      <c r="CD1252" s="48"/>
      <c r="CE1252" s="48"/>
      <c r="CF1252" s="52"/>
      <c r="CG1252" s="52"/>
      <c r="CH1252" s="48"/>
      <c r="CI1252" s="48"/>
      <c r="CJ1252" s="48"/>
      <c r="CK1252" s="48"/>
    </row>
    <row r="1253" spans="1:89" ht="15.75" customHeight="1" x14ac:dyDescent="0.3">
      <c r="A1253" s="47"/>
      <c r="B1253" s="48"/>
      <c r="C1253" s="47"/>
      <c r="D1253" s="48"/>
      <c r="E1253" s="48"/>
      <c r="F1253" s="48"/>
      <c r="G1253" s="48"/>
      <c r="H1253" s="48"/>
      <c r="I1253" s="49"/>
      <c r="J1253" s="47"/>
      <c r="K1253" s="47"/>
      <c r="L1253" s="47"/>
      <c r="M1253" s="47"/>
      <c r="N1253" s="47"/>
      <c r="O1253" s="47"/>
      <c r="P1253" s="47"/>
      <c r="Q1253" s="47"/>
      <c r="R1253" s="47"/>
      <c r="S1253" s="50"/>
      <c r="T1253" s="47"/>
      <c r="U1253" s="47"/>
      <c r="V1253" s="47"/>
      <c r="W1253" s="51"/>
      <c r="X1253" s="51"/>
      <c r="Y1253" s="47"/>
      <c r="Z1253" s="47"/>
      <c r="AA1253" s="47"/>
      <c r="AB1253" s="47"/>
      <c r="AC1253" s="47"/>
      <c r="AD1253" s="47"/>
      <c r="AE1253" s="54"/>
      <c r="AF1253" s="54"/>
      <c r="AG1253" s="55"/>
      <c r="AH1253" s="54"/>
      <c r="AI1253" s="54"/>
      <c r="AJ1253" s="54"/>
      <c r="AK1253" s="54"/>
      <c r="AL1253" s="54"/>
      <c r="AM1253" s="54"/>
      <c r="AN1253" s="54"/>
      <c r="AO1253" s="54"/>
      <c r="AP1253" s="54"/>
      <c r="AQ1253" s="54"/>
      <c r="AR1253" s="54"/>
      <c r="AS1253" s="54"/>
      <c r="AT1253" s="54"/>
      <c r="AU1253" s="54"/>
      <c r="AV1253" s="54"/>
      <c r="AW1253" s="54"/>
      <c r="AX1253" s="54"/>
      <c r="AY1253" s="54"/>
      <c r="AZ1253" s="54"/>
      <c r="BA1253" s="54"/>
      <c r="BB1253" s="54"/>
      <c r="BC1253" s="56"/>
      <c r="BD1253" s="51"/>
      <c r="BE1253" s="54"/>
      <c r="BF1253" s="54"/>
      <c r="BG1253" s="47"/>
      <c r="BH1253" s="48"/>
      <c r="BI1253" s="48"/>
      <c r="BJ1253" s="48"/>
      <c r="BK1253" s="48"/>
      <c r="BL1253" s="48"/>
      <c r="BM1253" s="48"/>
      <c r="BN1253" s="48"/>
      <c r="BO1253" s="48"/>
      <c r="BP1253" s="48"/>
      <c r="BQ1253" s="48"/>
      <c r="BR1253" s="48"/>
      <c r="BS1253" s="48"/>
      <c r="BT1253" s="48"/>
      <c r="BU1253" s="48"/>
      <c r="BV1253" s="48"/>
      <c r="BW1253" s="48"/>
      <c r="BX1253" s="48"/>
      <c r="BY1253" s="48"/>
      <c r="BZ1253" s="48"/>
      <c r="CA1253" s="48"/>
      <c r="CB1253" s="48"/>
      <c r="CC1253" s="48"/>
      <c r="CD1253" s="48"/>
      <c r="CE1253" s="48"/>
      <c r="CF1253" s="52"/>
      <c r="CG1253" s="52"/>
      <c r="CH1253" s="48"/>
      <c r="CI1253" s="48"/>
      <c r="CJ1253" s="48"/>
      <c r="CK1253" s="48"/>
    </row>
    <row r="1254" spans="1:89" ht="15.75" customHeight="1" x14ac:dyDescent="0.3">
      <c r="A1254" s="47"/>
      <c r="B1254" s="48"/>
      <c r="C1254" s="47"/>
      <c r="D1254" s="48"/>
      <c r="E1254" s="48"/>
      <c r="F1254" s="48"/>
      <c r="G1254" s="48"/>
      <c r="H1254" s="48"/>
      <c r="I1254" s="49"/>
      <c r="J1254" s="47"/>
      <c r="K1254" s="47"/>
      <c r="L1254" s="47"/>
      <c r="M1254" s="47"/>
      <c r="N1254" s="47"/>
      <c r="O1254" s="47"/>
      <c r="P1254" s="47"/>
      <c r="Q1254" s="47"/>
      <c r="R1254" s="47"/>
      <c r="S1254" s="50"/>
      <c r="T1254" s="47"/>
      <c r="U1254" s="47"/>
      <c r="V1254" s="47"/>
      <c r="W1254" s="51"/>
      <c r="X1254" s="51"/>
      <c r="Y1254" s="47"/>
      <c r="Z1254" s="47"/>
      <c r="AA1254" s="47"/>
      <c r="AB1254" s="47"/>
      <c r="AC1254" s="47"/>
      <c r="AD1254" s="47"/>
      <c r="AE1254" s="54"/>
      <c r="AF1254" s="54"/>
      <c r="AG1254" s="55"/>
      <c r="AH1254" s="54"/>
      <c r="AI1254" s="54"/>
      <c r="AJ1254" s="54"/>
      <c r="AK1254" s="54"/>
      <c r="AL1254" s="54"/>
      <c r="AM1254" s="54"/>
      <c r="AN1254" s="54"/>
      <c r="AO1254" s="54"/>
      <c r="AP1254" s="54"/>
      <c r="AQ1254" s="54"/>
      <c r="AR1254" s="54"/>
      <c r="AS1254" s="54"/>
      <c r="AT1254" s="54"/>
      <c r="AU1254" s="54"/>
      <c r="AV1254" s="54"/>
      <c r="AW1254" s="54"/>
      <c r="AX1254" s="54"/>
      <c r="AY1254" s="54"/>
      <c r="AZ1254" s="54"/>
      <c r="BA1254" s="54"/>
      <c r="BB1254" s="54"/>
      <c r="BC1254" s="56"/>
      <c r="BD1254" s="51"/>
      <c r="BE1254" s="54"/>
      <c r="BF1254" s="54"/>
      <c r="BG1254" s="47"/>
      <c r="BH1254" s="48"/>
      <c r="BI1254" s="48"/>
      <c r="BJ1254" s="48"/>
      <c r="BK1254" s="48"/>
      <c r="BL1254" s="48"/>
      <c r="BM1254" s="48"/>
      <c r="BN1254" s="48"/>
      <c r="BO1254" s="48"/>
      <c r="BP1254" s="48"/>
      <c r="BQ1254" s="48"/>
      <c r="BR1254" s="48"/>
      <c r="BS1254" s="48"/>
      <c r="BT1254" s="48"/>
      <c r="BU1254" s="48"/>
      <c r="BV1254" s="48"/>
      <c r="BW1254" s="48"/>
      <c r="BX1254" s="48"/>
      <c r="BY1254" s="48"/>
      <c r="BZ1254" s="48"/>
      <c r="CA1254" s="48"/>
      <c r="CB1254" s="48"/>
      <c r="CC1254" s="48"/>
      <c r="CD1254" s="48"/>
      <c r="CE1254" s="48"/>
      <c r="CF1254" s="52"/>
      <c r="CG1254" s="52"/>
      <c r="CH1254" s="48"/>
      <c r="CI1254" s="48"/>
      <c r="CJ1254" s="48"/>
      <c r="CK1254" s="48"/>
    </row>
    <row r="1255" spans="1:89" ht="15.75" customHeight="1" x14ac:dyDescent="0.3">
      <c r="A1255" s="47"/>
      <c r="B1255" s="48"/>
      <c r="C1255" s="47"/>
      <c r="D1255" s="48"/>
      <c r="E1255" s="48"/>
      <c r="F1255" s="48"/>
      <c r="G1255" s="48"/>
      <c r="H1255" s="48"/>
      <c r="I1255" s="49"/>
      <c r="J1255" s="47"/>
      <c r="K1255" s="47"/>
      <c r="L1255" s="47"/>
      <c r="M1255" s="47"/>
      <c r="N1255" s="47"/>
      <c r="O1255" s="47"/>
      <c r="P1255" s="47"/>
      <c r="Q1255" s="47"/>
      <c r="R1255" s="47"/>
      <c r="S1255" s="50"/>
      <c r="T1255" s="47"/>
      <c r="U1255" s="47"/>
      <c r="V1255" s="47"/>
      <c r="W1255" s="51"/>
      <c r="X1255" s="51"/>
      <c r="Y1255" s="47"/>
      <c r="Z1255" s="47"/>
      <c r="AA1255" s="47"/>
      <c r="AB1255" s="47"/>
      <c r="AC1255" s="47"/>
      <c r="AD1255" s="47"/>
      <c r="AE1255" s="54"/>
      <c r="AF1255" s="54"/>
      <c r="AG1255" s="55"/>
      <c r="AH1255" s="54"/>
      <c r="AI1255" s="54"/>
      <c r="AJ1255" s="54"/>
      <c r="AK1255" s="54"/>
      <c r="AL1255" s="54"/>
      <c r="AM1255" s="54"/>
      <c r="AN1255" s="54"/>
      <c r="AO1255" s="54"/>
      <c r="AP1255" s="54"/>
      <c r="AQ1255" s="54"/>
      <c r="AR1255" s="54"/>
      <c r="AS1255" s="54"/>
      <c r="AT1255" s="54"/>
      <c r="AU1255" s="54"/>
      <c r="AV1255" s="54"/>
      <c r="AW1255" s="54"/>
      <c r="AX1255" s="54"/>
      <c r="AY1255" s="54"/>
      <c r="AZ1255" s="54"/>
      <c r="BA1255" s="54"/>
      <c r="BB1255" s="54"/>
      <c r="BC1255" s="56"/>
      <c r="BD1255" s="51"/>
      <c r="BE1255" s="54"/>
      <c r="BF1255" s="54"/>
      <c r="BG1255" s="47"/>
      <c r="BH1255" s="48"/>
      <c r="BI1255" s="48"/>
      <c r="BJ1255" s="48"/>
      <c r="BK1255" s="48"/>
      <c r="BL1255" s="48"/>
      <c r="BM1255" s="48"/>
      <c r="BN1255" s="48"/>
      <c r="BO1255" s="48"/>
      <c r="BP1255" s="48"/>
      <c r="BQ1255" s="48"/>
      <c r="BR1255" s="48"/>
      <c r="BS1255" s="48"/>
      <c r="BT1255" s="48"/>
      <c r="BU1255" s="48"/>
      <c r="BV1255" s="48"/>
      <c r="BW1255" s="48"/>
      <c r="BX1255" s="48"/>
      <c r="BY1255" s="48"/>
      <c r="BZ1255" s="48"/>
      <c r="CA1255" s="48"/>
      <c r="CB1255" s="48"/>
      <c r="CC1255" s="48"/>
      <c r="CD1255" s="48"/>
      <c r="CE1255" s="48"/>
      <c r="CF1255" s="52"/>
      <c r="CG1255" s="52"/>
      <c r="CH1255" s="48"/>
      <c r="CI1255" s="48"/>
      <c r="CJ1255" s="48"/>
      <c r="CK1255" s="48"/>
    </row>
    <row r="1256" spans="1:89" ht="15.75" customHeight="1" x14ac:dyDescent="0.3">
      <c r="A1256" s="47"/>
      <c r="B1256" s="48"/>
      <c r="C1256" s="47"/>
      <c r="D1256" s="48"/>
      <c r="E1256" s="48"/>
      <c r="F1256" s="48"/>
      <c r="G1256" s="48"/>
      <c r="H1256" s="48"/>
      <c r="I1256" s="49"/>
      <c r="J1256" s="47"/>
      <c r="K1256" s="47"/>
      <c r="L1256" s="47"/>
      <c r="M1256" s="47"/>
      <c r="N1256" s="47"/>
      <c r="O1256" s="47"/>
      <c r="P1256" s="47"/>
      <c r="Q1256" s="47"/>
      <c r="R1256" s="47"/>
      <c r="S1256" s="50"/>
      <c r="T1256" s="47"/>
      <c r="U1256" s="47"/>
      <c r="V1256" s="47"/>
      <c r="W1256" s="51"/>
      <c r="X1256" s="51"/>
      <c r="Y1256" s="47"/>
      <c r="Z1256" s="47"/>
      <c r="AA1256" s="47"/>
      <c r="AB1256" s="47"/>
      <c r="AC1256" s="47"/>
      <c r="AD1256" s="47"/>
      <c r="AE1256" s="54"/>
      <c r="AF1256" s="54"/>
      <c r="AG1256" s="55"/>
      <c r="AH1256" s="54"/>
      <c r="AI1256" s="54"/>
      <c r="AJ1256" s="54"/>
      <c r="AK1256" s="54"/>
      <c r="AL1256" s="54"/>
      <c r="AM1256" s="54"/>
      <c r="AN1256" s="54"/>
      <c r="AO1256" s="54"/>
      <c r="AP1256" s="54"/>
      <c r="AQ1256" s="54"/>
      <c r="AR1256" s="54"/>
      <c r="AS1256" s="54"/>
      <c r="AT1256" s="54"/>
      <c r="AU1256" s="54"/>
      <c r="AV1256" s="54"/>
      <c r="AW1256" s="54"/>
      <c r="AX1256" s="54"/>
      <c r="AY1256" s="54"/>
      <c r="AZ1256" s="54"/>
      <c r="BA1256" s="54"/>
      <c r="BB1256" s="54"/>
      <c r="BC1256" s="56"/>
      <c r="BD1256" s="51"/>
      <c r="BE1256" s="54"/>
      <c r="BF1256" s="54"/>
      <c r="BG1256" s="47"/>
      <c r="BH1256" s="48"/>
      <c r="BI1256" s="48"/>
      <c r="BJ1256" s="48"/>
      <c r="BK1256" s="48"/>
      <c r="BL1256" s="48"/>
      <c r="BM1256" s="48"/>
      <c r="BN1256" s="48"/>
      <c r="BO1256" s="48"/>
      <c r="BP1256" s="48"/>
      <c r="BQ1256" s="48"/>
      <c r="BR1256" s="48"/>
      <c r="BS1256" s="48"/>
      <c r="BT1256" s="48"/>
      <c r="BU1256" s="48"/>
      <c r="BV1256" s="48"/>
      <c r="BW1256" s="48"/>
      <c r="BX1256" s="48"/>
      <c r="BY1256" s="48"/>
      <c r="BZ1256" s="48"/>
      <c r="CA1256" s="48"/>
      <c r="CB1256" s="48"/>
      <c r="CC1256" s="48"/>
      <c r="CD1256" s="48"/>
      <c r="CE1256" s="48"/>
      <c r="CF1256" s="52"/>
      <c r="CG1256" s="52"/>
      <c r="CH1256" s="48"/>
      <c r="CI1256" s="48"/>
      <c r="CJ1256" s="48"/>
      <c r="CK1256" s="48"/>
    </row>
    <row r="1257" spans="1:89" ht="15.75" customHeight="1" x14ac:dyDescent="0.3">
      <c r="A1257" s="47"/>
      <c r="B1257" s="48"/>
      <c r="C1257" s="47"/>
      <c r="D1257" s="48"/>
      <c r="E1257" s="48"/>
      <c r="F1257" s="48"/>
      <c r="G1257" s="48"/>
      <c r="H1257" s="48"/>
      <c r="I1257" s="49"/>
      <c r="J1257" s="47"/>
      <c r="K1257" s="47"/>
      <c r="L1257" s="47"/>
      <c r="M1257" s="47"/>
      <c r="N1257" s="47"/>
      <c r="O1257" s="47"/>
      <c r="P1257" s="47"/>
      <c r="Q1257" s="47"/>
      <c r="R1257" s="47"/>
      <c r="S1257" s="50"/>
      <c r="T1257" s="47"/>
      <c r="U1257" s="47"/>
      <c r="V1257" s="47"/>
      <c r="W1257" s="51"/>
      <c r="X1257" s="51"/>
      <c r="Y1257" s="47"/>
      <c r="Z1257" s="47"/>
      <c r="AA1257" s="47"/>
      <c r="AB1257" s="47"/>
      <c r="AC1257" s="47"/>
      <c r="AD1257" s="47"/>
      <c r="AE1257" s="54"/>
      <c r="AF1257" s="54"/>
      <c r="AG1257" s="55"/>
      <c r="AH1257" s="54"/>
      <c r="AI1257" s="54"/>
      <c r="AJ1257" s="54"/>
      <c r="AK1257" s="54"/>
      <c r="AL1257" s="54"/>
      <c r="AM1257" s="54"/>
      <c r="AN1257" s="54"/>
      <c r="AO1257" s="54"/>
      <c r="AP1257" s="54"/>
      <c r="AQ1257" s="54"/>
      <c r="AR1257" s="54"/>
      <c r="AS1257" s="54"/>
      <c r="AT1257" s="54"/>
      <c r="AU1257" s="54"/>
      <c r="AV1257" s="54"/>
      <c r="AW1257" s="54"/>
      <c r="AX1257" s="54"/>
      <c r="AY1257" s="54"/>
      <c r="AZ1257" s="54"/>
      <c r="BA1257" s="54"/>
      <c r="BB1257" s="54"/>
      <c r="BC1257" s="56"/>
      <c r="BD1257" s="51"/>
      <c r="BE1257" s="54"/>
      <c r="BF1257" s="54"/>
      <c r="BG1257" s="47"/>
      <c r="BH1257" s="48"/>
      <c r="BI1257" s="48"/>
      <c r="BJ1257" s="48"/>
      <c r="BK1257" s="48"/>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52"/>
      <c r="CG1257" s="52"/>
      <c r="CH1257" s="48"/>
      <c r="CI1257" s="48"/>
      <c r="CJ1257" s="48"/>
      <c r="CK1257" s="48"/>
    </row>
    <row r="1258" spans="1:89" ht="15.75" customHeight="1" x14ac:dyDescent="0.3">
      <c r="A1258" s="47"/>
      <c r="B1258" s="48"/>
      <c r="C1258" s="47"/>
      <c r="D1258" s="48"/>
      <c r="E1258" s="48"/>
      <c r="F1258" s="48"/>
      <c r="G1258" s="48"/>
      <c r="H1258" s="48"/>
      <c r="I1258" s="49"/>
      <c r="J1258" s="47"/>
      <c r="K1258" s="47"/>
      <c r="L1258" s="47"/>
      <c r="M1258" s="47"/>
      <c r="N1258" s="47"/>
      <c r="O1258" s="47"/>
      <c r="P1258" s="47"/>
      <c r="Q1258" s="47"/>
      <c r="R1258" s="47"/>
      <c r="S1258" s="50"/>
      <c r="T1258" s="47"/>
      <c r="U1258" s="47"/>
      <c r="V1258" s="47"/>
      <c r="W1258" s="51"/>
      <c r="X1258" s="51"/>
      <c r="Y1258" s="47"/>
      <c r="Z1258" s="47"/>
      <c r="AA1258" s="47"/>
      <c r="AB1258" s="47"/>
      <c r="AC1258" s="47"/>
      <c r="AD1258" s="47"/>
      <c r="AE1258" s="54"/>
      <c r="AF1258" s="54"/>
      <c r="AG1258" s="55"/>
      <c r="AH1258" s="54"/>
      <c r="AI1258" s="54"/>
      <c r="AJ1258" s="54"/>
      <c r="AK1258" s="54"/>
      <c r="AL1258" s="54"/>
      <c r="AM1258" s="54"/>
      <c r="AN1258" s="54"/>
      <c r="AO1258" s="54"/>
      <c r="AP1258" s="54"/>
      <c r="AQ1258" s="54"/>
      <c r="AR1258" s="54"/>
      <c r="AS1258" s="54"/>
      <c r="AT1258" s="54"/>
      <c r="AU1258" s="54"/>
      <c r="AV1258" s="54"/>
      <c r="AW1258" s="54"/>
      <c r="AX1258" s="54"/>
      <c r="AY1258" s="54"/>
      <c r="AZ1258" s="54"/>
      <c r="BA1258" s="54"/>
      <c r="BB1258" s="54"/>
      <c r="BC1258" s="56"/>
      <c r="BD1258" s="51"/>
      <c r="BE1258" s="54"/>
      <c r="BF1258" s="54"/>
      <c r="BG1258" s="47"/>
      <c r="BH1258" s="48"/>
      <c r="BI1258" s="48"/>
      <c r="BJ1258" s="48"/>
      <c r="BK1258" s="48"/>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52"/>
      <c r="CG1258" s="52"/>
      <c r="CH1258" s="48"/>
      <c r="CI1258" s="48"/>
      <c r="CJ1258" s="48"/>
      <c r="CK1258" s="48"/>
    </row>
    <row r="1259" spans="1:89" ht="15.75" customHeight="1" x14ac:dyDescent="0.3">
      <c r="A1259" s="47"/>
      <c r="B1259" s="48"/>
      <c r="C1259" s="47"/>
      <c r="D1259" s="48"/>
      <c r="E1259" s="48"/>
      <c r="F1259" s="48"/>
      <c r="G1259" s="48"/>
      <c r="H1259" s="48"/>
      <c r="I1259" s="49"/>
      <c r="J1259" s="47"/>
      <c r="K1259" s="47"/>
      <c r="L1259" s="47"/>
      <c r="M1259" s="47"/>
      <c r="N1259" s="47"/>
      <c r="O1259" s="47"/>
      <c r="P1259" s="47"/>
      <c r="Q1259" s="47"/>
      <c r="R1259" s="47"/>
      <c r="S1259" s="50"/>
      <c r="T1259" s="47"/>
      <c r="U1259" s="47"/>
      <c r="V1259" s="47"/>
      <c r="W1259" s="51"/>
      <c r="X1259" s="51"/>
      <c r="Y1259" s="47"/>
      <c r="Z1259" s="47"/>
      <c r="AA1259" s="47"/>
      <c r="AB1259" s="47"/>
      <c r="AC1259" s="47"/>
      <c r="AD1259" s="47"/>
      <c r="AE1259" s="54"/>
      <c r="AF1259" s="54"/>
      <c r="AG1259" s="55"/>
      <c r="AH1259" s="54"/>
      <c r="AI1259" s="54"/>
      <c r="AJ1259" s="54"/>
      <c r="AK1259" s="54"/>
      <c r="AL1259" s="54"/>
      <c r="AM1259" s="54"/>
      <c r="AN1259" s="54"/>
      <c r="AO1259" s="54"/>
      <c r="AP1259" s="54"/>
      <c r="AQ1259" s="54"/>
      <c r="AR1259" s="54"/>
      <c r="AS1259" s="54"/>
      <c r="AT1259" s="54"/>
      <c r="AU1259" s="54"/>
      <c r="AV1259" s="54"/>
      <c r="AW1259" s="54"/>
      <c r="AX1259" s="54"/>
      <c r="AY1259" s="54"/>
      <c r="AZ1259" s="54"/>
      <c r="BA1259" s="54"/>
      <c r="BB1259" s="54"/>
      <c r="BC1259" s="56"/>
      <c r="BD1259" s="51"/>
      <c r="BE1259" s="54"/>
      <c r="BF1259" s="54"/>
      <c r="BG1259" s="47"/>
      <c r="BH1259" s="48"/>
      <c r="BI1259" s="48"/>
      <c r="BJ1259" s="48"/>
      <c r="BK1259" s="48"/>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52"/>
      <c r="CG1259" s="52"/>
      <c r="CH1259" s="48"/>
      <c r="CI1259" s="48"/>
      <c r="CJ1259" s="48"/>
      <c r="CK1259" s="48"/>
    </row>
    <row r="1260" spans="1:89" ht="15.75" customHeight="1" x14ac:dyDescent="0.3">
      <c r="A1260" s="47"/>
      <c r="B1260" s="48"/>
      <c r="C1260" s="47"/>
      <c r="D1260" s="48"/>
      <c r="E1260" s="48"/>
      <c r="F1260" s="48"/>
      <c r="G1260" s="48"/>
      <c r="H1260" s="48"/>
      <c r="I1260" s="49"/>
      <c r="J1260" s="47"/>
      <c r="K1260" s="47"/>
      <c r="L1260" s="47"/>
      <c r="M1260" s="47"/>
      <c r="N1260" s="47"/>
      <c r="O1260" s="47"/>
      <c r="P1260" s="47"/>
      <c r="Q1260" s="47"/>
      <c r="R1260" s="47"/>
      <c r="S1260" s="50"/>
      <c r="T1260" s="47"/>
      <c r="U1260" s="47"/>
      <c r="V1260" s="47"/>
      <c r="W1260" s="51"/>
      <c r="X1260" s="51"/>
      <c r="Y1260" s="47"/>
      <c r="Z1260" s="47"/>
      <c r="AA1260" s="47"/>
      <c r="AB1260" s="47"/>
      <c r="AC1260" s="47"/>
      <c r="AD1260" s="47"/>
      <c r="AE1260" s="54"/>
      <c r="AF1260" s="54"/>
      <c r="AG1260" s="55"/>
      <c r="AH1260" s="54"/>
      <c r="AI1260" s="54"/>
      <c r="AJ1260" s="54"/>
      <c r="AK1260" s="54"/>
      <c r="AL1260" s="54"/>
      <c r="AM1260" s="54"/>
      <c r="AN1260" s="54"/>
      <c r="AO1260" s="54"/>
      <c r="AP1260" s="54"/>
      <c r="AQ1260" s="54"/>
      <c r="AR1260" s="54"/>
      <c r="AS1260" s="54"/>
      <c r="AT1260" s="54"/>
      <c r="AU1260" s="54"/>
      <c r="AV1260" s="54"/>
      <c r="AW1260" s="54"/>
      <c r="AX1260" s="54"/>
      <c r="AY1260" s="54"/>
      <c r="AZ1260" s="54"/>
      <c r="BA1260" s="54"/>
      <c r="BB1260" s="54"/>
      <c r="BC1260" s="56"/>
      <c r="BD1260" s="51"/>
      <c r="BE1260" s="54"/>
      <c r="BF1260" s="54"/>
      <c r="BG1260" s="47"/>
      <c r="BH1260" s="48"/>
      <c r="BI1260" s="48"/>
      <c r="BJ1260" s="48"/>
      <c r="BK1260" s="48"/>
      <c r="BL1260" s="48"/>
      <c r="BM1260" s="48"/>
      <c r="BN1260" s="48"/>
      <c r="BO1260" s="48"/>
      <c r="BP1260" s="48"/>
      <c r="BQ1260" s="48"/>
      <c r="BR1260" s="48"/>
      <c r="BS1260" s="48"/>
      <c r="BT1260" s="48"/>
      <c r="BU1260" s="48"/>
      <c r="BV1260" s="48"/>
      <c r="BW1260" s="48"/>
      <c r="BX1260" s="48"/>
      <c r="BY1260" s="48"/>
      <c r="BZ1260" s="48"/>
      <c r="CA1260" s="48"/>
      <c r="CB1260" s="48"/>
      <c r="CC1260" s="48"/>
      <c r="CD1260" s="48"/>
      <c r="CE1260" s="48"/>
      <c r="CF1260" s="52"/>
      <c r="CG1260" s="52"/>
      <c r="CH1260" s="48"/>
      <c r="CI1260" s="48"/>
      <c r="CJ1260" s="48"/>
      <c r="CK1260" s="48"/>
    </row>
    <row r="1261" spans="1:89" ht="15.75" customHeight="1" x14ac:dyDescent="0.3">
      <c r="A1261" s="47"/>
      <c r="B1261" s="48"/>
      <c r="C1261" s="47"/>
      <c r="D1261" s="48"/>
      <c r="E1261" s="48"/>
      <c r="F1261" s="48"/>
      <c r="G1261" s="48"/>
      <c r="H1261" s="48"/>
      <c r="I1261" s="49"/>
      <c r="J1261" s="47"/>
      <c r="K1261" s="47"/>
      <c r="L1261" s="47"/>
      <c r="M1261" s="47"/>
      <c r="N1261" s="47"/>
      <c r="O1261" s="47"/>
      <c r="P1261" s="47"/>
      <c r="Q1261" s="47"/>
      <c r="R1261" s="47"/>
      <c r="S1261" s="50"/>
      <c r="T1261" s="47"/>
      <c r="U1261" s="47"/>
      <c r="V1261" s="47"/>
      <c r="W1261" s="51"/>
      <c r="X1261" s="51"/>
      <c r="Y1261" s="47"/>
      <c r="Z1261" s="47"/>
      <c r="AA1261" s="47"/>
      <c r="AB1261" s="47"/>
      <c r="AC1261" s="47"/>
      <c r="AD1261" s="47"/>
      <c r="AE1261" s="54"/>
      <c r="AF1261" s="54"/>
      <c r="AG1261" s="55"/>
      <c r="AH1261" s="54"/>
      <c r="AI1261" s="54"/>
      <c r="AJ1261" s="54"/>
      <c r="AK1261" s="54"/>
      <c r="AL1261" s="54"/>
      <c r="AM1261" s="54"/>
      <c r="AN1261" s="54"/>
      <c r="AO1261" s="54"/>
      <c r="AP1261" s="54"/>
      <c r="AQ1261" s="54"/>
      <c r="AR1261" s="54"/>
      <c r="AS1261" s="54"/>
      <c r="AT1261" s="54"/>
      <c r="AU1261" s="54"/>
      <c r="AV1261" s="54"/>
      <c r="AW1261" s="54"/>
      <c r="AX1261" s="54"/>
      <c r="AY1261" s="54"/>
      <c r="AZ1261" s="54"/>
      <c r="BA1261" s="54"/>
      <c r="BB1261" s="54"/>
      <c r="BC1261" s="56"/>
      <c r="BD1261" s="51"/>
      <c r="BE1261" s="54"/>
      <c r="BF1261" s="54"/>
      <c r="BG1261" s="47"/>
      <c r="BH1261" s="48"/>
      <c r="BI1261" s="48"/>
      <c r="BJ1261" s="48"/>
      <c r="BK1261" s="48"/>
      <c r="BL1261" s="48"/>
      <c r="BM1261" s="48"/>
      <c r="BN1261" s="48"/>
      <c r="BO1261" s="48"/>
      <c r="BP1261" s="48"/>
      <c r="BQ1261" s="48"/>
      <c r="BR1261" s="48"/>
      <c r="BS1261" s="48"/>
      <c r="BT1261" s="48"/>
      <c r="BU1261" s="48"/>
      <c r="BV1261" s="48"/>
      <c r="BW1261" s="48"/>
      <c r="BX1261" s="48"/>
      <c r="BY1261" s="48"/>
      <c r="BZ1261" s="48"/>
      <c r="CA1261" s="48"/>
      <c r="CB1261" s="48"/>
      <c r="CC1261" s="48"/>
      <c r="CD1261" s="48"/>
      <c r="CE1261" s="48"/>
      <c r="CF1261" s="52"/>
      <c r="CG1261" s="52"/>
      <c r="CH1261" s="48"/>
      <c r="CI1261" s="48"/>
      <c r="CJ1261" s="48"/>
      <c r="CK1261" s="48"/>
    </row>
    <row r="1262" spans="1:89" ht="15.75" customHeight="1" x14ac:dyDescent="0.3">
      <c r="A1262" s="47"/>
      <c r="B1262" s="48"/>
      <c r="C1262" s="47"/>
      <c r="D1262" s="48"/>
      <c r="E1262" s="48"/>
      <c r="F1262" s="48"/>
      <c r="G1262" s="48"/>
      <c r="H1262" s="48"/>
      <c r="I1262" s="49"/>
      <c r="J1262" s="47"/>
      <c r="K1262" s="47"/>
      <c r="L1262" s="47"/>
      <c r="M1262" s="47"/>
      <c r="N1262" s="47"/>
      <c r="O1262" s="47"/>
      <c r="P1262" s="47"/>
      <c r="Q1262" s="47"/>
      <c r="R1262" s="47"/>
      <c r="S1262" s="50"/>
      <c r="T1262" s="47"/>
      <c r="U1262" s="47"/>
      <c r="V1262" s="47"/>
      <c r="W1262" s="51"/>
      <c r="X1262" s="51"/>
      <c r="Y1262" s="47"/>
      <c r="Z1262" s="47"/>
      <c r="AA1262" s="47"/>
      <c r="AB1262" s="47"/>
      <c r="AC1262" s="47"/>
      <c r="AD1262" s="47"/>
      <c r="AE1262" s="54"/>
      <c r="AF1262" s="54"/>
      <c r="AG1262" s="55"/>
      <c r="AH1262" s="54"/>
      <c r="AI1262" s="54"/>
      <c r="AJ1262" s="54"/>
      <c r="AK1262" s="54"/>
      <c r="AL1262" s="54"/>
      <c r="AM1262" s="54"/>
      <c r="AN1262" s="54"/>
      <c r="AO1262" s="54"/>
      <c r="AP1262" s="54"/>
      <c r="AQ1262" s="54"/>
      <c r="AR1262" s="54"/>
      <c r="AS1262" s="54"/>
      <c r="AT1262" s="54"/>
      <c r="AU1262" s="54"/>
      <c r="AV1262" s="54"/>
      <c r="AW1262" s="54"/>
      <c r="AX1262" s="54"/>
      <c r="AY1262" s="54"/>
      <c r="AZ1262" s="54"/>
      <c r="BA1262" s="54"/>
      <c r="BB1262" s="54"/>
      <c r="BC1262" s="56"/>
      <c r="BD1262" s="51"/>
      <c r="BE1262" s="54"/>
      <c r="BF1262" s="54"/>
      <c r="BG1262" s="47"/>
      <c r="BH1262" s="48"/>
      <c r="BI1262" s="48"/>
      <c r="BJ1262" s="48"/>
      <c r="BK1262" s="48"/>
      <c r="BL1262" s="48"/>
      <c r="BM1262" s="48"/>
      <c r="BN1262" s="48"/>
      <c r="BO1262" s="48"/>
      <c r="BP1262" s="48"/>
      <c r="BQ1262" s="48"/>
      <c r="BR1262" s="48"/>
      <c r="BS1262" s="48"/>
      <c r="BT1262" s="48"/>
      <c r="BU1262" s="48"/>
      <c r="BV1262" s="48"/>
      <c r="BW1262" s="48"/>
      <c r="BX1262" s="48"/>
      <c r="BY1262" s="48"/>
      <c r="BZ1262" s="48"/>
      <c r="CA1262" s="48"/>
      <c r="CB1262" s="48"/>
      <c r="CC1262" s="48"/>
      <c r="CD1262" s="48"/>
      <c r="CE1262" s="48"/>
      <c r="CF1262" s="52"/>
      <c r="CG1262" s="52"/>
      <c r="CH1262" s="48"/>
      <c r="CI1262" s="48"/>
      <c r="CJ1262" s="48"/>
      <c r="CK1262" s="48"/>
    </row>
    <row r="1263" spans="1:89" ht="15.75" customHeight="1" x14ac:dyDescent="0.3">
      <c r="A1263" s="47"/>
      <c r="B1263" s="48"/>
      <c r="C1263" s="47"/>
      <c r="D1263" s="48"/>
      <c r="E1263" s="48"/>
      <c r="F1263" s="48"/>
      <c r="G1263" s="48"/>
      <c r="H1263" s="48"/>
      <c r="I1263" s="49"/>
      <c r="J1263" s="47"/>
      <c r="K1263" s="47"/>
      <c r="L1263" s="47"/>
      <c r="M1263" s="47"/>
      <c r="N1263" s="47"/>
      <c r="O1263" s="47"/>
      <c r="P1263" s="47"/>
      <c r="Q1263" s="47"/>
      <c r="R1263" s="47"/>
      <c r="S1263" s="50"/>
      <c r="T1263" s="47"/>
      <c r="U1263" s="47"/>
      <c r="V1263" s="47"/>
      <c r="W1263" s="51"/>
      <c r="X1263" s="51"/>
      <c r="Y1263" s="47"/>
      <c r="Z1263" s="47"/>
      <c r="AA1263" s="47"/>
      <c r="AB1263" s="47"/>
      <c r="AC1263" s="47"/>
      <c r="AD1263" s="47"/>
      <c r="AE1263" s="54"/>
      <c r="AF1263" s="54"/>
      <c r="AG1263" s="55"/>
      <c r="AH1263" s="54"/>
      <c r="AI1263" s="54"/>
      <c r="AJ1263" s="54"/>
      <c r="AK1263" s="54"/>
      <c r="AL1263" s="54"/>
      <c r="AM1263" s="54"/>
      <c r="AN1263" s="54"/>
      <c r="AO1263" s="54"/>
      <c r="AP1263" s="54"/>
      <c r="AQ1263" s="54"/>
      <c r="AR1263" s="54"/>
      <c r="AS1263" s="54"/>
      <c r="AT1263" s="54"/>
      <c r="AU1263" s="54"/>
      <c r="AV1263" s="54"/>
      <c r="AW1263" s="54"/>
      <c r="AX1263" s="54"/>
      <c r="AY1263" s="54"/>
      <c r="AZ1263" s="54"/>
      <c r="BA1263" s="54"/>
      <c r="BB1263" s="54"/>
      <c r="BC1263" s="56"/>
      <c r="BD1263" s="51"/>
      <c r="BE1263" s="54"/>
      <c r="BF1263" s="54"/>
      <c r="BG1263" s="47"/>
      <c r="BH1263" s="48"/>
      <c r="BI1263" s="48"/>
      <c r="BJ1263" s="48"/>
      <c r="BK1263" s="48"/>
      <c r="BL1263" s="48"/>
      <c r="BM1263" s="48"/>
      <c r="BN1263" s="48"/>
      <c r="BO1263" s="48"/>
      <c r="BP1263" s="48"/>
      <c r="BQ1263" s="48"/>
      <c r="BR1263" s="48"/>
      <c r="BS1263" s="48"/>
      <c r="BT1263" s="48"/>
      <c r="BU1263" s="48"/>
      <c r="BV1263" s="48"/>
      <c r="BW1263" s="48"/>
      <c r="BX1263" s="48"/>
      <c r="BY1263" s="48"/>
      <c r="BZ1263" s="48"/>
      <c r="CA1263" s="48"/>
      <c r="CB1263" s="48"/>
      <c r="CC1263" s="48"/>
      <c r="CD1263" s="48"/>
      <c r="CE1263" s="48"/>
      <c r="CF1263" s="52"/>
      <c r="CG1263" s="52"/>
      <c r="CH1263" s="48"/>
      <c r="CI1263" s="48"/>
      <c r="CJ1263" s="48"/>
      <c r="CK1263" s="48"/>
    </row>
    <row r="1264" spans="1:89" ht="15.75" customHeight="1" x14ac:dyDescent="0.3">
      <c r="A1264" s="47"/>
      <c r="B1264" s="48"/>
      <c r="C1264" s="47"/>
      <c r="D1264" s="48"/>
      <c r="E1264" s="48"/>
      <c r="F1264" s="48"/>
      <c r="G1264" s="48"/>
      <c r="H1264" s="48"/>
      <c r="I1264" s="49"/>
      <c r="J1264" s="47"/>
      <c r="K1264" s="47"/>
      <c r="L1264" s="47"/>
      <c r="M1264" s="47"/>
      <c r="N1264" s="47"/>
      <c r="O1264" s="47"/>
      <c r="P1264" s="47"/>
      <c r="Q1264" s="47"/>
      <c r="R1264" s="47"/>
      <c r="S1264" s="50"/>
      <c r="T1264" s="47"/>
      <c r="U1264" s="47"/>
      <c r="V1264" s="47"/>
      <c r="W1264" s="51"/>
      <c r="X1264" s="51"/>
      <c r="Y1264" s="47"/>
      <c r="Z1264" s="47"/>
      <c r="AA1264" s="47"/>
      <c r="AB1264" s="47"/>
      <c r="AC1264" s="47"/>
      <c r="AD1264" s="47"/>
      <c r="AE1264" s="54"/>
      <c r="AF1264" s="54"/>
      <c r="AG1264" s="55"/>
      <c r="AH1264" s="54"/>
      <c r="AI1264" s="54"/>
      <c r="AJ1264" s="54"/>
      <c r="AK1264" s="54"/>
      <c r="AL1264" s="54"/>
      <c r="AM1264" s="54"/>
      <c r="AN1264" s="54"/>
      <c r="AO1264" s="54"/>
      <c r="AP1264" s="54"/>
      <c r="AQ1264" s="54"/>
      <c r="AR1264" s="54"/>
      <c r="AS1264" s="54"/>
      <c r="AT1264" s="54"/>
      <c r="AU1264" s="54"/>
      <c r="AV1264" s="54"/>
      <c r="AW1264" s="54"/>
      <c r="AX1264" s="54"/>
      <c r="AY1264" s="54"/>
      <c r="AZ1264" s="54"/>
      <c r="BA1264" s="54"/>
      <c r="BB1264" s="54"/>
      <c r="BC1264" s="56"/>
      <c r="BD1264" s="51"/>
      <c r="BE1264" s="54"/>
      <c r="BF1264" s="54"/>
      <c r="BG1264" s="47"/>
      <c r="BH1264" s="48"/>
      <c r="BI1264" s="48"/>
      <c r="BJ1264" s="48"/>
      <c r="BK1264" s="48"/>
      <c r="BL1264" s="48"/>
      <c r="BM1264" s="48"/>
      <c r="BN1264" s="48"/>
      <c r="BO1264" s="48"/>
      <c r="BP1264" s="48"/>
      <c r="BQ1264" s="48"/>
      <c r="BR1264" s="48"/>
      <c r="BS1264" s="48"/>
      <c r="BT1264" s="48"/>
      <c r="BU1264" s="48"/>
      <c r="BV1264" s="48"/>
      <c r="BW1264" s="48"/>
      <c r="BX1264" s="48"/>
      <c r="BY1264" s="48"/>
      <c r="BZ1264" s="48"/>
      <c r="CA1264" s="48"/>
      <c r="CB1264" s="48"/>
      <c r="CC1264" s="48"/>
      <c r="CD1264" s="48"/>
      <c r="CE1264" s="48"/>
      <c r="CF1264" s="52"/>
      <c r="CG1264" s="52"/>
      <c r="CH1264" s="48"/>
      <c r="CI1264" s="48"/>
      <c r="CJ1264" s="48"/>
      <c r="CK1264" s="48"/>
    </row>
    <row r="1265" spans="1:89" ht="15.75" customHeight="1" x14ac:dyDescent="0.3">
      <c r="A1265" s="47"/>
      <c r="B1265" s="48"/>
      <c r="C1265" s="47"/>
      <c r="D1265" s="48"/>
      <c r="E1265" s="48"/>
      <c r="F1265" s="48"/>
      <c r="G1265" s="48"/>
      <c r="H1265" s="48"/>
      <c r="I1265" s="49"/>
      <c r="J1265" s="47"/>
      <c r="K1265" s="47"/>
      <c r="L1265" s="47"/>
      <c r="M1265" s="47"/>
      <c r="N1265" s="47"/>
      <c r="O1265" s="47"/>
      <c r="P1265" s="47"/>
      <c r="Q1265" s="47"/>
      <c r="R1265" s="47"/>
      <c r="S1265" s="50"/>
      <c r="T1265" s="47"/>
      <c r="U1265" s="47"/>
      <c r="V1265" s="47"/>
      <c r="W1265" s="51"/>
      <c r="X1265" s="51"/>
      <c r="Y1265" s="47"/>
      <c r="Z1265" s="47"/>
      <c r="AA1265" s="47"/>
      <c r="AB1265" s="47"/>
      <c r="AC1265" s="47"/>
      <c r="AD1265" s="47"/>
      <c r="AE1265" s="54"/>
      <c r="AF1265" s="54"/>
      <c r="AG1265" s="55"/>
      <c r="AH1265" s="54"/>
      <c r="AI1265" s="54"/>
      <c r="AJ1265" s="54"/>
      <c r="AK1265" s="54"/>
      <c r="AL1265" s="54"/>
      <c r="AM1265" s="54"/>
      <c r="AN1265" s="54"/>
      <c r="AO1265" s="54"/>
      <c r="AP1265" s="54"/>
      <c r="AQ1265" s="54"/>
      <c r="AR1265" s="54"/>
      <c r="AS1265" s="54"/>
      <c r="AT1265" s="54"/>
      <c r="AU1265" s="54"/>
      <c r="AV1265" s="54"/>
      <c r="AW1265" s="54"/>
      <c r="AX1265" s="54"/>
      <c r="AY1265" s="54"/>
      <c r="AZ1265" s="54"/>
      <c r="BA1265" s="54"/>
      <c r="BB1265" s="54"/>
      <c r="BC1265" s="56"/>
      <c r="BD1265" s="51"/>
      <c r="BE1265" s="54"/>
      <c r="BF1265" s="54"/>
      <c r="BG1265" s="47"/>
      <c r="BH1265" s="48"/>
      <c r="BI1265" s="48"/>
      <c r="BJ1265" s="48"/>
      <c r="BK1265" s="48"/>
      <c r="BL1265" s="48"/>
      <c r="BM1265" s="48"/>
      <c r="BN1265" s="48"/>
      <c r="BO1265" s="48"/>
      <c r="BP1265" s="48"/>
      <c r="BQ1265" s="48"/>
      <c r="BR1265" s="48"/>
      <c r="BS1265" s="48"/>
      <c r="BT1265" s="48"/>
      <c r="BU1265" s="48"/>
      <c r="BV1265" s="48"/>
      <c r="BW1265" s="48"/>
      <c r="BX1265" s="48"/>
      <c r="BY1265" s="48"/>
      <c r="BZ1265" s="48"/>
      <c r="CA1265" s="48"/>
      <c r="CB1265" s="48"/>
      <c r="CC1265" s="48"/>
      <c r="CD1265" s="48"/>
      <c r="CE1265" s="48"/>
      <c r="CF1265" s="52"/>
      <c r="CG1265" s="52"/>
      <c r="CH1265" s="48"/>
      <c r="CI1265" s="48"/>
      <c r="CJ1265" s="48"/>
      <c r="CK1265" s="48"/>
    </row>
    <row r="1266" spans="1:89" ht="15.75" customHeight="1" x14ac:dyDescent="0.3">
      <c r="A1266" s="47"/>
      <c r="B1266" s="48"/>
      <c r="C1266" s="47"/>
      <c r="D1266" s="48"/>
      <c r="E1266" s="48"/>
      <c r="F1266" s="48"/>
      <c r="G1266" s="48"/>
      <c r="H1266" s="48"/>
      <c r="I1266" s="49"/>
      <c r="J1266" s="47"/>
      <c r="K1266" s="47"/>
      <c r="L1266" s="47"/>
      <c r="M1266" s="47"/>
      <c r="N1266" s="47"/>
      <c r="O1266" s="47"/>
      <c r="P1266" s="47"/>
      <c r="Q1266" s="47"/>
      <c r="R1266" s="47"/>
      <c r="S1266" s="50"/>
      <c r="T1266" s="47"/>
      <c r="U1266" s="47"/>
      <c r="V1266" s="47"/>
      <c r="W1266" s="51"/>
      <c r="X1266" s="51"/>
      <c r="Y1266" s="47"/>
      <c r="Z1266" s="47"/>
      <c r="AA1266" s="47"/>
      <c r="AB1266" s="47"/>
      <c r="AC1266" s="47"/>
      <c r="AD1266" s="47"/>
      <c r="AE1266" s="54"/>
      <c r="AF1266" s="54"/>
      <c r="AG1266" s="55"/>
      <c r="AH1266" s="54"/>
      <c r="AI1266" s="54"/>
      <c r="AJ1266" s="54"/>
      <c r="AK1266" s="54"/>
      <c r="AL1266" s="54"/>
      <c r="AM1266" s="54"/>
      <c r="AN1266" s="54"/>
      <c r="AO1266" s="54"/>
      <c r="AP1266" s="54"/>
      <c r="AQ1266" s="54"/>
      <c r="AR1266" s="54"/>
      <c r="AS1266" s="54"/>
      <c r="AT1266" s="54"/>
      <c r="AU1266" s="54"/>
      <c r="AV1266" s="54"/>
      <c r="AW1266" s="54"/>
      <c r="AX1266" s="54"/>
      <c r="AY1266" s="54"/>
      <c r="AZ1266" s="54"/>
      <c r="BA1266" s="54"/>
      <c r="BB1266" s="54"/>
      <c r="BC1266" s="56"/>
      <c r="BD1266" s="51"/>
      <c r="BE1266" s="54"/>
      <c r="BF1266" s="54"/>
      <c r="BG1266" s="47"/>
      <c r="BH1266" s="48"/>
      <c r="BI1266" s="48"/>
      <c r="BJ1266" s="48"/>
      <c r="BK1266" s="48"/>
      <c r="BL1266" s="48"/>
      <c r="BM1266" s="48"/>
      <c r="BN1266" s="48"/>
      <c r="BO1266" s="48"/>
      <c r="BP1266" s="48"/>
      <c r="BQ1266" s="48"/>
      <c r="BR1266" s="48"/>
      <c r="BS1266" s="48"/>
      <c r="BT1266" s="48"/>
      <c r="BU1266" s="48"/>
      <c r="BV1266" s="48"/>
      <c r="BW1266" s="48"/>
      <c r="BX1266" s="48"/>
      <c r="BY1266" s="48"/>
      <c r="BZ1266" s="48"/>
      <c r="CA1266" s="48"/>
      <c r="CB1266" s="48"/>
      <c r="CC1266" s="48"/>
      <c r="CD1266" s="48"/>
      <c r="CE1266" s="48"/>
      <c r="CF1266" s="52"/>
      <c r="CG1266" s="52"/>
      <c r="CH1266" s="48"/>
      <c r="CI1266" s="48"/>
      <c r="CJ1266" s="48"/>
      <c r="CK1266" s="48"/>
    </row>
    <row r="1267" spans="1:89" ht="15.75" customHeight="1" x14ac:dyDescent="0.3">
      <c r="A1267" s="47"/>
      <c r="B1267" s="48"/>
      <c r="C1267" s="47"/>
      <c r="D1267" s="48"/>
      <c r="E1267" s="48"/>
      <c r="F1267" s="48"/>
      <c r="G1267" s="48"/>
      <c r="H1267" s="48"/>
      <c r="I1267" s="49"/>
      <c r="J1267" s="47"/>
      <c r="K1267" s="47"/>
      <c r="L1267" s="47"/>
      <c r="M1267" s="47"/>
      <c r="N1267" s="47"/>
      <c r="O1267" s="47"/>
      <c r="P1267" s="47"/>
      <c r="Q1267" s="47"/>
      <c r="R1267" s="47"/>
      <c r="S1267" s="50"/>
      <c r="T1267" s="47"/>
      <c r="U1267" s="47"/>
      <c r="V1267" s="47"/>
      <c r="W1267" s="51"/>
      <c r="X1267" s="51"/>
      <c r="Y1267" s="47"/>
      <c r="Z1267" s="47"/>
      <c r="AA1267" s="47"/>
      <c r="AB1267" s="47"/>
      <c r="AC1267" s="47"/>
      <c r="AD1267" s="47"/>
      <c r="AE1267" s="54"/>
      <c r="AF1267" s="54"/>
      <c r="AG1267" s="55"/>
      <c r="AH1267" s="54"/>
      <c r="AI1267" s="54"/>
      <c r="AJ1267" s="54"/>
      <c r="AK1267" s="54"/>
      <c r="AL1267" s="54"/>
      <c r="AM1267" s="54"/>
      <c r="AN1267" s="54"/>
      <c r="AO1267" s="54"/>
      <c r="AP1267" s="54"/>
      <c r="AQ1267" s="54"/>
      <c r="AR1267" s="54"/>
      <c r="AS1267" s="54"/>
      <c r="AT1267" s="54"/>
      <c r="AU1267" s="54"/>
      <c r="AV1267" s="54"/>
      <c r="AW1267" s="54"/>
      <c r="AX1267" s="54"/>
      <c r="AY1267" s="54"/>
      <c r="AZ1267" s="54"/>
      <c r="BA1267" s="54"/>
      <c r="BB1267" s="54"/>
      <c r="BC1267" s="56"/>
      <c r="BD1267" s="51"/>
      <c r="BE1267" s="54"/>
      <c r="BF1267" s="54"/>
      <c r="BG1267" s="47"/>
      <c r="BH1267" s="48"/>
      <c r="BI1267" s="48"/>
      <c r="BJ1267" s="48"/>
      <c r="BK1267" s="48"/>
      <c r="BL1267" s="48"/>
      <c r="BM1267" s="48"/>
      <c r="BN1267" s="48"/>
      <c r="BO1267" s="48"/>
      <c r="BP1267" s="48"/>
      <c r="BQ1267" s="48"/>
      <c r="BR1267" s="48"/>
      <c r="BS1267" s="48"/>
      <c r="BT1267" s="48"/>
      <c r="BU1267" s="48"/>
      <c r="BV1267" s="48"/>
      <c r="BW1267" s="48"/>
      <c r="BX1267" s="48"/>
      <c r="BY1267" s="48"/>
      <c r="BZ1267" s="48"/>
      <c r="CA1267" s="48"/>
      <c r="CB1267" s="48"/>
      <c r="CC1267" s="48"/>
      <c r="CD1267" s="48"/>
      <c r="CE1267" s="48"/>
      <c r="CF1267" s="52"/>
      <c r="CG1267" s="52"/>
      <c r="CH1267" s="48"/>
      <c r="CI1267" s="48"/>
      <c r="CJ1267" s="48"/>
      <c r="CK1267" s="48"/>
    </row>
    <row r="1268" spans="1:89" ht="15.75" customHeight="1" x14ac:dyDescent="0.3">
      <c r="A1268" s="47"/>
      <c r="B1268" s="48"/>
      <c r="C1268" s="47"/>
      <c r="D1268" s="48"/>
      <c r="E1268" s="48"/>
      <c r="F1268" s="48"/>
      <c r="G1268" s="48"/>
      <c r="H1268" s="48"/>
      <c r="I1268" s="49"/>
      <c r="J1268" s="47"/>
      <c r="K1268" s="47"/>
      <c r="L1268" s="47"/>
      <c r="M1268" s="47"/>
      <c r="N1268" s="47"/>
      <c r="O1268" s="47"/>
      <c r="P1268" s="47"/>
      <c r="Q1268" s="47"/>
      <c r="R1268" s="47"/>
      <c r="S1268" s="50"/>
      <c r="T1268" s="47"/>
      <c r="U1268" s="47"/>
      <c r="V1268" s="47"/>
      <c r="W1268" s="51"/>
      <c r="X1268" s="51"/>
      <c r="Y1268" s="47"/>
      <c r="Z1268" s="47"/>
      <c r="AA1268" s="47"/>
      <c r="AB1268" s="47"/>
      <c r="AC1268" s="47"/>
      <c r="AD1268" s="47"/>
      <c r="AE1268" s="54"/>
      <c r="AF1268" s="54"/>
      <c r="AG1268" s="55"/>
      <c r="AH1268" s="54"/>
      <c r="AI1268" s="54"/>
      <c r="AJ1268" s="54"/>
      <c r="AK1268" s="54"/>
      <c r="AL1268" s="54"/>
      <c r="AM1268" s="54"/>
      <c r="AN1268" s="54"/>
      <c r="AO1268" s="54"/>
      <c r="AP1268" s="54"/>
      <c r="AQ1268" s="54"/>
      <c r="AR1268" s="54"/>
      <c r="AS1268" s="54"/>
      <c r="AT1268" s="54"/>
      <c r="AU1268" s="54"/>
      <c r="AV1268" s="54"/>
      <c r="AW1268" s="54"/>
      <c r="AX1268" s="54"/>
      <c r="AY1268" s="54"/>
      <c r="AZ1268" s="54"/>
      <c r="BA1268" s="54"/>
      <c r="BB1268" s="54"/>
      <c r="BC1268" s="56"/>
      <c r="BD1268" s="51"/>
      <c r="BE1268" s="54"/>
      <c r="BF1268" s="54"/>
      <c r="BG1268" s="47"/>
      <c r="BH1268" s="48"/>
      <c r="BI1268" s="48"/>
      <c r="BJ1268" s="48"/>
      <c r="BK1268" s="48"/>
      <c r="BL1268" s="48"/>
      <c r="BM1268" s="48"/>
      <c r="BN1268" s="48"/>
      <c r="BO1268" s="48"/>
      <c r="BP1268" s="48"/>
      <c r="BQ1268" s="48"/>
      <c r="BR1268" s="48"/>
      <c r="BS1268" s="48"/>
      <c r="BT1268" s="48"/>
      <c r="BU1268" s="48"/>
      <c r="BV1268" s="48"/>
      <c r="BW1268" s="48"/>
      <c r="BX1268" s="48"/>
      <c r="BY1268" s="48"/>
      <c r="BZ1268" s="48"/>
      <c r="CA1268" s="48"/>
      <c r="CB1268" s="48"/>
      <c r="CC1268" s="48"/>
      <c r="CD1268" s="48"/>
      <c r="CE1268" s="48"/>
      <c r="CF1268" s="52"/>
      <c r="CG1268" s="52"/>
      <c r="CH1268" s="48"/>
      <c r="CI1268" s="48"/>
      <c r="CJ1268" s="48"/>
      <c r="CK1268" s="48"/>
    </row>
    <row r="1269" spans="1:89" ht="15.75" customHeight="1" x14ac:dyDescent="0.3">
      <c r="A1269" s="47"/>
      <c r="B1269" s="48"/>
      <c r="C1269" s="47"/>
      <c r="D1269" s="48"/>
      <c r="E1269" s="48"/>
      <c r="F1269" s="48"/>
      <c r="G1269" s="48"/>
      <c r="H1269" s="48"/>
      <c r="I1269" s="49"/>
      <c r="J1269" s="47"/>
      <c r="K1269" s="47"/>
      <c r="L1269" s="47"/>
      <c r="M1269" s="47"/>
      <c r="N1269" s="47"/>
      <c r="O1269" s="47"/>
      <c r="P1269" s="47"/>
      <c r="Q1269" s="47"/>
      <c r="R1269" s="47"/>
      <c r="S1269" s="50"/>
      <c r="T1269" s="47"/>
      <c r="U1269" s="47"/>
      <c r="V1269" s="47"/>
      <c r="W1269" s="51"/>
      <c r="X1269" s="51"/>
      <c r="Y1269" s="47"/>
      <c r="Z1269" s="47"/>
      <c r="AA1269" s="47"/>
      <c r="AB1269" s="47"/>
      <c r="AC1269" s="47"/>
      <c r="AD1269" s="47"/>
      <c r="AE1269" s="54"/>
      <c r="AF1269" s="54"/>
      <c r="AG1269" s="55"/>
      <c r="AH1269" s="54"/>
      <c r="AI1269" s="54"/>
      <c r="AJ1269" s="54"/>
      <c r="AK1269" s="54"/>
      <c r="AL1269" s="54"/>
      <c r="AM1269" s="54"/>
      <c r="AN1269" s="54"/>
      <c r="AO1269" s="54"/>
      <c r="AP1269" s="54"/>
      <c r="AQ1269" s="54"/>
      <c r="AR1269" s="54"/>
      <c r="AS1269" s="54"/>
      <c r="AT1269" s="54"/>
      <c r="AU1269" s="54"/>
      <c r="AV1269" s="54"/>
      <c r="AW1269" s="54"/>
      <c r="AX1269" s="54"/>
      <c r="AY1269" s="54"/>
      <c r="AZ1269" s="54"/>
      <c r="BA1269" s="54"/>
      <c r="BB1269" s="54"/>
      <c r="BC1269" s="56"/>
      <c r="BD1269" s="51"/>
      <c r="BE1269" s="54"/>
      <c r="BF1269" s="54"/>
      <c r="BG1269" s="47"/>
      <c r="BH1269" s="48"/>
      <c r="BI1269" s="48"/>
      <c r="BJ1269" s="48"/>
      <c r="BK1269" s="48"/>
      <c r="BL1269" s="48"/>
      <c r="BM1269" s="48"/>
      <c r="BN1269" s="48"/>
      <c r="BO1269" s="48"/>
      <c r="BP1269" s="48"/>
      <c r="BQ1269" s="48"/>
      <c r="BR1269" s="48"/>
      <c r="BS1269" s="48"/>
      <c r="BT1269" s="48"/>
      <c r="BU1269" s="48"/>
      <c r="BV1269" s="48"/>
      <c r="BW1269" s="48"/>
      <c r="BX1269" s="48"/>
      <c r="BY1269" s="48"/>
      <c r="BZ1269" s="48"/>
      <c r="CA1269" s="48"/>
      <c r="CB1269" s="48"/>
      <c r="CC1269" s="48"/>
      <c r="CD1269" s="48"/>
      <c r="CE1269" s="48"/>
      <c r="CF1269" s="52"/>
      <c r="CG1269" s="52"/>
      <c r="CH1269" s="48"/>
      <c r="CI1269" s="48"/>
      <c r="CJ1269" s="48"/>
      <c r="CK1269" s="48"/>
    </row>
    <row r="1270" spans="1:89" ht="15.75" customHeight="1" x14ac:dyDescent="0.3">
      <c r="A1270" s="47"/>
      <c r="B1270" s="48"/>
      <c r="C1270" s="47"/>
      <c r="D1270" s="48"/>
      <c r="E1270" s="48"/>
      <c r="F1270" s="48"/>
      <c r="G1270" s="48"/>
      <c r="H1270" s="48"/>
      <c r="I1270" s="49"/>
      <c r="J1270" s="47"/>
      <c r="K1270" s="47"/>
      <c r="L1270" s="47"/>
      <c r="M1270" s="47"/>
      <c r="N1270" s="47"/>
      <c r="O1270" s="47"/>
      <c r="P1270" s="47"/>
      <c r="Q1270" s="47"/>
      <c r="R1270" s="47"/>
      <c r="S1270" s="50"/>
      <c r="T1270" s="47"/>
      <c r="U1270" s="47"/>
      <c r="V1270" s="47"/>
      <c r="W1270" s="51"/>
      <c r="X1270" s="51"/>
      <c r="Y1270" s="47"/>
      <c r="Z1270" s="47"/>
      <c r="AA1270" s="47"/>
      <c r="AB1270" s="47"/>
      <c r="AC1270" s="47"/>
      <c r="AD1270" s="47"/>
      <c r="AE1270" s="54"/>
      <c r="AF1270" s="54"/>
      <c r="AG1270" s="55"/>
      <c r="AH1270" s="54"/>
      <c r="AI1270" s="54"/>
      <c r="AJ1270" s="54"/>
      <c r="AK1270" s="54"/>
      <c r="AL1270" s="54"/>
      <c r="AM1270" s="54"/>
      <c r="AN1270" s="54"/>
      <c r="AO1270" s="54"/>
      <c r="AP1270" s="54"/>
      <c r="AQ1270" s="54"/>
      <c r="AR1270" s="54"/>
      <c r="AS1270" s="54"/>
      <c r="AT1270" s="54"/>
      <c r="AU1270" s="54"/>
      <c r="AV1270" s="54"/>
      <c r="AW1270" s="54"/>
      <c r="AX1270" s="54"/>
      <c r="AY1270" s="54"/>
      <c r="AZ1270" s="54"/>
      <c r="BA1270" s="54"/>
      <c r="BB1270" s="54"/>
      <c r="BC1270" s="56"/>
      <c r="BD1270" s="51"/>
      <c r="BE1270" s="54"/>
      <c r="BF1270" s="54"/>
      <c r="BG1270" s="47"/>
      <c r="BH1270" s="48"/>
      <c r="BI1270" s="48"/>
      <c r="BJ1270" s="48"/>
      <c r="BK1270" s="48"/>
      <c r="BL1270" s="48"/>
      <c r="BM1270" s="48"/>
      <c r="BN1270" s="48"/>
      <c r="BO1270" s="48"/>
      <c r="BP1270" s="48"/>
      <c r="BQ1270" s="48"/>
      <c r="BR1270" s="48"/>
      <c r="BS1270" s="48"/>
      <c r="BT1270" s="48"/>
      <c r="BU1270" s="48"/>
      <c r="BV1270" s="48"/>
      <c r="BW1270" s="48"/>
      <c r="BX1270" s="48"/>
      <c r="BY1270" s="48"/>
      <c r="BZ1270" s="48"/>
      <c r="CA1270" s="48"/>
      <c r="CB1270" s="48"/>
      <c r="CC1270" s="48"/>
      <c r="CD1270" s="48"/>
      <c r="CE1270" s="48"/>
      <c r="CF1270" s="52"/>
      <c r="CG1270" s="52"/>
      <c r="CH1270" s="48"/>
      <c r="CI1270" s="48"/>
      <c r="CJ1270" s="48"/>
      <c r="CK1270" s="48"/>
    </row>
    <row r="1271" spans="1:89" ht="15.75" customHeight="1" x14ac:dyDescent="0.3">
      <c r="A1271" s="47"/>
      <c r="B1271" s="48"/>
      <c r="C1271" s="47"/>
      <c r="D1271" s="48"/>
      <c r="E1271" s="48"/>
      <c r="F1271" s="48"/>
      <c r="G1271" s="48"/>
      <c r="H1271" s="48"/>
      <c r="I1271" s="49"/>
      <c r="J1271" s="47"/>
      <c r="K1271" s="47"/>
      <c r="L1271" s="47"/>
      <c r="M1271" s="47"/>
      <c r="N1271" s="47"/>
      <c r="O1271" s="47"/>
      <c r="P1271" s="47"/>
      <c r="Q1271" s="47"/>
      <c r="R1271" s="47"/>
      <c r="S1271" s="50"/>
      <c r="T1271" s="47"/>
      <c r="U1271" s="47"/>
      <c r="V1271" s="47"/>
      <c r="W1271" s="51"/>
      <c r="X1271" s="51"/>
      <c r="Y1271" s="47"/>
      <c r="Z1271" s="47"/>
      <c r="AA1271" s="47"/>
      <c r="AB1271" s="47"/>
      <c r="AC1271" s="47"/>
      <c r="AD1271" s="47"/>
      <c r="AE1271" s="54"/>
      <c r="AF1271" s="54"/>
      <c r="AG1271" s="55"/>
      <c r="AH1271" s="54"/>
      <c r="AI1271" s="54"/>
      <c r="AJ1271" s="54"/>
      <c r="AK1271" s="54"/>
      <c r="AL1271" s="54"/>
      <c r="AM1271" s="54"/>
      <c r="AN1271" s="54"/>
      <c r="AO1271" s="54"/>
      <c r="AP1271" s="54"/>
      <c r="AQ1271" s="54"/>
      <c r="AR1271" s="54"/>
      <c r="AS1271" s="54"/>
      <c r="AT1271" s="54"/>
      <c r="AU1271" s="54"/>
      <c r="AV1271" s="54"/>
      <c r="AW1271" s="54"/>
      <c r="AX1271" s="54"/>
      <c r="AY1271" s="54"/>
      <c r="AZ1271" s="54"/>
      <c r="BA1271" s="54"/>
      <c r="BB1271" s="54"/>
      <c r="BC1271" s="56"/>
      <c r="BD1271" s="51"/>
      <c r="BE1271" s="54"/>
      <c r="BF1271" s="54"/>
      <c r="BG1271" s="47"/>
      <c r="BH1271" s="48"/>
      <c r="BI1271" s="48"/>
      <c r="BJ1271" s="48"/>
      <c r="BK1271" s="48"/>
      <c r="BL1271" s="48"/>
      <c r="BM1271" s="48"/>
      <c r="BN1271" s="48"/>
      <c r="BO1271" s="48"/>
      <c r="BP1271" s="48"/>
      <c r="BQ1271" s="48"/>
      <c r="BR1271" s="48"/>
      <c r="BS1271" s="48"/>
      <c r="BT1271" s="48"/>
      <c r="BU1271" s="48"/>
      <c r="BV1271" s="48"/>
      <c r="BW1271" s="48"/>
      <c r="BX1271" s="48"/>
      <c r="BY1271" s="48"/>
      <c r="BZ1271" s="48"/>
      <c r="CA1271" s="48"/>
      <c r="CB1271" s="48"/>
      <c r="CC1271" s="48"/>
      <c r="CD1271" s="48"/>
      <c r="CE1271" s="48"/>
      <c r="CF1271" s="52"/>
      <c r="CG1271" s="52"/>
      <c r="CH1271" s="48"/>
      <c r="CI1271" s="48"/>
      <c r="CJ1271" s="48"/>
      <c r="CK1271" s="48"/>
    </row>
    <row r="1272" spans="1:89" ht="15.75" customHeight="1" x14ac:dyDescent="0.3">
      <c r="A1272" s="47"/>
      <c r="B1272" s="48"/>
      <c r="C1272" s="47"/>
      <c r="D1272" s="48"/>
      <c r="E1272" s="48"/>
      <c r="F1272" s="48"/>
      <c r="G1272" s="48"/>
      <c r="H1272" s="48"/>
      <c r="I1272" s="49"/>
      <c r="J1272" s="47"/>
      <c r="K1272" s="47"/>
      <c r="L1272" s="47"/>
      <c r="M1272" s="47"/>
      <c r="N1272" s="47"/>
      <c r="O1272" s="47"/>
      <c r="P1272" s="47"/>
      <c r="Q1272" s="47"/>
      <c r="R1272" s="47"/>
      <c r="S1272" s="50"/>
      <c r="T1272" s="47"/>
      <c r="U1272" s="47"/>
      <c r="V1272" s="47"/>
      <c r="W1272" s="51"/>
      <c r="X1272" s="51"/>
      <c r="Y1272" s="47"/>
      <c r="Z1272" s="47"/>
      <c r="AA1272" s="47"/>
      <c r="AB1272" s="47"/>
      <c r="AC1272" s="47"/>
      <c r="AD1272" s="47"/>
      <c r="AE1272" s="54"/>
      <c r="AF1272" s="54"/>
      <c r="AG1272" s="55"/>
      <c r="AH1272" s="54"/>
      <c r="AI1272" s="54"/>
      <c r="AJ1272" s="54"/>
      <c r="AK1272" s="54"/>
      <c r="AL1272" s="54"/>
      <c r="AM1272" s="54"/>
      <c r="AN1272" s="54"/>
      <c r="AO1272" s="54"/>
      <c r="AP1272" s="54"/>
      <c r="AQ1272" s="54"/>
      <c r="AR1272" s="54"/>
      <c r="AS1272" s="54"/>
      <c r="AT1272" s="54"/>
      <c r="AU1272" s="54"/>
      <c r="AV1272" s="54"/>
      <c r="AW1272" s="54"/>
      <c r="AX1272" s="54"/>
      <c r="AY1272" s="54"/>
      <c r="AZ1272" s="54"/>
      <c r="BA1272" s="54"/>
      <c r="BB1272" s="54"/>
      <c r="BC1272" s="56"/>
      <c r="BD1272" s="51"/>
      <c r="BE1272" s="54"/>
      <c r="BF1272" s="54"/>
      <c r="BG1272" s="47"/>
      <c r="BH1272" s="48"/>
      <c r="BI1272" s="48"/>
      <c r="BJ1272" s="48"/>
      <c r="BK1272" s="48"/>
      <c r="BL1272" s="48"/>
      <c r="BM1272" s="48"/>
      <c r="BN1272" s="48"/>
      <c r="BO1272" s="48"/>
      <c r="BP1272" s="48"/>
      <c r="BQ1272" s="48"/>
      <c r="BR1272" s="48"/>
      <c r="BS1272" s="48"/>
      <c r="BT1272" s="48"/>
      <c r="BU1272" s="48"/>
      <c r="BV1272" s="48"/>
      <c r="BW1272" s="48"/>
      <c r="BX1272" s="48"/>
      <c r="BY1272" s="48"/>
      <c r="BZ1272" s="48"/>
      <c r="CA1272" s="48"/>
      <c r="CB1272" s="48"/>
      <c r="CC1272" s="48"/>
      <c r="CD1272" s="48"/>
      <c r="CE1272" s="48"/>
      <c r="CF1272" s="52"/>
      <c r="CG1272" s="52"/>
      <c r="CH1272" s="48"/>
      <c r="CI1272" s="48"/>
      <c r="CJ1272" s="48"/>
      <c r="CK1272" s="48"/>
    </row>
    <row r="1273" spans="1:89" ht="15.75" customHeight="1" x14ac:dyDescent="0.3">
      <c r="A1273" s="47"/>
      <c r="B1273" s="48"/>
      <c r="C1273" s="47"/>
      <c r="D1273" s="48"/>
      <c r="E1273" s="48"/>
      <c r="F1273" s="48"/>
      <c r="G1273" s="48"/>
      <c r="H1273" s="48"/>
      <c r="I1273" s="49"/>
      <c r="J1273" s="47"/>
      <c r="K1273" s="47"/>
      <c r="L1273" s="47"/>
      <c r="M1273" s="47"/>
      <c r="N1273" s="47"/>
      <c r="O1273" s="47"/>
      <c r="P1273" s="47"/>
      <c r="Q1273" s="47"/>
      <c r="R1273" s="47"/>
      <c r="S1273" s="50"/>
      <c r="T1273" s="47"/>
      <c r="U1273" s="47"/>
      <c r="V1273" s="47"/>
      <c r="W1273" s="51"/>
      <c r="X1273" s="51"/>
      <c r="Y1273" s="47"/>
      <c r="Z1273" s="47"/>
      <c r="AA1273" s="47"/>
      <c r="AB1273" s="47"/>
      <c r="AC1273" s="47"/>
      <c r="AD1273" s="47"/>
      <c r="AE1273" s="54"/>
      <c r="AF1273" s="54"/>
      <c r="AG1273" s="55"/>
      <c r="AH1273" s="54"/>
      <c r="AI1273" s="54"/>
      <c r="AJ1273" s="54"/>
      <c r="AK1273" s="54"/>
      <c r="AL1273" s="54"/>
      <c r="AM1273" s="54"/>
      <c r="AN1273" s="54"/>
      <c r="AO1273" s="54"/>
      <c r="AP1273" s="54"/>
      <c r="AQ1273" s="54"/>
      <c r="AR1273" s="54"/>
      <c r="AS1273" s="54"/>
      <c r="AT1273" s="54"/>
      <c r="AU1273" s="54"/>
      <c r="AV1273" s="54"/>
      <c r="AW1273" s="54"/>
      <c r="AX1273" s="54"/>
      <c r="AY1273" s="54"/>
      <c r="AZ1273" s="54"/>
      <c r="BA1273" s="54"/>
      <c r="BB1273" s="54"/>
      <c r="BC1273" s="56"/>
      <c r="BD1273" s="51"/>
      <c r="BE1273" s="54"/>
      <c r="BF1273" s="54"/>
      <c r="BG1273" s="47"/>
      <c r="BH1273" s="48"/>
      <c r="BI1273" s="48"/>
      <c r="BJ1273" s="48"/>
      <c r="BK1273" s="48"/>
      <c r="BL1273" s="48"/>
      <c r="BM1273" s="48"/>
      <c r="BN1273" s="48"/>
      <c r="BO1273" s="48"/>
      <c r="BP1273" s="48"/>
      <c r="BQ1273" s="48"/>
      <c r="BR1273" s="48"/>
      <c r="BS1273" s="48"/>
      <c r="BT1273" s="48"/>
      <c r="BU1273" s="48"/>
      <c r="BV1273" s="48"/>
      <c r="BW1273" s="48"/>
      <c r="BX1273" s="48"/>
      <c r="BY1273" s="48"/>
      <c r="BZ1273" s="48"/>
      <c r="CA1273" s="48"/>
      <c r="CB1273" s="48"/>
      <c r="CC1273" s="48"/>
      <c r="CD1273" s="48"/>
      <c r="CE1273" s="48"/>
      <c r="CF1273" s="52"/>
      <c r="CG1273" s="52"/>
      <c r="CH1273" s="48"/>
      <c r="CI1273" s="48"/>
      <c r="CJ1273" s="48"/>
      <c r="CK1273" s="48"/>
    </row>
    <row r="1274" spans="1:89" ht="15.75" customHeight="1" x14ac:dyDescent="0.3">
      <c r="A1274" s="47"/>
      <c r="B1274" s="48"/>
      <c r="C1274" s="47"/>
      <c r="D1274" s="48"/>
      <c r="E1274" s="48"/>
      <c r="F1274" s="48"/>
      <c r="G1274" s="48"/>
      <c r="H1274" s="48"/>
      <c r="I1274" s="49"/>
      <c r="J1274" s="47"/>
      <c r="K1274" s="47"/>
      <c r="L1274" s="47"/>
      <c r="M1274" s="47"/>
      <c r="N1274" s="47"/>
      <c r="O1274" s="47"/>
      <c r="P1274" s="47"/>
      <c r="Q1274" s="47"/>
      <c r="R1274" s="47"/>
      <c r="S1274" s="50"/>
      <c r="T1274" s="47"/>
      <c r="U1274" s="47"/>
      <c r="V1274" s="47"/>
      <c r="W1274" s="51"/>
      <c r="X1274" s="51"/>
      <c r="Y1274" s="47"/>
      <c r="Z1274" s="47"/>
      <c r="AA1274" s="47"/>
      <c r="AB1274" s="47"/>
      <c r="AC1274" s="47"/>
      <c r="AD1274" s="47"/>
      <c r="AE1274" s="54"/>
      <c r="AF1274" s="54"/>
      <c r="AG1274" s="55"/>
      <c r="AH1274" s="54"/>
      <c r="AI1274" s="54"/>
      <c r="AJ1274" s="54"/>
      <c r="AK1274" s="54"/>
      <c r="AL1274" s="54"/>
      <c r="AM1274" s="54"/>
      <c r="AN1274" s="54"/>
      <c r="AO1274" s="54"/>
      <c r="AP1274" s="54"/>
      <c r="AQ1274" s="54"/>
      <c r="AR1274" s="54"/>
      <c r="AS1274" s="54"/>
      <c r="AT1274" s="54"/>
      <c r="AU1274" s="54"/>
      <c r="AV1274" s="54"/>
      <c r="AW1274" s="54"/>
      <c r="AX1274" s="54"/>
      <c r="AY1274" s="54"/>
      <c r="AZ1274" s="54"/>
      <c r="BA1274" s="54"/>
      <c r="BB1274" s="54"/>
      <c r="BC1274" s="56"/>
      <c r="BD1274" s="51"/>
      <c r="BE1274" s="54"/>
      <c r="BF1274" s="54"/>
      <c r="BG1274" s="47"/>
      <c r="BH1274" s="48"/>
      <c r="BI1274" s="48"/>
      <c r="BJ1274" s="48"/>
      <c r="BK1274" s="48"/>
      <c r="BL1274" s="48"/>
      <c r="BM1274" s="48"/>
      <c r="BN1274" s="48"/>
      <c r="BO1274" s="48"/>
      <c r="BP1274" s="48"/>
      <c r="BQ1274" s="48"/>
      <c r="BR1274" s="48"/>
      <c r="BS1274" s="48"/>
      <c r="BT1274" s="48"/>
      <c r="BU1274" s="48"/>
      <c r="BV1274" s="48"/>
      <c r="BW1274" s="48"/>
      <c r="BX1274" s="48"/>
      <c r="BY1274" s="48"/>
      <c r="BZ1274" s="48"/>
      <c r="CA1274" s="48"/>
      <c r="CB1274" s="48"/>
      <c r="CC1274" s="48"/>
      <c r="CD1274" s="48"/>
      <c r="CE1274" s="48"/>
      <c r="CF1274" s="52"/>
      <c r="CG1274" s="52"/>
      <c r="CH1274" s="48"/>
      <c r="CI1274" s="48"/>
      <c r="CJ1274" s="48"/>
      <c r="CK1274" s="48"/>
    </row>
    <row r="1275" spans="1:89" ht="15.75" customHeight="1" x14ac:dyDescent="0.3">
      <c r="A1275" s="47"/>
      <c r="B1275" s="48"/>
      <c r="C1275" s="47"/>
      <c r="D1275" s="48"/>
      <c r="E1275" s="48"/>
      <c r="F1275" s="48"/>
      <c r="G1275" s="48"/>
      <c r="H1275" s="48"/>
      <c r="I1275" s="49"/>
      <c r="J1275" s="47"/>
      <c r="K1275" s="47"/>
      <c r="L1275" s="47"/>
      <c r="M1275" s="47"/>
      <c r="N1275" s="47"/>
      <c r="O1275" s="47"/>
      <c r="P1275" s="47"/>
      <c r="Q1275" s="47"/>
      <c r="R1275" s="47"/>
      <c r="S1275" s="50"/>
      <c r="T1275" s="47"/>
      <c r="U1275" s="47"/>
      <c r="V1275" s="47"/>
      <c r="W1275" s="51"/>
      <c r="X1275" s="51"/>
      <c r="Y1275" s="47"/>
      <c r="Z1275" s="47"/>
      <c r="AA1275" s="47"/>
      <c r="AB1275" s="47"/>
      <c r="AC1275" s="47"/>
      <c r="AD1275" s="47"/>
      <c r="AE1275" s="54"/>
      <c r="AF1275" s="54"/>
      <c r="AG1275" s="55"/>
      <c r="AH1275" s="54"/>
      <c r="AI1275" s="54"/>
      <c r="AJ1275" s="54"/>
      <c r="AK1275" s="54"/>
      <c r="AL1275" s="54"/>
      <c r="AM1275" s="54"/>
      <c r="AN1275" s="54"/>
      <c r="AO1275" s="54"/>
      <c r="AP1275" s="54"/>
      <c r="AQ1275" s="54"/>
      <c r="AR1275" s="54"/>
      <c r="AS1275" s="54"/>
      <c r="AT1275" s="54"/>
      <c r="AU1275" s="54"/>
      <c r="AV1275" s="54"/>
      <c r="AW1275" s="54"/>
      <c r="AX1275" s="54"/>
      <c r="AY1275" s="54"/>
      <c r="AZ1275" s="54"/>
      <c r="BA1275" s="54"/>
      <c r="BB1275" s="54"/>
      <c r="BC1275" s="56"/>
      <c r="BD1275" s="51"/>
      <c r="BE1275" s="54"/>
      <c r="BF1275" s="54"/>
      <c r="BG1275" s="47"/>
      <c r="BH1275" s="48"/>
      <c r="BI1275" s="48"/>
      <c r="BJ1275" s="48"/>
      <c r="BK1275" s="48"/>
      <c r="BL1275" s="48"/>
      <c r="BM1275" s="48"/>
      <c r="BN1275" s="48"/>
      <c r="BO1275" s="48"/>
      <c r="BP1275" s="48"/>
      <c r="BQ1275" s="48"/>
      <c r="BR1275" s="48"/>
      <c r="BS1275" s="48"/>
      <c r="BT1275" s="48"/>
      <c r="BU1275" s="48"/>
      <c r="BV1275" s="48"/>
      <c r="BW1275" s="48"/>
      <c r="BX1275" s="48"/>
      <c r="BY1275" s="48"/>
      <c r="BZ1275" s="48"/>
      <c r="CA1275" s="48"/>
      <c r="CB1275" s="48"/>
      <c r="CC1275" s="48"/>
      <c r="CD1275" s="48"/>
      <c r="CE1275" s="48"/>
      <c r="CF1275" s="52"/>
      <c r="CG1275" s="52"/>
      <c r="CH1275" s="48"/>
      <c r="CI1275" s="48"/>
      <c r="CJ1275" s="48"/>
      <c r="CK1275" s="48"/>
    </row>
    <row r="1276" spans="1:89" ht="15.75" customHeight="1" x14ac:dyDescent="0.3">
      <c r="A1276" s="47"/>
      <c r="B1276" s="48"/>
      <c r="C1276" s="47"/>
      <c r="D1276" s="48"/>
      <c r="E1276" s="48"/>
      <c r="F1276" s="48"/>
      <c r="G1276" s="48"/>
      <c r="H1276" s="48"/>
      <c r="I1276" s="49"/>
      <c r="J1276" s="47"/>
      <c r="K1276" s="47"/>
      <c r="L1276" s="47"/>
      <c r="M1276" s="47"/>
      <c r="N1276" s="47"/>
      <c r="O1276" s="47"/>
      <c r="P1276" s="47"/>
      <c r="Q1276" s="47"/>
      <c r="R1276" s="47"/>
      <c r="S1276" s="50"/>
      <c r="T1276" s="47"/>
      <c r="U1276" s="47"/>
      <c r="V1276" s="47"/>
      <c r="W1276" s="51"/>
      <c r="X1276" s="51"/>
      <c r="Y1276" s="47"/>
      <c r="Z1276" s="47"/>
      <c r="AA1276" s="47"/>
      <c r="AB1276" s="47"/>
      <c r="AC1276" s="47"/>
      <c r="AD1276" s="47"/>
      <c r="AE1276" s="54"/>
      <c r="AF1276" s="54"/>
      <c r="AG1276" s="55"/>
      <c r="AH1276" s="54"/>
      <c r="AI1276" s="54"/>
      <c r="AJ1276" s="54"/>
      <c r="AK1276" s="54"/>
      <c r="AL1276" s="54"/>
      <c r="AM1276" s="54"/>
      <c r="AN1276" s="54"/>
      <c r="AO1276" s="54"/>
      <c r="AP1276" s="54"/>
      <c r="AQ1276" s="54"/>
      <c r="AR1276" s="54"/>
      <c r="AS1276" s="54"/>
      <c r="AT1276" s="54"/>
      <c r="AU1276" s="54"/>
      <c r="AV1276" s="54"/>
      <c r="AW1276" s="54"/>
      <c r="AX1276" s="54"/>
      <c r="AY1276" s="54"/>
      <c r="AZ1276" s="54"/>
      <c r="BA1276" s="54"/>
      <c r="BB1276" s="54"/>
      <c r="BC1276" s="56"/>
      <c r="BD1276" s="51"/>
      <c r="BE1276" s="54"/>
      <c r="BF1276" s="54"/>
      <c r="BG1276" s="47"/>
      <c r="BH1276" s="48"/>
      <c r="BI1276" s="48"/>
      <c r="BJ1276" s="48"/>
      <c r="BK1276" s="48"/>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52"/>
      <c r="CG1276" s="52"/>
      <c r="CH1276" s="48"/>
      <c r="CI1276" s="48"/>
      <c r="CJ1276" s="48"/>
      <c r="CK1276" s="48"/>
    </row>
    <row r="1277" spans="1:89" ht="15.75" customHeight="1" x14ac:dyDescent="0.3">
      <c r="A1277" s="47"/>
      <c r="B1277" s="48"/>
      <c r="C1277" s="47"/>
      <c r="D1277" s="48"/>
      <c r="E1277" s="48"/>
      <c r="F1277" s="48"/>
      <c r="G1277" s="48"/>
      <c r="H1277" s="48"/>
      <c r="I1277" s="49"/>
      <c r="J1277" s="47"/>
      <c r="K1277" s="47"/>
      <c r="L1277" s="47"/>
      <c r="M1277" s="47"/>
      <c r="N1277" s="47"/>
      <c r="O1277" s="47"/>
      <c r="P1277" s="47"/>
      <c r="Q1277" s="47"/>
      <c r="R1277" s="47"/>
      <c r="S1277" s="50"/>
      <c r="T1277" s="47"/>
      <c r="U1277" s="47"/>
      <c r="V1277" s="47"/>
      <c r="W1277" s="51"/>
      <c r="X1277" s="51"/>
      <c r="Y1277" s="47"/>
      <c r="Z1277" s="47"/>
      <c r="AA1277" s="47"/>
      <c r="AB1277" s="47"/>
      <c r="AC1277" s="47"/>
      <c r="AD1277" s="47"/>
      <c r="AE1277" s="54"/>
      <c r="AF1277" s="54"/>
      <c r="AG1277" s="55"/>
      <c r="AH1277" s="54"/>
      <c r="AI1277" s="54"/>
      <c r="AJ1277" s="54"/>
      <c r="AK1277" s="54"/>
      <c r="AL1277" s="54"/>
      <c r="AM1277" s="54"/>
      <c r="AN1277" s="54"/>
      <c r="AO1277" s="54"/>
      <c r="AP1277" s="54"/>
      <c r="AQ1277" s="54"/>
      <c r="AR1277" s="54"/>
      <c r="AS1277" s="54"/>
      <c r="AT1277" s="54"/>
      <c r="AU1277" s="54"/>
      <c r="AV1277" s="54"/>
      <c r="AW1277" s="54"/>
      <c r="AX1277" s="54"/>
      <c r="AY1277" s="54"/>
      <c r="AZ1277" s="54"/>
      <c r="BA1277" s="54"/>
      <c r="BB1277" s="54"/>
      <c r="BC1277" s="56"/>
      <c r="BD1277" s="51"/>
      <c r="BE1277" s="54"/>
      <c r="BF1277" s="54"/>
      <c r="BG1277" s="47"/>
      <c r="BH1277" s="48"/>
      <c r="BI1277" s="48"/>
      <c r="BJ1277" s="48"/>
      <c r="BK1277" s="48"/>
      <c r="BL1277" s="48"/>
      <c r="BM1277" s="48"/>
      <c r="BN1277" s="48"/>
      <c r="BO1277" s="48"/>
      <c r="BP1277" s="48"/>
      <c r="BQ1277" s="48"/>
      <c r="BR1277" s="48"/>
      <c r="BS1277" s="48"/>
      <c r="BT1277" s="48"/>
      <c r="BU1277" s="48"/>
      <c r="BV1277" s="48"/>
      <c r="BW1277" s="48"/>
      <c r="BX1277" s="48"/>
      <c r="BY1277" s="48"/>
      <c r="BZ1277" s="48"/>
      <c r="CA1277" s="48"/>
      <c r="CB1277" s="48"/>
      <c r="CC1277" s="48"/>
      <c r="CD1277" s="48"/>
      <c r="CE1277" s="48"/>
      <c r="CF1277" s="52"/>
      <c r="CG1277" s="52"/>
      <c r="CH1277" s="48"/>
      <c r="CI1277" s="48"/>
      <c r="CJ1277" s="48"/>
      <c r="CK1277" s="48"/>
    </row>
    <row r="1278" spans="1:89" ht="15.75" customHeight="1" x14ac:dyDescent="0.3">
      <c r="A1278" s="47"/>
      <c r="B1278" s="48"/>
      <c r="C1278" s="47"/>
      <c r="D1278" s="48"/>
      <c r="E1278" s="48"/>
      <c r="F1278" s="48"/>
      <c r="G1278" s="48"/>
      <c r="H1278" s="48"/>
      <c r="I1278" s="49"/>
      <c r="J1278" s="47"/>
      <c r="K1278" s="47"/>
      <c r="L1278" s="47"/>
      <c r="M1278" s="47"/>
      <c r="N1278" s="47"/>
      <c r="O1278" s="47"/>
      <c r="P1278" s="47"/>
      <c r="Q1278" s="47"/>
      <c r="R1278" s="47"/>
      <c r="S1278" s="50"/>
      <c r="T1278" s="47"/>
      <c r="U1278" s="47"/>
      <c r="V1278" s="47"/>
      <c r="W1278" s="51"/>
      <c r="X1278" s="51"/>
      <c r="Y1278" s="47"/>
      <c r="Z1278" s="47"/>
      <c r="AA1278" s="47"/>
      <c r="AB1278" s="47"/>
      <c r="AC1278" s="47"/>
      <c r="AD1278" s="47"/>
      <c r="AE1278" s="54"/>
      <c r="AF1278" s="54"/>
      <c r="AG1278" s="55"/>
      <c r="AH1278" s="54"/>
      <c r="AI1278" s="54"/>
      <c r="AJ1278" s="54"/>
      <c r="AK1278" s="54"/>
      <c r="AL1278" s="54"/>
      <c r="AM1278" s="54"/>
      <c r="AN1278" s="54"/>
      <c r="AO1278" s="54"/>
      <c r="AP1278" s="54"/>
      <c r="AQ1278" s="54"/>
      <c r="AR1278" s="54"/>
      <c r="AS1278" s="54"/>
      <c r="AT1278" s="54"/>
      <c r="AU1278" s="54"/>
      <c r="AV1278" s="54"/>
      <c r="AW1278" s="54"/>
      <c r="AX1278" s="54"/>
      <c r="AY1278" s="54"/>
      <c r="AZ1278" s="54"/>
      <c r="BA1278" s="54"/>
      <c r="BB1278" s="54"/>
      <c r="BC1278" s="56"/>
      <c r="BD1278" s="51"/>
      <c r="BE1278" s="54"/>
      <c r="BF1278" s="54"/>
      <c r="BG1278" s="47"/>
      <c r="BH1278" s="48"/>
      <c r="BI1278" s="48"/>
      <c r="BJ1278" s="48"/>
      <c r="BK1278" s="48"/>
      <c r="BL1278" s="48"/>
      <c r="BM1278" s="48"/>
      <c r="BN1278" s="48"/>
      <c r="BO1278" s="48"/>
      <c r="BP1278" s="48"/>
      <c r="BQ1278" s="48"/>
      <c r="BR1278" s="48"/>
      <c r="BS1278" s="48"/>
      <c r="BT1278" s="48"/>
      <c r="BU1278" s="48"/>
      <c r="BV1278" s="48"/>
      <c r="BW1278" s="48"/>
      <c r="BX1278" s="48"/>
      <c r="BY1278" s="48"/>
      <c r="BZ1278" s="48"/>
      <c r="CA1278" s="48"/>
      <c r="CB1278" s="48"/>
      <c r="CC1278" s="48"/>
      <c r="CD1278" s="48"/>
      <c r="CE1278" s="48"/>
      <c r="CF1278" s="52"/>
      <c r="CG1278" s="52"/>
      <c r="CH1278" s="48"/>
      <c r="CI1278" s="48"/>
      <c r="CJ1278" s="48"/>
      <c r="CK1278" s="48"/>
    </row>
    <row r="1279" spans="1:89" ht="15.75" customHeight="1" x14ac:dyDescent="0.3">
      <c r="A1279" s="47"/>
      <c r="B1279" s="48"/>
      <c r="C1279" s="47"/>
      <c r="D1279" s="48"/>
      <c r="E1279" s="48"/>
      <c r="F1279" s="48"/>
      <c r="G1279" s="48"/>
      <c r="H1279" s="48"/>
      <c r="I1279" s="49"/>
      <c r="J1279" s="47"/>
      <c r="K1279" s="47"/>
      <c r="L1279" s="47"/>
      <c r="M1279" s="47"/>
      <c r="N1279" s="47"/>
      <c r="O1279" s="47"/>
      <c r="P1279" s="47"/>
      <c r="Q1279" s="47"/>
      <c r="R1279" s="47"/>
      <c r="S1279" s="50"/>
      <c r="T1279" s="47"/>
      <c r="U1279" s="47"/>
      <c r="V1279" s="47"/>
      <c r="W1279" s="51"/>
      <c r="X1279" s="51"/>
      <c r="Y1279" s="47"/>
      <c r="Z1279" s="47"/>
      <c r="AA1279" s="47"/>
      <c r="AB1279" s="47"/>
      <c r="AC1279" s="47"/>
      <c r="AD1279" s="47"/>
      <c r="AE1279" s="54"/>
      <c r="AF1279" s="54"/>
      <c r="AG1279" s="55"/>
      <c r="AH1279" s="54"/>
      <c r="AI1279" s="54"/>
      <c r="AJ1279" s="54"/>
      <c r="AK1279" s="54"/>
      <c r="AL1279" s="54"/>
      <c r="AM1279" s="54"/>
      <c r="AN1279" s="54"/>
      <c r="AO1279" s="54"/>
      <c r="AP1279" s="54"/>
      <c r="AQ1279" s="54"/>
      <c r="AR1279" s="54"/>
      <c r="AS1279" s="54"/>
      <c r="AT1279" s="54"/>
      <c r="AU1279" s="54"/>
      <c r="AV1279" s="54"/>
      <c r="AW1279" s="54"/>
      <c r="AX1279" s="54"/>
      <c r="AY1279" s="54"/>
      <c r="AZ1279" s="54"/>
      <c r="BA1279" s="54"/>
      <c r="BB1279" s="54"/>
      <c r="BC1279" s="56"/>
      <c r="BD1279" s="51"/>
      <c r="BE1279" s="54"/>
      <c r="BF1279" s="54"/>
      <c r="BG1279" s="47"/>
      <c r="BH1279" s="48"/>
      <c r="BI1279" s="48"/>
      <c r="BJ1279" s="48"/>
      <c r="BK1279" s="48"/>
      <c r="BL1279" s="48"/>
      <c r="BM1279" s="48"/>
      <c r="BN1279" s="48"/>
      <c r="BO1279" s="48"/>
      <c r="BP1279" s="48"/>
      <c r="BQ1279" s="48"/>
      <c r="BR1279" s="48"/>
      <c r="BS1279" s="48"/>
      <c r="BT1279" s="48"/>
      <c r="BU1279" s="48"/>
      <c r="BV1279" s="48"/>
      <c r="BW1279" s="48"/>
      <c r="BX1279" s="48"/>
      <c r="BY1279" s="48"/>
      <c r="BZ1279" s="48"/>
      <c r="CA1279" s="48"/>
      <c r="CB1279" s="48"/>
      <c r="CC1279" s="48"/>
      <c r="CD1279" s="48"/>
      <c r="CE1279" s="48"/>
      <c r="CF1279" s="52"/>
      <c r="CG1279" s="52"/>
      <c r="CH1279" s="48"/>
      <c r="CI1279" s="48"/>
      <c r="CJ1279" s="48"/>
      <c r="CK1279" s="48"/>
    </row>
    <row r="1280" spans="1:89" ht="15.75" customHeight="1" x14ac:dyDescent="0.3">
      <c r="A1280" s="47"/>
      <c r="B1280" s="48"/>
      <c r="C1280" s="47"/>
      <c r="D1280" s="48"/>
      <c r="E1280" s="48"/>
      <c r="F1280" s="48"/>
      <c r="G1280" s="48"/>
      <c r="H1280" s="48"/>
      <c r="I1280" s="49"/>
      <c r="J1280" s="47"/>
      <c r="K1280" s="47"/>
      <c r="L1280" s="47"/>
      <c r="M1280" s="47"/>
      <c r="N1280" s="47"/>
      <c r="O1280" s="47"/>
      <c r="P1280" s="47"/>
      <c r="Q1280" s="47"/>
      <c r="R1280" s="47"/>
      <c r="S1280" s="50"/>
      <c r="T1280" s="47"/>
      <c r="U1280" s="47"/>
      <c r="V1280" s="47"/>
      <c r="W1280" s="51"/>
      <c r="X1280" s="51"/>
      <c r="Y1280" s="47"/>
      <c r="Z1280" s="47"/>
      <c r="AA1280" s="47"/>
      <c r="AB1280" s="47"/>
      <c r="AC1280" s="47"/>
      <c r="AD1280" s="47"/>
      <c r="AE1280" s="54"/>
      <c r="AF1280" s="54"/>
      <c r="AG1280" s="55"/>
      <c r="AH1280" s="54"/>
      <c r="AI1280" s="54"/>
      <c r="AJ1280" s="54"/>
      <c r="AK1280" s="54"/>
      <c r="AL1280" s="54"/>
      <c r="AM1280" s="54"/>
      <c r="AN1280" s="54"/>
      <c r="AO1280" s="54"/>
      <c r="AP1280" s="54"/>
      <c r="AQ1280" s="54"/>
      <c r="AR1280" s="54"/>
      <c r="AS1280" s="54"/>
      <c r="AT1280" s="54"/>
      <c r="AU1280" s="54"/>
      <c r="AV1280" s="54"/>
      <c r="AW1280" s="54"/>
      <c r="AX1280" s="54"/>
      <c r="AY1280" s="54"/>
      <c r="AZ1280" s="54"/>
      <c r="BA1280" s="54"/>
      <c r="BB1280" s="54"/>
      <c r="BC1280" s="56"/>
      <c r="BD1280" s="51"/>
      <c r="BE1280" s="54"/>
      <c r="BF1280" s="54"/>
      <c r="BG1280" s="47"/>
      <c r="BH1280" s="48"/>
      <c r="BI1280" s="48"/>
      <c r="BJ1280" s="48"/>
      <c r="BK1280" s="48"/>
      <c r="BL1280" s="48"/>
      <c r="BM1280" s="48"/>
      <c r="BN1280" s="48"/>
      <c r="BO1280" s="48"/>
      <c r="BP1280" s="48"/>
      <c r="BQ1280" s="48"/>
      <c r="BR1280" s="48"/>
      <c r="BS1280" s="48"/>
      <c r="BT1280" s="48"/>
      <c r="BU1280" s="48"/>
      <c r="BV1280" s="48"/>
      <c r="BW1280" s="48"/>
      <c r="BX1280" s="48"/>
      <c r="BY1280" s="48"/>
      <c r="BZ1280" s="48"/>
      <c r="CA1280" s="48"/>
      <c r="CB1280" s="48"/>
      <c r="CC1280" s="48"/>
      <c r="CD1280" s="48"/>
      <c r="CE1280" s="48"/>
      <c r="CF1280" s="52"/>
      <c r="CG1280" s="52"/>
      <c r="CH1280" s="48"/>
      <c r="CI1280" s="48"/>
      <c r="CJ1280" s="48"/>
      <c r="CK1280" s="48"/>
    </row>
    <row r="1281" spans="1:89" ht="15.75" customHeight="1" x14ac:dyDescent="0.3">
      <c r="A1281" s="47"/>
      <c r="B1281" s="48"/>
      <c r="C1281" s="47"/>
      <c r="D1281" s="48"/>
      <c r="E1281" s="48"/>
      <c r="F1281" s="48"/>
      <c r="G1281" s="48"/>
      <c r="H1281" s="48"/>
      <c r="I1281" s="49"/>
      <c r="J1281" s="47"/>
      <c r="K1281" s="47"/>
      <c r="L1281" s="47"/>
      <c r="M1281" s="47"/>
      <c r="N1281" s="47"/>
      <c r="O1281" s="47"/>
      <c r="P1281" s="47"/>
      <c r="Q1281" s="47"/>
      <c r="R1281" s="47"/>
      <c r="S1281" s="50"/>
      <c r="T1281" s="47"/>
      <c r="U1281" s="47"/>
      <c r="V1281" s="47"/>
      <c r="W1281" s="51"/>
      <c r="X1281" s="51"/>
      <c r="Y1281" s="47"/>
      <c r="Z1281" s="47"/>
      <c r="AA1281" s="47"/>
      <c r="AB1281" s="47"/>
      <c r="AC1281" s="47"/>
      <c r="AD1281" s="47"/>
      <c r="AE1281" s="54"/>
      <c r="AF1281" s="54"/>
      <c r="AG1281" s="55"/>
      <c r="AH1281" s="54"/>
      <c r="AI1281" s="54"/>
      <c r="AJ1281" s="54"/>
      <c r="AK1281" s="54"/>
      <c r="AL1281" s="54"/>
      <c r="AM1281" s="54"/>
      <c r="AN1281" s="54"/>
      <c r="AO1281" s="54"/>
      <c r="AP1281" s="54"/>
      <c r="AQ1281" s="54"/>
      <c r="AR1281" s="54"/>
      <c r="AS1281" s="54"/>
      <c r="AT1281" s="54"/>
      <c r="AU1281" s="54"/>
      <c r="AV1281" s="54"/>
      <c r="AW1281" s="54"/>
      <c r="AX1281" s="54"/>
      <c r="AY1281" s="54"/>
      <c r="AZ1281" s="54"/>
      <c r="BA1281" s="54"/>
      <c r="BB1281" s="54"/>
      <c r="BC1281" s="56"/>
      <c r="BD1281" s="51"/>
      <c r="BE1281" s="54"/>
      <c r="BF1281" s="54"/>
      <c r="BG1281" s="47"/>
      <c r="BH1281" s="48"/>
      <c r="BI1281" s="48"/>
      <c r="BJ1281" s="48"/>
      <c r="BK1281" s="48"/>
      <c r="BL1281" s="48"/>
      <c r="BM1281" s="48"/>
      <c r="BN1281" s="48"/>
      <c r="BO1281" s="48"/>
      <c r="BP1281" s="48"/>
      <c r="BQ1281" s="48"/>
      <c r="BR1281" s="48"/>
      <c r="BS1281" s="48"/>
      <c r="BT1281" s="48"/>
      <c r="BU1281" s="48"/>
      <c r="BV1281" s="48"/>
      <c r="BW1281" s="48"/>
      <c r="BX1281" s="48"/>
      <c r="BY1281" s="48"/>
      <c r="BZ1281" s="48"/>
      <c r="CA1281" s="48"/>
      <c r="CB1281" s="48"/>
      <c r="CC1281" s="48"/>
      <c r="CD1281" s="48"/>
      <c r="CE1281" s="48"/>
      <c r="CF1281" s="52"/>
      <c r="CG1281" s="52"/>
      <c r="CH1281" s="48"/>
      <c r="CI1281" s="48"/>
      <c r="CJ1281" s="48"/>
      <c r="CK1281" s="48"/>
    </row>
    <row r="1282" spans="1:89" ht="15.75" customHeight="1" x14ac:dyDescent="0.3">
      <c r="A1282" s="47"/>
      <c r="B1282" s="48"/>
      <c r="C1282" s="47"/>
      <c r="D1282" s="48"/>
      <c r="E1282" s="48"/>
      <c r="F1282" s="48"/>
      <c r="G1282" s="48"/>
      <c r="H1282" s="48"/>
      <c r="I1282" s="49"/>
      <c r="J1282" s="47"/>
      <c r="K1282" s="47"/>
      <c r="L1282" s="47"/>
      <c r="M1282" s="47"/>
      <c r="N1282" s="47"/>
      <c r="O1282" s="47"/>
      <c r="P1282" s="47"/>
      <c r="Q1282" s="47"/>
      <c r="R1282" s="47"/>
      <c r="S1282" s="50"/>
      <c r="T1282" s="47"/>
      <c r="U1282" s="47"/>
      <c r="V1282" s="47"/>
      <c r="W1282" s="51"/>
      <c r="X1282" s="51"/>
      <c r="Y1282" s="47"/>
      <c r="Z1282" s="47"/>
      <c r="AA1282" s="47"/>
      <c r="AB1282" s="47"/>
      <c r="AC1282" s="47"/>
      <c r="AD1282" s="47"/>
      <c r="AE1282" s="54"/>
      <c r="AF1282" s="54"/>
      <c r="AG1282" s="55"/>
      <c r="AH1282" s="54"/>
      <c r="AI1282" s="54"/>
      <c r="AJ1282" s="54"/>
      <c r="AK1282" s="54"/>
      <c r="AL1282" s="54"/>
      <c r="AM1282" s="54"/>
      <c r="AN1282" s="54"/>
      <c r="AO1282" s="54"/>
      <c r="AP1282" s="54"/>
      <c r="AQ1282" s="54"/>
      <c r="AR1282" s="54"/>
      <c r="AS1282" s="54"/>
      <c r="AT1282" s="54"/>
      <c r="AU1282" s="54"/>
      <c r="AV1282" s="54"/>
      <c r="AW1282" s="54"/>
      <c r="AX1282" s="54"/>
      <c r="AY1282" s="54"/>
      <c r="AZ1282" s="54"/>
      <c r="BA1282" s="54"/>
      <c r="BB1282" s="54"/>
      <c r="BC1282" s="56"/>
      <c r="BD1282" s="51"/>
      <c r="BE1282" s="54"/>
      <c r="BF1282" s="54"/>
      <c r="BG1282" s="47"/>
      <c r="BH1282" s="48"/>
      <c r="BI1282" s="48"/>
      <c r="BJ1282" s="48"/>
      <c r="BK1282" s="48"/>
      <c r="BL1282" s="48"/>
      <c r="BM1282" s="48"/>
      <c r="BN1282" s="48"/>
      <c r="BO1282" s="48"/>
      <c r="BP1282" s="48"/>
      <c r="BQ1282" s="48"/>
      <c r="BR1282" s="48"/>
      <c r="BS1282" s="48"/>
      <c r="BT1282" s="48"/>
      <c r="BU1282" s="48"/>
      <c r="BV1282" s="48"/>
      <c r="BW1282" s="48"/>
      <c r="BX1282" s="48"/>
      <c r="BY1282" s="48"/>
      <c r="BZ1282" s="48"/>
      <c r="CA1282" s="48"/>
      <c r="CB1282" s="48"/>
      <c r="CC1282" s="48"/>
      <c r="CD1282" s="48"/>
      <c r="CE1282" s="48"/>
      <c r="CF1282" s="52"/>
      <c r="CG1282" s="52"/>
      <c r="CH1282" s="48"/>
      <c r="CI1282" s="48"/>
      <c r="CJ1282" s="48"/>
      <c r="CK1282" s="48"/>
    </row>
    <row r="1283" spans="1:89" ht="15.75" customHeight="1" x14ac:dyDescent="0.3">
      <c r="A1283" s="47"/>
      <c r="B1283" s="48"/>
      <c r="C1283" s="47"/>
      <c r="D1283" s="48"/>
      <c r="E1283" s="48"/>
      <c r="F1283" s="48"/>
      <c r="G1283" s="48"/>
      <c r="H1283" s="48"/>
      <c r="I1283" s="49"/>
      <c r="J1283" s="47"/>
      <c r="K1283" s="47"/>
      <c r="L1283" s="47"/>
      <c r="M1283" s="47"/>
      <c r="N1283" s="47"/>
      <c r="O1283" s="47"/>
      <c r="P1283" s="47"/>
      <c r="Q1283" s="47"/>
      <c r="R1283" s="47"/>
      <c r="S1283" s="50"/>
      <c r="T1283" s="47"/>
      <c r="U1283" s="47"/>
      <c r="V1283" s="47"/>
      <c r="W1283" s="51"/>
      <c r="X1283" s="51"/>
      <c r="Y1283" s="47"/>
      <c r="Z1283" s="47"/>
      <c r="AA1283" s="47"/>
      <c r="AB1283" s="47"/>
      <c r="AC1283" s="47"/>
      <c r="AD1283" s="47"/>
      <c r="AE1283" s="54"/>
      <c r="AF1283" s="54"/>
      <c r="AG1283" s="55"/>
      <c r="AH1283" s="54"/>
      <c r="AI1283" s="54"/>
      <c r="AJ1283" s="54"/>
      <c r="AK1283" s="54"/>
      <c r="AL1283" s="54"/>
      <c r="AM1283" s="54"/>
      <c r="AN1283" s="54"/>
      <c r="AO1283" s="54"/>
      <c r="AP1283" s="54"/>
      <c r="AQ1283" s="54"/>
      <c r="AR1283" s="54"/>
      <c r="AS1283" s="54"/>
      <c r="AT1283" s="54"/>
      <c r="AU1283" s="54"/>
      <c r="AV1283" s="54"/>
      <c r="AW1283" s="54"/>
      <c r="AX1283" s="54"/>
      <c r="AY1283" s="54"/>
      <c r="AZ1283" s="54"/>
      <c r="BA1283" s="54"/>
      <c r="BB1283" s="54"/>
      <c r="BC1283" s="56"/>
      <c r="BD1283" s="51"/>
      <c r="BE1283" s="54"/>
      <c r="BF1283" s="54"/>
      <c r="BG1283" s="47"/>
      <c r="BH1283" s="48"/>
      <c r="BI1283" s="48"/>
      <c r="BJ1283" s="48"/>
      <c r="BK1283" s="48"/>
      <c r="BL1283" s="48"/>
      <c r="BM1283" s="48"/>
      <c r="BN1283" s="48"/>
      <c r="BO1283" s="48"/>
      <c r="BP1283" s="48"/>
      <c r="BQ1283" s="48"/>
      <c r="BR1283" s="48"/>
      <c r="BS1283" s="48"/>
      <c r="BT1283" s="48"/>
      <c r="BU1283" s="48"/>
      <c r="BV1283" s="48"/>
      <c r="BW1283" s="48"/>
      <c r="BX1283" s="48"/>
      <c r="BY1283" s="48"/>
      <c r="BZ1283" s="48"/>
      <c r="CA1283" s="48"/>
      <c r="CB1283" s="48"/>
      <c r="CC1283" s="48"/>
      <c r="CD1283" s="48"/>
      <c r="CE1283" s="48"/>
      <c r="CF1283" s="52"/>
      <c r="CG1283" s="52"/>
      <c r="CH1283" s="48"/>
      <c r="CI1283" s="48"/>
      <c r="CJ1283" s="48"/>
      <c r="CK1283" s="48"/>
    </row>
    <row r="1284" spans="1:89" ht="15.75" customHeight="1" x14ac:dyDescent="0.3">
      <c r="A1284" s="47"/>
      <c r="B1284" s="48"/>
      <c r="C1284" s="47"/>
      <c r="D1284" s="48"/>
      <c r="E1284" s="48"/>
      <c r="F1284" s="48"/>
      <c r="G1284" s="48"/>
      <c r="H1284" s="48"/>
      <c r="I1284" s="49"/>
      <c r="J1284" s="47"/>
      <c r="K1284" s="47"/>
      <c r="L1284" s="47"/>
      <c r="M1284" s="47"/>
      <c r="N1284" s="47"/>
      <c r="O1284" s="47"/>
      <c r="P1284" s="47"/>
      <c r="Q1284" s="47"/>
      <c r="R1284" s="47"/>
      <c r="S1284" s="50"/>
      <c r="T1284" s="47"/>
      <c r="U1284" s="47"/>
      <c r="V1284" s="47"/>
      <c r="W1284" s="51"/>
      <c r="X1284" s="51"/>
      <c r="Y1284" s="47"/>
      <c r="Z1284" s="47"/>
      <c r="AA1284" s="47"/>
      <c r="AB1284" s="47"/>
      <c r="AC1284" s="47"/>
      <c r="AD1284" s="47"/>
      <c r="AE1284" s="54"/>
      <c r="AF1284" s="54"/>
      <c r="AG1284" s="55"/>
      <c r="AH1284" s="54"/>
      <c r="AI1284" s="54"/>
      <c r="AJ1284" s="54"/>
      <c r="AK1284" s="54"/>
      <c r="AL1284" s="54"/>
      <c r="AM1284" s="54"/>
      <c r="AN1284" s="54"/>
      <c r="AO1284" s="54"/>
      <c r="AP1284" s="54"/>
      <c r="AQ1284" s="54"/>
      <c r="AR1284" s="54"/>
      <c r="AS1284" s="54"/>
      <c r="AT1284" s="54"/>
      <c r="AU1284" s="54"/>
      <c r="AV1284" s="54"/>
      <c r="AW1284" s="54"/>
      <c r="AX1284" s="54"/>
      <c r="AY1284" s="54"/>
      <c r="AZ1284" s="54"/>
      <c r="BA1284" s="54"/>
      <c r="BB1284" s="54"/>
      <c r="BC1284" s="56"/>
      <c r="BD1284" s="51"/>
      <c r="BE1284" s="54"/>
      <c r="BF1284" s="54"/>
      <c r="BG1284" s="47"/>
      <c r="BH1284" s="48"/>
      <c r="BI1284" s="48"/>
      <c r="BJ1284" s="48"/>
      <c r="BK1284" s="48"/>
      <c r="BL1284" s="48"/>
      <c r="BM1284" s="48"/>
      <c r="BN1284" s="48"/>
      <c r="BO1284" s="48"/>
      <c r="BP1284" s="48"/>
      <c r="BQ1284" s="48"/>
      <c r="BR1284" s="48"/>
      <c r="BS1284" s="48"/>
      <c r="BT1284" s="48"/>
      <c r="BU1284" s="48"/>
      <c r="BV1284" s="48"/>
      <c r="BW1284" s="48"/>
      <c r="BX1284" s="48"/>
      <c r="BY1284" s="48"/>
      <c r="BZ1284" s="48"/>
      <c r="CA1284" s="48"/>
      <c r="CB1284" s="48"/>
      <c r="CC1284" s="48"/>
      <c r="CD1284" s="48"/>
      <c r="CE1284" s="48"/>
      <c r="CF1284" s="52"/>
      <c r="CG1284" s="52"/>
      <c r="CH1284" s="48"/>
      <c r="CI1284" s="48"/>
      <c r="CJ1284" s="48"/>
      <c r="CK1284" s="48"/>
    </row>
    <row r="1285" spans="1:89" ht="15.75" customHeight="1" x14ac:dyDescent="0.3">
      <c r="A1285" s="47"/>
      <c r="B1285" s="48"/>
      <c r="C1285" s="47"/>
      <c r="D1285" s="48"/>
      <c r="E1285" s="48"/>
      <c r="F1285" s="48"/>
      <c r="G1285" s="48"/>
      <c r="H1285" s="48"/>
      <c r="I1285" s="49"/>
      <c r="J1285" s="47"/>
      <c r="K1285" s="47"/>
      <c r="L1285" s="47"/>
      <c r="M1285" s="47"/>
      <c r="N1285" s="47"/>
      <c r="O1285" s="47"/>
      <c r="P1285" s="47"/>
      <c r="Q1285" s="47"/>
      <c r="R1285" s="47"/>
      <c r="S1285" s="50"/>
      <c r="T1285" s="47"/>
      <c r="U1285" s="47"/>
      <c r="V1285" s="47"/>
      <c r="W1285" s="51"/>
      <c r="X1285" s="51"/>
      <c r="Y1285" s="47"/>
      <c r="Z1285" s="47"/>
      <c r="AA1285" s="47"/>
      <c r="AB1285" s="47"/>
      <c r="AC1285" s="47"/>
      <c r="AD1285" s="47"/>
      <c r="AE1285" s="54"/>
      <c r="AF1285" s="54"/>
      <c r="AG1285" s="55"/>
      <c r="AH1285" s="54"/>
      <c r="AI1285" s="54"/>
      <c r="AJ1285" s="54"/>
      <c r="AK1285" s="54"/>
      <c r="AL1285" s="54"/>
      <c r="AM1285" s="54"/>
      <c r="AN1285" s="54"/>
      <c r="AO1285" s="54"/>
      <c r="AP1285" s="54"/>
      <c r="AQ1285" s="54"/>
      <c r="AR1285" s="54"/>
      <c r="AS1285" s="54"/>
      <c r="AT1285" s="54"/>
      <c r="AU1285" s="54"/>
      <c r="AV1285" s="54"/>
      <c r="AW1285" s="54"/>
      <c r="AX1285" s="54"/>
      <c r="AY1285" s="54"/>
      <c r="AZ1285" s="54"/>
      <c r="BA1285" s="54"/>
      <c r="BB1285" s="54"/>
      <c r="BC1285" s="56"/>
      <c r="BD1285" s="51"/>
      <c r="BE1285" s="54"/>
      <c r="BF1285" s="54"/>
      <c r="BG1285" s="47"/>
      <c r="BH1285" s="48"/>
      <c r="BI1285" s="48"/>
      <c r="BJ1285" s="48"/>
      <c r="BK1285" s="48"/>
      <c r="BL1285" s="48"/>
      <c r="BM1285" s="48"/>
      <c r="BN1285" s="48"/>
      <c r="BO1285" s="48"/>
      <c r="BP1285" s="48"/>
      <c r="BQ1285" s="48"/>
      <c r="BR1285" s="48"/>
      <c r="BS1285" s="48"/>
      <c r="BT1285" s="48"/>
      <c r="BU1285" s="48"/>
      <c r="BV1285" s="48"/>
      <c r="BW1285" s="48"/>
      <c r="BX1285" s="48"/>
      <c r="BY1285" s="48"/>
      <c r="BZ1285" s="48"/>
      <c r="CA1285" s="48"/>
      <c r="CB1285" s="48"/>
      <c r="CC1285" s="48"/>
      <c r="CD1285" s="48"/>
      <c r="CE1285" s="48"/>
      <c r="CF1285" s="52"/>
      <c r="CG1285" s="52"/>
      <c r="CH1285" s="48"/>
      <c r="CI1285" s="48"/>
      <c r="CJ1285" s="48"/>
      <c r="CK1285" s="48"/>
    </row>
    <row r="1286" spans="1:89" ht="15.75" customHeight="1" x14ac:dyDescent="0.3">
      <c r="A1286" s="47"/>
      <c r="B1286" s="48"/>
      <c r="C1286" s="47"/>
      <c r="D1286" s="48"/>
      <c r="E1286" s="48"/>
      <c r="F1286" s="48"/>
      <c r="G1286" s="48"/>
      <c r="H1286" s="48"/>
      <c r="I1286" s="49"/>
      <c r="J1286" s="47"/>
      <c r="K1286" s="47"/>
      <c r="L1286" s="47"/>
      <c r="M1286" s="47"/>
      <c r="N1286" s="47"/>
      <c r="O1286" s="47"/>
      <c r="P1286" s="47"/>
      <c r="Q1286" s="47"/>
      <c r="R1286" s="47"/>
      <c r="S1286" s="50"/>
      <c r="T1286" s="47"/>
      <c r="U1286" s="47"/>
      <c r="V1286" s="47"/>
      <c r="W1286" s="51"/>
      <c r="X1286" s="51"/>
      <c r="Y1286" s="47"/>
      <c r="Z1286" s="47"/>
      <c r="AA1286" s="47"/>
      <c r="AB1286" s="47"/>
      <c r="AC1286" s="47"/>
      <c r="AD1286" s="47"/>
      <c r="AE1286" s="54"/>
      <c r="AF1286" s="54"/>
      <c r="AG1286" s="55"/>
      <c r="AH1286" s="54"/>
      <c r="AI1286" s="54"/>
      <c r="AJ1286" s="54"/>
      <c r="AK1286" s="54"/>
      <c r="AL1286" s="54"/>
      <c r="AM1286" s="54"/>
      <c r="AN1286" s="54"/>
      <c r="AO1286" s="54"/>
      <c r="AP1286" s="54"/>
      <c r="AQ1286" s="54"/>
      <c r="AR1286" s="54"/>
      <c r="AS1286" s="54"/>
      <c r="AT1286" s="54"/>
      <c r="AU1286" s="54"/>
      <c r="AV1286" s="54"/>
      <c r="AW1286" s="54"/>
      <c r="AX1286" s="54"/>
      <c r="AY1286" s="54"/>
      <c r="AZ1286" s="54"/>
      <c r="BA1286" s="54"/>
      <c r="BB1286" s="54"/>
      <c r="BC1286" s="56"/>
      <c r="BD1286" s="51"/>
      <c r="BE1286" s="54"/>
      <c r="BF1286" s="54"/>
      <c r="BG1286" s="47"/>
      <c r="BH1286" s="48"/>
      <c r="BI1286" s="48"/>
      <c r="BJ1286" s="48"/>
      <c r="BK1286" s="48"/>
      <c r="BL1286" s="48"/>
      <c r="BM1286" s="48"/>
      <c r="BN1286" s="48"/>
      <c r="BO1286" s="48"/>
      <c r="BP1286" s="48"/>
      <c r="BQ1286" s="48"/>
      <c r="BR1286" s="48"/>
      <c r="BS1286" s="48"/>
      <c r="BT1286" s="48"/>
      <c r="BU1286" s="48"/>
      <c r="BV1286" s="48"/>
      <c r="BW1286" s="48"/>
      <c r="BX1286" s="48"/>
      <c r="BY1286" s="48"/>
      <c r="BZ1286" s="48"/>
      <c r="CA1286" s="48"/>
      <c r="CB1286" s="48"/>
      <c r="CC1286" s="48"/>
      <c r="CD1286" s="48"/>
      <c r="CE1286" s="48"/>
      <c r="CF1286" s="52"/>
      <c r="CG1286" s="52"/>
      <c r="CH1286" s="48"/>
      <c r="CI1286" s="48"/>
      <c r="CJ1286" s="48"/>
      <c r="CK1286" s="48"/>
    </row>
    <row r="1287" spans="1:89" ht="15.75" customHeight="1" x14ac:dyDescent="0.3">
      <c r="A1287" s="47"/>
      <c r="B1287" s="48"/>
      <c r="C1287" s="47"/>
      <c r="D1287" s="48"/>
      <c r="E1287" s="48"/>
      <c r="F1287" s="48"/>
      <c r="G1287" s="48"/>
      <c r="H1287" s="48"/>
      <c r="I1287" s="49"/>
      <c r="J1287" s="47"/>
      <c r="K1287" s="47"/>
      <c r="L1287" s="47"/>
      <c r="M1287" s="47"/>
      <c r="N1287" s="47"/>
      <c r="O1287" s="47"/>
      <c r="P1287" s="47"/>
      <c r="Q1287" s="47"/>
      <c r="R1287" s="47"/>
      <c r="S1287" s="50"/>
      <c r="T1287" s="47"/>
      <c r="U1287" s="47"/>
      <c r="V1287" s="47"/>
      <c r="W1287" s="51"/>
      <c r="X1287" s="51"/>
      <c r="Y1287" s="47"/>
      <c r="Z1287" s="47"/>
      <c r="AA1287" s="47"/>
      <c r="AB1287" s="47"/>
      <c r="AC1287" s="47"/>
      <c r="AD1287" s="47"/>
      <c r="AE1287" s="54"/>
      <c r="AF1287" s="54"/>
      <c r="AG1287" s="55"/>
      <c r="AH1287" s="54"/>
      <c r="AI1287" s="54"/>
      <c r="AJ1287" s="54"/>
      <c r="AK1287" s="54"/>
      <c r="AL1287" s="54"/>
      <c r="AM1287" s="54"/>
      <c r="AN1287" s="54"/>
      <c r="AO1287" s="54"/>
      <c r="AP1287" s="54"/>
      <c r="AQ1287" s="54"/>
      <c r="AR1287" s="54"/>
      <c r="AS1287" s="54"/>
      <c r="AT1287" s="54"/>
      <c r="AU1287" s="54"/>
      <c r="AV1287" s="54"/>
      <c r="AW1287" s="54"/>
      <c r="AX1287" s="54"/>
      <c r="AY1287" s="54"/>
      <c r="AZ1287" s="54"/>
      <c r="BA1287" s="54"/>
      <c r="BB1287" s="54"/>
      <c r="BC1287" s="56"/>
      <c r="BD1287" s="51"/>
      <c r="BE1287" s="54"/>
      <c r="BF1287" s="54"/>
      <c r="BG1287" s="47"/>
      <c r="BH1287" s="48"/>
      <c r="BI1287" s="48"/>
      <c r="BJ1287" s="48"/>
      <c r="BK1287" s="48"/>
      <c r="BL1287" s="48"/>
      <c r="BM1287" s="48"/>
      <c r="BN1287" s="48"/>
      <c r="BO1287" s="48"/>
      <c r="BP1287" s="48"/>
      <c r="BQ1287" s="48"/>
      <c r="BR1287" s="48"/>
      <c r="BS1287" s="48"/>
      <c r="BT1287" s="48"/>
      <c r="BU1287" s="48"/>
      <c r="BV1287" s="48"/>
      <c r="BW1287" s="48"/>
      <c r="BX1287" s="48"/>
      <c r="BY1287" s="48"/>
      <c r="BZ1287" s="48"/>
      <c r="CA1287" s="48"/>
      <c r="CB1287" s="48"/>
      <c r="CC1287" s="48"/>
      <c r="CD1287" s="48"/>
      <c r="CE1287" s="48"/>
      <c r="CF1287" s="52"/>
      <c r="CG1287" s="52"/>
      <c r="CH1287" s="48"/>
      <c r="CI1287" s="48"/>
      <c r="CJ1287" s="48"/>
      <c r="CK1287" s="48"/>
    </row>
    <row r="1288" spans="1:89" ht="15.75" customHeight="1" x14ac:dyDescent="0.3">
      <c r="A1288" s="47"/>
      <c r="B1288" s="48"/>
      <c r="C1288" s="47"/>
      <c r="D1288" s="48"/>
      <c r="E1288" s="48"/>
      <c r="F1288" s="48"/>
      <c r="G1288" s="48"/>
      <c r="H1288" s="48"/>
      <c r="I1288" s="49"/>
      <c r="J1288" s="47"/>
      <c r="K1288" s="47"/>
      <c r="L1288" s="47"/>
      <c r="M1288" s="47"/>
      <c r="N1288" s="47"/>
      <c r="O1288" s="47"/>
      <c r="P1288" s="47"/>
      <c r="Q1288" s="47"/>
      <c r="R1288" s="47"/>
      <c r="S1288" s="50"/>
      <c r="T1288" s="47"/>
      <c r="U1288" s="47"/>
      <c r="V1288" s="47"/>
      <c r="W1288" s="51"/>
      <c r="X1288" s="51"/>
      <c r="Y1288" s="47"/>
      <c r="Z1288" s="47"/>
      <c r="AA1288" s="47"/>
      <c r="AB1288" s="47"/>
      <c r="AC1288" s="47"/>
      <c r="AD1288" s="47"/>
      <c r="AE1288" s="54"/>
      <c r="AF1288" s="54"/>
      <c r="AG1288" s="55"/>
      <c r="AH1288" s="54"/>
      <c r="AI1288" s="54"/>
      <c r="AJ1288" s="54"/>
      <c r="AK1288" s="54"/>
      <c r="AL1288" s="54"/>
      <c r="AM1288" s="54"/>
      <c r="AN1288" s="54"/>
      <c r="AO1288" s="54"/>
      <c r="AP1288" s="54"/>
      <c r="AQ1288" s="54"/>
      <c r="AR1288" s="54"/>
      <c r="AS1288" s="54"/>
      <c r="AT1288" s="54"/>
      <c r="AU1288" s="54"/>
      <c r="AV1288" s="54"/>
      <c r="AW1288" s="54"/>
      <c r="AX1288" s="54"/>
      <c r="AY1288" s="54"/>
      <c r="AZ1288" s="54"/>
      <c r="BA1288" s="54"/>
      <c r="BB1288" s="54"/>
      <c r="BC1288" s="56"/>
      <c r="BD1288" s="51"/>
      <c r="BE1288" s="54"/>
      <c r="BF1288" s="54"/>
      <c r="BG1288" s="47"/>
      <c r="BH1288" s="48"/>
      <c r="BI1288" s="48"/>
      <c r="BJ1288" s="48"/>
      <c r="BK1288" s="48"/>
      <c r="BL1288" s="48"/>
      <c r="BM1288" s="48"/>
      <c r="BN1288" s="48"/>
      <c r="BO1288" s="48"/>
      <c r="BP1288" s="48"/>
      <c r="BQ1288" s="48"/>
      <c r="BR1288" s="48"/>
      <c r="BS1288" s="48"/>
      <c r="BT1288" s="48"/>
      <c r="BU1288" s="48"/>
      <c r="BV1288" s="48"/>
      <c r="BW1288" s="48"/>
      <c r="BX1288" s="48"/>
      <c r="BY1288" s="48"/>
      <c r="BZ1288" s="48"/>
      <c r="CA1288" s="48"/>
      <c r="CB1288" s="48"/>
      <c r="CC1288" s="48"/>
      <c r="CD1288" s="48"/>
      <c r="CE1288" s="48"/>
      <c r="CF1288" s="52"/>
      <c r="CG1288" s="52"/>
      <c r="CH1288" s="48"/>
      <c r="CI1288" s="48"/>
      <c r="CJ1288" s="48"/>
      <c r="CK1288" s="48"/>
    </row>
    <row r="1289" spans="1:89" ht="15.75" customHeight="1" x14ac:dyDescent="0.3">
      <c r="A1289" s="47"/>
      <c r="B1289" s="48"/>
      <c r="C1289" s="47"/>
      <c r="D1289" s="48"/>
      <c r="E1289" s="48"/>
      <c r="F1289" s="48"/>
      <c r="G1289" s="48"/>
      <c r="H1289" s="48"/>
      <c r="I1289" s="49"/>
      <c r="J1289" s="47"/>
      <c r="K1289" s="47"/>
      <c r="L1289" s="47"/>
      <c r="M1289" s="47"/>
      <c r="N1289" s="47"/>
      <c r="O1289" s="47"/>
      <c r="P1289" s="47"/>
      <c r="Q1289" s="47"/>
      <c r="R1289" s="47"/>
      <c r="S1289" s="50"/>
      <c r="T1289" s="47"/>
      <c r="U1289" s="47"/>
      <c r="V1289" s="47"/>
      <c r="W1289" s="51"/>
      <c r="X1289" s="51"/>
      <c r="Y1289" s="47"/>
      <c r="Z1289" s="47"/>
      <c r="AA1289" s="47"/>
      <c r="AB1289" s="47"/>
      <c r="AC1289" s="47"/>
      <c r="AD1289" s="47"/>
      <c r="AE1289" s="54"/>
      <c r="AF1289" s="54"/>
      <c r="AG1289" s="55"/>
      <c r="AH1289" s="54"/>
      <c r="AI1289" s="54"/>
      <c r="AJ1289" s="54"/>
      <c r="AK1289" s="54"/>
      <c r="AL1289" s="54"/>
      <c r="AM1289" s="54"/>
      <c r="AN1289" s="54"/>
      <c r="AO1289" s="54"/>
      <c r="AP1289" s="54"/>
      <c r="AQ1289" s="54"/>
      <c r="AR1289" s="54"/>
      <c r="AS1289" s="54"/>
      <c r="AT1289" s="54"/>
      <c r="AU1289" s="54"/>
      <c r="AV1289" s="54"/>
      <c r="AW1289" s="54"/>
      <c r="AX1289" s="54"/>
      <c r="AY1289" s="54"/>
      <c r="AZ1289" s="54"/>
      <c r="BA1289" s="54"/>
      <c r="BB1289" s="54"/>
      <c r="BC1289" s="56"/>
      <c r="BD1289" s="51"/>
      <c r="BE1289" s="54"/>
      <c r="BF1289" s="54"/>
      <c r="BG1289" s="47"/>
      <c r="BH1289" s="48"/>
      <c r="BI1289" s="48"/>
      <c r="BJ1289" s="48"/>
      <c r="BK1289" s="48"/>
      <c r="BL1289" s="48"/>
      <c r="BM1289" s="48"/>
      <c r="BN1289" s="48"/>
      <c r="BO1289" s="48"/>
      <c r="BP1289" s="48"/>
      <c r="BQ1289" s="48"/>
      <c r="BR1289" s="48"/>
      <c r="BS1289" s="48"/>
      <c r="BT1289" s="48"/>
      <c r="BU1289" s="48"/>
      <c r="BV1289" s="48"/>
      <c r="BW1289" s="48"/>
      <c r="BX1289" s="48"/>
      <c r="BY1289" s="48"/>
      <c r="BZ1289" s="48"/>
      <c r="CA1289" s="48"/>
      <c r="CB1289" s="48"/>
      <c r="CC1289" s="48"/>
      <c r="CD1289" s="48"/>
      <c r="CE1289" s="48"/>
      <c r="CF1289" s="52"/>
      <c r="CG1289" s="52"/>
      <c r="CH1289" s="48"/>
      <c r="CI1289" s="48"/>
      <c r="CJ1289" s="48"/>
      <c r="CK1289" s="48"/>
    </row>
    <row r="1290" spans="1:89" ht="15.75" customHeight="1" x14ac:dyDescent="0.3">
      <c r="A1290" s="47"/>
      <c r="B1290" s="48"/>
      <c r="C1290" s="47"/>
      <c r="D1290" s="48"/>
      <c r="E1290" s="48"/>
      <c r="F1290" s="48"/>
      <c r="G1290" s="48"/>
      <c r="H1290" s="48"/>
      <c r="I1290" s="49"/>
      <c r="J1290" s="47"/>
      <c r="K1290" s="47"/>
      <c r="L1290" s="47"/>
      <c r="M1290" s="47"/>
      <c r="N1290" s="47"/>
      <c r="O1290" s="47"/>
      <c r="P1290" s="47"/>
      <c r="Q1290" s="47"/>
      <c r="R1290" s="47"/>
      <c r="S1290" s="50"/>
      <c r="T1290" s="47"/>
      <c r="U1290" s="47"/>
      <c r="V1290" s="47"/>
      <c r="W1290" s="51"/>
      <c r="X1290" s="51"/>
      <c r="Y1290" s="47"/>
      <c r="Z1290" s="47"/>
      <c r="AA1290" s="47"/>
      <c r="AB1290" s="47"/>
      <c r="AC1290" s="47"/>
      <c r="AD1290" s="47"/>
      <c r="AE1290" s="54"/>
      <c r="AF1290" s="54"/>
      <c r="AG1290" s="55"/>
      <c r="AH1290" s="54"/>
      <c r="AI1290" s="54"/>
      <c r="AJ1290" s="54"/>
      <c r="AK1290" s="54"/>
      <c r="AL1290" s="54"/>
      <c r="AM1290" s="54"/>
      <c r="AN1290" s="54"/>
      <c r="AO1290" s="54"/>
      <c r="AP1290" s="54"/>
      <c r="AQ1290" s="54"/>
      <c r="AR1290" s="54"/>
      <c r="AS1290" s="54"/>
      <c r="AT1290" s="54"/>
      <c r="AU1290" s="54"/>
      <c r="AV1290" s="54"/>
      <c r="AW1290" s="54"/>
      <c r="AX1290" s="54"/>
      <c r="AY1290" s="54"/>
      <c r="AZ1290" s="54"/>
      <c r="BA1290" s="54"/>
      <c r="BB1290" s="54"/>
      <c r="BC1290" s="56"/>
      <c r="BD1290" s="51"/>
      <c r="BE1290" s="54"/>
      <c r="BF1290" s="54"/>
      <c r="BG1290" s="47"/>
      <c r="BH1290" s="48"/>
      <c r="BI1290" s="48"/>
      <c r="BJ1290" s="48"/>
      <c r="BK1290" s="48"/>
      <c r="BL1290" s="48"/>
      <c r="BM1290" s="48"/>
      <c r="BN1290" s="48"/>
      <c r="BO1290" s="48"/>
      <c r="BP1290" s="48"/>
      <c r="BQ1290" s="48"/>
      <c r="BR1290" s="48"/>
      <c r="BS1290" s="48"/>
      <c r="BT1290" s="48"/>
      <c r="BU1290" s="48"/>
      <c r="BV1290" s="48"/>
      <c r="BW1290" s="48"/>
      <c r="BX1290" s="48"/>
      <c r="BY1290" s="48"/>
      <c r="BZ1290" s="48"/>
      <c r="CA1290" s="48"/>
      <c r="CB1290" s="48"/>
      <c r="CC1290" s="48"/>
      <c r="CD1290" s="48"/>
      <c r="CE1290" s="48"/>
      <c r="CF1290" s="52"/>
      <c r="CG1290" s="52"/>
      <c r="CH1290" s="48"/>
      <c r="CI1290" s="48"/>
      <c r="CJ1290" s="48"/>
      <c r="CK1290" s="48"/>
    </row>
    <row r="1291" spans="1:89" ht="15.75" customHeight="1" x14ac:dyDescent="0.3">
      <c r="A1291" s="47"/>
      <c r="B1291" s="48"/>
      <c r="C1291" s="47"/>
      <c r="D1291" s="48"/>
      <c r="E1291" s="48"/>
      <c r="F1291" s="48"/>
      <c r="G1291" s="48"/>
      <c r="H1291" s="48"/>
      <c r="I1291" s="49"/>
      <c r="J1291" s="47"/>
      <c r="K1291" s="47"/>
      <c r="L1291" s="47"/>
      <c r="M1291" s="47"/>
      <c r="N1291" s="47"/>
      <c r="O1291" s="47"/>
      <c r="P1291" s="47"/>
      <c r="Q1291" s="47"/>
      <c r="R1291" s="47"/>
      <c r="S1291" s="50"/>
      <c r="T1291" s="47"/>
      <c r="U1291" s="47"/>
      <c r="V1291" s="47"/>
      <c r="W1291" s="51"/>
      <c r="X1291" s="51"/>
      <c r="Y1291" s="47"/>
      <c r="Z1291" s="47"/>
      <c r="AA1291" s="47"/>
      <c r="AB1291" s="47"/>
      <c r="AC1291" s="47"/>
      <c r="AD1291" s="47"/>
      <c r="AE1291" s="54"/>
      <c r="AF1291" s="54"/>
      <c r="AG1291" s="55"/>
      <c r="AH1291" s="54"/>
      <c r="AI1291" s="54"/>
      <c r="AJ1291" s="54"/>
      <c r="AK1291" s="54"/>
      <c r="AL1291" s="54"/>
      <c r="AM1291" s="54"/>
      <c r="AN1291" s="54"/>
      <c r="AO1291" s="54"/>
      <c r="AP1291" s="54"/>
      <c r="AQ1291" s="54"/>
      <c r="AR1291" s="54"/>
      <c r="AS1291" s="54"/>
      <c r="AT1291" s="54"/>
      <c r="AU1291" s="54"/>
      <c r="AV1291" s="54"/>
      <c r="AW1291" s="54"/>
      <c r="AX1291" s="54"/>
      <c r="AY1291" s="54"/>
      <c r="AZ1291" s="54"/>
      <c r="BA1291" s="54"/>
      <c r="BB1291" s="54"/>
      <c r="BC1291" s="56"/>
      <c r="BD1291" s="51"/>
      <c r="BE1291" s="54"/>
      <c r="BF1291" s="54"/>
      <c r="BG1291" s="47"/>
      <c r="BH1291" s="48"/>
      <c r="BI1291" s="48"/>
      <c r="BJ1291" s="48"/>
      <c r="BK1291" s="48"/>
      <c r="BL1291" s="48"/>
      <c r="BM1291" s="48"/>
      <c r="BN1291" s="48"/>
      <c r="BO1291" s="48"/>
      <c r="BP1291" s="48"/>
      <c r="BQ1291" s="48"/>
      <c r="BR1291" s="48"/>
      <c r="BS1291" s="48"/>
      <c r="BT1291" s="48"/>
      <c r="BU1291" s="48"/>
      <c r="BV1291" s="48"/>
      <c r="BW1291" s="48"/>
      <c r="BX1291" s="48"/>
      <c r="BY1291" s="48"/>
      <c r="BZ1291" s="48"/>
      <c r="CA1291" s="48"/>
      <c r="CB1291" s="48"/>
      <c r="CC1291" s="48"/>
      <c r="CD1291" s="48"/>
      <c r="CE1291" s="48"/>
      <c r="CF1291" s="52"/>
      <c r="CG1291" s="52"/>
      <c r="CH1291" s="48"/>
      <c r="CI1291" s="48"/>
      <c r="CJ1291" s="48"/>
      <c r="CK1291" s="48"/>
    </row>
    <row r="1292" spans="1:89" ht="15.75" customHeight="1" x14ac:dyDescent="0.3">
      <c r="A1292" s="47"/>
      <c r="B1292" s="48"/>
      <c r="C1292" s="47"/>
      <c r="D1292" s="48"/>
      <c r="E1292" s="48"/>
      <c r="F1292" s="48"/>
      <c r="G1292" s="48"/>
      <c r="H1292" s="48"/>
      <c r="I1292" s="49"/>
      <c r="J1292" s="47"/>
      <c r="K1292" s="47"/>
      <c r="L1292" s="47"/>
      <c r="M1292" s="47"/>
      <c r="N1292" s="47"/>
      <c r="O1292" s="47"/>
      <c r="P1292" s="47"/>
      <c r="Q1292" s="47"/>
      <c r="R1292" s="47"/>
      <c r="S1292" s="50"/>
      <c r="T1292" s="47"/>
      <c r="U1292" s="47"/>
      <c r="V1292" s="47"/>
      <c r="W1292" s="51"/>
      <c r="X1292" s="51"/>
      <c r="Y1292" s="47"/>
      <c r="Z1292" s="47"/>
      <c r="AA1292" s="47"/>
      <c r="AB1292" s="47"/>
      <c r="AC1292" s="47"/>
      <c r="AD1292" s="47"/>
      <c r="AE1292" s="54"/>
      <c r="AF1292" s="54"/>
      <c r="AG1292" s="55"/>
      <c r="AH1292" s="54"/>
      <c r="AI1292" s="54"/>
      <c r="AJ1292" s="54"/>
      <c r="AK1292" s="54"/>
      <c r="AL1292" s="54"/>
      <c r="AM1292" s="54"/>
      <c r="AN1292" s="54"/>
      <c r="AO1292" s="54"/>
      <c r="AP1292" s="54"/>
      <c r="AQ1292" s="54"/>
      <c r="AR1292" s="54"/>
      <c r="AS1292" s="54"/>
      <c r="AT1292" s="54"/>
      <c r="AU1292" s="54"/>
      <c r="AV1292" s="54"/>
      <c r="AW1292" s="54"/>
      <c r="AX1292" s="54"/>
      <c r="AY1292" s="54"/>
      <c r="AZ1292" s="54"/>
      <c r="BA1292" s="54"/>
      <c r="BB1292" s="54"/>
      <c r="BC1292" s="56"/>
      <c r="BD1292" s="51"/>
      <c r="BE1292" s="54"/>
      <c r="BF1292" s="54"/>
      <c r="BG1292" s="47"/>
      <c r="BH1292" s="48"/>
      <c r="BI1292" s="48"/>
      <c r="BJ1292" s="48"/>
      <c r="BK1292" s="48"/>
      <c r="BL1292" s="48"/>
      <c r="BM1292" s="48"/>
      <c r="BN1292" s="48"/>
      <c r="BO1292" s="48"/>
      <c r="BP1292" s="48"/>
      <c r="BQ1292" s="48"/>
      <c r="BR1292" s="48"/>
      <c r="BS1292" s="48"/>
      <c r="BT1292" s="48"/>
      <c r="BU1292" s="48"/>
      <c r="BV1292" s="48"/>
      <c r="BW1292" s="48"/>
      <c r="BX1292" s="48"/>
      <c r="BY1292" s="48"/>
      <c r="BZ1292" s="48"/>
      <c r="CA1292" s="48"/>
      <c r="CB1292" s="48"/>
      <c r="CC1292" s="48"/>
      <c r="CD1292" s="48"/>
      <c r="CE1292" s="48"/>
      <c r="CF1292" s="52"/>
      <c r="CG1292" s="52"/>
      <c r="CH1292" s="48"/>
      <c r="CI1292" s="48"/>
      <c r="CJ1292" s="48"/>
      <c r="CK1292" s="48"/>
    </row>
    <row r="1293" spans="1:89" ht="15.75" customHeight="1" x14ac:dyDescent="0.3">
      <c r="A1293" s="47"/>
      <c r="B1293" s="48"/>
      <c r="C1293" s="47"/>
      <c r="D1293" s="48"/>
      <c r="E1293" s="48"/>
      <c r="F1293" s="48"/>
      <c r="G1293" s="48"/>
      <c r="H1293" s="48"/>
      <c r="I1293" s="49"/>
      <c r="J1293" s="47"/>
      <c r="K1293" s="47"/>
      <c r="L1293" s="47"/>
      <c r="M1293" s="47"/>
      <c r="N1293" s="47"/>
      <c r="O1293" s="47"/>
      <c r="P1293" s="47"/>
      <c r="Q1293" s="47"/>
      <c r="R1293" s="47"/>
      <c r="S1293" s="50"/>
      <c r="T1293" s="47"/>
      <c r="U1293" s="47"/>
      <c r="V1293" s="47"/>
      <c r="W1293" s="51"/>
      <c r="X1293" s="51"/>
      <c r="Y1293" s="47"/>
      <c r="Z1293" s="47"/>
      <c r="AA1293" s="47"/>
      <c r="AB1293" s="47"/>
      <c r="AC1293" s="47"/>
      <c r="AD1293" s="47"/>
      <c r="AE1293" s="54"/>
      <c r="AF1293" s="54"/>
      <c r="AG1293" s="55"/>
      <c r="AH1293" s="54"/>
      <c r="AI1293" s="54"/>
      <c r="AJ1293" s="54"/>
      <c r="AK1293" s="54"/>
      <c r="AL1293" s="54"/>
      <c r="AM1293" s="54"/>
      <c r="AN1293" s="54"/>
      <c r="AO1293" s="54"/>
      <c r="AP1293" s="54"/>
      <c r="AQ1293" s="54"/>
      <c r="AR1293" s="54"/>
      <c r="AS1293" s="54"/>
      <c r="AT1293" s="54"/>
      <c r="AU1293" s="54"/>
      <c r="AV1293" s="54"/>
      <c r="AW1293" s="54"/>
      <c r="AX1293" s="54"/>
      <c r="AY1293" s="54"/>
      <c r="AZ1293" s="54"/>
      <c r="BA1293" s="54"/>
      <c r="BB1293" s="54"/>
      <c r="BC1293" s="56"/>
      <c r="BD1293" s="51"/>
      <c r="BE1293" s="54"/>
      <c r="BF1293" s="54"/>
      <c r="BG1293" s="47"/>
      <c r="BH1293" s="48"/>
      <c r="BI1293" s="48"/>
      <c r="BJ1293" s="48"/>
      <c r="BK1293" s="48"/>
      <c r="BL1293" s="48"/>
      <c r="BM1293" s="48"/>
      <c r="BN1293" s="48"/>
      <c r="BO1293" s="48"/>
      <c r="BP1293" s="48"/>
      <c r="BQ1293" s="48"/>
      <c r="BR1293" s="48"/>
      <c r="BS1293" s="48"/>
      <c r="BT1293" s="48"/>
      <c r="BU1293" s="48"/>
      <c r="BV1293" s="48"/>
      <c r="BW1293" s="48"/>
      <c r="BX1293" s="48"/>
      <c r="BY1293" s="48"/>
      <c r="BZ1293" s="48"/>
      <c r="CA1293" s="48"/>
      <c r="CB1293" s="48"/>
      <c r="CC1293" s="48"/>
      <c r="CD1293" s="48"/>
      <c r="CE1293" s="48"/>
      <c r="CF1293" s="52"/>
      <c r="CG1293" s="52"/>
      <c r="CH1293" s="48"/>
      <c r="CI1293" s="48"/>
      <c r="CJ1293" s="48"/>
      <c r="CK1293" s="48"/>
    </row>
    <row r="1294" spans="1:89" ht="15.75" customHeight="1" x14ac:dyDescent="0.3">
      <c r="A1294" s="47"/>
      <c r="B1294" s="48"/>
      <c r="C1294" s="47"/>
      <c r="D1294" s="48"/>
      <c r="E1294" s="48"/>
      <c r="F1294" s="48"/>
      <c r="G1294" s="48"/>
      <c r="H1294" s="48"/>
      <c r="I1294" s="49"/>
      <c r="J1294" s="47"/>
      <c r="K1294" s="47"/>
      <c r="L1294" s="47"/>
      <c r="M1294" s="47"/>
      <c r="N1294" s="47"/>
      <c r="O1294" s="47"/>
      <c r="P1294" s="47"/>
      <c r="Q1294" s="47"/>
      <c r="R1294" s="47"/>
      <c r="S1294" s="50"/>
      <c r="T1294" s="47"/>
      <c r="U1294" s="47"/>
      <c r="V1294" s="47"/>
      <c r="W1294" s="51"/>
      <c r="X1294" s="51"/>
      <c r="Y1294" s="47"/>
      <c r="Z1294" s="47"/>
      <c r="AA1294" s="47"/>
      <c r="AB1294" s="47"/>
      <c r="AC1294" s="47"/>
      <c r="AD1294" s="47"/>
      <c r="AE1294" s="54"/>
      <c r="AF1294" s="54"/>
      <c r="AG1294" s="55"/>
      <c r="AH1294" s="54"/>
      <c r="AI1294" s="54"/>
      <c r="AJ1294" s="54"/>
      <c r="AK1294" s="54"/>
      <c r="AL1294" s="54"/>
      <c r="AM1294" s="54"/>
      <c r="AN1294" s="54"/>
      <c r="AO1294" s="54"/>
      <c r="AP1294" s="54"/>
      <c r="AQ1294" s="54"/>
      <c r="AR1294" s="54"/>
      <c r="AS1294" s="54"/>
      <c r="AT1294" s="54"/>
      <c r="AU1294" s="54"/>
      <c r="AV1294" s="54"/>
      <c r="AW1294" s="54"/>
      <c r="AX1294" s="54"/>
      <c r="AY1294" s="54"/>
      <c r="AZ1294" s="54"/>
      <c r="BA1294" s="54"/>
      <c r="BB1294" s="54"/>
      <c r="BC1294" s="56"/>
      <c r="BD1294" s="51"/>
      <c r="BE1294" s="54"/>
      <c r="BF1294" s="54"/>
      <c r="BG1294" s="47"/>
      <c r="BH1294" s="48"/>
      <c r="BI1294" s="48"/>
      <c r="BJ1294" s="48"/>
      <c r="BK1294" s="48"/>
      <c r="BL1294" s="48"/>
      <c r="BM1294" s="48"/>
      <c r="BN1294" s="48"/>
      <c r="BO1294" s="48"/>
      <c r="BP1294" s="48"/>
      <c r="BQ1294" s="48"/>
      <c r="BR1294" s="48"/>
      <c r="BS1294" s="48"/>
      <c r="BT1294" s="48"/>
      <c r="BU1294" s="48"/>
      <c r="BV1294" s="48"/>
      <c r="BW1294" s="48"/>
      <c r="BX1294" s="48"/>
      <c r="BY1294" s="48"/>
      <c r="BZ1294" s="48"/>
      <c r="CA1294" s="48"/>
      <c r="CB1294" s="48"/>
      <c r="CC1294" s="48"/>
      <c r="CD1294" s="48"/>
      <c r="CE1294" s="48"/>
      <c r="CF1294" s="52"/>
      <c r="CG1294" s="52"/>
      <c r="CH1294" s="48"/>
      <c r="CI1294" s="48"/>
      <c r="CJ1294" s="48"/>
      <c r="CK1294" s="48"/>
    </row>
    <row r="1295" spans="1:89" ht="15.75" customHeight="1" x14ac:dyDescent="0.3">
      <c r="A1295" s="47"/>
      <c r="B1295" s="48"/>
      <c r="C1295" s="47"/>
      <c r="D1295" s="48"/>
      <c r="E1295" s="48"/>
      <c r="F1295" s="48"/>
      <c r="G1295" s="48"/>
      <c r="H1295" s="48"/>
      <c r="I1295" s="49"/>
      <c r="J1295" s="47"/>
      <c r="K1295" s="47"/>
      <c r="L1295" s="47"/>
      <c r="M1295" s="47"/>
      <c r="N1295" s="47"/>
      <c r="O1295" s="47"/>
      <c r="P1295" s="47"/>
      <c r="Q1295" s="47"/>
      <c r="R1295" s="47"/>
      <c r="S1295" s="50"/>
      <c r="T1295" s="47"/>
      <c r="U1295" s="47"/>
      <c r="V1295" s="47"/>
      <c r="W1295" s="51"/>
      <c r="X1295" s="51"/>
      <c r="Y1295" s="47"/>
      <c r="Z1295" s="47"/>
      <c r="AA1295" s="47"/>
      <c r="AB1295" s="47"/>
      <c r="AC1295" s="47"/>
      <c r="AD1295" s="47"/>
      <c r="AE1295" s="54"/>
      <c r="AF1295" s="54"/>
      <c r="AG1295" s="55"/>
      <c r="AH1295" s="54"/>
      <c r="AI1295" s="54"/>
      <c r="AJ1295" s="54"/>
      <c r="AK1295" s="54"/>
      <c r="AL1295" s="54"/>
      <c r="AM1295" s="54"/>
      <c r="AN1295" s="54"/>
      <c r="AO1295" s="54"/>
      <c r="AP1295" s="54"/>
      <c r="AQ1295" s="54"/>
      <c r="AR1295" s="54"/>
      <c r="AS1295" s="54"/>
      <c r="AT1295" s="54"/>
      <c r="AU1295" s="54"/>
      <c r="AV1295" s="54"/>
      <c r="AW1295" s="54"/>
      <c r="AX1295" s="54"/>
      <c r="AY1295" s="54"/>
      <c r="AZ1295" s="54"/>
      <c r="BA1295" s="54"/>
      <c r="BB1295" s="54"/>
      <c r="BC1295" s="56"/>
      <c r="BD1295" s="51"/>
      <c r="BE1295" s="54"/>
      <c r="BF1295" s="54"/>
      <c r="BG1295" s="47"/>
      <c r="BH1295" s="48"/>
      <c r="BI1295" s="48"/>
      <c r="BJ1295" s="48"/>
      <c r="BK1295" s="48"/>
      <c r="BL1295" s="48"/>
      <c r="BM1295" s="48"/>
      <c r="BN1295" s="48"/>
      <c r="BO1295" s="48"/>
      <c r="BP1295" s="48"/>
      <c r="BQ1295" s="48"/>
      <c r="BR1295" s="48"/>
      <c r="BS1295" s="48"/>
      <c r="BT1295" s="48"/>
      <c r="BU1295" s="48"/>
      <c r="BV1295" s="48"/>
      <c r="BW1295" s="48"/>
      <c r="BX1295" s="48"/>
      <c r="BY1295" s="48"/>
      <c r="BZ1295" s="48"/>
      <c r="CA1295" s="48"/>
      <c r="CB1295" s="48"/>
      <c r="CC1295" s="48"/>
      <c r="CD1295" s="48"/>
      <c r="CE1295" s="48"/>
      <c r="CF1295" s="52"/>
      <c r="CG1295" s="52"/>
      <c r="CH1295" s="48"/>
      <c r="CI1295" s="48"/>
      <c r="CJ1295" s="48"/>
      <c r="CK1295" s="48"/>
    </row>
    <row r="1296" spans="1:89" ht="15.75" customHeight="1" x14ac:dyDescent="0.3">
      <c r="A1296" s="47"/>
      <c r="B1296" s="48"/>
      <c r="C1296" s="47"/>
      <c r="D1296" s="48"/>
      <c r="E1296" s="48"/>
      <c r="F1296" s="48"/>
      <c r="G1296" s="48"/>
      <c r="H1296" s="48"/>
      <c r="I1296" s="49"/>
      <c r="J1296" s="47"/>
      <c r="K1296" s="47"/>
      <c r="L1296" s="47"/>
      <c r="M1296" s="47"/>
      <c r="N1296" s="47"/>
      <c r="O1296" s="47"/>
      <c r="P1296" s="47"/>
      <c r="Q1296" s="47"/>
      <c r="R1296" s="47"/>
      <c r="S1296" s="50"/>
      <c r="T1296" s="47"/>
      <c r="U1296" s="47"/>
      <c r="V1296" s="47"/>
      <c r="W1296" s="51"/>
      <c r="X1296" s="51"/>
      <c r="Y1296" s="47"/>
      <c r="Z1296" s="47"/>
      <c r="AA1296" s="47"/>
      <c r="AB1296" s="47"/>
      <c r="AC1296" s="47"/>
      <c r="AD1296" s="47"/>
      <c r="AE1296" s="54"/>
      <c r="AF1296" s="54"/>
      <c r="AG1296" s="55"/>
      <c r="AH1296" s="54"/>
      <c r="AI1296" s="54"/>
      <c r="AJ1296" s="54"/>
      <c r="AK1296" s="54"/>
      <c r="AL1296" s="54"/>
      <c r="AM1296" s="54"/>
      <c r="AN1296" s="54"/>
      <c r="AO1296" s="54"/>
      <c r="AP1296" s="54"/>
      <c r="AQ1296" s="54"/>
      <c r="AR1296" s="54"/>
      <c r="AS1296" s="54"/>
      <c r="AT1296" s="54"/>
      <c r="AU1296" s="54"/>
      <c r="AV1296" s="54"/>
      <c r="AW1296" s="54"/>
      <c r="AX1296" s="54"/>
      <c r="AY1296" s="54"/>
      <c r="AZ1296" s="54"/>
      <c r="BA1296" s="54"/>
      <c r="BB1296" s="54"/>
      <c r="BC1296" s="56"/>
      <c r="BD1296" s="51"/>
      <c r="BE1296" s="54"/>
      <c r="BF1296" s="54"/>
      <c r="BG1296" s="47"/>
      <c r="BH1296" s="48"/>
      <c r="BI1296" s="48"/>
      <c r="BJ1296" s="48"/>
      <c r="BK1296" s="48"/>
      <c r="BL1296" s="48"/>
      <c r="BM1296" s="48"/>
      <c r="BN1296" s="48"/>
      <c r="BO1296" s="48"/>
      <c r="BP1296" s="48"/>
      <c r="BQ1296" s="48"/>
      <c r="BR1296" s="48"/>
      <c r="BS1296" s="48"/>
      <c r="BT1296" s="48"/>
      <c r="BU1296" s="48"/>
      <c r="BV1296" s="48"/>
      <c r="BW1296" s="48"/>
      <c r="BX1296" s="48"/>
      <c r="BY1296" s="48"/>
      <c r="BZ1296" s="48"/>
      <c r="CA1296" s="48"/>
      <c r="CB1296" s="48"/>
      <c r="CC1296" s="48"/>
      <c r="CD1296" s="48"/>
      <c r="CE1296" s="48"/>
      <c r="CF1296" s="52"/>
      <c r="CG1296" s="52"/>
      <c r="CH1296" s="48"/>
      <c r="CI1296" s="48"/>
      <c r="CJ1296" s="48"/>
      <c r="CK1296" s="48"/>
    </row>
    <row r="1297" spans="1:89" ht="15.75" customHeight="1" x14ac:dyDescent="0.3">
      <c r="A1297" s="47"/>
      <c r="B1297" s="48"/>
      <c r="C1297" s="47"/>
      <c r="D1297" s="48"/>
      <c r="E1297" s="48"/>
      <c r="F1297" s="48"/>
      <c r="G1297" s="48"/>
      <c r="H1297" s="48"/>
      <c r="I1297" s="49"/>
      <c r="J1297" s="47"/>
      <c r="K1297" s="47"/>
      <c r="L1297" s="47"/>
      <c r="M1297" s="47"/>
      <c r="N1297" s="47"/>
      <c r="O1297" s="47"/>
      <c r="P1297" s="47"/>
      <c r="Q1297" s="47"/>
      <c r="R1297" s="47"/>
      <c r="S1297" s="50"/>
      <c r="T1297" s="47"/>
      <c r="U1297" s="47"/>
      <c r="V1297" s="47"/>
      <c r="W1297" s="51"/>
      <c r="X1297" s="51"/>
      <c r="Y1297" s="47"/>
      <c r="Z1297" s="47"/>
      <c r="AA1297" s="47"/>
      <c r="AB1297" s="47"/>
      <c r="AC1297" s="47"/>
      <c r="AD1297" s="47"/>
      <c r="AE1297" s="54"/>
      <c r="AF1297" s="54"/>
      <c r="AG1297" s="55"/>
      <c r="AH1297" s="54"/>
      <c r="AI1297" s="54"/>
      <c r="AJ1297" s="54"/>
      <c r="AK1297" s="54"/>
      <c r="AL1297" s="54"/>
      <c r="AM1297" s="54"/>
      <c r="AN1297" s="54"/>
      <c r="AO1297" s="54"/>
      <c r="AP1297" s="54"/>
      <c r="AQ1297" s="54"/>
      <c r="AR1297" s="54"/>
      <c r="AS1297" s="54"/>
      <c r="AT1297" s="54"/>
      <c r="AU1297" s="54"/>
      <c r="AV1297" s="54"/>
      <c r="AW1297" s="54"/>
      <c r="AX1297" s="54"/>
      <c r="AY1297" s="54"/>
      <c r="AZ1297" s="54"/>
      <c r="BA1297" s="54"/>
      <c r="BB1297" s="54"/>
      <c r="BC1297" s="56"/>
      <c r="BD1297" s="51"/>
      <c r="BE1297" s="54"/>
      <c r="BF1297" s="54"/>
      <c r="BG1297" s="47"/>
      <c r="BH1297" s="48"/>
      <c r="BI1297" s="48"/>
      <c r="BJ1297" s="48"/>
      <c r="BK1297" s="48"/>
      <c r="BL1297" s="48"/>
      <c r="BM1297" s="48"/>
      <c r="BN1297" s="48"/>
      <c r="BO1297" s="48"/>
      <c r="BP1297" s="48"/>
      <c r="BQ1297" s="48"/>
      <c r="BR1297" s="48"/>
      <c r="BS1297" s="48"/>
      <c r="BT1297" s="48"/>
      <c r="BU1297" s="48"/>
      <c r="BV1297" s="48"/>
      <c r="BW1297" s="48"/>
      <c r="BX1297" s="48"/>
      <c r="BY1297" s="48"/>
      <c r="BZ1297" s="48"/>
      <c r="CA1297" s="48"/>
      <c r="CB1297" s="48"/>
      <c r="CC1297" s="48"/>
      <c r="CD1297" s="48"/>
      <c r="CE1297" s="48"/>
      <c r="CF1297" s="52"/>
      <c r="CG1297" s="52"/>
      <c r="CH1297" s="48"/>
      <c r="CI1297" s="48"/>
      <c r="CJ1297" s="48"/>
      <c r="CK1297" s="48"/>
    </row>
    <row r="1298" spans="1:89" ht="15.75" customHeight="1" x14ac:dyDescent="0.3">
      <c r="A1298" s="47"/>
      <c r="B1298" s="48"/>
      <c r="C1298" s="47"/>
      <c r="D1298" s="48"/>
      <c r="E1298" s="48"/>
      <c r="F1298" s="48"/>
      <c r="G1298" s="48"/>
      <c r="H1298" s="48"/>
      <c r="I1298" s="49"/>
      <c r="J1298" s="47"/>
      <c r="K1298" s="47"/>
      <c r="L1298" s="47"/>
      <c r="M1298" s="47"/>
      <c r="N1298" s="47"/>
      <c r="O1298" s="47"/>
      <c r="P1298" s="47"/>
      <c r="Q1298" s="47"/>
      <c r="R1298" s="47"/>
      <c r="S1298" s="50"/>
      <c r="T1298" s="47"/>
      <c r="U1298" s="47"/>
      <c r="V1298" s="47"/>
      <c r="W1298" s="51"/>
      <c r="X1298" s="51"/>
      <c r="Y1298" s="47"/>
      <c r="Z1298" s="47"/>
      <c r="AA1298" s="47"/>
      <c r="AB1298" s="47"/>
      <c r="AC1298" s="47"/>
      <c r="AD1298" s="47"/>
      <c r="AE1298" s="54"/>
      <c r="AF1298" s="54"/>
      <c r="AG1298" s="55"/>
      <c r="AH1298" s="54"/>
      <c r="AI1298" s="54"/>
      <c r="AJ1298" s="54"/>
      <c r="AK1298" s="54"/>
      <c r="AL1298" s="54"/>
      <c r="AM1298" s="54"/>
      <c r="AN1298" s="54"/>
      <c r="AO1298" s="54"/>
      <c r="AP1298" s="54"/>
      <c r="AQ1298" s="54"/>
      <c r="AR1298" s="54"/>
      <c r="AS1298" s="54"/>
      <c r="AT1298" s="54"/>
      <c r="AU1298" s="54"/>
      <c r="AV1298" s="54"/>
      <c r="AW1298" s="54"/>
      <c r="AX1298" s="54"/>
      <c r="AY1298" s="54"/>
      <c r="AZ1298" s="54"/>
      <c r="BA1298" s="54"/>
      <c r="BB1298" s="54"/>
      <c r="BC1298" s="56"/>
      <c r="BD1298" s="51"/>
      <c r="BE1298" s="54"/>
      <c r="BF1298" s="54"/>
      <c r="BG1298" s="47"/>
      <c r="BH1298" s="48"/>
      <c r="BI1298" s="48"/>
      <c r="BJ1298" s="48"/>
      <c r="BK1298" s="48"/>
      <c r="BL1298" s="48"/>
      <c r="BM1298" s="48"/>
      <c r="BN1298" s="48"/>
      <c r="BO1298" s="48"/>
      <c r="BP1298" s="48"/>
      <c r="BQ1298" s="48"/>
      <c r="BR1298" s="48"/>
      <c r="BS1298" s="48"/>
      <c r="BT1298" s="48"/>
      <c r="BU1298" s="48"/>
      <c r="BV1298" s="48"/>
      <c r="BW1298" s="48"/>
      <c r="BX1298" s="48"/>
      <c r="BY1298" s="48"/>
      <c r="BZ1298" s="48"/>
      <c r="CA1298" s="48"/>
      <c r="CB1298" s="48"/>
      <c r="CC1298" s="48"/>
      <c r="CD1298" s="48"/>
      <c r="CE1298" s="48"/>
      <c r="CF1298" s="52"/>
      <c r="CG1298" s="52"/>
      <c r="CH1298" s="48"/>
      <c r="CI1298" s="48"/>
      <c r="CJ1298" s="48"/>
      <c r="CK1298" s="48"/>
    </row>
    <row r="1299" spans="1:89" ht="15.75" customHeight="1" x14ac:dyDescent="0.3">
      <c r="A1299" s="47"/>
      <c r="B1299" s="48"/>
      <c r="C1299" s="47"/>
      <c r="D1299" s="48"/>
      <c r="E1299" s="48"/>
      <c r="F1299" s="48"/>
      <c r="G1299" s="48"/>
      <c r="H1299" s="48"/>
      <c r="I1299" s="49"/>
      <c r="J1299" s="47"/>
      <c r="K1299" s="47"/>
      <c r="L1299" s="47"/>
      <c r="M1299" s="47"/>
      <c r="N1299" s="47"/>
      <c r="O1299" s="47"/>
      <c r="P1299" s="47"/>
      <c r="Q1299" s="47"/>
      <c r="R1299" s="47"/>
      <c r="S1299" s="50"/>
      <c r="T1299" s="47"/>
      <c r="U1299" s="47"/>
      <c r="V1299" s="47"/>
      <c r="W1299" s="51"/>
      <c r="X1299" s="51"/>
      <c r="Y1299" s="47"/>
      <c r="Z1299" s="47"/>
      <c r="AA1299" s="47"/>
      <c r="AB1299" s="47"/>
      <c r="AC1299" s="47"/>
      <c r="AD1299" s="47"/>
      <c r="AE1299" s="54"/>
      <c r="AF1299" s="54"/>
      <c r="AG1299" s="55"/>
      <c r="AH1299" s="54"/>
      <c r="AI1299" s="54"/>
      <c r="AJ1299" s="54"/>
      <c r="AK1299" s="54"/>
      <c r="AL1299" s="54"/>
      <c r="AM1299" s="54"/>
      <c r="AN1299" s="54"/>
      <c r="AO1299" s="54"/>
      <c r="AP1299" s="54"/>
      <c r="AQ1299" s="54"/>
      <c r="AR1299" s="54"/>
      <c r="AS1299" s="54"/>
      <c r="AT1299" s="54"/>
      <c r="AU1299" s="54"/>
      <c r="AV1299" s="54"/>
      <c r="AW1299" s="54"/>
      <c r="AX1299" s="54"/>
      <c r="AY1299" s="54"/>
      <c r="AZ1299" s="54"/>
      <c r="BA1299" s="54"/>
      <c r="BB1299" s="54"/>
      <c r="BC1299" s="56"/>
      <c r="BD1299" s="51"/>
      <c r="BE1299" s="54"/>
      <c r="BF1299" s="54"/>
      <c r="BG1299" s="47"/>
      <c r="BH1299" s="48"/>
      <c r="BI1299" s="48"/>
      <c r="BJ1299" s="48"/>
      <c r="BK1299" s="48"/>
      <c r="BL1299" s="48"/>
      <c r="BM1299" s="48"/>
      <c r="BN1299" s="48"/>
      <c r="BO1299" s="48"/>
      <c r="BP1299" s="48"/>
      <c r="BQ1299" s="48"/>
      <c r="BR1299" s="48"/>
      <c r="BS1299" s="48"/>
      <c r="BT1299" s="48"/>
      <c r="BU1299" s="48"/>
      <c r="BV1299" s="48"/>
      <c r="BW1299" s="48"/>
      <c r="BX1299" s="48"/>
      <c r="BY1299" s="48"/>
      <c r="BZ1299" s="48"/>
      <c r="CA1299" s="48"/>
      <c r="CB1299" s="48"/>
      <c r="CC1299" s="48"/>
      <c r="CD1299" s="48"/>
      <c r="CE1299" s="48"/>
      <c r="CF1299" s="52"/>
      <c r="CG1299" s="52"/>
      <c r="CH1299" s="48"/>
      <c r="CI1299" s="48"/>
      <c r="CJ1299" s="48"/>
      <c r="CK1299" s="48"/>
    </row>
    <row r="1300" spans="1:89" ht="15.75" customHeight="1" x14ac:dyDescent="0.3">
      <c r="A1300" s="47"/>
      <c r="B1300" s="48"/>
      <c r="C1300" s="47"/>
      <c r="D1300" s="48"/>
      <c r="E1300" s="48"/>
      <c r="F1300" s="48"/>
      <c r="G1300" s="48"/>
      <c r="H1300" s="48"/>
      <c r="I1300" s="49"/>
      <c r="J1300" s="47"/>
      <c r="K1300" s="47"/>
      <c r="L1300" s="47"/>
      <c r="M1300" s="47"/>
      <c r="N1300" s="47"/>
      <c r="O1300" s="47"/>
      <c r="P1300" s="47"/>
      <c r="Q1300" s="47"/>
      <c r="R1300" s="47"/>
      <c r="S1300" s="50"/>
      <c r="T1300" s="47"/>
      <c r="U1300" s="47"/>
      <c r="V1300" s="47"/>
      <c r="W1300" s="51"/>
      <c r="X1300" s="51"/>
      <c r="Y1300" s="47"/>
      <c r="Z1300" s="47"/>
      <c r="AA1300" s="47"/>
      <c r="AB1300" s="47"/>
      <c r="AC1300" s="47"/>
      <c r="AD1300" s="47"/>
      <c r="AE1300" s="54"/>
      <c r="AF1300" s="54"/>
      <c r="AG1300" s="55"/>
      <c r="AH1300" s="54"/>
      <c r="AI1300" s="54"/>
      <c r="AJ1300" s="54"/>
      <c r="AK1300" s="54"/>
      <c r="AL1300" s="54"/>
      <c r="AM1300" s="54"/>
      <c r="AN1300" s="54"/>
      <c r="AO1300" s="54"/>
      <c r="AP1300" s="54"/>
      <c r="AQ1300" s="54"/>
      <c r="AR1300" s="54"/>
      <c r="AS1300" s="54"/>
      <c r="AT1300" s="54"/>
      <c r="AU1300" s="54"/>
      <c r="AV1300" s="54"/>
      <c r="AW1300" s="54"/>
      <c r="AX1300" s="54"/>
      <c r="AY1300" s="54"/>
      <c r="AZ1300" s="54"/>
      <c r="BA1300" s="54"/>
      <c r="BB1300" s="54"/>
      <c r="BC1300" s="56"/>
      <c r="BD1300" s="51"/>
      <c r="BE1300" s="54"/>
      <c r="BF1300" s="54"/>
      <c r="BG1300" s="47"/>
      <c r="BH1300" s="48"/>
      <c r="BI1300" s="48"/>
      <c r="BJ1300" s="48"/>
      <c r="BK1300" s="48"/>
      <c r="BL1300" s="48"/>
      <c r="BM1300" s="48"/>
      <c r="BN1300" s="48"/>
      <c r="BO1300" s="48"/>
      <c r="BP1300" s="48"/>
      <c r="BQ1300" s="48"/>
      <c r="BR1300" s="48"/>
      <c r="BS1300" s="48"/>
      <c r="BT1300" s="48"/>
      <c r="BU1300" s="48"/>
      <c r="BV1300" s="48"/>
      <c r="BW1300" s="48"/>
      <c r="BX1300" s="48"/>
      <c r="BY1300" s="48"/>
      <c r="BZ1300" s="48"/>
      <c r="CA1300" s="48"/>
      <c r="CB1300" s="48"/>
      <c r="CC1300" s="48"/>
      <c r="CD1300" s="48"/>
      <c r="CE1300" s="48"/>
      <c r="CF1300" s="52"/>
      <c r="CG1300" s="52"/>
      <c r="CH1300" s="48"/>
      <c r="CI1300" s="48"/>
      <c r="CJ1300" s="48"/>
      <c r="CK1300" s="48"/>
    </row>
    <row r="1301" spans="1:89" ht="15.75" customHeight="1" x14ac:dyDescent="0.3">
      <c r="A1301" s="47"/>
      <c r="B1301" s="48"/>
      <c r="C1301" s="47"/>
      <c r="D1301" s="48"/>
      <c r="E1301" s="48"/>
      <c r="F1301" s="48"/>
      <c r="G1301" s="48"/>
      <c r="H1301" s="48"/>
      <c r="I1301" s="49"/>
      <c r="J1301" s="47"/>
      <c r="K1301" s="47"/>
      <c r="L1301" s="47"/>
      <c r="M1301" s="47"/>
      <c r="N1301" s="47"/>
      <c r="O1301" s="47"/>
      <c r="P1301" s="47"/>
      <c r="Q1301" s="47"/>
      <c r="R1301" s="47"/>
      <c r="S1301" s="50"/>
      <c r="T1301" s="47"/>
      <c r="U1301" s="47"/>
      <c r="V1301" s="47"/>
      <c r="W1301" s="51"/>
      <c r="X1301" s="51"/>
      <c r="Y1301" s="47"/>
      <c r="Z1301" s="47"/>
      <c r="AA1301" s="47"/>
      <c r="AB1301" s="47"/>
      <c r="AC1301" s="47"/>
      <c r="AD1301" s="47"/>
      <c r="AE1301" s="54"/>
      <c r="AF1301" s="54"/>
      <c r="AG1301" s="55"/>
      <c r="AH1301" s="54"/>
      <c r="AI1301" s="54"/>
      <c r="AJ1301" s="54"/>
      <c r="AK1301" s="54"/>
      <c r="AL1301" s="54"/>
      <c r="AM1301" s="54"/>
      <c r="AN1301" s="54"/>
      <c r="AO1301" s="54"/>
      <c r="AP1301" s="54"/>
      <c r="AQ1301" s="54"/>
      <c r="AR1301" s="54"/>
      <c r="AS1301" s="54"/>
      <c r="AT1301" s="54"/>
      <c r="AU1301" s="54"/>
      <c r="AV1301" s="54"/>
      <c r="AW1301" s="54"/>
      <c r="AX1301" s="54"/>
      <c r="AY1301" s="54"/>
      <c r="AZ1301" s="54"/>
      <c r="BA1301" s="54"/>
      <c r="BB1301" s="54"/>
      <c r="BC1301" s="56"/>
      <c r="BD1301" s="51"/>
      <c r="BE1301" s="54"/>
      <c r="BF1301" s="54"/>
      <c r="BG1301" s="47"/>
      <c r="BH1301" s="48"/>
      <c r="BI1301" s="48"/>
      <c r="BJ1301" s="48"/>
      <c r="BK1301" s="48"/>
      <c r="BL1301" s="48"/>
      <c r="BM1301" s="48"/>
      <c r="BN1301" s="48"/>
      <c r="BO1301" s="48"/>
      <c r="BP1301" s="48"/>
      <c r="BQ1301" s="48"/>
      <c r="BR1301" s="48"/>
      <c r="BS1301" s="48"/>
      <c r="BT1301" s="48"/>
      <c r="BU1301" s="48"/>
      <c r="BV1301" s="48"/>
      <c r="BW1301" s="48"/>
      <c r="BX1301" s="48"/>
      <c r="BY1301" s="48"/>
      <c r="BZ1301" s="48"/>
      <c r="CA1301" s="48"/>
      <c r="CB1301" s="48"/>
      <c r="CC1301" s="48"/>
      <c r="CD1301" s="48"/>
      <c r="CE1301" s="48"/>
      <c r="CF1301" s="52"/>
      <c r="CG1301" s="52"/>
      <c r="CH1301" s="48"/>
      <c r="CI1301" s="48"/>
      <c r="CJ1301" s="48"/>
      <c r="CK1301" s="48"/>
    </row>
    <row r="1302" spans="1:89" ht="15.75" customHeight="1" x14ac:dyDescent="0.3">
      <c r="A1302" s="47"/>
      <c r="B1302" s="48"/>
      <c r="C1302" s="47"/>
      <c r="D1302" s="48"/>
      <c r="E1302" s="48"/>
      <c r="F1302" s="48"/>
      <c r="G1302" s="48"/>
      <c r="H1302" s="48"/>
      <c r="I1302" s="49"/>
      <c r="J1302" s="47"/>
      <c r="K1302" s="47"/>
      <c r="L1302" s="47"/>
      <c r="M1302" s="47"/>
      <c r="N1302" s="47"/>
      <c r="O1302" s="47"/>
      <c r="P1302" s="47"/>
      <c r="Q1302" s="47"/>
      <c r="R1302" s="47"/>
      <c r="S1302" s="50"/>
      <c r="T1302" s="47"/>
      <c r="U1302" s="47"/>
      <c r="V1302" s="47"/>
      <c r="W1302" s="51"/>
      <c r="X1302" s="51"/>
      <c r="Y1302" s="47"/>
      <c r="Z1302" s="47"/>
      <c r="AA1302" s="47"/>
      <c r="AB1302" s="47"/>
      <c r="AC1302" s="47"/>
      <c r="AD1302" s="47"/>
      <c r="AE1302" s="54"/>
      <c r="AF1302" s="54"/>
      <c r="AG1302" s="55"/>
      <c r="AH1302" s="54"/>
      <c r="AI1302" s="54"/>
      <c r="AJ1302" s="54"/>
      <c r="AK1302" s="54"/>
      <c r="AL1302" s="54"/>
      <c r="AM1302" s="54"/>
      <c r="AN1302" s="54"/>
      <c r="AO1302" s="54"/>
      <c r="AP1302" s="54"/>
      <c r="AQ1302" s="54"/>
      <c r="AR1302" s="54"/>
      <c r="AS1302" s="54"/>
      <c r="AT1302" s="54"/>
      <c r="AU1302" s="54"/>
      <c r="AV1302" s="54"/>
      <c r="AW1302" s="54"/>
      <c r="AX1302" s="54"/>
      <c r="AY1302" s="54"/>
      <c r="AZ1302" s="54"/>
      <c r="BA1302" s="54"/>
      <c r="BB1302" s="54"/>
      <c r="BC1302" s="56"/>
      <c r="BD1302" s="51"/>
      <c r="BE1302" s="54"/>
      <c r="BF1302" s="54"/>
      <c r="BG1302" s="47"/>
      <c r="BH1302" s="48"/>
      <c r="BI1302" s="48"/>
      <c r="BJ1302" s="48"/>
      <c r="BK1302" s="48"/>
      <c r="BL1302" s="48"/>
      <c r="BM1302" s="48"/>
      <c r="BN1302" s="48"/>
      <c r="BO1302" s="48"/>
      <c r="BP1302" s="48"/>
      <c r="BQ1302" s="48"/>
      <c r="BR1302" s="48"/>
      <c r="BS1302" s="48"/>
      <c r="BT1302" s="48"/>
      <c r="BU1302" s="48"/>
      <c r="BV1302" s="48"/>
      <c r="BW1302" s="48"/>
      <c r="BX1302" s="48"/>
      <c r="BY1302" s="48"/>
      <c r="BZ1302" s="48"/>
      <c r="CA1302" s="48"/>
      <c r="CB1302" s="48"/>
      <c r="CC1302" s="48"/>
      <c r="CD1302" s="48"/>
      <c r="CE1302" s="48"/>
      <c r="CF1302" s="52"/>
      <c r="CG1302" s="52"/>
      <c r="CH1302" s="48"/>
      <c r="CI1302" s="48"/>
      <c r="CJ1302" s="48"/>
      <c r="CK1302" s="48"/>
    </row>
    <row r="1303" spans="1:89" ht="15.75" customHeight="1" x14ac:dyDescent="0.3">
      <c r="A1303" s="47"/>
      <c r="B1303" s="48"/>
      <c r="C1303" s="47"/>
      <c r="D1303" s="48"/>
      <c r="E1303" s="48"/>
      <c r="F1303" s="48"/>
      <c r="G1303" s="48"/>
      <c r="H1303" s="48"/>
      <c r="I1303" s="49"/>
      <c r="J1303" s="47"/>
      <c r="K1303" s="47"/>
      <c r="L1303" s="47"/>
      <c r="M1303" s="47"/>
      <c r="N1303" s="47"/>
      <c r="O1303" s="47"/>
      <c r="P1303" s="47"/>
      <c r="Q1303" s="47"/>
      <c r="R1303" s="47"/>
      <c r="S1303" s="50"/>
      <c r="T1303" s="47"/>
      <c r="U1303" s="47"/>
      <c r="V1303" s="47"/>
      <c r="W1303" s="51"/>
      <c r="X1303" s="51"/>
      <c r="Y1303" s="47"/>
      <c r="Z1303" s="47"/>
      <c r="AA1303" s="47"/>
      <c r="AB1303" s="47"/>
      <c r="AC1303" s="47"/>
      <c r="AD1303" s="47"/>
      <c r="AE1303" s="54"/>
      <c r="AF1303" s="54"/>
      <c r="AG1303" s="55"/>
      <c r="AH1303" s="54"/>
      <c r="AI1303" s="54"/>
      <c r="AJ1303" s="54"/>
      <c r="AK1303" s="54"/>
      <c r="AL1303" s="54"/>
      <c r="AM1303" s="54"/>
      <c r="AN1303" s="54"/>
      <c r="AO1303" s="54"/>
      <c r="AP1303" s="54"/>
      <c r="AQ1303" s="54"/>
      <c r="AR1303" s="54"/>
      <c r="AS1303" s="54"/>
      <c r="AT1303" s="54"/>
      <c r="AU1303" s="54"/>
      <c r="AV1303" s="54"/>
      <c r="AW1303" s="54"/>
      <c r="AX1303" s="54"/>
      <c r="AY1303" s="54"/>
      <c r="AZ1303" s="54"/>
      <c r="BA1303" s="54"/>
      <c r="BB1303" s="54"/>
      <c r="BC1303" s="56"/>
      <c r="BD1303" s="51"/>
      <c r="BE1303" s="54"/>
      <c r="BF1303" s="54"/>
      <c r="BG1303" s="47"/>
      <c r="BH1303" s="48"/>
      <c r="BI1303" s="48"/>
      <c r="BJ1303" s="48"/>
      <c r="BK1303" s="48"/>
      <c r="BL1303" s="48"/>
      <c r="BM1303" s="48"/>
      <c r="BN1303" s="48"/>
      <c r="BO1303" s="48"/>
      <c r="BP1303" s="48"/>
      <c r="BQ1303" s="48"/>
      <c r="BR1303" s="48"/>
      <c r="BS1303" s="48"/>
      <c r="BT1303" s="48"/>
      <c r="BU1303" s="48"/>
      <c r="BV1303" s="48"/>
      <c r="BW1303" s="48"/>
      <c r="BX1303" s="48"/>
      <c r="BY1303" s="48"/>
      <c r="BZ1303" s="48"/>
      <c r="CA1303" s="48"/>
      <c r="CB1303" s="48"/>
      <c r="CC1303" s="48"/>
      <c r="CD1303" s="48"/>
      <c r="CE1303" s="48"/>
      <c r="CF1303" s="52"/>
      <c r="CG1303" s="52"/>
      <c r="CH1303" s="48"/>
      <c r="CI1303" s="48"/>
      <c r="CJ1303" s="48"/>
      <c r="CK1303" s="48"/>
    </row>
    <row r="1304" spans="1:89" ht="15.75" customHeight="1" x14ac:dyDescent="0.3">
      <c r="A1304" s="47"/>
      <c r="B1304" s="48"/>
      <c r="C1304" s="47"/>
      <c r="D1304" s="48"/>
      <c r="E1304" s="48"/>
      <c r="F1304" s="48"/>
      <c r="G1304" s="48"/>
      <c r="H1304" s="48"/>
      <c r="I1304" s="49"/>
      <c r="J1304" s="47"/>
      <c r="K1304" s="47"/>
      <c r="L1304" s="47"/>
      <c r="M1304" s="47"/>
      <c r="N1304" s="47"/>
      <c r="O1304" s="47"/>
      <c r="P1304" s="47"/>
      <c r="Q1304" s="47"/>
      <c r="R1304" s="47"/>
      <c r="S1304" s="50"/>
      <c r="T1304" s="47"/>
      <c r="U1304" s="47"/>
      <c r="V1304" s="47"/>
      <c r="W1304" s="51"/>
      <c r="X1304" s="51"/>
      <c r="Y1304" s="47"/>
      <c r="Z1304" s="47"/>
      <c r="AA1304" s="47"/>
      <c r="AB1304" s="47"/>
      <c r="AC1304" s="47"/>
      <c r="AD1304" s="47"/>
      <c r="AE1304" s="54"/>
      <c r="AF1304" s="54"/>
      <c r="AG1304" s="55"/>
      <c r="AH1304" s="54"/>
      <c r="AI1304" s="54"/>
      <c r="AJ1304" s="54"/>
      <c r="AK1304" s="54"/>
      <c r="AL1304" s="54"/>
      <c r="AM1304" s="54"/>
      <c r="AN1304" s="54"/>
      <c r="AO1304" s="54"/>
      <c r="AP1304" s="54"/>
      <c r="AQ1304" s="54"/>
      <c r="AR1304" s="54"/>
      <c r="AS1304" s="54"/>
      <c r="AT1304" s="54"/>
      <c r="AU1304" s="54"/>
      <c r="AV1304" s="54"/>
      <c r="AW1304" s="54"/>
      <c r="AX1304" s="54"/>
      <c r="AY1304" s="54"/>
      <c r="AZ1304" s="54"/>
      <c r="BA1304" s="54"/>
      <c r="BB1304" s="54"/>
      <c r="BC1304" s="56"/>
      <c r="BD1304" s="51"/>
      <c r="BE1304" s="54"/>
      <c r="BF1304" s="54"/>
      <c r="BG1304" s="47"/>
      <c r="BH1304" s="48"/>
      <c r="BI1304" s="48"/>
      <c r="BJ1304" s="48"/>
      <c r="BK1304" s="48"/>
      <c r="BL1304" s="48"/>
      <c r="BM1304" s="48"/>
      <c r="BN1304" s="48"/>
      <c r="BO1304" s="48"/>
      <c r="BP1304" s="48"/>
      <c r="BQ1304" s="48"/>
      <c r="BR1304" s="48"/>
      <c r="BS1304" s="48"/>
      <c r="BT1304" s="48"/>
      <c r="BU1304" s="48"/>
      <c r="BV1304" s="48"/>
      <c r="BW1304" s="48"/>
      <c r="BX1304" s="48"/>
      <c r="BY1304" s="48"/>
      <c r="BZ1304" s="48"/>
      <c r="CA1304" s="48"/>
      <c r="CB1304" s="48"/>
      <c r="CC1304" s="48"/>
      <c r="CD1304" s="48"/>
      <c r="CE1304" s="48"/>
      <c r="CF1304" s="52"/>
      <c r="CG1304" s="52"/>
      <c r="CH1304" s="48"/>
      <c r="CI1304" s="48"/>
      <c r="CJ1304" s="48"/>
      <c r="CK1304" s="48"/>
    </row>
    <row r="1305" spans="1:89" ht="15.75" customHeight="1" x14ac:dyDescent="0.3">
      <c r="A1305" s="47"/>
      <c r="B1305" s="48"/>
      <c r="C1305" s="47"/>
      <c r="D1305" s="48"/>
      <c r="E1305" s="48"/>
      <c r="F1305" s="48"/>
      <c r="G1305" s="48"/>
      <c r="H1305" s="48"/>
      <c r="I1305" s="49"/>
      <c r="J1305" s="47"/>
      <c r="K1305" s="47"/>
      <c r="L1305" s="47"/>
      <c r="M1305" s="47"/>
      <c r="N1305" s="47"/>
      <c r="O1305" s="47"/>
      <c r="P1305" s="47"/>
      <c r="Q1305" s="47"/>
      <c r="R1305" s="47"/>
      <c r="S1305" s="50"/>
      <c r="T1305" s="47"/>
      <c r="U1305" s="47"/>
      <c r="V1305" s="47"/>
      <c r="W1305" s="51"/>
      <c r="X1305" s="51"/>
      <c r="Y1305" s="47"/>
      <c r="Z1305" s="47"/>
      <c r="AA1305" s="47"/>
      <c r="AB1305" s="47"/>
      <c r="AC1305" s="47"/>
      <c r="AD1305" s="47"/>
      <c r="AE1305" s="54"/>
      <c r="AF1305" s="54"/>
      <c r="AG1305" s="55"/>
      <c r="AH1305" s="54"/>
      <c r="AI1305" s="54"/>
      <c r="AJ1305" s="54"/>
      <c r="AK1305" s="54"/>
      <c r="AL1305" s="54"/>
      <c r="AM1305" s="54"/>
      <c r="AN1305" s="54"/>
      <c r="AO1305" s="54"/>
      <c r="AP1305" s="54"/>
      <c r="AQ1305" s="54"/>
      <c r="AR1305" s="54"/>
      <c r="AS1305" s="54"/>
      <c r="AT1305" s="54"/>
      <c r="AU1305" s="54"/>
      <c r="AV1305" s="54"/>
      <c r="AW1305" s="54"/>
      <c r="AX1305" s="54"/>
      <c r="AY1305" s="54"/>
      <c r="AZ1305" s="54"/>
      <c r="BA1305" s="54"/>
      <c r="BB1305" s="54"/>
      <c r="BC1305" s="56"/>
      <c r="BD1305" s="51"/>
      <c r="BE1305" s="54"/>
      <c r="BF1305" s="54"/>
      <c r="BG1305" s="47"/>
      <c r="BH1305" s="48"/>
      <c r="BI1305" s="48"/>
      <c r="BJ1305" s="48"/>
      <c r="BK1305" s="48"/>
      <c r="BL1305" s="48"/>
      <c r="BM1305" s="48"/>
      <c r="BN1305" s="48"/>
      <c r="BO1305" s="48"/>
      <c r="BP1305" s="48"/>
      <c r="BQ1305" s="48"/>
      <c r="BR1305" s="48"/>
      <c r="BS1305" s="48"/>
      <c r="BT1305" s="48"/>
      <c r="BU1305" s="48"/>
      <c r="BV1305" s="48"/>
      <c r="BW1305" s="48"/>
      <c r="BX1305" s="48"/>
      <c r="BY1305" s="48"/>
      <c r="BZ1305" s="48"/>
      <c r="CA1305" s="48"/>
      <c r="CB1305" s="48"/>
      <c r="CC1305" s="48"/>
      <c r="CD1305" s="48"/>
      <c r="CE1305" s="48"/>
      <c r="CF1305" s="52"/>
      <c r="CG1305" s="52"/>
      <c r="CH1305" s="48"/>
      <c r="CI1305" s="48"/>
      <c r="CJ1305" s="48"/>
      <c r="CK1305" s="48"/>
    </row>
    <row r="1306" spans="1:89" ht="15.75" customHeight="1" x14ac:dyDescent="0.3">
      <c r="A1306" s="47"/>
      <c r="B1306" s="48"/>
      <c r="C1306" s="47"/>
      <c r="D1306" s="48"/>
      <c r="E1306" s="48"/>
      <c r="F1306" s="48"/>
      <c r="G1306" s="48"/>
      <c r="H1306" s="48"/>
      <c r="I1306" s="49"/>
      <c r="J1306" s="47"/>
      <c r="K1306" s="47"/>
      <c r="L1306" s="47"/>
      <c r="M1306" s="47"/>
      <c r="N1306" s="47"/>
      <c r="O1306" s="47"/>
      <c r="P1306" s="47"/>
      <c r="Q1306" s="47"/>
      <c r="R1306" s="47"/>
      <c r="S1306" s="50"/>
      <c r="T1306" s="47"/>
      <c r="U1306" s="47"/>
      <c r="V1306" s="47"/>
      <c r="W1306" s="51"/>
      <c r="X1306" s="51"/>
      <c r="Y1306" s="47"/>
      <c r="Z1306" s="47"/>
      <c r="AA1306" s="47"/>
      <c r="AB1306" s="47"/>
      <c r="AC1306" s="47"/>
      <c r="AD1306" s="47"/>
      <c r="AE1306" s="54"/>
      <c r="AF1306" s="54"/>
      <c r="AG1306" s="55"/>
      <c r="AH1306" s="54"/>
      <c r="AI1306" s="54"/>
      <c r="AJ1306" s="54"/>
      <c r="AK1306" s="54"/>
      <c r="AL1306" s="54"/>
      <c r="AM1306" s="54"/>
      <c r="AN1306" s="54"/>
      <c r="AO1306" s="54"/>
      <c r="AP1306" s="54"/>
      <c r="AQ1306" s="54"/>
      <c r="AR1306" s="54"/>
      <c r="AS1306" s="54"/>
      <c r="AT1306" s="54"/>
      <c r="AU1306" s="54"/>
      <c r="AV1306" s="54"/>
      <c r="AW1306" s="54"/>
      <c r="AX1306" s="54"/>
      <c r="AY1306" s="54"/>
      <c r="AZ1306" s="54"/>
      <c r="BA1306" s="54"/>
      <c r="BB1306" s="54"/>
      <c r="BC1306" s="56"/>
      <c r="BD1306" s="51"/>
      <c r="BE1306" s="54"/>
      <c r="BF1306" s="54"/>
      <c r="BG1306" s="47"/>
      <c r="BH1306" s="48"/>
      <c r="BI1306" s="48"/>
      <c r="BJ1306" s="48"/>
      <c r="BK1306" s="48"/>
      <c r="BL1306" s="48"/>
      <c r="BM1306" s="48"/>
      <c r="BN1306" s="48"/>
      <c r="BO1306" s="48"/>
      <c r="BP1306" s="48"/>
      <c r="BQ1306" s="48"/>
      <c r="BR1306" s="48"/>
      <c r="BS1306" s="48"/>
      <c r="BT1306" s="48"/>
      <c r="BU1306" s="48"/>
      <c r="BV1306" s="48"/>
      <c r="BW1306" s="48"/>
      <c r="BX1306" s="48"/>
      <c r="BY1306" s="48"/>
      <c r="BZ1306" s="48"/>
      <c r="CA1306" s="48"/>
      <c r="CB1306" s="48"/>
      <c r="CC1306" s="48"/>
      <c r="CD1306" s="48"/>
      <c r="CE1306" s="48"/>
      <c r="CF1306" s="52"/>
      <c r="CG1306" s="52"/>
      <c r="CH1306" s="48"/>
      <c r="CI1306" s="48"/>
      <c r="CJ1306" s="48"/>
      <c r="CK1306" s="48"/>
    </row>
    <row r="1307" spans="1:89" ht="15.75" customHeight="1" x14ac:dyDescent="0.3">
      <c r="A1307" s="47"/>
      <c r="B1307" s="48"/>
      <c r="C1307" s="47"/>
      <c r="D1307" s="48"/>
      <c r="E1307" s="48"/>
      <c r="F1307" s="48"/>
      <c r="G1307" s="48"/>
      <c r="H1307" s="48"/>
      <c r="I1307" s="49"/>
      <c r="J1307" s="47"/>
      <c r="K1307" s="47"/>
      <c r="L1307" s="47"/>
      <c r="M1307" s="47"/>
      <c r="N1307" s="47"/>
      <c r="O1307" s="47"/>
      <c r="P1307" s="47"/>
      <c r="Q1307" s="47"/>
      <c r="R1307" s="47"/>
      <c r="S1307" s="50"/>
      <c r="T1307" s="47"/>
      <c r="U1307" s="47"/>
      <c r="V1307" s="47"/>
      <c r="W1307" s="51"/>
      <c r="X1307" s="51"/>
      <c r="Y1307" s="47"/>
      <c r="Z1307" s="47"/>
      <c r="AA1307" s="47"/>
      <c r="AB1307" s="47"/>
      <c r="AC1307" s="47"/>
      <c r="AD1307" s="47"/>
      <c r="AE1307" s="54"/>
      <c r="AF1307" s="54"/>
      <c r="AG1307" s="55"/>
      <c r="AH1307" s="54"/>
      <c r="AI1307" s="54"/>
      <c r="AJ1307" s="54"/>
      <c r="AK1307" s="54"/>
      <c r="AL1307" s="54"/>
      <c r="AM1307" s="54"/>
      <c r="AN1307" s="54"/>
      <c r="AO1307" s="54"/>
      <c r="AP1307" s="54"/>
      <c r="AQ1307" s="54"/>
      <c r="AR1307" s="54"/>
      <c r="AS1307" s="54"/>
      <c r="AT1307" s="54"/>
      <c r="AU1307" s="54"/>
      <c r="AV1307" s="54"/>
      <c r="AW1307" s="54"/>
      <c r="AX1307" s="54"/>
      <c r="AY1307" s="54"/>
      <c r="AZ1307" s="54"/>
      <c r="BA1307" s="54"/>
      <c r="BB1307" s="54"/>
      <c r="BC1307" s="56"/>
      <c r="BD1307" s="51"/>
      <c r="BE1307" s="54"/>
      <c r="BF1307" s="54"/>
      <c r="BG1307" s="47"/>
      <c r="BH1307" s="48"/>
      <c r="BI1307" s="48"/>
      <c r="BJ1307" s="48"/>
      <c r="BK1307" s="48"/>
      <c r="BL1307" s="48"/>
      <c r="BM1307" s="48"/>
      <c r="BN1307" s="48"/>
      <c r="BO1307" s="48"/>
      <c r="BP1307" s="48"/>
      <c r="BQ1307" s="48"/>
      <c r="BR1307" s="48"/>
      <c r="BS1307" s="48"/>
      <c r="BT1307" s="48"/>
      <c r="BU1307" s="48"/>
      <c r="BV1307" s="48"/>
      <c r="BW1307" s="48"/>
      <c r="BX1307" s="48"/>
      <c r="BY1307" s="48"/>
      <c r="BZ1307" s="48"/>
      <c r="CA1307" s="48"/>
      <c r="CB1307" s="48"/>
      <c r="CC1307" s="48"/>
      <c r="CD1307" s="48"/>
      <c r="CE1307" s="48"/>
      <c r="CF1307" s="52"/>
      <c r="CG1307" s="52"/>
      <c r="CH1307" s="48"/>
      <c r="CI1307" s="48"/>
      <c r="CJ1307" s="48"/>
      <c r="CK1307" s="48"/>
    </row>
    <row r="1308" spans="1:89" ht="15.75" customHeight="1" x14ac:dyDescent="0.3">
      <c r="A1308" s="47"/>
      <c r="B1308" s="48"/>
      <c r="C1308" s="47"/>
      <c r="D1308" s="48"/>
      <c r="E1308" s="48"/>
      <c r="F1308" s="48"/>
      <c r="G1308" s="48"/>
      <c r="H1308" s="48"/>
      <c r="I1308" s="49"/>
      <c r="J1308" s="47"/>
      <c r="K1308" s="47"/>
      <c r="L1308" s="47"/>
      <c r="M1308" s="47"/>
      <c r="N1308" s="47"/>
      <c r="O1308" s="47"/>
      <c r="P1308" s="47"/>
      <c r="Q1308" s="47"/>
      <c r="R1308" s="47"/>
      <c r="S1308" s="50"/>
      <c r="T1308" s="47"/>
      <c r="U1308" s="47"/>
      <c r="V1308" s="47"/>
      <c r="W1308" s="51"/>
      <c r="X1308" s="51"/>
      <c r="Y1308" s="47"/>
      <c r="Z1308" s="47"/>
      <c r="AA1308" s="47"/>
      <c r="AB1308" s="47"/>
      <c r="AC1308" s="47"/>
      <c r="AD1308" s="47"/>
      <c r="AE1308" s="54"/>
      <c r="AF1308" s="54"/>
      <c r="AG1308" s="55"/>
      <c r="AH1308" s="54"/>
      <c r="AI1308" s="54"/>
      <c r="AJ1308" s="54"/>
      <c r="AK1308" s="54"/>
      <c r="AL1308" s="54"/>
      <c r="AM1308" s="54"/>
      <c r="AN1308" s="54"/>
      <c r="AO1308" s="54"/>
      <c r="AP1308" s="54"/>
      <c r="AQ1308" s="54"/>
      <c r="AR1308" s="54"/>
      <c r="AS1308" s="54"/>
      <c r="AT1308" s="54"/>
      <c r="AU1308" s="54"/>
      <c r="AV1308" s="54"/>
      <c r="AW1308" s="54"/>
      <c r="AX1308" s="54"/>
      <c r="AY1308" s="54"/>
      <c r="AZ1308" s="54"/>
      <c r="BA1308" s="54"/>
      <c r="BB1308" s="54"/>
      <c r="BC1308" s="56"/>
      <c r="BD1308" s="51"/>
      <c r="BE1308" s="54"/>
      <c r="BF1308" s="54"/>
      <c r="BG1308" s="47"/>
      <c r="BH1308" s="48"/>
      <c r="BI1308" s="48"/>
      <c r="BJ1308" s="48"/>
      <c r="BK1308" s="48"/>
      <c r="BL1308" s="48"/>
      <c r="BM1308" s="48"/>
      <c r="BN1308" s="48"/>
      <c r="BO1308" s="48"/>
      <c r="BP1308" s="48"/>
      <c r="BQ1308" s="48"/>
      <c r="BR1308" s="48"/>
      <c r="BS1308" s="48"/>
      <c r="BT1308" s="48"/>
      <c r="BU1308" s="48"/>
      <c r="BV1308" s="48"/>
      <c r="BW1308" s="48"/>
      <c r="BX1308" s="48"/>
      <c r="BY1308" s="48"/>
      <c r="BZ1308" s="48"/>
      <c r="CA1308" s="48"/>
      <c r="CB1308" s="48"/>
      <c r="CC1308" s="48"/>
      <c r="CD1308" s="48"/>
      <c r="CE1308" s="48"/>
      <c r="CF1308" s="52"/>
      <c r="CG1308" s="52"/>
      <c r="CH1308" s="48"/>
      <c r="CI1308" s="48"/>
      <c r="CJ1308" s="48"/>
      <c r="CK1308" s="48"/>
    </row>
    <row r="1309" spans="1:89" ht="15.75" customHeight="1" x14ac:dyDescent="0.3">
      <c r="A1309" s="47"/>
      <c r="B1309" s="48"/>
      <c r="C1309" s="47"/>
      <c r="D1309" s="48"/>
      <c r="E1309" s="48"/>
      <c r="F1309" s="48"/>
      <c r="G1309" s="48"/>
      <c r="H1309" s="48"/>
      <c r="I1309" s="49"/>
      <c r="J1309" s="47"/>
      <c r="K1309" s="47"/>
      <c r="L1309" s="47"/>
      <c r="M1309" s="47"/>
      <c r="N1309" s="47"/>
      <c r="O1309" s="47"/>
      <c r="P1309" s="47"/>
      <c r="Q1309" s="47"/>
      <c r="R1309" s="47"/>
      <c r="S1309" s="50"/>
      <c r="T1309" s="47"/>
      <c r="U1309" s="47"/>
      <c r="V1309" s="47"/>
      <c r="W1309" s="51"/>
      <c r="X1309" s="51"/>
      <c r="Y1309" s="47"/>
      <c r="Z1309" s="47"/>
      <c r="AA1309" s="47"/>
      <c r="AB1309" s="47"/>
      <c r="AC1309" s="47"/>
      <c r="AD1309" s="47"/>
      <c r="AE1309" s="54"/>
      <c r="AF1309" s="54"/>
      <c r="AG1309" s="55"/>
      <c r="AH1309" s="54"/>
      <c r="AI1309" s="54"/>
      <c r="AJ1309" s="54"/>
      <c r="AK1309" s="54"/>
      <c r="AL1309" s="54"/>
      <c r="AM1309" s="54"/>
      <c r="AN1309" s="54"/>
      <c r="AO1309" s="54"/>
      <c r="AP1309" s="54"/>
      <c r="AQ1309" s="54"/>
      <c r="AR1309" s="54"/>
      <c r="AS1309" s="54"/>
      <c r="AT1309" s="54"/>
      <c r="AU1309" s="54"/>
      <c r="AV1309" s="54"/>
      <c r="AW1309" s="54"/>
      <c r="AX1309" s="54"/>
      <c r="AY1309" s="54"/>
      <c r="AZ1309" s="54"/>
      <c r="BA1309" s="54"/>
      <c r="BB1309" s="54"/>
      <c r="BC1309" s="56"/>
      <c r="BD1309" s="51"/>
      <c r="BE1309" s="54"/>
      <c r="BF1309" s="54"/>
      <c r="BG1309" s="47"/>
      <c r="BH1309" s="48"/>
      <c r="BI1309" s="48"/>
      <c r="BJ1309" s="48"/>
      <c r="BK1309" s="48"/>
      <c r="BL1309" s="48"/>
      <c r="BM1309" s="48"/>
      <c r="BN1309" s="48"/>
      <c r="BO1309" s="48"/>
      <c r="BP1309" s="48"/>
      <c r="BQ1309" s="48"/>
      <c r="BR1309" s="48"/>
      <c r="BS1309" s="48"/>
      <c r="BT1309" s="48"/>
      <c r="BU1309" s="48"/>
      <c r="BV1309" s="48"/>
      <c r="BW1309" s="48"/>
      <c r="BX1309" s="48"/>
      <c r="BY1309" s="48"/>
      <c r="BZ1309" s="48"/>
      <c r="CA1309" s="48"/>
      <c r="CB1309" s="48"/>
      <c r="CC1309" s="48"/>
      <c r="CD1309" s="48"/>
      <c r="CE1309" s="48"/>
      <c r="CF1309" s="52"/>
      <c r="CG1309" s="52"/>
      <c r="CH1309" s="48"/>
      <c r="CI1309" s="48"/>
      <c r="CJ1309" s="48"/>
      <c r="CK1309" s="48"/>
    </row>
    <row r="1310" spans="1:89" ht="15.75" customHeight="1" x14ac:dyDescent="0.3">
      <c r="A1310" s="47"/>
      <c r="B1310" s="48"/>
      <c r="C1310" s="47"/>
      <c r="D1310" s="48"/>
      <c r="E1310" s="48"/>
      <c r="F1310" s="48"/>
      <c r="G1310" s="48"/>
      <c r="H1310" s="48"/>
      <c r="I1310" s="49"/>
      <c r="J1310" s="47"/>
      <c r="K1310" s="47"/>
      <c r="L1310" s="47"/>
      <c r="M1310" s="47"/>
      <c r="N1310" s="47"/>
      <c r="O1310" s="47"/>
      <c r="P1310" s="47"/>
      <c r="Q1310" s="47"/>
      <c r="R1310" s="47"/>
      <c r="S1310" s="50"/>
      <c r="T1310" s="47"/>
      <c r="U1310" s="47"/>
      <c r="V1310" s="47"/>
      <c r="W1310" s="51"/>
      <c r="X1310" s="51"/>
      <c r="Y1310" s="47"/>
      <c r="Z1310" s="47"/>
      <c r="AA1310" s="47"/>
      <c r="AB1310" s="47"/>
      <c r="AC1310" s="47"/>
      <c r="AD1310" s="47"/>
      <c r="AE1310" s="54"/>
      <c r="AF1310" s="54"/>
      <c r="AG1310" s="55"/>
      <c r="AH1310" s="54"/>
      <c r="AI1310" s="54"/>
      <c r="AJ1310" s="54"/>
      <c r="AK1310" s="54"/>
      <c r="AL1310" s="54"/>
      <c r="AM1310" s="54"/>
      <c r="AN1310" s="54"/>
      <c r="AO1310" s="54"/>
      <c r="AP1310" s="54"/>
      <c r="AQ1310" s="54"/>
      <c r="AR1310" s="54"/>
      <c r="AS1310" s="54"/>
      <c r="AT1310" s="54"/>
      <c r="AU1310" s="54"/>
      <c r="AV1310" s="54"/>
      <c r="AW1310" s="54"/>
      <c r="AX1310" s="54"/>
      <c r="AY1310" s="54"/>
      <c r="AZ1310" s="54"/>
      <c r="BA1310" s="54"/>
      <c r="BB1310" s="54"/>
      <c r="BC1310" s="56"/>
      <c r="BD1310" s="51"/>
      <c r="BE1310" s="54"/>
      <c r="BF1310" s="54"/>
      <c r="BG1310" s="47"/>
      <c r="BH1310" s="48"/>
      <c r="BI1310" s="48"/>
      <c r="BJ1310" s="48"/>
      <c r="BK1310" s="48"/>
      <c r="BL1310" s="48"/>
      <c r="BM1310" s="48"/>
      <c r="BN1310" s="48"/>
      <c r="BO1310" s="48"/>
      <c r="BP1310" s="48"/>
      <c r="BQ1310" s="48"/>
      <c r="BR1310" s="48"/>
      <c r="BS1310" s="48"/>
      <c r="BT1310" s="48"/>
      <c r="BU1310" s="48"/>
      <c r="BV1310" s="48"/>
      <c r="BW1310" s="48"/>
      <c r="BX1310" s="48"/>
      <c r="BY1310" s="48"/>
      <c r="BZ1310" s="48"/>
      <c r="CA1310" s="48"/>
      <c r="CB1310" s="48"/>
      <c r="CC1310" s="48"/>
      <c r="CD1310" s="48"/>
      <c r="CE1310" s="48"/>
      <c r="CF1310" s="52"/>
      <c r="CG1310" s="52"/>
      <c r="CH1310" s="48"/>
      <c r="CI1310" s="48"/>
      <c r="CJ1310" s="48"/>
      <c r="CK1310" s="48"/>
    </row>
    <row r="1311" spans="1:89" ht="15.75" customHeight="1" x14ac:dyDescent="0.3">
      <c r="A1311" s="47"/>
      <c r="B1311" s="48"/>
      <c r="C1311" s="47"/>
      <c r="D1311" s="48"/>
      <c r="E1311" s="48"/>
      <c r="F1311" s="48"/>
      <c r="G1311" s="48"/>
      <c r="H1311" s="48"/>
      <c r="I1311" s="49"/>
      <c r="J1311" s="47"/>
      <c r="K1311" s="47"/>
      <c r="L1311" s="47"/>
      <c r="M1311" s="47"/>
      <c r="N1311" s="47"/>
      <c r="O1311" s="47"/>
      <c r="P1311" s="47"/>
      <c r="Q1311" s="47"/>
      <c r="R1311" s="47"/>
      <c r="S1311" s="50"/>
      <c r="T1311" s="47"/>
      <c r="U1311" s="47"/>
      <c r="V1311" s="47"/>
      <c r="W1311" s="51"/>
      <c r="X1311" s="51"/>
      <c r="Y1311" s="47"/>
      <c r="Z1311" s="47"/>
      <c r="AA1311" s="47"/>
      <c r="AB1311" s="47"/>
      <c r="AC1311" s="47"/>
      <c r="AD1311" s="47"/>
      <c r="AE1311" s="54"/>
      <c r="AF1311" s="54"/>
      <c r="AG1311" s="55"/>
      <c r="AH1311" s="54"/>
      <c r="AI1311" s="54"/>
      <c r="AJ1311" s="54"/>
      <c r="AK1311" s="54"/>
      <c r="AL1311" s="54"/>
      <c r="AM1311" s="54"/>
      <c r="AN1311" s="54"/>
      <c r="AO1311" s="54"/>
      <c r="AP1311" s="54"/>
      <c r="AQ1311" s="54"/>
      <c r="AR1311" s="54"/>
      <c r="AS1311" s="54"/>
      <c r="AT1311" s="54"/>
      <c r="AU1311" s="54"/>
      <c r="AV1311" s="54"/>
      <c r="AW1311" s="54"/>
      <c r="AX1311" s="54"/>
      <c r="AY1311" s="54"/>
      <c r="AZ1311" s="54"/>
      <c r="BA1311" s="54"/>
      <c r="BB1311" s="54"/>
      <c r="BC1311" s="56"/>
      <c r="BD1311" s="51"/>
      <c r="BE1311" s="54"/>
      <c r="BF1311" s="54"/>
      <c r="BG1311" s="47"/>
      <c r="BH1311" s="48"/>
      <c r="BI1311" s="48"/>
      <c r="BJ1311" s="48"/>
      <c r="BK1311" s="48"/>
      <c r="BL1311" s="48"/>
      <c r="BM1311" s="48"/>
      <c r="BN1311" s="48"/>
      <c r="BO1311" s="48"/>
      <c r="BP1311" s="48"/>
      <c r="BQ1311" s="48"/>
      <c r="BR1311" s="48"/>
      <c r="BS1311" s="48"/>
      <c r="BT1311" s="48"/>
      <c r="BU1311" s="48"/>
      <c r="BV1311" s="48"/>
      <c r="BW1311" s="48"/>
      <c r="BX1311" s="48"/>
      <c r="BY1311" s="48"/>
      <c r="BZ1311" s="48"/>
      <c r="CA1311" s="48"/>
      <c r="CB1311" s="48"/>
      <c r="CC1311" s="48"/>
      <c r="CD1311" s="48"/>
      <c r="CE1311" s="48"/>
      <c r="CF1311" s="52"/>
      <c r="CG1311" s="52"/>
      <c r="CH1311" s="48"/>
      <c r="CI1311" s="48"/>
      <c r="CJ1311" s="48"/>
      <c r="CK1311" s="48"/>
    </row>
    <row r="1312" spans="1:89" ht="15.75" customHeight="1" x14ac:dyDescent="0.3">
      <c r="A1312" s="47"/>
      <c r="B1312" s="48"/>
      <c r="C1312" s="47"/>
      <c r="D1312" s="48"/>
      <c r="E1312" s="48"/>
      <c r="F1312" s="48"/>
      <c r="G1312" s="48"/>
      <c r="H1312" s="48"/>
      <c r="I1312" s="49"/>
      <c r="J1312" s="47"/>
      <c r="K1312" s="47"/>
      <c r="L1312" s="47"/>
      <c r="M1312" s="47"/>
      <c r="N1312" s="47"/>
      <c r="O1312" s="47"/>
      <c r="P1312" s="47"/>
      <c r="Q1312" s="47"/>
      <c r="R1312" s="47"/>
      <c r="S1312" s="50"/>
      <c r="T1312" s="47"/>
      <c r="U1312" s="47"/>
      <c r="V1312" s="47"/>
      <c r="W1312" s="51"/>
      <c r="X1312" s="51"/>
      <c r="Y1312" s="47"/>
      <c r="Z1312" s="47"/>
      <c r="AA1312" s="47"/>
      <c r="AB1312" s="47"/>
      <c r="AC1312" s="47"/>
      <c r="AD1312" s="47"/>
      <c r="AE1312" s="54"/>
      <c r="AF1312" s="54"/>
      <c r="AG1312" s="55"/>
      <c r="AH1312" s="54"/>
      <c r="AI1312" s="54"/>
      <c r="AJ1312" s="54"/>
      <c r="AK1312" s="54"/>
      <c r="AL1312" s="54"/>
      <c r="AM1312" s="54"/>
      <c r="AN1312" s="54"/>
      <c r="AO1312" s="54"/>
      <c r="AP1312" s="54"/>
      <c r="AQ1312" s="54"/>
      <c r="AR1312" s="54"/>
      <c r="AS1312" s="54"/>
      <c r="AT1312" s="54"/>
      <c r="AU1312" s="54"/>
      <c r="AV1312" s="54"/>
      <c r="AW1312" s="54"/>
      <c r="AX1312" s="54"/>
      <c r="AY1312" s="54"/>
      <c r="AZ1312" s="54"/>
      <c r="BA1312" s="54"/>
      <c r="BB1312" s="54"/>
      <c r="BC1312" s="56"/>
      <c r="BD1312" s="51"/>
      <c r="BE1312" s="54"/>
      <c r="BF1312" s="54"/>
      <c r="BG1312" s="47"/>
      <c r="BH1312" s="48"/>
      <c r="BI1312" s="48"/>
      <c r="BJ1312" s="48"/>
      <c r="BK1312" s="48"/>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52"/>
      <c r="CG1312" s="52"/>
      <c r="CH1312" s="48"/>
      <c r="CI1312" s="48"/>
      <c r="CJ1312" s="48"/>
      <c r="CK1312" s="48"/>
    </row>
    <row r="1313" spans="1:89" ht="15.75" customHeight="1" x14ac:dyDescent="0.3">
      <c r="A1313" s="47"/>
      <c r="B1313" s="48"/>
      <c r="C1313" s="47"/>
      <c r="D1313" s="48"/>
      <c r="E1313" s="48"/>
      <c r="F1313" s="48"/>
      <c r="G1313" s="48"/>
      <c r="H1313" s="48"/>
      <c r="I1313" s="49"/>
      <c r="J1313" s="47"/>
      <c r="K1313" s="47"/>
      <c r="L1313" s="47"/>
      <c r="M1313" s="47"/>
      <c r="N1313" s="47"/>
      <c r="O1313" s="47"/>
      <c r="P1313" s="47"/>
      <c r="Q1313" s="47"/>
      <c r="R1313" s="47"/>
      <c r="S1313" s="50"/>
      <c r="T1313" s="47"/>
      <c r="U1313" s="47"/>
      <c r="V1313" s="47"/>
      <c r="W1313" s="51"/>
      <c r="X1313" s="51"/>
      <c r="Y1313" s="47"/>
      <c r="Z1313" s="47"/>
      <c r="AA1313" s="47"/>
      <c r="AB1313" s="47"/>
      <c r="AC1313" s="47"/>
      <c r="AD1313" s="47"/>
      <c r="AE1313" s="54"/>
      <c r="AF1313" s="54"/>
      <c r="AG1313" s="55"/>
      <c r="AH1313" s="54"/>
      <c r="AI1313" s="54"/>
      <c r="AJ1313" s="54"/>
      <c r="AK1313" s="54"/>
      <c r="AL1313" s="54"/>
      <c r="AM1313" s="54"/>
      <c r="AN1313" s="54"/>
      <c r="AO1313" s="54"/>
      <c r="AP1313" s="54"/>
      <c r="AQ1313" s="54"/>
      <c r="AR1313" s="54"/>
      <c r="AS1313" s="54"/>
      <c r="AT1313" s="54"/>
      <c r="AU1313" s="54"/>
      <c r="AV1313" s="54"/>
      <c r="AW1313" s="54"/>
      <c r="AX1313" s="54"/>
      <c r="AY1313" s="54"/>
      <c r="AZ1313" s="54"/>
      <c r="BA1313" s="54"/>
      <c r="BB1313" s="54"/>
      <c r="BC1313" s="56"/>
      <c r="BD1313" s="51"/>
      <c r="BE1313" s="54"/>
      <c r="BF1313" s="54"/>
      <c r="BG1313" s="47"/>
      <c r="BH1313" s="48"/>
      <c r="BI1313" s="48"/>
      <c r="BJ1313" s="48"/>
      <c r="BK1313" s="48"/>
      <c r="BL1313" s="48"/>
      <c r="BM1313" s="48"/>
      <c r="BN1313" s="48"/>
      <c r="BO1313" s="48"/>
      <c r="BP1313" s="48"/>
      <c r="BQ1313" s="48"/>
      <c r="BR1313" s="48"/>
      <c r="BS1313" s="48"/>
      <c r="BT1313" s="48"/>
      <c r="BU1313" s="48"/>
      <c r="BV1313" s="48"/>
      <c r="BW1313" s="48"/>
      <c r="BX1313" s="48"/>
      <c r="BY1313" s="48"/>
      <c r="BZ1313" s="48"/>
      <c r="CA1313" s="48"/>
      <c r="CB1313" s="48"/>
      <c r="CC1313" s="48"/>
      <c r="CD1313" s="48"/>
      <c r="CE1313" s="48"/>
      <c r="CF1313" s="52"/>
      <c r="CG1313" s="52"/>
      <c r="CH1313" s="48"/>
      <c r="CI1313" s="48"/>
      <c r="CJ1313" s="48"/>
      <c r="CK1313" s="48"/>
    </row>
    <row r="1314" spans="1:89" ht="15.75" customHeight="1" x14ac:dyDescent="0.3">
      <c r="A1314" s="47"/>
      <c r="B1314" s="48"/>
      <c r="C1314" s="47"/>
      <c r="D1314" s="48"/>
      <c r="E1314" s="48"/>
      <c r="F1314" s="48"/>
      <c r="G1314" s="48"/>
      <c r="H1314" s="48"/>
      <c r="I1314" s="49"/>
      <c r="J1314" s="47"/>
      <c r="K1314" s="47"/>
      <c r="L1314" s="47"/>
      <c r="M1314" s="47"/>
      <c r="N1314" s="47"/>
      <c r="O1314" s="47"/>
      <c r="P1314" s="47"/>
      <c r="Q1314" s="47"/>
      <c r="R1314" s="47"/>
      <c r="S1314" s="50"/>
      <c r="T1314" s="47"/>
      <c r="U1314" s="47"/>
      <c r="V1314" s="47"/>
      <c r="W1314" s="51"/>
      <c r="X1314" s="51"/>
      <c r="Y1314" s="47"/>
      <c r="Z1314" s="47"/>
      <c r="AA1314" s="47"/>
      <c r="AB1314" s="47"/>
      <c r="AC1314" s="47"/>
      <c r="AD1314" s="47"/>
      <c r="AE1314" s="54"/>
      <c r="AF1314" s="54"/>
      <c r="AG1314" s="55"/>
      <c r="AH1314" s="54"/>
      <c r="AI1314" s="54"/>
      <c r="AJ1314" s="54"/>
      <c r="AK1314" s="54"/>
      <c r="AL1314" s="54"/>
      <c r="AM1314" s="54"/>
      <c r="AN1314" s="54"/>
      <c r="AO1314" s="54"/>
      <c r="AP1314" s="54"/>
      <c r="AQ1314" s="54"/>
      <c r="AR1314" s="54"/>
      <c r="AS1314" s="54"/>
      <c r="AT1314" s="54"/>
      <c r="AU1314" s="54"/>
      <c r="AV1314" s="54"/>
      <c r="AW1314" s="54"/>
      <c r="AX1314" s="54"/>
      <c r="AY1314" s="54"/>
      <c r="AZ1314" s="54"/>
      <c r="BA1314" s="54"/>
      <c r="BB1314" s="54"/>
      <c r="BC1314" s="56"/>
      <c r="BD1314" s="51"/>
      <c r="BE1314" s="54"/>
      <c r="BF1314" s="54"/>
      <c r="BG1314" s="47"/>
      <c r="BH1314" s="48"/>
      <c r="BI1314" s="48"/>
      <c r="BJ1314" s="48"/>
      <c r="BK1314" s="48"/>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52"/>
      <c r="CG1314" s="52"/>
      <c r="CH1314" s="48"/>
      <c r="CI1314" s="48"/>
      <c r="CJ1314" s="48"/>
      <c r="CK1314" s="48"/>
    </row>
    <row r="1315" spans="1:89" ht="15.75" customHeight="1" x14ac:dyDescent="0.3">
      <c r="A1315" s="47"/>
      <c r="B1315" s="48"/>
      <c r="C1315" s="47"/>
      <c r="D1315" s="48"/>
      <c r="E1315" s="48"/>
      <c r="F1315" s="48"/>
      <c r="G1315" s="48"/>
      <c r="H1315" s="48"/>
      <c r="I1315" s="49"/>
      <c r="J1315" s="47"/>
      <c r="K1315" s="47"/>
      <c r="L1315" s="47"/>
      <c r="M1315" s="47"/>
      <c r="N1315" s="47"/>
      <c r="O1315" s="47"/>
      <c r="P1315" s="47"/>
      <c r="Q1315" s="47"/>
      <c r="R1315" s="47"/>
      <c r="S1315" s="50"/>
      <c r="T1315" s="47"/>
      <c r="U1315" s="47"/>
      <c r="V1315" s="47"/>
      <c r="W1315" s="51"/>
      <c r="X1315" s="51"/>
      <c r="Y1315" s="47"/>
      <c r="Z1315" s="47"/>
      <c r="AA1315" s="47"/>
      <c r="AB1315" s="47"/>
      <c r="AC1315" s="47"/>
      <c r="AD1315" s="47"/>
      <c r="AE1315" s="54"/>
      <c r="AF1315" s="54"/>
      <c r="AG1315" s="55"/>
      <c r="AH1315" s="54"/>
      <c r="AI1315" s="54"/>
      <c r="AJ1315" s="54"/>
      <c r="AK1315" s="54"/>
      <c r="AL1315" s="54"/>
      <c r="AM1315" s="54"/>
      <c r="AN1315" s="54"/>
      <c r="AO1315" s="54"/>
      <c r="AP1315" s="54"/>
      <c r="AQ1315" s="54"/>
      <c r="AR1315" s="54"/>
      <c r="AS1315" s="54"/>
      <c r="AT1315" s="54"/>
      <c r="AU1315" s="54"/>
      <c r="AV1315" s="54"/>
      <c r="AW1315" s="54"/>
      <c r="AX1315" s="54"/>
      <c r="AY1315" s="54"/>
      <c r="AZ1315" s="54"/>
      <c r="BA1315" s="54"/>
      <c r="BB1315" s="54"/>
      <c r="BC1315" s="56"/>
      <c r="BD1315" s="51"/>
      <c r="BE1315" s="54"/>
      <c r="BF1315" s="54"/>
      <c r="BG1315" s="47"/>
      <c r="BH1315" s="48"/>
      <c r="BI1315" s="48"/>
      <c r="BJ1315" s="48"/>
      <c r="BK1315" s="48"/>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52"/>
      <c r="CG1315" s="52"/>
      <c r="CH1315" s="48"/>
      <c r="CI1315" s="48"/>
      <c r="CJ1315" s="48"/>
      <c r="CK1315" s="48"/>
    </row>
    <row r="1316" spans="1:89" ht="15.75" customHeight="1" x14ac:dyDescent="0.3">
      <c r="A1316" s="47"/>
      <c r="B1316" s="48"/>
      <c r="C1316" s="47"/>
      <c r="D1316" s="48"/>
      <c r="E1316" s="48"/>
      <c r="F1316" s="48"/>
      <c r="G1316" s="48"/>
      <c r="H1316" s="48"/>
      <c r="I1316" s="49"/>
      <c r="J1316" s="47"/>
      <c r="K1316" s="47"/>
      <c r="L1316" s="47"/>
      <c r="M1316" s="47"/>
      <c r="N1316" s="47"/>
      <c r="O1316" s="47"/>
      <c r="P1316" s="47"/>
      <c r="Q1316" s="47"/>
      <c r="R1316" s="47"/>
      <c r="S1316" s="50"/>
      <c r="T1316" s="47"/>
      <c r="U1316" s="47"/>
      <c r="V1316" s="47"/>
      <c r="W1316" s="51"/>
      <c r="X1316" s="51"/>
      <c r="Y1316" s="47"/>
      <c r="Z1316" s="47"/>
      <c r="AA1316" s="47"/>
      <c r="AB1316" s="47"/>
      <c r="AC1316" s="47"/>
      <c r="AD1316" s="47"/>
      <c r="AE1316" s="54"/>
      <c r="AF1316" s="54"/>
      <c r="AG1316" s="55"/>
      <c r="AH1316" s="54"/>
      <c r="AI1316" s="54"/>
      <c r="AJ1316" s="54"/>
      <c r="AK1316" s="54"/>
      <c r="AL1316" s="54"/>
      <c r="AM1316" s="54"/>
      <c r="AN1316" s="54"/>
      <c r="AO1316" s="54"/>
      <c r="AP1316" s="54"/>
      <c r="AQ1316" s="54"/>
      <c r="AR1316" s="54"/>
      <c r="AS1316" s="54"/>
      <c r="AT1316" s="54"/>
      <c r="AU1316" s="54"/>
      <c r="AV1316" s="54"/>
      <c r="AW1316" s="54"/>
      <c r="AX1316" s="54"/>
      <c r="AY1316" s="54"/>
      <c r="AZ1316" s="54"/>
      <c r="BA1316" s="54"/>
      <c r="BB1316" s="54"/>
      <c r="BC1316" s="56"/>
      <c r="BD1316" s="51"/>
      <c r="BE1316" s="54"/>
      <c r="BF1316" s="54"/>
      <c r="BG1316" s="47"/>
      <c r="BH1316" s="48"/>
      <c r="BI1316" s="48"/>
      <c r="BJ1316" s="48"/>
      <c r="BK1316" s="48"/>
      <c r="BL1316" s="48"/>
      <c r="BM1316" s="48"/>
      <c r="BN1316" s="48"/>
      <c r="BO1316" s="48"/>
      <c r="BP1316" s="48"/>
      <c r="BQ1316" s="48"/>
      <c r="BR1316" s="48"/>
      <c r="BS1316" s="48"/>
      <c r="BT1316" s="48"/>
      <c r="BU1316" s="48"/>
      <c r="BV1316" s="48"/>
      <c r="BW1316" s="48"/>
      <c r="BX1316" s="48"/>
      <c r="BY1316" s="48"/>
      <c r="BZ1316" s="48"/>
      <c r="CA1316" s="48"/>
      <c r="CB1316" s="48"/>
      <c r="CC1316" s="48"/>
      <c r="CD1316" s="48"/>
      <c r="CE1316" s="48"/>
      <c r="CF1316" s="52"/>
      <c r="CG1316" s="52"/>
      <c r="CH1316" s="48"/>
      <c r="CI1316" s="48"/>
      <c r="CJ1316" s="48"/>
      <c r="CK1316" s="48"/>
    </row>
    <row r="1317" spans="1:89" ht="15.75" customHeight="1" x14ac:dyDescent="0.3">
      <c r="A1317" s="47"/>
      <c r="B1317" s="48"/>
      <c r="C1317" s="47"/>
      <c r="D1317" s="48"/>
      <c r="E1317" s="48"/>
      <c r="F1317" s="48"/>
      <c r="G1317" s="48"/>
      <c r="H1317" s="48"/>
      <c r="I1317" s="49"/>
      <c r="J1317" s="47"/>
      <c r="K1317" s="47"/>
      <c r="L1317" s="47"/>
      <c r="M1317" s="47"/>
      <c r="N1317" s="47"/>
      <c r="O1317" s="47"/>
      <c r="P1317" s="47"/>
      <c r="Q1317" s="47"/>
      <c r="R1317" s="47"/>
      <c r="S1317" s="50"/>
      <c r="T1317" s="47"/>
      <c r="U1317" s="47"/>
      <c r="V1317" s="47"/>
      <c r="W1317" s="51"/>
      <c r="X1317" s="51"/>
      <c r="Y1317" s="47"/>
      <c r="Z1317" s="47"/>
      <c r="AA1317" s="47"/>
      <c r="AB1317" s="47"/>
      <c r="AC1317" s="47"/>
      <c r="AD1317" s="47"/>
      <c r="AE1317" s="54"/>
      <c r="AF1317" s="54"/>
      <c r="AG1317" s="55"/>
      <c r="AH1317" s="54"/>
      <c r="AI1317" s="54"/>
      <c r="AJ1317" s="54"/>
      <c r="AK1317" s="54"/>
      <c r="AL1317" s="54"/>
      <c r="AM1317" s="54"/>
      <c r="AN1317" s="54"/>
      <c r="AO1317" s="54"/>
      <c r="AP1317" s="54"/>
      <c r="AQ1317" s="54"/>
      <c r="AR1317" s="54"/>
      <c r="AS1317" s="54"/>
      <c r="AT1317" s="54"/>
      <c r="AU1317" s="54"/>
      <c r="AV1317" s="54"/>
      <c r="AW1317" s="54"/>
      <c r="AX1317" s="54"/>
      <c r="AY1317" s="54"/>
      <c r="AZ1317" s="54"/>
      <c r="BA1317" s="54"/>
      <c r="BB1317" s="54"/>
      <c r="BC1317" s="56"/>
      <c r="BD1317" s="51"/>
      <c r="BE1317" s="54"/>
      <c r="BF1317" s="54"/>
      <c r="BG1317" s="47"/>
      <c r="BH1317" s="48"/>
      <c r="BI1317" s="48"/>
      <c r="BJ1317" s="48"/>
      <c r="BK1317" s="48"/>
      <c r="BL1317" s="48"/>
      <c r="BM1317" s="48"/>
      <c r="BN1317" s="48"/>
      <c r="BO1317" s="48"/>
      <c r="BP1317" s="48"/>
      <c r="BQ1317" s="48"/>
      <c r="BR1317" s="48"/>
      <c r="BS1317" s="48"/>
      <c r="BT1317" s="48"/>
      <c r="BU1317" s="48"/>
      <c r="BV1317" s="48"/>
      <c r="BW1317" s="48"/>
      <c r="BX1317" s="48"/>
      <c r="BY1317" s="48"/>
      <c r="BZ1317" s="48"/>
      <c r="CA1317" s="48"/>
      <c r="CB1317" s="48"/>
      <c r="CC1317" s="48"/>
      <c r="CD1317" s="48"/>
      <c r="CE1317" s="48"/>
      <c r="CF1317" s="52"/>
      <c r="CG1317" s="52"/>
      <c r="CH1317" s="48"/>
      <c r="CI1317" s="48"/>
      <c r="CJ1317" s="48"/>
      <c r="CK1317" s="48"/>
    </row>
    <row r="1318" spans="1:89" ht="15.75" customHeight="1" x14ac:dyDescent="0.3">
      <c r="A1318" s="47"/>
      <c r="B1318" s="48"/>
      <c r="C1318" s="47"/>
      <c r="D1318" s="48"/>
      <c r="E1318" s="48"/>
      <c r="F1318" s="48"/>
      <c r="G1318" s="48"/>
      <c r="H1318" s="48"/>
      <c r="I1318" s="49"/>
      <c r="J1318" s="47"/>
      <c r="K1318" s="47"/>
      <c r="L1318" s="47"/>
      <c r="M1318" s="47"/>
      <c r="N1318" s="47"/>
      <c r="O1318" s="47"/>
      <c r="P1318" s="47"/>
      <c r="Q1318" s="47"/>
      <c r="R1318" s="47"/>
      <c r="S1318" s="50"/>
      <c r="T1318" s="47"/>
      <c r="U1318" s="47"/>
      <c r="V1318" s="47"/>
      <c r="W1318" s="51"/>
      <c r="X1318" s="51"/>
      <c r="Y1318" s="47"/>
      <c r="Z1318" s="47"/>
      <c r="AA1318" s="47"/>
      <c r="AB1318" s="47"/>
      <c r="AC1318" s="47"/>
      <c r="AD1318" s="47"/>
      <c r="AE1318" s="54"/>
      <c r="AF1318" s="54"/>
      <c r="AG1318" s="55"/>
      <c r="AH1318" s="54"/>
      <c r="AI1318" s="54"/>
      <c r="AJ1318" s="54"/>
      <c r="AK1318" s="54"/>
      <c r="AL1318" s="54"/>
      <c r="AM1318" s="54"/>
      <c r="AN1318" s="54"/>
      <c r="AO1318" s="54"/>
      <c r="AP1318" s="54"/>
      <c r="AQ1318" s="54"/>
      <c r="AR1318" s="54"/>
      <c r="AS1318" s="54"/>
      <c r="AT1318" s="54"/>
      <c r="AU1318" s="54"/>
      <c r="AV1318" s="54"/>
      <c r="AW1318" s="54"/>
      <c r="AX1318" s="54"/>
      <c r="AY1318" s="54"/>
      <c r="AZ1318" s="54"/>
      <c r="BA1318" s="54"/>
      <c r="BB1318" s="54"/>
      <c r="BC1318" s="56"/>
      <c r="BD1318" s="51"/>
      <c r="BE1318" s="54"/>
      <c r="BF1318" s="54"/>
      <c r="BG1318" s="47"/>
      <c r="BH1318" s="48"/>
      <c r="BI1318" s="48"/>
      <c r="BJ1318" s="48"/>
      <c r="BK1318" s="48"/>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52"/>
      <c r="CG1318" s="52"/>
      <c r="CH1318" s="48"/>
      <c r="CI1318" s="48"/>
      <c r="CJ1318" s="48"/>
      <c r="CK1318" s="48"/>
    </row>
    <row r="1319" spans="1:89" ht="15.75" customHeight="1" x14ac:dyDescent="0.3">
      <c r="A1319" s="47"/>
      <c r="B1319" s="48"/>
      <c r="C1319" s="47"/>
      <c r="D1319" s="48"/>
      <c r="E1319" s="48"/>
      <c r="F1319" s="48"/>
      <c r="G1319" s="48"/>
      <c r="H1319" s="48"/>
      <c r="I1319" s="49"/>
      <c r="J1319" s="47"/>
      <c r="K1319" s="47"/>
      <c r="L1319" s="47"/>
      <c r="M1319" s="47"/>
      <c r="N1319" s="47"/>
      <c r="O1319" s="47"/>
      <c r="P1319" s="47"/>
      <c r="Q1319" s="47"/>
      <c r="R1319" s="47"/>
      <c r="S1319" s="50"/>
      <c r="T1319" s="47"/>
      <c r="U1319" s="47"/>
      <c r="V1319" s="47"/>
      <c r="W1319" s="51"/>
      <c r="X1319" s="51"/>
      <c r="Y1319" s="47"/>
      <c r="Z1319" s="47"/>
      <c r="AA1319" s="47"/>
      <c r="AB1319" s="47"/>
      <c r="AC1319" s="47"/>
      <c r="AD1319" s="47"/>
      <c r="AE1319" s="54"/>
      <c r="AF1319" s="54"/>
      <c r="AG1319" s="55"/>
      <c r="AH1319" s="54"/>
      <c r="AI1319" s="54"/>
      <c r="AJ1319" s="54"/>
      <c r="AK1319" s="54"/>
      <c r="AL1319" s="54"/>
      <c r="AM1319" s="54"/>
      <c r="AN1319" s="54"/>
      <c r="AO1319" s="54"/>
      <c r="AP1319" s="54"/>
      <c r="AQ1319" s="54"/>
      <c r="AR1319" s="54"/>
      <c r="AS1319" s="54"/>
      <c r="AT1319" s="54"/>
      <c r="AU1319" s="54"/>
      <c r="AV1319" s="54"/>
      <c r="AW1319" s="54"/>
      <c r="AX1319" s="54"/>
      <c r="AY1319" s="54"/>
      <c r="AZ1319" s="54"/>
      <c r="BA1319" s="54"/>
      <c r="BB1319" s="54"/>
      <c r="BC1319" s="56"/>
      <c r="BD1319" s="51"/>
      <c r="BE1319" s="54"/>
      <c r="BF1319" s="54"/>
      <c r="BG1319" s="47"/>
      <c r="BH1319" s="48"/>
      <c r="BI1319" s="48"/>
      <c r="BJ1319" s="48"/>
      <c r="BK1319" s="48"/>
      <c r="BL1319" s="48"/>
      <c r="BM1319" s="48"/>
      <c r="BN1319" s="48"/>
      <c r="BO1319" s="48"/>
      <c r="BP1319" s="48"/>
      <c r="BQ1319" s="48"/>
      <c r="BR1319" s="48"/>
      <c r="BS1319" s="48"/>
      <c r="BT1319" s="48"/>
      <c r="BU1319" s="48"/>
      <c r="BV1319" s="48"/>
      <c r="BW1319" s="48"/>
      <c r="BX1319" s="48"/>
      <c r="BY1319" s="48"/>
      <c r="BZ1319" s="48"/>
      <c r="CA1319" s="48"/>
      <c r="CB1319" s="48"/>
      <c r="CC1319" s="48"/>
      <c r="CD1319" s="48"/>
      <c r="CE1319" s="48"/>
      <c r="CF1319" s="52"/>
      <c r="CG1319" s="52"/>
      <c r="CH1319" s="48"/>
      <c r="CI1319" s="48"/>
      <c r="CJ1319" s="48"/>
      <c r="CK1319" s="48"/>
    </row>
    <row r="1320" spans="1:89" ht="15.75" customHeight="1" x14ac:dyDescent="0.3">
      <c r="A1320" s="47"/>
      <c r="B1320" s="48"/>
      <c r="C1320" s="47"/>
      <c r="D1320" s="48"/>
      <c r="E1320" s="48"/>
      <c r="F1320" s="48"/>
      <c r="G1320" s="48"/>
      <c r="H1320" s="48"/>
      <c r="I1320" s="49"/>
      <c r="J1320" s="47"/>
      <c r="K1320" s="47"/>
      <c r="L1320" s="47"/>
      <c r="M1320" s="47"/>
      <c r="N1320" s="47"/>
      <c r="O1320" s="47"/>
      <c r="P1320" s="47"/>
      <c r="Q1320" s="47"/>
      <c r="R1320" s="47"/>
      <c r="S1320" s="50"/>
      <c r="T1320" s="47"/>
      <c r="U1320" s="47"/>
      <c r="V1320" s="47"/>
      <c r="W1320" s="51"/>
      <c r="X1320" s="51"/>
      <c r="Y1320" s="47"/>
      <c r="Z1320" s="47"/>
      <c r="AA1320" s="47"/>
      <c r="AB1320" s="47"/>
      <c r="AC1320" s="47"/>
      <c r="AD1320" s="47"/>
      <c r="AE1320" s="54"/>
      <c r="AF1320" s="54"/>
      <c r="AG1320" s="55"/>
      <c r="AH1320" s="54"/>
      <c r="AI1320" s="54"/>
      <c r="AJ1320" s="54"/>
      <c r="AK1320" s="54"/>
      <c r="AL1320" s="54"/>
      <c r="AM1320" s="54"/>
      <c r="AN1320" s="54"/>
      <c r="AO1320" s="54"/>
      <c r="AP1320" s="54"/>
      <c r="AQ1320" s="54"/>
      <c r="AR1320" s="54"/>
      <c r="AS1320" s="54"/>
      <c r="AT1320" s="54"/>
      <c r="AU1320" s="54"/>
      <c r="AV1320" s="54"/>
      <c r="AW1320" s="54"/>
      <c r="AX1320" s="54"/>
      <c r="AY1320" s="54"/>
      <c r="AZ1320" s="54"/>
      <c r="BA1320" s="54"/>
      <c r="BB1320" s="54"/>
      <c r="BC1320" s="56"/>
      <c r="BD1320" s="51"/>
      <c r="BE1320" s="54"/>
      <c r="BF1320" s="54"/>
      <c r="BG1320" s="47"/>
      <c r="BH1320" s="48"/>
      <c r="BI1320" s="48"/>
      <c r="BJ1320" s="48"/>
      <c r="BK1320" s="48"/>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52"/>
      <c r="CG1320" s="52"/>
      <c r="CH1320" s="48"/>
      <c r="CI1320" s="48"/>
      <c r="CJ1320" s="48"/>
      <c r="CK1320" s="48"/>
    </row>
    <row r="1321" spans="1:89" ht="15.75" customHeight="1" x14ac:dyDescent="0.3">
      <c r="A1321" s="47"/>
      <c r="B1321" s="48"/>
      <c r="C1321" s="47"/>
      <c r="D1321" s="48"/>
      <c r="E1321" s="48"/>
      <c r="F1321" s="48"/>
      <c r="G1321" s="48"/>
      <c r="H1321" s="48"/>
      <c r="I1321" s="49"/>
      <c r="J1321" s="47"/>
      <c r="K1321" s="47"/>
      <c r="L1321" s="47"/>
      <c r="M1321" s="47"/>
      <c r="N1321" s="47"/>
      <c r="O1321" s="47"/>
      <c r="P1321" s="47"/>
      <c r="Q1321" s="47"/>
      <c r="R1321" s="47"/>
      <c r="S1321" s="50"/>
      <c r="T1321" s="47"/>
      <c r="U1321" s="47"/>
      <c r="V1321" s="47"/>
      <c r="W1321" s="51"/>
      <c r="X1321" s="51"/>
      <c r="Y1321" s="47"/>
      <c r="Z1321" s="47"/>
      <c r="AA1321" s="47"/>
      <c r="AB1321" s="47"/>
      <c r="AC1321" s="47"/>
      <c r="AD1321" s="47"/>
      <c r="AE1321" s="54"/>
      <c r="AF1321" s="54"/>
      <c r="AG1321" s="55"/>
      <c r="AH1321" s="54"/>
      <c r="AI1321" s="54"/>
      <c r="AJ1321" s="54"/>
      <c r="AK1321" s="54"/>
      <c r="AL1321" s="54"/>
      <c r="AM1321" s="54"/>
      <c r="AN1321" s="54"/>
      <c r="AO1321" s="54"/>
      <c r="AP1321" s="54"/>
      <c r="AQ1321" s="54"/>
      <c r="AR1321" s="54"/>
      <c r="AS1321" s="54"/>
      <c r="AT1321" s="54"/>
      <c r="AU1321" s="54"/>
      <c r="AV1321" s="54"/>
      <c r="AW1321" s="54"/>
      <c r="AX1321" s="54"/>
      <c r="AY1321" s="54"/>
      <c r="AZ1321" s="54"/>
      <c r="BA1321" s="54"/>
      <c r="BB1321" s="54"/>
      <c r="BC1321" s="56"/>
      <c r="BD1321" s="51"/>
      <c r="BE1321" s="54"/>
      <c r="BF1321" s="54"/>
      <c r="BG1321" s="47"/>
      <c r="BH1321" s="48"/>
      <c r="BI1321" s="48"/>
      <c r="BJ1321" s="48"/>
      <c r="BK1321" s="48"/>
      <c r="BL1321" s="48"/>
      <c r="BM1321" s="48"/>
      <c r="BN1321" s="48"/>
      <c r="BO1321" s="48"/>
      <c r="BP1321" s="48"/>
      <c r="BQ1321" s="48"/>
      <c r="BR1321" s="48"/>
      <c r="BS1321" s="48"/>
      <c r="BT1321" s="48"/>
      <c r="BU1321" s="48"/>
      <c r="BV1321" s="48"/>
      <c r="BW1321" s="48"/>
      <c r="BX1321" s="48"/>
      <c r="BY1321" s="48"/>
      <c r="BZ1321" s="48"/>
      <c r="CA1321" s="48"/>
      <c r="CB1321" s="48"/>
      <c r="CC1321" s="48"/>
      <c r="CD1321" s="48"/>
      <c r="CE1321" s="48"/>
      <c r="CF1321" s="52"/>
      <c r="CG1321" s="52"/>
      <c r="CH1321" s="48"/>
      <c r="CI1321" s="48"/>
      <c r="CJ1321" s="48"/>
      <c r="CK1321" s="48"/>
    </row>
    <row r="1322" spans="1:89" ht="15.75" customHeight="1" x14ac:dyDescent="0.3">
      <c r="A1322" s="47"/>
      <c r="B1322" s="48"/>
      <c r="C1322" s="47"/>
      <c r="D1322" s="48"/>
      <c r="E1322" s="48"/>
      <c r="F1322" s="48"/>
      <c r="G1322" s="48"/>
      <c r="H1322" s="48"/>
      <c r="I1322" s="49"/>
      <c r="J1322" s="47"/>
      <c r="K1322" s="47"/>
      <c r="L1322" s="47"/>
      <c r="M1322" s="47"/>
      <c r="N1322" s="47"/>
      <c r="O1322" s="47"/>
      <c r="P1322" s="47"/>
      <c r="Q1322" s="47"/>
      <c r="R1322" s="47"/>
      <c r="S1322" s="50"/>
      <c r="T1322" s="47"/>
      <c r="U1322" s="47"/>
      <c r="V1322" s="47"/>
      <c r="W1322" s="51"/>
      <c r="X1322" s="51"/>
      <c r="Y1322" s="47"/>
      <c r="Z1322" s="47"/>
      <c r="AA1322" s="47"/>
      <c r="AB1322" s="47"/>
      <c r="AC1322" s="47"/>
      <c r="AD1322" s="47"/>
      <c r="AE1322" s="54"/>
      <c r="AF1322" s="54"/>
      <c r="AG1322" s="55"/>
      <c r="AH1322" s="54"/>
      <c r="AI1322" s="54"/>
      <c r="AJ1322" s="54"/>
      <c r="AK1322" s="54"/>
      <c r="AL1322" s="54"/>
      <c r="AM1322" s="54"/>
      <c r="AN1322" s="54"/>
      <c r="AO1322" s="54"/>
      <c r="AP1322" s="54"/>
      <c r="AQ1322" s="54"/>
      <c r="AR1322" s="54"/>
      <c r="AS1322" s="54"/>
      <c r="AT1322" s="54"/>
      <c r="AU1322" s="54"/>
      <c r="AV1322" s="54"/>
      <c r="AW1322" s="54"/>
      <c r="AX1322" s="54"/>
      <c r="AY1322" s="54"/>
      <c r="AZ1322" s="54"/>
      <c r="BA1322" s="54"/>
      <c r="BB1322" s="54"/>
      <c r="BC1322" s="56"/>
      <c r="BD1322" s="51"/>
      <c r="BE1322" s="54"/>
      <c r="BF1322" s="54"/>
      <c r="BG1322" s="47"/>
      <c r="BH1322" s="48"/>
      <c r="BI1322" s="48"/>
      <c r="BJ1322" s="48"/>
      <c r="BK1322" s="48"/>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52"/>
      <c r="CG1322" s="52"/>
      <c r="CH1322" s="48"/>
      <c r="CI1322" s="48"/>
      <c r="CJ1322" s="48"/>
      <c r="CK1322" s="48"/>
    </row>
    <row r="1323" spans="1:89" ht="15.75" customHeight="1" x14ac:dyDescent="0.3">
      <c r="A1323" s="47"/>
      <c r="B1323" s="48"/>
      <c r="C1323" s="47"/>
      <c r="D1323" s="48"/>
      <c r="E1323" s="48"/>
      <c r="F1323" s="48"/>
      <c r="G1323" s="48"/>
      <c r="H1323" s="48"/>
      <c r="I1323" s="49"/>
      <c r="J1323" s="47"/>
      <c r="K1323" s="47"/>
      <c r="L1323" s="47"/>
      <c r="M1323" s="47"/>
      <c r="N1323" s="47"/>
      <c r="O1323" s="47"/>
      <c r="P1323" s="47"/>
      <c r="Q1323" s="47"/>
      <c r="R1323" s="47"/>
      <c r="S1323" s="50"/>
      <c r="T1323" s="47"/>
      <c r="U1323" s="47"/>
      <c r="V1323" s="47"/>
      <c r="W1323" s="51"/>
      <c r="X1323" s="51"/>
      <c r="Y1323" s="47"/>
      <c r="Z1323" s="47"/>
      <c r="AA1323" s="47"/>
      <c r="AB1323" s="47"/>
      <c r="AC1323" s="47"/>
      <c r="AD1323" s="47"/>
      <c r="AE1323" s="54"/>
      <c r="AF1323" s="54"/>
      <c r="AG1323" s="55"/>
      <c r="AH1323" s="54"/>
      <c r="AI1323" s="54"/>
      <c r="AJ1323" s="54"/>
      <c r="AK1323" s="54"/>
      <c r="AL1323" s="54"/>
      <c r="AM1323" s="54"/>
      <c r="AN1323" s="54"/>
      <c r="AO1323" s="54"/>
      <c r="AP1323" s="54"/>
      <c r="AQ1323" s="54"/>
      <c r="AR1323" s="54"/>
      <c r="AS1323" s="54"/>
      <c r="AT1323" s="54"/>
      <c r="AU1323" s="54"/>
      <c r="AV1323" s="54"/>
      <c r="AW1323" s="54"/>
      <c r="AX1323" s="54"/>
      <c r="AY1323" s="54"/>
      <c r="AZ1323" s="54"/>
      <c r="BA1323" s="54"/>
      <c r="BB1323" s="54"/>
      <c r="BC1323" s="56"/>
      <c r="BD1323" s="51"/>
      <c r="BE1323" s="54"/>
      <c r="BF1323" s="54"/>
      <c r="BG1323" s="47"/>
      <c r="BH1323" s="48"/>
      <c r="BI1323" s="48"/>
      <c r="BJ1323" s="48"/>
      <c r="BK1323" s="48"/>
      <c r="BL1323" s="48"/>
      <c r="BM1323" s="48"/>
      <c r="BN1323" s="48"/>
      <c r="BO1323" s="48"/>
      <c r="BP1323" s="48"/>
      <c r="BQ1323" s="48"/>
      <c r="BR1323" s="48"/>
      <c r="BS1323" s="48"/>
      <c r="BT1323" s="48"/>
      <c r="BU1323" s="48"/>
      <c r="BV1323" s="48"/>
      <c r="BW1323" s="48"/>
      <c r="BX1323" s="48"/>
      <c r="BY1323" s="48"/>
      <c r="BZ1323" s="48"/>
      <c r="CA1323" s="48"/>
      <c r="CB1323" s="48"/>
      <c r="CC1323" s="48"/>
      <c r="CD1323" s="48"/>
      <c r="CE1323" s="48"/>
      <c r="CF1323" s="52"/>
      <c r="CG1323" s="52"/>
      <c r="CH1323" s="48"/>
      <c r="CI1323" s="48"/>
      <c r="CJ1323" s="48"/>
      <c r="CK1323" s="48"/>
    </row>
    <row r="1324" spans="1:89" ht="15.75" customHeight="1" x14ac:dyDescent="0.3">
      <c r="A1324" s="47"/>
      <c r="B1324" s="48"/>
      <c r="C1324" s="47"/>
      <c r="D1324" s="48"/>
      <c r="E1324" s="48"/>
      <c r="F1324" s="48"/>
      <c r="G1324" s="48"/>
      <c r="H1324" s="48"/>
      <c r="I1324" s="49"/>
      <c r="J1324" s="47"/>
      <c r="K1324" s="47"/>
      <c r="L1324" s="47"/>
      <c r="M1324" s="47"/>
      <c r="N1324" s="47"/>
      <c r="O1324" s="47"/>
      <c r="P1324" s="47"/>
      <c r="Q1324" s="47"/>
      <c r="R1324" s="47"/>
      <c r="S1324" s="50"/>
      <c r="T1324" s="47"/>
      <c r="U1324" s="47"/>
      <c r="V1324" s="47"/>
      <c r="W1324" s="51"/>
      <c r="X1324" s="51"/>
      <c r="Y1324" s="47"/>
      <c r="Z1324" s="47"/>
      <c r="AA1324" s="47"/>
      <c r="AB1324" s="47"/>
      <c r="AC1324" s="47"/>
      <c r="AD1324" s="47"/>
      <c r="AE1324" s="54"/>
      <c r="AF1324" s="54"/>
      <c r="AG1324" s="55"/>
      <c r="AH1324" s="54"/>
      <c r="AI1324" s="54"/>
      <c r="AJ1324" s="54"/>
      <c r="AK1324" s="54"/>
      <c r="AL1324" s="54"/>
      <c r="AM1324" s="54"/>
      <c r="AN1324" s="54"/>
      <c r="AO1324" s="54"/>
      <c r="AP1324" s="54"/>
      <c r="AQ1324" s="54"/>
      <c r="AR1324" s="54"/>
      <c r="AS1324" s="54"/>
      <c r="AT1324" s="54"/>
      <c r="AU1324" s="54"/>
      <c r="AV1324" s="54"/>
      <c r="AW1324" s="54"/>
      <c r="AX1324" s="54"/>
      <c r="AY1324" s="54"/>
      <c r="AZ1324" s="54"/>
      <c r="BA1324" s="54"/>
      <c r="BB1324" s="54"/>
      <c r="BC1324" s="56"/>
      <c r="BD1324" s="51"/>
      <c r="BE1324" s="54"/>
      <c r="BF1324" s="54"/>
      <c r="BG1324" s="47"/>
      <c r="BH1324" s="48"/>
      <c r="BI1324" s="48"/>
      <c r="BJ1324" s="48"/>
      <c r="BK1324" s="48"/>
      <c r="BL1324" s="48"/>
      <c r="BM1324" s="48"/>
      <c r="BN1324" s="48"/>
      <c r="BO1324" s="48"/>
      <c r="BP1324" s="48"/>
      <c r="BQ1324" s="48"/>
      <c r="BR1324" s="48"/>
      <c r="BS1324" s="48"/>
      <c r="BT1324" s="48"/>
      <c r="BU1324" s="48"/>
      <c r="BV1324" s="48"/>
      <c r="BW1324" s="48"/>
      <c r="BX1324" s="48"/>
      <c r="BY1324" s="48"/>
      <c r="BZ1324" s="48"/>
      <c r="CA1324" s="48"/>
      <c r="CB1324" s="48"/>
      <c r="CC1324" s="48"/>
      <c r="CD1324" s="48"/>
      <c r="CE1324" s="48"/>
      <c r="CF1324" s="52"/>
      <c r="CG1324" s="52"/>
      <c r="CH1324" s="48"/>
      <c r="CI1324" s="48"/>
      <c r="CJ1324" s="48"/>
      <c r="CK1324" s="48"/>
    </row>
    <row r="1325" spans="1:89" ht="15.75" customHeight="1" x14ac:dyDescent="0.3">
      <c r="A1325" s="47"/>
      <c r="B1325" s="48"/>
      <c r="C1325" s="47"/>
      <c r="D1325" s="48"/>
      <c r="E1325" s="48"/>
      <c r="F1325" s="48"/>
      <c r="G1325" s="48"/>
      <c r="H1325" s="48"/>
      <c r="I1325" s="49"/>
      <c r="J1325" s="47"/>
      <c r="K1325" s="47"/>
      <c r="L1325" s="47"/>
      <c r="M1325" s="47"/>
      <c r="N1325" s="47"/>
      <c r="O1325" s="47"/>
      <c r="P1325" s="47"/>
      <c r="Q1325" s="47"/>
      <c r="R1325" s="47"/>
      <c r="S1325" s="50"/>
      <c r="T1325" s="47"/>
      <c r="U1325" s="47"/>
      <c r="V1325" s="47"/>
      <c r="W1325" s="51"/>
      <c r="X1325" s="51"/>
      <c r="Y1325" s="47"/>
      <c r="Z1325" s="47"/>
      <c r="AA1325" s="47"/>
      <c r="AB1325" s="47"/>
      <c r="AC1325" s="47"/>
      <c r="AD1325" s="47"/>
      <c r="AE1325" s="54"/>
      <c r="AF1325" s="54"/>
      <c r="AG1325" s="55"/>
      <c r="AH1325" s="54"/>
      <c r="AI1325" s="54"/>
      <c r="AJ1325" s="54"/>
      <c r="AK1325" s="54"/>
      <c r="AL1325" s="54"/>
      <c r="AM1325" s="54"/>
      <c r="AN1325" s="54"/>
      <c r="AO1325" s="54"/>
      <c r="AP1325" s="54"/>
      <c r="AQ1325" s="54"/>
      <c r="AR1325" s="54"/>
      <c r="AS1325" s="54"/>
      <c r="AT1325" s="54"/>
      <c r="AU1325" s="54"/>
      <c r="AV1325" s="54"/>
      <c r="AW1325" s="54"/>
      <c r="AX1325" s="54"/>
      <c r="AY1325" s="54"/>
      <c r="AZ1325" s="54"/>
      <c r="BA1325" s="54"/>
      <c r="BB1325" s="54"/>
      <c r="BC1325" s="56"/>
      <c r="BD1325" s="51"/>
      <c r="BE1325" s="54"/>
      <c r="BF1325" s="54"/>
      <c r="BG1325" s="47"/>
      <c r="BH1325" s="48"/>
      <c r="BI1325" s="48"/>
      <c r="BJ1325" s="48"/>
      <c r="BK1325" s="48"/>
      <c r="BL1325" s="48"/>
      <c r="BM1325" s="48"/>
      <c r="BN1325" s="48"/>
      <c r="BO1325" s="48"/>
      <c r="BP1325" s="48"/>
      <c r="BQ1325" s="48"/>
      <c r="BR1325" s="48"/>
      <c r="BS1325" s="48"/>
      <c r="BT1325" s="48"/>
      <c r="BU1325" s="48"/>
      <c r="BV1325" s="48"/>
      <c r="BW1325" s="48"/>
      <c r="BX1325" s="48"/>
      <c r="BY1325" s="48"/>
      <c r="BZ1325" s="48"/>
      <c r="CA1325" s="48"/>
      <c r="CB1325" s="48"/>
      <c r="CC1325" s="48"/>
      <c r="CD1325" s="48"/>
      <c r="CE1325" s="48"/>
      <c r="CF1325" s="52"/>
      <c r="CG1325" s="52"/>
      <c r="CH1325" s="48"/>
      <c r="CI1325" s="48"/>
      <c r="CJ1325" s="48"/>
      <c r="CK1325" s="48"/>
    </row>
    <row r="1326" spans="1:89" ht="15.75" customHeight="1" x14ac:dyDescent="0.3">
      <c r="A1326" s="47"/>
      <c r="B1326" s="48"/>
      <c r="C1326" s="47"/>
      <c r="D1326" s="48"/>
      <c r="E1326" s="48"/>
      <c r="F1326" s="48"/>
      <c r="G1326" s="48"/>
      <c r="H1326" s="48"/>
      <c r="I1326" s="49"/>
      <c r="J1326" s="47"/>
      <c r="K1326" s="47"/>
      <c r="L1326" s="47"/>
      <c r="M1326" s="47"/>
      <c r="N1326" s="47"/>
      <c r="O1326" s="47"/>
      <c r="P1326" s="47"/>
      <c r="Q1326" s="47"/>
      <c r="R1326" s="47"/>
      <c r="S1326" s="50"/>
      <c r="T1326" s="47"/>
      <c r="U1326" s="47"/>
      <c r="V1326" s="47"/>
      <c r="W1326" s="51"/>
      <c r="X1326" s="51"/>
      <c r="Y1326" s="47"/>
      <c r="Z1326" s="47"/>
      <c r="AA1326" s="47"/>
      <c r="AB1326" s="47"/>
      <c r="AC1326" s="47"/>
      <c r="AD1326" s="47"/>
      <c r="AE1326" s="54"/>
      <c r="AF1326" s="54"/>
      <c r="AG1326" s="55"/>
      <c r="AH1326" s="54"/>
      <c r="AI1326" s="54"/>
      <c r="AJ1326" s="54"/>
      <c r="AK1326" s="54"/>
      <c r="AL1326" s="54"/>
      <c r="AM1326" s="54"/>
      <c r="AN1326" s="54"/>
      <c r="AO1326" s="54"/>
      <c r="AP1326" s="54"/>
      <c r="AQ1326" s="54"/>
      <c r="AR1326" s="54"/>
      <c r="AS1326" s="54"/>
      <c r="AT1326" s="54"/>
      <c r="AU1326" s="54"/>
      <c r="AV1326" s="54"/>
      <c r="AW1326" s="54"/>
      <c r="AX1326" s="54"/>
      <c r="AY1326" s="54"/>
      <c r="AZ1326" s="54"/>
      <c r="BA1326" s="54"/>
      <c r="BB1326" s="54"/>
      <c r="BC1326" s="56"/>
      <c r="BD1326" s="51"/>
      <c r="BE1326" s="54"/>
      <c r="BF1326" s="54"/>
      <c r="BG1326" s="47"/>
      <c r="BH1326" s="48"/>
      <c r="BI1326" s="48"/>
      <c r="BJ1326" s="48"/>
      <c r="BK1326" s="48"/>
      <c r="BL1326" s="48"/>
      <c r="BM1326" s="48"/>
      <c r="BN1326" s="48"/>
      <c r="BO1326" s="48"/>
      <c r="BP1326" s="48"/>
      <c r="BQ1326" s="48"/>
      <c r="BR1326" s="48"/>
      <c r="BS1326" s="48"/>
      <c r="BT1326" s="48"/>
      <c r="BU1326" s="48"/>
      <c r="BV1326" s="48"/>
      <c r="BW1326" s="48"/>
      <c r="BX1326" s="48"/>
      <c r="BY1326" s="48"/>
      <c r="BZ1326" s="48"/>
      <c r="CA1326" s="48"/>
      <c r="CB1326" s="48"/>
      <c r="CC1326" s="48"/>
      <c r="CD1326" s="48"/>
      <c r="CE1326" s="48"/>
      <c r="CF1326" s="52"/>
      <c r="CG1326" s="52"/>
      <c r="CH1326" s="48"/>
      <c r="CI1326" s="48"/>
      <c r="CJ1326" s="48"/>
      <c r="CK1326" s="48"/>
    </row>
    <row r="1327" spans="1:89" ht="15.75" customHeight="1" x14ac:dyDescent="0.3">
      <c r="A1327" s="47"/>
      <c r="B1327" s="48"/>
      <c r="C1327" s="47"/>
      <c r="D1327" s="48"/>
      <c r="E1327" s="48"/>
      <c r="F1327" s="48"/>
      <c r="G1327" s="48"/>
      <c r="H1327" s="48"/>
      <c r="I1327" s="49"/>
      <c r="J1327" s="47"/>
      <c r="K1327" s="47"/>
      <c r="L1327" s="47"/>
      <c r="M1327" s="47"/>
      <c r="N1327" s="47"/>
      <c r="O1327" s="47"/>
      <c r="P1327" s="47"/>
      <c r="Q1327" s="47"/>
      <c r="R1327" s="47"/>
      <c r="S1327" s="50"/>
      <c r="T1327" s="47"/>
      <c r="U1327" s="47"/>
      <c r="V1327" s="47"/>
      <c r="W1327" s="51"/>
      <c r="X1327" s="51"/>
      <c r="Y1327" s="47"/>
      <c r="Z1327" s="47"/>
      <c r="AA1327" s="47"/>
      <c r="AB1327" s="47"/>
      <c r="AC1327" s="47"/>
      <c r="AD1327" s="47"/>
      <c r="AE1327" s="54"/>
      <c r="AF1327" s="54"/>
      <c r="AG1327" s="55"/>
      <c r="AH1327" s="54"/>
      <c r="AI1327" s="54"/>
      <c r="AJ1327" s="54"/>
      <c r="AK1327" s="54"/>
      <c r="AL1327" s="54"/>
      <c r="AM1327" s="54"/>
      <c r="AN1327" s="54"/>
      <c r="AO1327" s="54"/>
      <c r="AP1327" s="54"/>
      <c r="AQ1327" s="54"/>
      <c r="AR1327" s="54"/>
      <c r="AS1327" s="54"/>
      <c r="AT1327" s="54"/>
      <c r="AU1327" s="54"/>
      <c r="AV1327" s="54"/>
      <c r="AW1327" s="54"/>
      <c r="AX1327" s="54"/>
      <c r="AY1327" s="54"/>
      <c r="AZ1327" s="54"/>
      <c r="BA1327" s="54"/>
      <c r="BB1327" s="54"/>
      <c r="BC1327" s="56"/>
      <c r="BD1327" s="51"/>
      <c r="BE1327" s="54"/>
      <c r="BF1327" s="54"/>
      <c r="BG1327" s="47"/>
      <c r="BH1327" s="48"/>
      <c r="BI1327" s="48"/>
      <c r="BJ1327" s="48"/>
      <c r="BK1327" s="48"/>
      <c r="BL1327" s="48"/>
      <c r="BM1327" s="48"/>
      <c r="BN1327" s="48"/>
      <c r="BO1327" s="48"/>
      <c r="BP1327" s="48"/>
      <c r="BQ1327" s="48"/>
      <c r="BR1327" s="48"/>
      <c r="BS1327" s="48"/>
      <c r="BT1327" s="48"/>
      <c r="BU1327" s="48"/>
      <c r="BV1327" s="48"/>
      <c r="BW1327" s="48"/>
      <c r="BX1327" s="48"/>
      <c r="BY1327" s="48"/>
      <c r="BZ1327" s="48"/>
      <c r="CA1327" s="48"/>
      <c r="CB1327" s="48"/>
      <c r="CC1327" s="48"/>
      <c r="CD1327" s="48"/>
      <c r="CE1327" s="48"/>
      <c r="CF1327" s="52"/>
      <c r="CG1327" s="52"/>
      <c r="CH1327" s="48"/>
      <c r="CI1327" s="48"/>
      <c r="CJ1327" s="48"/>
      <c r="CK1327" s="48"/>
    </row>
    <row r="1328" spans="1:89" ht="15.75" customHeight="1" x14ac:dyDescent="0.3">
      <c r="A1328" s="47"/>
      <c r="B1328" s="48"/>
      <c r="C1328" s="47"/>
      <c r="D1328" s="48"/>
      <c r="E1328" s="48"/>
      <c r="F1328" s="48"/>
      <c r="G1328" s="48"/>
      <c r="H1328" s="48"/>
      <c r="I1328" s="49"/>
      <c r="J1328" s="47"/>
      <c r="K1328" s="47"/>
      <c r="L1328" s="47"/>
      <c r="M1328" s="47"/>
      <c r="N1328" s="47"/>
      <c r="O1328" s="47"/>
      <c r="P1328" s="47"/>
      <c r="Q1328" s="47"/>
      <c r="R1328" s="47"/>
      <c r="S1328" s="50"/>
      <c r="T1328" s="47"/>
      <c r="U1328" s="47"/>
      <c r="V1328" s="47"/>
      <c r="W1328" s="51"/>
      <c r="X1328" s="51"/>
      <c r="Y1328" s="47"/>
      <c r="Z1328" s="47"/>
      <c r="AA1328" s="47"/>
      <c r="AB1328" s="47"/>
      <c r="AC1328" s="47"/>
      <c r="AD1328" s="47"/>
      <c r="AE1328" s="54"/>
      <c r="AF1328" s="54"/>
      <c r="AG1328" s="55"/>
      <c r="AH1328" s="54"/>
      <c r="AI1328" s="54"/>
      <c r="AJ1328" s="54"/>
      <c r="AK1328" s="54"/>
      <c r="AL1328" s="54"/>
      <c r="AM1328" s="54"/>
      <c r="AN1328" s="54"/>
      <c r="AO1328" s="54"/>
      <c r="AP1328" s="54"/>
      <c r="AQ1328" s="54"/>
      <c r="AR1328" s="54"/>
      <c r="AS1328" s="54"/>
      <c r="AT1328" s="54"/>
      <c r="AU1328" s="54"/>
      <c r="AV1328" s="54"/>
      <c r="AW1328" s="54"/>
      <c r="AX1328" s="54"/>
      <c r="AY1328" s="54"/>
      <c r="AZ1328" s="54"/>
      <c r="BA1328" s="54"/>
      <c r="BB1328" s="54"/>
      <c r="BC1328" s="56"/>
      <c r="BD1328" s="51"/>
      <c r="BE1328" s="54"/>
      <c r="BF1328" s="54"/>
      <c r="BG1328" s="47"/>
      <c r="BH1328" s="48"/>
      <c r="BI1328" s="48"/>
      <c r="BJ1328" s="48"/>
      <c r="BK1328" s="48"/>
      <c r="BL1328" s="48"/>
      <c r="BM1328" s="48"/>
      <c r="BN1328" s="48"/>
      <c r="BO1328" s="48"/>
      <c r="BP1328" s="48"/>
      <c r="BQ1328" s="48"/>
      <c r="BR1328" s="48"/>
      <c r="BS1328" s="48"/>
      <c r="BT1328" s="48"/>
      <c r="BU1328" s="48"/>
      <c r="BV1328" s="48"/>
      <c r="BW1328" s="48"/>
      <c r="BX1328" s="48"/>
      <c r="BY1328" s="48"/>
      <c r="BZ1328" s="48"/>
      <c r="CA1328" s="48"/>
      <c r="CB1328" s="48"/>
      <c r="CC1328" s="48"/>
      <c r="CD1328" s="48"/>
      <c r="CE1328" s="48"/>
      <c r="CF1328" s="52"/>
      <c r="CG1328" s="52"/>
      <c r="CH1328" s="48"/>
      <c r="CI1328" s="48"/>
      <c r="CJ1328" s="48"/>
      <c r="CK1328" s="48"/>
    </row>
    <row r="1329" spans="1:89" ht="15.75" customHeight="1" x14ac:dyDescent="0.3">
      <c r="A1329" s="47"/>
      <c r="B1329" s="48"/>
      <c r="C1329" s="47"/>
      <c r="D1329" s="48"/>
      <c r="E1329" s="48"/>
      <c r="F1329" s="48"/>
      <c r="G1329" s="48"/>
      <c r="H1329" s="48"/>
      <c r="I1329" s="49"/>
      <c r="J1329" s="47"/>
      <c r="K1329" s="47"/>
      <c r="L1329" s="47"/>
      <c r="M1329" s="47"/>
      <c r="N1329" s="47"/>
      <c r="O1329" s="47"/>
      <c r="P1329" s="47"/>
      <c r="Q1329" s="47"/>
      <c r="R1329" s="47"/>
      <c r="S1329" s="50"/>
      <c r="T1329" s="47"/>
      <c r="U1329" s="47"/>
      <c r="V1329" s="47"/>
      <c r="W1329" s="51"/>
      <c r="X1329" s="51"/>
      <c r="Y1329" s="47"/>
      <c r="Z1329" s="47"/>
      <c r="AA1329" s="47"/>
      <c r="AB1329" s="47"/>
      <c r="AC1329" s="47"/>
      <c r="AD1329" s="47"/>
      <c r="AE1329" s="54"/>
      <c r="AF1329" s="54"/>
      <c r="AG1329" s="55"/>
      <c r="AH1329" s="54"/>
      <c r="AI1329" s="54"/>
      <c r="AJ1329" s="54"/>
      <c r="AK1329" s="54"/>
      <c r="AL1329" s="54"/>
      <c r="AM1329" s="54"/>
      <c r="AN1329" s="54"/>
      <c r="AO1329" s="54"/>
      <c r="AP1329" s="54"/>
      <c r="AQ1329" s="54"/>
      <c r="AR1329" s="54"/>
      <c r="AS1329" s="54"/>
      <c r="AT1329" s="54"/>
      <c r="AU1329" s="54"/>
      <c r="AV1329" s="54"/>
      <c r="AW1329" s="54"/>
      <c r="AX1329" s="54"/>
      <c r="AY1329" s="54"/>
      <c r="AZ1329" s="54"/>
      <c r="BA1329" s="54"/>
      <c r="BB1329" s="54"/>
      <c r="BC1329" s="56"/>
      <c r="BD1329" s="51"/>
      <c r="BE1329" s="54"/>
      <c r="BF1329" s="54"/>
      <c r="BG1329" s="47"/>
      <c r="BH1329" s="48"/>
      <c r="BI1329" s="48"/>
      <c r="BJ1329" s="48"/>
      <c r="BK1329" s="48"/>
      <c r="BL1329" s="48"/>
      <c r="BM1329" s="48"/>
      <c r="BN1329" s="48"/>
      <c r="BO1329" s="48"/>
      <c r="BP1329" s="48"/>
      <c r="BQ1329" s="48"/>
      <c r="BR1329" s="48"/>
      <c r="BS1329" s="48"/>
      <c r="BT1329" s="48"/>
      <c r="BU1329" s="48"/>
      <c r="BV1329" s="48"/>
      <c r="BW1329" s="48"/>
      <c r="BX1329" s="48"/>
      <c r="BY1329" s="48"/>
      <c r="BZ1329" s="48"/>
      <c r="CA1329" s="48"/>
      <c r="CB1329" s="48"/>
      <c r="CC1329" s="48"/>
      <c r="CD1329" s="48"/>
      <c r="CE1329" s="48"/>
      <c r="CF1329" s="52"/>
      <c r="CG1329" s="52"/>
      <c r="CH1329" s="48"/>
      <c r="CI1329" s="48"/>
      <c r="CJ1329" s="48"/>
      <c r="CK1329" s="48"/>
    </row>
    <row r="1330" spans="1:89" ht="15.75" customHeight="1" x14ac:dyDescent="0.3">
      <c r="A1330" s="47"/>
      <c r="B1330" s="48"/>
      <c r="C1330" s="47"/>
      <c r="D1330" s="48"/>
      <c r="E1330" s="48"/>
      <c r="F1330" s="48"/>
      <c r="G1330" s="48"/>
      <c r="H1330" s="48"/>
      <c r="I1330" s="49"/>
      <c r="J1330" s="47"/>
      <c r="K1330" s="47"/>
      <c r="L1330" s="47"/>
      <c r="M1330" s="47"/>
      <c r="N1330" s="47"/>
      <c r="O1330" s="47"/>
      <c r="P1330" s="47"/>
      <c r="Q1330" s="47"/>
      <c r="R1330" s="47"/>
      <c r="S1330" s="50"/>
      <c r="T1330" s="47"/>
      <c r="U1330" s="47"/>
      <c r="V1330" s="47"/>
      <c r="W1330" s="51"/>
      <c r="X1330" s="51"/>
      <c r="Y1330" s="47"/>
      <c r="Z1330" s="47"/>
      <c r="AA1330" s="47"/>
      <c r="AB1330" s="47"/>
      <c r="AC1330" s="47"/>
      <c r="AD1330" s="47"/>
      <c r="AE1330" s="54"/>
      <c r="AF1330" s="54"/>
      <c r="AG1330" s="55"/>
      <c r="AH1330" s="54"/>
      <c r="AI1330" s="54"/>
      <c r="AJ1330" s="54"/>
      <c r="AK1330" s="54"/>
      <c r="AL1330" s="54"/>
      <c r="AM1330" s="54"/>
      <c r="AN1330" s="54"/>
      <c r="AO1330" s="54"/>
      <c r="AP1330" s="54"/>
      <c r="AQ1330" s="54"/>
      <c r="AR1330" s="54"/>
      <c r="AS1330" s="54"/>
      <c r="AT1330" s="54"/>
      <c r="AU1330" s="54"/>
      <c r="AV1330" s="54"/>
      <c r="AW1330" s="54"/>
      <c r="AX1330" s="54"/>
      <c r="AY1330" s="54"/>
      <c r="AZ1330" s="54"/>
      <c r="BA1330" s="54"/>
      <c r="BB1330" s="54"/>
      <c r="BC1330" s="56"/>
      <c r="BD1330" s="51"/>
      <c r="BE1330" s="54"/>
      <c r="BF1330" s="54"/>
      <c r="BG1330" s="47"/>
      <c r="BH1330" s="48"/>
      <c r="BI1330" s="48"/>
      <c r="BJ1330" s="48"/>
      <c r="BK1330" s="48"/>
      <c r="BL1330" s="48"/>
      <c r="BM1330" s="48"/>
      <c r="BN1330" s="48"/>
      <c r="BO1330" s="48"/>
      <c r="BP1330" s="48"/>
      <c r="BQ1330" s="48"/>
      <c r="BR1330" s="48"/>
      <c r="BS1330" s="48"/>
      <c r="BT1330" s="48"/>
      <c r="BU1330" s="48"/>
      <c r="BV1330" s="48"/>
      <c r="BW1330" s="48"/>
      <c r="BX1330" s="48"/>
      <c r="BY1330" s="48"/>
      <c r="BZ1330" s="48"/>
      <c r="CA1330" s="48"/>
      <c r="CB1330" s="48"/>
      <c r="CC1330" s="48"/>
      <c r="CD1330" s="48"/>
      <c r="CE1330" s="48"/>
      <c r="CF1330" s="52"/>
      <c r="CG1330" s="52"/>
      <c r="CH1330" s="48"/>
      <c r="CI1330" s="48"/>
      <c r="CJ1330" s="48"/>
      <c r="CK1330" s="48"/>
    </row>
    <row r="1331" spans="1:89" ht="15.75" customHeight="1" x14ac:dyDescent="0.3">
      <c r="A1331" s="47"/>
      <c r="B1331" s="48"/>
      <c r="C1331" s="47"/>
      <c r="D1331" s="48"/>
      <c r="E1331" s="48"/>
      <c r="F1331" s="48"/>
      <c r="G1331" s="48"/>
      <c r="H1331" s="48"/>
      <c r="I1331" s="49"/>
      <c r="J1331" s="47"/>
      <c r="K1331" s="47"/>
      <c r="L1331" s="47"/>
      <c r="M1331" s="47"/>
      <c r="N1331" s="47"/>
      <c r="O1331" s="47"/>
      <c r="P1331" s="47"/>
      <c r="Q1331" s="47"/>
      <c r="R1331" s="47"/>
      <c r="S1331" s="50"/>
      <c r="T1331" s="47"/>
      <c r="U1331" s="47"/>
      <c r="V1331" s="47"/>
      <c r="W1331" s="51"/>
      <c r="X1331" s="51"/>
      <c r="Y1331" s="47"/>
      <c r="Z1331" s="47"/>
      <c r="AA1331" s="47"/>
      <c r="AB1331" s="47"/>
      <c r="AC1331" s="47"/>
      <c r="AD1331" s="47"/>
      <c r="AE1331" s="54"/>
      <c r="AF1331" s="54"/>
      <c r="AG1331" s="55"/>
      <c r="AH1331" s="54"/>
      <c r="AI1331" s="54"/>
      <c r="AJ1331" s="54"/>
      <c r="AK1331" s="54"/>
      <c r="AL1331" s="54"/>
      <c r="AM1331" s="54"/>
      <c r="AN1331" s="54"/>
      <c r="AO1331" s="54"/>
      <c r="AP1331" s="54"/>
      <c r="AQ1331" s="54"/>
      <c r="AR1331" s="54"/>
      <c r="AS1331" s="54"/>
      <c r="AT1331" s="54"/>
      <c r="AU1331" s="54"/>
      <c r="AV1331" s="54"/>
      <c r="AW1331" s="54"/>
      <c r="AX1331" s="54"/>
      <c r="AY1331" s="54"/>
      <c r="AZ1331" s="54"/>
      <c r="BA1331" s="54"/>
      <c r="BB1331" s="54"/>
      <c r="BC1331" s="56"/>
      <c r="BD1331" s="51"/>
      <c r="BE1331" s="54"/>
      <c r="BF1331" s="54"/>
      <c r="BG1331" s="47"/>
      <c r="BH1331" s="48"/>
      <c r="BI1331" s="48"/>
      <c r="BJ1331" s="48"/>
      <c r="BK1331" s="48"/>
      <c r="BL1331" s="48"/>
      <c r="BM1331" s="48"/>
      <c r="BN1331" s="48"/>
      <c r="BO1331" s="48"/>
      <c r="BP1331" s="48"/>
      <c r="BQ1331" s="48"/>
      <c r="BR1331" s="48"/>
      <c r="BS1331" s="48"/>
      <c r="BT1331" s="48"/>
      <c r="BU1331" s="48"/>
      <c r="BV1331" s="48"/>
      <c r="BW1331" s="48"/>
      <c r="BX1331" s="48"/>
      <c r="BY1331" s="48"/>
      <c r="BZ1331" s="48"/>
      <c r="CA1331" s="48"/>
      <c r="CB1331" s="48"/>
      <c r="CC1331" s="48"/>
      <c r="CD1331" s="48"/>
      <c r="CE1331" s="48"/>
      <c r="CF1331" s="52"/>
      <c r="CG1331" s="52"/>
      <c r="CH1331" s="48"/>
      <c r="CI1331" s="48"/>
      <c r="CJ1331" s="48"/>
      <c r="CK1331" s="48"/>
    </row>
    <row r="1332" spans="1:89" ht="15.75" customHeight="1" x14ac:dyDescent="0.3">
      <c r="A1332" s="47"/>
      <c r="B1332" s="48"/>
      <c r="C1332" s="47"/>
      <c r="D1332" s="48"/>
      <c r="E1332" s="48"/>
      <c r="F1332" s="48"/>
      <c r="G1332" s="48"/>
      <c r="H1332" s="48"/>
      <c r="I1332" s="49"/>
      <c r="J1332" s="47"/>
      <c r="K1332" s="47"/>
      <c r="L1332" s="47"/>
      <c r="M1332" s="47"/>
      <c r="N1332" s="47"/>
      <c r="O1332" s="47"/>
      <c r="P1332" s="47"/>
      <c r="Q1332" s="47"/>
      <c r="R1332" s="47"/>
      <c r="S1332" s="50"/>
      <c r="T1332" s="47"/>
      <c r="U1332" s="47"/>
      <c r="V1332" s="47"/>
      <c r="W1332" s="51"/>
      <c r="X1332" s="51"/>
      <c r="Y1332" s="47"/>
      <c r="Z1332" s="47"/>
      <c r="AA1332" s="47"/>
      <c r="AB1332" s="47"/>
      <c r="AC1332" s="47"/>
      <c r="AD1332" s="47"/>
      <c r="AE1332" s="54"/>
      <c r="AF1332" s="54"/>
      <c r="AG1332" s="55"/>
      <c r="AH1332" s="54"/>
      <c r="AI1332" s="54"/>
      <c r="AJ1332" s="54"/>
      <c r="AK1332" s="54"/>
      <c r="AL1332" s="54"/>
      <c r="AM1332" s="54"/>
      <c r="AN1332" s="54"/>
      <c r="AO1332" s="54"/>
      <c r="AP1332" s="54"/>
      <c r="AQ1332" s="54"/>
      <c r="AR1332" s="54"/>
      <c r="AS1332" s="54"/>
      <c r="AT1332" s="54"/>
      <c r="AU1332" s="54"/>
      <c r="AV1332" s="54"/>
      <c r="AW1332" s="54"/>
      <c r="AX1332" s="54"/>
      <c r="AY1332" s="54"/>
      <c r="AZ1332" s="54"/>
      <c r="BA1332" s="54"/>
      <c r="BB1332" s="54"/>
      <c r="BC1332" s="56"/>
      <c r="BD1332" s="51"/>
      <c r="BE1332" s="54"/>
      <c r="BF1332" s="54"/>
      <c r="BG1332" s="47"/>
      <c r="BH1332" s="48"/>
      <c r="BI1332" s="48"/>
      <c r="BJ1332" s="48"/>
      <c r="BK1332" s="48"/>
      <c r="BL1332" s="48"/>
      <c r="BM1332" s="48"/>
      <c r="BN1332" s="48"/>
      <c r="BO1332" s="48"/>
      <c r="BP1332" s="48"/>
      <c r="BQ1332" s="48"/>
      <c r="BR1332" s="48"/>
      <c r="BS1332" s="48"/>
      <c r="BT1332" s="48"/>
      <c r="BU1332" s="48"/>
      <c r="BV1332" s="48"/>
      <c r="BW1332" s="48"/>
      <c r="BX1332" s="48"/>
      <c r="BY1332" s="48"/>
      <c r="BZ1332" s="48"/>
      <c r="CA1332" s="48"/>
      <c r="CB1332" s="48"/>
      <c r="CC1332" s="48"/>
      <c r="CD1332" s="48"/>
      <c r="CE1332" s="48"/>
      <c r="CF1332" s="52"/>
      <c r="CG1332" s="52"/>
      <c r="CH1332" s="48"/>
      <c r="CI1332" s="48"/>
      <c r="CJ1332" s="48"/>
      <c r="CK1332" s="48"/>
    </row>
    <row r="1333" spans="1:89" ht="15.75" customHeight="1" x14ac:dyDescent="0.3">
      <c r="A1333" s="47"/>
      <c r="B1333" s="48"/>
      <c r="C1333" s="47"/>
      <c r="D1333" s="48"/>
      <c r="E1333" s="48"/>
      <c r="F1333" s="48"/>
      <c r="G1333" s="48"/>
      <c r="H1333" s="48"/>
      <c r="I1333" s="49"/>
      <c r="J1333" s="47"/>
      <c r="K1333" s="47"/>
      <c r="L1333" s="47"/>
      <c r="M1333" s="47"/>
      <c r="N1333" s="47"/>
      <c r="O1333" s="47"/>
      <c r="P1333" s="47"/>
      <c r="Q1333" s="47"/>
      <c r="R1333" s="47"/>
      <c r="S1333" s="50"/>
      <c r="T1333" s="47"/>
      <c r="U1333" s="47"/>
      <c r="V1333" s="47"/>
      <c r="W1333" s="51"/>
      <c r="X1333" s="51"/>
      <c r="Y1333" s="47"/>
      <c r="Z1333" s="47"/>
      <c r="AA1333" s="47"/>
      <c r="AB1333" s="47"/>
      <c r="AC1333" s="47"/>
      <c r="AD1333" s="47"/>
      <c r="AE1333" s="54"/>
      <c r="AF1333" s="54"/>
      <c r="AG1333" s="55"/>
      <c r="AH1333" s="54"/>
      <c r="AI1333" s="54"/>
      <c r="AJ1333" s="54"/>
      <c r="AK1333" s="54"/>
      <c r="AL1333" s="54"/>
      <c r="AM1333" s="54"/>
      <c r="AN1333" s="54"/>
      <c r="AO1333" s="54"/>
      <c r="AP1333" s="54"/>
      <c r="AQ1333" s="54"/>
      <c r="AR1333" s="54"/>
      <c r="AS1333" s="54"/>
      <c r="AT1333" s="54"/>
      <c r="AU1333" s="54"/>
      <c r="AV1333" s="54"/>
      <c r="AW1333" s="54"/>
      <c r="AX1333" s="54"/>
      <c r="AY1333" s="54"/>
      <c r="AZ1333" s="54"/>
      <c r="BA1333" s="54"/>
      <c r="BB1333" s="54"/>
      <c r="BC1333" s="56"/>
      <c r="BD1333" s="51"/>
      <c r="BE1333" s="54"/>
      <c r="BF1333" s="54"/>
      <c r="BG1333" s="47"/>
      <c r="BH1333" s="48"/>
      <c r="BI1333" s="48"/>
      <c r="BJ1333" s="48"/>
      <c r="BK1333" s="48"/>
      <c r="BL1333" s="48"/>
      <c r="BM1333" s="48"/>
      <c r="BN1333" s="48"/>
      <c r="BO1333" s="48"/>
      <c r="BP1333" s="48"/>
      <c r="BQ1333" s="48"/>
      <c r="BR1333" s="48"/>
      <c r="BS1333" s="48"/>
      <c r="BT1333" s="48"/>
      <c r="BU1333" s="48"/>
      <c r="BV1333" s="48"/>
      <c r="BW1333" s="48"/>
      <c r="BX1333" s="48"/>
      <c r="BY1333" s="48"/>
      <c r="BZ1333" s="48"/>
      <c r="CA1333" s="48"/>
      <c r="CB1333" s="48"/>
      <c r="CC1333" s="48"/>
      <c r="CD1333" s="48"/>
      <c r="CE1333" s="48"/>
      <c r="CF1333" s="52"/>
      <c r="CG1333" s="52"/>
      <c r="CH1333" s="48"/>
      <c r="CI1333" s="48"/>
      <c r="CJ1333" s="48"/>
      <c r="CK1333" s="48"/>
    </row>
    <row r="1334" spans="1:89" ht="15.75" customHeight="1" x14ac:dyDescent="0.3">
      <c r="A1334" s="47"/>
      <c r="B1334" s="48"/>
      <c r="C1334" s="47"/>
      <c r="D1334" s="48"/>
      <c r="E1334" s="48"/>
      <c r="F1334" s="48"/>
      <c r="G1334" s="48"/>
      <c r="H1334" s="48"/>
      <c r="I1334" s="49"/>
      <c r="J1334" s="47"/>
      <c r="K1334" s="47"/>
      <c r="L1334" s="47"/>
      <c r="M1334" s="47"/>
      <c r="N1334" s="47"/>
      <c r="O1334" s="47"/>
      <c r="P1334" s="47"/>
      <c r="Q1334" s="47"/>
      <c r="R1334" s="47"/>
      <c r="S1334" s="50"/>
      <c r="T1334" s="47"/>
      <c r="U1334" s="47"/>
      <c r="V1334" s="47"/>
      <c r="W1334" s="51"/>
      <c r="X1334" s="51"/>
      <c r="Y1334" s="47"/>
      <c r="Z1334" s="47"/>
      <c r="AA1334" s="47"/>
      <c r="AB1334" s="47"/>
      <c r="AC1334" s="47"/>
      <c r="AD1334" s="47"/>
      <c r="AE1334" s="54"/>
      <c r="AF1334" s="54"/>
      <c r="AG1334" s="55"/>
      <c r="AH1334" s="54"/>
      <c r="AI1334" s="54"/>
      <c r="AJ1334" s="54"/>
      <c r="AK1334" s="54"/>
      <c r="AL1334" s="54"/>
      <c r="AM1334" s="54"/>
      <c r="AN1334" s="54"/>
      <c r="AO1334" s="54"/>
      <c r="AP1334" s="54"/>
      <c r="AQ1334" s="54"/>
      <c r="AR1334" s="54"/>
      <c r="AS1334" s="54"/>
      <c r="AT1334" s="54"/>
      <c r="AU1334" s="54"/>
      <c r="AV1334" s="54"/>
      <c r="AW1334" s="54"/>
      <c r="AX1334" s="54"/>
      <c r="AY1334" s="54"/>
      <c r="AZ1334" s="54"/>
      <c r="BA1334" s="54"/>
      <c r="BB1334" s="54"/>
      <c r="BC1334" s="56"/>
      <c r="BD1334" s="51"/>
      <c r="BE1334" s="54"/>
      <c r="BF1334" s="54"/>
      <c r="BG1334" s="47"/>
      <c r="BH1334" s="48"/>
      <c r="BI1334" s="48"/>
      <c r="BJ1334" s="48"/>
      <c r="BK1334" s="48"/>
      <c r="BL1334" s="48"/>
      <c r="BM1334" s="48"/>
      <c r="BN1334" s="48"/>
      <c r="BO1334" s="48"/>
      <c r="BP1334" s="48"/>
      <c r="BQ1334" s="48"/>
      <c r="BR1334" s="48"/>
      <c r="BS1334" s="48"/>
      <c r="BT1334" s="48"/>
      <c r="BU1334" s="48"/>
      <c r="BV1334" s="48"/>
      <c r="BW1334" s="48"/>
      <c r="BX1334" s="48"/>
      <c r="BY1334" s="48"/>
      <c r="BZ1334" s="48"/>
      <c r="CA1334" s="48"/>
      <c r="CB1334" s="48"/>
      <c r="CC1334" s="48"/>
      <c r="CD1334" s="48"/>
      <c r="CE1334" s="48"/>
      <c r="CF1334" s="52"/>
      <c r="CG1334" s="52"/>
      <c r="CH1334" s="48"/>
      <c r="CI1334" s="48"/>
      <c r="CJ1334" s="48"/>
      <c r="CK1334" s="48"/>
    </row>
    <row r="1335" spans="1:89" ht="15.75" customHeight="1" x14ac:dyDescent="0.3">
      <c r="A1335" s="47"/>
      <c r="B1335" s="48"/>
      <c r="C1335" s="47"/>
      <c r="D1335" s="48"/>
      <c r="E1335" s="48"/>
      <c r="F1335" s="48"/>
      <c r="G1335" s="48"/>
      <c r="H1335" s="48"/>
      <c r="I1335" s="49"/>
      <c r="J1335" s="47"/>
      <c r="K1335" s="47"/>
      <c r="L1335" s="47"/>
      <c r="M1335" s="47"/>
      <c r="N1335" s="47"/>
      <c r="O1335" s="47"/>
      <c r="P1335" s="47"/>
      <c r="Q1335" s="47"/>
      <c r="R1335" s="47"/>
      <c r="S1335" s="50"/>
      <c r="T1335" s="47"/>
      <c r="U1335" s="47"/>
      <c r="V1335" s="47"/>
      <c r="W1335" s="51"/>
      <c r="X1335" s="51"/>
      <c r="Y1335" s="47"/>
      <c r="Z1335" s="47"/>
      <c r="AA1335" s="47"/>
      <c r="AB1335" s="47"/>
      <c r="AC1335" s="47"/>
      <c r="AD1335" s="47"/>
      <c r="AE1335" s="54"/>
      <c r="AF1335" s="54"/>
      <c r="AG1335" s="55"/>
      <c r="AH1335" s="54"/>
      <c r="AI1335" s="54"/>
      <c r="AJ1335" s="54"/>
      <c r="AK1335" s="54"/>
      <c r="AL1335" s="54"/>
      <c r="AM1335" s="54"/>
      <c r="AN1335" s="54"/>
      <c r="AO1335" s="54"/>
      <c r="AP1335" s="54"/>
      <c r="AQ1335" s="54"/>
      <c r="AR1335" s="54"/>
      <c r="AS1335" s="54"/>
      <c r="AT1335" s="54"/>
      <c r="AU1335" s="54"/>
      <c r="AV1335" s="54"/>
      <c r="AW1335" s="54"/>
      <c r="AX1335" s="54"/>
      <c r="AY1335" s="54"/>
      <c r="AZ1335" s="54"/>
      <c r="BA1335" s="54"/>
      <c r="BB1335" s="54"/>
      <c r="BC1335" s="56"/>
      <c r="BD1335" s="51"/>
      <c r="BE1335" s="54"/>
      <c r="BF1335" s="54"/>
      <c r="BG1335" s="47"/>
      <c r="BH1335" s="48"/>
      <c r="BI1335" s="48"/>
      <c r="BJ1335" s="48"/>
      <c r="BK1335" s="48"/>
      <c r="BL1335" s="48"/>
      <c r="BM1335" s="48"/>
      <c r="BN1335" s="48"/>
      <c r="BO1335" s="48"/>
      <c r="BP1335" s="48"/>
      <c r="BQ1335" s="48"/>
      <c r="BR1335" s="48"/>
      <c r="BS1335" s="48"/>
      <c r="BT1335" s="48"/>
      <c r="BU1335" s="48"/>
      <c r="BV1335" s="48"/>
      <c r="BW1335" s="48"/>
      <c r="BX1335" s="48"/>
      <c r="BY1335" s="48"/>
      <c r="BZ1335" s="48"/>
      <c r="CA1335" s="48"/>
      <c r="CB1335" s="48"/>
      <c r="CC1335" s="48"/>
      <c r="CD1335" s="48"/>
      <c r="CE1335" s="48"/>
      <c r="CF1335" s="52"/>
      <c r="CG1335" s="52"/>
      <c r="CH1335" s="48"/>
      <c r="CI1335" s="48"/>
      <c r="CJ1335" s="48"/>
      <c r="CK1335" s="48"/>
    </row>
    <row r="1336" spans="1:89" ht="15.75" customHeight="1" x14ac:dyDescent="0.3">
      <c r="A1336" s="47"/>
      <c r="B1336" s="48"/>
      <c r="C1336" s="47"/>
      <c r="D1336" s="48"/>
      <c r="E1336" s="48"/>
      <c r="F1336" s="48"/>
      <c r="G1336" s="48"/>
      <c r="H1336" s="48"/>
      <c r="I1336" s="49"/>
      <c r="J1336" s="47"/>
      <c r="K1336" s="47"/>
      <c r="L1336" s="47"/>
      <c r="M1336" s="47"/>
      <c r="N1336" s="47"/>
      <c r="O1336" s="47"/>
      <c r="P1336" s="47"/>
      <c r="Q1336" s="47"/>
      <c r="R1336" s="47"/>
      <c r="S1336" s="50"/>
      <c r="T1336" s="47"/>
      <c r="U1336" s="47"/>
      <c r="V1336" s="47"/>
      <c r="W1336" s="51"/>
      <c r="X1336" s="51"/>
      <c r="Y1336" s="47"/>
      <c r="Z1336" s="47"/>
      <c r="AA1336" s="47"/>
      <c r="AB1336" s="47"/>
      <c r="AC1336" s="47"/>
      <c r="AD1336" s="47"/>
      <c r="AE1336" s="54"/>
      <c r="AF1336" s="54"/>
      <c r="AG1336" s="55"/>
      <c r="AH1336" s="54"/>
      <c r="AI1336" s="54"/>
      <c r="AJ1336" s="54"/>
      <c r="AK1336" s="54"/>
      <c r="AL1336" s="54"/>
      <c r="AM1336" s="54"/>
      <c r="AN1336" s="54"/>
      <c r="AO1336" s="54"/>
      <c r="AP1336" s="54"/>
      <c r="AQ1336" s="54"/>
      <c r="AR1336" s="54"/>
      <c r="AS1336" s="54"/>
      <c r="AT1336" s="54"/>
      <c r="AU1336" s="54"/>
      <c r="AV1336" s="54"/>
      <c r="AW1336" s="54"/>
      <c r="AX1336" s="54"/>
      <c r="AY1336" s="54"/>
      <c r="AZ1336" s="54"/>
      <c r="BA1336" s="54"/>
      <c r="BB1336" s="54"/>
      <c r="BC1336" s="56"/>
      <c r="BD1336" s="51"/>
      <c r="BE1336" s="54"/>
      <c r="BF1336" s="54"/>
      <c r="BG1336" s="47"/>
      <c r="BH1336" s="48"/>
      <c r="BI1336" s="48"/>
      <c r="BJ1336" s="48"/>
      <c r="BK1336" s="48"/>
      <c r="BL1336" s="48"/>
      <c r="BM1336" s="48"/>
      <c r="BN1336" s="48"/>
      <c r="BO1336" s="48"/>
      <c r="BP1336" s="48"/>
      <c r="BQ1336" s="48"/>
      <c r="BR1336" s="48"/>
      <c r="BS1336" s="48"/>
      <c r="BT1336" s="48"/>
      <c r="BU1336" s="48"/>
      <c r="BV1336" s="48"/>
      <c r="BW1336" s="48"/>
      <c r="BX1336" s="48"/>
      <c r="BY1336" s="48"/>
      <c r="BZ1336" s="48"/>
      <c r="CA1336" s="48"/>
      <c r="CB1336" s="48"/>
      <c r="CC1336" s="48"/>
      <c r="CD1336" s="48"/>
      <c r="CE1336" s="48"/>
      <c r="CF1336" s="52"/>
      <c r="CG1336" s="52"/>
      <c r="CH1336" s="48"/>
      <c r="CI1336" s="48"/>
      <c r="CJ1336" s="48"/>
      <c r="CK1336" s="48"/>
    </row>
    <row r="1337" spans="1:89" ht="15.75" customHeight="1" x14ac:dyDescent="0.3">
      <c r="A1337" s="47"/>
      <c r="B1337" s="48"/>
      <c r="C1337" s="47"/>
      <c r="D1337" s="48"/>
      <c r="E1337" s="48"/>
      <c r="F1337" s="48"/>
      <c r="G1337" s="48"/>
      <c r="H1337" s="48"/>
      <c r="I1337" s="49"/>
      <c r="J1337" s="47"/>
      <c r="K1337" s="47"/>
      <c r="L1337" s="47"/>
      <c r="M1337" s="47"/>
      <c r="N1337" s="47"/>
      <c r="O1337" s="47"/>
      <c r="P1337" s="47"/>
      <c r="Q1337" s="47"/>
      <c r="R1337" s="47"/>
      <c r="S1337" s="50"/>
      <c r="T1337" s="47"/>
      <c r="U1337" s="47"/>
      <c r="V1337" s="47"/>
      <c r="W1337" s="51"/>
      <c r="X1337" s="51"/>
      <c r="Y1337" s="47"/>
      <c r="Z1337" s="47"/>
      <c r="AA1337" s="47"/>
      <c r="AB1337" s="47"/>
      <c r="AC1337" s="47"/>
      <c r="AD1337" s="47"/>
      <c r="AE1337" s="54"/>
      <c r="AF1337" s="54"/>
      <c r="AG1337" s="55"/>
      <c r="AH1337" s="54"/>
      <c r="AI1337" s="54"/>
      <c r="AJ1337" s="54"/>
      <c r="AK1337" s="54"/>
      <c r="AL1337" s="54"/>
      <c r="AM1337" s="54"/>
      <c r="AN1337" s="54"/>
      <c r="AO1337" s="54"/>
      <c r="AP1337" s="54"/>
      <c r="AQ1337" s="54"/>
      <c r="AR1337" s="54"/>
      <c r="AS1337" s="54"/>
      <c r="AT1337" s="54"/>
      <c r="AU1337" s="54"/>
      <c r="AV1337" s="54"/>
      <c r="AW1337" s="54"/>
      <c r="AX1337" s="54"/>
      <c r="AY1337" s="54"/>
      <c r="AZ1337" s="54"/>
      <c r="BA1337" s="54"/>
      <c r="BB1337" s="54"/>
      <c r="BC1337" s="56"/>
      <c r="BD1337" s="51"/>
      <c r="BE1337" s="54"/>
      <c r="BF1337" s="54"/>
      <c r="BG1337" s="47"/>
      <c r="BH1337" s="48"/>
      <c r="BI1337" s="48"/>
      <c r="BJ1337" s="48"/>
      <c r="BK1337" s="48"/>
      <c r="BL1337" s="48"/>
      <c r="BM1337" s="48"/>
      <c r="BN1337" s="48"/>
      <c r="BO1337" s="48"/>
      <c r="BP1337" s="48"/>
      <c r="BQ1337" s="48"/>
      <c r="BR1337" s="48"/>
      <c r="BS1337" s="48"/>
      <c r="BT1337" s="48"/>
      <c r="BU1337" s="48"/>
      <c r="BV1337" s="48"/>
      <c r="BW1337" s="48"/>
      <c r="BX1337" s="48"/>
      <c r="BY1337" s="48"/>
      <c r="BZ1337" s="48"/>
      <c r="CA1337" s="48"/>
      <c r="CB1337" s="48"/>
      <c r="CC1337" s="48"/>
      <c r="CD1337" s="48"/>
      <c r="CE1337" s="48"/>
      <c r="CF1337" s="52"/>
      <c r="CG1337" s="52"/>
      <c r="CH1337" s="48"/>
      <c r="CI1337" s="48"/>
      <c r="CJ1337" s="48"/>
      <c r="CK1337" s="48"/>
    </row>
    <row r="1338" spans="1:89" ht="15.75" customHeight="1" x14ac:dyDescent="0.3">
      <c r="A1338" s="47"/>
      <c r="B1338" s="48"/>
      <c r="C1338" s="47"/>
      <c r="D1338" s="48"/>
      <c r="E1338" s="48"/>
      <c r="F1338" s="48"/>
      <c r="G1338" s="48"/>
      <c r="H1338" s="48"/>
      <c r="I1338" s="49"/>
      <c r="J1338" s="47"/>
      <c r="K1338" s="47"/>
      <c r="L1338" s="47"/>
      <c r="M1338" s="47"/>
      <c r="N1338" s="47"/>
      <c r="O1338" s="47"/>
      <c r="P1338" s="47"/>
      <c r="Q1338" s="47"/>
      <c r="R1338" s="47"/>
      <c r="S1338" s="50"/>
      <c r="T1338" s="47"/>
      <c r="U1338" s="47"/>
      <c r="V1338" s="47"/>
      <c r="W1338" s="51"/>
      <c r="X1338" s="51"/>
      <c r="Y1338" s="47"/>
      <c r="Z1338" s="47"/>
      <c r="AA1338" s="47"/>
      <c r="AB1338" s="47"/>
      <c r="AC1338" s="47"/>
      <c r="AD1338" s="47"/>
      <c r="AE1338" s="54"/>
      <c r="AF1338" s="54"/>
      <c r="AG1338" s="55"/>
      <c r="AH1338" s="54"/>
      <c r="AI1338" s="54"/>
      <c r="AJ1338" s="54"/>
      <c r="AK1338" s="54"/>
      <c r="AL1338" s="54"/>
      <c r="AM1338" s="54"/>
      <c r="AN1338" s="54"/>
      <c r="AO1338" s="54"/>
      <c r="AP1338" s="54"/>
      <c r="AQ1338" s="54"/>
      <c r="AR1338" s="54"/>
      <c r="AS1338" s="54"/>
      <c r="AT1338" s="54"/>
      <c r="AU1338" s="54"/>
      <c r="AV1338" s="54"/>
      <c r="AW1338" s="54"/>
      <c r="AX1338" s="54"/>
      <c r="AY1338" s="54"/>
      <c r="AZ1338" s="54"/>
      <c r="BA1338" s="54"/>
      <c r="BB1338" s="54"/>
      <c r="BC1338" s="56"/>
      <c r="BD1338" s="51"/>
      <c r="BE1338" s="54"/>
      <c r="BF1338" s="54"/>
      <c r="BG1338" s="47"/>
      <c r="BH1338" s="48"/>
      <c r="BI1338" s="48"/>
      <c r="BJ1338" s="48"/>
      <c r="BK1338" s="48"/>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52"/>
      <c r="CG1338" s="52"/>
      <c r="CH1338" s="48"/>
      <c r="CI1338" s="48"/>
      <c r="CJ1338" s="48"/>
      <c r="CK1338" s="48"/>
    </row>
    <row r="1339" spans="1:89" ht="15.75" customHeight="1" x14ac:dyDescent="0.3">
      <c r="A1339" s="47"/>
      <c r="B1339" s="48"/>
      <c r="C1339" s="47"/>
      <c r="D1339" s="48"/>
      <c r="E1339" s="48"/>
      <c r="F1339" s="48"/>
      <c r="G1339" s="48"/>
      <c r="H1339" s="48"/>
      <c r="I1339" s="49"/>
      <c r="J1339" s="47"/>
      <c r="K1339" s="47"/>
      <c r="L1339" s="47"/>
      <c r="M1339" s="47"/>
      <c r="N1339" s="47"/>
      <c r="O1339" s="47"/>
      <c r="P1339" s="47"/>
      <c r="Q1339" s="47"/>
      <c r="R1339" s="47"/>
      <c r="S1339" s="50"/>
      <c r="T1339" s="47"/>
      <c r="U1339" s="47"/>
      <c r="V1339" s="47"/>
      <c r="W1339" s="51"/>
      <c r="X1339" s="51"/>
      <c r="Y1339" s="47"/>
      <c r="Z1339" s="47"/>
      <c r="AA1339" s="47"/>
      <c r="AB1339" s="47"/>
      <c r="AC1339" s="47"/>
      <c r="AD1339" s="47"/>
      <c r="AE1339" s="54"/>
      <c r="AF1339" s="54"/>
      <c r="AG1339" s="55"/>
      <c r="AH1339" s="54"/>
      <c r="AI1339" s="54"/>
      <c r="AJ1339" s="54"/>
      <c r="AK1339" s="54"/>
      <c r="AL1339" s="54"/>
      <c r="AM1339" s="54"/>
      <c r="AN1339" s="54"/>
      <c r="AO1339" s="54"/>
      <c r="AP1339" s="54"/>
      <c r="AQ1339" s="54"/>
      <c r="AR1339" s="54"/>
      <c r="AS1339" s="54"/>
      <c r="AT1339" s="54"/>
      <c r="AU1339" s="54"/>
      <c r="AV1339" s="54"/>
      <c r="AW1339" s="54"/>
      <c r="AX1339" s="54"/>
      <c r="AY1339" s="54"/>
      <c r="AZ1339" s="54"/>
      <c r="BA1339" s="54"/>
      <c r="BB1339" s="54"/>
      <c r="BC1339" s="56"/>
      <c r="BD1339" s="51"/>
      <c r="BE1339" s="54"/>
      <c r="BF1339" s="54"/>
      <c r="BG1339" s="47"/>
      <c r="BH1339" s="48"/>
      <c r="BI1339" s="48"/>
      <c r="BJ1339" s="48"/>
      <c r="BK1339" s="48"/>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52"/>
      <c r="CG1339" s="52"/>
      <c r="CH1339" s="48"/>
      <c r="CI1339" s="48"/>
      <c r="CJ1339" s="48"/>
      <c r="CK1339" s="48"/>
    </row>
    <row r="1340" spans="1:89" ht="15.75" customHeight="1" x14ac:dyDescent="0.3">
      <c r="A1340" s="47"/>
      <c r="B1340" s="48"/>
      <c r="C1340" s="47"/>
      <c r="D1340" s="48"/>
      <c r="E1340" s="48"/>
      <c r="F1340" s="48"/>
      <c r="G1340" s="48"/>
      <c r="H1340" s="48"/>
      <c r="I1340" s="49"/>
      <c r="J1340" s="47"/>
      <c r="K1340" s="47"/>
      <c r="L1340" s="47"/>
      <c r="M1340" s="47"/>
      <c r="N1340" s="47"/>
      <c r="O1340" s="47"/>
      <c r="P1340" s="47"/>
      <c r="Q1340" s="47"/>
      <c r="R1340" s="47"/>
      <c r="S1340" s="50"/>
      <c r="T1340" s="47"/>
      <c r="U1340" s="47"/>
      <c r="V1340" s="47"/>
      <c r="W1340" s="51"/>
      <c r="X1340" s="51"/>
      <c r="Y1340" s="47"/>
      <c r="Z1340" s="47"/>
      <c r="AA1340" s="47"/>
      <c r="AB1340" s="47"/>
      <c r="AC1340" s="47"/>
      <c r="AD1340" s="47"/>
      <c r="AE1340" s="54"/>
      <c r="AF1340" s="54"/>
      <c r="AG1340" s="55"/>
      <c r="AH1340" s="54"/>
      <c r="AI1340" s="54"/>
      <c r="AJ1340" s="54"/>
      <c r="AK1340" s="54"/>
      <c r="AL1340" s="54"/>
      <c r="AM1340" s="54"/>
      <c r="AN1340" s="54"/>
      <c r="AO1340" s="54"/>
      <c r="AP1340" s="54"/>
      <c r="AQ1340" s="54"/>
      <c r="AR1340" s="54"/>
      <c r="AS1340" s="54"/>
      <c r="AT1340" s="54"/>
      <c r="AU1340" s="54"/>
      <c r="AV1340" s="54"/>
      <c r="AW1340" s="54"/>
      <c r="AX1340" s="54"/>
      <c r="AY1340" s="54"/>
      <c r="AZ1340" s="54"/>
      <c r="BA1340" s="54"/>
      <c r="BB1340" s="54"/>
      <c r="BC1340" s="56"/>
      <c r="BD1340" s="51"/>
      <c r="BE1340" s="54"/>
      <c r="BF1340" s="54"/>
      <c r="BG1340" s="47"/>
      <c r="BH1340" s="48"/>
      <c r="BI1340" s="48"/>
      <c r="BJ1340" s="48"/>
      <c r="BK1340" s="48"/>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52"/>
      <c r="CG1340" s="52"/>
      <c r="CH1340" s="48"/>
      <c r="CI1340" s="48"/>
      <c r="CJ1340" s="48"/>
      <c r="CK1340" s="48"/>
    </row>
    <row r="1341" spans="1:89" ht="15.75" customHeight="1" x14ac:dyDescent="0.3">
      <c r="A1341" s="47"/>
      <c r="B1341" s="48"/>
      <c r="C1341" s="47"/>
      <c r="D1341" s="48"/>
      <c r="E1341" s="48"/>
      <c r="F1341" s="48"/>
      <c r="G1341" s="48"/>
      <c r="H1341" s="48"/>
      <c r="I1341" s="49"/>
      <c r="J1341" s="47"/>
      <c r="K1341" s="47"/>
      <c r="L1341" s="47"/>
      <c r="M1341" s="47"/>
      <c r="N1341" s="47"/>
      <c r="O1341" s="47"/>
      <c r="P1341" s="47"/>
      <c r="Q1341" s="47"/>
      <c r="R1341" s="47"/>
      <c r="S1341" s="50"/>
      <c r="T1341" s="47"/>
      <c r="U1341" s="47"/>
      <c r="V1341" s="47"/>
      <c r="W1341" s="51"/>
      <c r="X1341" s="51"/>
      <c r="Y1341" s="47"/>
      <c r="Z1341" s="47"/>
      <c r="AA1341" s="47"/>
      <c r="AB1341" s="47"/>
      <c r="AC1341" s="47"/>
      <c r="AD1341" s="47"/>
      <c r="AE1341" s="54"/>
      <c r="AF1341" s="54"/>
      <c r="AG1341" s="55"/>
      <c r="AH1341" s="54"/>
      <c r="AI1341" s="54"/>
      <c r="AJ1341" s="54"/>
      <c r="AK1341" s="54"/>
      <c r="AL1341" s="54"/>
      <c r="AM1341" s="54"/>
      <c r="AN1341" s="54"/>
      <c r="AO1341" s="54"/>
      <c r="AP1341" s="54"/>
      <c r="AQ1341" s="54"/>
      <c r="AR1341" s="54"/>
      <c r="AS1341" s="54"/>
      <c r="AT1341" s="54"/>
      <c r="AU1341" s="54"/>
      <c r="AV1341" s="54"/>
      <c r="AW1341" s="54"/>
      <c r="AX1341" s="54"/>
      <c r="AY1341" s="54"/>
      <c r="AZ1341" s="54"/>
      <c r="BA1341" s="54"/>
      <c r="BB1341" s="54"/>
      <c r="BC1341" s="56"/>
      <c r="BD1341" s="51"/>
      <c r="BE1341" s="54"/>
      <c r="BF1341" s="54"/>
      <c r="BG1341" s="47"/>
      <c r="BH1341" s="48"/>
      <c r="BI1341" s="48"/>
      <c r="BJ1341" s="48"/>
      <c r="BK1341" s="48"/>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52"/>
      <c r="CG1341" s="52"/>
      <c r="CH1341" s="48"/>
      <c r="CI1341" s="48"/>
      <c r="CJ1341" s="48"/>
      <c r="CK1341" s="48"/>
    </row>
    <row r="1342" spans="1:89" ht="15.75" customHeight="1" x14ac:dyDescent="0.3">
      <c r="A1342" s="47"/>
      <c r="B1342" s="48"/>
      <c r="C1342" s="47"/>
      <c r="D1342" s="48"/>
      <c r="E1342" s="48"/>
      <c r="F1342" s="48"/>
      <c r="G1342" s="48"/>
      <c r="H1342" s="48"/>
      <c r="I1342" s="49"/>
      <c r="J1342" s="47"/>
      <c r="K1342" s="47"/>
      <c r="L1342" s="47"/>
      <c r="M1342" s="47"/>
      <c r="N1342" s="47"/>
      <c r="O1342" s="47"/>
      <c r="P1342" s="47"/>
      <c r="Q1342" s="47"/>
      <c r="R1342" s="47"/>
      <c r="S1342" s="50"/>
      <c r="T1342" s="47"/>
      <c r="U1342" s="47"/>
      <c r="V1342" s="47"/>
      <c r="W1342" s="51"/>
      <c r="X1342" s="51"/>
      <c r="Y1342" s="47"/>
      <c r="Z1342" s="47"/>
      <c r="AA1342" s="47"/>
      <c r="AB1342" s="47"/>
      <c r="AC1342" s="47"/>
      <c r="AD1342" s="47"/>
      <c r="AE1342" s="54"/>
      <c r="AF1342" s="54"/>
      <c r="AG1342" s="55"/>
      <c r="AH1342" s="54"/>
      <c r="AI1342" s="54"/>
      <c r="AJ1342" s="54"/>
      <c r="AK1342" s="54"/>
      <c r="AL1342" s="54"/>
      <c r="AM1342" s="54"/>
      <c r="AN1342" s="54"/>
      <c r="AO1342" s="54"/>
      <c r="AP1342" s="54"/>
      <c r="AQ1342" s="54"/>
      <c r="AR1342" s="54"/>
      <c r="AS1342" s="54"/>
      <c r="AT1342" s="54"/>
      <c r="AU1342" s="54"/>
      <c r="AV1342" s="54"/>
      <c r="AW1342" s="54"/>
      <c r="AX1342" s="54"/>
      <c r="AY1342" s="54"/>
      <c r="AZ1342" s="54"/>
      <c r="BA1342" s="54"/>
      <c r="BB1342" s="54"/>
      <c r="BC1342" s="56"/>
      <c r="BD1342" s="51"/>
      <c r="BE1342" s="54"/>
      <c r="BF1342" s="54"/>
      <c r="BG1342" s="47"/>
      <c r="BH1342" s="48"/>
      <c r="BI1342" s="48"/>
      <c r="BJ1342" s="48"/>
      <c r="BK1342" s="48"/>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52"/>
      <c r="CG1342" s="52"/>
      <c r="CH1342" s="48"/>
      <c r="CI1342" s="48"/>
      <c r="CJ1342" s="48"/>
      <c r="CK1342" s="48"/>
    </row>
    <row r="1343" spans="1:89" ht="15.75" customHeight="1" x14ac:dyDescent="0.3">
      <c r="A1343" s="47"/>
      <c r="B1343" s="48"/>
      <c r="C1343" s="47"/>
      <c r="D1343" s="48"/>
      <c r="E1343" s="48"/>
      <c r="F1343" s="48"/>
      <c r="G1343" s="48"/>
      <c r="H1343" s="48"/>
      <c r="I1343" s="49"/>
      <c r="J1343" s="47"/>
      <c r="K1343" s="47"/>
      <c r="L1343" s="47"/>
      <c r="M1343" s="47"/>
      <c r="N1343" s="47"/>
      <c r="O1343" s="47"/>
      <c r="P1343" s="47"/>
      <c r="Q1343" s="47"/>
      <c r="R1343" s="47"/>
      <c r="S1343" s="50"/>
      <c r="T1343" s="47"/>
      <c r="U1343" s="47"/>
      <c r="V1343" s="47"/>
      <c r="W1343" s="51"/>
      <c r="X1343" s="51"/>
      <c r="Y1343" s="47"/>
      <c r="Z1343" s="47"/>
      <c r="AA1343" s="47"/>
      <c r="AB1343" s="47"/>
      <c r="AC1343" s="47"/>
      <c r="AD1343" s="47"/>
      <c r="AE1343" s="54"/>
      <c r="AF1343" s="54"/>
      <c r="AG1343" s="55"/>
      <c r="AH1343" s="54"/>
      <c r="AI1343" s="54"/>
      <c r="AJ1343" s="54"/>
      <c r="AK1343" s="54"/>
      <c r="AL1343" s="54"/>
      <c r="AM1343" s="54"/>
      <c r="AN1343" s="54"/>
      <c r="AO1343" s="54"/>
      <c r="AP1343" s="54"/>
      <c r="AQ1343" s="54"/>
      <c r="AR1343" s="54"/>
      <c r="AS1343" s="54"/>
      <c r="AT1343" s="54"/>
      <c r="AU1343" s="54"/>
      <c r="AV1343" s="54"/>
      <c r="AW1343" s="54"/>
      <c r="AX1343" s="54"/>
      <c r="AY1343" s="54"/>
      <c r="AZ1343" s="54"/>
      <c r="BA1343" s="54"/>
      <c r="BB1343" s="54"/>
      <c r="BC1343" s="56"/>
      <c r="BD1343" s="51"/>
      <c r="BE1343" s="54"/>
      <c r="BF1343" s="54"/>
      <c r="BG1343" s="47"/>
      <c r="BH1343" s="48"/>
      <c r="BI1343" s="48"/>
      <c r="BJ1343" s="48"/>
      <c r="BK1343" s="48"/>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52"/>
      <c r="CG1343" s="52"/>
      <c r="CH1343" s="48"/>
      <c r="CI1343" s="48"/>
      <c r="CJ1343" s="48"/>
      <c r="CK1343" s="48"/>
    </row>
    <row r="1344" spans="1:89" ht="15.75" customHeight="1" x14ac:dyDescent="0.3">
      <c r="A1344" s="47"/>
      <c r="B1344" s="48"/>
      <c r="C1344" s="47"/>
      <c r="D1344" s="48"/>
      <c r="E1344" s="48"/>
      <c r="F1344" s="48"/>
      <c r="G1344" s="48"/>
      <c r="H1344" s="48"/>
      <c r="I1344" s="49"/>
      <c r="J1344" s="47"/>
      <c r="K1344" s="47"/>
      <c r="L1344" s="47"/>
      <c r="M1344" s="47"/>
      <c r="N1344" s="47"/>
      <c r="O1344" s="47"/>
      <c r="P1344" s="47"/>
      <c r="Q1344" s="47"/>
      <c r="R1344" s="47"/>
      <c r="S1344" s="50"/>
      <c r="T1344" s="47"/>
      <c r="U1344" s="47"/>
      <c r="V1344" s="47"/>
      <c r="W1344" s="51"/>
      <c r="X1344" s="51"/>
      <c r="Y1344" s="47"/>
      <c r="Z1344" s="47"/>
      <c r="AA1344" s="47"/>
      <c r="AB1344" s="47"/>
      <c r="AC1344" s="47"/>
      <c r="AD1344" s="47"/>
      <c r="AE1344" s="54"/>
      <c r="AF1344" s="54"/>
      <c r="AG1344" s="55"/>
      <c r="AH1344" s="54"/>
      <c r="AI1344" s="54"/>
      <c r="AJ1344" s="54"/>
      <c r="AK1344" s="54"/>
      <c r="AL1344" s="54"/>
      <c r="AM1344" s="54"/>
      <c r="AN1344" s="54"/>
      <c r="AO1344" s="54"/>
      <c r="AP1344" s="54"/>
      <c r="AQ1344" s="54"/>
      <c r="AR1344" s="54"/>
      <c r="AS1344" s="54"/>
      <c r="AT1344" s="54"/>
      <c r="AU1344" s="54"/>
      <c r="AV1344" s="54"/>
      <c r="AW1344" s="54"/>
      <c r="AX1344" s="54"/>
      <c r="AY1344" s="54"/>
      <c r="AZ1344" s="54"/>
      <c r="BA1344" s="54"/>
      <c r="BB1344" s="54"/>
      <c r="BC1344" s="56"/>
      <c r="BD1344" s="51"/>
      <c r="BE1344" s="54"/>
      <c r="BF1344" s="54"/>
      <c r="BG1344" s="47"/>
      <c r="BH1344" s="48"/>
      <c r="BI1344" s="48"/>
      <c r="BJ1344" s="48"/>
      <c r="BK1344" s="48"/>
      <c r="BL1344" s="48"/>
      <c r="BM1344" s="48"/>
      <c r="BN1344" s="48"/>
      <c r="BO1344" s="48"/>
      <c r="BP1344" s="48"/>
      <c r="BQ1344" s="48"/>
      <c r="BR1344" s="48"/>
      <c r="BS1344" s="48"/>
      <c r="BT1344" s="48"/>
      <c r="BU1344" s="48"/>
      <c r="BV1344" s="48"/>
      <c r="BW1344" s="48"/>
      <c r="BX1344" s="48"/>
      <c r="BY1344" s="48"/>
      <c r="BZ1344" s="48"/>
      <c r="CA1344" s="48"/>
      <c r="CB1344" s="48"/>
      <c r="CC1344" s="48"/>
      <c r="CD1344" s="48"/>
      <c r="CE1344" s="48"/>
      <c r="CF1344" s="52"/>
      <c r="CG1344" s="52"/>
      <c r="CH1344" s="48"/>
      <c r="CI1344" s="48"/>
      <c r="CJ1344" s="48"/>
      <c r="CK1344" s="48"/>
    </row>
    <row r="1345" spans="1:89" ht="15.75" customHeight="1" x14ac:dyDescent="0.3">
      <c r="A1345" s="47"/>
      <c r="B1345" s="48"/>
      <c r="C1345" s="47"/>
      <c r="D1345" s="48"/>
      <c r="E1345" s="48"/>
      <c r="F1345" s="48"/>
      <c r="G1345" s="48"/>
      <c r="H1345" s="48"/>
      <c r="I1345" s="49"/>
      <c r="J1345" s="47"/>
      <c r="K1345" s="47"/>
      <c r="L1345" s="47"/>
      <c r="M1345" s="47"/>
      <c r="N1345" s="47"/>
      <c r="O1345" s="47"/>
      <c r="P1345" s="47"/>
      <c r="Q1345" s="47"/>
      <c r="R1345" s="47"/>
      <c r="S1345" s="50"/>
      <c r="T1345" s="47"/>
      <c r="U1345" s="47"/>
      <c r="V1345" s="47"/>
      <c r="W1345" s="51"/>
      <c r="X1345" s="51"/>
      <c r="Y1345" s="47"/>
      <c r="Z1345" s="47"/>
      <c r="AA1345" s="47"/>
      <c r="AB1345" s="47"/>
      <c r="AC1345" s="47"/>
      <c r="AD1345" s="47"/>
      <c r="AE1345" s="54"/>
      <c r="AF1345" s="54"/>
      <c r="AG1345" s="55"/>
      <c r="AH1345" s="54"/>
      <c r="AI1345" s="54"/>
      <c r="AJ1345" s="54"/>
      <c r="AK1345" s="54"/>
      <c r="AL1345" s="54"/>
      <c r="AM1345" s="54"/>
      <c r="AN1345" s="54"/>
      <c r="AO1345" s="54"/>
      <c r="AP1345" s="54"/>
      <c r="AQ1345" s="54"/>
      <c r="AR1345" s="54"/>
      <c r="AS1345" s="54"/>
      <c r="AT1345" s="54"/>
      <c r="AU1345" s="54"/>
      <c r="AV1345" s="54"/>
      <c r="AW1345" s="54"/>
      <c r="AX1345" s="54"/>
      <c r="AY1345" s="54"/>
      <c r="AZ1345" s="54"/>
      <c r="BA1345" s="54"/>
      <c r="BB1345" s="54"/>
      <c r="BC1345" s="56"/>
      <c r="BD1345" s="51"/>
      <c r="BE1345" s="54"/>
      <c r="BF1345" s="54"/>
      <c r="BG1345" s="47"/>
      <c r="BH1345" s="48"/>
      <c r="BI1345" s="48"/>
      <c r="BJ1345" s="48"/>
      <c r="BK1345" s="48"/>
      <c r="BL1345" s="48"/>
      <c r="BM1345" s="48"/>
      <c r="BN1345" s="48"/>
      <c r="BO1345" s="48"/>
      <c r="BP1345" s="48"/>
      <c r="BQ1345" s="48"/>
      <c r="BR1345" s="48"/>
      <c r="BS1345" s="48"/>
      <c r="BT1345" s="48"/>
      <c r="BU1345" s="48"/>
      <c r="BV1345" s="48"/>
      <c r="BW1345" s="48"/>
      <c r="BX1345" s="48"/>
      <c r="BY1345" s="48"/>
      <c r="BZ1345" s="48"/>
      <c r="CA1345" s="48"/>
      <c r="CB1345" s="48"/>
      <c r="CC1345" s="48"/>
      <c r="CD1345" s="48"/>
      <c r="CE1345" s="48"/>
      <c r="CF1345" s="52"/>
      <c r="CG1345" s="52"/>
      <c r="CH1345" s="48"/>
      <c r="CI1345" s="48"/>
      <c r="CJ1345" s="48"/>
      <c r="CK1345" s="48"/>
    </row>
    <row r="1346" spans="1:89" ht="15.75" customHeight="1" x14ac:dyDescent="0.3">
      <c r="A1346" s="47"/>
      <c r="B1346" s="48"/>
      <c r="C1346" s="47"/>
      <c r="D1346" s="48"/>
      <c r="E1346" s="48"/>
      <c r="F1346" s="48"/>
      <c r="G1346" s="48"/>
      <c r="H1346" s="48"/>
      <c r="I1346" s="49"/>
      <c r="J1346" s="47"/>
      <c r="K1346" s="47"/>
      <c r="L1346" s="47"/>
      <c r="M1346" s="47"/>
      <c r="N1346" s="47"/>
      <c r="O1346" s="47"/>
      <c r="P1346" s="47"/>
      <c r="Q1346" s="47"/>
      <c r="R1346" s="47"/>
      <c r="S1346" s="50"/>
      <c r="T1346" s="47"/>
      <c r="U1346" s="47"/>
      <c r="V1346" s="47"/>
      <c r="W1346" s="51"/>
      <c r="X1346" s="51"/>
      <c r="Y1346" s="47"/>
      <c r="Z1346" s="47"/>
      <c r="AA1346" s="47"/>
      <c r="AB1346" s="47"/>
      <c r="AC1346" s="47"/>
      <c r="AD1346" s="47"/>
      <c r="AE1346" s="54"/>
      <c r="AF1346" s="54"/>
      <c r="AG1346" s="55"/>
      <c r="AH1346" s="54"/>
      <c r="AI1346" s="54"/>
      <c r="AJ1346" s="54"/>
      <c r="AK1346" s="54"/>
      <c r="AL1346" s="54"/>
      <c r="AM1346" s="54"/>
      <c r="AN1346" s="54"/>
      <c r="AO1346" s="54"/>
      <c r="AP1346" s="54"/>
      <c r="AQ1346" s="54"/>
      <c r="AR1346" s="54"/>
      <c r="AS1346" s="54"/>
      <c r="AT1346" s="54"/>
      <c r="AU1346" s="54"/>
      <c r="AV1346" s="54"/>
      <c r="AW1346" s="54"/>
      <c r="AX1346" s="54"/>
      <c r="AY1346" s="54"/>
      <c r="AZ1346" s="54"/>
      <c r="BA1346" s="54"/>
      <c r="BB1346" s="54"/>
      <c r="BC1346" s="56"/>
      <c r="BD1346" s="51"/>
      <c r="BE1346" s="54"/>
      <c r="BF1346" s="54"/>
      <c r="BG1346" s="47"/>
      <c r="BH1346" s="48"/>
      <c r="BI1346" s="48"/>
      <c r="BJ1346" s="48"/>
      <c r="BK1346" s="48"/>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52"/>
      <c r="CG1346" s="52"/>
      <c r="CH1346" s="48"/>
      <c r="CI1346" s="48"/>
      <c r="CJ1346" s="48"/>
      <c r="CK1346" s="48"/>
    </row>
    <row r="1347" spans="1:89" ht="15.75" customHeight="1" x14ac:dyDescent="0.3">
      <c r="A1347" s="47"/>
      <c r="B1347" s="48"/>
      <c r="C1347" s="47"/>
      <c r="D1347" s="48"/>
      <c r="E1347" s="48"/>
      <c r="F1347" s="48"/>
      <c r="G1347" s="48"/>
      <c r="H1347" s="48"/>
      <c r="I1347" s="49"/>
      <c r="J1347" s="47"/>
      <c r="K1347" s="47"/>
      <c r="L1347" s="47"/>
      <c r="M1347" s="47"/>
      <c r="N1347" s="47"/>
      <c r="O1347" s="47"/>
      <c r="P1347" s="47"/>
      <c r="Q1347" s="47"/>
      <c r="R1347" s="47"/>
      <c r="S1347" s="50"/>
      <c r="T1347" s="47"/>
      <c r="U1347" s="47"/>
      <c r="V1347" s="47"/>
      <c r="W1347" s="51"/>
      <c r="X1347" s="51"/>
      <c r="Y1347" s="47"/>
      <c r="Z1347" s="47"/>
      <c r="AA1347" s="47"/>
      <c r="AB1347" s="47"/>
      <c r="AC1347" s="47"/>
      <c r="AD1347" s="47"/>
      <c r="AE1347" s="54"/>
      <c r="AF1347" s="54"/>
      <c r="AG1347" s="55"/>
      <c r="AH1347" s="54"/>
      <c r="AI1347" s="54"/>
      <c r="AJ1347" s="54"/>
      <c r="AK1347" s="54"/>
      <c r="AL1347" s="54"/>
      <c r="AM1347" s="54"/>
      <c r="AN1347" s="54"/>
      <c r="AO1347" s="54"/>
      <c r="AP1347" s="54"/>
      <c r="AQ1347" s="54"/>
      <c r="AR1347" s="54"/>
      <c r="AS1347" s="54"/>
      <c r="AT1347" s="54"/>
      <c r="AU1347" s="54"/>
      <c r="AV1347" s="54"/>
      <c r="AW1347" s="54"/>
      <c r="AX1347" s="54"/>
      <c r="AY1347" s="54"/>
      <c r="AZ1347" s="54"/>
      <c r="BA1347" s="54"/>
      <c r="BB1347" s="54"/>
      <c r="BC1347" s="56"/>
      <c r="BD1347" s="51"/>
      <c r="BE1347" s="54"/>
      <c r="BF1347" s="54"/>
      <c r="BG1347" s="47"/>
      <c r="BH1347" s="48"/>
      <c r="BI1347" s="48"/>
      <c r="BJ1347" s="48"/>
      <c r="BK1347" s="48"/>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52"/>
      <c r="CG1347" s="52"/>
      <c r="CH1347" s="48"/>
      <c r="CI1347" s="48"/>
      <c r="CJ1347" s="48"/>
      <c r="CK1347" s="48"/>
    </row>
    <row r="1348" spans="1:89" ht="15.75" customHeight="1" x14ac:dyDescent="0.3">
      <c r="A1348" s="47"/>
      <c r="B1348" s="48"/>
      <c r="C1348" s="47"/>
      <c r="D1348" s="48"/>
      <c r="E1348" s="48"/>
      <c r="F1348" s="48"/>
      <c r="G1348" s="48"/>
      <c r="H1348" s="48"/>
      <c r="I1348" s="49"/>
      <c r="J1348" s="47"/>
      <c r="K1348" s="47"/>
      <c r="L1348" s="47"/>
      <c r="M1348" s="47"/>
      <c r="N1348" s="47"/>
      <c r="O1348" s="47"/>
      <c r="P1348" s="47"/>
      <c r="Q1348" s="47"/>
      <c r="R1348" s="47"/>
      <c r="S1348" s="50"/>
      <c r="T1348" s="47"/>
      <c r="U1348" s="47"/>
      <c r="V1348" s="47"/>
      <c r="W1348" s="51"/>
      <c r="X1348" s="51"/>
      <c r="Y1348" s="47"/>
      <c r="Z1348" s="47"/>
      <c r="AA1348" s="47"/>
      <c r="AB1348" s="47"/>
      <c r="AC1348" s="47"/>
      <c r="AD1348" s="47"/>
      <c r="AE1348" s="54"/>
      <c r="AF1348" s="54"/>
      <c r="AG1348" s="55"/>
      <c r="AH1348" s="54"/>
      <c r="AI1348" s="54"/>
      <c r="AJ1348" s="54"/>
      <c r="AK1348" s="54"/>
      <c r="AL1348" s="54"/>
      <c r="AM1348" s="54"/>
      <c r="AN1348" s="54"/>
      <c r="AO1348" s="54"/>
      <c r="AP1348" s="54"/>
      <c r="AQ1348" s="54"/>
      <c r="AR1348" s="54"/>
      <c r="AS1348" s="54"/>
      <c r="AT1348" s="54"/>
      <c r="AU1348" s="54"/>
      <c r="AV1348" s="54"/>
      <c r="AW1348" s="54"/>
      <c r="AX1348" s="54"/>
      <c r="AY1348" s="54"/>
      <c r="AZ1348" s="54"/>
      <c r="BA1348" s="54"/>
      <c r="BB1348" s="54"/>
      <c r="BC1348" s="56"/>
      <c r="BD1348" s="51"/>
      <c r="BE1348" s="54"/>
      <c r="BF1348" s="54"/>
      <c r="BG1348" s="47"/>
      <c r="BH1348" s="48"/>
      <c r="BI1348" s="48"/>
      <c r="BJ1348" s="48"/>
      <c r="BK1348" s="48"/>
      <c r="BL1348" s="48"/>
      <c r="BM1348" s="48"/>
      <c r="BN1348" s="48"/>
      <c r="BO1348" s="48"/>
      <c r="BP1348" s="48"/>
      <c r="BQ1348" s="48"/>
      <c r="BR1348" s="48"/>
      <c r="BS1348" s="48"/>
      <c r="BT1348" s="48"/>
      <c r="BU1348" s="48"/>
      <c r="BV1348" s="48"/>
      <c r="BW1348" s="48"/>
      <c r="BX1348" s="48"/>
      <c r="BY1348" s="48"/>
      <c r="BZ1348" s="48"/>
      <c r="CA1348" s="48"/>
      <c r="CB1348" s="48"/>
      <c r="CC1348" s="48"/>
      <c r="CD1348" s="48"/>
      <c r="CE1348" s="48"/>
      <c r="CF1348" s="52"/>
      <c r="CG1348" s="52"/>
      <c r="CH1348" s="48"/>
      <c r="CI1348" s="48"/>
      <c r="CJ1348" s="48"/>
      <c r="CK1348" s="48"/>
    </row>
    <row r="1349" spans="1:89" ht="15.75" customHeight="1" x14ac:dyDescent="0.3">
      <c r="A1349" s="47"/>
      <c r="B1349" s="48"/>
      <c r="C1349" s="47"/>
      <c r="D1349" s="48"/>
      <c r="E1349" s="48"/>
      <c r="F1349" s="48"/>
      <c r="G1349" s="48"/>
      <c r="H1349" s="48"/>
      <c r="I1349" s="49"/>
      <c r="J1349" s="47"/>
      <c r="K1349" s="47"/>
      <c r="L1349" s="47"/>
      <c r="M1349" s="47"/>
      <c r="N1349" s="47"/>
      <c r="O1349" s="47"/>
      <c r="P1349" s="47"/>
      <c r="Q1349" s="47"/>
      <c r="R1349" s="47"/>
      <c r="S1349" s="50"/>
      <c r="T1349" s="47"/>
      <c r="U1349" s="47"/>
      <c r="V1349" s="47"/>
      <c r="W1349" s="51"/>
      <c r="X1349" s="51"/>
      <c r="Y1349" s="47"/>
      <c r="Z1349" s="47"/>
      <c r="AA1349" s="47"/>
      <c r="AB1349" s="47"/>
      <c r="AC1349" s="47"/>
      <c r="AD1349" s="47"/>
      <c r="AE1349" s="54"/>
      <c r="AF1349" s="54"/>
      <c r="AG1349" s="55"/>
      <c r="AH1349" s="54"/>
      <c r="AI1349" s="54"/>
      <c r="AJ1349" s="54"/>
      <c r="AK1349" s="54"/>
      <c r="AL1349" s="54"/>
      <c r="AM1349" s="54"/>
      <c r="AN1349" s="54"/>
      <c r="AO1349" s="54"/>
      <c r="AP1349" s="54"/>
      <c r="AQ1349" s="54"/>
      <c r="AR1349" s="54"/>
      <c r="AS1349" s="54"/>
      <c r="AT1349" s="54"/>
      <c r="AU1349" s="54"/>
      <c r="AV1349" s="54"/>
      <c r="AW1349" s="54"/>
      <c r="AX1349" s="54"/>
      <c r="AY1349" s="54"/>
      <c r="AZ1349" s="54"/>
      <c r="BA1349" s="54"/>
      <c r="BB1349" s="54"/>
      <c r="BC1349" s="56"/>
      <c r="BD1349" s="51"/>
      <c r="BE1349" s="54"/>
      <c r="BF1349" s="54"/>
      <c r="BG1349" s="47"/>
      <c r="BH1349" s="48"/>
      <c r="BI1349" s="48"/>
      <c r="BJ1349" s="48"/>
      <c r="BK1349" s="48"/>
      <c r="BL1349" s="48"/>
      <c r="BM1349" s="48"/>
      <c r="BN1349" s="48"/>
      <c r="BO1349" s="48"/>
      <c r="BP1349" s="48"/>
      <c r="BQ1349" s="48"/>
      <c r="BR1349" s="48"/>
      <c r="BS1349" s="48"/>
      <c r="BT1349" s="48"/>
      <c r="BU1349" s="48"/>
      <c r="BV1349" s="48"/>
      <c r="BW1349" s="48"/>
      <c r="BX1349" s="48"/>
      <c r="BY1349" s="48"/>
      <c r="BZ1349" s="48"/>
      <c r="CA1349" s="48"/>
      <c r="CB1349" s="48"/>
      <c r="CC1349" s="48"/>
      <c r="CD1349" s="48"/>
      <c r="CE1349" s="48"/>
      <c r="CF1349" s="52"/>
      <c r="CG1349" s="52"/>
      <c r="CH1349" s="48"/>
      <c r="CI1349" s="48"/>
      <c r="CJ1349" s="48"/>
      <c r="CK1349" s="48"/>
    </row>
    <row r="1350" spans="1:89" ht="15.75" customHeight="1" x14ac:dyDescent="0.3">
      <c r="A1350" s="47"/>
      <c r="B1350" s="48"/>
      <c r="C1350" s="47"/>
      <c r="D1350" s="48"/>
      <c r="E1350" s="48"/>
      <c r="F1350" s="48"/>
      <c r="G1350" s="48"/>
      <c r="H1350" s="48"/>
      <c r="I1350" s="49"/>
      <c r="J1350" s="47"/>
      <c r="K1350" s="47"/>
      <c r="L1350" s="47"/>
      <c r="M1350" s="47"/>
      <c r="N1350" s="47"/>
      <c r="O1350" s="47"/>
      <c r="P1350" s="47"/>
      <c r="Q1350" s="47"/>
      <c r="R1350" s="47"/>
      <c r="S1350" s="50"/>
      <c r="T1350" s="47"/>
      <c r="U1350" s="47"/>
      <c r="V1350" s="47"/>
      <c r="W1350" s="51"/>
      <c r="X1350" s="51"/>
      <c r="Y1350" s="47"/>
      <c r="Z1350" s="47"/>
      <c r="AA1350" s="47"/>
      <c r="AB1350" s="47"/>
      <c r="AC1350" s="47"/>
      <c r="AD1350" s="47"/>
      <c r="AE1350" s="54"/>
      <c r="AF1350" s="54"/>
      <c r="AG1350" s="55"/>
      <c r="AH1350" s="54"/>
      <c r="AI1350" s="54"/>
      <c r="AJ1350" s="54"/>
      <c r="AK1350" s="54"/>
      <c r="AL1350" s="54"/>
      <c r="AM1350" s="54"/>
      <c r="AN1350" s="54"/>
      <c r="AO1350" s="54"/>
      <c r="AP1350" s="54"/>
      <c r="AQ1350" s="54"/>
      <c r="AR1350" s="54"/>
      <c r="AS1350" s="54"/>
      <c r="AT1350" s="54"/>
      <c r="AU1350" s="54"/>
      <c r="AV1350" s="54"/>
      <c r="AW1350" s="54"/>
      <c r="AX1350" s="54"/>
      <c r="AY1350" s="54"/>
      <c r="AZ1350" s="54"/>
      <c r="BA1350" s="54"/>
      <c r="BB1350" s="54"/>
      <c r="BC1350" s="56"/>
      <c r="BD1350" s="51"/>
      <c r="BE1350" s="54"/>
      <c r="BF1350" s="54"/>
      <c r="BG1350" s="47"/>
      <c r="BH1350" s="48"/>
      <c r="BI1350" s="48"/>
      <c r="BJ1350" s="48"/>
      <c r="BK1350" s="48"/>
      <c r="BL1350" s="48"/>
      <c r="BM1350" s="48"/>
      <c r="BN1350" s="48"/>
      <c r="BO1350" s="48"/>
      <c r="BP1350" s="48"/>
      <c r="BQ1350" s="48"/>
      <c r="BR1350" s="48"/>
      <c r="BS1350" s="48"/>
      <c r="BT1350" s="48"/>
      <c r="BU1350" s="48"/>
      <c r="BV1350" s="48"/>
      <c r="BW1350" s="48"/>
      <c r="BX1350" s="48"/>
      <c r="BY1350" s="48"/>
      <c r="BZ1350" s="48"/>
      <c r="CA1350" s="48"/>
      <c r="CB1350" s="48"/>
      <c r="CC1350" s="48"/>
      <c r="CD1350" s="48"/>
      <c r="CE1350" s="48"/>
      <c r="CF1350" s="52"/>
      <c r="CG1350" s="52"/>
      <c r="CH1350" s="48"/>
      <c r="CI1350" s="48"/>
      <c r="CJ1350" s="48"/>
      <c r="CK1350" s="48"/>
    </row>
    <row r="1351" spans="1:89" ht="15.75" customHeight="1" x14ac:dyDescent="0.3">
      <c r="A1351" s="47"/>
      <c r="B1351" s="48"/>
      <c r="C1351" s="47"/>
      <c r="D1351" s="48"/>
      <c r="E1351" s="48"/>
      <c r="F1351" s="48"/>
      <c r="G1351" s="48"/>
      <c r="H1351" s="48"/>
      <c r="I1351" s="49"/>
      <c r="J1351" s="47"/>
      <c r="K1351" s="47"/>
      <c r="L1351" s="47"/>
      <c r="M1351" s="47"/>
      <c r="N1351" s="47"/>
      <c r="O1351" s="47"/>
      <c r="P1351" s="47"/>
      <c r="Q1351" s="47"/>
      <c r="R1351" s="47"/>
      <c r="S1351" s="50"/>
      <c r="T1351" s="47"/>
      <c r="U1351" s="47"/>
      <c r="V1351" s="47"/>
      <c r="W1351" s="51"/>
      <c r="X1351" s="51"/>
      <c r="Y1351" s="47"/>
      <c r="Z1351" s="47"/>
      <c r="AA1351" s="47"/>
      <c r="AB1351" s="47"/>
      <c r="AC1351" s="47"/>
      <c r="AD1351" s="47"/>
      <c r="AE1351" s="54"/>
      <c r="AF1351" s="54"/>
      <c r="AG1351" s="55"/>
      <c r="AH1351" s="54"/>
      <c r="AI1351" s="54"/>
      <c r="AJ1351" s="54"/>
      <c r="AK1351" s="54"/>
      <c r="AL1351" s="54"/>
      <c r="AM1351" s="54"/>
      <c r="AN1351" s="54"/>
      <c r="AO1351" s="54"/>
      <c r="AP1351" s="54"/>
      <c r="AQ1351" s="54"/>
      <c r="AR1351" s="54"/>
      <c r="AS1351" s="54"/>
      <c r="AT1351" s="54"/>
      <c r="AU1351" s="54"/>
      <c r="AV1351" s="54"/>
      <c r="AW1351" s="54"/>
      <c r="AX1351" s="54"/>
      <c r="AY1351" s="54"/>
      <c r="AZ1351" s="54"/>
      <c r="BA1351" s="54"/>
      <c r="BB1351" s="54"/>
      <c r="BC1351" s="56"/>
      <c r="BD1351" s="51"/>
      <c r="BE1351" s="54"/>
      <c r="BF1351" s="54"/>
      <c r="BG1351" s="47"/>
      <c r="BH1351" s="48"/>
      <c r="BI1351" s="48"/>
      <c r="BJ1351" s="48"/>
      <c r="BK1351" s="48"/>
      <c r="BL1351" s="48"/>
      <c r="BM1351" s="48"/>
      <c r="BN1351" s="48"/>
      <c r="BO1351" s="48"/>
      <c r="BP1351" s="48"/>
      <c r="BQ1351" s="48"/>
      <c r="BR1351" s="48"/>
      <c r="BS1351" s="48"/>
      <c r="BT1351" s="48"/>
      <c r="BU1351" s="48"/>
      <c r="BV1351" s="48"/>
      <c r="BW1351" s="48"/>
      <c r="BX1351" s="48"/>
      <c r="BY1351" s="48"/>
      <c r="BZ1351" s="48"/>
      <c r="CA1351" s="48"/>
      <c r="CB1351" s="48"/>
      <c r="CC1351" s="48"/>
      <c r="CD1351" s="48"/>
      <c r="CE1351" s="48"/>
      <c r="CF1351" s="52"/>
      <c r="CG1351" s="52"/>
      <c r="CH1351" s="48"/>
      <c r="CI1351" s="48"/>
      <c r="CJ1351" s="48"/>
      <c r="CK1351" s="48"/>
    </row>
    <row r="1352" spans="1:89" ht="15.75" customHeight="1" x14ac:dyDescent="0.3">
      <c r="A1352" s="47"/>
      <c r="B1352" s="48"/>
      <c r="C1352" s="47"/>
      <c r="D1352" s="48"/>
      <c r="E1352" s="48"/>
      <c r="F1352" s="48"/>
      <c r="G1352" s="48"/>
      <c r="H1352" s="48"/>
      <c r="I1352" s="49"/>
      <c r="J1352" s="47"/>
      <c r="K1352" s="47"/>
      <c r="L1352" s="47"/>
      <c r="M1352" s="47"/>
      <c r="N1352" s="47"/>
      <c r="O1352" s="47"/>
      <c r="P1352" s="47"/>
      <c r="Q1352" s="47"/>
      <c r="R1352" s="47"/>
      <c r="S1352" s="50"/>
      <c r="T1352" s="47"/>
      <c r="U1352" s="47"/>
      <c r="V1352" s="47"/>
      <c r="W1352" s="51"/>
      <c r="X1352" s="51"/>
      <c r="Y1352" s="47"/>
      <c r="Z1352" s="47"/>
      <c r="AA1352" s="47"/>
      <c r="AB1352" s="47"/>
      <c r="AC1352" s="47"/>
      <c r="AD1352" s="47"/>
      <c r="AE1352" s="54"/>
      <c r="AF1352" s="54"/>
      <c r="AG1352" s="55"/>
      <c r="AH1352" s="54"/>
      <c r="AI1352" s="54"/>
      <c r="AJ1352" s="54"/>
      <c r="AK1352" s="54"/>
      <c r="AL1352" s="54"/>
      <c r="AM1352" s="54"/>
      <c r="AN1352" s="54"/>
      <c r="AO1352" s="54"/>
      <c r="AP1352" s="54"/>
      <c r="AQ1352" s="54"/>
      <c r="AR1352" s="54"/>
      <c r="AS1352" s="54"/>
      <c r="AT1352" s="54"/>
      <c r="AU1352" s="54"/>
      <c r="AV1352" s="54"/>
      <c r="AW1352" s="54"/>
      <c r="AX1352" s="54"/>
      <c r="AY1352" s="54"/>
      <c r="AZ1352" s="54"/>
      <c r="BA1352" s="54"/>
      <c r="BB1352" s="54"/>
      <c r="BC1352" s="56"/>
      <c r="BD1352" s="51"/>
      <c r="BE1352" s="54"/>
      <c r="BF1352" s="54"/>
      <c r="BG1352" s="47"/>
      <c r="BH1352" s="48"/>
      <c r="BI1352" s="48"/>
      <c r="BJ1352" s="48"/>
      <c r="BK1352" s="48"/>
      <c r="BL1352" s="48"/>
      <c r="BM1352" s="48"/>
      <c r="BN1352" s="48"/>
      <c r="BO1352" s="48"/>
      <c r="BP1352" s="48"/>
      <c r="BQ1352" s="48"/>
      <c r="BR1352" s="48"/>
      <c r="BS1352" s="48"/>
      <c r="BT1352" s="48"/>
      <c r="BU1352" s="48"/>
      <c r="BV1352" s="48"/>
      <c r="BW1352" s="48"/>
      <c r="BX1352" s="48"/>
      <c r="BY1352" s="48"/>
      <c r="BZ1352" s="48"/>
      <c r="CA1352" s="48"/>
      <c r="CB1352" s="48"/>
      <c r="CC1352" s="48"/>
      <c r="CD1352" s="48"/>
      <c r="CE1352" s="48"/>
      <c r="CF1352" s="52"/>
      <c r="CG1352" s="52"/>
      <c r="CH1352" s="48"/>
      <c r="CI1352" s="48"/>
      <c r="CJ1352" s="48"/>
      <c r="CK1352" s="48"/>
    </row>
    <row r="1353" spans="1:89" ht="15.75" customHeight="1" x14ac:dyDescent="0.3">
      <c r="A1353" s="47"/>
      <c r="B1353" s="48"/>
      <c r="C1353" s="47"/>
      <c r="D1353" s="48"/>
      <c r="E1353" s="48"/>
      <c r="F1353" s="48"/>
      <c r="G1353" s="48"/>
      <c r="H1353" s="48"/>
      <c r="I1353" s="49"/>
      <c r="J1353" s="47"/>
      <c r="K1353" s="47"/>
      <c r="L1353" s="47"/>
      <c r="M1353" s="47"/>
      <c r="N1353" s="47"/>
      <c r="O1353" s="47"/>
      <c r="P1353" s="47"/>
      <c r="Q1353" s="47"/>
      <c r="R1353" s="47"/>
      <c r="S1353" s="50"/>
      <c r="T1353" s="47"/>
      <c r="U1353" s="47"/>
      <c r="V1353" s="47"/>
      <c r="W1353" s="51"/>
      <c r="X1353" s="51"/>
      <c r="Y1353" s="47"/>
      <c r="Z1353" s="47"/>
      <c r="AA1353" s="47"/>
      <c r="AB1353" s="47"/>
      <c r="AC1353" s="47"/>
      <c r="AD1353" s="47"/>
      <c r="AE1353" s="54"/>
      <c r="AF1353" s="54"/>
      <c r="AG1353" s="55"/>
      <c r="AH1353" s="54"/>
      <c r="AI1353" s="54"/>
      <c r="AJ1353" s="54"/>
      <c r="AK1353" s="54"/>
      <c r="AL1353" s="54"/>
      <c r="AM1353" s="54"/>
      <c r="AN1353" s="54"/>
      <c r="AO1353" s="54"/>
      <c r="AP1353" s="54"/>
      <c r="AQ1353" s="54"/>
      <c r="AR1353" s="54"/>
      <c r="AS1353" s="54"/>
      <c r="AT1353" s="54"/>
      <c r="AU1353" s="54"/>
      <c r="AV1353" s="54"/>
      <c r="AW1353" s="54"/>
      <c r="AX1353" s="54"/>
      <c r="AY1353" s="54"/>
      <c r="AZ1353" s="54"/>
      <c r="BA1353" s="54"/>
      <c r="BB1353" s="54"/>
      <c r="BC1353" s="56"/>
      <c r="BD1353" s="51"/>
      <c r="BE1353" s="54"/>
      <c r="BF1353" s="54"/>
      <c r="BG1353" s="47"/>
      <c r="BH1353" s="48"/>
      <c r="BI1353" s="48"/>
      <c r="BJ1353" s="48"/>
      <c r="BK1353" s="48"/>
      <c r="BL1353" s="48"/>
      <c r="BM1353" s="48"/>
      <c r="BN1353" s="48"/>
      <c r="BO1353" s="48"/>
      <c r="BP1353" s="48"/>
      <c r="BQ1353" s="48"/>
      <c r="BR1353" s="48"/>
      <c r="BS1353" s="48"/>
      <c r="BT1353" s="48"/>
      <c r="BU1353" s="48"/>
      <c r="BV1353" s="48"/>
      <c r="BW1353" s="48"/>
      <c r="BX1353" s="48"/>
      <c r="BY1353" s="48"/>
      <c r="BZ1353" s="48"/>
      <c r="CA1353" s="48"/>
      <c r="CB1353" s="48"/>
      <c r="CC1353" s="48"/>
      <c r="CD1353" s="48"/>
      <c r="CE1353" s="48"/>
      <c r="CF1353" s="52"/>
      <c r="CG1353" s="52"/>
      <c r="CH1353" s="48"/>
      <c r="CI1353" s="48"/>
      <c r="CJ1353" s="48"/>
      <c r="CK1353" s="48"/>
    </row>
    <row r="1354" spans="1:89" ht="15.75" customHeight="1" x14ac:dyDescent="0.3">
      <c r="A1354" s="47"/>
      <c r="B1354" s="48"/>
      <c r="C1354" s="47"/>
      <c r="D1354" s="48"/>
      <c r="E1354" s="48"/>
      <c r="F1354" s="48"/>
      <c r="G1354" s="48"/>
      <c r="H1354" s="48"/>
      <c r="I1354" s="49"/>
      <c r="J1354" s="47"/>
      <c r="K1354" s="47"/>
      <c r="L1354" s="47"/>
      <c r="M1354" s="47"/>
      <c r="N1354" s="47"/>
      <c r="O1354" s="47"/>
      <c r="P1354" s="47"/>
      <c r="Q1354" s="47"/>
      <c r="R1354" s="47"/>
      <c r="S1354" s="50"/>
      <c r="T1354" s="47"/>
      <c r="U1354" s="47"/>
      <c r="V1354" s="47"/>
      <c r="W1354" s="51"/>
      <c r="X1354" s="51"/>
      <c r="Y1354" s="47"/>
      <c r="Z1354" s="47"/>
      <c r="AA1354" s="47"/>
      <c r="AB1354" s="47"/>
      <c r="AC1354" s="47"/>
      <c r="AD1354" s="47"/>
      <c r="AE1354" s="54"/>
      <c r="AF1354" s="54"/>
      <c r="AG1354" s="55"/>
      <c r="AH1354" s="54"/>
      <c r="AI1354" s="54"/>
      <c r="AJ1354" s="54"/>
      <c r="AK1354" s="54"/>
      <c r="AL1354" s="54"/>
      <c r="AM1354" s="54"/>
      <c r="AN1354" s="54"/>
      <c r="AO1354" s="54"/>
      <c r="AP1354" s="54"/>
      <c r="AQ1354" s="54"/>
      <c r="AR1354" s="54"/>
      <c r="AS1354" s="54"/>
      <c r="AT1354" s="54"/>
      <c r="AU1354" s="54"/>
      <c r="AV1354" s="54"/>
      <c r="AW1354" s="54"/>
      <c r="AX1354" s="54"/>
      <c r="AY1354" s="54"/>
      <c r="AZ1354" s="54"/>
      <c r="BA1354" s="54"/>
      <c r="BB1354" s="54"/>
      <c r="BC1354" s="56"/>
      <c r="BD1354" s="51"/>
      <c r="BE1354" s="54"/>
      <c r="BF1354" s="54"/>
      <c r="BG1354" s="47"/>
      <c r="BH1354" s="48"/>
      <c r="BI1354" s="48"/>
      <c r="BJ1354" s="48"/>
      <c r="BK1354" s="48"/>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52"/>
      <c r="CG1354" s="52"/>
      <c r="CH1354" s="48"/>
      <c r="CI1354" s="48"/>
      <c r="CJ1354" s="48"/>
      <c r="CK1354" s="48"/>
    </row>
    <row r="1355" spans="1:89" ht="15.75" customHeight="1" x14ac:dyDescent="0.3">
      <c r="A1355" s="47"/>
      <c r="B1355" s="48"/>
      <c r="C1355" s="47"/>
      <c r="D1355" s="48"/>
      <c r="E1355" s="48"/>
      <c r="F1355" s="48"/>
      <c r="G1355" s="48"/>
      <c r="H1355" s="48"/>
      <c r="I1355" s="49"/>
      <c r="J1355" s="47"/>
      <c r="K1355" s="47"/>
      <c r="L1355" s="47"/>
      <c r="M1355" s="47"/>
      <c r="N1355" s="47"/>
      <c r="O1355" s="47"/>
      <c r="P1355" s="47"/>
      <c r="Q1355" s="47"/>
      <c r="R1355" s="47"/>
      <c r="S1355" s="50"/>
      <c r="T1355" s="47"/>
      <c r="U1355" s="47"/>
      <c r="V1355" s="47"/>
      <c r="W1355" s="51"/>
      <c r="X1355" s="51"/>
      <c r="Y1355" s="47"/>
      <c r="Z1355" s="47"/>
      <c r="AA1355" s="47"/>
      <c r="AB1355" s="47"/>
      <c r="AC1355" s="47"/>
      <c r="AD1355" s="47"/>
      <c r="AE1355" s="54"/>
      <c r="AF1355" s="54"/>
      <c r="AG1355" s="55"/>
      <c r="AH1355" s="54"/>
      <c r="AI1355" s="54"/>
      <c r="AJ1355" s="54"/>
      <c r="AK1355" s="54"/>
      <c r="AL1355" s="54"/>
      <c r="AM1355" s="54"/>
      <c r="AN1355" s="54"/>
      <c r="AO1355" s="54"/>
      <c r="AP1355" s="54"/>
      <c r="AQ1355" s="54"/>
      <c r="AR1355" s="54"/>
      <c r="AS1355" s="54"/>
      <c r="AT1355" s="54"/>
      <c r="AU1355" s="54"/>
      <c r="AV1355" s="54"/>
      <c r="AW1355" s="54"/>
      <c r="AX1355" s="54"/>
      <c r="AY1355" s="54"/>
      <c r="AZ1355" s="54"/>
      <c r="BA1355" s="54"/>
      <c r="BB1355" s="54"/>
      <c r="BC1355" s="56"/>
      <c r="BD1355" s="51"/>
      <c r="BE1355" s="54"/>
      <c r="BF1355" s="54"/>
      <c r="BG1355" s="47"/>
      <c r="BH1355" s="48"/>
      <c r="BI1355" s="48"/>
      <c r="BJ1355" s="48"/>
      <c r="BK1355" s="48"/>
      <c r="BL1355" s="48"/>
      <c r="BM1355" s="48"/>
      <c r="BN1355" s="48"/>
      <c r="BO1355" s="48"/>
      <c r="BP1355" s="48"/>
      <c r="BQ1355" s="48"/>
      <c r="BR1355" s="48"/>
      <c r="BS1355" s="48"/>
      <c r="BT1355" s="48"/>
      <c r="BU1355" s="48"/>
      <c r="BV1355" s="48"/>
      <c r="BW1355" s="48"/>
      <c r="BX1355" s="48"/>
      <c r="BY1355" s="48"/>
      <c r="BZ1355" s="48"/>
      <c r="CA1355" s="48"/>
      <c r="CB1355" s="48"/>
      <c r="CC1355" s="48"/>
      <c r="CD1355" s="48"/>
      <c r="CE1355" s="48"/>
      <c r="CF1355" s="52"/>
      <c r="CG1355" s="52"/>
      <c r="CH1355" s="48"/>
      <c r="CI1355" s="48"/>
      <c r="CJ1355" s="48"/>
      <c r="CK1355" s="48"/>
    </row>
    <row r="1356" spans="1:89" ht="15.75" customHeight="1" x14ac:dyDescent="0.3">
      <c r="A1356" s="47"/>
      <c r="B1356" s="48"/>
      <c r="C1356" s="47"/>
      <c r="D1356" s="48"/>
      <c r="E1356" s="48"/>
      <c r="F1356" s="48"/>
      <c r="G1356" s="48"/>
      <c r="H1356" s="48"/>
      <c r="I1356" s="49"/>
      <c r="J1356" s="47"/>
      <c r="K1356" s="47"/>
      <c r="L1356" s="47"/>
      <c r="M1356" s="47"/>
      <c r="N1356" s="47"/>
      <c r="O1356" s="47"/>
      <c r="P1356" s="47"/>
      <c r="Q1356" s="47"/>
      <c r="R1356" s="47"/>
      <c r="S1356" s="50"/>
      <c r="T1356" s="47"/>
      <c r="U1356" s="47"/>
      <c r="V1356" s="47"/>
      <c r="W1356" s="51"/>
      <c r="X1356" s="51"/>
      <c r="Y1356" s="47"/>
      <c r="Z1356" s="47"/>
      <c r="AA1356" s="47"/>
      <c r="AB1356" s="47"/>
      <c r="AC1356" s="47"/>
      <c r="AD1356" s="47"/>
      <c r="AE1356" s="54"/>
      <c r="AF1356" s="54"/>
      <c r="AG1356" s="55"/>
      <c r="AH1356" s="54"/>
      <c r="AI1356" s="54"/>
      <c r="AJ1356" s="54"/>
      <c r="AK1356" s="54"/>
      <c r="AL1356" s="54"/>
      <c r="AM1356" s="54"/>
      <c r="AN1356" s="54"/>
      <c r="AO1356" s="54"/>
      <c r="AP1356" s="54"/>
      <c r="AQ1356" s="54"/>
      <c r="AR1356" s="54"/>
      <c r="AS1356" s="54"/>
      <c r="AT1356" s="54"/>
      <c r="AU1356" s="54"/>
      <c r="AV1356" s="54"/>
      <c r="AW1356" s="54"/>
      <c r="AX1356" s="54"/>
      <c r="AY1356" s="54"/>
      <c r="AZ1356" s="54"/>
      <c r="BA1356" s="54"/>
      <c r="BB1356" s="54"/>
      <c r="BC1356" s="56"/>
      <c r="BD1356" s="51"/>
      <c r="BE1356" s="54"/>
      <c r="BF1356" s="54"/>
      <c r="BG1356" s="47"/>
      <c r="BH1356" s="48"/>
      <c r="BI1356" s="48"/>
      <c r="BJ1356" s="48"/>
      <c r="BK1356" s="48"/>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52"/>
      <c r="CG1356" s="52"/>
      <c r="CH1356" s="48"/>
      <c r="CI1356" s="48"/>
      <c r="CJ1356" s="48"/>
      <c r="CK1356" s="48"/>
    </row>
    <row r="1357" spans="1:89" ht="15.75" customHeight="1" x14ac:dyDescent="0.3">
      <c r="A1357" s="47"/>
      <c r="B1357" s="48"/>
      <c r="C1357" s="47"/>
      <c r="D1357" s="48"/>
      <c r="E1357" s="48"/>
      <c r="F1357" s="48"/>
      <c r="G1357" s="48"/>
      <c r="H1357" s="48"/>
      <c r="I1357" s="49"/>
      <c r="J1357" s="47"/>
      <c r="K1357" s="47"/>
      <c r="L1357" s="47"/>
      <c r="M1357" s="47"/>
      <c r="N1357" s="47"/>
      <c r="O1357" s="47"/>
      <c r="P1357" s="47"/>
      <c r="Q1357" s="47"/>
      <c r="R1357" s="47"/>
      <c r="S1357" s="50"/>
      <c r="T1357" s="47"/>
      <c r="U1357" s="47"/>
      <c r="V1357" s="47"/>
      <c r="W1357" s="51"/>
      <c r="X1357" s="51"/>
      <c r="Y1357" s="47"/>
      <c r="Z1357" s="47"/>
      <c r="AA1357" s="47"/>
      <c r="AB1357" s="47"/>
      <c r="AC1357" s="47"/>
      <c r="AD1357" s="47"/>
      <c r="AE1357" s="54"/>
      <c r="AF1357" s="54"/>
      <c r="AG1357" s="55"/>
      <c r="AH1357" s="54"/>
      <c r="AI1357" s="54"/>
      <c r="AJ1357" s="54"/>
      <c r="AK1357" s="54"/>
      <c r="AL1357" s="54"/>
      <c r="AM1357" s="54"/>
      <c r="AN1357" s="54"/>
      <c r="AO1357" s="54"/>
      <c r="AP1357" s="54"/>
      <c r="AQ1357" s="54"/>
      <c r="AR1357" s="54"/>
      <c r="AS1357" s="54"/>
      <c r="AT1357" s="54"/>
      <c r="AU1357" s="54"/>
      <c r="AV1357" s="54"/>
      <c r="AW1357" s="54"/>
      <c r="AX1357" s="54"/>
      <c r="AY1357" s="54"/>
      <c r="AZ1357" s="54"/>
      <c r="BA1357" s="54"/>
      <c r="BB1357" s="54"/>
      <c r="BC1357" s="56"/>
      <c r="BD1357" s="51"/>
      <c r="BE1357" s="54"/>
      <c r="BF1357" s="54"/>
      <c r="BG1357" s="47"/>
      <c r="BH1357" s="48"/>
      <c r="BI1357" s="48"/>
      <c r="BJ1357" s="48"/>
      <c r="BK1357" s="48"/>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52"/>
      <c r="CG1357" s="52"/>
      <c r="CH1357" s="48"/>
      <c r="CI1357" s="48"/>
      <c r="CJ1357" s="48"/>
      <c r="CK1357" s="48"/>
    </row>
    <row r="1358" spans="1:89" ht="15.75" customHeight="1" x14ac:dyDescent="0.3">
      <c r="A1358" s="47"/>
      <c r="B1358" s="48"/>
      <c r="C1358" s="47"/>
      <c r="D1358" s="48"/>
      <c r="E1358" s="48"/>
      <c r="F1358" s="48"/>
      <c r="G1358" s="48"/>
      <c r="H1358" s="48"/>
      <c r="I1358" s="49"/>
      <c r="J1358" s="47"/>
      <c r="K1358" s="47"/>
      <c r="L1358" s="47"/>
      <c r="M1358" s="47"/>
      <c r="N1358" s="47"/>
      <c r="O1358" s="47"/>
      <c r="P1358" s="47"/>
      <c r="Q1358" s="47"/>
      <c r="R1358" s="47"/>
      <c r="S1358" s="50"/>
      <c r="T1358" s="47"/>
      <c r="U1358" s="47"/>
      <c r="V1358" s="47"/>
      <c r="W1358" s="51"/>
      <c r="X1358" s="51"/>
      <c r="Y1358" s="47"/>
      <c r="Z1358" s="47"/>
      <c r="AA1358" s="47"/>
      <c r="AB1358" s="47"/>
      <c r="AC1358" s="47"/>
      <c r="AD1358" s="47"/>
      <c r="AE1358" s="54"/>
      <c r="AF1358" s="54"/>
      <c r="AG1358" s="55"/>
      <c r="AH1358" s="54"/>
      <c r="AI1358" s="54"/>
      <c r="AJ1358" s="54"/>
      <c r="AK1358" s="54"/>
      <c r="AL1358" s="54"/>
      <c r="AM1358" s="54"/>
      <c r="AN1358" s="54"/>
      <c r="AO1358" s="54"/>
      <c r="AP1358" s="54"/>
      <c r="AQ1358" s="54"/>
      <c r="AR1358" s="54"/>
      <c r="AS1358" s="54"/>
      <c r="AT1358" s="54"/>
      <c r="AU1358" s="54"/>
      <c r="AV1358" s="54"/>
      <c r="AW1358" s="54"/>
      <c r="AX1358" s="54"/>
      <c r="AY1358" s="54"/>
      <c r="AZ1358" s="54"/>
      <c r="BA1358" s="54"/>
      <c r="BB1358" s="54"/>
      <c r="BC1358" s="56"/>
      <c r="BD1358" s="51"/>
      <c r="BE1358" s="54"/>
      <c r="BF1358" s="54"/>
      <c r="BG1358" s="47"/>
      <c r="BH1358" s="48"/>
      <c r="BI1358" s="48"/>
      <c r="BJ1358" s="48"/>
      <c r="BK1358" s="48"/>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52"/>
      <c r="CG1358" s="52"/>
      <c r="CH1358" s="48"/>
      <c r="CI1358" s="48"/>
      <c r="CJ1358" s="48"/>
      <c r="CK1358" s="48"/>
    </row>
    <row r="1359" spans="1:89" ht="15.75" customHeight="1" x14ac:dyDescent="0.3">
      <c r="A1359" s="47"/>
      <c r="B1359" s="48"/>
      <c r="C1359" s="47"/>
      <c r="D1359" s="48"/>
      <c r="E1359" s="48"/>
      <c r="F1359" s="48"/>
      <c r="G1359" s="48"/>
      <c r="H1359" s="48"/>
      <c r="I1359" s="49"/>
      <c r="J1359" s="47"/>
      <c r="K1359" s="47"/>
      <c r="L1359" s="47"/>
      <c r="M1359" s="47"/>
      <c r="N1359" s="47"/>
      <c r="O1359" s="47"/>
      <c r="P1359" s="47"/>
      <c r="Q1359" s="47"/>
      <c r="R1359" s="47"/>
      <c r="S1359" s="50"/>
      <c r="T1359" s="47"/>
      <c r="U1359" s="47"/>
      <c r="V1359" s="47"/>
      <c r="W1359" s="51"/>
      <c r="X1359" s="51"/>
      <c r="Y1359" s="47"/>
      <c r="Z1359" s="47"/>
      <c r="AA1359" s="47"/>
      <c r="AB1359" s="47"/>
      <c r="AC1359" s="47"/>
      <c r="AD1359" s="47"/>
      <c r="AE1359" s="54"/>
      <c r="AF1359" s="54"/>
      <c r="AG1359" s="55"/>
      <c r="AH1359" s="54"/>
      <c r="AI1359" s="54"/>
      <c r="AJ1359" s="54"/>
      <c r="AK1359" s="54"/>
      <c r="AL1359" s="54"/>
      <c r="AM1359" s="54"/>
      <c r="AN1359" s="54"/>
      <c r="AO1359" s="54"/>
      <c r="AP1359" s="54"/>
      <c r="AQ1359" s="54"/>
      <c r="AR1359" s="54"/>
      <c r="AS1359" s="54"/>
      <c r="AT1359" s="54"/>
      <c r="AU1359" s="54"/>
      <c r="AV1359" s="54"/>
      <c r="AW1359" s="54"/>
      <c r="AX1359" s="54"/>
      <c r="AY1359" s="54"/>
      <c r="AZ1359" s="54"/>
      <c r="BA1359" s="54"/>
      <c r="BB1359" s="54"/>
      <c r="BC1359" s="56"/>
      <c r="BD1359" s="51"/>
      <c r="BE1359" s="54"/>
      <c r="BF1359" s="54"/>
      <c r="BG1359" s="47"/>
      <c r="BH1359" s="48"/>
      <c r="BI1359" s="48"/>
      <c r="BJ1359" s="48"/>
      <c r="BK1359" s="48"/>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52"/>
      <c r="CG1359" s="52"/>
      <c r="CH1359" s="48"/>
      <c r="CI1359" s="48"/>
      <c r="CJ1359" s="48"/>
      <c r="CK1359" s="48"/>
    </row>
    <row r="1360" spans="1:89" ht="15.75" customHeight="1" x14ac:dyDescent="0.3">
      <c r="A1360" s="47"/>
      <c r="B1360" s="48"/>
      <c r="C1360" s="47"/>
      <c r="D1360" s="48"/>
      <c r="E1360" s="48"/>
      <c r="F1360" s="48"/>
      <c r="G1360" s="48"/>
      <c r="H1360" s="48"/>
      <c r="I1360" s="49"/>
      <c r="J1360" s="47"/>
      <c r="K1360" s="47"/>
      <c r="L1360" s="47"/>
      <c r="M1360" s="47"/>
      <c r="N1360" s="47"/>
      <c r="O1360" s="47"/>
      <c r="P1360" s="47"/>
      <c r="Q1360" s="47"/>
      <c r="R1360" s="47"/>
      <c r="S1360" s="50"/>
      <c r="T1360" s="47"/>
      <c r="U1360" s="47"/>
      <c r="V1360" s="47"/>
      <c r="W1360" s="51"/>
      <c r="X1360" s="51"/>
      <c r="Y1360" s="47"/>
      <c r="Z1360" s="47"/>
      <c r="AA1360" s="47"/>
      <c r="AB1360" s="47"/>
      <c r="AC1360" s="47"/>
      <c r="AD1360" s="47"/>
      <c r="AE1360" s="54"/>
      <c r="AF1360" s="54"/>
      <c r="AG1360" s="55"/>
      <c r="AH1360" s="54"/>
      <c r="AI1360" s="54"/>
      <c r="AJ1360" s="54"/>
      <c r="AK1360" s="54"/>
      <c r="AL1360" s="54"/>
      <c r="AM1360" s="54"/>
      <c r="AN1360" s="54"/>
      <c r="AO1360" s="54"/>
      <c r="AP1360" s="54"/>
      <c r="AQ1360" s="54"/>
      <c r="AR1360" s="54"/>
      <c r="AS1360" s="54"/>
      <c r="AT1360" s="54"/>
      <c r="AU1360" s="54"/>
      <c r="AV1360" s="54"/>
      <c r="AW1360" s="54"/>
      <c r="AX1360" s="54"/>
      <c r="AY1360" s="54"/>
      <c r="AZ1360" s="54"/>
      <c r="BA1360" s="54"/>
      <c r="BB1360" s="54"/>
      <c r="BC1360" s="56"/>
      <c r="BD1360" s="51"/>
      <c r="BE1360" s="54"/>
      <c r="BF1360" s="54"/>
      <c r="BG1360" s="47"/>
      <c r="BH1360" s="48"/>
      <c r="BI1360" s="48"/>
      <c r="BJ1360" s="48"/>
      <c r="BK1360" s="48"/>
      <c r="BL1360" s="48"/>
      <c r="BM1360" s="48"/>
      <c r="BN1360" s="48"/>
      <c r="BO1360" s="48"/>
      <c r="BP1360" s="48"/>
      <c r="BQ1360" s="48"/>
      <c r="BR1360" s="48"/>
      <c r="BS1360" s="48"/>
      <c r="BT1360" s="48"/>
      <c r="BU1360" s="48"/>
      <c r="BV1360" s="48"/>
      <c r="BW1360" s="48"/>
      <c r="BX1360" s="48"/>
      <c r="BY1360" s="48"/>
      <c r="BZ1360" s="48"/>
      <c r="CA1360" s="48"/>
      <c r="CB1360" s="48"/>
      <c r="CC1360" s="48"/>
      <c r="CD1360" s="48"/>
      <c r="CE1360" s="48"/>
      <c r="CF1360" s="52"/>
      <c r="CG1360" s="52"/>
      <c r="CH1360" s="48"/>
      <c r="CI1360" s="48"/>
      <c r="CJ1360" s="48"/>
      <c r="CK1360" s="48"/>
    </row>
    <row r="1361" spans="1:89" ht="15.75" customHeight="1" x14ac:dyDescent="0.3">
      <c r="A1361" s="47"/>
      <c r="B1361" s="48"/>
      <c r="C1361" s="47"/>
      <c r="D1361" s="48"/>
      <c r="E1361" s="48"/>
      <c r="F1361" s="48"/>
      <c r="G1361" s="48"/>
      <c r="H1361" s="48"/>
      <c r="I1361" s="49"/>
      <c r="J1361" s="47"/>
      <c r="K1361" s="47"/>
      <c r="L1361" s="47"/>
      <c r="M1361" s="47"/>
      <c r="N1361" s="47"/>
      <c r="O1361" s="47"/>
      <c r="P1361" s="47"/>
      <c r="Q1361" s="47"/>
      <c r="R1361" s="47"/>
      <c r="S1361" s="50"/>
      <c r="T1361" s="47"/>
      <c r="U1361" s="47"/>
      <c r="V1361" s="47"/>
      <c r="W1361" s="51"/>
      <c r="X1361" s="51"/>
      <c r="Y1361" s="47"/>
      <c r="Z1361" s="47"/>
      <c r="AA1361" s="47"/>
      <c r="AB1361" s="47"/>
      <c r="AC1361" s="47"/>
      <c r="AD1361" s="47"/>
      <c r="AE1361" s="54"/>
      <c r="AF1361" s="54"/>
      <c r="AG1361" s="55"/>
      <c r="AH1361" s="54"/>
      <c r="AI1361" s="54"/>
      <c r="AJ1361" s="54"/>
      <c r="AK1361" s="54"/>
      <c r="AL1361" s="54"/>
      <c r="AM1361" s="54"/>
      <c r="AN1361" s="54"/>
      <c r="AO1361" s="54"/>
      <c r="AP1361" s="54"/>
      <c r="AQ1361" s="54"/>
      <c r="AR1361" s="54"/>
      <c r="AS1361" s="54"/>
      <c r="AT1361" s="54"/>
      <c r="AU1361" s="54"/>
      <c r="AV1361" s="54"/>
      <c r="AW1361" s="54"/>
      <c r="AX1361" s="54"/>
      <c r="AY1361" s="54"/>
      <c r="AZ1361" s="54"/>
      <c r="BA1361" s="54"/>
      <c r="BB1361" s="54"/>
      <c r="BC1361" s="56"/>
      <c r="BD1361" s="51"/>
      <c r="BE1361" s="54"/>
      <c r="BF1361" s="54"/>
      <c r="BG1361" s="47"/>
      <c r="BH1361" s="48"/>
      <c r="BI1361" s="48"/>
      <c r="BJ1361" s="48"/>
      <c r="BK1361" s="48"/>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52"/>
      <c r="CG1361" s="52"/>
      <c r="CH1361" s="48"/>
      <c r="CI1361" s="48"/>
      <c r="CJ1361" s="48"/>
      <c r="CK1361" s="48"/>
    </row>
    <row r="1362" spans="1:89" ht="15.75" customHeight="1" x14ac:dyDescent="0.3">
      <c r="A1362" s="47"/>
      <c r="B1362" s="48"/>
      <c r="C1362" s="47"/>
      <c r="D1362" s="48"/>
      <c r="E1362" s="48"/>
      <c r="F1362" s="48"/>
      <c r="G1362" s="48"/>
      <c r="H1362" s="48"/>
      <c r="I1362" s="49"/>
      <c r="J1362" s="47"/>
      <c r="K1362" s="47"/>
      <c r="L1362" s="47"/>
      <c r="M1362" s="47"/>
      <c r="N1362" s="47"/>
      <c r="O1362" s="47"/>
      <c r="P1362" s="47"/>
      <c r="Q1362" s="47"/>
      <c r="R1362" s="47"/>
      <c r="S1362" s="50"/>
      <c r="T1362" s="47"/>
      <c r="U1362" s="47"/>
      <c r="V1362" s="47"/>
      <c r="W1362" s="51"/>
      <c r="X1362" s="51"/>
      <c r="Y1362" s="47"/>
      <c r="Z1362" s="47"/>
      <c r="AA1362" s="47"/>
      <c r="AB1362" s="47"/>
      <c r="AC1362" s="47"/>
      <c r="AD1362" s="47"/>
      <c r="AE1362" s="54"/>
      <c r="AF1362" s="54"/>
      <c r="AG1362" s="55"/>
      <c r="AH1362" s="54"/>
      <c r="AI1362" s="54"/>
      <c r="AJ1362" s="54"/>
      <c r="AK1362" s="54"/>
      <c r="AL1362" s="54"/>
      <c r="AM1362" s="54"/>
      <c r="AN1362" s="54"/>
      <c r="AO1362" s="54"/>
      <c r="AP1362" s="54"/>
      <c r="AQ1362" s="54"/>
      <c r="AR1362" s="54"/>
      <c r="AS1362" s="54"/>
      <c r="AT1362" s="54"/>
      <c r="AU1362" s="54"/>
      <c r="AV1362" s="54"/>
      <c r="AW1362" s="54"/>
      <c r="AX1362" s="54"/>
      <c r="AY1362" s="54"/>
      <c r="AZ1362" s="54"/>
      <c r="BA1362" s="54"/>
      <c r="BB1362" s="54"/>
      <c r="BC1362" s="56"/>
      <c r="BD1362" s="51"/>
      <c r="BE1362" s="54"/>
      <c r="BF1362" s="54"/>
      <c r="BG1362" s="47"/>
      <c r="BH1362" s="48"/>
      <c r="BI1362" s="48"/>
      <c r="BJ1362" s="48"/>
      <c r="BK1362" s="48"/>
      <c r="BL1362" s="48"/>
      <c r="BM1362" s="48"/>
      <c r="BN1362" s="48"/>
      <c r="BO1362" s="48"/>
      <c r="BP1362" s="48"/>
      <c r="BQ1362" s="48"/>
      <c r="BR1362" s="48"/>
      <c r="BS1362" s="48"/>
      <c r="BT1362" s="48"/>
      <c r="BU1362" s="48"/>
      <c r="BV1362" s="48"/>
      <c r="BW1362" s="48"/>
      <c r="BX1362" s="48"/>
      <c r="BY1362" s="48"/>
      <c r="BZ1362" s="48"/>
      <c r="CA1362" s="48"/>
      <c r="CB1362" s="48"/>
      <c r="CC1362" s="48"/>
      <c r="CD1362" s="48"/>
      <c r="CE1362" s="48"/>
      <c r="CF1362" s="52"/>
      <c r="CG1362" s="52"/>
      <c r="CH1362" s="48"/>
      <c r="CI1362" s="48"/>
      <c r="CJ1362" s="48"/>
      <c r="CK1362" s="48"/>
    </row>
    <row r="1363" spans="1:89" ht="15.75" customHeight="1" x14ac:dyDescent="0.3">
      <c r="A1363" s="47"/>
      <c r="B1363" s="48"/>
      <c r="C1363" s="47"/>
      <c r="D1363" s="48"/>
      <c r="E1363" s="48"/>
      <c r="F1363" s="48"/>
      <c r="G1363" s="48"/>
      <c r="H1363" s="48"/>
      <c r="I1363" s="49"/>
      <c r="J1363" s="47"/>
      <c r="K1363" s="47"/>
      <c r="L1363" s="47"/>
      <c r="M1363" s="47"/>
      <c r="N1363" s="47"/>
      <c r="O1363" s="47"/>
      <c r="P1363" s="47"/>
      <c r="Q1363" s="47"/>
      <c r="R1363" s="47"/>
      <c r="S1363" s="50"/>
      <c r="T1363" s="47"/>
      <c r="U1363" s="47"/>
      <c r="V1363" s="47"/>
      <c r="W1363" s="51"/>
      <c r="X1363" s="51"/>
      <c r="Y1363" s="47"/>
      <c r="Z1363" s="47"/>
      <c r="AA1363" s="47"/>
      <c r="AB1363" s="47"/>
      <c r="AC1363" s="47"/>
      <c r="AD1363" s="47"/>
      <c r="AE1363" s="54"/>
      <c r="AF1363" s="54"/>
      <c r="AG1363" s="55"/>
      <c r="AH1363" s="54"/>
      <c r="AI1363" s="54"/>
      <c r="AJ1363" s="54"/>
      <c r="AK1363" s="54"/>
      <c r="AL1363" s="54"/>
      <c r="AM1363" s="54"/>
      <c r="AN1363" s="54"/>
      <c r="AO1363" s="54"/>
      <c r="AP1363" s="54"/>
      <c r="AQ1363" s="54"/>
      <c r="AR1363" s="54"/>
      <c r="AS1363" s="54"/>
      <c r="AT1363" s="54"/>
      <c r="AU1363" s="54"/>
      <c r="AV1363" s="54"/>
      <c r="AW1363" s="54"/>
      <c r="AX1363" s="54"/>
      <c r="AY1363" s="54"/>
      <c r="AZ1363" s="54"/>
      <c r="BA1363" s="54"/>
      <c r="BB1363" s="54"/>
      <c r="BC1363" s="56"/>
      <c r="BD1363" s="51"/>
      <c r="BE1363" s="54"/>
      <c r="BF1363" s="54"/>
      <c r="BG1363" s="47"/>
      <c r="BH1363" s="48"/>
      <c r="BI1363" s="48"/>
      <c r="BJ1363" s="48"/>
      <c r="BK1363" s="48"/>
      <c r="BL1363" s="48"/>
      <c r="BM1363" s="48"/>
      <c r="BN1363" s="48"/>
      <c r="BO1363" s="48"/>
      <c r="BP1363" s="48"/>
      <c r="BQ1363" s="48"/>
      <c r="BR1363" s="48"/>
      <c r="BS1363" s="48"/>
      <c r="BT1363" s="48"/>
      <c r="BU1363" s="48"/>
      <c r="BV1363" s="48"/>
      <c r="BW1363" s="48"/>
      <c r="BX1363" s="48"/>
      <c r="BY1363" s="48"/>
      <c r="BZ1363" s="48"/>
      <c r="CA1363" s="48"/>
      <c r="CB1363" s="48"/>
      <c r="CC1363" s="48"/>
      <c r="CD1363" s="48"/>
      <c r="CE1363" s="48"/>
      <c r="CF1363" s="52"/>
      <c r="CG1363" s="52"/>
      <c r="CH1363" s="48"/>
      <c r="CI1363" s="48"/>
      <c r="CJ1363" s="48"/>
      <c r="CK1363" s="48"/>
    </row>
    <row r="1364" spans="1:89" ht="15.75" customHeight="1" x14ac:dyDescent="0.3">
      <c r="A1364" s="47"/>
      <c r="B1364" s="48"/>
      <c r="C1364" s="47"/>
      <c r="D1364" s="48"/>
      <c r="E1364" s="48"/>
      <c r="F1364" s="48"/>
      <c r="G1364" s="48"/>
      <c r="H1364" s="48"/>
      <c r="I1364" s="49"/>
      <c r="J1364" s="47"/>
      <c r="K1364" s="47"/>
      <c r="L1364" s="47"/>
      <c r="M1364" s="47"/>
      <c r="N1364" s="47"/>
      <c r="O1364" s="47"/>
      <c r="P1364" s="47"/>
      <c r="Q1364" s="47"/>
      <c r="R1364" s="47"/>
      <c r="S1364" s="50"/>
      <c r="T1364" s="47"/>
      <c r="U1364" s="47"/>
      <c r="V1364" s="47"/>
      <c r="W1364" s="51"/>
      <c r="X1364" s="51"/>
      <c r="Y1364" s="47"/>
      <c r="Z1364" s="47"/>
      <c r="AA1364" s="47"/>
      <c r="AB1364" s="47"/>
      <c r="AC1364" s="47"/>
      <c r="AD1364" s="47"/>
      <c r="AE1364" s="54"/>
      <c r="AF1364" s="54"/>
      <c r="AG1364" s="55"/>
      <c r="AH1364" s="54"/>
      <c r="AI1364" s="54"/>
      <c r="AJ1364" s="54"/>
      <c r="AK1364" s="54"/>
      <c r="AL1364" s="54"/>
      <c r="AM1364" s="54"/>
      <c r="AN1364" s="54"/>
      <c r="AO1364" s="54"/>
      <c r="AP1364" s="54"/>
      <c r="AQ1364" s="54"/>
      <c r="AR1364" s="54"/>
      <c r="AS1364" s="54"/>
      <c r="AT1364" s="54"/>
      <c r="AU1364" s="54"/>
      <c r="AV1364" s="54"/>
      <c r="AW1364" s="54"/>
      <c r="AX1364" s="54"/>
      <c r="AY1364" s="54"/>
      <c r="AZ1364" s="54"/>
      <c r="BA1364" s="54"/>
      <c r="BB1364" s="54"/>
      <c r="BC1364" s="56"/>
      <c r="BD1364" s="51"/>
      <c r="BE1364" s="54"/>
      <c r="BF1364" s="54"/>
      <c r="BG1364" s="47"/>
      <c r="BH1364" s="48"/>
      <c r="BI1364" s="48"/>
      <c r="BJ1364" s="48"/>
      <c r="BK1364" s="48"/>
      <c r="BL1364" s="48"/>
      <c r="BM1364" s="48"/>
      <c r="BN1364" s="48"/>
      <c r="BO1364" s="48"/>
      <c r="BP1364" s="48"/>
      <c r="BQ1364" s="48"/>
      <c r="BR1364" s="48"/>
      <c r="BS1364" s="48"/>
      <c r="BT1364" s="48"/>
      <c r="BU1364" s="48"/>
      <c r="BV1364" s="48"/>
      <c r="BW1364" s="48"/>
      <c r="BX1364" s="48"/>
      <c r="BY1364" s="48"/>
      <c r="BZ1364" s="48"/>
      <c r="CA1364" s="48"/>
      <c r="CB1364" s="48"/>
      <c r="CC1364" s="48"/>
      <c r="CD1364" s="48"/>
      <c r="CE1364" s="48"/>
      <c r="CF1364" s="52"/>
      <c r="CG1364" s="52"/>
      <c r="CH1364" s="48"/>
      <c r="CI1364" s="48"/>
      <c r="CJ1364" s="48"/>
      <c r="CK1364" s="48"/>
    </row>
    <row r="1365" spans="1:89" ht="15.75" customHeight="1" x14ac:dyDescent="0.3">
      <c r="A1365" s="47"/>
      <c r="B1365" s="48"/>
      <c r="C1365" s="47"/>
      <c r="D1365" s="48"/>
      <c r="E1365" s="48"/>
      <c r="F1365" s="48"/>
      <c r="G1365" s="48"/>
      <c r="H1365" s="48"/>
      <c r="I1365" s="49"/>
      <c r="J1365" s="47"/>
      <c r="K1365" s="47"/>
      <c r="L1365" s="47"/>
      <c r="M1365" s="47"/>
      <c r="N1365" s="47"/>
      <c r="O1365" s="47"/>
      <c r="P1365" s="47"/>
      <c r="Q1365" s="47"/>
      <c r="R1365" s="47"/>
      <c r="S1365" s="50"/>
      <c r="T1365" s="47"/>
      <c r="U1365" s="47"/>
      <c r="V1365" s="47"/>
      <c r="W1365" s="51"/>
      <c r="X1365" s="51"/>
      <c r="Y1365" s="47"/>
      <c r="Z1365" s="47"/>
      <c r="AA1365" s="47"/>
      <c r="AB1365" s="47"/>
      <c r="AC1365" s="47"/>
      <c r="AD1365" s="47"/>
      <c r="AE1365" s="54"/>
      <c r="AF1365" s="54"/>
      <c r="AG1365" s="55"/>
      <c r="AH1365" s="54"/>
      <c r="AI1365" s="54"/>
      <c r="AJ1365" s="54"/>
      <c r="AK1365" s="54"/>
      <c r="AL1365" s="54"/>
      <c r="AM1365" s="54"/>
      <c r="AN1365" s="54"/>
      <c r="AO1365" s="54"/>
      <c r="AP1365" s="54"/>
      <c r="AQ1365" s="54"/>
      <c r="AR1365" s="54"/>
      <c r="AS1365" s="54"/>
      <c r="AT1365" s="54"/>
      <c r="AU1365" s="54"/>
      <c r="AV1365" s="54"/>
      <c r="AW1365" s="54"/>
      <c r="AX1365" s="54"/>
      <c r="AY1365" s="54"/>
      <c r="AZ1365" s="54"/>
      <c r="BA1365" s="54"/>
      <c r="BB1365" s="54"/>
      <c r="BC1365" s="56"/>
      <c r="BD1365" s="51"/>
      <c r="BE1365" s="54"/>
      <c r="BF1365" s="54"/>
      <c r="BG1365" s="47"/>
      <c r="BH1365" s="48"/>
      <c r="BI1365" s="48"/>
      <c r="BJ1365" s="48"/>
      <c r="BK1365" s="48"/>
      <c r="BL1365" s="48"/>
      <c r="BM1365" s="48"/>
      <c r="BN1365" s="48"/>
      <c r="BO1365" s="48"/>
      <c r="BP1365" s="48"/>
      <c r="BQ1365" s="48"/>
      <c r="BR1365" s="48"/>
      <c r="BS1365" s="48"/>
      <c r="BT1365" s="48"/>
      <c r="BU1365" s="48"/>
      <c r="BV1365" s="48"/>
      <c r="BW1365" s="48"/>
      <c r="BX1365" s="48"/>
      <c r="BY1365" s="48"/>
      <c r="BZ1365" s="48"/>
      <c r="CA1365" s="48"/>
      <c r="CB1365" s="48"/>
      <c r="CC1365" s="48"/>
      <c r="CD1365" s="48"/>
      <c r="CE1365" s="48"/>
      <c r="CF1365" s="52"/>
      <c r="CG1365" s="52"/>
      <c r="CH1365" s="48"/>
      <c r="CI1365" s="48"/>
      <c r="CJ1365" s="48"/>
      <c r="CK1365" s="48"/>
    </row>
    <row r="1366" spans="1:89" ht="15.75" customHeight="1" x14ac:dyDescent="0.3">
      <c r="A1366" s="47"/>
      <c r="B1366" s="48"/>
      <c r="C1366" s="47"/>
      <c r="D1366" s="48"/>
      <c r="E1366" s="48"/>
      <c r="F1366" s="48"/>
      <c r="G1366" s="48"/>
      <c r="H1366" s="48"/>
      <c r="I1366" s="49"/>
      <c r="J1366" s="47"/>
      <c r="K1366" s="47"/>
      <c r="L1366" s="47"/>
      <c r="M1366" s="47"/>
      <c r="N1366" s="47"/>
      <c r="O1366" s="47"/>
      <c r="P1366" s="47"/>
      <c r="Q1366" s="47"/>
      <c r="R1366" s="47"/>
      <c r="S1366" s="50"/>
      <c r="T1366" s="47"/>
      <c r="U1366" s="47"/>
      <c r="V1366" s="47"/>
      <c r="W1366" s="51"/>
      <c r="X1366" s="51"/>
      <c r="Y1366" s="47"/>
      <c r="Z1366" s="47"/>
      <c r="AA1366" s="47"/>
      <c r="AB1366" s="47"/>
      <c r="AC1366" s="47"/>
      <c r="AD1366" s="47"/>
      <c r="AE1366" s="54"/>
      <c r="AF1366" s="54"/>
      <c r="AG1366" s="55"/>
      <c r="AH1366" s="54"/>
      <c r="AI1366" s="54"/>
      <c r="AJ1366" s="54"/>
      <c r="AK1366" s="54"/>
      <c r="AL1366" s="54"/>
      <c r="AM1366" s="54"/>
      <c r="AN1366" s="54"/>
      <c r="AO1366" s="54"/>
      <c r="AP1366" s="54"/>
      <c r="AQ1366" s="54"/>
      <c r="AR1366" s="54"/>
      <c r="AS1366" s="54"/>
      <c r="AT1366" s="54"/>
      <c r="AU1366" s="54"/>
      <c r="AV1366" s="54"/>
      <c r="AW1366" s="54"/>
      <c r="AX1366" s="54"/>
      <c r="AY1366" s="54"/>
      <c r="AZ1366" s="54"/>
      <c r="BA1366" s="54"/>
      <c r="BB1366" s="54"/>
      <c r="BC1366" s="56"/>
      <c r="BD1366" s="51"/>
      <c r="BE1366" s="54"/>
      <c r="BF1366" s="54"/>
      <c r="BG1366" s="47"/>
      <c r="BH1366" s="48"/>
      <c r="BI1366" s="48"/>
      <c r="BJ1366" s="48"/>
      <c r="BK1366" s="48"/>
      <c r="BL1366" s="48"/>
      <c r="BM1366" s="48"/>
      <c r="BN1366" s="48"/>
      <c r="BO1366" s="48"/>
      <c r="BP1366" s="48"/>
      <c r="BQ1366" s="48"/>
      <c r="BR1366" s="48"/>
      <c r="BS1366" s="48"/>
      <c r="BT1366" s="48"/>
      <c r="BU1366" s="48"/>
      <c r="BV1366" s="48"/>
      <c r="BW1366" s="48"/>
      <c r="BX1366" s="48"/>
      <c r="BY1366" s="48"/>
      <c r="BZ1366" s="48"/>
      <c r="CA1366" s="48"/>
      <c r="CB1366" s="48"/>
      <c r="CC1366" s="48"/>
      <c r="CD1366" s="48"/>
      <c r="CE1366" s="48"/>
      <c r="CF1366" s="52"/>
      <c r="CG1366" s="52"/>
      <c r="CH1366" s="48"/>
      <c r="CI1366" s="48"/>
      <c r="CJ1366" s="48"/>
      <c r="CK1366" s="48"/>
    </row>
    <row r="1367" spans="1:89" ht="15.75" customHeight="1" x14ac:dyDescent="0.3">
      <c r="A1367" s="47"/>
      <c r="B1367" s="48"/>
      <c r="C1367" s="47"/>
      <c r="D1367" s="48"/>
      <c r="E1367" s="48"/>
      <c r="F1367" s="48"/>
      <c r="G1367" s="48"/>
      <c r="H1367" s="48"/>
      <c r="I1367" s="49"/>
      <c r="J1367" s="47"/>
      <c r="K1367" s="47"/>
      <c r="L1367" s="47"/>
      <c r="M1367" s="47"/>
      <c r="N1367" s="47"/>
      <c r="O1367" s="47"/>
      <c r="P1367" s="47"/>
      <c r="Q1367" s="47"/>
      <c r="R1367" s="47"/>
      <c r="S1367" s="50"/>
      <c r="T1367" s="47"/>
      <c r="U1367" s="47"/>
      <c r="V1367" s="47"/>
      <c r="W1367" s="51"/>
      <c r="X1367" s="51"/>
      <c r="Y1367" s="47"/>
      <c r="Z1367" s="47"/>
      <c r="AA1367" s="47"/>
      <c r="AB1367" s="47"/>
      <c r="AC1367" s="47"/>
      <c r="AD1367" s="47"/>
      <c r="AE1367" s="54"/>
      <c r="AF1367" s="54"/>
      <c r="AG1367" s="55"/>
      <c r="AH1367" s="54"/>
      <c r="AI1367" s="54"/>
      <c r="AJ1367" s="54"/>
      <c r="AK1367" s="54"/>
      <c r="AL1367" s="54"/>
      <c r="AM1367" s="54"/>
      <c r="AN1367" s="54"/>
      <c r="AO1367" s="54"/>
      <c r="AP1367" s="54"/>
      <c r="AQ1367" s="54"/>
      <c r="AR1367" s="54"/>
      <c r="AS1367" s="54"/>
      <c r="AT1367" s="54"/>
      <c r="AU1367" s="54"/>
      <c r="AV1367" s="54"/>
      <c r="AW1367" s="54"/>
      <c r="AX1367" s="54"/>
      <c r="AY1367" s="54"/>
      <c r="AZ1367" s="54"/>
      <c r="BA1367" s="54"/>
      <c r="BB1367" s="54"/>
      <c r="BC1367" s="56"/>
      <c r="BD1367" s="51"/>
      <c r="BE1367" s="54"/>
      <c r="BF1367" s="54"/>
      <c r="BG1367" s="47"/>
      <c r="BH1367" s="48"/>
      <c r="BI1367" s="48"/>
      <c r="BJ1367" s="48"/>
      <c r="BK1367" s="48"/>
      <c r="BL1367" s="48"/>
      <c r="BM1367" s="48"/>
      <c r="BN1367" s="48"/>
      <c r="BO1367" s="48"/>
      <c r="BP1367" s="48"/>
      <c r="BQ1367" s="48"/>
      <c r="BR1367" s="48"/>
      <c r="BS1367" s="48"/>
      <c r="BT1367" s="48"/>
      <c r="BU1367" s="48"/>
      <c r="BV1367" s="48"/>
      <c r="BW1367" s="48"/>
      <c r="BX1367" s="48"/>
      <c r="BY1367" s="48"/>
      <c r="BZ1367" s="48"/>
      <c r="CA1367" s="48"/>
      <c r="CB1367" s="48"/>
      <c r="CC1367" s="48"/>
      <c r="CD1367" s="48"/>
      <c r="CE1367" s="48"/>
      <c r="CF1367" s="52"/>
      <c r="CG1367" s="52"/>
      <c r="CH1367" s="48"/>
      <c r="CI1367" s="48"/>
      <c r="CJ1367" s="48"/>
      <c r="CK1367" s="48"/>
    </row>
    <row r="1368" spans="1:89" ht="15.75" customHeight="1" x14ac:dyDescent="0.3">
      <c r="A1368" s="47"/>
      <c r="B1368" s="48"/>
      <c r="C1368" s="47"/>
      <c r="D1368" s="48"/>
      <c r="E1368" s="48"/>
      <c r="F1368" s="48"/>
      <c r="G1368" s="48"/>
      <c r="H1368" s="48"/>
      <c r="I1368" s="49"/>
      <c r="J1368" s="47"/>
      <c r="K1368" s="47"/>
      <c r="L1368" s="47"/>
      <c r="M1368" s="47"/>
      <c r="N1368" s="47"/>
      <c r="O1368" s="47"/>
      <c r="P1368" s="47"/>
      <c r="Q1368" s="47"/>
      <c r="R1368" s="47"/>
      <c r="S1368" s="50"/>
      <c r="T1368" s="47"/>
      <c r="U1368" s="47"/>
      <c r="V1368" s="47"/>
      <c r="W1368" s="51"/>
      <c r="X1368" s="51"/>
      <c r="Y1368" s="47"/>
      <c r="Z1368" s="47"/>
      <c r="AA1368" s="47"/>
      <c r="AB1368" s="47"/>
      <c r="AC1368" s="47"/>
      <c r="AD1368" s="47"/>
      <c r="AE1368" s="54"/>
      <c r="AF1368" s="54"/>
      <c r="AG1368" s="55"/>
      <c r="AH1368" s="54"/>
      <c r="AI1368" s="54"/>
      <c r="AJ1368" s="54"/>
      <c r="AK1368" s="54"/>
      <c r="AL1368" s="54"/>
      <c r="AM1368" s="54"/>
      <c r="AN1368" s="54"/>
      <c r="AO1368" s="54"/>
      <c r="AP1368" s="54"/>
      <c r="AQ1368" s="54"/>
      <c r="AR1368" s="54"/>
      <c r="AS1368" s="54"/>
      <c r="AT1368" s="54"/>
      <c r="AU1368" s="54"/>
      <c r="AV1368" s="54"/>
      <c r="AW1368" s="54"/>
      <c r="AX1368" s="54"/>
      <c r="AY1368" s="54"/>
      <c r="AZ1368" s="54"/>
      <c r="BA1368" s="54"/>
      <c r="BB1368" s="54"/>
      <c r="BC1368" s="56"/>
      <c r="BD1368" s="51"/>
      <c r="BE1368" s="54"/>
      <c r="BF1368" s="54"/>
      <c r="BG1368" s="47"/>
      <c r="BH1368" s="48"/>
      <c r="BI1368" s="48"/>
      <c r="BJ1368" s="48"/>
      <c r="BK1368" s="48"/>
      <c r="BL1368" s="48"/>
      <c r="BM1368" s="48"/>
      <c r="BN1368" s="48"/>
      <c r="BO1368" s="48"/>
      <c r="BP1368" s="48"/>
      <c r="BQ1368" s="48"/>
      <c r="BR1368" s="48"/>
      <c r="BS1368" s="48"/>
      <c r="BT1368" s="48"/>
      <c r="BU1368" s="48"/>
      <c r="BV1368" s="48"/>
      <c r="BW1368" s="48"/>
      <c r="BX1368" s="48"/>
      <c r="BY1368" s="48"/>
      <c r="BZ1368" s="48"/>
      <c r="CA1368" s="48"/>
      <c r="CB1368" s="48"/>
      <c r="CC1368" s="48"/>
      <c r="CD1368" s="48"/>
      <c r="CE1368" s="48"/>
      <c r="CF1368" s="52"/>
      <c r="CG1368" s="52"/>
      <c r="CH1368" s="48"/>
      <c r="CI1368" s="48"/>
      <c r="CJ1368" s="48"/>
      <c r="CK1368" s="48"/>
    </row>
    <row r="1369" spans="1:89" ht="15.75" customHeight="1" x14ac:dyDescent="0.3">
      <c r="A1369" s="47"/>
      <c r="B1369" s="48"/>
      <c r="C1369" s="47"/>
      <c r="D1369" s="48"/>
      <c r="E1369" s="48"/>
      <c r="F1369" s="48"/>
      <c r="G1369" s="48"/>
      <c r="H1369" s="48"/>
      <c r="I1369" s="49"/>
      <c r="J1369" s="47"/>
      <c r="K1369" s="47"/>
      <c r="L1369" s="47"/>
      <c r="M1369" s="47"/>
      <c r="N1369" s="47"/>
      <c r="O1369" s="47"/>
      <c r="P1369" s="47"/>
      <c r="Q1369" s="47"/>
      <c r="R1369" s="47"/>
      <c r="S1369" s="50"/>
      <c r="T1369" s="47"/>
      <c r="U1369" s="47"/>
      <c r="V1369" s="47"/>
      <c r="W1369" s="51"/>
      <c r="X1369" s="51"/>
      <c r="Y1369" s="47"/>
      <c r="Z1369" s="47"/>
      <c r="AA1369" s="47"/>
      <c r="AB1369" s="47"/>
      <c r="AC1369" s="47"/>
      <c r="AD1369" s="47"/>
      <c r="AE1369" s="54"/>
      <c r="AF1369" s="54"/>
      <c r="AG1369" s="55"/>
      <c r="AH1369" s="54"/>
      <c r="AI1369" s="54"/>
      <c r="AJ1369" s="54"/>
      <c r="AK1369" s="54"/>
      <c r="AL1369" s="54"/>
      <c r="AM1369" s="54"/>
      <c r="AN1369" s="54"/>
      <c r="AO1369" s="54"/>
      <c r="AP1369" s="54"/>
      <c r="AQ1369" s="54"/>
      <c r="AR1369" s="54"/>
      <c r="AS1369" s="54"/>
      <c r="AT1369" s="54"/>
      <c r="AU1369" s="54"/>
      <c r="AV1369" s="54"/>
      <c r="AW1369" s="54"/>
      <c r="AX1369" s="54"/>
      <c r="AY1369" s="54"/>
      <c r="AZ1369" s="54"/>
      <c r="BA1369" s="54"/>
      <c r="BB1369" s="54"/>
      <c r="BC1369" s="56"/>
      <c r="BD1369" s="51"/>
      <c r="BE1369" s="54"/>
      <c r="BF1369" s="54"/>
      <c r="BG1369" s="47"/>
      <c r="BH1369" s="48"/>
      <c r="BI1369" s="48"/>
      <c r="BJ1369" s="48"/>
      <c r="BK1369" s="48"/>
      <c r="BL1369" s="48"/>
      <c r="BM1369" s="48"/>
      <c r="BN1369" s="48"/>
      <c r="BO1369" s="48"/>
      <c r="BP1369" s="48"/>
      <c r="BQ1369" s="48"/>
      <c r="BR1369" s="48"/>
      <c r="BS1369" s="48"/>
      <c r="BT1369" s="48"/>
      <c r="BU1369" s="48"/>
      <c r="BV1369" s="48"/>
      <c r="BW1369" s="48"/>
      <c r="BX1369" s="48"/>
      <c r="BY1369" s="48"/>
      <c r="BZ1369" s="48"/>
      <c r="CA1369" s="48"/>
      <c r="CB1369" s="48"/>
      <c r="CC1369" s="48"/>
      <c r="CD1369" s="48"/>
      <c r="CE1369" s="48"/>
      <c r="CF1369" s="52"/>
      <c r="CG1369" s="52"/>
      <c r="CH1369" s="48"/>
      <c r="CI1369" s="48"/>
      <c r="CJ1369" s="48"/>
      <c r="CK1369" s="48"/>
    </row>
    <row r="1370" spans="1:89" ht="15.75" customHeight="1" x14ac:dyDescent="0.3">
      <c r="A1370" s="47"/>
      <c r="B1370" s="48"/>
      <c r="C1370" s="47"/>
      <c r="D1370" s="48"/>
      <c r="E1370" s="48"/>
      <c r="F1370" s="48"/>
      <c r="G1370" s="48"/>
      <c r="H1370" s="48"/>
      <c r="I1370" s="49"/>
      <c r="J1370" s="47"/>
      <c r="K1370" s="47"/>
      <c r="L1370" s="47"/>
      <c r="M1370" s="47"/>
      <c r="N1370" s="47"/>
      <c r="O1370" s="47"/>
      <c r="P1370" s="47"/>
      <c r="Q1370" s="47"/>
      <c r="R1370" s="47"/>
      <c r="S1370" s="50"/>
      <c r="T1370" s="47"/>
      <c r="U1370" s="47"/>
      <c r="V1370" s="47"/>
      <c r="W1370" s="51"/>
      <c r="X1370" s="51"/>
      <c r="Y1370" s="47"/>
      <c r="Z1370" s="47"/>
      <c r="AA1370" s="47"/>
      <c r="AB1370" s="47"/>
      <c r="AC1370" s="47"/>
      <c r="AD1370" s="47"/>
      <c r="AE1370" s="54"/>
      <c r="AF1370" s="54"/>
      <c r="AG1370" s="55"/>
      <c r="AH1370" s="54"/>
      <c r="AI1370" s="54"/>
      <c r="AJ1370" s="54"/>
      <c r="AK1370" s="54"/>
      <c r="AL1370" s="54"/>
      <c r="AM1370" s="54"/>
      <c r="AN1370" s="54"/>
      <c r="AO1370" s="54"/>
      <c r="AP1370" s="54"/>
      <c r="AQ1370" s="54"/>
      <c r="AR1370" s="54"/>
      <c r="AS1370" s="54"/>
      <c r="AT1370" s="54"/>
      <c r="AU1370" s="54"/>
      <c r="AV1370" s="54"/>
      <c r="AW1370" s="54"/>
      <c r="AX1370" s="54"/>
      <c r="AY1370" s="54"/>
      <c r="AZ1370" s="54"/>
      <c r="BA1370" s="54"/>
      <c r="BB1370" s="54"/>
      <c r="BC1370" s="56"/>
      <c r="BD1370" s="51"/>
      <c r="BE1370" s="54"/>
      <c r="BF1370" s="54"/>
      <c r="BG1370" s="47"/>
      <c r="BH1370" s="48"/>
      <c r="BI1370" s="48"/>
      <c r="BJ1370" s="48"/>
      <c r="BK1370" s="48"/>
      <c r="BL1370" s="48"/>
      <c r="BM1370" s="48"/>
      <c r="BN1370" s="48"/>
      <c r="BO1370" s="48"/>
      <c r="BP1370" s="48"/>
      <c r="BQ1370" s="48"/>
      <c r="BR1370" s="48"/>
      <c r="BS1370" s="48"/>
      <c r="BT1370" s="48"/>
      <c r="BU1370" s="48"/>
      <c r="BV1370" s="48"/>
      <c r="BW1370" s="48"/>
      <c r="BX1370" s="48"/>
      <c r="BY1370" s="48"/>
      <c r="BZ1370" s="48"/>
      <c r="CA1370" s="48"/>
      <c r="CB1370" s="48"/>
      <c r="CC1370" s="48"/>
      <c r="CD1370" s="48"/>
      <c r="CE1370" s="48"/>
      <c r="CF1370" s="52"/>
      <c r="CG1370" s="52"/>
      <c r="CH1370" s="48"/>
      <c r="CI1370" s="48"/>
      <c r="CJ1370" s="48"/>
      <c r="CK1370" s="48"/>
    </row>
    <row r="1371" spans="1:89" ht="15.75" customHeight="1" x14ac:dyDescent="0.3">
      <c r="A1371" s="47"/>
      <c r="B1371" s="48"/>
      <c r="C1371" s="47"/>
      <c r="D1371" s="48"/>
      <c r="E1371" s="48"/>
      <c r="F1371" s="48"/>
      <c r="G1371" s="48"/>
      <c r="H1371" s="48"/>
      <c r="I1371" s="49"/>
      <c r="J1371" s="47"/>
      <c r="K1371" s="47"/>
      <c r="L1371" s="47"/>
      <c r="M1371" s="47"/>
      <c r="N1371" s="47"/>
      <c r="O1371" s="47"/>
      <c r="P1371" s="47"/>
      <c r="Q1371" s="47"/>
      <c r="R1371" s="47"/>
      <c r="S1371" s="50"/>
      <c r="T1371" s="47"/>
      <c r="U1371" s="47"/>
      <c r="V1371" s="47"/>
      <c r="W1371" s="51"/>
      <c r="X1371" s="51"/>
      <c r="Y1371" s="47"/>
      <c r="Z1371" s="47"/>
      <c r="AA1371" s="47"/>
      <c r="AB1371" s="47"/>
      <c r="AC1371" s="47"/>
      <c r="AD1371" s="47"/>
      <c r="AE1371" s="54"/>
      <c r="AF1371" s="54"/>
      <c r="AG1371" s="55"/>
      <c r="AH1371" s="54"/>
      <c r="AI1371" s="54"/>
      <c r="AJ1371" s="54"/>
      <c r="AK1371" s="54"/>
      <c r="AL1371" s="54"/>
      <c r="AM1371" s="54"/>
      <c r="AN1371" s="54"/>
      <c r="AO1371" s="54"/>
      <c r="AP1371" s="54"/>
      <c r="AQ1371" s="54"/>
      <c r="AR1371" s="54"/>
      <c r="AS1371" s="54"/>
      <c r="AT1371" s="54"/>
      <c r="AU1371" s="54"/>
      <c r="AV1371" s="54"/>
      <c r="AW1371" s="54"/>
      <c r="AX1371" s="54"/>
      <c r="AY1371" s="54"/>
      <c r="AZ1371" s="54"/>
      <c r="BA1371" s="54"/>
      <c r="BB1371" s="54"/>
      <c r="BC1371" s="56"/>
      <c r="BD1371" s="51"/>
      <c r="BE1371" s="54"/>
      <c r="BF1371" s="54"/>
      <c r="BG1371" s="47"/>
      <c r="BH1371" s="48"/>
      <c r="BI1371" s="48"/>
      <c r="BJ1371" s="48"/>
      <c r="BK1371" s="48"/>
      <c r="BL1371" s="48"/>
      <c r="BM1371" s="48"/>
      <c r="BN1371" s="48"/>
      <c r="BO1371" s="48"/>
      <c r="BP1371" s="48"/>
      <c r="BQ1371" s="48"/>
      <c r="BR1371" s="48"/>
      <c r="BS1371" s="48"/>
      <c r="BT1371" s="48"/>
      <c r="BU1371" s="48"/>
      <c r="BV1371" s="48"/>
      <c r="BW1371" s="48"/>
      <c r="BX1371" s="48"/>
      <c r="BY1371" s="48"/>
      <c r="BZ1371" s="48"/>
      <c r="CA1371" s="48"/>
      <c r="CB1371" s="48"/>
      <c r="CC1371" s="48"/>
      <c r="CD1371" s="48"/>
      <c r="CE1371" s="48"/>
      <c r="CF1371" s="52"/>
      <c r="CG1371" s="52"/>
      <c r="CH1371" s="48"/>
      <c r="CI1371" s="48"/>
      <c r="CJ1371" s="48"/>
      <c r="CK1371" s="48"/>
    </row>
    <row r="1372" spans="1:89" ht="15.75" customHeight="1" x14ac:dyDescent="0.3">
      <c r="A1372" s="47"/>
      <c r="B1372" s="48"/>
      <c r="C1372" s="47"/>
      <c r="D1372" s="48"/>
      <c r="E1372" s="48"/>
      <c r="F1372" s="48"/>
      <c r="G1372" s="48"/>
      <c r="H1372" s="48"/>
      <c r="I1372" s="49"/>
      <c r="J1372" s="47"/>
      <c r="K1372" s="47"/>
      <c r="L1372" s="47"/>
      <c r="M1372" s="47"/>
      <c r="N1372" s="47"/>
      <c r="O1372" s="47"/>
      <c r="P1372" s="47"/>
      <c r="Q1372" s="47"/>
      <c r="R1372" s="47"/>
      <c r="S1372" s="50"/>
      <c r="T1372" s="47"/>
      <c r="U1372" s="47"/>
      <c r="V1372" s="47"/>
      <c r="W1372" s="51"/>
      <c r="X1372" s="51"/>
      <c r="Y1372" s="47"/>
      <c r="Z1372" s="47"/>
      <c r="AA1372" s="47"/>
      <c r="AB1372" s="47"/>
      <c r="AC1372" s="47"/>
      <c r="AD1372" s="47"/>
      <c r="AE1372" s="54"/>
      <c r="AF1372" s="54"/>
      <c r="AG1372" s="55"/>
      <c r="AH1372" s="54"/>
      <c r="AI1372" s="54"/>
      <c r="AJ1372" s="54"/>
      <c r="AK1372" s="54"/>
      <c r="AL1372" s="54"/>
      <c r="AM1372" s="54"/>
      <c r="AN1372" s="54"/>
      <c r="AO1372" s="54"/>
      <c r="AP1372" s="54"/>
      <c r="AQ1372" s="54"/>
      <c r="AR1372" s="54"/>
      <c r="AS1372" s="54"/>
      <c r="AT1372" s="54"/>
      <c r="AU1372" s="54"/>
      <c r="AV1372" s="54"/>
      <c r="AW1372" s="54"/>
      <c r="AX1372" s="54"/>
      <c r="AY1372" s="54"/>
      <c r="AZ1372" s="54"/>
      <c r="BA1372" s="54"/>
      <c r="BB1372" s="54"/>
      <c r="BC1372" s="56"/>
      <c r="BD1372" s="51"/>
      <c r="BE1372" s="54"/>
      <c r="BF1372" s="54"/>
      <c r="BG1372" s="47"/>
      <c r="BH1372" s="48"/>
      <c r="BI1372" s="48"/>
      <c r="BJ1372" s="48"/>
      <c r="BK1372" s="48"/>
      <c r="BL1372" s="48"/>
      <c r="BM1372" s="48"/>
      <c r="BN1372" s="48"/>
      <c r="BO1372" s="48"/>
      <c r="BP1372" s="48"/>
      <c r="BQ1372" s="48"/>
      <c r="BR1372" s="48"/>
      <c r="BS1372" s="48"/>
      <c r="BT1372" s="48"/>
      <c r="BU1372" s="48"/>
      <c r="BV1372" s="48"/>
      <c r="BW1372" s="48"/>
      <c r="BX1372" s="48"/>
      <c r="BY1372" s="48"/>
      <c r="BZ1372" s="48"/>
      <c r="CA1372" s="48"/>
      <c r="CB1372" s="48"/>
      <c r="CC1372" s="48"/>
      <c r="CD1372" s="48"/>
      <c r="CE1372" s="48"/>
      <c r="CF1372" s="52"/>
      <c r="CG1372" s="52"/>
      <c r="CH1372" s="48"/>
      <c r="CI1372" s="48"/>
      <c r="CJ1372" s="48"/>
      <c r="CK1372" s="48"/>
    </row>
    <row r="1373" spans="1:89" ht="15.75" customHeight="1" x14ac:dyDescent="0.3">
      <c r="A1373" s="47"/>
      <c r="B1373" s="48"/>
      <c r="C1373" s="47"/>
      <c r="D1373" s="48"/>
      <c r="E1373" s="48"/>
      <c r="F1373" s="48"/>
      <c r="G1373" s="48"/>
      <c r="H1373" s="48"/>
      <c r="I1373" s="49"/>
      <c r="J1373" s="47"/>
      <c r="K1373" s="47"/>
      <c r="L1373" s="47"/>
      <c r="M1373" s="47"/>
      <c r="N1373" s="47"/>
      <c r="O1373" s="47"/>
      <c r="P1373" s="47"/>
      <c r="Q1373" s="47"/>
      <c r="R1373" s="47"/>
      <c r="S1373" s="50"/>
      <c r="T1373" s="47"/>
      <c r="U1373" s="47"/>
      <c r="V1373" s="47"/>
      <c r="W1373" s="51"/>
      <c r="X1373" s="51"/>
      <c r="Y1373" s="47"/>
      <c r="Z1373" s="47"/>
      <c r="AA1373" s="47"/>
      <c r="AB1373" s="47"/>
      <c r="AC1373" s="47"/>
      <c r="AD1373" s="47"/>
      <c r="AE1373" s="54"/>
      <c r="AF1373" s="54"/>
      <c r="AG1373" s="55"/>
      <c r="AH1373" s="54"/>
      <c r="AI1373" s="54"/>
      <c r="AJ1373" s="54"/>
      <c r="AK1373" s="54"/>
      <c r="AL1373" s="54"/>
      <c r="AM1373" s="54"/>
      <c r="AN1373" s="54"/>
      <c r="AO1373" s="54"/>
      <c r="AP1373" s="54"/>
      <c r="AQ1373" s="54"/>
      <c r="AR1373" s="54"/>
      <c r="AS1373" s="54"/>
      <c r="AT1373" s="54"/>
      <c r="AU1373" s="54"/>
      <c r="AV1373" s="54"/>
      <c r="AW1373" s="54"/>
      <c r="AX1373" s="54"/>
      <c r="AY1373" s="54"/>
      <c r="AZ1373" s="54"/>
      <c r="BA1373" s="54"/>
      <c r="BB1373" s="54"/>
      <c r="BC1373" s="56"/>
      <c r="BD1373" s="51"/>
      <c r="BE1373" s="54"/>
      <c r="BF1373" s="54"/>
      <c r="BG1373" s="47"/>
      <c r="BH1373" s="48"/>
      <c r="BI1373" s="48"/>
      <c r="BJ1373" s="48"/>
      <c r="BK1373" s="48"/>
      <c r="BL1373" s="48"/>
      <c r="BM1373" s="48"/>
      <c r="BN1373" s="48"/>
      <c r="BO1373" s="48"/>
      <c r="BP1373" s="48"/>
      <c r="BQ1373" s="48"/>
      <c r="BR1373" s="48"/>
      <c r="BS1373" s="48"/>
      <c r="BT1373" s="48"/>
      <c r="BU1373" s="48"/>
      <c r="BV1373" s="48"/>
      <c r="BW1373" s="48"/>
      <c r="BX1373" s="48"/>
      <c r="BY1373" s="48"/>
      <c r="BZ1373" s="48"/>
      <c r="CA1373" s="48"/>
      <c r="CB1373" s="48"/>
      <c r="CC1373" s="48"/>
      <c r="CD1373" s="48"/>
      <c r="CE1373" s="48"/>
      <c r="CF1373" s="52"/>
      <c r="CG1373" s="52"/>
      <c r="CH1373" s="48"/>
      <c r="CI1373" s="48"/>
      <c r="CJ1373" s="48"/>
      <c r="CK1373" s="48"/>
    </row>
    <row r="1374" spans="1:89" ht="15.75" customHeight="1" x14ac:dyDescent="0.3">
      <c r="A1374" s="47"/>
      <c r="B1374" s="48"/>
      <c r="C1374" s="47"/>
      <c r="D1374" s="48"/>
      <c r="E1374" s="48"/>
      <c r="F1374" s="48"/>
      <c r="G1374" s="48"/>
      <c r="H1374" s="48"/>
      <c r="I1374" s="49"/>
      <c r="J1374" s="47"/>
      <c r="K1374" s="47"/>
      <c r="L1374" s="47"/>
      <c r="M1374" s="47"/>
      <c r="N1374" s="47"/>
      <c r="O1374" s="47"/>
      <c r="P1374" s="47"/>
      <c r="Q1374" s="47"/>
      <c r="R1374" s="47"/>
      <c r="S1374" s="50"/>
      <c r="T1374" s="47"/>
      <c r="U1374" s="47"/>
      <c r="V1374" s="47"/>
      <c r="W1374" s="51"/>
      <c r="X1374" s="51"/>
      <c r="Y1374" s="47"/>
      <c r="Z1374" s="47"/>
      <c r="AA1374" s="47"/>
      <c r="AB1374" s="47"/>
      <c r="AC1374" s="47"/>
      <c r="AD1374" s="47"/>
      <c r="AE1374" s="54"/>
      <c r="AF1374" s="54"/>
      <c r="AG1374" s="55"/>
      <c r="AH1374" s="54"/>
      <c r="AI1374" s="54"/>
      <c r="AJ1374" s="54"/>
      <c r="AK1374" s="54"/>
      <c r="AL1374" s="54"/>
      <c r="AM1374" s="54"/>
      <c r="AN1374" s="54"/>
      <c r="AO1374" s="54"/>
      <c r="AP1374" s="54"/>
      <c r="AQ1374" s="54"/>
      <c r="AR1374" s="54"/>
      <c r="AS1374" s="54"/>
      <c r="AT1374" s="54"/>
      <c r="AU1374" s="54"/>
      <c r="AV1374" s="54"/>
      <c r="AW1374" s="54"/>
      <c r="AX1374" s="54"/>
      <c r="AY1374" s="54"/>
      <c r="AZ1374" s="54"/>
      <c r="BA1374" s="54"/>
      <c r="BB1374" s="54"/>
      <c r="BC1374" s="56"/>
      <c r="BD1374" s="51"/>
      <c r="BE1374" s="54"/>
      <c r="BF1374" s="54"/>
      <c r="BG1374" s="47"/>
      <c r="BH1374" s="48"/>
      <c r="BI1374" s="48"/>
      <c r="BJ1374" s="48"/>
      <c r="BK1374" s="48"/>
      <c r="BL1374" s="48"/>
      <c r="BM1374" s="48"/>
      <c r="BN1374" s="48"/>
      <c r="BO1374" s="48"/>
      <c r="BP1374" s="48"/>
      <c r="BQ1374" s="48"/>
      <c r="BR1374" s="48"/>
      <c r="BS1374" s="48"/>
      <c r="BT1374" s="48"/>
      <c r="BU1374" s="48"/>
      <c r="BV1374" s="48"/>
      <c r="BW1374" s="48"/>
      <c r="BX1374" s="48"/>
      <c r="BY1374" s="48"/>
      <c r="BZ1374" s="48"/>
      <c r="CA1374" s="48"/>
      <c r="CB1374" s="48"/>
      <c r="CC1374" s="48"/>
      <c r="CD1374" s="48"/>
      <c r="CE1374" s="48"/>
      <c r="CF1374" s="52"/>
      <c r="CG1374" s="52"/>
      <c r="CH1374" s="48"/>
      <c r="CI1374" s="48"/>
      <c r="CJ1374" s="48"/>
      <c r="CK1374" s="48"/>
    </row>
    <row r="1375" spans="1:89" ht="15.75" customHeight="1" x14ac:dyDescent="0.3">
      <c r="A1375" s="47"/>
      <c r="B1375" s="48"/>
      <c r="C1375" s="47"/>
      <c r="D1375" s="48"/>
      <c r="E1375" s="48"/>
      <c r="F1375" s="48"/>
      <c r="G1375" s="48"/>
      <c r="H1375" s="48"/>
      <c r="I1375" s="49"/>
      <c r="J1375" s="47"/>
      <c r="K1375" s="47"/>
      <c r="L1375" s="47"/>
      <c r="M1375" s="47"/>
      <c r="N1375" s="47"/>
      <c r="O1375" s="47"/>
      <c r="P1375" s="47"/>
      <c r="Q1375" s="47"/>
      <c r="R1375" s="47"/>
      <c r="S1375" s="50"/>
      <c r="T1375" s="47"/>
      <c r="U1375" s="47"/>
      <c r="V1375" s="47"/>
      <c r="W1375" s="51"/>
      <c r="X1375" s="51"/>
      <c r="Y1375" s="47"/>
      <c r="Z1375" s="47"/>
      <c r="AA1375" s="47"/>
      <c r="AB1375" s="47"/>
      <c r="AC1375" s="47"/>
      <c r="AD1375" s="47"/>
      <c r="AE1375" s="54"/>
      <c r="AF1375" s="54"/>
      <c r="AG1375" s="55"/>
      <c r="AH1375" s="54"/>
      <c r="AI1375" s="54"/>
      <c r="AJ1375" s="54"/>
      <c r="AK1375" s="54"/>
      <c r="AL1375" s="54"/>
      <c r="AM1375" s="54"/>
      <c r="AN1375" s="54"/>
      <c r="AO1375" s="54"/>
      <c r="AP1375" s="54"/>
      <c r="AQ1375" s="54"/>
      <c r="AR1375" s="54"/>
      <c r="AS1375" s="54"/>
      <c r="AT1375" s="54"/>
      <c r="AU1375" s="54"/>
      <c r="AV1375" s="54"/>
      <c r="AW1375" s="54"/>
      <c r="AX1375" s="54"/>
      <c r="AY1375" s="54"/>
      <c r="AZ1375" s="54"/>
      <c r="BA1375" s="54"/>
      <c r="BB1375" s="54"/>
      <c r="BC1375" s="56"/>
      <c r="BD1375" s="51"/>
      <c r="BE1375" s="54"/>
      <c r="BF1375" s="54"/>
      <c r="BG1375" s="47"/>
      <c r="BH1375" s="48"/>
      <c r="BI1375" s="48"/>
      <c r="BJ1375" s="48"/>
      <c r="BK1375" s="48"/>
      <c r="BL1375" s="48"/>
      <c r="BM1375" s="48"/>
      <c r="BN1375" s="48"/>
      <c r="BO1375" s="48"/>
      <c r="BP1375" s="48"/>
      <c r="BQ1375" s="48"/>
      <c r="BR1375" s="48"/>
      <c r="BS1375" s="48"/>
      <c r="BT1375" s="48"/>
      <c r="BU1375" s="48"/>
      <c r="BV1375" s="48"/>
      <c r="BW1375" s="48"/>
      <c r="BX1375" s="48"/>
      <c r="BY1375" s="48"/>
      <c r="BZ1375" s="48"/>
      <c r="CA1375" s="48"/>
      <c r="CB1375" s="48"/>
      <c r="CC1375" s="48"/>
      <c r="CD1375" s="48"/>
      <c r="CE1375" s="48"/>
      <c r="CF1375" s="52"/>
      <c r="CG1375" s="52"/>
      <c r="CH1375" s="48"/>
      <c r="CI1375" s="48"/>
      <c r="CJ1375" s="48"/>
      <c r="CK1375" s="48"/>
    </row>
    <row r="1376" spans="1:89" ht="15.75" customHeight="1" x14ac:dyDescent="0.3">
      <c r="A1376" s="47"/>
      <c r="B1376" s="48"/>
      <c r="C1376" s="47"/>
      <c r="D1376" s="48"/>
      <c r="E1376" s="48"/>
      <c r="F1376" s="48"/>
      <c r="G1376" s="48"/>
      <c r="H1376" s="48"/>
      <c r="I1376" s="49"/>
      <c r="J1376" s="47"/>
      <c r="K1376" s="47"/>
      <c r="L1376" s="47"/>
      <c r="M1376" s="47"/>
      <c r="N1376" s="47"/>
      <c r="O1376" s="47"/>
      <c r="P1376" s="47"/>
      <c r="Q1376" s="47"/>
      <c r="R1376" s="47"/>
      <c r="S1376" s="50"/>
      <c r="T1376" s="47"/>
      <c r="U1376" s="47"/>
      <c r="V1376" s="47"/>
      <c r="W1376" s="51"/>
      <c r="X1376" s="51"/>
      <c r="Y1376" s="47"/>
      <c r="Z1376" s="47"/>
      <c r="AA1376" s="47"/>
      <c r="AB1376" s="47"/>
      <c r="AC1376" s="47"/>
      <c r="AD1376" s="47"/>
      <c r="AE1376" s="54"/>
      <c r="AF1376" s="54"/>
      <c r="AG1376" s="55"/>
      <c r="AH1376" s="54"/>
      <c r="AI1376" s="54"/>
      <c r="AJ1376" s="54"/>
      <c r="AK1376" s="54"/>
      <c r="AL1376" s="54"/>
      <c r="AM1376" s="54"/>
      <c r="AN1376" s="54"/>
      <c r="AO1376" s="54"/>
      <c r="AP1376" s="54"/>
      <c r="AQ1376" s="54"/>
      <c r="AR1376" s="54"/>
      <c r="AS1376" s="54"/>
      <c r="AT1376" s="54"/>
      <c r="AU1376" s="54"/>
      <c r="AV1376" s="54"/>
      <c r="AW1376" s="54"/>
      <c r="AX1376" s="54"/>
      <c r="AY1376" s="54"/>
      <c r="AZ1376" s="54"/>
      <c r="BA1376" s="54"/>
      <c r="BB1376" s="54"/>
      <c r="BC1376" s="56"/>
      <c r="BD1376" s="51"/>
      <c r="BE1376" s="54"/>
      <c r="BF1376" s="54"/>
      <c r="BG1376" s="47"/>
      <c r="BH1376" s="48"/>
      <c r="BI1376" s="48"/>
      <c r="BJ1376" s="48"/>
      <c r="BK1376" s="48"/>
      <c r="BL1376" s="48"/>
      <c r="BM1376" s="48"/>
      <c r="BN1376" s="48"/>
      <c r="BO1376" s="48"/>
      <c r="BP1376" s="48"/>
      <c r="BQ1376" s="48"/>
      <c r="BR1376" s="48"/>
      <c r="BS1376" s="48"/>
      <c r="BT1376" s="48"/>
      <c r="BU1376" s="48"/>
      <c r="BV1376" s="48"/>
      <c r="BW1376" s="48"/>
      <c r="BX1376" s="48"/>
      <c r="BY1376" s="48"/>
      <c r="BZ1376" s="48"/>
      <c r="CA1376" s="48"/>
      <c r="CB1376" s="48"/>
      <c r="CC1376" s="48"/>
      <c r="CD1376" s="48"/>
      <c r="CE1376" s="48"/>
      <c r="CF1376" s="52"/>
      <c r="CG1376" s="52"/>
      <c r="CH1376" s="48"/>
      <c r="CI1376" s="48"/>
      <c r="CJ1376" s="48"/>
      <c r="CK1376" s="48"/>
    </row>
    <row r="1377" spans="1:89" ht="15.75" customHeight="1" x14ac:dyDescent="0.3">
      <c r="A1377" s="47"/>
      <c r="B1377" s="48"/>
      <c r="C1377" s="47"/>
      <c r="D1377" s="48"/>
      <c r="E1377" s="48"/>
      <c r="F1377" s="48"/>
      <c r="G1377" s="48"/>
      <c r="H1377" s="48"/>
      <c r="I1377" s="49"/>
      <c r="J1377" s="47"/>
      <c r="K1377" s="47"/>
      <c r="L1377" s="47"/>
      <c r="M1377" s="47"/>
      <c r="N1377" s="47"/>
      <c r="O1377" s="47"/>
      <c r="P1377" s="47"/>
      <c r="Q1377" s="47"/>
      <c r="R1377" s="47"/>
      <c r="S1377" s="50"/>
      <c r="T1377" s="47"/>
      <c r="U1377" s="47"/>
      <c r="V1377" s="47"/>
      <c r="W1377" s="51"/>
      <c r="X1377" s="51"/>
      <c r="Y1377" s="47"/>
      <c r="Z1377" s="47"/>
      <c r="AA1377" s="47"/>
      <c r="AB1377" s="47"/>
      <c r="AC1377" s="47"/>
      <c r="AD1377" s="47"/>
      <c r="AE1377" s="54"/>
      <c r="AF1377" s="54"/>
      <c r="AG1377" s="55"/>
      <c r="AH1377" s="54"/>
      <c r="AI1377" s="54"/>
      <c r="AJ1377" s="54"/>
      <c r="AK1377" s="54"/>
      <c r="AL1377" s="54"/>
      <c r="AM1377" s="54"/>
      <c r="AN1377" s="54"/>
      <c r="AO1377" s="54"/>
      <c r="AP1377" s="54"/>
      <c r="AQ1377" s="54"/>
      <c r="AR1377" s="54"/>
      <c r="AS1377" s="54"/>
      <c r="AT1377" s="54"/>
      <c r="AU1377" s="54"/>
      <c r="AV1377" s="54"/>
      <c r="AW1377" s="54"/>
      <c r="AX1377" s="54"/>
      <c r="AY1377" s="54"/>
      <c r="AZ1377" s="54"/>
      <c r="BA1377" s="54"/>
      <c r="BB1377" s="54"/>
      <c r="BC1377" s="56"/>
      <c r="BD1377" s="51"/>
      <c r="BE1377" s="54"/>
      <c r="BF1377" s="54"/>
      <c r="BG1377" s="47"/>
      <c r="BH1377" s="48"/>
      <c r="BI1377" s="48"/>
      <c r="BJ1377" s="48"/>
      <c r="BK1377" s="48"/>
      <c r="BL1377" s="48"/>
      <c r="BM1377" s="48"/>
      <c r="BN1377" s="48"/>
      <c r="BO1377" s="48"/>
      <c r="BP1377" s="48"/>
      <c r="BQ1377" s="48"/>
      <c r="BR1377" s="48"/>
      <c r="BS1377" s="48"/>
      <c r="BT1377" s="48"/>
      <c r="BU1377" s="48"/>
      <c r="BV1377" s="48"/>
      <c r="BW1377" s="48"/>
      <c r="BX1377" s="48"/>
      <c r="BY1377" s="48"/>
      <c r="BZ1377" s="48"/>
      <c r="CA1377" s="48"/>
      <c r="CB1377" s="48"/>
      <c r="CC1377" s="48"/>
      <c r="CD1377" s="48"/>
      <c r="CE1377" s="48"/>
      <c r="CF1377" s="52"/>
      <c r="CG1377" s="52"/>
      <c r="CH1377" s="48"/>
      <c r="CI1377" s="48"/>
      <c r="CJ1377" s="48"/>
      <c r="CK1377" s="48"/>
    </row>
    <row r="1378" spans="1:89" ht="15.75" customHeight="1" x14ac:dyDescent="0.3">
      <c r="A1378" s="47"/>
      <c r="B1378" s="48"/>
      <c r="C1378" s="47"/>
      <c r="D1378" s="48"/>
      <c r="E1378" s="48"/>
      <c r="F1378" s="48"/>
      <c r="G1378" s="48"/>
      <c r="H1378" s="48"/>
      <c r="I1378" s="49"/>
      <c r="J1378" s="47"/>
      <c r="K1378" s="47"/>
      <c r="L1378" s="47"/>
      <c r="M1378" s="47"/>
      <c r="N1378" s="47"/>
      <c r="O1378" s="47"/>
      <c r="P1378" s="47"/>
      <c r="Q1378" s="47"/>
      <c r="R1378" s="47"/>
      <c r="S1378" s="50"/>
      <c r="T1378" s="47"/>
      <c r="U1378" s="47"/>
      <c r="V1378" s="47"/>
      <c r="W1378" s="51"/>
      <c r="X1378" s="51"/>
      <c r="Y1378" s="47"/>
      <c r="Z1378" s="47"/>
      <c r="AA1378" s="47"/>
      <c r="AB1378" s="47"/>
      <c r="AC1378" s="47"/>
      <c r="AD1378" s="47"/>
      <c r="AE1378" s="54"/>
      <c r="AF1378" s="54"/>
      <c r="AG1378" s="55"/>
      <c r="AH1378" s="54"/>
      <c r="AI1378" s="54"/>
      <c r="AJ1378" s="54"/>
      <c r="AK1378" s="54"/>
      <c r="AL1378" s="54"/>
      <c r="AM1378" s="54"/>
      <c r="AN1378" s="54"/>
      <c r="AO1378" s="54"/>
      <c r="AP1378" s="54"/>
      <c r="AQ1378" s="54"/>
      <c r="AR1378" s="54"/>
      <c r="AS1378" s="54"/>
      <c r="AT1378" s="54"/>
      <c r="AU1378" s="54"/>
      <c r="AV1378" s="54"/>
      <c r="AW1378" s="54"/>
      <c r="AX1378" s="54"/>
      <c r="AY1378" s="54"/>
      <c r="AZ1378" s="54"/>
      <c r="BA1378" s="54"/>
      <c r="BB1378" s="54"/>
      <c r="BC1378" s="56"/>
      <c r="BD1378" s="51"/>
      <c r="BE1378" s="54"/>
      <c r="BF1378" s="54"/>
      <c r="BG1378" s="47"/>
      <c r="BH1378" s="48"/>
      <c r="BI1378" s="48"/>
      <c r="BJ1378" s="48"/>
      <c r="BK1378" s="48"/>
      <c r="BL1378" s="48"/>
      <c r="BM1378" s="48"/>
      <c r="BN1378" s="48"/>
      <c r="BO1378" s="48"/>
      <c r="BP1378" s="48"/>
      <c r="BQ1378" s="48"/>
      <c r="BR1378" s="48"/>
      <c r="BS1378" s="48"/>
      <c r="BT1378" s="48"/>
      <c r="BU1378" s="48"/>
      <c r="BV1378" s="48"/>
      <c r="BW1378" s="48"/>
      <c r="BX1378" s="48"/>
      <c r="BY1378" s="48"/>
      <c r="BZ1378" s="48"/>
      <c r="CA1378" s="48"/>
      <c r="CB1378" s="48"/>
      <c r="CC1378" s="48"/>
      <c r="CD1378" s="48"/>
      <c r="CE1378" s="48"/>
      <c r="CF1378" s="52"/>
      <c r="CG1378" s="52"/>
      <c r="CH1378" s="48"/>
      <c r="CI1378" s="48"/>
      <c r="CJ1378" s="48"/>
      <c r="CK1378" s="48"/>
    </row>
    <row r="1379" spans="1:89" ht="15.75" customHeight="1" x14ac:dyDescent="0.3">
      <c r="A1379" s="47"/>
      <c r="B1379" s="48"/>
      <c r="C1379" s="47"/>
      <c r="D1379" s="48"/>
      <c r="E1379" s="48"/>
      <c r="F1379" s="48"/>
      <c r="G1379" s="48"/>
      <c r="H1379" s="48"/>
      <c r="I1379" s="49"/>
      <c r="J1379" s="47"/>
      <c r="K1379" s="47"/>
      <c r="L1379" s="47"/>
      <c r="M1379" s="47"/>
      <c r="N1379" s="47"/>
      <c r="O1379" s="47"/>
      <c r="P1379" s="47"/>
      <c r="Q1379" s="47"/>
      <c r="R1379" s="47"/>
      <c r="S1379" s="50"/>
      <c r="T1379" s="47"/>
      <c r="U1379" s="47"/>
      <c r="V1379" s="47"/>
      <c r="W1379" s="51"/>
      <c r="X1379" s="51"/>
      <c r="Y1379" s="47"/>
      <c r="Z1379" s="47"/>
      <c r="AA1379" s="47"/>
      <c r="AB1379" s="47"/>
      <c r="AC1379" s="47"/>
      <c r="AD1379" s="47"/>
      <c r="AE1379" s="54"/>
      <c r="AF1379" s="54"/>
      <c r="AG1379" s="55"/>
      <c r="AH1379" s="54"/>
      <c r="AI1379" s="54"/>
      <c r="AJ1379" s="54"/>
      <c r="AK1379" s="54"/>
      <c r="AL1379" s="54"/>
      <c r="AM1379" s="54"/>
      <c r="AN1379" s="54"/>
      <c r="AO1379" s="54"/>
      <c r="AP1379" s="54"/>
      <c r="AQ1379" s="54"/>
      <c r="AR1379" s="54"/>
      <c r="AS1379" s="54"/>
      <c r="AT1379" s="54"/>
      <c r="AU1379" s="54"/>
      <c r="AV1379" s="54"/>
      <c r="AW1379" s="54"/>
      <c r="AX1379" s="54"/>
      <c r="AY1379" s="54"/>
      <c r="AZ1379" s="54"/>
      <c r="BA1379" s="54"/>
      <c r="BB1379" s="54"/>
      <c r="BC1379" s="56"/>
      <c r="BD1379" s="51"/>
      <c r="BE1379" s="54"/>
      <c r="BF1379" s="54"/>
      <c r="BG1379" s="47"/>
      <c r="BH1379" s="48"/>
      <c r="BI1379" s="48"/>
      <c r="BJ1379" s="48"/>
      <c r="BK1379" s="48"/>
      <c r="BL1379" s="48"/>
      <c r="BM1379" s="48"/>
      <c r="BN1379" s="48"/>
      <c r="BO1379" s="48"/>
      <c r="BP1379" s="48"/>
      <c r="BQ1379" s="48"/>
      <c r="BR1379" s="48"/>
      <c r="BS1379" s="48"/>
      <c r="BT1379" s="48"/>
      <c r="BU1379" s="48"/>
      <c r="BV1379" s="48"/>
      <c r="BW1379" s="48"/>
      <c r="BX1379" s="48"/>
      <c r="BY1379" s="48"/>
      <c r="BZ1379" s="48"/>
      <c r="CA1379" s="48"/>
      <c r="CB1379" s="48"/>
      <c r="CC1379" s="48"/>
      <c r="CD1379" s="48"/>
      <c r="CE1379" s="48"/>
      <c r="CF1379" s="52"/>
      <c r="CG1379" s="52"/>
      <c r="CH1379" s="48"/>
      <c r="CI1379" s="48"/>
      <c r="CJ1379" s="48"/>
      <c r="CK1379" s="48"/>
    </row>
    <row r="1380" spans="1:89" ht="15.75" customHeight="1" x14ac:dyDescent="0.3">
      <c r="A1380" s="47"/>
      <c r="B1380" s="48"/>
      <c r="C1380" s="47"/>
      <c r="D1380" s="48"/>
      <c r="E1380" s="48"/>
      <c r="F1380" s="48"/>
      <c r="G1380" s="48"/>
      <c r="H1380" s="48"/>
      <c r="I1380" s="49"/>
      <c r="J1380" s="47"/>
      <c r="K1380" s="47"/>
      <c r="L1380" s="47"/>
      <c r="M1380" s="47"/>
      <c r="N1380" s="47"/>
      <c r="O1380" s="47"/>
      <c r="P1380" s="47"/>
      <c r="Q1380" s="47"/>
      <c r="R1380" s="47"/>
      <c r="S1380" s="50"/>
      <c r="T1380" s="47"/>
      <c r="U1380" s="47"/>
      <c r="V1380" s="47"/>
      <c r="W1380" s="51"/>
      <c r="X1380" s="51"/>
      <c r="Y1380" s="47"/>
      <c r="Z1380" s="47"/>
      <c r="AA1380" s="47"/>
      <c r="AB1380" s="47"/>
      <c r="AC1380" s="47"/>
      <c r="AD1380" s="47"/>
      <c r="AE1380" s="54"/>
      <c r="AF1380" s="54"/>
      <c r="AG1380" s="55"/>
      <c r="AH1380" s="54"/>
      <c r="AI1380" s="54"/>
      <c r="AJ1380" s="54"/>
      <c r="AK1380" s="54"/>
      <c r="AL1380" s="54"/>
      <c r="AM1380" s="54"/>
      <c r="AN1380" s="54"/>
      <c r="AO1380" s="54"/>
      <c r="AP1380" s="54"/>
      <c r="AQ1380" s="54"/>
      <c r="AR1380" s="54"/>
      <c r="AS1380" s="54"/>
      <c r="AT1380" s="54"/>
      <c r="AU1380" s="54"/>
      <c r="AV1380" s="54"/>
      <c r="AW1380" s="54"/>
      <c r="AX1380" s="54"/>
      <c r="AY1380" s="54"/>
      <c r="AZ1380" s="54"/>
      <c r="BA1380" s="54"/>
      <c r="BB1380" s="54"/>
      <c r="BC1380" s="56"/>
      <c r="BD1380" s="51"/>
      <c r="BE1380" s="54"/>
      <c r="BF1380" s="54"/>
      <c r="BG1380" s="47"/>
      <c r="BH1380" s="48"/>
      <c r="BI1380" s="48"/>
      <c r="BJ1380" s="48"/>
      <c r="BK1380" s="48"/>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52"/>
      <c r="CG1380" s="52"/>
      <c r="CH1380" s="48"/>
      <c r="CI1380" s="48"/>
      <c r="CJ1380" s="48"/>
      <c r="CK1380" s="48"/>
    </row>
    <row r="1381" spans="1:89" ht="15.75" customHeight="1" x14ac:dyDescent="0.3">
      <c r="A1381" s="47"/>
      <c r="B1381" s="48"/>
      <c r="C1381" s="47"/>
      <c r="D1381" s="48"/>
      <c r="E1381" s="48"/>
      <c r="F1381" s="48"/>
      <c r="G1381" s="48"/>
      <c r="H1381" s="48"/>
      <c r="I1381" s="49"/>
      <c r="J1381" s="47"/>
      <c r="K1381" s="47"/>
      <c r="L1381" s="47"/>
      <c r="M1381" s="47"/>
      <c r="N1381" s="47"/>
      <c r="O1381" s="47"/>
      <c r="P1381" s="47"/>
      <c r="Q1381" s="47"/>
      <c r="R1381" s="47"/>
      <c r="S1381" s="50"/>
      <c r="T1381" s="47"/>
      <c r="U1381" s="47"/>
      <c r="V1381" s="47"/>
      <c r="W1381" s="51"/>
      <c r="X1381" s="51"/>
      <c r="Y1381" s="47"/>
      <c r="Z1381" s="47"/>
      <c r="AA1381" s="47"/>
      <c r="AB1381" s="47"/>
      <c r="AC1381" s="47"/>
      <c r="AD1381" s="47"/>
      <c r="AE1381" s="54"/>
      <c r="AF1381" s="54"/>
      <c r="AG1381" s="55"/>
      <c r="AH1381" s="54"/>
      <c r="AI1381" s="54"/>
      <c r="AJ1381" s="54"/>
      <c r="AK1381" s="54"/>
      <c r="AL1381" s="54"/>
      <c r="AM1381" s="54"/>
      <c r="AN1381" s="54"/>
      <c r="AO1381" s="54"/>
      <c r="AP1381" s="54"/>
      <c r="AQ1381" s="54"/>
      <c r="AR1381" s="54"/>
      <c r="AS1381" s="54"/>
      <c r="AT1381" s="54"/>
      <c r="AU1381" s="54"/>
      <c r="AV1381" s="54"/>
      <c r="AW1381" s="54"/>
      <c r="AX1381" s="54"/>
      <c r="AY1381" s="54"/>
      <c r="AZ1381" s="54"/>
      <c r="BA1381" s="54"/>
      <c r="BB1381" s="54"/>
      <c r="BC1381" s="56"/>
      <c r="BD1381" s="51"/>
      <c r="BE1381" s="54"/>
      <c r="BF1381" s="54"/>
      <c r="BG1381" s="47"/>
      <c r="BH1381" s="48"/>
      <c r="BI1381" s="48"/>
      <c r="BJ1381" s="48"/>
      <c r="BK1381" s="48"/>
      <c r="BL1381" s="48"/>
      <c r="BM1381" s="48"/>
      <c r="BN1381" s="48"/>
      <c r="BO1381" s="48"/>
      <c r="BP1381" s="48"/>
      <c r="BQ1381" s="48"/>
      <c r="BR1381" s="48"/>
      <c r="BS1381" s="48"/>
      <c r="BT1381" s="48"/>
      <c r="BU1381" s="48"/>
      <c r="BV1381" s="48"/>
      <c r="BW1381" s="48"/>
      <c r="BX1381" s="48"/>
      <c r="BY1381" s="48"/>
      <c r="BZ1381" s="48"/>
      <c r="CA1381" s="48"/>
      <c r="CB1381" s="48"/>
      <c r="CC1381" s="48"/>
      <c r="CD1381" s="48"/>
      <c r="CE1381" s="48"/>
      <c r="CF1381" s="52"/>
      <c r="CG1381" s="52"/>
      <c r="CH1381" s="48"/>
      <c r="CI1381" s="48"/>
      <c r="CJ1381" s="48"/>
      <c r="CK1381" s="48"/>
    </row>
    <row r="1382" spans="1:89" ht="15.75" customHeight="1" x14ac:dyDescent="0.3">
      <c r="A1382" s="47"/>
      <c r="B1382" s="48"/>
      <c r="C1382" s="47"/>
      <c r="D1382" s="48"/>
      <c r="E1382" s="48"/>
      <c r="F1382" s="48"/>
      <c r="G1382" s="48"/>
      <c r="H1382" s="48"/>
      <c r="I1382" s="49"/>
      <c r="J1382" s="47"/>
      <c r="K1382" s="47"/>
      <c r="L1382" s="47"/>
      <c r="M1382" s="47"/>
      <c r="N1382" s="47"/>
      <c r="O1382" s="47"/>
      <c r="P1382" s="47"/>
      <c r="Q1382" s="47"/>
      <c r="R1382" s="47"/>
      <c r="S1382" s="50"/>
      <c r="T1382" s="47"/>
      <c r="U1382" s="47"/>
      <c r="V1382" s="47"/>
      <c r="W1382" s="51"/>
      <c r="X1382" s="51"/>
      <c r="Y1382" s="47"/>
      <c r="Z1382" s="47"/>
      <c r="AA1382" s="47"/>
      <c r="AB1382" s="47"/>
      <c r="AC1382" s="47"/>
      <c r="AD1382" s="47"/>
      <c r="AE1382" s="54"/>
      <c r="AF1382" s="54"/>
      <c r="AG1382" s="55"/>
      <c r="AH1382" s="54"/>
      <c r="AI1382" s="54"/>
      <c r="AJ1382" s="54"/>
      <c r="AK1382" s="54"/>
      <c r="AL1382" s="54"/>
      <c r="AM1382" s="54"/>
      <c r="AN1382" s="54"/>
      <c r="AO1382" s="54"/>
      <c r="AP1382" s="54"/>
      <c r="AQ1382" s="54"/>
      <c r="AR1382" s="54"/>
      <c r="AS1382" s="54"/>
      <c r="AT1382" s="54"/>
      <c r="AU1382" s="54"/>
      <c r="AV1382" s="54"/>
      <c r="AW1382" s="54"/>
      <c r="AX1382" s="54"/>
      <c r="AY1382" s="54"/>
      <c r="AZ1382" s="54"/>
      <c r="BA1382" s="54"/>
      <c r="BB1382" s="54"/>
      <c r="BC1382" s="56"/>
      <c r="BD1382" s="51"/>
      <c r="BE1382" s="54"/>
      <c r="BF1382" s="54"/>
      <c r="BG1382" s="47"/>
      <c r="BH1382" s="48"/>
      <c r="BI1382" s="48"/>
      <c r="BJ1382" s="48"/>
      <c r="BK1382" s="48"/>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52"/>
      <c r="CG1382" s="52"/>
      <c r="CH1382" s="48"/>
      <c r="CI1382" s="48"/>
      <c r="CJ1382" s="48"/>
      <c r="CK1382" s="48"/>
    </row>
    <row r="1383" spans="1:89" ht="15.75" customHeight="1" x14ac:dyDescent="0.3">
      <c r="A1383" s="47"/>
      <c r="B1383" s="48"/>
      <c r="C1383" s="47"/>
      <c r="D1383" s="48"/>
      <c r="E1383" s="48"/>
      <c r="F1383" s="48"/>
      <c r="G1383" s="48"/>
      <c r="H1383" s="48"/>
      <c r="I1383" s="49"/>
      <c r="J1383" s="47"/>
      <c r="K1383" s="47"/>
      <c r="L1383" s="47"/>
      <c r="M1383" s="47"/>
      <c r="N1383" s="47"/>
      <c r="O1383" s="47"/>
      <c r="P1383" s="47"/>
      <c r="Q1383" s="47"/>
      <c r="R1383" s="47"/>
      <c r="S1383" s="50"/>
      <c r="T1383" s="47"/>
      <c r="U1383" s="47"/>
      <c r="V1383" s="47"/>
      <c r="W1383" s="51"/>
      <c r="X1383" s="51"/>
      <c r="Y1383" s="47"/>
      <c r="Z1383" s="47"/>
      <c r="AA1383" s="47"/>
      <c r="AB1383" s="47"/>
      <c r="AC1383" s="47"/>
      <c r="AD1383" s="47"/>
      <c r="AE1383" s="54"/>
      <c r="AF1383" s="54"/>
      <c r="AG1383" s="55"/>
      <c r="AH1383" s="54"/>
      <c r="AI1383" s="54"/>
      <c r="AJ1383" s="54"/>
      <c r="AK1383" s="54"/>
      <c r="AL1383" s="54"/>
      <c r="AM1383" s="54"/>
      <c r="AN1383" s="54"/>
      <c r="AO1383" s="54"/>
      <c r="AP1383" s="54"/>
      <c r="AQ1383" s="54"/>
      <c r="AR1383" s="54"/>
      <c r="AS1383" s="54"/>
      <c r="AT1383" s="54"/>
      <c r="AU1383" s="54"/>
      <c r="AV1383" s="54"/>
      <c r="AW1383" s="54"/>
      <c r="AX1383" s="54"/>
      <c r="AY1383" s="54"/>
      <c r="AZ1383" s="54"/>
      <c r="BA1383" s="54"/>
      <c r="BB1383" s="54"/>
      <c r="BC1383" s="56"/>
      <c r="BD1383" s="51"/>
      <c r="BE1383" s="54"/>
      <c r="BF1383" s="54"/>
      <c r="BG1383" s="47"/>
      <c r="BH1383" s="48"/>
      <c r="BI1383" s="48"/>
      <c r="BJ1383" s="48"/>
      <c r="BK1383" s="48"/>
      <c r="BL1383" s="48"/>
      <c r="BM1383" s="48"/>
      <c r="BN1383" s="48"/>
      <c r="BO1383" s="48"/>
      <c r="BP1383" s="48"/>
      <c r="BQ1383" s="48"/>
      <c r="BR1383" s="48"/>
      <c r="BS1383" s="48"/>
      <c r="BT1383" s="48"/>
      <c r="BU1383" s="48"/>
      <c r="BV1383" s="48"/>
      <c r="BW1383" s="48"/>
      <c r="BX1383" s="48"/>
      <c r="BY1383" s="48"/>
      <c r="BZ1383" s="48"/>
      <c r="CA1383" s="48"/>
      <c r="CB1383" s="48"/>
      <c r="CC1383" s="48"/>
      <c r="CD1383" s="48"/>
      <c r="CE1383" s="48"/>
      <c r="CF1383" s="52"/>
      <c r="CG1383" s="52"/>
      <c r="CH1383" s="48"/>
      <c r="CI1383" s="48"/>
      <c r="CJ1383" s="48"/>
      <c r="CK1383" s="48"/>
    </row>
    <row r="1384" spans="1:89" ht="15.75" customHeight="1" x14ac:dyDescent="0.3">
      <c r="A1384" s="47"/>
      <c r="B1384" s="48"/>
      <c r="C1384" s="47"/>
      <c r="D1384" s="48"/>
      <c r="E1384" s="48"/>
      <c r="F1384" s="48"/>
      <c r="G1384" s="48"/>
      <c r="H1384" s="48"/>
      <c r="I1384" s="49"/>
      <c r="J1384" s="47"/>
      <c r="K1384" s="47"/>
      <c r="L1384" s="47"/>
      <c r="M1384" s="47"/>
      <c r="N1384" s="47"/>
      <c r="O1384" s="47"/>
      <c r="P1384" s="47"/>
      <c r="Q1384" s="47"/>
      <c r="R1384" s="47"/>
      <c r="S1384" s="50"/>
      <c r="T1384" s="47"/>
      <c r="U1384" s="47"/>
      <c r="V1384" s="47"/>
      <c r="W1384" s="51"/>
      <c r="X1384" s="51"/>
      <c r="Y1384" s="47"/>
      <c r="Z1384" s="47"/>
      <c r="AA1384" s="47"/>
      <c r="AB1384" s="47"/>
      <c r="AC1384" s="47"/>
      <c r="AD1384" s="47"/>
      <c r="AE1384" s="54"/>
      <c r="AF1384" s="54"/>
      <c r="AG1384" s="55"/>
      <c r="AH1384" s="54"/>
      <c r="AI1384" s="54"/>
      <c r="AJ1384" s="54"/>
      <c r="AK1384" s="54"/>
      <c r="AL1384" s="54"/>
      <c r="AM1384" s="54"/>
      <c r="AN1384" s="54"/>
      <c r="AO1384" s="54"/>
      <c r="AP1384" s="54"/>
      <c r="AQ1384" s="54"/>
      <c r="AR1384" s="54"/>
      <c r="AS1384" s="54"/>
      <c r="AT1384" s="54"/>
      <c r="AU1384" s="54"/>
      <c r="AV1384" s="54"/>
      <c r="AW1384" s="54"/>
      <c r="AX1384" s="54"/>
      <c r="AY1384" s="54"/>
      <c r="AZ1384" s="54"/>
      <c r="BA1384" s="54"/>
      <c r="BB1384" s="54"/>
      <c r="BC1384" s="56"/>
      <c r="BD1384" s="51"/>
      <c r="BE1384" s="54"/>
      <c r="BF1384" s="54"/>
      <c r="BG1384" s="47"/>
      <c r="BH1384" s="48"/>
      <c r="BI1384" s="48"/>
      <c r="BJ1384" s="48"/>
      <c r="BK1384" s="48"/>
      <c r="BL1384" s="48"/>
      <c r="BM1384" s="48"/>
      <c r="BN1384" s="48"/>
      <c r="BO1384" s="48"/>
      <c r="BP1384" s="48"/>
      <c r="BQ1384" s="48"/>
      <c r="BR1384" s="48"/>
      <c r="BS1384" s="48"/>
      <c r="BT1384" s="48"/>
      <c r="BU1384" s="48"/>
      <c r="BV1384" s="48"/>
      <c r="BW1384" s="48"/>
      <c r="BX1384" s="48"/>
      <c r="BY1384" s="48"/>
      <c r="BZ1384" s="48"/>
      <c r="CA1384" s="48"/>
      <c r="CB1384" s="48"/>
      <c r="CC1384" s="48"/>
      <c r="CD1384" s="48"/>
      <c r="CE1384" s="48"/>
      <c r="CF1384" s="52"/>
      <c r="CG1384" s="52"/>
      <c r="CH1384" s="48"/>
      <c r="CI1384" s="48"/>
      <c r="CJ1384" s="48"/>
      <c r="CK1384" s="48"/>
    </row>
    <row r="1385" spans="1:89" ht="15.75" customHeight="1" x14ac:dyDescent="0.3">
      <c r="A1385" s="47"/>
      <c r="B1385" s="48"/>
      <c r="C1385" s="47"/>
      <c r="D1385" s="48"/>
      <c r="E1385" s="48"/>
      <c r="F1385" s="48"/>
      <c r="G1385" s="48"/>
      <c r="H1385" s="48"/>
      <c r="I1385" s="49"/>
      <c r="J1385" s="47"/>
      <c r="K1385" s="47"/>
      <c r="L1385" s="47"/>
      <c r="M1385" s="47"/>
      <c r="N1385" s="47"/>
      <c r="O1385" s="47"/>
      <c r="P1385" s="47"/>
      <c r="Q1385" s="47"/>
      <c r="R1385" s="47"/>
      <c r="S1385" s="50"/>
      <c r="T1385" s="47"/>
      <c r="U1385" s="47"/>
      <c r="V1385" s="47"/>
      <c r="W1385" s="51"/>
      <c r="X1385" s="51"/>
      <c r="Y1385" s="47"/>
      <c r="Z1385" s="47"/>
      <c r="AA1385" s="47"/>
      <c r="AB1385" s="47"/>
      <c r="AC1385" s="47"/>
      <c r="AD1385" s="47"/>
      <c r="AE1385" s="54"/>
      <c r="AF1385" s="54"/>
      <c r="AG1385" s="55"/>
      <c r="AH1385" s="54"/>
      <c r="AI1385" s="54"/>
      <c r="AJ1385" s="54"/>
      <c r="AK1385" s="54"/>
      <c r="AL1385" s="54"/>
      <c r="AM1385" s="54"/>
      <c r="AN1385" s="54"/>
      <c r="AO1385" s="54"/>
      <c r="AP1385" s="54"/>
      <c r="AQ1385" s="54"/>
      <c r="AR1385" s="54"/>
      <c r="AS1385" s="54"/>
      <c r="AT1385" s="54"/>
      <c r="AU1385" s="54"/>
      <c r="AV1385" s="54"/>
      <c r="AW1385" s="54"/>
      <c r="AX1385" s="54"/>
      <c r="AY1385" s="54"/>
      <c r="AZ1385" s="54"/>
      <c r="BA1385" s="54"/>
      <c r="BB1385" s="54"/>
      <c r="BC1385" s="56"/>
      <c r="BD1385" s="51"/>
      <c r="BE1385" s="54"/>
      <c r="BF1385" s="54"/>
      <c r="BG1385" s="47"/>
      <c r="BH1385" s="48"/>
      <c r="BI1385" s="48"/>
      <c r="BJ1385" s="48"/>
      <c r="BK1385" s="48"/>
      <c r="BL1385" s="48"/>
      <c r="BM1385" s="48"/>
      <c r="BN1385" s="48"/>
      <c r="BO1385" s="48"/>
      <c r="BP1385" s="48"/>
      <c r="BQ1385" s="48"/>
      <c r="BR1385" s="48"/>
      <c r="BS1385" s="48"/>
      <c r="BT1385" s="48"/>
      <c r="BU1385" s="48"/>
      <c r="BV1385" s="48"/>
      <c r="BW1385" s="48"/>
      <c r="BX1385" s="48"/>
      <c r="BY1385" s="48"/>
      <c r="BZ1385" s="48"/>
      <c r="CA1385" s="48"/>
      <c r="CB1385" s="48"/>
      <c r="CC1385" s="48"/>
      <c r="CD1385" s="48"/>
      <c r="CE1385" s="48"/>
      <c r="CF1385" s="52"/>
      <c r="CG1385" s="52"/>
      <c r="CH1385" s="48"/>
      <c r="CI1385" s="48"/>
      <c r="CJ1385" s="48"/>
      <c r="CK1385" s="48"/>
    </row>
    <row r="1386" spans="1:89" ht="15.75" customHeight="1" x14ac:dyDescent="0.3">
      <c r="A1386" s="47"/>
      <c r="B1386" s="48"/>
      <c r="C1386" s="47"/>
      <c r="D1386" s="48"/>
      <c r="E1386" s="48"/>
      <c r="F1386" s="48"/>
      <c r="G1386" s="48"/>
      <c r="H1386" s="48"/>
      <c r="I1386" s="49"/>
      <c r="J1386" s="47"/>
      <c r="K1386" s="47"/>
      <c r="L1386" s="47"/>
      <c r="M1386" s="47"/>
      <c r="N1386" s="47"/>
      <c r="O1386" s="47"/>
      <c r="P1386" s="47"/>
      <c r="Q1386" s="47"/>
      <c r="R1386" s="47"/>
      <c r="S1386" s="50"/>
      <c r="T1386" s="47"/>
      <c r="U1386" s="47"/>
      <c r="V1386" s="47"/>
      <c r="W1386" s="51"/>
      <c r="X1386" s="51"/>
      <c r="Y1386" s="47"/>
      <c r="Z1386" s="47"/>
      <c r="AA1386" s="47"/>
      <c r="AB1386" s="47"/>
      <c r="AC1386" s="47"/>
      <c r="AD1386" s="47"/>
      <c r="AE1386" s="54"/>
      <c r="AF1386" s="54"/>
      <c r="AG1386" s="55"/>
      <c r="AH1386" s="54"/>
      <c r="AI1386" s="54"/>
      <c r="AJ1386" s="54"/>
      <c r="AK1386" s="54"/>
      <c r="AL1386" s="54"/>
      <c r="AM1386" s="54"/>
      <c r="AN1386" s="54"/>
      <c r="AO1386" s="54"/>
      <c r="AP1386" s="54"/>
      <c r="AQ1386" s="54"/>
      <c r="AR1386" s="54"/>
      <c r="AS1386" s="54"/>
      <c r="AT1386" s="54"/>
      <c r="AU1386" s="54"/>
      <c r="AV1386" s="54"/>
      <c r="AW1386" s="54"/>
      <c r="AX1386" s="54"/>
      <c r="AY1386" s="54"/>
      <c r="AZ1386" s="54"/>
      <c r="BA1386" s="54"/>
      <c r="BB1386" s="54"/>
      <c r="BC1386" s="56"/>
      <c r="BD1386" s="51"/>
      <c r="BE1386" s="54"/>
      <c r="BF1386" s="54"/>
      <c r="BG1386" s="47"/>
      <c r="BH1386" s="48"/>
      <c r="BI1386" s="48"/>
      <c r="BJ1386" s="48"/>
      <c r="BK1386" s="48"/>
      <c r="BL1386" s="48"/>
      <c r="BM1386" s="48"/>
      <c r="BN1386" s="48"/>
      <c r="BO1386" s="48"/>
      <c r="BP1386" s="48"/>
      <c r="BQ1386" s="48"/>
      <c r="BR1386" s="48"/>
      <c r="BS1386" s="48"/>
      <c r="BT1386" s="48"/>
      <c r="BU1386" s="48"/>
      <c r="BV1386" s="48"/>
      <c r="BW1386" s="48"/>
      <c r="BX1386" s="48"/>
      <c r="BY1386" s="48"/>
      <c r="BZ1386" s="48"/>
      <c r="CA1386" s="48"/>
      <c r="CB1386" s="48"/>
      <c r="CC1386" s="48"/>
      <c r="CD1386" s="48"/>
      <c r="CE1386" s="48"/>
      <c r="CF1386" s="52"/>
      <c r="CG1386" s="52"/>
      <c r="CH1386" s="48"/>
      <c r="CI1386" s="48"/>
      <c r="CJ1386" s="48"/>
      <c r="CK1386" s="48"/>
    </row>
    <row r="1387" spans="1:89" ht="15.75" customHeight="1" x14ac:dyDescent="0.3">
      <c r="A1387" s="47"/>
      <c r="B1387" s="48"/>
      <c r="C1387" s="47"/>
      <c r="D1387" s="48"/>
      <c r="E1387" s="48"/>
      <c r="F1387" s="48"/>
      <c r="G1387" s="48"/>
      <c r="H1387" s="48"/>
      <c r="I1387" s="49"/>
      <c r="J1387" s="47"/>
      <c r="K1387" s="47"/>
      <c r="L1387" s="47"/>
      <c r="M1387" s="47"/>
      <c r="N1387" s="47"/>
      <c r="O1387" s="47"/>
      <c r="P1387" s="47"/>
      <c r="Q1387" s="47"/>
      <c r="R1387" s="47"/>
      <c r="S1387" s="50"/>
      <c r="T1387" s="47"/>
      <c r="U1387" s="47"/>
      <c r="V1387" s="47"/>
      <c r="W1387" s="51"/>
      <c r="X1387" s="51"/>
      <c r="Y1387" s="47"/>
      <c r="Z1387" s="47"/>
      <c r="AA1387" s="47"/>
      <c r="AB1387" s="47"/>
      <c r="AC1387" s="47"/>
      <c r="AD1387" s="47"/>
      <c r="AE1387" s="54"/>
      <c r="AF1387" s="54"/>
      <c r="AG1387" s="55"/>
      <c r="AH1387" s="54"/>
      <c r="AI1387" s="54"/>
      <c r="AJ1387" s="54"/>
      <c r="AK1387" s="54"/>
      <c r="AL1387" s="54"/>
      <c r="AM1387" s="54"/>
      <c r="AN1387" s="54"/>
      <c r="AO1387" s="54"/>
      <c r="AP1387" s="54"/>
      <c r="AQ1387" s="54"/>
      <c r="AR1387" s="54"/>
      <c r="AS1387" s="54"/>
      <c r="AT1387" s="54"/>
      <c r="AU1387" s="54"/>
      <c r="AV1387" s="54"/>
      <c r="AW1387" s="54"/>
      <c r="AX1387" s="54"/>
      <c r="AY1387" s="54"/>
      <c r="AZ1387" s="54"/>
      <c r="BA1387" s="54"/>
      <c r="BB1387" s="54"/>
      <c r="BC1387" s="56"/>
      <c r="BD1387" s="51"/>
      <c r="BE1387" s="54"/>
      <c r="BF1387" s="54"/>
      <c r="BG1387" s="47"/>
      <c r="BH1387" s="48"/>
      <c r="BI1387" s="48"/>
      <c r="BJ1387" s="48"/>
      <c r="BK1387" s="48"/>
      <c r="BL1387" s="48"/>
      <c r="BM1387" s="48"/>
      <c r="BN1387" s="48"/>
      <c r="BO1387" s="48"/>
      <c r="BP1387" s="48"/>
      <c r="BQ1387" s="48"/>
      <c r="BR1387" s="48"/>
      <c r="BS1387" s="48"/>
      <c r="BT1387" s="48"/>
      <c r="BU1387" s="48"/>
      <c r="BV1387" s="48"/>
      <c r="BW1387" s="48"/>
      <c r="BX1387" s="48"/>
      <c r="BY1387" s="48"/>
      <c r="BZ1387" s="48"/>
      <c r="CA1387" s="48"/>
      <c r="CB1387" s="48"/>
      <c r="CC1387" s="48"/>
      <c r="CD1387" s="48"/>
      <c r="CE1387" s="48"/>
      <c r="CF1387" s="52"/>
      <c r="CG1387" s="52"/>
      <c r="CH1387" s="48"/>
      <c r="CI1387" s="48"/>
      <c r="CJ1387" s="48"/>
      <c r="CK1387" s="48"/>
    </row>
    <row r="1388" spans="1:89" ht="15.75" customHeight="1" x14ac:dyDescent="0.3">
      <c r="A1388" s="47"/>
      <c r="B1388" s="48"/>
      <c r="C1388" s="47"/>
      <c r="D1388" s="48"/>
      <c r="E1388" s="48"/>
      <c r="F1388" s="48"/>
      <c r="G1388" s="48"/>
      <c r="H1388" s="48"/>
      <c r="I1388" s="49"/>
      <c r="J1388" s="47"/>
      <c r="K1388" s="47"/>
      <c r="L1388" s="47"/>
      <c r="M1388" s="47"/>
      <c r="N1388" s="47"/>
      <c r="O1388" s="47"/>
      <c r="P1388" s="47"/>
      <c r="Q1388" s="47"/>
      <c r="R1388" s="47"/>
      <c r="S1388" s="50"/>
      <c r="T1388" s="47"/>
      <c r="U1388" s="47"/>
      <c r="V1388" s="47"/>
      <c r="W1388" s="51"/>
      <c r="X1388" s="51"/>
      <c r="Y1388" s="47"/>
      <c r="Z1388" s="47"/>
      <c r="AA1388" s="47"/>
      <c r="AB1388" s="47"/>
      <c r="AC1388" s="47"/>
      <c r="AD1388" s="47"/>
      <c r="AE1388" s="54"/>
      <c r="AF1388" s="54"/>
      <c r="AG1388" s="55"/>
      <c r="AH1388" s="54"/>
      <c r="AI1388" s="54"/>
      <c r="AJ1388" s="54"/>
      <c r="AK1388" s="54"/>
      <c r="AL1388" s="54"/>
      <c r="AM1388" s="54"/>
      <c r="AN1388" s="54"/>
      <c r="AO1388" s="54"/>
      <c r="AP1388" s="54"/>
      <c r="AQ1388" s="54"/>
      <c r="AR1388" s="54"/>
      <c r="AS1388" s="54"/>
      <c r="AT1388" s="54"/>
      <c r="AU1388" s="54"/>
      <c r="AV1388" s="54"/>
      <c r="AW1388" s="54"/>
      <c r="AX1388" s="54"/>
      <c r="AY1388" s="54"/>
      <c r="AZ1388" s="54"/>
      <c r="BA1388" s="54"/>
      <c r="BB1388" s="54"/>
      <c r="BC1388" s="56"/>
      <c r="BD1388" s="51"/>
      <c r="BE1388" s="54"/>
      <c r="BF1388" s="54"/>
      <c r="BG1388" s="47"/>
      <c r="BH1388" s="48"/>
      <c r="BI1388" s="48"/>
      <c r="BJ1388" s="48"/>
      <c r="BK1388" s="48"/>
      <c r="BL1388" s="48"/>
      <c r="BM1388" s="48"/>
      <c r="BN1388" s="48"/>
      <c r="BO1388" s="48"/>
      <c r="BP1388" s="48"/>
      <c r="BQ1388" s="48"/>
      <c r="BR1388" s="48"/>
      <c r="BS1388" s="48"/>
      <c r="BT1388" s="48"/>
      <c r="BU1388" s="48"/>
      <c r="BV1388" s="48"/>
      <c r="BW1388" s="48"/>
      <c r="BX1388" s="48"/>
      <c r="BY1388" s="48"/>
      <c r="BZ1388" s="48"/>
      <c r="CA1388" s="48"/>
      <c r="CB1388" s="48"/>
      <c r="CC1388" s="48"/>
      <c r="CD1388" s="48"/>
      <c r="CE1388" s="48"/>
      <c r="CF1388" s="52"/>
      <c r="CG1388" s="52"/>
      <c r="CH1388" s="48"/>
      <c r="CI1388" s="48"/>
      <c r="CJ1388" s="48"/>
      <c r="CK1388" s="48"/>
    </row>
    <row r="1389" spans="1:89" ht="15.75" customHeight="1" x14ac:dyDescent="0.3">
      <c r="A1389" s="47"/>
      <c r="B1389" s="48"/>
      <c r="C1389" s="47"/>
      <c r="D1389" s="48"/>
      <c r="E1389" s="48"/>
      <c r="F1389" s="48"/>
      <c r="G1389" s="48"/>
      <c r="H1389" s="48"/>
      <c r="I1389" s="49"/>
      <c r="J1389" s="47"/>
      <c r="K1389" s="47"/>
      <c r="L1389" s="47"/>
      <c r="M1389" s="47"/>
      <c r="N1389" s="47"/>
      <c r="O1389" s="47"/>
      <c r="P1389" s="47"/>
      <c r="Q1389" s="47"/>
      <c r="R1389" s="47"/>
      <c r="S1389" s="50"/>
      <c r="T1389" s="47"/>
      <c r="U1389" s="47"/>
      <c r="V1389" s="47"/>
      <c r="W1389" s="51"/>
      <c r="X1389" s="51"/>
      <c r="Y1389" s="47"/>
      <c r="Z1389" s="47"/>
      <c r="AA1389" s="47"/>
      <c r="AB1389" s="47"/>
      <c r="AC1389" s="47"/>
      <c r="AD1389" s="47"/>
      <c r="AE1389" s="54"/>
      <c r="AF1389" s="54"/>
      <c r="AG1389" s="55"/>
      <c r="AH1389" s="54"/>
      <c r="AI1389" s="54"/>
      <c r="AJ1389" s="54"/>
      <c r="AK1389" s="54"/>
      <c r="AL1389" s="54"/>
      <c r="AM1389" s="54"/>
      <c r="AN1389" s="54"/>
      <c r="AO1389" s="54"/>
      <c r="AP1389" s="54"/>
      <c r="AQ1389" s="54"/>
      <c r="AR1389" s="54"/>
      <c r="AS1389" s="54"/>
      <c r="AT1389" s="54"/>
      <c r="AU1389" s="54"/>
      <c r="AV1389" s="54"/>
      <c r="AW1389" s="54"/>
      <c r="AX1389" s="54"/>
      <c r="AY1389" s="54"/>
      <c r="AZ1389" s="54"/>
      <c r="BA1389" s="54"/>
      <c r="BB1389" s="54"/>
      <c r="BC1389" s="56"/>
      <c r="BD1389" s="51"/>
      <c r="BE1389" s="54"/>
      <c r="BF1389" s="54"/>
      <c r="BG1389" s="47"/>
      <c r="BH1389" s="48"/>
      <c r="BI1389" s="48"/>
      <c r="BJ1389" s="48"/>
      <c r="BK1389" s="48"/>
      <c r="BL1389" s="48"/>
      <c r="BM1389" s="48"/>
      <c r="BN1389" s="48"/>
      <c r="BO1389" s="48"/>
      <c r="BP1389" s="48"/>
      <c r="BQ1389" s="48"/>
      <c r="BR1389" s="48"/>
      <c r="BS1389" s="48"/>
      <c r="BT1389" s="48"/>
      <c r="BU1389" s="48"/>
      <c r="BV1389" s="48"/>
      <c r="BW1389" s="48"/>
      <c r="BX1389" s="48"/>
      <c r="BY1389" s="48"/>
      <c r="BZ1389" s="48"/>
      <c r="CA1389" s="48"/>
      <c r="CB1389" s="48"/>
      <c r="CC1389" s="48"/>
      <c r="CD1389" s="48"/>
      <c r="CE1389" s="48"/>
      <c r="CF1389" s="52"/>
      <c r="CG1389" s="52"/>
      <c r="CH1389" s="48"/>
      <c r="CI1389" s="48"/>
      <c r="CJ1389" s="48"/>
      <c r="CK1389" s="48"/>
    </row>
    <row r="1390" spans="1:89" ht="15.75" customHeight="1" x14ac:dyDescent="0.3">
      <c r="A1390" s="47"/>
      <c r="B1390" s="48"/>
      <c r="C1390" s="47"/>
      <c r="D1390" s="48"/>
      <c r="E1390" s="48"/>
      <c r="F1390" s="48"/>
      <c r="G1390" s="48"/>
      <c r="H1390" s="48"/>
      <c r="I1390" s="49"/>
      <c r="J1390" s="47"/>
      <c r="K1390" s="47"/>
      <c r="L1390" s="47"/>
      <c r="M1390" s="47"/>
      <c r="N1390" s="47"/>
      <c r="O1390" s="47"/>
      <c r="P1390" s="47"/>
      <c r="Q1390" s="47"/>
      <c r="R1390" s="47"/>
      <c r="S1390" s="50"/>
      <c r="T1390" s="47"/>
      <c r="U1390" s="47"/>
      <c r="V1390" s="47"/>
      <c r="W1390" s="51"/>
      <c r="X1390" s="51"/>
      <c r="Y1390" s="47"/>
      <c r="Z1390" s="47"/>
      <c r="AA1390" s="47"/>
      <c r="AB1390" s="47"/>
      <c r="AC1390" s="47"/>
      <c r="AD1390" s="47"/>
      <c r="AE1390" s="54"/>
      <c r="AF1390" s="54"/>
      <c r="AG1390" s="55"/>
      <c r="AH1390" s="54"/>
      <c r="AI1390" s="54"/>
      <c r="AJ1390" s="54"/>
      <c r="AK1390" s="54"/>
      <c r="AL1390" s="54"/>
      <c r="AM1390" s="54"/>
      <c r="AN1390" s="54"/>
      <c r="AO1390" s="54"/>
      <c r="AP1390" s="54"/>
      <c r="AQ1390" s="54"/>
      <c r="AR1390" s="54"/>
      <c r="AS1390" s="54"/>
      <c r="AT1390" s="54"/>
      <c r="AU1390" s="54"/>
      <c r="AV1390" s="54"/>
      <c r="AW1390" s="54"/>
      <c r="AX1390" s="54"/>
      <c r="AY1390" s="54"/>
      <c r="AZ1390" s="54"/>
      <c r="BA1390" s="54"/>
      <c r="BB1390" s="54"/>
      <c r="BC1390" s="56"/>
      <c r="BD1390" s="51"/>
      <c r="BE1390" s="54"/>
      <c r="BF1390" s="54"/>
      <c r="BG1390" s="47"/>
      <c r="BH1390" s="48"/>
      <c r="BI1390" s="48"/>
      <c r="BJ1390" s="48"/>
      <c r="BK1390" s="48"/>
      <c r="BL1390" s="48"/>
      <c r="BM1390" s="48"/>
      <c r="BN1390" s="48"/>
      <c r="BO1390" s="48"/>
      <c r="BP1390" s="48"/>
      <c r="BQ1390" s="48"/>
      <c r="BR1390" s="48"/>
      <c r="BS1390" s="48"/>
      <c r="BT1390" s="48"/>
      <c r="BU1390" s="48"/>
      <c r="BV1390" s="48"/>
      <c r="BW1390" s="48"/>
      <c r="BX1390" s="48"/>
      <c r="BY1390" s="48"/>
      <c r="BZ1390" s="48"/>
      <c r="CA1390" s="48"/>
      <c r="CB1390" s="48"/>
      <c r="CC1390" s="48"/>
      <c r="CD1390" s="48"/>
      <c r="CE1390" s="48"/>
      <c r="CF1390" s="52"/>
      <c r="CG1390" s="52"/>
      <c r="CH1390" s="48"/>
      <c r="CI1390" s="48"/>
      <c r="CJ1390" s="48"/>
      <c r="CK1390" s="48"/>
    </row>
    <row r="1391" spans="1:89" ht="15.75" customHeight="1" x14ac:dyDescent="0.3">
      <c r="A1391" s="47"/>
      <c r="B1391" s="48"/>
      <c r="C1391" s="47"/>
      <c r="D1391" s="48"/>
      <c r="E1391" s="48"/>
      <c r="F1391" s="48"/>
      <c r="G1391" s="48"/>
      <c r="H1391" s="48"/>
      <c r="I1391" s="49"/>
      <c r="J1391" s="47"/>
      <c r="K1391" s="47"/>
      <c r="L1391" s="47"/>
      <c r="M1391" s="47"/>
      <c r="N1391" s="47"/>
      <c r="O1391" s="47"/>
      <c r="P1391" s="47"/>
      <c r="Q1391" s="47"/>
      <c r="R1391" s="47"/>
      <c r="S1391" s="50"/>
      <c r="T1391" s="47"/>
      <c r="U1391" s="47"/>
      <c r="V1391" s="47"/>
      <c r="W1391" s="51"/>
      <c r="X1391" s="51"/>
      <c r="Y1391" s="47"/>
      <c r="Z1391" s="47"/>
      <c r="AA1391" s="47"/>
      <c r="AB1391" s="47"/>
      <c r="AC1391" s="47"/>
      <c r="AD1391" s="47"/>
      <c r="AE1391" s="54"/>
      <c r="AF1391" s="54"/>
      <c r="AG1391" s="55"/>
      <c r="AH1391" s="54"/>
      <c r="AI1391" s="54"/>
      <c r="AJ1391" s="54"/>
      <c r="AK1391" s="54"/>
      <c r="AL1391" s="54"/>
      <c r="AM1391" s="54"/>
      <c r="AN1391" s="54"/>
      <c r="AO1391" s="54"/>
      <c r="AP1391" s="54"/>
      <c r="AQ1391" s="54"/>
      <c r="AR1391" s="54"/>
      <c r="AS1391" s="54"/>
      <c r="AT1391" s="54"/>
      <c r="AU1391" s="54"/>
      <c r="AV1391" s="54"/>
      <c r="AW1391" s="54"/>
      <c r="AX1391" s="54"/>
      <c r="AY1391" s="54"/>
      <c r="AZ1391" s="54"/>
      <c r="BA1391" s="54"/>
      <c r="BB1391" s="54"/>
      <c r="BC1391" s="56"/>
      <c r="BD1391" s="51"/>
      <c r="BE1391" s="54"/>
      <c r="BF1391" s="54"/>
      <c r="BG1391" s="47"/>
      <c r="BH1391" s="48"/>
      <c r="BI1391" s="48"/>
      <c r="BJ1391" s="48"/>
      <c r="BK1391" s="48"/>
      <c r="BL1391" s="48"/>
      <c r="BM1391" s="48"/>
      <c r="BN1391" s="48"/>
      <c r="BO1391" s="48"/>
      <c r="BP1391" s="48"/>
      <c r="BQ1391" s="48"/>
      <c r="BR1391" s="48"/>
      <c r="BS1391" s="48"/>
      <c r="BT1391" s="48"/>
      <c r="BU1391" s="48"/>
      <c r="BV1391" s="48"/>
      <c r="BW1391" s="48"/>
      <c r="BX1391" s="48"/>
      <c r="BY1391" s="48"/>
      <c r="BZ1391" s="48"/>
      <c r="CA1391" s="48"/>
      <c r="CB1391" s="48"/>
      <c r="CC1391" s="48"/>
      <c r="CD1391" s="48"/>
      <c r="CE1391" s="48"/>
      <c r="CF1391" s="52"/>
      <c r="CG1391" s="52"/>
      <c r="CH1391" s="48"/>
      <c r="CI1391" s="48"/>
      <c r="CJ1391" s="48"/>
      <c r="CK1391" s="48"/>
    </row>
    <row r="1392" spans="1:89" ht="15.75" customHeight="1" x14ac:dyDescent="0.3">
      <c r="A1392" s="47"/>
      <c r="B1392" s="48"/>
      <c r="C1392" s="47"/>
      <c r="D1392" s="48"/>
      <c r="E1392" s="48"/>
      <c r="F1392" s="48"/>
      <c r="G1392" s="48"/>
      <c r="H1392" s="48"/>
      <c r="I1392" s="49"/>
      <c r="J1392" s="47"/>
      <c r="K1392" s="47"/>
      <c r="L1392" s="47"/>
      <c r="M1392" s="47"/>
      <c r="N1392" s="47"/>
      <c r="O1392" s="47"/>
      <c r="P1392" s="47"/>
      <c r="Q1392" s="47"/>
      <c r="R1392" s="47"/>
      <c r="S1392" s="50"/>
      <c r="T1392" s="47"/>
      <c r="U1392" s="47"/>
      <c r="V1392" s="47"/>
      <c r="W1392" s="51"/>
      <c r="X1392" s="51"/>
      <c r="Y1392" s="47"/>
      <c r="Z1392" s="47"/>
      <c r="AA1392" s="47"/>
      <c r="AB1392" s="47"/>
      <c r="AC1392" s="47"/>
      <c r="AD1392" s="47"/>
      <c r="AE1392" s="54"/>
      <c r="AF1392" s="54"/>
      <c r="AG1392" s="55"/>
      <c r="AH1392" s="54"/>
      <c r="AI1392" s="54"/>
      <c r="AJ1392" s="54"/>
      <c r="AK1392" s="54"/>
      <c r="AL1392" s="54"/>
      <c r="AM1392" s="54"/>
      <c r="AN1392" s="54"/>
      <c r="AO1392" s="54"/>
      <c r="AP1392" s="54"/>
      <c r="AQ1392" s="54"/>
      <c r="AR1392" s="54"/>
      <c r="AS1392" s="54"/>
      <c r="AT1392" s="54"/>
      <c r="AU1392" s="54"/>
      <c r="AV1392" s="54"/>
      <c r="AW1392" s="54"/>
      <c r="AX1392" s="54"/>
      <c r="AY1392" s="54"/>
      <c r="AZ1392" s="54"/>
      <c r="BA1392" s="54"/>
      <c r="BB1392" s="54"/>
      <c r="BC1392" s="56"/>
      <c r="BD1392" s="51"/>
      <c r="BE1392" s="54"/>
      <c r="BF1392" s="54"/>
      <c r="BG1392" s="47"/>
      <c r="BH1392" s="48"/>
      <c r="BI1392" s="48"/>
      <c r="BJ1392" s="48"/>
      <c r="BK1392" s="48"/>
      <c r="BL1392" s="48"/>
      <c r="BM1392" s="48"/>
      <c r="BN1392" s="48"/>
      <c r="BO1392" s="48"/>
      <c r="BP1392" s="48"/>
      <c r="BQ1392" s="48"/>
      <c r="BR1392" s="48"/>
      <c r="BS1392" s="48"/>
      <c r="BT1392" s="48"/>
      <c r="BU1392" s="48"/>
      <c r="BV1392" s="48"/>
      <c r="BW1392" s="48"/>
      <c r="BX1392" s="48"/>
      <c r="BY1392" s="48"/>
      <c r="BZ1392" s="48"/>
      <c r="CA1392" s="48"/>
      <c r="CB1392" s="48"/>
      <c r="CC1392" s="48"/>
      <c r="CD1392" s="48"/>
      <c r="CE1392" s="48"/>
      <c r="CF1392" s="52"/>
      <c r="CG1392" s="52"/>
      <c r="CH1392" s="48"/>
      <c r="CI1392" s="48"/>
      <c r="CJ1392" s="48"/>
      <c r="CK1392" s="48"/>
    </row>
    <row r="1393" spans="1:89" ht="15.75" customHeight="1" x14ac:dyDescent="0.3">
      <c r="A1393" s="47"/>
      <c r="B1393" s="48"/>
      <c r="C1393" s="47"/>
      <c r="D1393" s="48"/>
      <c r="E1393" s="48"/>
      <c r="F1393" s="48"/>
      <c r="G1393" s="48"/>
      <c r="H1393" s="48"/>
      <c r="I1393" s="49"/>
      <c r="J1393" s="47"/>
      <c r="K1393" s="47"/>
      <c r="L1393" s="47"/>
      <c r="M1393" s="47"/>
      <c r="N1393" s="47"/>
      <c r="O1393" s="47"/>
      <c r="P1393" s="47"/>
      <c r="Q1393" s="47"/>
      <c r="R1393" s="47"/>
      <c r="S1393" s="50"/>
      <c r="T1393" s="47"/>
      <c r="U1393" s="47"/>
      <c r="V1393" s="47"/>
      <c r="W1393" s="51"/>
      <c r="X1393" s="51"/>
      <c r="Y1393" s="47"/>
      <c r="Z1393" s="47"/>
      <c r="AA1393" s="47"/>
      <c r="AB1393" s="47"/>
      <c r="AC1393" s="47"/>
      <c r="AD1393" s="47"/>
      <c r="AE1393" s="54"/>
      <c r="AF1393" s="54"/>
      <c r="AG1393" s="55"/>
      <c r="AH1393" s="54"/>
      <c r="AI1393" s="54"/>
      <c r="AJ1393" s="54"/>
      <c r="AK1393" s="54"/>
      <c r="AL1393" s="54"/>
      <c r="AM1393" s="54"/>
      <c r="AN1393" s="54"/>
      <c r="AO1393" s="54"/>
      <c r="AP1393" s="54"/>
      <c r="AQ1393" s="54"/>
      <c r="AR1393" s="54"/>
      <c r="AS1393" s="54"/>
      <c r="AT1393" s="54"/>
      <c r="AU1393" s="54"/>
      <c r="AV1393" s="54"/>
      <c r="AW1393" s="54"/>
      <c r="AX1393" s="54"/>
      <c r="AY1393" s="54"/>
      <c r="AZ1393" s="54"/>
      <c r="BA1393" s="54"/>
      <c r="BB1393" s="54"/>
      <c r="BC1393" s="56"/>
      <c r="BD1393" s="51"/>
      <c r="BE1393" s="54"/>
      <c r="BF1393" s="54"/>
      <c r="BG1393" s="47"/>
      <c r="BH1393" s="48"/>
      <c r="BI1393" s="48"/>
      <c r="BJ1393" s="48"/>
      <c r="BK1393" s="48"/>
      <c r="BL1393" s="48"/>
      <c r="BM1393" s="48"/>
      <c r="BN1393" s="48"/>
      <c r="BO1393" s="48"/>
      <c r="BP1393" s="48"/>
      <c r="BQ1393" s="48"/>
      <c r="BR1393" s="48"/>
      <c r="BS1393" s="48"/>
      <c r="BT1393" s="48"/>
      <c r="BU1393" s="48"/>
      <c r="BV1393" s="48"/>
      <c r="BW1393" s="48"/>
      <c r="BX1393" s="48"/>
      <c r="BY1393" s="48"/>
      <c r="BZ1393" s="48"/>
      <c r="CA1393" s="48"/>
      <c r="CB1393" s="48"/>
      <c r="CC1393" s="48"/>
      <c r="CD1393" s="48"/>
      <c r="CE1393" s="48"/>
      <c r="CF1393" s="52"/>
      <c r="CG1393" s="52"/>
      <c r="CH1393" s="48"/>
      <c r="CI1393" s="48"/>
      <c r="CJ1393" s="48"/>
      <c r="CK1393" s="48"/>
    </row>
    <row r="1394" spans="1:89" ht="15.75" customHeight="1" x14ac:dyDescent="0.3">
      <c r="A1394" s="47"/>
      <c r="B1394" s="48"/>
      <c r="C1394" s="47"/>
      <c r="D1394" s="48"/>
      <c r="E1394" s="48"/>
      <c r="F1394" s="48"/>
      <c r="G1394" s="48"/>
      <c r="H1394" s="48"/>
      <c r="I1394" s="49"/>
      <c r="J1394" s="47"/>
      <c r="K1394" s="47"/>
      <c r="L1394" s="47"/>
      <c r="M1394" s="47"/>
      <c r="N1394" s="47"/>
      <c r="O1394" s="47"/>
      <c r="P1394" s="47"/>
      <c r="Q1394" s="47"/>
      <c r="R1394" s="47"/>
      <c r="S1394" s="50"/>
      <c r="T1394" s="47"/>
      <c r="U1394" s="47"/>
      <c r="V1394" s="47"/>
      <c r="W1394" s="51"/>
      <c r="X1394" s="51"/>
      <c r="Y1394" s="47"/>
      <c r="Z1394" s="47"/>
      <c r="AA1394" s="47"/>
      <c r="AB1394" s="47"/>
      <c r="AC1394" s="47"/>
      <c r="AD1394" s="47"/>
      <c r="AE1394" s="54"/>
      <c r="AF1394" s="54"/>
      <c r="AG1394" s="55"/>
      <c r="AH1394" s="54"/>
      <c r="AI1394" s="54"/>
      <c r="AJ1394" s="54"/>
      <c r="AK1394" s="54"/>
      <c r="AL1394" s="54"/>
      <c r="AM1394" s="54"/>
      <c r="AN1394" s="54"/>
      <c r="AO1394" s="54"/>
      <c r="AP1394" s="54"/>
      <c r="AQ1394" s="54"/>
      <c r="AR1394" s="54"/>
      <c r="AS1394" s="54"/>
      <c r="AT1394" s="54"/>
      <c r="AU1394" s="54"/>
      <c r="AV1394" s="54"/>
      <c r="AW1394" s="54"/>
      <c r="AX1394" s="54"/>
      <c r="AY1394" s="54"/>
      <c r="AZ1394" s="54"/>
      <c r="BA1394" s="54"/>
      <c r="BB1394" s="54"/>
      <c r="BC1394" s="56"/>
      <c r="BD1394" s="51"/>
      <c r="BE1394" s="54"/>
      <c r="BF1394" s="54"/>
      <c r="BG1394" s="47"/>
      <c r="BH1394" s="48"/>
      <c r="BI1394" s="48"/>
      <c r="BJ1394" s="48"/>
      <c r="BK1394" s="48"/>
      <c r="BL1394" s="48"/>
      <c r="BM1394" s="48"/>
      <c r="BN1394" s="48"/>
      <c r="BO1394" s="48"/>
      <c r="BP1394" s="48"/>
      <c r="BQ1394" s="48"/>
      <c r="BR1394" s="48"/>
      <c r="BS1394" s="48"/>
      <c r="BT1394" s="48"/>
      <c r="BU1394" s="48"/>
      <c r="BV1394" s="48"/>
      <c r="BW1394" s="48"/>
      <c r="BX1394" s="48"/>
      <c r="BY1394" s="48"/>
      <c r="BZ1394" s="48"/>
      <c r="CA1394" s="48"/>
      <c r="CB1394" s="48"/>
      <c r="CC1394" s="48"/>
      <c r="CD1394" s="48"/>
      <c r="CE1394" s="48"/>
      <c r="CF1394" s="52"/>
      <c r="CG1394" s="52"/>
      <c r="CH1394" s="48"/>
      <c r="CI1394" s="48"/>
      <c r="CJ1394" s="48"/>
      <c r="CK1394" s="48"/>
    </row>
    <row r="1395" spans="1:89" ht="15.75" customHeight="1" x14ac:dyDescent="0.3">
      <c r="A1395" s="47"/>
      <c r="B1395" s="48"/>
      <c r="C1395" s="47"/>
      <c r="D1395" s="48"/>
      <c r="E1395" s="48"/>
      <c r="F1395" s="48"/>
      <c r="G1395" s="48"/>
      <c r="H1395" s="48"/>
      <c r="I1395" s="49"/>
      <c r="J1395" s="47"/>
      <c r="K1395" s="47"/>
      <c r="L1395" s="47"/>
      <c r="M1395" s="47"/>
      <c r="N1395" s="47"/>
      <c r="O1395" s="47"/>
      <c r="P1395" s="47"/>
      <c r="Q1395" s="47"/>
      <c r="R1395" s="47"/>
      <c r="S1395" s="50"/>
      <c r="T1395" s="47"/>
      <c r="U1395" s="47"/>
      <c r="V1395" s="47"/>
      <c r="W1395" s="51"/>
      <c r="X1395" s="51"/>
      <c r="Y1395" s="47"/>
      <c r="Z1395" s="47"/>
      <c r="AA1395" s="47"/>
      <c r="AB1395" s="47"/>
      <c r="AC1395" s="47"/>
      <c r="AD1395" s="47"/>
      <c r="AE1395" s="54"/>
      <c r="AF1395" s="54"/>
      <c r="AG1395" s="55"/>
      <c r="AH1395" s="54"/>
      <c r="AI1395" s="54"/>
      <c r="AJ1395" s="54"/>
      <c r="AK1395" s="54"/>
      <c r="AL1395" s="54"/>
      <c r="AM1395" s="54"/>
      <c r="AN1395" s="54"/>
      <c r="AO1395" s="54"/>
      <c r="AP1395" s="54"/>
      <c r="AQ1395" s="54"/>
      <c r="AR1395" s="54"/>
      <c r="AS1395" s="54"/>
      <c r="AT1395" s="54"/>
      <c r="AU1395" s="54"/>
      <c r="AV1395" s="54"/>
      <c r="AW1395" s="54"/>
      <c r="AX1395" s="54"/>
      <c r="AY1395" s="54"/>
      <c r="AZ1395" s="54"/>
      <c r="BA1395" s="54"/>
      <c r="BB1395" s="54"/>
      <c r="BC1395" s="56"/>
      <c r="BD1395" s="51"/>
      <c r="BE1395" s="54"/>
      <c r="BF1395" s="54"/>
      <c r="BG1395" s="47"/>
      <c r="BH1395" s="48"/>
      <c r="BI1395" s="48"/>
      <c r="BJ1395" s="48"/>
      <c r="BK1395" s="48"/>
      <c r="BL1395" s="48"/>
      <c r="BM1395" s="48"/>
      <c r="BN1395" s="48"/>
      <c r="BO1395" s="48"/>
      <c r="BP1395" s="48"/>
      <c r="BQ1395" s="48"/>
      <c r="BR1395" s="48"/>
      <c r="BS1395" s="48"/>
      <c r="BT1395" s="48"/>
      <c r="BU1395" s="48"/>
      <c r="BV1395" s="48"/>
      <c r="BW1395" s="48"/>
      <c r="BX1395" s="48"/>
      <c r="BY1395" s="48"/>
      <c r="BZ1395" s="48"/>
      <c r="CA1395" s="48"/>
      <c r="CB1395" s="48"/>
      <c r="CC1395" s="48"/>
      <c r="CD1395" s="48"/>
      <c r="CE1395" s="48"/>
      <c r="CF1395" s="52"/>
      <c r="CG1395" s="52"/>
      <c r="CH1395" s="48"/>
      <c r="CI1395" s="48"/>
      <c r="CJ1395" s="48"/>
      <c r="CK1395" s="48"/>
    </row>
    <row r="1396" spans="1:89" ht="15.75" customHeight="1" x14ac:dyDescent="0.3">
      <c r="A1396" s="47"/>
      <c r="B1396" s="48"/>
      <c r="C1396" s="47"/>
      <c r="D1396" s="48"/>
      <c r="E1396" s="48"/>
      <c r="F1396" s="48"/>
      <c r="G1396" s="48"/>
      <c r="H1396" s="48"/>
      <c r="I1396" s="49"/>
      <c r="J1396" s="47"/>
      <c r="K1396" s="47"/>
      <c r="L1396" s="47"/>
      <c r="M1396" s="47"/>
      <c r="N1396" s="47"/>
      <c r="O1396" s="47"/>
      <c r="P1396" s="47"/>
      <c r="Q1396" s="47"/>
      <c r="R1396" s="47"/>
      <c r="S1396" s="50"/>
      <c r="T1396" s="47"/>
      <c r="U1396" s="47"/>
      <c r="V1396" s="47"/>
      <c r="W1396" s="51"/>
      <c r="X1396" s="51"/>
      <c r="Y1396" s="47"/>
      <c r="Z1396" s="47"/>
      <c r="AA1396" s="47"/>
      <c r="AB1396" s="47"/>
      <c r="AC1396" s="47"/>
      <c r="AD1396" s="47"/>
      <c r="AE1396" s="54"/>
      <c r="AF1396" s="54"/>
      <c r="AG1396" s="55"/>
      <c r="AH1396" s="54"/>
      <c r="AI1396" s="54"/>
      <c r="AJ1396" s="54"/>
      <c r="AK1396" s="54"/>
      <c r="AL1396" s="54"/>
      <c r="AM1396" s="54"/>
      <c r="AN1396" s="54"/>
      <c r="AO1396" s="54"/>
      <c r="AP1396" s="54"/>
      <c r="AQ1396" s="54"/>
      <c r="AR1396" s="54"/>
      <c r="AS1396" s="54"/>
      <c r="AT1396" s="54"/>
      <c r="AU1396" s="54"/>
      <c r="AV1396" s="54"/>
      <c r="AW1396" s="54"/>
      <c r="AX1396" s="54"/>
      <c r="AY1396" s="54"/>
      <c r="AZ1396" s="54"/>
      <c r="BA1396" s="54"/>
      <c r="BB1396" s="54"/>
      <c r="BC1396" s="56"/>
      <c r="BD1396" s="51"/>
      <c r="BE1396" s="54"/>
      <c r="BF1396" s="54"/>
      <c r="BG1396" s="47"/>
      <c r="BH1396" s="48"/>
      <c r="BI1396" s="48"/>
      <c r="BJ1396" s="48"/>
      <c r="BK1396" s="48"/>
      <c r="BL1396" s="48"/>
      <c r="BM1396" s="48"/>
      <c r="BN1396" s="48"/>
      <c r="BO1396" s="48"/>
      <c r="BP1396" s="48"/>
      <c r="BQ1396" s="48"/>
      <c r="BR1396" s="48"/>
      <c r="BS1396" s="48"/>
      <c r="BT1396" s="48"/>
      <c r="BU1396" s="48"/>
      <c r="BV1396" s="48"/>
      <c r="BW1396" s="48"/>
      <c r="BX1396" s="48"/>
      <c r="BY1396" s="48"/>
      <c r="BZ1396" s="48"/>
      <c r="CA1396" s="48"/>
      <c r="CB1396" s="48"/>
      <c r="CC1396" s="48"/>
      <c r="CD1396" s="48"/>
      <c r="CE1396" s="48"/>
      <c r="CF1396" s="52"/>
      <c r="CG1396" s="52"/>
      <c r="CH1396" s="48"/>
      <c r="CI1396" s="48"/>
      <c r="CJ1396" s="48"/>
      <c r="CK1396" s="48"/>
    </row>
    <row r="1397" spans="1:89" ht="15.75" customHeight="1" x14ac:dyDescent="0.3">
      <c r="A1397" s="47"/>
      <c r="B1397" s="48"/>
      <c r="C1397" s="47"/>
      <c r="D1397" s="48"/>
      <c r="E1397" s="48"/>
      <c r="F1397" s="48"/>
      <c r="G1397" s="48"/>
      <c r="H1397" s="48"/>
      <c r="I1397" s="49"/>
      <c r="J1397" s="47"/>
      <c r="K1397" s="47"/>
      <c r="L1397" s="47"/>
      <c r="M1397" s="47"/>
      <c r="N1397" s="47"/>
      <c r="O1397" s="47"/>
      <c r="P1397" s="47"/>
      <c r="Q1397" s="47"/>
      <c r="R1397" s="47"/>
      <c r="S1397" s="50"/>
      <c r="T1397" s="47"/>
      <c r="U1397" s="47"/>
      <c r="V1397" s="47"/>
      <c r="W1397" s="51"/>
      <c r="X1397" s="51"/>
      <c r="Y1397" s="47"/>
      <c r="Z1397" s="47"/>
      <c r="AA1397" s="47"/>
      <c r="AB1397" s="47"/>
      <c r="AC1397" s="47"/>
      <c r="AD1397" s="47"/>
      <c r="AE1397" s="54"/>
      <c r="AF1397" s="54"/>
      <c r="AG1397" s="55"/>
      <c r="AH1397" s="54"/>
      <c r="AI1397" s="54"/>
      <c r="AJ1397" s="54"/>
      <c r="AK1397" s="54"/>
      <c r="AL1397" s="54"/>
      <c r="AM1397" s="54"/>
      <c r="AN1397" s="54"/>
      <c r="AO1397" s="54"/>
      <c r="AP1397" s="54"/>
      <c r="AQ1397" s="54"/>
      <c r="AR1397" s="54"/>
      <c r="AS1397" s="54"/>
      <c r="AT1397" s="54"/>
      <c r="AU1397" s="54"/>
      <c r="AV1397" s="54"/>
      <c r="AW1397" s="54"/>
      <c r="AX1397" s="54"/>
      <c r="AY1397" s="54"/>
      <c r="AZ1397" s="54"/>
      <c r="BA1397" s="54"/>
      <c r="BB1397" s="54"/>
      <c r="BC1397" s="56"/>
      <c r="BD1397" s="51"/>
      <c r="BE1397" s="54"/>
      <c r="BF1397" s="54"/>
      <c r="BG1397" s="47"/>
      <c r="BH1397" s="48"/>
      <c r="BI1397" s="48"/>
      <c r="BJ1397" s="48"/>
      <c r="BK1397" s="48"/>
      <c r="BL1397" s="48"/>
      <c r="BM1397" s="48"/>
      <c r="BN1397" s="48"/>
      <c r="BO1397" s="48"/>
      <c r="BP1397" s="48"/>
      <c r="BQ1397" s="48"/>
      <c r="BR1397" s="48"/>
      <c r="BS1397" s="48"/>
      <c r="BT1397" s="48"/>
      <c r="BU1397" s="48"/>
      <c r="BV1397" s="48"/>
      <c r="BW1397" s="48"/>
      <c r="BX1397" s="48"/>
      <c r="BY1397" s="48"/>
      <c r="BZ1397" s="48"/>
      <c r="CA1397" s="48"/>
      <c r="CB1397" s="48"/>
      <c r="CC1397" s="48"/>
      <c r="CD1397" s="48"/>
      <c r="CE1397" s="48"/>
      <c r="CF1397" s="52"/>
      <c r="CG1397" s="52"/>
      <c r="CH1397" s="48"/>
      <c r="CI1397" s="48"/>
      <c r="CJ1397" s="48"/>
      <c r="CK1397" s="48"/>
    </row>
    <row r="1398" spans="1:89" ht="15.75" customHeight="1" x14ac:dyDescent="0.3">
      <c r="A1398" s="47"/>
      <c r="B1398" s="48"/>
      <c r="C1398" s="47"/>
      <c r="D1398" s="48"/>
      <c r="E1398" s="48"/>
      <c r="F1398" s="48"/>
      <c r="G1398" s="48"/>
      <c r="H1398" s="48"/>
      <c r="I1398" s="49"/>
      <c r="J1398" s="47"/>
      <c r="K1398" s="47"/>
      <c r="L1398" s="47"/>
      <c r="M1398" s="47"/>
      <c r="N1398" s="47"/>
      <c r="O1398" s="47"/>
      <c r="P1398" s="47"/>
      <c r="Q1398" s="47"/>
      <c r="R1398" s="47"/>
      <c r="S1398" s="50"/>
      <c r="T1398" s="47"/>
      <c r="U1398" s="47"/>
      <c r="V1398" s="47"/>
      <c r="W1398" s="51"/>
      <c r="X1398" s="51"/>
      <c r="Y1398" s="47"/>
      <c r="Z1398" s="47"/>
      <c r="AA1398" s="47"/>
      <c r="AB1398" s="47"/>
      <c r="AC1398" s="47"/>
      <c r="AD1398" s="47"/>
      <c r="AE1398" s="54"/>
      <c r="AF1398" s="54"/>
      <c r="AG1398" s="55"/>
      <c r="AH1398" s="54"/>
      <c r="AI1398" s="54"/>
      <c r="AJ1398" s="54"/>
      <c r="AK1398" s="54"/>
      <c r="AL1398" s="54"/>
      <c r="AM1398" s="54"/>
      <c r="AN1398" s="54"/>
      <c r="AO1398" s="54"/>
      <c r="AP1398" s="54"/>
      <c r="AQ1398" s="54"/>
      <c r="AR1398" s="54"/>
      <c r="AS1398" s="54"/>
      <c r="AT1398" s="54"/>
      <c r="AU1398" s="54"/>
      <c r="AV1398" s="54"/>
      <c r="AW1398" s="54"/>
      <c r="AX1398" s="54"/>
      <c r="AY1398" s="54"/>
      <c r="AZ1398" s="54"/>
      <c r="BA1398" s="54"/>
      <c r="BB1398" s="54"/>
      <c r="BC1398" s="56"/>
      <c r="BD1398" s="51"/>
      <c r="BE1398" s="54"/>
      <c r="BF1398" s="54"/>
      <c r="BG1398" s="47"/>
      <c r="BH1398" s="48"/>
      <c r="BI1398" s="48"/>
      <c r="BJ1398" s="48"/>
      <c r="BK1398" s="48"/>
      <c r="BL1398" s="48"/>
      <c r="BM1398" s="48"/>
      <c r="BN1398" s="48"/>
      <c r="BO1398" s="48"/>
      <c r="BP1398" s="48"/>
      <c r="BQ1398" s="48"/>
      <c r="BR1398" s="48"/>
      <c r="BS1398" s="48"/>
      <c r="BT1398" s="48"/>
      <c r="BU1398" s="48"/>
      <c r="BV1398" s="48"/>
      <c r="BW1398" s="48"/>
      <c r="BX1398" s="48"/>
      <c r="BY1398" s="48"/>
      <c r="BZ1398" s="48"/>
      <c r="CA1398" s="48"/>
      <c r="CB1398" s="48"/>
      <c r="CC1398" s="48"/>
      <c r="CD1398" s="48"/>
      <c r="CE1398" s="48"/>
      <c r="CF1398" s="52"/>
      <c r="CG1398" s="52"/>
      <c r="CH1398" s="48"/>
      <c r="CI1398" s="48"/>
      <c r="CJ1398" s="48"/>
      <c r="CK1398" s="48"/>
    </row>
    <row r="1399" spans="1:89" ht="15.75" customHeight="1" x14ac:dyDescent="0.3">
      <c r="A1399" s="47"/>
      <c r="B1399" s="48"/>
      <c r="C1399" s="47"/>
      <c r="D1399" s="48"/>
      <c r="E1399" s="48"/>
      <c r="F1399" s="48"/>
      <c r="G1399" s="48"/>
      <c r="H1399" s="48"/>
      <c r="I1399" s="49"/>
      <c r="J1399" s="47"/>
      <c r="K1399" s="47"/>
      <c r="L1399" s="47"/>
      <c r="M1399" s="47"/>
      <c r="N1399" s="47"/>
      <c r="O1399" s="47"/>
      <c r="P1399" s="47"/>
      <c r="Q1399" s="47"/>
      <c r="R1399" s="47"/>
      <c r="S1399" s="50"/>
      <c r="T1399" s="47"/>
      <c r="U1399" s="47"/>
      <c r="V1399" s="47"/>
      <c r="W1399" s="51"/>
      <c r="X1399" s="51"/>
      <c r="Y1399" s="47"/>
      <c r="Z1399" s="47"/>
      <c r="AA1399" s="47"/>
      <c r="AB1399" s="47"/>
      <c r="AC1399" s="47"/>
      <c r="AD1399" s="47"/>
      <c r="AE1399" s="54"/>
      <c r="AF1399" s="54"/>
      <c r="AG1399" s="55"/>
      <c r="AH1399" s="54"/>
      <c r="AI1399" s="54"/>
      <c r="AJ1399" s="54"/>
      <c r="AK1399" s="54"/>
      <c r="AL1399" s="54"/>
      <c r="AM1399" s="54"/>
      <c r="AN1399" s="54"/>
      <c r="AO1399" s="54"/>
      <c r="AP1399" s="54"/>
      <c r="AQ1399" s="54"/>
      <c r="AR1399" s="54"/>
      <c r="AS1399" s="54"/>
      <c r="AT1399" s="54"/>
      <c r="AU1399" s="54"/>
      <c r="AV1399" s="54"/>
      <c r="AW1399" s="54"/>
      <c r="AX1399" s="54"/>
      <c r="AY1399" s="54"/>
      <c r="AZ1399" s="54"/>
      <c r="BA1399" s="54"/>
      <c r="BB1399" s="54"/>
      <c r="BC1399" s="56"/>
      <c r="BD1399" s="51"/>
      <c r="BE1399" s="54"/>
      <c r="BF1399" s="54"/>
      <c r="BG1399" s="47"/>
      <c r="BH1399" s="48"/>
      <c r="BI1399" s="48"/>
      <c r="BJ1399" s="48"/>
      <c r="BK1399" s="48"/>
      <c r="BL1399" s="48"/>
      <c r="BM1399" s="48"/>
      <c r="BN1399" s="48"/>
      <c r="BO1399" s="48"/>
      <c r="BP1399" s="48"/>
      <c r="BQ1399" s="48"/>
      <c r="BR1399" s="48"/>
      <c r="BS1399" s="48"/>
      <c r="BT1399" s="48"/>
      <c r="BU1399" s="48"/>
      <c r="BV1399" s="48"/>
      <c r="BW1399" s="48"/>
      <c r="BX1399" s="48"/>
      <c r="BY1399" s="48"/>
      <c r="BZ1399" s="48"/>
      <c r="CA1399" s="48"/>
      <c r="CB1399" s="48"/>
      <c r="CC1399" s="48"/>
      <c r="CD1399" s="48"/>
      <c r="CE1399" s="48"/>
      <c r="CF1399" s="52"/>
      <c r="CG1399" s="52"/>
      <c r="CH1399" s="48"/>
      <c r="CI1399" s="48"/>
      <c r="CJ1399" s="48"/>
      <c r="CK1399" s="48"/>
    </row>
    <row r="1400" spans="1:89" ht="15.75" customHeight="1" x14ac:dyDescent="0.3">
      <c r="A1400" s="47"/>
      <c r="B1400" s="48"/>
      <c r="C1400" s="47"/>
      <c r="D1400" s="48"/>
      <c r="E1400" s="48"/>
      <c r="F1400" s="48"/>
      <c r="G1400" s="48"/>
      <c r="H1400" s="48"/>
      <c r="I1400" s="49"/>
      <c r="J1400" s="47"/>
      <c r="K1400" s="47"/>
      <c r="L1400" s="47"/>
      <c r="M1400" s="47"/>
      <c r="N1400" s="47"/>
      <c r="O1400" s="47"/>
      <c r="P1400" s="47"/>
      <c r="Q1400" s="47"/>
      <c r="R1400" s="47"/>
      <c r="S1400" s="50"/>
      <c r="T1400" s="47"/>
      <c r="U1400" s="47"/>
      <c r="V1400" s="47"/>
      <c r="W1400" s="51"/>
      <c r="X1400" s="51"/>
      <c r="Y1400" s="47"/>
      <c r="Z1400" s="47"/>
      <c r="AA1400" s="47"/>
      <c r="AB1400" s="47"/>
      <c r="AC1400" s="47"/>
      <c r="AD1400" s="47"/>
      <c r="AE1400" s="54"/>
      <c r="AF1400" s="54"/>
      <c r="AG1400" s="55"/>
      <c r="AH1400" s="54"/>
      <c r="AI1400" s="54"/>
      <c r="AJ1400" s="54"/>
      <c r="AK1400" s="54"/>
      <c r="AL1400" s="54"/>
      <c r="AM1400" s="54"/>
      <c r="AN1400" s="54"/>
      <c r="AO1400" s="54"/>
      <c r="AP1400" s="54"/>
      <c r="AQ1400" s="54"/>
      <c r="AR1400" s="54"/>
      <c r="AS1400" s="54"/>
      <c r="AT1400" s="54"/>
      <c r="AU1400" s="54"/>
      <c r="AV1400" s="54"/>
      <c r="AW1400" s="54"/>
      <c r="AX1400" s="54"/>
      <c r="AY1400" s="54"/>
      <c r="AZ1400" s="54"/>
      <c r="BA1400" s="54"/>
      <c r="BB1400" s="54"/>
      <c r="BC1400" s="56"/>
      <c r="BD1400" s="51"/>
      <c r="BE1400" s="54"/>
      <c r="BF1400" s="54"/>
      <c r="BG1400" s="47"/>
      <c r="BH1400" s="48"/>
      <c r="BI1400" s="48"/>
      <c r="BJ1400" s="48"/>
      <c r="BK1400" s="48"/>
      <c r="BL1400" s="48"/>
      <c r="BM1400" s="48"/>
      <c r="BN1400" s="48"/>
      <c r="BO1400" s="48"/>
      <c r="BP1400" s="48"/>
      <c r="BQ1400" s="48"/>
      <c r="BR1400" s="48"/>
      <c r="BS1400" s="48"/>
      <c r="BT1400" s="48"/>
      <c r="BU1400" s="48"/>
      <c r="BV1400" s="48"/>
      <c r="BW1400" s="48"/>
      <c r="BX1400" s="48"/>
      <c r="BY1400" s="48"/>
      <c r="BZ1400" s="48"/>
      <c r="CA1400" s="48"/>
      <c r="CB1400" s="48"/>
      <c r="CC1400" s="48"/>
      <c r="CD1400" s="48"/>
      <c r="CE1400" s="48"/>
      <c r="CF1400" s="52"/>
      <c r="CG1400" s="52"/>
      <c r="CH1400" s="48"/>
      <c r="CI1400" s="48"/>
      <c r="CJ1400" s="48"/>
      <c r="CK1400" s="48"/>
    </row>
    <row r="1401" spans="1:89" ht="15.75" customHeight="1" x14ac:dyDescent="0.3">
      <c r="A1401" s="47"/>
      <c r="B1401" s="48"/>
      <c r="C1401" s="47"/>
      <c r="D1401" s="48"/>
      <c r="E1401" s="48"/>
      <c r="F1401" s="48"/>
      <c r="G1401" s="48"/>
      <c r="H1401" s="48"/>
      <c r="I1401" s="49"/>
      <c r="J1401" s="47"/>
      <c r="K1401" s="47"/>
      <c r="L1401" s="47"/>
      <c r="M1401" s="47"/>
      <c r="N1401" s="47"/>
      <c r="O1401" s="47"/>
      <c r="P1401" s="47"/>
      <c r="Q1401" s="47"/>
      <c r="R1401" s="47"/>
      <c r="S1401" s="50"/>
      <c r="T1401" s="47"/>
      <c r="U1401" s="47"/>
      <c r="V1401" s="47"/>
      <c r="W1401" s="51"/>
      <c r="X1401" s="51"/>
      <c r="Y1401" s="47"/>
      <c r="Z1401" s="47"/>
      <c r="AA1401" s="47"/>
      <c r="AB1401" s="47"/>
      <c r="AC1401" s="47"/>
      <c r="AD1401" s="47"/>
      <c r="AE1401" s="54"/>
      <c r="AF1401" s="54"/>
      <c r="AG1401" s="55"/>
      <c r="AH1401" s="54"/>
      <c r="AI1401" s="54"/>
      <c r="AJ1401" s="54"/>
      <c r="AK1401" s="54"/>
      <c r="AL1401" s="54"/>
      <c r="AM1401" s="54"/>
      <c r="AN1401" s="54"/>
      <c r="AO1401" s="54"/>
      <c r="AP1401" s="54"/>
      <c r="AQ1401" s="54"/>
      <c r="AR1401" s="54"/>
      <c r="AS1401" s="54"/>
      <c r="AT1401" s="54"/>
      <c r="AU1401" s="54"/>
      <c r="AV1401" s="54"/>
      <c r="AW1401" s="54"/>
      <c r="AX1401" s="54"/>
      <c r="AY1401" s="54"/>
      <c r="AZ1401" s="54"/>
      <c r="BA1401" s="54"/>
      <c r="BB1401" s="54"/>
      <c r="BC1401" s="56"/>
      <c r="BD1401" s="51"/>
      <c r="BE1401" s="54"/>
      <c r="BF1401" s="54"/>
      <c r="BG1401" s="47"/>
      <c r="BH1401" s="48"/>
      <c r="BI1401" s="48"/>
      <c r="BJ1401" s="48"/>
      <c r="BK1401" s="48"/>
      <c r="BL1401" s="48"/>
      <c r="BM1401" s="48"/>
      <c r="BN1401" s="48"/>
      <c r="BO1401" s="48"/>
      <c r="BP1401" s="48"/>
      <c r="BQ1401" s="48"/>
      <c r="BR1401" s="48"/>
      <c r="BS1401" s="48"/>
      <c r="BT1401" s="48"/>
      <c r="BU1401" s="48"/>
      <c r="BV1401" s="48"/>
      <c r="BW1401" s="48"/>
      <c r="BX1401" s="48"/>
      <c r="BY1401" s="48"/>
      <c r="BZ1401" s="48"/>
      <c r="CA1401" s="48"/>
      <c r="CB1401" s="48"/>
      <c r="CC1401" s="48"/>
      <c r="CD1401" s="48"/>
      <c r="CE1401" s="48"/>
      <c r="CF1401" s="52"/>
      <c r="CG1401" s="52"/>
      <c r="CH1401" s="48"/>
      <c r="CI1401" s="48"/>
      <c r="CJ1401" s="48"/>
      <c r="CK1401" s="48"/>
    </row>
    <row r="1402" spans="1:89" ht="15.75" customHeight="1" x14ac:dyDescent="0.3">
      <c r="A1402" s="47"/>
      <c r="B1402" s="48"/>
      <c r="C1402" s="47"/>
      <c r="D1402" s="48"/>
      <c r="E1402" s="48"/>
      <c r="F1402" s="48"/>
      <c r="G1402" s="48"/>
      <c r="H1402" s="48"/>
      <c r="I1402" s="49"/>
      <c r="J1402" s="47"/>
      <c r="K1402" s="47"/>
      <c r="L1402" s="47"/>
      <c r="M1402" s="47"/>
      <c r="N1402" s="47"/>
      <c r="O1402" s="47"/>
      <c r="P1402" s="47"/>
      <c r="Q1402" s="47"/>
      <c r="R1402" s="47"/>
      <c r="S1402" s="50"/>
      <c r="T1402" s="47"/>
      <c r="U1402" s="47"/>
      <c r="V1402" s="47"/>
      <c r="W1402" s="51"/>
      <c r="X1402" s="51"/>
      <c r="Y1402" s="47"/>
      <c r="Z1402" s="47"/>
      <c r="AA1402" s="47"/>
      <c r="AB1402" s="47"/>
      <c r="AC1402" s="47"/>
      <c r="AD1402" s="47"/>
      <c r="AE1402" s="54"/>
      <c r="AF1402" s="54"/>
      <c r="AG1402" s="55"/>
      <c r="AH1402" s="54"/>
      <c r="AI1402" s="54"/>
      <c r="AJ1402" s="54"/>
      <c r="AK1402" s="54"/>
      <c r="AL1402" s="54"/>
      <c r="AM1402" s="54"/>
      <c r="AN1402" s="54"/>
      <c r="AO1402" s="54"/>
      <c r="AP1402" s="54"/>
      <c r="AQ1402" s="54"/>
      <c r="AR1402" s="54"/>
      <c r="AS1402" s="54"/>
      <c r="AT1402" s="54"/>
      <c r="AU1402" s="54"/>
      <c r="AV1402" s="54"/>
      <c r="AW1402" s="54"/>
      <c r="AX1402" s="54"/>
      <c r="AY1402" s="54"/>
      <c r="AZ1402" s="54"/>
      <c r="BA1402" s="54"/>
      <c r="BB1402" s="54"/>
      <c r="BC1402" s="56"/>
      <c r="BD1402" s="51"/>
      <c r="BE1402" s="54"/>
      <c r="BF1402" s="54"/>
      <c r="BG1402" s="47"/>
      <c r="BH1402" s="48"/>
      <c r="BI1402" s="48"/>
      <c r="BJ1402" s="48"/>
      <c r="BK1402" s="48"/>
      <c r="BL1402" s="48"/>
      <c r="BM1402" s="48"/>
      <c r="BN1402" s="48"/>
      <c r="BO1402" s="48"/>
      <c r="BP1402" s="48"/>
      <c r="BQ1402" s="48"/>
      <c r="BR1402" s="48"/>
      <c r="BS1402" s="48"/>
      <c r="BT1402" s="48"/>
      <c r="BU1402" s="48"/>
      <c r="BV1402" s="48"/>
      <c r="BW1402" s="48"/>
      <c r="BX1402" s="48"/>
      <c r="BY1402" s="48"/>
      <c r="BZ1402" s="48"/>
      <c r="CA1402" s="48"/>
      <c r="CB1402" s="48"/>
      <c r="CC1402" s="48"/>
      <c r="CD1402" s="48"/>
      <c r="CE1402" s="48"/>
      <c r="CF1402" s="52"/>
      <c r="CG1402" s="52"/>
      <c r="CH1402" s="48"/>
      <c r="CI1402" s="48"/>
      <c r="CJ1402" s="48"/>
      <c r="CK1402" s="48"/>
    </row>
    <row r="1403" spans="1:89" ht="15.75" customHeight="1" x14ac:dyDescent="0.3">
      <c r="A1403" s="47"/>
      <c r="B1403" s="48"/>
      <c r="C1403" s="47"/>
      <c r="D1403" s="48"/>
      <c r="E1403" s="48"/>
      <c r="F1403" s="48"/>
      <c r="G1403" s="48"/>
      <c r="H1403" s="48"/>
      <c r="I1403" s="49"/>
      <c r="J1403" s="47"/>
      <c r="K1403" s="47"/>
      <c r="L1403" s="47"/>
      <c r="M1403" s="47"/>
      <c r="N1403" s="47"/>
      <c r="O1403" s="47"/>
      <c r="P1403" s="47"/>
      <c r="Q1403" s="47"/>
      <c r="R1403" s="47"/>
      <c r="S1403" s="50"/>
      <c r="T1403" s="47"/>
      <c r="U1403" s="47"/>
      <c r="V1403" s="47"/>
      <c r="W1403" s="51"/>
      <c r="X1403" s="51"/>
      <c r="Y1403" s="47"/>
      <c r="Z1403" s="47"/>
      <c r="AA1403" s="47"/>
      <c r="AB1403" s="47"/>
      <c r="AC1403" s="47"/>
      <c r="AD1403" s="47"/>
      <c r="AE1403" s="54"/>
      <c r="AF1403" s="54"/>
      <c r="AG1403" s="55"/>
      <c r="AH1403" s="54"/>
      <c r="AI1403" s="54"/>
      <c r="AJ1403" s="54"/>
      <c r="AK1403" s="54"/>
      <c r="AL1403" s="54"/>
      <c r="AM1403" s="54"/>
      <c r="AN1403" s="54"/>
      <c r="AO1403" s="54"/>
      <c r="AP1403" s="54"/>
      <c r="AQ1403" s="54"/>
      <c r="AR1403" s="54"/>
      <c r="AS1403" s="54"/>
      <c r="AT1403" s="54"/>
      <c r="AU1403" s="54"/>
      <c r="AV1403" s="54"/>
      <c r="AW1403" s="54"/>
      <c r="AX1403" s="54"/>
      <c r="AY1403" s="54"/>
      <c r="AZ1403" s="54"/>
      <c r="BA1403" s="54"/>
      <c r="BB1403" s="54"/>
      <c r="BC1403" s="56"/>
      <c r="BD1403" s="51"/>
      <c r="BE1403" s="54"/>
      <c r="BF1403" s="54"/>
      <c r="BG1403" s="47"/>
      <c r="BH1403" s="48"/>
      <c r="BI1403" s="48"/>
      <c r="BJ1403" s="48"/>
      <c r="BK1403" s="48"/>
      <c r="BL1403" s="48"/>
      <c r="BM1403" s="48"/>
      <c r="BN1403" s="48"/>
      <c r="BO1403" s="48"/>
      <c r="BP1403" s="48"/>
      <c r="BQ1403" s="48"/>
      <c r="BR1403" s="48"/>
      <c r="BS1403" s="48"/>
      <c r="BT1403" s="48"/>
      <c r="BU1403" s="48"/>
      <c r="BV1403" s="48"/>
      <c r="BW1403" s="48"/>
      <c r="BX1403" s="48"/>
      <c r="BY1403" s="48"/>
      <c r="BZ1403" s="48"/>
      <c r="CA1403" s="48"/>
      <c r="CB1403" s="48"/>
      <c r="CC1403" s="48"/>
      <c r="CD1403" s="48"/>
      <c r="CE1403" s="48"/>
      <c r="CF1403" s="52"/>
      <c r="CG1403" s="52"/>
      <c r="CH1403" s="48"/>
      <c r="CI1403" s="48"/>
      <c r="CJ1403" s="48"/>
      <c r="CK1403" s="48"/>
    </row>
    <row r="1404" spans="1:89" ht="15.75" customHeight="1" x14ac:dyDescent="0.3">
      <c r="A1404" s="47"/>
      <c r="B1404" s="48"/>
      <c r="C1404" s="47"/>
      <c r="D1404" s="48"/>
      <c r="E1404" s="48"/>
      <c r="F1404" s="48"/>
      <c r="G1404" s="48"/>
      <c r="H1404" s="48"/>
      <c r="I1404" s="49"/>
      <c r="J1404" s="47"/>
      <c r="K1404" s="47"/>
      <c r="L1404" s="47"/>
      <c r="M1404" s="47"/>
      <c r="N1404" s="47"/>
      <c r="O1404" s="47"/>
      <c r="P1404" s="47"/>
      <c r="Q1404" s="47"/>
      <c r="R1404" s="47"/>
      <c r="S1404" s="50"/>
      <c r="T1404" s="47"/>
      <c r="U1404" s="47"/>
      <c r="V1404" s="47"/>
      <c r="W1404" s="51"/>
      <c r="X1404" s="51"/>
      <c r="Y1404" s="47"/>
      <c r="Z1404" s="47"/>
      <c r="AA1404" s="47"/>
      <c r="AB1404" s="47"/>
      <c r="AC1404" s="47"/>
      <c r="AD1404" s="47"/>
      <c r="AE1404" s="54"/>
      <c r="AF1404" s="54"/>
      <c r="AG1404" s="55"/>
      <c r="AH1404" s="54"/>
      <c r="AI1404" s="54"/>
      <c r="AJ1404" s="54"/>
      <c r="AK1404" s="54"/>
      <c r="AL1404" s="54"/>
      <c r="AM1404" s="54"/>
      <c r="AN1404" s="54"/>
      <c r="AO1404" s="54"/>
      <c r="AP1404" s="54"/>
      <c r="AQ1404" s="54"/>
      <c r="AR1404" s="54"/>
      <c r="AS1404" s="54"/>
      <c r="AT1404" s="54"/>
      <c r="AU1404" s="54"/>
      <c r="AV1404" s="54"/>
      <c r="AW1404" s="54"/>
      <c r="AX1404" s="54"/>
      <c r="AY1404" s="54"/>
      <c r="AZ1404" s="54"/>
      <c r="BA1404" s="54"/>
      <c r="BB1404" s="54"/>
      <c r="BC1404" s="56"/>
      <c r="BD1404" s="51"/>
      <c r="BE1404" s="54"/>
      <c r="BF1404" s="54"/>
      <c r="BG1404" s="47"/>
      <c r="BH1404" s="48"/>
      <c r="BI1404" s="48"/>
      <c r="BJ1404" s="48"/>
      <c r="BK1404" s="48"/>
      <c r="BL1404" s="48"/>
      <c r="BM1404" s="48"/>
      <c r="BN1404" s="48"/>
      <c r="BO1404" s="48"/>
      <c r="BP1404" s="48"/>
      <c r="BQ1404" s="48"/>
      <c r="BR1404" s="48"/>
      <c r="BS1404" s="48"/>
      <c r="BT1404" s="48"/>
      <c r="BU1404" s="48"/>
      <c r="BV1404" s="48"/>
      <c r="BW1404" s="48"/>
      <c r="BX1404" s="48"/>
      <c r="BY1404" s="48"/>
      <c r="BZ1404" s="48"/>
      <c r="CA1404" s="48"/>
      <c r="CB1404" s="48"/>
      <c r="CC1404" s="48"/>
      <c r="CD1404" s="48"/>
      <c r="CE1404" s="48"/>
      <c r="CF1404" s="52"/>
      <c r="CG1404" s="52"/>
      <c r="CH1404" s="48"/>
      <c r="CI1404" s="48"/>
      <c r="CJ1404" s="48"/>
      <c r="CK1404" s="48"/>
    </row>
    <row r="1405" spans="1:89" ht="15.75" customHeight="1" x14ac:dyDescent="0.3">
      <c r="A1405" s="47"/>
      <c r="B1405" s="48"/>
      <c r="C1405" s="47"/>
      <c r="D1405" s="48"/>
      <c r="E1405" s="48"/>
      <c r="F1405" s="48"/>
      <c r="G1405" s="48"/>
      <c r="H1405" s="48"/>
      <c r="I1405" s="49"/>
      <c r="J1405" s="47"/>
      <c r="K1405" s="47"/>
      <c r="L1405" s="47"/>
      <c r="M1405" s="47"/>
      <c r="N1405" s="47"/>
      <c r="O1405" s="47"/>
      <c r="P1405" s="47"/>
      <c r="Q1405" s="47"/>
      <c r="R1405" s="47"/>
      <c r="S1405" s="50"/>
      <c r="T1405" s="47"/>
      <c r="U1405" s="47"/>
      <c r="V1405" s="47"/>
      <c r="W1405" s="51"/>
      <c r="X1405" s="51"/>
      <c r="Y1405" s="47"/>
      <c r="Z1405" s="47"/>
      <c r="AA1405" s="47"/>
      <c r="AB1405" s="47"/>
      <c r="AC1405" s="47"/>
      <c r="AD1405" s="47"/>
      <c r="AE1405" s="54"/>
      <c r="AF1405" s="54"/>
      <c r="AG1405" s="55"/>
      <c r="AH1405" s="54"/>
      <c r="AI1405" s="54"/>
      <c r="AJ1405" s="54"/>
      <c r="AK1405" s="54"/>
      <c r="AL1405" s="54"/>
      <c r="AM1405" s="54"/>
      <c r="AN1405" s="54"/>
      <c r="AO1405" s="54"/>
      <c r="AP1405" s="54"/>
      <c r="AQ1405" s="54"/>
      <c r="AR1405" s="54"/>
      <c r="AS1405" s="54"/>
      <c r="AT1405" s="54"/>
      <c r="AU1405" s="54"/>
      <c r="AV1405" s="54"/>
      <c r="AW1405" s="54"/>
      <c r="AX1405" s="54"/>
      <c r="AY1405" s="54"/>
      <c r="AZ1405" s="54"/>
      <c r="BA1405" s="54"/>
      <c r="BB1405" s="54"/>
      <c r="BC1405" s="56"/>
      <c r="BD1405" s="51"/>
      <c r="BE1405" s="54"/>
      <c r="BF1405" s="54"/>
      <c r="BG1405" s="47"/>
      <c r="BH1405" s="48"/>
      <c r="BI1405" s="48"/>
      <c r="BJ1405" s="48"/>
      <c r="BK1405" s="48"/>
      <c r="BL1405" s="48"/>
      <c r="BM1405" s="48"/>
      <c r="BN1405" s="48"/>
      <c r="BO1405" s="48"/>
      <c r="BP1405" s="48"/>
      <c r="BQ1405" s="48"/>
      <c r="BR1405" s="48"/>
      <c r="BS1405" s="48"/>
      <c r="BT1405" s="48"/>
      <c r="BU1405" s="48"/>
      <c r="BV1405" s="48"/>
      <c r="BW1405" s="48"/>
      <c r="BX1405" s="48"/>
      <c r="BY1405" s="48"/>
      <c r="BZ1405" s="48"/>
      <c r="CA1405" s="48"/>
      <c r="CB1405" s="48"/>
      <c r="CC1405" s="48"/>
      <c r="CD1405" s="48"/>
      <c r="CE1405" s="48"/>
      <c r="CF1405" s="52"/>
      <c r="CG1405" s="52"/>
      <c r="CH1405" s="48"/>
      <c r="CI1405" s="48"/>
      <c r="CJ1405" s="48"/>
      <c r="CK1405" s="48"/>
    </row>
    <row r="1406" spans="1:89" ht="15.75" customHeight="1" x14ac:dyDescent="0.3">
      <c r="A1406" s="47"/>
      <c r="B1406" s="48"/>
      <c r="C1406" s="47"/>
      <c r="D1406" s="48"/>
      <c r="E1406" s="48"/>
      <c r="F1406" s="48"/>
      <c r="G1406" s="48"/>
      <c r="H1406" s="48"/>
      <c r="I1406" s="49"/>
      <c r="J1406" s="47"/>
      <c r="K1406" s="47"/>
      <c r="L1406" s="47"/>
      <c r="M1406" s="47"/>
      <c r="N1406" s="47"/>
      <c r="O1406" s="47"/>
      <c r="P1406" s="47"/>
      <c r="Q1406" s="47"/>
      <c r="R1406" s="47"/>
      <c r="S1406" s="50"/>
      <c r="T1406" s="47"/>
      <c r="U1406" s="47"/>
      <c r="V1406" s="47"/>
      <c r="W1406" s="51"/>
      <c r="X1406" s="51"/>
      <c r="Y1406" s="47"/>
      <c r="Z1406" s="47"/>
      <c r="AA1406" s="47"/>
      <c r="AB1406" s="47"/>
      <c r="AC1406" s="47"/>
      <c r="AD1406" s="47"/>
      <c r="AE1406" s="54"/>
      <c r="AF1406" s="54"/>
      <c r="AG1406" s="55"/>
      <c r="AH1406" s="54"/>
      <c r="AI1406" s="54"/>
      <c r="AJ1406" s="54"/>
      <c r="AK1406" s="54"/>
      <c r="AL1406" s="54"/>
      <c r="AM1406" s="54"/>
      <c r="AN1406" s="54"/>
      <c r="AO1406" s="54"/>
      <c r="AP1406" s="54"/>
      <c r="AQ1406" s="54"/>
      <c r="AR1406" s="54"/>
      <c r="AS1406" s="54"/>
      <c r="AT1406" s="54"/>
      <c r="AU1406" s="54"/>
      <c r="AV1406" s="54"/>
      <c r="AW1406" s="54"/>
      <c r="AX1406" s="54"/>
      <c r="AY1406" s="54"/>
      <c r="AZ1406" s="54"/>
      <c r="BA1406" s="54"/>
      <c r="BB1406" s="54"/>
      <c r="BC1406" s="56"/>
      <c r="BD1406" s="51"/>
      <c r="BE1406" s="54"/>
      <c r="BF1406" s="54"/>
      <c r="BG1406" s="47"/>
      <c r="BH1406" s="48"/>
      <c r="BI1406" s="48"/>
      <c r="BJ1406" s="48"/>
      <c r="BK1406" s="48"/>
      <c r="BL1406" s="48"/>
      <c r="BM1406" s="48"/>
      <c r="BN1406" s="48"/>
      <c r="BO1406" s="48"/>
      <c r="BP1406" s="48"/>
      <c r="BQ1406" s="48"/>
      <c r="BR1406" s="48"/>
      <c r="BS1406" s="48"/>
      <c r="BT1406" s="48"/>
      <c r="BU1406" s="48"/>
      <c r="BV1406" s="48"/>
      <c r="BW1406" s="48"/>
      <c r="BX1406" s="48"/>
      <c r="BY1406" s="48"/>
      <c r="BZ1406" s="48"/>
      <c r="CA1406" s="48"/>
      <c r="CB1406" s="48"/>
      <c r="CC1406" s="48"/>
      <c r="CD1406" s="48"/>
      <c r="CE1406" s="48"/>
      <c r="CF1406" s="52"/>
      <c r="CG1406" s="52"/>
      <c r="CH1406" s="48"/>
      <c r="CI1406" s="48"/>
      <c r="CJ1406" s="48"/>
      <c r="CK1406" s="48"/>
    </row>
    <row r="1407" spans="1:89" ht="15.75" customHeight="1" x14ac:dyDescent="0.3">
      <c r="A1407" s="47"/>
      <c r="B1407" s="48"/>
      <c r="C1407" s="47"/>
      <c r="D1407" s="48"/>
      <c r="E1407" s="48"/>
      <c r="F1407" s="48"/>
      <c r="G1407" s="48"/>
      <c r="H1407" s="48"/>
      <c r="I1407" s="49"/>
      <c r="J1407" s="47"/>
      <c r="K1407" s="47"/>
      <c r="L1407" s="47"/>
      <c r="M1407" s="47"/>
      <c r="N1407" s="47"/>
      <c r="O1407" s="47"/>
      <c r="P1407" s="47"/>
      <c r="Q1407" s="47"/>
      <c r="R1407" s="47"/>
      <c r="S1407" s="50"/>
      <c r="T1407" s="47"/>
      <c r="U1407" s="47"/>
      <c r="V1407" s="47"/>
      <c r="W1407" s="51"/>
      <c r="X1407" s="51"/>
      <c r="Y1407" s="47"/>
      <c r="Z1407" s="47"/>
      <c r="AA1407" s="47"/>
      <c r="AB1407" s="47"/>
      <c r="AC1407" s="47"/>
      <c r="AD1407" s="47"/>
      <c r="AE1407" s="54"/>
      <c r="AF1407" s="54"/>
      <c r="AG1407" s="55"/>
      <c r="AH1407" s="54"/>
      <c r="AI1407" s="54"/>
      <c r="AJ1407" s="54"/>
      <c r="AK1407" s="54"/>
      <c r="AL1407" s="54"/>
      <c r="AM1407" s="54"/>
      <c r="AN1407" s="54"/>
      <c r="AO1407" s="54"/>
      <c r="AP1407" s="54"/>
      <c r="AQ1407" s="54"/>
      <c r="AR1407" s="54"/>
      <c r="AS1407" s="54"/>
      <c r="AT1407" s="54"/>
      <c r="AU1407" s="54"/>
      <c r="AV1407" s="54"/>
      <c r="AW1407" s="54"/>
      <c r="AX1407" s="54"/>
      <c r="AY1407" s="54"/>
      <c r="AZ1407" s="54"/>
      <c r="BA1407" s="54"/>
      <c r="BB1407" s="54"/>
      <c r="BC1407" s="56"/>
      <c r="BD1407" s="51"/>
      <c r="BE1407" s="54"/>
      <c r="BF1407" s="54"/>
      <c r="BG1407" s="47"/>
      <c r="BH1407" s="48"/>
      <c r="BI1407" s="48"/>
      <c r="BJ1407" s="48"/>
      <c r="BK1407" s="48"/>
      <c r="BL1407" s="48"/>
      <c r="BM1407" s="48"/>
      <c r="BN1407" s="48"/>
      <c r="BO1407" s="48"/>
      <c r="BP1407" s="48"/>
      <c r="BQ1407" s="48"/>
      <c r="BR1407" s="48"/>
      <c r="BS1407" s="48"/>
      <c r="BT1407" s="48"/>
      <c r="BU1407" s="48"/>
      <c r="BV1407" s="48"/>
      <c r="BW1407" s="48"/>
      <c r="BX1407" s="48"/>
      <c r="BY1407" s="48"/>
      <c r="BZ1407" s="48"/>
      <c r="CA1407" s="48"/>
      <c r="CB1407" s="48"/>
      <c r="CC1407" s="48"/>
      <c r="CD1407" s="48"/>
      <c r="CE1407" s="48"/>
      <c r="CF1407" s="52"/>
      <c r="CG1407" s="52"/>
      <c r="CH1407" s="48"/>
      <c r="CI1407" s="48"/>
      <c r="CJ1407" s="48"/>
      <c r="CK1407" s="48"/>
    </row>
    <row r="1408" spans="1:89" ht="15.75" customHeight="1" x14ac:dyDescent="0.3">
      <c r="A1408" s="47"/>
      <c r="B1408" s="48"/>
      <c r="C1408" s="47"/>
      <c r="D1408" s="48"/>
      <c r="E1408" s="48"/>
      <c r="F1408" s="48"/>
      <c r="G1408" s="48"/>
      <c r="H1408" s="48"/>
      <c r="I1408" s="49"/>
      <c r="J1408" s="47"/>
      <c r="K1408" s="47"/>
      <c r="L1408" s="47"/>
      <c r="M1408" s="47"/>
      <c r="N1408" s="47"/>
      <c r="O1408" s="47"/>
      <c r="P1408" s="47"/>
      <c r="Q1408" s="47"/>
      <c r="R1408" s="47"/>
      <c r="S1408" s="50"/>
      <c r="T1408" s="47"/>
      <c r="U1408" s="47"/>
      <c r="V1408" s="47"/>
      <c r="W1408" s="51"/>
      <c r="X1408" s="51"/>
      <c r="Y1408" s="47"/>
      <c r="Z1408" s="47"/>
      <c r="AA1408" s="47"/>
      <c r="AB1408" s="47"/>
      <c r="AC1408" s="47"/>
      <c r="AD1408" s="47"/>
      <c r="AE1408" s="54"/>
      <c r="AF1408" s="54"/>
      <c r="AG1408" s="55"/>
      <c r="AH1408" s="54"/>
      <c r="AI1408" s="54"/>
      <c r="AJ1408" s="54"/>
      <c r="AK1408" s="54"/>
      <c r="AL1408" s="54"/>
      <c r="AM1408" s="54"/>
      <c r="AN1408" s="54"/>
      <c r="AO1408" s="54"/>
      <c r="AP1408" s="54"/>
      <c r="AQ1408" s="54"/>
      <c r="AR1408" s="54"/>
      <c r="AS1408" s="54"/>
      <c r="AT1408" s="54"/>
      <c r="AU1408" s="54"/>
      <c r="AV1408" s="54"/>
      <c r="AW1408" s="54"/>
      <c r="AX1408" s="54"/>
      <c r="AY1408" s="54"/>
      <c r="AZ1408" s="54"/>
      <c r="BA1408" s="54"/>
      <c r="BB1408" s="54"/>
      <c r="BC1408" s="56"/>
      <c r="BD1408" s="51"/>
      <c r="BE1408" s="54"/>
      <c r="BF1408" s="54"/>
      <c r="BG1408" s="47"/>
      <c r="BH1408" s="48"/>
      <c r="BI1408" s="48"/>
      <c r="BJ1408" s="48"/>
      <c r="BK1408" s="48"/>
      <c r="BL1408" s="48"/>
      <c r="BM1408" s="48"/>
      <c r="BN1408" s="48"/>
      <c r="BO1408" s="48"/>
      <c r="BP1408" s="48"/>
      <c r="BQ1408" s="48"/>
      <c r="BR1408" s="48"/>
      <c r="BS1408" s="48"/>
      <c r="BT1408" s="48"/>
      <c r="BU1408" s="48"/>
      <c r="BV1408" s="48"/>
      <c r="BW1408" s="48"/>
      <c r="BX1408" s="48"/>
      <c r="BY1408" s="48"/>
      <c r="BZ1408" s="48"/>
      <c r="CA1408" s="48"/>
      <c r="CB1408" s="48"/>
      <c r="CC1408" s="48"/>
      <c r="CD1408" s="48"/>
      <c r="CE1408" s="48"/>
      <c r="CF1408" s="52"/>
      <c r="CG1408" s="52"/>
      <c r="CH1408" s="48"/>
      <c r="CI1408" s="48"/>
      <c r="CJ1408" s="48"/>
      <c r="CK1408" s="48"/>
    </row>
    <row r="1409" spans="1:89" ht="15.75" customHeight="1" x14ac:dyDescent="0.3">
      <c r="A1409" s="47"/>
      <c r="B1409" s="48"/>
      <c r="C1409" s="47"/>
      <c r="D1409" s="48"/>
      <c r="E1409" s="48"/>
      <c r="F1409" s="48"/>
      <c r="G1409" s="48"/>
      <c r="H1409" s="48"/>
      <c r="I1409" s="49"/>
      <c r="J1409" s="47"/>
      <c r="K1409" s="47"/>
      <c r="L1409" s="47"/>
      <c r="M1409" s="47"/>
      <c r="N1409" s="47"/>
      <c r="O1409" s="47"/>
      <c r="P1409" s="47"/>
      <c r="Q1409" s="47"/>
      <c r="R1409" s="47"/>
      <c r="S1409" s="50"/>
      <c r="T1409" s="47"/>
      <c r="U1409" s="47"/>
      <c r="V1409" s="47"/>
      <c r="W1409" s="51"/>
      <c r="X1409" s="51"/>
      <c r="Y1409" s="47"/>
      <c r="Z1409" s="47"/>
      <c r="AA1409" s="47"/>
      <c r="AB1409" s="47"/>
      <c r="AC1409" s="47"/>
      <c r="AD1409" s="47"/>
      <c r="AE1409" s="54"/>
      <c r="AF1409" s="54"/>
      <c r="AG1409" s="55"/>
      <c r="AH1409" s="54"/>
      <c r="AI1409" s="54"/>
      <c r="AJ1409" s="54"/>
      <c r="AK1409" s="54"/>
      <c r="AL1409" s="54"/>
      <c r="AM1409" s="54"/>
      <c r="AN1409" s="54"/>
      <c r="AO1409" s="54"/>
      <c r="AP1409" s="54"/>
      <c r="AQ1409" s="54"/>
      <c r="AR1409" s="54"/>
      <c r="AS1409" s="54"/>
      <c r="AT1409" s="54"/>
      <c r="AU1409" s="54"/>
      <c r="AV1409" s="54"/>
      <c r="AW1409" s="54"/>
      <c r="AX1409" s="54"/>
      <c r="AY1409" s="54"/>
      <c r="AZ1409" s="54"/>
      <c r="BA1409" s="54"/>
      <c r="BB1409" s="54"/>
      <c r="BC1409" s="56"/>
      <c r="BD1409" s="51"/>
      <c r="BE1409" s="54"/>
      <c r="BF1409" s="54"/>
      <c r="BG1409" s="47"/>
      <c r="BH1409" s="48"/>
      <c r="BI1409" s="48"/>
      <c r="BJ1409" s="48"/>
      <c r="BK1409" s="48"/>
      <c r="BL1409" s="48"/>
      <c r="BM1409" s="48"/>
      <c r="BN1409" s="48"/>
      <c r="BO1409" s="48"/>
      <c r="BP1409" s="48"/>
      <c r="BQ1409" s="48"/>
      <c r="BR1409" s="48"/>
      <c r="BS1409" s="48"/>
      <c r="BT1409" s="48"/>
      <c r="BU1409" s="48"/>
      <c r="BV1409" s="48"/>
      <c r="BW1409" s="48"/>
      <c r="BX1409" s="48"/>
      <c r="BY1409" s="48"/>
      <c r="BZ1409" s="48"/>
      <c r="CA1409" s="48"/>
      <c r="CB1409" s="48"/>
      <c r="CC1409" s="48"/>
      <c r="CD1409" s="48"/>
      <c r="CE1409" s="48"/>
      <c r="CF1409" s="52"/>
      <c r="CG1409" s="52"/>
      <c r="CH1409" s="48"/>
      <c r="CI1409" s="48"/>
      <c r="CJ1409" s="48"/>
      <c r="CK1409" s="48"/>
    </row>
    <row r="1410" spans="1:89" ht="15.75" customHeight="1" x14ac:dyDescent="0.3">
      <c r="A1410" s="47"/>
      <c r="B1410" s="48"/>
      <c r="C1410" s="47"/>
      <c r="D1410" s="48"/>
      <c r="E1410" s="48"/>
      <c r="F1410" s="48"/>
      <c r="G1410" s="48"/>
      <c r="H1410" s="48"/>
      <c r="I1410" s="49"/>
      <c r="J1410" s="47"/>
      <c r="K1410" s="47"/>
      <c r="L1410" s="47"/>
      <c r="M1410" s="47"/>
      <c r="N1410" s="47"/>
      <c r="O1410" s="47"/>
      <c r="P1410" s="47"/>
      <c r="Q1410" s="47"/>
      <c r="R1410" s="47"/>
      <c r="S1410" s="50"/>
      <c r="T1410" s="47"/>
      <c r="U1410" s="47"/>
      <c r="V1410" s="47"/>
      <c r="W1410" s="51"/>
      <c r="X1410" s="51"/>
      <c r="Y1410" s="47"/>
      <c r="Z1410" s="47"/>
      <c r="AA1410" s="47"/>
      <c r="AB1410" s="47"/>
      <c r="AC1410" s="47"/>
      <c r="AD1410" s="47"/>
      <c r="AE1410" s="54"/>
      <c r="AF1410" s="54"/>
      <c r="AG1410" s="55"/>
      <c r="AH1410" s="54"/>
      <c r="AI1410" s="54"/>
      <c r="AJ1410" s="54"/>
      <c r="AK1410" s="54"/>
      <c r="AL1410" s="54"/>
      <c r="AM1410" s="54"/>
      <c r="AN1410" s="54"/>
      <c r="AO1410" s="54"/>
      <c r="AP1410" s="54"/>
      <c r="AQ1410" s="54"/>
      <c r="AR1410" s="54"/>
      <c r="AS1410" s="54"/>
      <c r="AT1410" s="54"/>
      <c r="AU1410" s="54"/>
      <c r="AV1410" s="54"/>
      <c r="AW1410" s="54"/>
      <c r="AX1410" s="54"/>
      <c r="AY1410" s="54"/>
      <c r="AZ1410" s="54"/>
      <c r="BA1410" s="54"/>
      <c r="BB1410" s="54"/>
      <c r="BC1410" s="56"/>
      <c r="BD1410" s="51"/>
      <c r="BE1410" s="54"/>
      <c r="BF1410" s="54"/>
      <c r="BG1410" s="47"/>
      <c r="BH1410" s="48"/>
      <c r="BI1410" s="48"/>
      <c r="BJ1410" s="48"/>
      <c r="BK1410" s="48"/>
      <c r="BL1410" s="48"/>
      <c r="BM1410" s="48"/>
      <c r="BN1410" s="48"/>
      <c r="BO1410" s="48"/>
      <c r="BP1410" s="48"/>
      <c r="BQ1410" s="48"/>
      <c r="BR1410" s="48"/>
      <c r="BS1410" s="48"/>
      <c r="BT1410" s="48"/>
      <c r="BU1410" s="48"/>
      <c r="BV1410" s="48"/>
      <c r="BW1410" s="48"/>
      <c r="BX1410" s="48"/>
      <c r="BY1410" s="48"/>
      <c r="BZ1410" s="48"/>
      <c r="CA1410" s="48"/>
      <c r="CB1410" s="48"/>
      <c r="CC1410" s="48"/>
      <c r="CD1410" s="48"/>
      <c r="CE1410" s="48"/>
      <c r="CF1410" s="52"/>
      <c r="CG1410" s="52"/>
      <c r="CH1410" s="48"/>
      <c r="CI1410" s="48"/>
      <c r="CJ1410" s="48"/>
      <c r="CK1410" s="48"/>
    </row>
    <row r="1411" spans="1:89" ht="15.75" customHeight="1" x14ac:dyDescent="0.3">
      <c r="A1411" s="47"/>
      <c r="B1411" s="48"/>
      <c r="C1411" s="47"/>
      <c r="D1411" s="48"/>
      <c r="E1411" s="48"/>
      <c r="F1411" s="48"/>
      <c r="G1411" s="48"/>
      <c r="H1411" s="48"/>
      <c r="I1411" s="49"/>
      <c r="J1411" s="47"/>
      <c r="K1411" s="47"/>
      <c r="L1411" s="47"/>
      <c r="M1411" s="47"/>
      <c r="N1411" s="47"/>
      <c r="O1411" s="47"/>
      <c r="P1411" s="47"/>
      <c r="Q1411" s="47"/>
      <c r="R1411" s="47"/>
      <c r="S1411" s="50"/>
      <c r="T1411" s="47"/>
      <c r="U1411" s="47"/>
      <c r="V1411" s="47"/>
      <c r="W1411" s="51"/>
      <c r="X1411" s="51"/>
      <c r="Y1411" s="47"/>
      <c r="Z1411" s="47"/>
      <c r="AA1411" s="47"/>
      <c r="AB1411" s="47"/>
      <c r="AC1411" s="47"/>
      <c r="AD1411" s="47"/>
      <c r="AE1411" s="54"/>
      <c r="AF1411" s="54"/>
      <c r="AG1411" s="55"/>
      <c r="AH1411" s="54"/>
      <c r="AI1411" s="54"/>
      <c r="AJ1411" s="54"/>
      <c r="AK1411" s="54"/>
      <c r="AL1411" s="54"/>
      <c r="AM1411" s="54"/>
      <c r="AN1411" s="54"/>
      <c r="AO1411" s="54"/>
      <c r="AP1411" s="54"/>
      <c r="AQ1411" s="54"/>
      <c r="AR1411" s="54"/>
      <c r="AS1411" s="54"/>
      <c r="AT1411" s="54"/>
      <c r="AU1411" s="54"/>
      <c r="AV1411" s="54"/>
      <c r="AW1411" s="54"/>
      <c r="AX1411" s="54"/>
      <c r="AY1411" s="54"/>
      <c r="AZ1411" s="54"/>
      <c r="BA1411" s="54"/>
      <c r="BB1411" s="54"/>
      <c r="BC1411" s="56"/>
      <c r="BD1411" s="51"/>
      <c r="BE1411" s="54"/>
      <c r="BF1411" s="54"/>
      <c r="BG1411" s="47"/>
      <c r="BH1411" s="48"/>
      <c r="BI1411" s="48"/>
      <c r="BJ1411" s="48"/>
      <c r="BK1411" s="48"/>
      <c r="BL1411" s="48"/>
      <c r="BM1411" s="48"/>
      <c r="BN1411" s="48"/>
      <c r="BO1411" s="48"/>
      <c r="BP1411" s="48"/>
      <c r="BQ1411" s="48"/>
      <c r="BR1411" s="48"/>
      <c r="BS1411" s="48"/>
      <c r="BT1411" s="48"/>
      <c r="BU1411" s="48"/>
      <c r="BV1411" s="48"/>
      <c r="BW1411" s="48"/>
      <c r="BX1411" s="48"/>
      <c r="BY1411" s="48"/>
      <c r="BZ1411" s="48"/>
      <c r="CA1411" s="48"/>
      <c r="CB1411" s="48"/>
      <c r="CC1411" s="48"/>
      <c r="CD1411" s="48"/>
      <c r="CE1411" s="48"/>
      <c r="CF1411" s="52"/>
      <c r="CG1411" s="52"/>
      <c r="CH1411" s="48"/>
      <c r="CI1411" s="48"/>
      <c r="CJ1411" s="48"/>
      <c r="CK1411" s="48"/>
    </row>
    <row r="1412" spans="1:89" ht="15.75" customHeight="1" x14ac:dyDescent="0.3">
      <c r="A1412" s="47"/>
      <c r="B1412" s="48"/>
      <c r="C1412" s="47"/>
      <c r="D1412" s="48"/>
      <c r="E1412" s="48"/>
      <c r="F1412" s="48"/>
      <c r="G1412" s="48"/>
      <c r="H1412" s="48"/>
      <c r="I1412" s="49"/>
      <c r="J1412" s="47"/>
      <c r="K1412" s="47"/>
      <c r="L1412" s="47"/>
      <c r="M1412" s="47"/>
      <c r="N1412" s="47"/>
      <c r="O1412" s="47"/>
      <c r="P1412" s="47"/>
      <c r="Q1412" s="47"/>
      <c r="R1412" s="47"/>
      <c r="S1412" s="50"/>
      <c r="T1412" s="47"/>
      <c r="U1412" s="47"/>
      <c r="V1412" s="47"/>
      <c r="W1412" s="51"/>
      <c r="X1412" s="51"/>
      <c r="Y1412" s="47"/>
      <c r="Z1412" s="47"/>
      <c r="AA1412" s="47"/>
      <c r="AB1412" s="47"/>
      <c r="AC1412" s="47"/>
      <c r="AD1412" s="47"/>
      <c r="AE1412" s="54"/>
      <c r="AF1412" s="54"/>
      <c r="AG1412" s="55"/>
      <c r="AH1412" s="54"/>
      <c r="AI1412" s="54"/>
      <c r="AJ1412" s="54"/>
      <c r="AK1412" s="54"/>
      <c r="AL1412" s="54"/>
      <c r="AM1412" s="54"/>
      <c r="AN1412" s="54"/>
      <c r="AO1412" s="54"/>
      <c r="AP1412" s="54"/>
      <c r="AQ1412" s="54"/>
      <c r="AR1412" s="54"/>
      <c r="AS1412" s="54"/>
      <c r="AT1412" s="54"/>
      <c r="AU1412" s="54"/>
      <c r="AV1412" s="54"/>
      <c r="AW1412" s="54"/>
      <c r="AX1412" s="54"/>
      <c r="AY1412" s="54"/>
      <c r="AZ1412" s="54"/>
      <c r="BA1412" s="54"/>
      <c r="BB1412" s="54"/>
      <c r="BC1412" s="56"/>
      <c r="BD1412" s="51"/>
      <c r="BE1412" s="54"/>
      <c r="BF1412" s="54"/>
      <c r="BG1412" s="47"/>
      <c r="BH1412" s="48"/>
      <c r="BI1412" s="48"/>
      <c r="BJ1412" s="48"/>
      <c r="BK1412" s="48"/>
      <c r="BL1412" s="48"/>
      <c r="BM1412" s="48"/>
      <c r="BN1412" s="48"/>
      <c r="BO1412" s="48"/>
      <c r="BP1412" s="48"/>
      <c r="BQ1412" s="48"/>
      <c r="BR1412" s="48"/>
      <c r="BS1412" s="48"/>
      <c r="BT1412" s="48"/>
      <c r="BU1412" s="48"/>
      <c r="BV1412" s="48"/>
      <c r="BW1412" s="48"/>
      <c r="BX1412" s="48"/>
      <c r="BY1412" s="48"/>
      <c r="BZ1412" s="48"/>
      <c r="CA1412" s="48"/>
      <c r="CB1412" s="48"/>
      <c r="CC1412" s="48"/>
      <c r="CD1412" s="48"/>
      <c r="CE1412" s="48"/>
      <c r="CF1412" s="52"/>
      <c r="CG1412" s="52"/>
      <c r="CH1412" s="48"/>
      <c r="CI1412" s="48"/>
      <c r="CJ1412" s="48"/>
      <c r="CK1412" s="48"/>
    </row>
    <row r="1413" spans="1:89" ht="15.75" customHeight="1" x14ac:dyDescent="0.3">
      <c r="A1413" s="47"/>
      <c r="B1413" s="48"/>
      <c r="C1413" s="47"/>
      <c r="D1413" s="48"/>
      <c r="E1413" s="48"/>
      <c r="F1413" s="48"/>
      <c r="G1413" s="48"/>
      <c r="H1413" s="48"/>
      <c r="I1413" s="49"/>
      <c r="J1413" s="47"/>
      <c r="K1413" s="47"/>
      <c r="L1413" s="47"/>
      <c r="M1413" s="47"/>
      <c r="N1413" s="47"/>
      <c r="O1413" s="47"/>
      <c r="P1413" s="47"/>
      <c r="Q1413" s="47"/>
      <c r="R1413" s="47"/>
      <c r="S1413" s="50"/>
      <c r="T1413" s="47"/>
      <c r="U1413" s="47"/>
      <c r="V1413" s="47"/>
      <c r="W1413" s="51"/>
      <c r="X1413" s="51"/>
      <c r="Y1413" s="47"/>
      <c r="Z1413" s="47"/>
      <c r="AA1413" s="47"/>
      <c r="AB1413" s="47"/>
      <c r="AC1413" s="47"/>
      <c r="AD1413" s="47"/>
      <c r="AE1413" s="54"/>
      <c r="AF1413" s="54"/>
      <c r="AG1413" s="55"/>
      <c r="AH1413" s="54"/>
      <c r="AI1413" s="54"/>
      <c r="AJ1413" s="54"/>
      <c r="AK1413" s="54"/>
      <c r="AL1413" s="54"/>
      <c r="AM1413" s="54"/>
      <c r="AN1413" s="54"/>
      <c r="AO1413" s="54"/>
      <c r="AP1413" s="54"/>
      <c r="AQ1413" s="54"/>
      <c r="AR1413" s="54"/>
      <c r="AS1413" s="54"/>
      <c r="AT1413" s="54"/>
      <c r="AU1413" s="54"/>
      <c r="AV1413" s="54"/>
      <c r="AW1413" s="54"/>
      <c r="AX1413" s="54"/>
      <c r="AY1413" s="54"/>
      <c r="AZ1413" s="54"/>
      <c r="BA1413" s="54"/>
      <c r="BB1413" s="54"/>
      <c r="BC1413" s="56"/>
      <c r="BD1413" s="51"/>
      <c r="BE1413" s="54"/>
      <c r="BF1413" s="54"/>
      <c r="BG1413" s="47"/>
      <c r="BH1413" s="48"/>
      <c r="BI1413" s="48"/>
      <c r="BJ1413" s="48"/>
      <c r="BK1413" s="48"/>
      <c r="BL1413" s="48"/>
      <c r="BM1413" s="48"/>
      <c r="BN1413" s="48"/>
      <c r="BO1413" s="48"/>
      <c r="BP1413" s="48"/>
      <c r="BQ1413" s="48"/>
      <c r="BR1413" s="48"/>
      <c r="BS1413" s="48"/>
      <c r="BT1413" s="48"/>
      <c r="BU1413" s="48"/>
      <c r="BV1413" s="48"/>
      <c r="BW1413" s="48"/>
      <c r="BX1413" s="48"/>
      <c r="BY1413" s="48"/>
      <c r="BZ1413" s="48"/>
      <c r="CA1413" s="48"/>
      <c r="CB1413" s="48"/>
      <c r="CC1413" s="48"/>
      <c r="CD1413" s="48"/>
      <c r="CE1413" s="48"/>
      <c r="CF1413" s="52"/>
      <c r="CG1413" s="52"/>
      <c r="CH1413" s="48"/>
      <c r="CI1413" s="48"/>
      <c r="CJ1413" s="48"/>
      <c r="CK1413" s="48"/>
    </row>
    <row r="1414" spans="1:89" ht="15.75" customHeight="1" x14ac:dyDescent="0.3">
      <c r="A1414" s="47"/>
      <c r="B1414" s="48"/>
      <c r="C1414" s="47"/>
      <c r="D1414" s="48"/>
      <c r="E1414" s="48"/>
      <c r="F1414" s="48"/>
      <c r="G1414" s="48"/>
      <c r="H1414" s="48"/>
      <c r="I1414" s="49"/>
      <c r="J1414" s="47"/>
      <c r="K1414" s="47"/>
      <c r="L1414" s="47"/>
      <c r="M1414" s="47"/>
      <c r="N1414" s="47"/>
      <c r="O1414" s="47"/>
      <c r="P1414" s="47"/>
      <c r="Q1414" s="47"/>
      <c r="R1414" s="47"/>
      <c r="S1414" s="50"/>
      <c r="T1414" s="47"/>
      <c r="U1414" s="47"/>
      <c r="V1414" s="47"/>
      <c r="W1414" s="51"/>
      <c r="X1414" s="51"/>
      <c r="Y1414" s="47"/>
      <c r="Z1414" s="47"/>
      <c r="AA1414" s="47"/>
      <c r="AB1414" s="47"/>
      <c r="AC1414" s="47"/>
      <c r="AD1414" s="47"/>
      <c r="AE1414" s="54"/>
      <c r="AF1414" s="54"/>
      <c r="AG1414" s="55"/>
      <c r="AH1414" s="54"/>
      <c r="AI1414" s="54"/>
      <c r="AJ1414" s="54"/>
      <c r="AK1414" s="54"/>
      <c r="AL1414" s="54"/>
      <c r="AM1414" s="54"/>
      <c r="AN1414" s="54"/>
      <c r="AO1414" s="54"/>
      <c r="AP1414" s="54"/>
      <c r="AQ1414" s="54"/>
      <c r="AR1414" s="54"/>
      <c r="AS1414" s="54"/>
      <c r="AT1414" s="54"/>
      <c r="AU1414" s="54"/>
      <c r="AV1414" s="54"/>
      <c r="AW1414" s="54"/>
      <c r="AX1414" s="54"/>
      <c r="AY1414" s="54"/>
      <c r="AZ1414" s="54"/>
      <c r="BA1414" s="54"/>
      <c r="BB1414" s="54"/>
      <c r="BC1414" s="56"/>
      <c r="BD1414" s="51"/>
      <c r="BE1414" s="54"/>
      <c r="BF1414" s="54"/>
      <c r="BG1414" s="47"/>
      <c r="BH1414" s="48"/>
      <c r="BI1414" s="48"/>
      <c r="BJ1414" s="48"/>
      <c r="BK1414" s="48"/>
      <c r="BL1414" s="48"/>
      <c r="BM1414" s="48"/>
      <c r="BN1414" s="48"/>
      <c r="BO1414" s="48"/>
      <c r="BP1414" s="48"/>
      <c r="BQ1414" s="48"/>
      <c r="BR1414" s="48"/>
      <c r="BS1414" s="48"/>
      <c r="BT1414" s="48"/>
      <c r="BU1414" s="48"/>
      <c r="BV1414" s="48"/>
      <c r="BW1414" s="48"/>
      <c r="BX1414" s="48"/>
      <c r="BY1414" s="48"/>
      <c r="BZ1414" s="48"/>
      <c r="CA1414" s="48"/>
      <c r="CB1414" s="48"/>
      <c r="CC1414" s="48"/>
      <c r="CD1414" s="48"/>
      <c r="CE1414" s="48"/>
      <c r="CF1414" s="52"/>
      <c r="CG1414" s="52"/>
      <c r="CH1414" s="48"/>
      <c r="CI1414" s="48"/>
      <c r="CJ1414" s="48"/>
      <c r="CK1414" s="48"/>
    </row>
    <row r="1415" spans="1:89" ht="15.75" customHeight="1" x14ac:dyDescent="0.3">
      <c r="A1415" s="47"/>
      <c r="B1415" s="48"/>
      <c r="C1415" s="47"/>
      <c r="D1415" s="48"/>
      <c r="E1415" s="48"/>
      <c r="F1415" s="48"/>
      <c r="G1415" s="48"/>
      <c r="H1415" s="48"/>
      <c r="I1415" s="49"/>
      <c r="J1415" s="47"/>
      <c r="K1415" s="47"/>
      <c r="L1415" s="47"/>
      <c r="M1415" s="47"/>
      <c r="N1415" s="47"/>
      <c r="O1415" s="47"/>
      <c r="P1415" s="47"/>
      <c r="Q1415" s="47"/>
      <c r="R1415" s="47"/>
      <c r="S1415" s="50"/>
      <c r="T1415" s="47"/>
      <c r="U1415" s="47"/>
      <c r="V1415" s="47"/>
      <c r="W1415" s="51"/>
      <c r="X1415" s="51"/>
      <c r="Y1415" s="47"/>
      <c r="Z1415" s="47"/>
      <c r="AA1415" s="47"/>
      <c r="AB1415" s="47"/>
      <c r="AC1415" s="47"/>
      <c r="AD1415" s="47"/>
      <c r="AE1415" s="54"/>
      <c r="AF1415" s="54"/>
      <c r="AG1415" s="55"/>
      <c r="AH1415" s="54"/>
      <c r="AI1415" s="54"/>
      <c r="AJ1415" s="54"/>
      <c r="AK1415" s="54"/>
      <c r="AL1415" s="54"/>
      <c r="AM1415" s="54"/>
      <c r="AN1415" s="54"/>
      <c r="AO1415" s="54"/>
      <c r="AP1415" s="54"/>
      <c r="AQ1415" s="54"/>
      <c r="AR1415" s="54"/>
      <c r="AS1415" s="54"/>
      <c r="AT1415" s="54"/>
      <c r="AU1415" s="54"/>
      <c r="AV1415" s="54"/>
      <c r="AW1415" s="54"/>
      <c r="AX1415" s="54"/>
      <c r="AY1415" s="54"/>
      <c r="AZ1415" s="54"/>
      <c r="BA1415" s="54"/>
      <c r="BB1415" s="54"/>
      <c r="BC1415" s="56"/>
      <c r="BD1415" s="51"/>
      <c r="BE1415" s="54"/>
      <c r="BF1415" s="54"/>
      <c r="BG1415" s="47"/>
      <c r="BH1415" s="48"/>
      <c r="BI1415" s="48"/>
      <c r="BJ1415" s="48"/>
      <c r="BK1415" s="48"/>
      <c r="BL1415" s="48"/>
      <c r="BM1415" s="48"/>
      <c r="BN1415" s="48"/>
      <c r="BO1415" s="48"/>
      <c r="BP1415" s="48"/>
      <c r="BQ1415" s="48"/>
      <c r="BR1415" s="48"/>
      <c r="BS1415" s="48"/>
      <c r="BT1415" s="48"/>
      <c r="BU1415" s="48"/>
      <c r="BV1415" s="48"/>
      <c r="BW1415" s="48"/>
      <c r="BX1415" s="48"/>
      <c r="BY1415" s="48"/>
      <c r="BZ1415" s="48"/>
      <c r="CA1415" s="48"/>
      <c r="CB1415" s="48"/>
      <c r="CC1415" s="48"/>
      <c r="CD1415" s="48"/>
      <c r="CE1415" s="48"/>
      <c r="CF1415" s="52"/>
      <c r="CG1415" s="52"/>
      <c r="CH1415" s="48"/>
      <c r="CI1415" s="48"/>
      <c r="CJ1415" s="48"/>
      <c r="CK1415" s="48"/>
    </row>
    <row r="1416" spans="1:89" ht="15.75" customHeight="1" x14ac:dyDescent="0.3">
      <c r="A1416" s="47"/>
      <c r="B1416" s="48"/>
      <c r="C1416" s="47"/>
      <c r="D1416" s="48"/>
      <c r="E1416" s="48"/>
      <c r="F1416" s="48"/>
      <c r="G1416" s="48"/>
      <c r="H1416" s="48"/>
      <c r="I1416" s="49"/>
      <c r="J1416" s="47"/>
      <c r="K1416" s="47"/>
      <c r="L1416" s="47"/>
      <c r="M1416" s="47"/>
      <c r="N1416" s="47"/>
      <c r="O1416" s="47"/>
      <c r="P1416" s="47"/>
      <c r="Q1416" s="47"/>
      <c r="R1416" s="47"/>
      <c r="S1416" s="50"/>
      <c r="T1416" s="47"/>
      <c r="U1416" s="47"/>
      <c r="V1416" s="47"/>
      <c r="W1416" s="51"/>
      <c r="X1416" s="51"/>
      <c r="Y1416" s="47"/>
      <c r="Z1416" s="47"/>
      <c r="AA1416" s="47"/>
      <c r="AB1416" s="47"/>
      <c r="AC1416" s="47"/>
      <c r="AD1416" s="47"/>
      <c r="AE1416" s="54"/>
      <c r="AF1416" s="54"/>
      <c r="AG1416" s="55"/>
      <c r="AH1416" s="54"/>
      <c r="AI1416" s="54"/>
      <c r="AJ1416" s="54"/>
      <c r="AK1416" s="54"/>
      <c r="AL1416" s="54"/>
      <c r="AM1416" s="54"/>
      <c r="AN1416" s="54"/>
      <c r="AO1416" s="54"/>
      <c r="AP1416" s="54"/>
      <c r="AQ1416" s="54"/>
      <c r="AR1416" s="54"/>
      <c r="AS1416" s="54"/>
      <c r="AT1416" s="54"/>
      <c r="AU1416" s="54"/>
      <c r="AV1416" s="54"/>
      <c r="AW1416" s="54"/>
      <c r="AX1416" s="54"/>
      <c r="AY1416" s="54"/>
      <c r="AZ1416" s="54"/>
      <c r="BA1416" s="54"/>
      <c r="BB1416" s="54"/>
      <c r="BC1416" s="56"/>
      <c r="BD1416" s="51"/>
      <c r="BE1416" s="54"/>
      <c r="BF1416" s="54"/>
      <c r="BG1416" s="47"/>
      <c r="BH1416" s="48"/>
      <c r="BI1416" s="48"/>
      <c r="BJ1416" s="48"/>
      <c r="BK1416" s="48"/>
      <c r="BL1416" s="48"/>
      <c r="BM1416" s="48"/>
      <c r="BN1416" s="48"/>
      <c r="BO1416" s="48"/>
      <c r="BP1416" s="48"/>
      <c r="BQ1416" s="48"/>
      <c r="BR1416" s="48"/>
      <c r="BS1416" s="48"/>
      <c r="BT1416" s="48"/>
      <c r="BU1416" s="48"/>
      <c r="BV1416" s="48"/>
      <c r="BW1416" s="48"/>
      <c r="BX1416" s="48"/>
      <c r="BY1416" s="48"/>
      <c r="BZ1416" s="48"/>
      <c r="CA1416" s="48"/>
      <c r="CB1416" s="48"/>
      <c r="CC1416" s="48"/>
      <c r="CD1416" s="48"/>
      <c r="CE1416" s="48"/>
      <c r="CF1416" s="52"/>
      <c r="CG1416" s="52"/>
      <c r="CH1416" s="48"/>
      <c r="CI1416" s="48"/>
      <c r="CJ1416" s="48"/>
      <c r="CK1416" s="48"/>
    </row>
    <row r="1417" spans="1:89" ht="15.75" customHeight="1" x14ac:dyDescent="0.3">
      <c r="A1417" s="47"/>
      <c r="B1417" s="48"/>
      <c r="C1417" s="47"/>
      <c r="D1417" s="48"/>
      <c r="E1417" s="48"/>
      <c r="F1417" s="48"/>
      <c r="G1417" s="48"/>
      <c r="H1417" s="48"/>
      <c r="I1417" s="49"/>
      <c r="J1417" s="47"/>
      <c r="K1417" s="47"/>
      <c r="L1417" s="47"/>
      <c r="M1417" s="47"/>
      <c r="N1417" s="47"/>
      <c r="O1417" s="47"/>
      <c r="P1417" s="47"/>
      <c r="Q1417" s="47"/>
      <c r="R1417" s="47"/>
      <c r="S1417" s="50"/>
      <c r="T1417" s="47"/>
      <c r="U1417" s="47"/>
      <c r="V1417" s="47"/>
      <c r="W1417" s="51"/>
      <c r="X1417" s="51"/>
      <c r="Y1417" s="47"/>
      <c r="Z1417" s="47"/>
      <c r="AA1417" s="47"/>
      <c r="AB1417" s="47"/>
      <c r="AC1417" s="47"/>
      <c r="AD1417" s="47"/>
      <c r="AE1417" s="54"/>
      <c r="AF1417" s="54"/>
      <c r="AG1417" s="55"/>
      <c r="AH1417" s="54"/>
      <c r="AI1417" s="54"/>
      <c r="AJ1417" s="54"/>
      <c r="AK1417" s="54"/>
      <c r="AL1417" s="54"/>
      <c r="AM1417" s="54"/>
      <c r="AN1417" s="54"/>
      <c r="AO1417" s="54"/>
      <c r="AP1417" s="54"/>
      <c r="AQ1417" s="54"/>
      <c r="AR1417" s="54"/>
      <c r="AS1417" s="54"/>
      <c r="AT1417" s="54"/>
      <c r="AU1417" s="54"/>
      <c r="AV1417" s="54"/>
      <c r="AW1417" s="54"/>
      <c r="AX1417" s="54"/>
      <c r="AY1417" s="54"/>
      <c r="AZ1417" s="54"/>
      <c r="BA1417" s="54"/>
      <c r="BB1417" s="54"/>
      <c r="BC1417" s="56"/>
      <c r="BD1417" s="51"/>
      <c r="BE1417" s="54"/>
      <c r="BF1417" s="54"/>
      <c r="BG1417" s="47"/>
      <c r="BH1417" s="48"/>
      <c r="BI1417" s="48"/>
      <c r="BJ1417" s="48"/>
      <c r="BK1417" s="48"/>
      <c r="BL1417" s="48"/>
      <c r="BM1417" s="48"/>
      <c r="BN1417" s="48"/>
      <c r="BO1417" s="48"/>
      <c r="BP1417" s="48"/>
      <c r="BQ1417" s="48"/>
      <c r="BR1417" s="48"/>
      <c r="BS1417" s="48"/>
      <c r="BT1417" s="48"/>
      <c r="BU1417" s="48"/>
      <c r="BV1417" s="48"/>
      <c r="BW1417" s="48"/>
      <c r="BX1417" s="48"/>
      <c r="BY1417" s="48"/>
      <c r="BZ1417" s="48"/>
      <c r="CA1417" s="48"/>
      <c r="CB1417" s="48"/>
      <c r="CC1417" s="48"/>
      <c r="CD1417" s="48"/>
      <c r="CE1417" s="48"/>
      <c r="CF1417" s="52"/>
      <c r="CG1417" s="52"/>
      <c r="CH1417" s="48"/>
      <c r="CI1417" s="48"/>
      <c r="CJ1417" s="48"/>
      <c r="CK1417" s="48"/>
    </row>
    <row r="1418" spans="1:89" ht="15.75" customHeight="1" x14ac:dyDescent="0.3">
      <c r="A1418" s="47"/>
      <c r="B1418" s="48"/>
      <c r="C1418" s="47"/>
      <c r="D1418" s="48"/>
      <c r="E1418" s="48"/>
      <c r="F1418" s="48"/>
      <c r="G1418" s="48"/>
      <c r="H1418" s="48"/>
      <c r="I1418" s="49"/>
      <c r="J1418" s="47"/>
      <c r="K1418" s="47"/>
      <c r="L1418" s="47"/>
      <c r="M1418" s="47"/>
      <c r="N1418" s="47"/>
      <c r="O1418" s="47"/>
      <c r="P1418" s="47"/>
      <c r="Q1418" s="47"/>
      <c r="R1418" s="47"/>
      <c r="S1418" s="50"/>
      <c r="T1418" s="47"/>
      <c r="U1418" s="47"/>
      <c r="V1418" s="47"/>
      <c r="W1418" s="51"/>
      <c r="X1418" s="51"/>
      <c r="Y1418" s="47"/>
      <c r="Z1418" s="47"/>
      <c r="AA1418" s="47"/>
      <c r="AB1418" s="47"/>
      <c r="AC1418" s="47"/>
      <c r="AD1418" s="47"/>
      <c r="AE1418" s="54"/>
      <c r="AF1418" s="54"/>
      <c r="AG1418" s="55"/>
      <c r="AH1418" s="54"/>
      <c r="AI1418" s="54"/>
      <c r="AJ1418" s="54"/>
      <c r="AK1418" s="54"/>
      <c r="AL1418" s="54"/>
      <c r="AM1418" s="54"/>
      <c r="AN1418" s="54"/>
      <c r="AO1418" s="54"/>
      <c r="AP1418" s="54"/>
      <c r="AQ1418" s="54"/>
      <c r="AR1418" s="54"/>
      <c r="AS1418" s="54"/>
      <c r="AT1418" s="54"/>
      <c r="AU1418" s="54"/>
      <c r="AV1418" s="54"/>
      <c r="AW1418" s="54"/>
      <c r="AX1418" s="54"/>
      <c r="AY1418" s="54"/>
      <c r="AZ1418" s="54"/>
      <c r="BA1418" s="54"/>
      <c r="BB1418" s="54"/>
      <c r="BC1418" s="56"/>
      <c r="BD1418" s="51"/>
      <c r="BE1418" s="54"/>
      <c r="BF1418" s="54"/>
      <c r="BG1418" s="47"/>
      <c r="BH1418" s="48"/>
      <c r="BI1418" s="48"/>
      <c r="BJ1418" s="48"/>
      <c r="BK1418" s="48"/>
      <c r="BL1418" s="48"/>
      <c r="BM1418" s="48"/>
      <c r="BN1418" s="48"/>
      <c r="BO1418" s="48"/>
      <c r="BP1418" s="48"/>
      <c r="BQ1418" s="48"/>
      <c r="BR1418" s="48"/>
      <c r="BS1418" s="48"/>
      <c r="BT1418" s="48"/>
      <c r="BU1418" s="48"/>
      <c r="BV1418" s="48"/>
      <c r="BW1418" s="48"/>
      <c r="BX1418" s="48"/>
      <c r="BY1418" s="48"/>
      <c r="BZ1418" s="48"/>
      <c r="CA1418" s="48"/>
      <c r="CB1418" s="48"/>
      <c r="CC1418" s="48"/>
      <c r="CD1418" s="48"/>
      <c r="CE1418" s="48"/>
      <c r="CF1418" s="52"/>
      <c r="CG1418" s="52"/>
      <c r="CH1418" s="48"/>
      <c r="CI1418" s="48"/>
      <c r="CJ1418" s="48"/>
      <c r="CK1418" s="48"/>
    </row>
    <row r="1419" spans="1:89" ht="15.75" customHeight="1" x14ac:dyDescent="0.3">
      <c r="A1419" s="47"/>
      <c r="B1419" s="48"/>
      <c r="C1419" s="47"/>
      <c r="D1419" s="48"/>
      <c r="E1419" s="48"/>
      <c r="F1419" s="48"/>
      <c r="G1419" s="48"/>
      <c r="H1419" s="48"/>
      <c r="I1419" s="49"/>
      <c r="J1419" s="47"/>
      <c r="K1419" s="47"/>
      <c r="L1419" s="47"/>
      <c r="M1419" s="47"/>
      <c r="N1419" s="47"/>
      <c r="O1419" s="47"/>
      <c r="P1419" s="47"/>
      <c r="Q1419" s="47"/>
      <c r="R1419" s="47"/>
      <c r="S1419" s="50"/>
      <c r="T1419" s="47"/>
      <c r="U1419" s="47"/>
      <c r="V1419" s="47"/>
      <c r="W1419" s="51"/>
      <c r="X1419" s="51"/>
      <c r="Y1419" s="47"/>
      <c r="Z1419" s="47"/>
      <c r="AA1419" s="47"/>
      <c r="AB1419" s="47"/>
      <c r="AC1419" s="47"/>
      <c r="AD1419" s="47"/>
      <c r="AE1419" s="54"/>
      <c r="AF1419" s="54"/>
      <c r="AG1419" s="55"/>
      <c r="AH1419" s="54"/>
      <c r="AI1419" s="54"/>
      <c r="AJ1419" s="54"/>
      <c r="AK1419" s="54"/>
      <c r="AL1419" s="54"/>
      <c r="AM1419" s="54"/>
      <c r="AN1419" s="54"/>
      <c r="AO1419" s="54"/>
      <c r="AP1419" s="54"/>
      <c r="AQ1419" s="54"/>
      <c r="AR1419" s="54"/>
      <c r="AS1419" s="54"/>
      <c r="AT1419" s="54"/>
      <c r="AU1419" s="54"/>
      <c r="AV1419" s="54"/>
      <c r="AW1419" s="54"/>
      <c r="AX1419" s="54"/>
      <c r="AY1419" s="54"/>
      <c r="AZ1419" s="54"/>
      <c r="BA1419" s="54"/>
      <c r="BB1419" s="54"/>
      <c r="BC1419" s="56"/>
      <c r="BD1419" s="51"/>
      <c r="BE1419" s="54"/>
      <c r="BF1419" s="54"/>
      <c r="BG1419" s="47"/>
      <c r="BH1419" s="48"/>
      <c r="BI1419" s="48"/>
      <c r="BJ1419" s="48"/>
      <c r="BK1419" s="48"/>
      <c r="BL1419" s="48"/>
      <c r="BM1419" s="48"/>
      <c r="BN1419" s="48"/>
      <c r="BO1419" s="48"/>
      <c r="BP1419" s="48"/>
      <c r="BQ1419" s="48"/>
      <c r="BR1419" s="48"/>
      <c r="BS1419" s="48"/>
      <c r="BT1419" s="48"/>
      <c r="BU1419" s="48"/>
      <c r="BV1419" s="48"/>
      <c r="BW1419" s="48"/>
      <c r="BX1419" s="48"/>
      <c r="BY1419" s="48"/>
      <c r="BZ1419" s="48"/>
      <c r="CA1419" s="48"/>
      <c r="CB1419" s="48"/>
      <c r="CC1419" s="48"/>
      <c r="CD1419" s="48"/>
      <c r="CE1419" s="48"/>
      <c r="CF1419" s="52"/>
      <c r="CG1419" s="52"/>
      <c r="CH1419" s="48"/>
      <c r="CI1419" s="48"/>
      <c r="CJ1419" s="48"/>
      <c r="CK1419" s="48"/>
    </row>
    <row r="1420" spans="1:89" ht="15.75" customHeight="1" x14ac:dyDescent="0.3">
      <c r="A1420" s="47"/>
      <c r="B1420" s="48"/>
      <c r="C1420" s="47"/>
      <c r="D1420" s="48"/>
      <c r="E1420" s="48"/>
      <c r="F1420" s="48"/>
      <c r="G1420" s="48"/>
      <c r="H1420" s="48"/>
      <c r="I1420" s="49"/>
      <c r="J1420" s="47"/>
      <c r="K1420" s="47"/>
      <c r="L1420" s="47"/>
      <c r="M1420" s="47"/>
      <c r="N1420" s="47"/>
      <c r="O1420" s="47"/>
      <c r="P1420" s="47"/>
      <c r="Q1420" s="47"/>
      <c r="R1420" s="47"/>
      <c r="S1420" s="50"/>
      <c r="T1420" s="47"/>
      <c r="U1420" s="47"/>
      <c r="V1420" s="47"/>
      <c r="W1420" s="51"/>
      <c r="X1420" s="51"/>
      <c r="Y1420" s="47"/>
      <c r="Z1420" s="47"/>
      <c r="AA1420" s="47"/>
      <c r="AB1420" s="47"/>
      <c r="AC1420" s="47"/>
      <c r="AD1420" s="47"/>
      <c r="AE1420" s="54"/>
      <c r="AF1420" s="54"/>
      <c r="AG1420" s="55"/>
      <c r="AH1420" s="54"/>
      <c r="AI1420" s="54"/>
      <c r="AJ1420" s="54"/>
      <c r="AK1420" s="54"/>
      <c r="AL1420" s="54"/>
      <c r="AM1420" s="54"/>
      <c r="AN1420" s="54"/>
      <c r="AO1420" s="54"/>
      <c r="AP1420" s="54"/>
      <c r="AQ1420" s="54"/>
      <c r="AR1420" s="54"/>
      <c r="AS1420" s="54"/>
      <c r="AT1420" s="54"/>
      <c r="AU1420" s="54"/>
      <c r="AV1420" s="54"/>
      <c r="AW1420" s="54"/>
      <c r="AX1420" s="54"/>
      <c r="AY1420" s="54"/>
      <c r="AZ1420" s="54"/>
      <c r="BA1420" s="54"/>
      <c r="BB1420" s="54"/>
      <c r="BC1420" s="56"/>
      <c r="BD1420" s="51"/>
      <c r="BE1420" s="54"/>
      <c r="BF1420" s="54"/>
      <c r="BG1420" s="47"/>
      <c r="BH1420" s="48"/>
      <c r="BI1420" s="48"/>
      <c r="BJ1420" s="48"/>
      <c r="BK1420" s="48"/>
      <c r="BL1420" s="48"/>
      <c r="BM1420" s="48"/>
      <c r="BN1420" s="48"/>
      <c r="BO1420" s="48"/>
      <c r="BP1420" s="48"/>
      <c r="BQ1420" s="48"/>
      <c r="BR1420" s="48"/>
      <c r="BS1420" s="48"/>
      <c r="BT1420" s="48"/>
      <c r="BU1420" s="48"/>
      <c r="BV1420" s="48"/>
      <c r="BW1420" s="48"/>
      <c r="BX1420" s="48"/>
      <c r="BY1420" s="48"/>
      <c r="BZ1420" s="48"/>
      <c r="CA1420" s="48"/>
      <c r="CB1420" s="48"/>
      <c r="CC1420" s="48"/>
      <c r="CD1420" s="48"/>
      <c r="CE1420" s="48"/>
      <c r="CF1420" s="52"/>
      <c r="CG1420" s="52"/>
      <c r="CH1420" s="48"/>
      <c r="CI1420" s="48"/>
      <c r="CJ1420" s="48"/>
      <c r="CK1420" s="48"/>
    </row>
    <row r="1421" spans="1:89" ht="15.75" customHeight="1" x14ac:dyDescent="0.3">
      <c r="A1421" s="47"/>
      <c r="B1421" s="48"/>
      <c r="C1421" s="47"/>
      <c r="D1421" s="48"/>
      <c r="E1421" s="48"/>
      <c r="F1421" s="48"/>
      <c r="G1421" s="48"/>
      <c r="H1421" s="48"/>
      <c r="I1421" s="49"/>
      <c r="J1421" s="47"/>
      <c r="K1421" s="47"/>
      <c r="L1421" s="47"/>
      <c r="M1421" s="47"/>
      <c r="N1421" s="47"/>
      <c r="O1421" s="47"/>
      <c r="P1421" s="47"/>
      <c r="Q1421" s="47"/>
      <c r="R1421" s="47"/>
      <c r="S1421" s="50"/>
      <c r="T1421" s="47"/>
      <c r="U1421" s="47"/>
      <c r="V1421" s="47"/>
      <c r="W1421" s="51"/>
      <c r="X1421" s="51"/>
      <c r="Y1421" s="47"/>
      <c r="Z1421" s="47"/>
      <c r="AA1421" s="47"/>
      <c r="AB1421" s="47"/>
      <c r="AC1421" s="47"/>
      <c r="AD1421" s="47"/>
      <c r="AE1421" s="54"/>
      <c r="AF1421" s="54"/>
      <c r="AG1421" s="55"/>
      <c r="AH1421" s="54"/>
      <c r="AI1421" s="54"/>
      <c r="AJ1421" s="54"/>
      <c r="AK1421" s="54"/>
      <c r="AL1421" s="54"/>
      <c r="AM1421" s="54"/>
      <c r="AN1421" s="54"/>
      <c r="AO1421" s="54"/>
      <c r="AP1421" s="54"/>
      <c r="AQ1421" s="54"/>
      <c r="AR1421" s="54"/>
      <c r="AS1421" s="54"/>
      <c r="AT1421" s="54"/>
      <c r="AU1421" s="54"/>
      <c r="AV1421" s="54"/>
      <c r="AW1421" s="54"/>
      <c r="AX1421" s="54"/>
      <c r="AY1421" s="54"/>
      <c r="AZ1421" s="54"/>
      <c r="BA1421" s="54"/>
      <c r="BB1421" s="54"/>
      <c r="BC1421" s="56"/>
      <c r="BD1421" s="51"/>
      <c r="BE1421" s="54"/>
      <c r="BF1421" s="54"/>
      <c r="BG1421" s="47"/>
      <c r="BH1421" s="48"/>
      <c r="BI1421" s="48"/>
      <c r="BJ1421" s="48"/>
      <c r="BK1421" s="48"/>
      <c r="BL1421" s="48"/>
      <c r="BM1421" s="48"/>
      <c r="BN1421" s="48"/>
      <c r="BO1421" s="48"/>
      <c r="BP1421" s="48"/>
      <c r="BQ1421" s="48"/>
      <c r="BR1421" s="48"/>
      <c r="BS1421" s="48"/>
      <c r="BT1421" s="48"/>
      <c r="BU1421" s="48"/>
      <c r="BV1421" s="48"/>
      <c r="BW1421" s="48"/>
      <c r="BX1421" s="48"/>
      <c r="BY1421" s="48"/>
      <c r="BZ1421" s="48"/>
      <c r="CA1421" s="48"/>
      <c r="CB1421" s="48"/>
      <c r="CC1421" s="48"/>
      <c r="CD1421" s="48"/>
      <c r="CE1421" s="48"/>
      <c r="CF1421" s="52"/>
      <c r="CG1421" s="52"/>
      <c r="CH1421" s="48"/>
      <c r="CI1421" s="48"/>
      <c r="CJ1421" s="48"/>
      <c r="CK1421" s="48"/>
    </row>
    <row r="1422" spans="1:89" ht="15.75" customHeight="1" x14ac:dyDescent="0.3">
      <c r="A1422" s="47"/>
      <c r="B1422" s="48"/>
      <c r="C1422" s="47"/>
      <c r="D1422" s="48"/>
      <c r="E1422" s="48"/>
      <c r="F1422" s="48"/>
      <c r="G1422" s="48"/>
      <c r="H1422" s="48"/>
      <c r="I1422" s="49"/>
      <c r="J1422" s="47"/>
      <c r="K1422" s="47"/>
      <c r="L1422" s="47"/>
      <c r="M1422" s="47"/>
      <c r="N1422" s="47"/>
      <c r="O1422" s="47"/>
      <c r="P1422" s="47"/>
      <c r="Q1422" s="47"/>
      <c r="R1422" s="47"/>
      <c r="S1422" s="50"/>
      <c r="T1422" s="47"/>
      <c r="U1422" s="47"/>
      <c r="V1422" s="47"/>
      <c r="W1422" s="51"/>
      <c r="X1422" s="51"/>
      <c r="Y1422" s="47"/>
      <c r="Z1422" s="47"/>
      <c r="AA1422" s="47"/>
      <c r="AB1422" s="47"/>
      <c r="AC1422" s="47"/>
      <c r="AD1422" s="47"/>
      <c r="AE1422" s="54"/>
      <c r="AF1422" s="54"/>
      <c r="AG1422" s="55"/>
      <c r="AH1422" s="54"/>
      <c r="AI1422" s="54"/>
      <c r="AJ1422" s="54"/>
      <c r="AK1422" s="54"/>
      <c r="AL1422" s="54"/>
      <c r="AM1422" s="54"/>
      <c r="AN1422" s="54"/>
      <c r="AO1422" s="54"/>
      <c r="AP1422" s="54"/>
      <c r="AQ1422" s="54"/>
      <c r="AR1422" s="54"/>
      <c r="AS1422" s="54"/>
      <c r="AT1422" s="54"/>
      <c r="AU1422" s="54"/>
      <c r="AV1422" s="54"/>
      <c r="AW1422" s="54"/>
      <c r="AX1422" s="54"/>
      <c r="AY1422" s="54"/>
      <c r="AZ1422" s="54"/>
      <c r="BA1422" s="54"/>
      <c r="BB1422" s="54"/>
      <c r="BC1422" s="56"/>
      <c r="BD1422" s="51"/>
      <c r="BE1422" s="54"/>
      <c r="BF1422" s="54"/>
      <c r="BG1422" s="47"/>
      <c r="BH1422" s="48"/>
      <c r="BI1422" s="48"/>
      <c r="BJ1422" s="48"/>
      <c r="BK1422" s="48"/>
      <c r="BL1422" s="48"/>
      <c r="BM1422" s="48"/>
      <c r="BN1422" s="48"/>
      <c r="BO1422" s="48"/>
      <c r="BP1422" s="48"/>
      <c r="BQ1422" s="48"/>
      <c r="BR1422" s="48"/>
      <c r="BS1422" s="48"/>
      <c r="BT1422" s="48"/>
      <c r="BU1422" s="48"/>
      <c r="BV1422" s="48"/>
      <c r="BW1422" s="48"/>
      <c r="BX1422" s="48"/>
      <c r="BY1422" s="48"/>
      <c r="BZ1422" s="48"/>
      <c r="CA1422" s="48"/>
      <c r="CB1422" s="48"/>
      <c r="CC1422" s="48"/>
      <c r="CD1422" s="48"/>
      <c r="CE1422" s="48"/>
      <c r="CF1422" s="52"/>
      <c r="CG1422" s="52"/>
      <c r="CH1422" s="48"/>
      <c r="CI1422" s="48"/>
      <c r="CJ1422" s="48"/>
      <c r="CK1422" s="48"/>
    </row>
    <row r="1423" spans="1:89" ht="15.75" customHeight="1" x14ac:dyDescent="0.3">
      <c r="A1423" s="47"/>
      <c r="B1423" s="48"/>
      <c r="C1423" s="47"/>
      <c r="D1423" s="48"/>
      <c r="E1423" s="48"/>
      <c r="F1423" s="48"/>
      <c r="G1423" s="48"/>
      <c r="H1423" s="48"/>
      <c r="I1423" s="49"/>
      <c r="J1423" s="47"/>
      <c r="K1423" s="47"/>
      <c r="L1423" s="47"/>
      <c r="M1423" s="47"/>
      <c r="N1423" s="47"/>
      <c r="O1423" s="47"/>
      <c r="P1423" s="47"/>
      <c r="Q1423" s="47"/>
      <c r="R1423" s="47"/>
      <c r="S1423" s="50"/>
      <c r="T1423" s="47"/>
      <c r="U1423" s="47"/>
      <c r="V1423" s="47"/>
      <c r="W1423" s="51"/>
      <c r="X1423" s="51"/>
      <c r="Y1423" s="47"/>
      <c r="Z1423" s="47"/>
      <c r="AA1423" s="47"/>
      <c r="AB1423" s="47"/>
      <c r="AC1423" s="47"/>
      <c r="AD1423" s="47"/>
      <c r="AE1423" s="54"/>
      <c r="AF1423" s="54"/>
      <c r="AG1423" s="55"/>
      <c r="AH1423" s="54"/>
      <c r="AI1423" s="54"/>
      <c r="AJ1423" s="54"/>
      <c r="AK1423" s="54"/>
      <c r="AL1423" s="54"/>
      <c r="AM1423" s="54"/>
      <c r="AN1423" s="54"/>
      <c r="AO1423" s="54"/>
      <c r="AP1423" s="54"/>
      <c r="AQ1423" s="54"/>
      <c r="AR1423" s="54"/>
      <c r="AS1423" s="54"/>
      <c r="AT1423" s="54"/>
      <c r="AU1423" s="54"/>
      <c r="AV1423" s="54"/>
      <c r="AW1423" s="54"/>
      <c r="AX1423" s="54"/>
      <c r="AY1423" s="54"/>
      <c r="AZ1423" s="54"/>
      <c r="BA1423" s="54"/>
      <c r="BB1423" s="54"/>
      <c r="BC1423" s="56"/>
      <c r="BD1423" s="51"/>
      <c r="BE1423" s="54"/>
      <c r="BF1423" s="54"/>
      <c r="BG1423" s="47"/>
      <c r="BH1423" s="48"/>
      <c r="BI1423" s="48"/>
      <c r="BJ1423" s="48"/>
      <c r="BK1423" s="48"/>
      <c r="BL1423" s="48"/>
      <c r="BM1423" s="48"/>
      <c r="BN1423" s="48"/>
      <c r="BO1423" s="48"/>
      <c r="BP1423" s="48"/>
      <c r="BQ1423" s="48"/>
      <c r="BR1423" s="48"/>
      <c r="BS1423" s="48"/>
      <c r="BT1423" s="48"/>
      <c r="BU1423" s="48"/>
      <c r="BV1423" s="48"/>
      <c r="BW1423" s="48"/>
      <c r="BX1423" s="48"/>
      <c r="BY1423" s="48"/>
      <c r="BZ1423" s="48"/>
      <c r="CA1423" s="48"/>
      <c r="CB1423" s="48"/>
      <c r="CC1423" s="48"/>
      <c r="CD1423" s="48"/>
      <c r="CE1423" s="48"/>
      <c r="CF1423" s="52"/>
      <c r="CG1423" s="52"/>
      <c r="CH1423" s="48"/>
      <c r="CI1423" s="48"/>
      <c r="CJ1423" s="48"/>
      <c r="CK1423" s="48"/>
    </row>
    <row r="1424" spans="1:89" ht="15.75" customHeight="1" x14ac:dyDescent="0.3">
      <c r="A1424" s="47"/>
      <c r="B1424" s="48"/>
      <c r="C1424" s="47"/>
      <c r="D1424" s="48"/>
      <c r="E1424" s="48"/>
      <c r="F1424" s="48"/>
      <c r="G1424" s="48"/>
      <c r="H1424" s="48"/>
      <c r="I1424" s="49"/>
      <c r="J1424" s="47"/>
      <c r="K1424" s="47"/>
      <c r="L1424" s="47"/>
      <c r="M1424" s="47"/>
      <c r="N1424" s="47"/>
      <c r="O1424" s="47"/>
      <c r="P1424" s="47"/>
      <c r="Q1424" s="47"/>
      <c r="R1424" s="47"/>
      <c r="S1424" s="50"/>
      <c r="T1424" s="47"/>
      <c r="U1424" s="47"/>
      <c r="V1424" s="47"/>
      <c r="W1424" s="51"/>
      <c r="X1424" s="51"/>
      <c r="Y1424" s="47"/>
      <c r="Z1424" s="47"/>
      <c r="AA1424" s="47"/>
      <c r="AB1424" s="47"/>
      <c r="AC1424" s="47"/>
      <c r="AD1424" s="47"/>
      <c r="AE1424" s="54"/>
      <c r="AF1424" s="54"/>
      <c r="AG1424" s="55"/>
      <c r="AH1424" s="54"/>
      <c r="AI1424" s="54"/>
      <c r="AJ1424" s="54"/>
      <c r="AK1424" s="54"/>
      <c r="AL1424" s="54"/>
      <c r="AM1424" s="54"/>
      <c r="AN1424" s="54"/>
      <c r="AO1424" s="54"/>
      <c r="AP1424" s="54"/>
      <c r="AQ1424" s="54"/>
      <c r="AR1424" s="54"/>
      <c r="AS1424" s="54"/>
      <c r="AT1424" s="54"/>
      <c r="AU1424" s="54"/>
      <c r="AV1424" s="54"/>
      <c r="AW1424" s="54"/>
      <c r="AX1424" s="54"/>
      <c r="AY1424" s="54"/>
      <c r="AZ1424" s="54"/>
      <c r="BA1424" s="54"/>
      <c r="BB1424" s="54"/>
      <c r="BC1424" s="56"/>
      <c r="BD1424" s="51"/>
      <c r="BE1424" s="54"/>
      <c r="BF1424" s="54"/>
      <c r="BG1424" s="47"/>
      <c r="BH1424" s="48"/>
      <c r="BI1424" s="48"/>
      <c r="BJ1424" s="48"/>
      <c r="BK1424" s="48"/>
      <c r="BL1424" s="48"/>
      <c r="BM1424" s="48"/>
      <c r="BN1424" s="48"/>
      <c r="BO1424" s="48"/>
      <c r="BP1424" s="48"/>
      <c r="BQ1424" s="48"/>
      <c r="BR1424" s="48"/>
      <c r="BS1424" s="48"/>
      <c r="BT1424" s="48"/>
      <c r="BU1424" s="48"/>
      <c r="BV1424" s="48"/>
      <c r="BW1424" s="48"/>
      <c r="BX1424" s="48"/>
      <c r="BY1424" s="48"/>
      <c r="BZ1424" s="48"/>
      <c r="CA1424" s="48"/>
      <c r="CB1424" s="48"/>
      <c r="CC1424" s="48"/>
      <c r="CD1424" s="48"/>
      <c r="CE1424" s="48"/>
      <c r="CF1424" s="52"/>
      <c r="CG1424" s="52"/>
      <c r="CH1424" s="48"/>
      <c r="CI1424" s="48"/>
      <c r="CJ1424" s="48"/>
      <c r="CK1424" s="48"/>
    </row>
    <row r="1425" spans="1:89" ht="15.75" customHeight="1" x14ac:dyDescent="0.3">
      <c r="A1425" s="47"/>
      <c r="B1425" s="48"/>
      <c r="C1425" s="47"/>
      <c r="D1425" s="48"/>
      <c r="E1425" s="48"/>
      <c r="F1425" s="48"/>
      <c r="G1425" s="48"/>
      <c r="H1425" s="48"/>
      <c r="I1425" s="49"/>
      <c r="J1425" s="47"/>
      <c r="K1425" s="47"/>
      <c r="L1425" s="47"/>
      <c r="M1425" s="47"/>
      <c r="N1425" s="47"/>
      <c r="O1425" s="47"/>
      <c r="P1425" s="47"/>
      <c r="Q1425" s="47"/>
      <c r="R1425" s="47"/>
      <c r="S1425" s="50"/>
      <c r="T1425" s="47"/>
      <c r="U1425" s="47"/>
      <c r="V1425" s="47"/>
      <c r="W1425" s="51"/>
      <c r="X1425" s="51"/>
      <c r="Y1425" s="47"/>
      <c r="Z1425" s="47"/>
      <c r="AA1425" s="47"/>
      <c r="AB1425" s="47"/>
      <c r="AC1425" s="47"/>
      <c r="AD1425" s="47"/>
      <c r="AE1425" s="54"/>
      <c r="AF1425" s="54"/>
      <c r="AG1425" s="55"/>
      <c r="AH1425" s="54"/>
      <c r="AI1425" s="54"/>
      <c r="AJ1425" s="54"/>
      <c r="AK1425" s="54"/>
      <c r="AL1425" s="54"/>
      <c r="AM1425" s="54"/>
      <c r="AN1425" s="54"/>
      <c r="AO1425" s="54"/>
      <c r="AP1425" s="54"/>
      <c r="AQ1425" s="54"/>
      <c r="AR1425" s="54"/>
      <c r="AS1425" s="54"/>
      <c r="AT1425" s="54"/>
      <c r="AU1425" s="54"/>
      <c r="AV1425" s="54"/>
      <c r="AW1425" s="54"/>
      <c r="AX1425" s="54"/>
      <c r="AY1425" s="54"/>
      <c r="AZ1425" s="54"/>
      <c r="BA1425" s="54"/>
      <c r="BB1425" s="54"/>
      <c r="BC1425" s="56"/>
      <c r="BD1425" s="51"/>
      <c r="BE1425" s="54"/>
      <c r="BF1425" s="54"/>
      <c r="BG1425" s="47"/>
      <c r="BH1425" s="48"/>
      <c r="BI1425" s="48"/>
      <c r="BJ1425" s="48"/>
      <c r="BK1425" s="48"/>
      <c r="BL1425" s="48"/>
      <c r="BM1425" s="48"/>
      <c r="BN1425" s="48"/>
      <c r="BO1425" s="48"/>
      <c r="BP1425" s="48"/>
      <c r="BQ1425" s="48"/>
      <c r="BR1425" s="48"/>
      <c r="BS1425" s="48"/>
      <c r="BT1425" s="48"/>
      <c r="BU1425" s="48"/>
      <c r="BV1425" s="48"/>
      <c r="BW1425" s="48"/>
      <c r="BX1425" s="48"/>
      <c r="BY1425" s="48"/>
      <c r="BZ1425" s="48"/>
      <c r="CA1425" s="48"/>
      <c r="CB1425" s="48"/>
      <c r="CC1425" s="48"/>
      <c r="CD1425" s="48"/>
      <c r="CE1425" s="48"/>
      <c r="CF1425" s="52"/>
      <c r="CG1425" s="52"/>
      <c r="CH1425" s="48"/>
      <c r="CI1425" s="48"/>
      <c r="CJ1425" s="48"/>
      <c r="CK1425" s="48"/>
    </row>
    <row r="1426" spans="1:89" ht="15.75" customHeight="1" x14ac:dyDescent="0.3">
      <c r="A1426" s="47"/>
      <c r="B1426" s="48"/>
      <c r="C1426" s="47"/>
      <c r="D1426" s="48"/>
      <c r="E1426" s="48"/>
      <c r="F1426" s="48"/>
      <c r="G1426" s="48"/>
      <c r="H1426" s="48"/>
      <c r="I1426" s="49"/>
      <c r="J1426" s="47"/>
      <c r="K1426" s="47"/>
      <c r="L1426" s="47"/>
      <c r="M1426" s="47"/>
      <c r="N1426" s="47"/>
      <c r="O1426" s="47"/>
      <c r="P1426" s="47"/>
      <c r="Q1426" s="47"/>
      <c r="R1426" s="47"/>
      <c r="S1426" s="50"/>
      <c r="T1426" s="47"/>
      <c r="U1426" s="47"/>
      <c r="V1426" s="47"/>
      <c r="W1426" s="51"/>
      <c r="X1426" s="51"/>
      <c r="Y1426" s="47"/>
      <c r="Z1426" s="47"/>
      <c r="AA1426" s="47"/>
      <c r="AB1426" s="47"/>
      <c r="AC1426" s="47"/>
      <c r="AD1426" s="47"/>
      <c r="AE1426" s="54"/>
      <c r="AF1426" s="54"/>
      <c r="AG1426" s="55"/>
      <c r="AH1426" s="54"/>
      <c r="AI1426" s="54"/>
      <c r="AJ1426" s="54"/>
      <c r="AK1426" s="54"/>
      <c r="AL1426" s="54"/>
      <c r="AM1426" s="54"/>
      <c r="AN1426" s="54"/>
      <c r="AO1426" s="54"/>
      <c r="AP1426" s="54"/>
      <c r="AQ1426" s="54"/>
      <c r="AR1426" s="54"/>
      <c r="AS1426" s="54"/>
      <c r="AT1426" s="54"/>
      <c r="AU1426" s="54"/>
      <c r="AV1426" s="54"/>
      <c r="AW1426" s="54"/>
      <c r="AX1426" s="54"/>
      <c r="AY1426" s="54"/>
      <c r="AZ1426" s="54"/>
      <c r="BA1426" s="54"/>
      <c r="BB1426" s="54"/>
      <c r="BC1426" s="56"/>
      <c r="BD1426" s="51"/>
      <c r="BE1426" s="54"/>
      <c r="BF1426" s="54"/>
      <c r="BG1426" s="47"/>
      <c r="BH1426" s="48"/>
      <c r="BI1426" s="48"/>
      <c r="BJ1426" s="48"/>
      <c r="BK1426" s="48"/>
      <c r="BL1426" s="48"/>
      <c r="BM1426" s="48"/>
      <c r="BN1426" s="48"/>
      <c r="BO1426" s="48"/>
      <c r="BP1426" s="48"/>
      <c r="BQ1426" s="48"/>
      <c r="BR1426" s="48"/>
      <c r="BS1426" s="48"/>
      <c r="BT1426" s="48"/>
      <c r="BU1426" s="48"/>
      <c r="BV1426" s="48"/>
      <c r="BW1426" s="48"/>
      <c r="BX1426" s="48"/>
      <c r="BY1426" s="48"/>
      <c r="BZ1426" s="48"/>
      <c r="CA1426" s="48"/>
      <c r="CB1426" s="48"/>
      <c r="CC1426" s="48"/>
      <c r="CD1426" s="48"/>
      <c r="CE1426" s="48"/>
      <c r="CF1426" s="52"/>
      <c r="CG1426" s="52"/>
      <c r="CH1426" s="48"/>
      <c r="CI1426" s="48"/>
      <c r="CJ1426" s="48"/>
      <c r="CK1426" s="48"/>
    </row>
    <row r="1427" spans="1:89" ht="15.75" customHeight="1" x14ac:dyDescent="0.3">
      <c r="A1427" s="47"/>
      <c r="B1427" s="48"/>
      <c r="C1427" s="47"/>
      <c r="D1427" s="48"/>
      <c r="E1427" s="48"/>
      <c r="F1427" s="48"/>
      <c r="G1427" s="48"/>
      <c r="H1427" s="48"/>
      <c r="I1427" s="49"/>
      <c r="J1427" s="47"/>
      <c r="K1427" s="47"/>
      <c r="L1427" s="47"/>
      <c r="M1427" s="47"/>
      <c r="N1427" s="47"/>
      <c r="O1427" s="47"/>
      <c r="P1427" s="47"/>
      <c r="Q1427" s="47"/>
      <c r="R1427" s="47"/>
      <c r="S1427" s="50"/>
      <c r="T1427" s="47"/>
      <c r="U1427" s="47"/>
      <c r="V1427" s="47"/>
      <c r="W1427" s="51"/>
      <c r="X1427" s="51"/>
      <c r="Y1427" s="47"/>
      <c r="Z1427" s="47"/>
      <c r="AA1427" s="47"/>
      <c r="AB1427" s="47"/>
      <c r="AC1427" s="47"/>
      <c r="AD1427" s="47"/>
      <c r="AE1427" s="54"/>
      <c r="AF1427" s="54"/>
      <c r="AG1427" s="55"/>
      <c r="AH1427" s="54"/>
      <c r="AI1427" s="54"/>
      <c r="AJ1427" s="54"/>
      <c r="AK1427" s="54"/>
      <c r="AL1427" s="54"/>
      <c r="AM1427" s="54"/>
      <c r="AN1427" s="54"/>
      <c r="AO1427" s="54"/>
      <c r="AP1427" s="54"/>
      <c r="AQ1427" s="54"/>
      <c r="AR1427" s="54"/>
      <c r="AS1427" s="54"/>
      <c r="AT1427" s="54"/>
      <c r="AU1427" s="54"/>
      <c r="AV1427" s="54"/>
      <c r="AW1427" s="54"/>
      <c r="AX1427" s="54"/>
      <c r="AY1427" s="54"/>
      <c r="AZ1427" s="54"/>
      <c r="BA1427" s="54"/>
      <c r="BB1427" s="54"/>
      <c r="BC1427" s="56"/>
      <c r="BD1427" s="51"/>
      <c r="BE1427" s="54"/>
      <c r="BF1427" s="54"/>
      <c r="BG1427" s="47"/>
      <c r="BH1427" s="48"/>
      <c r="BI1427" s="48"/>
      <c r="BJ1427" s="48"/>
      <c r="BK1427" s="48"/>
      <c r="BL1427" s="48"/>
      <c r="BM1427" s="48"/>
      <c r="BN1427" s="48"/>
      <c r="BO1427" s="48"/>
      <c r="BP1427" s="48"/>
      <c r="BQ1427" s="48"/>
      <c r="BR1427" s="48"/>
      <c r="BS1427" s="48"/>
      <c r="BT1427" s="48"/>
      <c r="BU1427" s="48"/>
      <c r="BV1427" s="48"/>
      <c r="BW1427" s="48"/>
      <c r="BX1427" s="48"/>
      <c r="BY1427" s="48"/>
      <c r="BZ1427" s="48"/>
      <c r="CA1427" s="48"/>
      <c r="CB1427" s="48"/>
      <c r="CC1427" s="48"/>
      <c r="CD1427" s="48"/>
      <c r="CE1427" s="48"/>
      <c r="CF1427" s="52"/>
      <c r="CG1427" s="52"/>
      <c r="CH1427" s="48"/>
      <c r="CI1427" s="48"/>
      <c r="CJ1427" s="48"/>
      <c r="CK1427" s="48"/>
    </row>
    <row r="1428" spans="1:89" ht="15.75" customHeight="1" x14ac:dyDescent="0.3">
      <c r="A1428" s="47"/>
      <c r="B1428" s="48"/>
      <c r="C1428" s="47"/>
      <c r="D1428" s="48"/>
      <c r="E1428" s="48"/>
      <c r="F1428" s="48"/>
      <c r="G1428" s="48"/>
      <c r="H1428" s="48"/>
      <c r="I1428" s="49"/>
      <c r="J1428" s="47"/>
      <c r="K1428" s="47"/>
      <c r="L1428" s="47"/>
      <c r="M1428" s="47"/>
      <c r="N1428" s="47"/>
      <c r="O1428" s="47"/>
      <c r="P1428" s="47"/>
      <c r="Q1428" s="47"/>
      <c r="R1428" s="47"/>
      <c r="S1428" s="50"/>
      <c r="T1428" s="47"/>
      <c r="U1428" s="47"/>
      <c r="V1428" s="47"/>
      <c r="W1428" s="51"/>
      <c r="X1428" s="51"/>
      <c r="Y1428" s="47"/>
      <c r="Z1428" s="47"/>
      <c r="AA1428" s="47"/>
      <c r="AB1428" s="47"/>
      <c r="AC1428" s="47"/>
      <c r="AD1428" s="47"/>
      <c r="AE1428" s="54"/>
      <c r="AF1428" s="54"/>
      <c r="AG1428" s="55"/>
      <c r="AH1428" s="54"/>
      <c r="AI1428" s="54"/>
      <c r="AJ1428" s="54"/>
      <c r="AK1428" s="54"/>
      <c r="AL1428" s="54"/>
      <c r="AM1428" s="54"/>
      <c r="AN1428" s="54"/>
      <c r="AO1428" s="54"/>
      <c r="AP1428" s="54"/>
      <c r="AQ1428" s="54"/>
      <c r="AR1428" s="54"/>
      <c r="AS1428" s="54"/>
      <c r="AT1428" s="54"/>
      <c r="AU1428" s="54"/>
      <c r="AV1428" s="54"/>
      <c r="AW1428" s="54"/>
      <c r="AX1428" s="54"/>
      <c r="AY1428" s="54"/>
      <c r="AZ1428" s="54"/>
      <c r="BA1428" s="54"/>
      <c r="BB1428" s="54"/>
      <c r="BC1428" s="56"/>
      <c r="BD1428" s="51"/>
      <c r="BE1428" s="54"/>
      <c r="BF1428" s="54"/>
      <c r="BG1428" s="47"/>
      <c r="BH1428" s="48"/>
      <c r="BI1428" s="48"/>
      <c r="BJ1428" s="48"/>
      <c r="BK1428" s="48"/>
      <c r="BL1428" s="48"/>
      <c r="BM1428" s="48"/>
      <c r="BN1428" s="48"/>
      <c r="BO1428" s="48"/>
      <c r="BP1428" s="48"/>
      <c r="BQ1428" s="48"/>
      <c r="BR1428" s="48"/>
      <c r="BS1428" s="48"/>
      <c r="BT1428" s="48"/>
      <c r="BU1428" s="48"/>
      <c r="BV1428" s="48"/>
      <c r="BW1428" s="48"/>
      <c r="BX1428" s="48"/>
      <c r="BY1428" s="48"/>
      <c r="BZ1428" s="48"/>
      <c r="CA1428" s="48"/>
      <c r="CB1428" s="48"/>
      <c r="CC1428" s="48"/>
      <c r="CD1428" s="48"/>
      <c r="CE1428" s="48"/>
      <c r="CF1428" s="52"/>
      <c r="CG1428" s="52"/>
      <c r="CH1428" s="48"/>
      <c r="CI1428" s="48"/>
      <c r="CJ1428" s="48"/>
      <c r="CK1428" s="48"/>
    </row>
    <row r="1429" spans="1:89" ht="15.75" customHeight="1" x14ac:dyDescent="0.3">
      <c r="A1429" s="47"/>
      <c r="B1429" s="48"/>
      <c r="C1429" s="47"/>
      <c r="D1429" s="48"/>
      <c r="E1429" s="48"/>
      <c r="F1429" s="48"/>
      <c r="G1429" s="48"/>
      <c r="H1429" s="48"/>
      <c r="I1429" s="49"/>
      <c r="J1429" s="47"/>
      <c r="K1429" s="47"/>
      <c r="L1429" s="47"/>
      <c r="M1429" s="47"/>
      <c r="N1429" s="47"/>
      <c r="O1429" s="47"/>
      <c r="P1429" s="47"/>
      <c r="Q1429" s="47"/>
      <c r="R1429" s="47"/>
      <c r="S1429" s="50"/>
      <c r="T1429" s="47"/>
      <c r="U1429" s="47"/>
      <c r="V1429" s="47"/>
      <c r="W1429" s="51"/>
      <c r="X1429" s="51"/>
      <c r="Y1429" s="47"/>
      <c r="Z1429" s="47"/>
      <c r="AA1429" s="47"/>
      <c r="AB1429" s="47"/>
      <c r="AC1429" s="47"/>
      <c r="AD1429" s="47"/>
      <c r="AE1429" s="54"/>
      <c r="AF1429" s="54"/>
      <c r="AG1429" s="55"/>
      <c r="AH1429" s="54"/>
      <c r="AI1429" s="54"/>
      <c r="AJ1429" s="54"/>
      <c r="AK1429" s="54"/>
      <c r="AL1429" s="54"/>
      <c r="AM1429" s="54"/>
      <c r="AN1429" s="54"/>
      <c r="AO1429" s="54"/>
      <c r="AP1429" s="54"/>
      <c r="AQ1429" s="54"/>
      <c r="AR1429" s="54"/>
      <c r="AS1429" s="54"/>
      <c r="AT1429" s="54"/>
      <c r="AU1429" s="54"/>
      <c r="AV1429" s="54"/>
      <c r="AW1429" s="54"/>
      <c r="AX1429" s="54"/>
      <c r="AY1429" s="54"/>
      <c r="AZ1429" s="54"/>
      <c r="BA1429" s="54"/>
      <c r="BB1429" s="54"/>
      <c r="BC1429" s="56"/>
      <c r="BD1429" s="51"/>
      <c r="BE1429" s="54"/>
      <c r="BF1429" s="54"/>
      <c r="BG1429" s="47"/>
      <c r="BH1429" s="48"/>
      <c r="BI1429" s="48"/>
      <c r="BJ1429" s="48"/>
      <c r="BK1429" s="48"/>
      <c r="BL1429" s="48"/>
      <c r="BM1429" s="48"/>
      <c r="BN1429" s="48"/>
      <c r="BO1429" s="48"/>
      <c r="BP1429" s="48"/>
      <c r="BQ1429" s="48"/>
      <c r="BR1429" s="48"/>
      <c r="BS1429" s="48"/>
      <c r="BT1429" s="48"/>
      <c r="BU1429" s="48"/>
      <c r="BV1429" s="48"/>
      <c r="BW1429" s="48"/>
      <c r="BX1429" s="48"/>
      <c r="BY1429" s="48"/>
      <c r="BZ1429" s="48"/>
      <c r="CA1429" s="48"/>
      <c r="CB1429" s="48"/>
      <c r="CC1429" s="48"/>
      <c r="CD1429" s="48"/>
      <c r="CE1429" s="48"/>
      <c r="CF1429" s="52"/>
      <c r="CG1429" s="52"/>
      <c r="CH1429" s="48"/>
      <c r="CI1429" s="48"/>
      <c r="CJ1429" s="48"/>
      <c r="CK1429" s="48"/>
    </row>
    <row r="1430" spans="1:89" ht="15.75" customHeight="1" x14ac:dyDescent="0.3">
      <c r="A1430" s="47"/>
      <c r="B1430" s="48"/>
      <c r="C1430" s="47"/>
      <c r="D1430" s="48"/>
      <c r="E1430" s="48"/>
      <c r="F1430" s="48"/>
      <c r="G1430" s="48"/>
      <c r="H1430" s="48"/>
      <c r="I1430" s="49"/>
      <c r="J1430" s="47"/>
      <c r="K1430" s="47"/>
      <c r="L1430" s="47"/>
      <c r="M1430" s="47"/>
      <c r="N1430" s="47"/>
      <c r="O1430" s="47"/>
      <c r="P1430" s="47"/>
      <c r="Q1430" s="47"/>
      <c r="R1430" s="47"/>
      <c r="S1430" s="50"/>
      <c r="T1430" s="47"/>
      <c r="U1430" s="47"/>
      <c r="V1430" s="47"/>
      <c r="W1430" s="51"/>
      <c r="X1430" s="51"/>
      <c r="Y1430" s="47"/>
      <c r="Z1430" s="47"/>
      <c r="AA1430" s="47"/>
      <c r="AB1430" s="47"/>
      <c r="AC1430" s="47"/>
      <c r="AD1430" s="47"/>
      <c r="AE1430" s="54"/>
      <c r="AF1430" s="54"/>
      <c r="AG1430" s="55"/>
      <c r="AH1430" s="54"/>
      <c r="AI1430" s="54"/>
      <c r="AJ1430" s="54"/>
      <c r="AK1430" s="54"/>
      <c r="AL1430" s="54"/>
      <c r="AM1430" s="54"/>
      <c r="AN1430" s="54"/>
      <c r="AO1430" s="54"/>
      <c r="AP1430" s="54"/>
      <c r="AQ1430" s="54"/>
      <c r="AR1430" s="54"/>
      <c r="AS1430" s="54"/>
      <c r="AT1430" s="54"/>
      <c r="AU1430" s="54"/>
      <c r="AV1430" s="54"/>
      <c r="AW1430" s="54"/>
      <c r="AX1430" s="54"/>
      <c r="AY1430" s="54"/>
      <c r="AZ1430" s="54"/>
      <c r="BA1430" s="54"/>
      <c r="BB1430" s="54"/>
      <c r="BC1430" s="56"/>
      <c r="BD1430" s="51"/>
      <c r="BE1430" s="54"/>
      <c r="BF1430" s="54"/>
      <c r="BG1430" s="47"/>
      <c r="BH1430" s="48"/>
      <c r="BI1430" s="48"/>
      <c r="BJ1430" s="48"/>
      <c r="BK1430" s="48"/>
      <c r="BL1430" s="48"/>
      <c r="BM1430" s="48"/>
      <c r="BN1430" s="48"/>
      <c r="BO1430" s="48"/>
      <c r="BP1430" s="48"/>
      <c r="BQ1430" s="48"/>
      <c r="BR1430" s="48"/>
      <c r="BS1430" s="48"/>
      <c r="BT1430" s="48"/>
      <c r="BU1430" s="48"/>
      <c r="BV1430" s="48"/>
      <c r="BW1430" s="48"/>
      <c r="BX1430" s="48"/>
      <c r="BY1430" s="48"/>
      <c r="BZ1430" s="48"/>
      <c r="CA1430" s="48"/>
      <c r="CB1430" s="48"/>
      <c r="CC1430" s="48"/>
      <c r="CD1430" s="48"/>
      <c r="CE1430" s="48"/>
      <c r="CF1430" s="52"/>
      <c r="CG1430" s="52"/>
      <c r="CH1430" s="48"/>
      <c r="CI1430" s="48"/>
      <c r="CJ1430" s="48"/>
      <c r="CK1430" s="48"/>
    </row>
    <row r="1431" spans="1:89" ht="15.75" customHeight="1" x14ac:dyDescent="0.3">
      <c r="A1431" s="47"/>
      <c r="B1431" s="48"/>
      <c r="C1431" s="47"/>
      <c r="D1431" s="48"/>
      <c r="E1431" s="48"/>
      <c r="F1431" s="48"/>
      <c r="G1431" s="48"/>
      <c r="H1431" s="48"/>
      <c r="I1431" s="49"/>
      <c r="J1431" s="47"/>
      <c r="K1431" s="47"/>
      <c r="L1431" s="47"/>
      <c r="M1431" s="47"/>
      <c r="N1431" s="47"/>
      <c r="O1431" s="47"/>
      <c r="P1431" s="47"/>
      <c r="Q1431" s="47"/>
      <c r="R1431" s="47"/>
      <c r="S1431" s="50"/>
      <c r="T1431" s="47"/>
      <c r="U1431" s="47"/>
      <c r="V1431" s="47"/>
      <c r="W1431" s="51"/>
      <c r="X1431" s="51"/>
      <c r="Y1431" s="47"/>
      <c r="Z1431" s="47"/>
      <c r="AA1431" s="47"/>
      <c r="AB1431" s="47"/>
      <c r="AC1431" s="47"/>
      <c r="AD1431" s="47"/>
      <c r="AE1431" s="54"/>
      <c r="AF1431" s="54"/>
      <c r="AG1431" s="55"/>
      <c r="AH1431" s="54"/>
      <c r="AI1431" s="54"/>
      <c r="AJ1431" s="54"/>
      <c r="AK1431" s="54"/>
      <c r="AL1431" s="54"/>
      <c r="AM1431" s="54"/>
      <c r="AN1431" s="54"/>
      <c r="AO1431" s="54"/>
      <c r="AP1431" s="54"/>
      <c r="AQ1431" s="54"/>
      <c r="AR1431" s="54"/>
      <c r="AS1431" s="54"/>
      <c r="AT1431" s="54"/>
      <c r="AU1431" s="54"/>
      <c r="AV1431" s="54"/>
      <c r="AW1431" s="54"/>
      <c r="AX1431" s="54"/>
      <c r="AY1431" s="54"/>
      <c r="AZ1431" s="54"/>
      <c r="BA1431" s="54"/>
      <c r="BB1431" s="54"/>
      <c r="BC1431" s="56"/>
      <c r="BD1431" s="51"/>
      <c r="BE1431" s="54"/>
      <c r="BF1431" s="54"/>
      <c r="BG1431" s="47"/>
      <c r="BH1431" s="48"/>
      <c r="BI1431" s="48"/>
      <c r="BJ1431" s="48"/>
      <c r="BK1431" s="48"/>
      <c r="BL1431" s="48"/>
      <c r="BM1431" s="48"/>
      <c r="BN1431" s="48"/>
      <c r="BO1431" s="48"/>
      <c r="BP1431" s="48"/>
      <c r="BQ1431" s="48"/>
      <c r="BR1431" s="48"/>
      <c r="BS1431" s="48"/>
      <c r="BT1431" s="48"/>
      <c r="BU1431" s="48"/>
      <c r="BV1431" s="48"/>
      <c r="BW1431" s="48"/>
      <c r="BX1431" s="48"/>
      <c r="BY1431" s="48"/>
      <c r="BZ1431" s="48"/>
      <c r="CA1431" s="48"/>
      <c r="CB1431" s="48"/>
      <c r="CC1431" s="48"/>
      <c r="CD1431" s="48"/>
      <c r="CE1431" s="48"/>
      <c r="CF1431" s="52"/>
      <c r="CG1431" s="52"/>
      <c r="CH1431" s="48"/>
      <c r="CI1431" s="48"/>
      <c r="CJ1431" s="48"/>
      <c r="CK1431" s="48"/>
    </row>
    <row r="1432" spans="1:89" ht="15.75" customHeight="1" x14ac:dyDescent="0.3">
      <c r="A1432" s="47"/>
      <c r="B1432" s="48"/>
      <c r="C1432" s="47"/>
      <c r="D1432" s="48"/>
      <c r="E1432" s="48"/>
      <c r="F1432" s="48"/>
      <c r="G1432" s="48"/>
      <c r="H1432" s="48"/>
      <c r="I1432" s="49"/>
      <c r="J1432" s="47"/>
      <c r="K1432" s="47"/>
      <c r="L1432" s="47"/>
      <c r="M1432" s="47"/>
      <c r="N1432" s="47"/>
      <c r="O1432" s="47"/>
      <c r="P1432" s="47"/>
      <c r="Q1432" s="47"/>
      <c r="R1432" s="47"/>
      <c r="S1432" s="50"/>
      <c r="T1432" s="47"/>
      <c r="U1432" s="47"/>
      <c r="V1432" s="47"/>
      <c r="W1432" s="51"/>
      <c r="X1432" s="51"/>
      <c r="Y1432" s="47"/>
      <c r="Z1432" s="47"/>
      <c r="AA1432" s="47"/>
      <c r="AB1432" s="47"/>
      <c r="AC1432" s="47"/>
      <c r="AD1432" s="47"/>
      <c r="AE1432" s="54"/>
      <c r="AF1432" s="54"/>
      <c r="AG1432" s="55"/>
      <c r="AH1432" s="54"/>
      <c r="AI1432" s="54"/>
      <c r="AJ1432" s="54"/>
      <c r="AK1432" s="54"/>
      <c r="AL1432" s="54"/>
      <c r="AM1432" s="54"/>
      <c r="AN1432" s="54"/>
      <c r="AO1432" s="54"/>
      <c r="AP1432" s="54"/>
      <c r="AQ1432" s="54"/>
      <c r="AR1432" s="54"/>
      <c r="AS1432" s="54"/>
      <c r="AT1432" s="54"/>
      <c r="AU1432" s="54"/>
      <c r="AV1432" s="54"/>
      <c r="AW1432" s="54"/>
      <c r="AX1432" s="54"/>
      <c r="AY1432" s="54"/>
      <c r="AZ1432" s="54"/>
      <c r="BA1432" s="54"/>
      <c r="BB1432" s="54"/>
      <c r="BC1432" s="56"/>
      <c r="BD1432" s="51"/>
      <c r="BE1432" s="54"/>
      <c r="BF1432" s="54"/>
      <c r="BG1432" s="47"/>
      <c r="BH1432" s="48"/>
      <c r="BI1432" s="48"/>
      <c r="BJ1432" s="48"/>
      <c r="BK1432" s="48"/>
      <c r="BL1432" s="48"/>
      <c r="BM1432" s="48"/>
      <c r="BN1432" s="48"/>
      <c r="BO1432" s="48"/>
      <c r="BP1432" s="48"/>
      <c r="BQ1432" s="48"/>
      <c r="BR1432" s="48"/>
      <c r="BS1432" s="48"/>
      <c r="BT1432" s="48"/>
      <c r="BU1432" s="48"/>
      <c r="BV1432" s="48"/>
      <c r="BW1432" s="48"/>
      <c r="BX1432" s="48"/>
      <c r="BY1432" s="48"/>
      <c r="BZ1432" s="48"/>
      <c r="CA1432" s="48"/>
      <c r="CB1432" s="48"/>
      <c r="CC1432" s="48"/>
      <c r="CD1432" s="48"/>
      <c r="CE1432" s="48"/>
      <c r="CF1432" s="52"/>
      <c r="CG1432" s="52"/>
      <c r="CH1432" s="48"/>
      <c r="CI1432" s="48"/>
      <c r="CJ1432" s="48"/>
      <c r="CK1432" s="48"/>
    </row>
    <row r="1433" spans="1:89" ht="15.75" customHeight="1" x14ac:dyDescent="0.3">
      <c r="A1433" s="47"/>
      <c r="B1433" s="48"/>
      <c r="C1433" s="47"/>
      <c r="D1433" s="48"/>
      <c r="E1433" s="48"/>
      <c r="F1433" s="48"/>
      <c r="G1433" s="48"/>
      <c r="H1433" s="48"/>
      <c r="I1433" s="49"/>
      <c r="J1433" s="47"/>
      <c r="K1433" s="47"/>
      <c r="L1433" s="47"/>
      <c r="M1433" s="47"/>
      <c r="N1433" s="47"/>
      <c r="O1433" s="47"/>
      <c r="P1433" s="47"/>
      <c r="Q1433" s="47"/>
      <c r="R1433" s="47"/>
      <c r="S1433" s="50"/>
      <c r="T1433" s="47"/>
      <c r="U1433" s="47"/>
      <c r="V1433" s="47"/>
      <c r="W1433" s="51"/>
      <c r="X1433" s="51"/>
      <c r="Y1433" s="47"/>
      <c r="Z1433" s="47"/>
      <c r="AA1433" s="47"/>
      <c r="AB1433" s="47"/>
      <c r="AC1433" s="47"/>
      <c r="AD1433" s="47"/>
      <c r="AE1433" s="54"/>
      <c r="AF1433" s="54"/>
      <c r="AG1433" s="55"/>
      <c r="AH1433" s="54"/>
      <c r="AI1433" s="54"/>
      <c r="AJ1433" s="54"/>
      <c r="AK1433" s="54"/>
      <c r="AL1433" s="54"/>
      <c r="AM1433" s="54"/>
      <c r="AN1433" s="54"/>
      <c r="AO1433" s="54"/>
      <c r="AP1433" s="54"/>
      <c r="AQ1433" s="54"/>
      <c r="AR1433" s="54"/>
      <c r="AS1433" s="54"/>
      <c r="AT1433" s="54"/>
      <c r="AU1433" s="54"/>
      <c r="AV1433" s="54"/>
      <c r="AW1433" s="54"/>
      <c r="AX1433" s="54"/>
      <c r="AY1433" s="54"/>
      <c r="AZ1433" s="54"/>
      <c r="BA1433" s="54"/>
      <c r="BB1433" s="54"/>
      <c r="BC1433" s="56"/>
      <c r="BD1433" s="51"/>
      <c r="BE1433" s="54"/>
      <c r="BF1433" s="54"/>
      <c r="BG1433" s="47"/>
      <c r="BH1433" s="48"/>
      <c r="BI1433" s="48"/>
      <c r="BJ1433" s="48"/>
      <c r="BK1433" s="48"/>
      <c r="BL1433" s="48"/>
      <c r="BM1433" s="48"/>
      <c r="BN1433" s="48"/>
      <c r="BO1433" s="48"/>
      <c r="BP1433" s="48"/>
      <c r="BQ1433" s="48"/>
      <c r="BR1433" s="48"/>
      <c r="BS1433" s="48"/>
      <c r="BT1433" s="48"/>
      <c r="BU1433" s="48"/>
      <c r="BV1433" s="48"/>
      <c r="BW1433" s="48"/>
      <c r="BX1433" s="48"/>
      <c r="BY1433" s="48"/>
      <c r="BZ1433" s="48"/>
      <c r="CA1433" s="48"/>
      <c r="CB1433" s="48"/>
      <c r="CC1433" s="48"/>
      <c r="CD1433" s="48"/>
      <c r="CE1433" s="48"/>
      <c r="CF1433" s="52"/>
      <c r="CG1433" s="52"/>
      <c r="CH1433" s="48"/>
      <c r="CI1433" s="48"/>
      <c r="CJ1433" s="48"/>
      <c r="CK1433" s="48"/>
    </row>
    <row r="1434" spans="1:89" ht="15.75" customHeight="1" x14ac:dyDescent="0.3">
      <c r="A1434" s="47"/>
      <c r="B1434" s="48"/>
      <c r="C1434" s="47"/>
      <c r="D1434" s="48"/>
      <c r="E1434" s="48"/>
      <c r="F1434" s="48"/>
      <c r="G1434" s="48"/>
      <c r="H1434" s="48"/>
      <c r="I1434" s="49"/>
      <c r="J1434" s="47"/>
      <c r="K1434" s="47"/>
      <c r="L1434" s="47"/>
      <c r="M1434" s="47"/>
      <c r="N1434" s="47"/>
      <c r="O1434" s="47"/>
      <c r="P1434" s="47"/>
      <c r="Q1434" s="47"/>
      <c r="R1434" s="47"/>
      <c r="S1434" s="50"/>
      <c r="T1434" s="47"/>
      <c r="U1434" s="47"/>
      <c r="V1434" s="47"/>
      <c r="W1434" s="51"/>
      <c r="X1434" s="51"/>
      <c r="Y1434" s="47"/>
      <c r="Z1434" s="47"/>
      <c r="AA1434" s="47"/>
      <c r="AB1434" s="47"/>
      <c r="AC1434" s="47"/>
      <c r="AD1434" s="47"/>
      <c r="AE1434" s="54"/>
      <c r="AF1434" s="54"/>
      <c r="AG1434" s="55"/>
      <c r="AH1434" s="54"/>
      <c r="AI1434" s="54"/>
      <c r="AJ1434" s="54"/>
      <c r="AK1434" s="54"/>
      <c r="AL1434" s="54"/>
      <c r="AM1434" s="54"/>
      <c r="AN1434" s="54"/>
      <c r="AO1434" s="54"/>
      <c r="AP1434" s="54"/>
      <c r="AQ1434" s="54"/>
      <c r="AR1434" s="54"/>
      <c r="AS1434" s="54"/>
      <c r="AT1434" s="54"/>
      <c r="AU1434" s="54"/>
      <c r="AV1434" s="54"/>
      <c r="AW1434" s="54"/>
      <c r="AX1434" s="54"/>
      <c r="AY1434" s="54"/>
      <c r="AZ1434" s="54"/>
      <c r="BA1434" s="54"/>
      <c r="BB1434" s="54"/>
      <c r="BC1434" s="56"/>
      <c r="BD1434" s="51"/>
      <c r="BE1434" s="54"/>
      <c r="BF1434" s="54"/>
      <c r="BG1434" s="47"/>
      <c r="BH1434" s="48"/>
      <c r="BI1434" s="48"/>
      <c r="BJ1434" s="48"/>
      <c r="BK1434" s="48"/>
      <c r="BL1434" s="48"/>
      <c r="BM1434" s="48"/>
      <c r="BN1434" s="48"/>
      <c r="BO1434" s="48"/>
      <c r="BP1434" s="48"/>
      <c r="BQ1434" s="48"/>
      <c r="BR1434" s="48"/>
      <c r="BS1434" s="48"/>
      <c r="BT1434" s="48"/>
      <c r="BU1434" s="48"/>
      <c r="BV1434" s="48"/>
      <c r="BW1434" s="48"/>
      <c r="BX1434" s="48"/>
      <c r="BY1434" s="48"/>
      <c r="BZ1434" s="48"/>
      <c r="CA1434" s="48"/>
      <c r="CB1434" s="48"/>
      <c r="CC1434" s="48"/>
      <c r="CD1434" s="48"/>
      <c r="CE1434" s="48"/>
      <c r="CF1434" s="52"/>
      <c r="CG1434" s="52"/>
      <c r="CH1434" s="48"/>
      <c r="CI1434" s="48"/>
      <c r="CJ1434" s="48"/>
      <c r="CK1434" s="48"/>
    </row>
    <row r="1435" spans="1:89" ht="15.75" customHeight="1" x14ac:dyDescent="0.3">
      <c r="A1435" s="47"/>
      <c r="B1435" s="48"/>
      <c r="C1435" s="47"/>
      <c r="D1435" s="48"/>
      <c r="E1435" s="48"/>
      <c r="F1435" s="48"/>
      <c r="G1435" s="48"/>
      <c r="H1435" s="48"/>
      <c r="I1435" s="49"/>
      <c r="J1435" s="47"/>
      <c r="K1435" s="47"/>
      <c r="L1435" s="47"/>
      <c r="M1435" s="47"/>
      <c r="N1435" s="47"/>
      <c r="O1435" s="47"/>
      <c r="P1435" s="47"/>
      <c r="Q1435" s="47"/>
      <c r="R1435" s="47"/>
      <c r="S1435" s="50"/>
      <c r="T1435" s="47"/>
      <c r="U1435" s="47"/>
      <c r="V1435" s="47"/>
      <c r="W1435" s="51"/>
      <c r="X1435" s="51"/>
      <c r="Y1435" s="47"/>
      <c r="Z1435" s="47"/>
      <c r="AA1435" s="47"/>
      <c r="AB1435" s="47"/>
      <c r="AC1435" s="47"/>
      <c r="AD1435" s="47"/>
      <c r="AE1435" s="54"/>
      <c r="AF1435" s="54"/>
      <c r="AG1435" s="55"/>
      <c r="AH1435" s="54"/>
      <c r="AI1435" s="54"/>
      <c r="AJ1435" s="54"/>
      <c r="AK1435" s="54"/>
      <c r="AL1435" s="54"/>
      <c r="AM1435" s="54"/>
      <c r="AN1435" s="54"/>
      <c r="AO1435" s="54"/>
      <c r="AP1435" s="54"/>
      <c r="AQ1435" s="54"/>
      <c r="AR1435" s="54"/>
      <c r="AS1435" s="54"/>
      <c r="AT1435" s="54"/>
      <c r="AU1435" s="54"/>
      <c r="AV1435" s="54"/>
      <c r="AW1435" s="54"/>
      <c r="AX1435" s="54"/>
      <c r="AY1435" s="54"/>
      <c r="AZ1435" s="54"/>
      <c r="BA1435" s="54"/>
      <c r="BB1435" s="54"/>
      <c r="BC1435" s="56"/>
      <c r="BD1435" s="51"/>
      <c r="BE1435" s="54"/>
      <c r="BF1435" s="54"/>
      <c r="BG1435" s="47"/>
      <c r="BH1435" s="48"/>
      <c r="BI1435" s="48"/>
      <c r="BJ1435" s="48"/>
      <c r="BK1435" s="48"/>
      <c r="BL1435" s="48"/>
      <c r="BM1435" s="48"/>
      <c r="BN1435" s="48"/>
      <c r="BO1435" s="48"/>
      <c r="BP1435" s="48"/>
      <c r="BQ1435" s="48"/>
      <c r="BR1435" s="48"/>
      <c r="BS1435" s="48"/>
      <c r="BT1435" s="48"/>
      <c r="BU1435" s="48"/>
      <c r="BV1435" s="48"/>
      <c r="BW1435" s="48"/>
      <c r="BX1435" s="48"/>
      <c r="BY1435" s="48"/>
      <c r="BZ1435" s="48"/>
      <c r="CA1435" s="48"/>
      <c r="CB1435" s="48"/>
      <c r="CC1435" s="48"/>
      <c r="CD1435" s="48"/>
      <c r="CE1435" s="48"/>
      <c r="CF1435" s="52"/>
      <c r="CG1435" s="52"/>
      <c r="CH1435" s="48"/>
      <c r="CI1435" s="48"/>
      <c r="CJ1435" s="48"/>
      <c r="CK1435" s="48"/>
    </row>
    <row r="1436" spans="1:89" ht="15.75" customHeight="1" x14ac:dyDescent="0.3">
      <c r="A1436" s="47"/>
      <c r="B1436" s="48"/>
      <c r="C1436" s="47"/>
      <c r="D1436" s="48"/>
      <c r="E1436" s="48"/>
      <c r="F1436" s="48"/>
      <c r="G1436" s="48"/>
      <c r="H1436" s="48"/>
      <c r="I1436" s="49"/>
      <c r="J1436" s="47"/>
      <c r="K1436" s="47"/>
      <c r="L1436" s="47"/>
      <c r="M1436" s="47"/>
      <c r="N1436" s="47"/>
      <c r="O1436" s="47"/>
      <c r="P1436" s="47"/>
      <c r="Q1436" s="47"/>
      <c r="R1436" s="47"/>
      <c r="S1436" s="50"/>
      <c r="T1436" s="47"/>
      <c r="U1436" s="47"/>
      <c r="V1436" s="47"/>
      <c r="W1436" s="51"/>
      <c r="X1436" s="51"/>
      <c r="Y1436" s="47"/>
      <c r="Z1436" s="47"/>
      <c r="AA1436" s="47"/>
      <c r="AB1436" s="47"/>
      <c r="AC1436" s="47"/>
      <c r="AD1436" s="47"/>
      <c r="AE1436" s="54"/>
      <c r="AF1436" s="54"/>
      <c r="AG1436" s="55"/>
      <c r="AH1436" s="54"/>
      <c r="AI1436" s="54"/>
      <c r="AJ1436" s="54"/>
      <c r="AK1436" s="54"/>
      <c r="AL1436" s="54"/>
      <c r="AM1436" s="54"/>
      <c r="AN1436" s="54"/>
      <c r="AO1436" s="54"/>
      <c r="AP1436" s="54"/>
      <c r="AQ1436" s="54"/>
      <c r="AR1436" s="54"/>
      <c r="AS1436" s="54"/>
      <c r="AT1436" s="54"/>
      <c r="AU1436" s="54"/>
      <c r="AV1436" s="54"/>
      <c r="AW1436" s="54"/>
      <c r="AX1436" s="54"/>
      <c r="AY1436" s="54"/>
      <c r="AZ1436" s="54"/>
      <c r="BA1436" s="54"/>
      <c r="BB1436" s="54"/>
      <c r="BC1436" s="56"/>
      <c r="BD1436" s="51"/>
      <c r="BE1436" s="54"/>
      <c r="BF1436" s="54"/>
      <c r="BG1436" s="47"/>
      <c r="BH1436" s="48"/>
      <c r="BI1436" s="48"/>
      <c r="BJ1436" s="48"/>
      <c r="BK1436" s="48"/>
      <c r="BL1436" s="48"/>
      <c r="BM1436" s="48"/>
      <c r="BN1436" s="48"/>
      <c r="BO1436" s="48"/>
      <c r="BP1436" s="48"/>
      <c r="BQ1436" s="48"/>
      <c r="BR1436" s="48"/>
      <c r="BS1436" s="48"/>
      <c r="BT1436" s="48"/>
      <c r="BU1436" s="48"/>
      <c r="BV1436" s="48"/>
      <c r="BW1436" s="48"/>
      <c r="BX1436" s="48"/>
      <c r="BY1436" s="48"/>
      <c r="BZ1436" s="48"/>
      <c r="CA1436" s="48"/>
      <c r="CB1436" s="48"/>
      <c r="CC1436" s="48"/>
      <c r="CD1436" s="48"/>
      <c r="CE1436" s="48"/>
      <c r="CF1436" s="52"/>
      <c r="CG1436" s="52"/>
      <c r="CH1436" s="48"/>
      <c r="CI1436" s="48"/>
      <c r="CJ1436" s="48"/>
      <c r="CK1436" s="48"/>
    </row>
    <row r="1437" spans="1:89" ht="15.75" customHeight="1" x14ac:dyDescent="0.3">
      <c r="A1437" s="47"/>
      <c r="B1437" s="48"/>
      <c r="C1437" s="47"/>
      <c r="D1437" s="48"/>
      <c r="E1437" s="48"/>
      <c r="F1437" s="48"/>
      <c r="G1437" s="48"/>
      <c r="H1437" s="48"/>
      <c r="I1437" s="49"/>
      <c r="J1437" s="47"/>
      <c r="K1437" s="47"/>
      <c r="L1437" s="47"/>
      <c r="M1437" s="47"/>
      <c r="N1437" s="47"/>
      <c r="O1437" s="47"/>
      <c r="P1437" s="47"/>
      <c r="Q1437" s="47"/>
      <c r="R1437" s="47"/>
      <c r="S1437" s="50"/>
      <c r="T1437" s="47"/>
      <c r="U1437" s="47"/>
      <c r="V1437" s="47"/>
      <c r="W1437" s="51"/>
      <c r="X1437" s="51"/>
      <c r="Y1437" s="47"/>
      <c r="Z1437" s="47"/>
      <c r="AA1437" s="47"/>
      <c r="AB1437" s="47"/>
      <c r="AC1437" s="47"/>
      <c r="AD1437" s="47"/>
      <c r="AE1437" s="54"/>
      <c r="AF1437" s="54"/>
      <c r="AG1437" s="55"/>
      <c r="AH1437" s="54"/>
      <c r="AI1437" s="54"/>
      <c r="AJ1437" s="54"/>
      <c r="AK1437" s="54"/>
      <c r="AL1437" s="54"/>
      <c r="AM1437" s="54"/>
      <c r="AN1437" s="54"/>
      <c r="AO1437" s="54"/>
      <c r="AP1437" s="54"/>
      <c r="AQ1437" s="54"/>
      <c r="AR1437" s="54"/>
      <c r="AS1437" s="54"/>
      <c r="AT1437" s="54"/>
      <c r="AU1437" s="54"/>
      <c r="AV1437" s="54"/>
      <c r="AW1437" s="54"/>
      <c r="AX1437" s="54"/>
      <c r="AY1437" s="54"/>
      <c r="AZ1437" s="54"/>
      <c r="BA1437" s="54"/>
      <c r="BB1437" s="54"/>
      <c r="BC1437" s="56"/>
      <c r="BD1437" s="51"/>
      <c r="BE1437" s="54"/>
      <c r="BF1437" s="54"/>
      <c r="BG1437" s="47"/>
      <c r="BH1437" s="48"/>
      <c r="BI1437" s="48"/>
      <c r="BJ1437" s="48"/>
      <c r="BK1437" s="48"/>
      <c r="BL1437" s="48"/>
      <c r="BM1437" s="48"/>
      <c r="BN1437" s="48"/>
      <c r="BO1437" s="48"/>
      <c r="BP1437" s="48"/>
      <c r="BQ1437" s="48"/>
      <c r="BR1437" s="48"/>
      <c r="BS1437" s="48"/>
      <c r="BT1437" s="48"/>
      <c r="BU1437" s="48"/>
      <c r="BV1437" s="48"/>
      <c r="BW1437" s="48"/>
      <c r="BX1437" s="48"/>
      <c r="BY1437" s="48"/>
      <c r="BZ1437" s="48"/>
      <c r="CA1437" s="48"/>
      <c r="CB1437" s="48"/>
      <c r="CC1437" s="48"/>
      <c r="CD1437" s="48"/>
      <c r="CE1437" s="48"/>
      <c r="CF1437" s="52"/>
      <c r="CG1437" s="52"/>
      <c r="CH1437" s="48"/>
      <c r="CI1437" s="48"/>
      <c r="CJ1437" s="48"/>
      <c r="CK1437" s="48"/>
    </row>
    <row r="1438" spans="1:89" ht="15.75" customHeight="1" x14ac:dyDescent="0.3">
      <c r="A1438" s="47"/>
      <c r="B1438" s="48"/>
      <c r="C1438" s="47"/>
      <c r="D1438" s="48"/>
      <c r="E1438" s="48"/>
      <c r="F1438" s="48"/>
      <c r="G1438" s="48"/>
      <c r="H1438" s="48"/>
      <c r="I1438" s="49"/>
      <c r="J1438" s="47"/>
      <c r="K1438" s="47"/>
      <c r="L1438" s="47"/>
      <c r="M1438" s="47"/>
      <c r="N1438" s="47"/>
      <c r="O1438" s="47"/>
      <c r="P1438" s="47"/>
      <c r="Q1438" s="47"/>
      <c r="R1438" s="47"/>
      <c r="S1438" s="50"/>
      <c r="T1438" s="47"/>
      <c r="U1438" s="47"/>
      <c r="V1438" s="47"/>
      <c r="W1438" s="51"/>
      <c r="X1438" s="51"/>
      <c r="Y1438" s="47"/>
      <c r="Z1438" s="47"/>
      <c r="AA1438" s="47"/>
      <c r="AB1438" s="47"/>
      <c r="AC1438" s="47"/>
      <c r="AD1438" s="47"/>
      <c r="AE1438" s="54"/>
      <c r="AF1438" s="54"/>
      <c r="AG1438" s="55"/>
      <c r="AH1438" s="54"/>
      <c r="AI1438" s="54"/>
      <c r="AJ1438" s="54"/>
      <c r="AK1438" s="54"/>
      <c r="AL1438" s="54"/>
      <c r="AM1438" s="54"/>
      <c r="AN1438" s="54"/>
      <c r="AO1438" s="54"/>
      <c r="AP1438" s="54"/>
      <c r="AQ1438" s="54"/>
      <c r="AR1438" s="54"/>
      <c r="AS1438" s="54"/>
      <c r="AT1438" s="54"/>
      <c r="AU1438" s="54"/>
      <c r="AV1438" s="54"/>
      <c r="AW1438" s="54"/>
      <c r="AX1438" s="54"/>
      <c r="AY1438" s="54"/>
      <c r="AZ1438" s="54"/>
      <c r="BA1438" s="54"/>
      <c r="BB1438" s="54"/>
      <c r="BC1438" s="56"/>
      <c r="BD1438" s="51"/>
      <c r="BE1438" s="54"/>
      <c r="BF1438" s="54"/>
      <c r="BG1438" s="47"/>
      <c r="BH1438" s="48"/>
      <c r="BI1438" s="48"/>
      <c r="BJ1438" s="48"/>
      <c r="BK1438" s="48"/>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52"/>
      <c r="CG1438" s="52"/>
      <c r="CH1438" s="48"/>
      <c r="CI1438" s="48"/>
      <c r="CJ1438" s="48"/>
      <c r="CK1438" s="48"/>
    </row>
    <row r="1439" spans="1:89" ht="15.75" customHeight="1" x14ac:dyDescent="0.3">
      <c r="A1439" s="47"/>
      <c r="B1439" s="48"/>
      <c r="C1439" s="47"/>
      <c r="D1439" s="48"/>
      <c r="E1439" s="48"/>
      <c r="F1439" s="48"/>
      <c r="G1439" s="48"/>
      <c r="H1439" s="48"/>
      <c r="I1439" s="49"/>
      <c r="J1439" s="47"/>
      <c r="K1439" s="47"/>
      <c r="L1439" s="47"/>
      <c r="M1439" s="47"/>
      <c r="N1439" s="47"/>
      <c r="O1439" s="47"/>
      <c r="P1439" s="47"/>
      <c r="Q1439" s="47"/>
      <c r="R1439" s="47"/>
      <c r="S1439" s="50"/>
      <c r="T1439" s="47"/>
      <c r="U1439" s="47"/>
      <c r="V1439" s="47"/>
      <c r="W1439" s="51"/>
      <c r="X1439" s="51"/>
      <c r="Y1439" s="47"/>
      <c r="Z1439" s="47"/>
      <c r="AA1439" s="47"/>
      <c r="AB1439" s="47"/>
      <c r="AC1439" s="47"/>
      <c r="AD1439" s="47"/>
      <c r="AE1439" s="54"/>
      <c r="AF1439" s="54"/>
      <c r="AG1439" s="55"/>
      <c r="AH1439" s="54"/>
      <c r="AI1439" s="54"/>
      <c r="AJ1439" s="54"/>
      <c r="AK1439" s="54"/>
      <c r="AL1439" s="54"/>
      <c r="AM1439" s="54"/>
      <c r="AN1439" s="54"/>
      <c r="AO1439" s="54"/>
      <c r="AP1439" s="54"/>
      <c r="AQ1439" s="54"/>
      <c r="AR1439" s="54"/>
      <c r="AS1439" s="54"/>
      <c r="AT1439" s="54"/>
      <c r="AU1439" s="54"/>
      <c r="AV1439" s="54"/>
      <c r="AW1439" s="54"/>
      <c r="AX1439" s="54"/>
      <c r="AY1439" s="54"/>
      <c r="AZ1439" s="54"/>
      <c r="BA1439" s="54"/>
      <c r="BB1439" s="54"/>
      <c r="BC1439" s="56"/>
      <c r="BD1439" s="51"/>
      <c r="BE1439" s="54"/>
      <c r="BF1439" s="54"/>
      <c r="BG1439" s="47"/>
      <c r="BH1439" s="48"/>
      <c r="BI1439" s="48"/>
      <c r="BJ1439" s="48"/>
      <c r="BK1439" s="48"/>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52"/>
      <c r="CG1439" s="52"/>
      <c r="CH1439" s="48"/>
      <c r="CI1439" s="48"/>
      <c r="CJ1439" s="48"/>
      <c r="CK1439" s="48"/>
    </row>
    <row r="1440" spans="1:89" ht="15.75" customHeight="1" x14ac:dyDescent="0.3">
      <c r="A1440" s="47"/>
      <c r="B1440" s="48"/>
      <c r="C1440" s="47"/>
      <c r="D1440" s="48"/>
      <c r="E1440" s="48"/>
      <c r="F1440" s="48"/>
      <c r="G1440" s="48"/>
      <c r="H1440" s="48"/>
      <c r="I1440" s="49"/>
      <c r="J1440" s="47"/>
      <c r="K1440" s="47"/>
      <c r="L1440" s="47"/>
      <c r="M1440" s="47"/>
      <c r="N1440" s="47"/>
      <c r="O1440" s="47"/>
      <c r="P1440" s="47"/>
      <c r="Q1440" s="47"/>
      <c r="R1440" s="47"/>
      <c r="S1440" s="50"/>
      <c r="T1440" s="47"/>
      <c r="U1440" s="47"/>
      <c r="V1440" s="47"/>
      <c r="W1440" s="51"/>
      <c r="X1440" s="51"/>
      <c r="Y1440" s="47"/>
      <c r="Z1440" s="47"/>
      <c r="AA1440" s="47"/>
      <c r="AB1440" s="47"/>
      <c r="AC1440" s="47"/>
      <c r="AD1440" s="47"/>
      <c r="AE1440" s="54"/>
      <c r="AF1440" s="54"/>
      <c r="AG1440" s="55"/>
      <c r="AH1440" s="54"/>
      <c r="AI1440" s="54"/>
      <c r="AJ1440" s="54"/>
      <c r="AK1440" s="54"/>
      <c r="AL1440" s="54"/>
      <c r="AM1440" s="54"/>
      <c r="AN1440" s="54"/>
      <c r="AO1440" s="54"/>
      <c r="AP1440" s="54"/>
      <c r="AQ1440" s="54"/>
      <c r="AR1440" s="54"/>
      <c r="AS1440" s="54"/>
      <c r="AT1440" s="54"/>
      <c r="AU1440" s="54"/>
      <c r="AV1440" s="54"/>
      <c r="AW1440" s="54"/>
      <c r="AX1440" s="54"/>
      <c r="AY1440" s="54"/>
      <c r="AZ1440" s="54"/>
      <c r="BA1440" s="54"/>
      <c r="BB1440" s="54"/>
      <c r="BC1440" s="56"/>
      <c r="BD1440" s="51"/>
      <c r="BE1440" s="54"/>
      <c r="BF1440" s="54"/>
      <c r="BG1440" s="47"/>
      <c r="BH1440" s="48"/>
      <c r="BI1440" s="48"/>
      <c r="BJ1440" s="48"/>
      <c r="BK1440" s="48"/>
      <c r="BL1440" s="48"/>
      <c r="BM1440" s="48"/>
      <c r="BN1440" s="48"/>
      <c r="BO1440" s="48"/>
      <c r="BP1440" s="48"/>
      <c r="BQ1440" s="48"/>
      <c r="BR1440" s="48"/>
      <c r="BS1440" s="48"/>
      <c r="BT1440" s="48"/>
      <c r="BU1440" s="48"/>
      <c r="BV1440" s="48"/>
      <c r="BW1440" s="48"/>
      <c r="BX1440" s="48"/>
      <c r="BY1440" s="48"/>
      <c r="BZ1440" s="48"/>
      <c r="CA1440" s="48"/>
      <c r="CB1440" s="48"/>
      <c r="CC1440" s="48"/>
      <c r="CD1440" s="48"/>
      <c r="CE1440" s="48"/>
      <c r="CF1440" s="52"/>
      <c r="CG1440" s="52"/>
      <c r="CH1440" s="48"/>
      <c r="CI1440" s="48"/>
      <c r="CJ1440" s="48"/>
      <c r="CK1440" s="48"/>
    </row>
    <row r="1441" spans="1:89" ht="15.75" customHeight="1" x14ac:dyDescent="0.3">
      <c r="A1441" s="47"/>
      <c r="B1441" s="48"/>
      <c r="C1441" s="47"/>
      <c r="D1441" s="48"/>
      <c r="E1441" s="48"/>
      <c r="F1441" s="48"/>
      <c r="G1441" s="48"/>
      <c r="H1441" s="48"/>
      <c r="I1441" s="49"/>
      <c r="J1441" s="47"/>
      <c r="K1441" s="47"/>
      <c r="L1441" s="47"/>
      <c r="M1441" s="47"/>
      <c r="N1441" s="47"/>
      <c r="O1441" s="47"/>
      <c r="P1441" s="47"/>
      <c r="Q1441" s="47"/>
      <c r="R1441" s="47"/>
      <c r="S1441" s="50"/>
      <c r="T1441" s="47"/>
      <c r="U1441" s="47"/>
      <c r="V1441" s="47"/>
      <c r="W1441" s="51"/>
      <c r="X1441" s="51"/>
      <c r="Y1441" s="47"/>
      <c r="Z1441" s="47"/>
      <c r="AA1441" s="47"/>
      <c r="AB1441" s="47"/>
      <c r="AC1441" s="47"/>
      <c r="AD1441" s="47"/>
      <c r="AE1441" s="54"/>
      <c r="AF1441" s="54"/>
      <c r="AG1441" s="55"/>
      <c r="AH1441" s="54"/>
      <c r="AI1441" s="54"/>
      <c r="AJ1441" s="54"/>
      <c r="AK1441" s="54"/>
      <c r="AL1441" s="54"/>
      <c r="AM1441" s="54"/>
      <c r="AN1441" s="54"/>
      <c r="AO1441" s="54"/>
      <c r="AP1441" s="54"/>
      <c r="AQ1441" s="54"/>
      <c r="AR1441" s="54"/>
      <c r="AS1441" s="54"/>
      <c r="AT1441" s="54"/>
      <c r="AU1441" s="54"/>
      <c r="AV1441" s="54"/>
      <c r="AW1441" s="54"/>
      <c r="AX1441" s="54"/>
      <c r="AY1441" s="54"/>
      <c r="AZ1441" s="54"/>
      <c r="BA1441" s="54"/>
      <c r="BB1441" s="54"/>
      <c r="BC1441" s="56"/>
      <c r="BD1441" s="51"/>
      <c r="BE1441" s="54"/>
      <c r="BF1441" s="54"/>
      <c r="BG1441" s="47"/>
      <c r="BH1441" s="48"/>
      <c r="BI1441" s="48"/>
      <c r="BJ1441" s="48"/>
      <c r="BK1441" s="48"/>
      <c r="BL1441" s="48"/>
      <c r="BM1441" s="48"/>
      <c r="BN1441" s="48"/>
      <c r="BO1441" s="48"/>
      <c r="BP1441" s="48"/>
      <c r="BQ1441" s="48"/>
      <c r="BR1441" s="48"/>
      <c r="BS1441" s="48"/>
      <c r="BT1441" s="48"/>
      <c r="BU1441" s="48"/>
      <c r="BV1441" s="48"/>
      <c r="BW1441" s="48"/>
      <c r="BX1441" s="48"/>
      <c r="BY1441" s="48"/>
      <c r="BZ1441" s="48"/>
      <c r="CA1441" s="48"/>
      <c r="CB1441" s="48"/>
      <c r="CC1441" s="48"/>
      <c r="CD1441" s="48"/>
      <c r="CE1441" s="48"/>
      <c r="CF1441" s="52"/>
      <c r="CG1441" s="52"/>
      <c r="CH1441" s="48"/>
      <c r="CI1441" s="48"/>
      <c r="CJ1441" s="48"/>
      <c r="CK1441" s="48"/>
    </row>
    <row r="1442" spans="1:89" ht="15.75" customHeight="1" x14ac:dyDescent="0.3">
      <c r="A1442" s="47"/>
      <c r="B1442" s="48"/>
      <c r="C1442" s="47"/>
      <c r="D1442" s="48"/>
      <c r="E1442" s="48"/>
      <c r="F1442" s="48"/>
      <c r="G1442" s="48"/>
      <c r="H1442" s="48"/>
      <c r="I1442" s="49"/>
      <c r="J1442" s="47"/>
      <c r="K1442" s="47"/>
      <c r="L1442" s="47"/>
      <c r="M1442" s="47"/>
      <c r="N1442" s="47"/>
      <c r="O1442" s="47"/>
      <c r="P1442" s="47"/>
      <c r="Q1442" s="47"/>
      <c r="R1442" s="47"/>
      <c r="S1442" s="50"/>
      <c r="T1442" s="47"/>
      <c r="U1442" s="47"/>
      <c r="V1442" s="47"/>
      <c r="W1442" s="51"/>
      <c r="X1442" s="51"/>
      <c r="Y1442" s="47"/>
      <c r="Z1442" s="47"/>
      <c r="AA1442" s="47"/>
      <c r="AB1442" s="47"/>
      <c r="AC1442" s="47"/>
      <c r="AD1442" s="47"/>
      <c r="AE1442" s="54"/>
      <c r="AF1442" s="54"/>
      <c r="AG1442" s="55"/>
      <c r="AH1442" s="54"/>
      <c r="AI1442" s="54"/>
      <c r="AJ1442" s="54"/>
      <c r="AK1442" s="54"/>
      <c r="AL1442" s="54"/>
      <c r="AM1442" s="54"/>
      <c r="AN1442" s="54"/>
      <c r="AO1442" s="54"/>
      <c r="AP1442" s="54"/>
      <c r="AQ1442" s="54"/>
      <c r="AR1442" s="54"/>
      <c r="AS1442" s="54"/>
      <c r="AT1442" s="54"/>
      <c r="AU1442" s="54"/>
      <c r="AV1442" s="54"/>
      <c r="AW1442" s="54"/>
      <c r="AX1442" s="54"/>
      <c r="AY1442" s="54"/>
      <c r="AZ1442" s="54"/>
      <c r="BA1442" s="54"/>
      <c r="BB1442" s="54"/>
      <c r="BC1442" s="56"/>
      <c r="BD1442" s="51"/>
      <c r="BE1442" s="54"/>
      <c r="BF1442" s="54"/>
      <c r="BG1442" s="47"/>
      <c r="BH1442" s="48"/>
      <c r="BI1442" s="48"/>
      <c r="BJ1442" s="48"/>
      <c r="BK1442" s="48"/>
      <c r="BL1442" s="48"/>
      <c r="BM1442" s="48"/>
      <c r="BN1442" s="48"/>
      <c r="BO1442" s="48"/>
      <c r="BP1442" s="48"/>
      <c r="BQ1442" s="48"/>
      <c r="BR1442" s="48"/>
      <c r="BS1442" s="48"/>
      <c r="BT1442" s="48"/>
      <c r="BU1442" s="48"/>
      <c r="BV1442" s="48"/>
      <c r="BW1442" s="48"/>
      <c r="BX1442" s="48"/>
      <c r="BY1442" s="48"/>
      <c r="BZ1442" s="48"/>
      <c r="CA1442" s="48"/>
      <c r="CB1442" s="48"/>
      <c r="CC1442" s="48"/>
      <c r="CD1442" s="48"/>
      <c r="CE1442" s="48"/>
      <c r="CF1442" s="52"/>
      <c r="CG1442" s="52"/>
      <c r="CH1442" s="48"/>
      <c r="CI1442" s="48"/>
      <c r="CJ1442" s="48"/>
      <c r="CK1442" s="48"/>
    </row>
    <row r="1443" spans="1:89" ht="15.75" customHeight="1" x14ac:dyDescent="0.3">
      <c r="A1443" s="47"/>
      <c r="B1443" s="48"/>
      <c r="C1443" s="47"/>
      <c r="D1443" s="48"/>
      <c r="E1443" s="48"/>
      <c r="F1443" s="48"/>
      <c r="G1443" s="48"/>
      <c r="H1443" s="48"/>
      <c r="I1443" s="49"/>
      <c r="J1443" s="47"/>
      <c r="K1443" s="47"/>
      <c r="L1443" s="47"/>
      <c r="M1443" s="47"/>
      <c r="N1443" s="47"/>
      <c r="O1443" s="47"/>
      <c r="P1443" s="47"/>
      <c r="Q1443" s="47"/>
      <c r="R1443" s="47"/>
      <c r="S1443" s="50"/>
      <c r="T1443" s="47"/>
      <c r="U1443" s="47"/>
      <c r="V1443" s="47"/>
      <c r="W1443" s="51"/>
      <c r="X1443" s="51"/>
      <c r="Y1443" s="47"/>
      <c r="Z1443" s="47"/>
      <c r="AA1443" s="47"/>
      <c r="AB1443" s="47"/>
      <c r="AC1443" s="47"/>
      <c r="AD1443" s="47"/>
      <c r="AE1443" s="54"/>
      <c r="AF1443" s="54"/>
      <c r="AG1443" s="55"/>
      <c r="AH1443" s="54"/>
      <c r="AI1443" s="54"/>
      <c r="AJ1443" s="54"/>
      <c r="AK1443" s="54"/>
      <c r="AL1443" s="54"/>
      <c r="AM1443" s="54"/>
      <c r="AN1443" s="54"/>
      <c r="AO1443" s="54"/>
      <c r="AP1443" s="54"/>
      <c r="AQ1443" s="54"/>
      <c r="AR1443" s="54"/>
      <c r="AS1443" s="54"/>
      <c r="AT1443" s="54"/>
      <c r="AU1443" s="54"/>
      <c r="AV1443" s="54"/>
      <c r="AW1443" s="54"/>
      <c r="AX1443" s="54"/>
      <c r="AY1443" s="54"/>
      <c r="AZ1443" s="54"/>
      <c r="BA1443" s="54"/>
      <c r="BB1443" s="54"/>
      <c r="BC1443" s="56"/>
      <c r="BD1443" s="51"/>
      <c r="BE1443" s="54"/>
      <c r="BF1443" s="54"/>
      <c r="BG1443" s="47"/>
      <c r="BH1443" s="48"/>
      <c r="BI1443" s="48"/>
      <c r="BJ1443" s="48"/>
      <c r="BK1443" s="48"/>
      <c r="BL1443" s="48"/>
      <c r="BM1443" s="48"/>
      <c r="BN1443" s="48"/>
      <c r="BO1443" s="48"/>
      <c r="BP1443" s="48"/>
      <c r="BQ1443" s="48"/>
      <c r="BR1443" s="48"/>
      <c r="BS1443" s="48"/>
      <c r="BT1443" s="48"/>
      <c r="BU1443" s="48"/>
      <c r="BV1443" s="48"/>
      <c r="BW1443" s="48"/>
      <c r="BX1443" s="48"/>
      <c r="BY1443" s="48"/>
      <c r="BZ1443" s="48"/>
      <c r="CA1443" s="48"/>
      <c r="CB1443" s="48"/>
      <c r="CC1443" s="48"/>
      <c r="CD1443" s="48"/>
      <c r="CE1443" s="48"/>
      <c r="CF1443" s="52"/>
      <c r="CG1443" s="52"/>
      <c r="CH1443" s="48"/>
      <c r="CI1443" s="48"/>
      <c r="CJ1443" s="48"/>
      <c r="CK1443" s="48"/>
    </row>
    <row r="1444" spans="1:89" ht="15.75" customHeight="1" x14ac:dyDescent="0.3">
      <c r="A1444" s="47"/>
      <c r="B1444" s="48"/>
      <c r="C1444" s="47"/>
      <c r="D1444" s="48"/>
      <c r="E1444" s="48"/>
      <c r="F1444" s="48"/>
      <c r="G1444" s="48"/>
      <c r="H1444" s="48"/>
      <c r="I1444" s="49"/>
      <c r="J1444" s="47"/>
      <c r="K1444" s="47"/>
      <c r="L1444" s="47"/>
      <c r="M1444" s="47"/>
      <c r="N1444" s="47"/>
      <c r="O1444" s="47"/>
      <c r="P1444" s="47"/>
      <c r="Q1444" s="47"/>
      <c r="R1444" s="47"/>
      <c r="S1444" s="50"/>
      <c r="T1444" s="47"/>
      <c r="U1444" s="47"/>
      <c r="V1444" s="47"/>
      <c r="W1444" s="51"/>
      <c r="X1444" s="51"/>
      <c r="Y1444" s="47"/>
      <c r="Z1444" s="47"/>
      <c r="AA1444" s="47"/>
      <c r="AB1444" s="47"/>
      <c r="AC1444" s="47"/>
      <c r="AD1444" s="47"/>
      <c r="AE1444" s="54"/>
      <c r="AF1444" s="54"/>
      <c r="AG1444" s="55"/>
      <c r="AH1444" s="54"/>
      <c r="AI1444" s="54"/>
      <c r="AJ1444" s="54"/>
      <c r="AK1444" s="54"/>
      <c r="AL1444" s="54"/>
      <c r="AM1444" s="54"/>
      <c r="AN1444" s="54"/>
      <c r="AO1444" s="54"/>
      <c r="AP1444" s="54"/>
      <c r="AQ1444" s="54"/>
      <c r="AR1444" s="54"/>
      <c r="AS1444" s="54"/>
      <c r="AT1444" s="54"/>
      <c r="AU1444" s="54"/>
      <c r="AV1444" s="54"/>
      <c r="AW1444" s="54"/>
      <c r="AX1444" s="54"/>
      <c r="AY1444" s="54"/>
      <c r="AZ1444" s="54"/>
      <c r="BA1444" s="54"/>
      <c r="BB1444" s="54"/>
      <c r="BC1444" s="56"/>
      <c r="BD1444" s="51"/>
      <c r="BE1444" s="54"/>
      <c r="BF1444" s="54"/>
      <c r="BG1444" s="47"/>
      <c r="BH1444" s="48"/>
      <c r="BI1444" s="48"/>
      <c r="BJ1444" s="48"/>
      <c r="BK1444" s="48"/>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52"/>
      <c r="CG1444" s="52"/>
      <c r="CH1444" s="48"/>
      <c r="CI1444" s="48"/>
      <c r="CJ1444" s="48"/>
      <c r="CK1444" s="48"/>
    </row>
    <row r="1445" spans="1:89" ht="15.75" customHeight="1" x14ac:dyDescent="0.3">
      <c r="A1445" s="47"/>
      <c r="B1445" s="48"/>
      <c r="C1445" s="47"/>
      <c r="D1445" s="48"/>
      <c r="E1445" s="48"/>
      <c r="F1445" s="48"/>
      <c r="G1445" s="48"/>
      <c r="H1445" s="48"/>
      <c r="I1445" s="49"/>
      <c r="J1445" s="47"/>
      <c r="K1445" s="47"/>
      <c r="L1445" s="47"/>
      <c r="M1445" s="47"/>
      <c r="N1445" s="47"/>
      <c r="O1445" s="47"/>
      <c r="P1445" s="47"/>
      <c r="Q1445" s="47"/>
      <c r="R1445" s="47"/>
      <c r="S1445" s="50"/>
      <c r="T1445" s="47"/>
      <c r="U1445" s="47"/>
      <c r="V1445" s="47"/>
      <c r="W1445" s="51"/>
      <c r="X1445" s="51"/>
      <c r="Y1445" s="47"/>
      <c r="Z1445" s="47"/>
      <c r="AA1445" s="47"/>
      <c r="AB1445" s="47"/>
      <c r="AC1445" s="47"/>
      <c r="AD1445" s="47"/>
      <c r="AE1445" s="54"/>
      <c r="AF1445" s="54"/>
      <c r="AG1445" s="55"/>
      <c r="AH1445" s="54"/>
      <c r="AI1445" s="54"/>
      <c r="AJ1445" s="54"/>
      <c r="AK1445" s="54"/>
      <c r="AL1445" s="54"/>
      <c r="AM1445" s="54"/>
      <c r="AN1445" s="54"/>
      <c r="AO1445" s="54"/>
      <c r="AP1445" s="54"/>
      <c r="AQ1445" s="54"/>
      <c r="AR1445" s="54"/>
      <c r="AS1445" s="54"/>
      <c r="AT1445" s="54"/>
      <c r="AU1445" s="54"/>
      <c r="AV1445" s="54"/>
      <c r="AW1445" s="54"/>
      <c r="AX1445" s="54"/>
      <c r="AY1445" s="54"/>
      <c r="AZ1445" s="54"/>
      <c r="BA1445" s="54"/>
      <c r="BB1445" s="54"/>
      <c r="BC1445" s="56"/>
      <c r="BD1445" s="51"/>
      <c r="BE1445" s="54"/>
      <c r="BF1445" s="54"/>
      <c r="BG1445" s="47"/>
      <c r="BH1445" s="48"/>
      <c r="BI1445" s="48"/>
      <c r="BJ1445" s="48"/>
      <c r="BK1445" s="48"/>
      <c r="BL1445" s="48"/>
      <c r="BM1445" s="48"/>
      <c r="BN1445" s="48"/>
      <c r="BO1445" s="48"/>
      <c r="BP1445" s="48"/>
      <c r="BQ1445" s="48"/>
      <c r="BR1445" s="48"/>
      <c r="BS1445" s="48"/>
      <c r="BT1445" s="48"/>
      <c r="BU1445" s="48"/>
      <c r="BV1445" s="48"/>
      <c r="BW1445" s="48"/>
      <c r="BX1445" s="48"/>
      <c r="BY1445" s="48"/>
      <c r="BZ1445" s="48"/>
      <c r="CA1445" s="48"/>
      <c r="CB1445" s="48"/>
      <c r="CC1445" s="48"/>
      <c r="CD1445" s="48"/>
      <c r="CE1445" s="48"/>
      <c r="CF1445" s="52"/>
      <c r="CG1445" s="52"/>
      <c r="CH1445" s="48"/>
      <c r="CI1445" s="48"/>
      <c r="CJ1445" s="48"/>
      <c r="CK1445" s="48"/>
    </row>
    <row r="1446" spans="1:89" ht="15.75" customHeight="1" x14ac:dyDescent="0.3">
      <c r="A1446" s="47"/>
      <c r="B1446" s="48"/>
      <c r="C1446" s="47"/>
      <c r="D1446" s="48"/>
      <c r="E1446" s="48"/>
      <c r="F1446" s="48"/>
      <c r="G1446" s="48"/>
      <c r="H1446" s="48"/>
      <c r="I1446" s="49"/>
      <c r="J1446" s="47"/>
      <c r="K1446" s="47"/>
      <c r="L1446" s="47"/>
      <c r="M1446" s="47"/>
      <c r="N1446" s="47"/>
      <c r="O1446" s="47"/>
      <c r="P1446" s="47"/>
      <c r="Q1446" s="47"/>
      <c r="R1446" s="47"/>
      <c r="S1446" s="50"/>
      <c r="T1446" s="47"/>
      <c r="U1446" s="47"/>
      <c r="V1446" s="47"/>
      <c r="W1446" s="51"/>
      <c r="X1446" s="51"/>
      <c r="Y1446" s="47"/>
      <c r="Z1446" s="47"/>
      <c r="AA1446" s="47"/>
      <c r="AB1446" s="47"/>
      <c r="AC1446" s="47"/>
      <c r="AD1446" s="47"/>
      <c r="AE1446" s="54"/>
      <c r="AF1446" s="54"/>
      <c r="AG1446" s="55"/>
      <c r="AH1446" s="54"/>
      <c r="AI1446" s="54"/>
      <c r="AJ1446" s="54"/>
      <c r="AK1446" s="54"/>
      <c r="AL1446" s="54"/>
      <c r="AM1446" s="54"/>
      <c r="AN1446" s="54"/>
      <c r="AO1446" s="54"/>
      <c r="AP1446" s="54"/>
      <c r="AQ1446" s="54"/>
      <c r="AR1446" s="54"/>
      <c r="AS1446" s="54"/>
      <c r="AT1446" s="54"/>
      <c r="AU1446" s="54"/>
      <c r="AV1446" s="54"/>
      <c r="AW1446" s="54"/>
      <c r="AX1446" s="54"/>
      <c r="AY1446" s="54"/>
      <c r="AZ1446" s="54"/>
      <c r="BA1446" s="54"/>
      <c r="BB1446" s="54"/>
      <c r="BC1446" s="56"/>
      <c r="BD1446" s="51"/>
      <c r="BE1446" s="54"/>
      <c r="BF1446" s="54"/>
      <c r="BG1446" s="47"/>
      <c r="BH1446" s="48"/>
      <c r="BI1446" s="48"/>
      <c r="BJ1446" s="48"/>
      <c r="BK1446" s="48"/>
      <c r="BL1446" s="48"/>
      <c r="BM1446" s="48"/>
      <c r="BN1446" s="48"/>
      <c r="BO1446" s="48"/>
      <c r="BP1446" s="48"/>
      <c r="BQ1446" s="48"/>
      <c r="BR1446" s="48"/>
      <c r="BS1446" s="48"/>
      <c r="BT1446" s="48"/>
      <c r="BU1446" s="48"/>
      <c r="BV1446" s="48"/>
      <c r="BW1446" s="48"/>
      <c r="BX1446" s="48"/>
      <c r="BY1446" s="48"/>
      <c r="BZ1446" s="48"/>
      <c r="CA1446" s="48"/>
      <c r="CB1446" s="48"/>
      <c r="CC1446" s="48"/>
      <c r="CD1446" s="48"/>
      <c r="CE1446" s="48"/>
      <c r="CF1446" s="52"/>
      <c r="CG1446" s="52"/>
      <c r="CH1446" s="48"/>
      <c r="CI1446" s="48"/>
      <c r="CJ1446" s="48"/>
      <c r="CK1446" s="48"/>
    </row>
    <row r="1447" spans="1:89" ht="15.75" customHeight="1" x14ac:dyDescent="0.3">
      <c r="A1447" s="47"/>
      <c r="B1447" s="48"/>
      <c r="C1447" s="47"/>
      <c r="D1447" s="48"/>
      <c r="E1447" s="48"/>
      <c r="F1447" s="48"/>
      <c r="G1447" s="48"/>
      <c r="H1447" s="48"/>
      <c r="I1447" s="49"/>
      <c r="J1447" s="47"/>
      <c r="K1447" s="47"/>
      <c r="L1447" s="47"/>
      <c r="M1447" s="47"/>
      <c r="N1447" s="47"/>
      <c r="O1447" s="47"/>
      <c r="P1447" s="47"/>
      <c r="Q1447" s="47"/>
      <c r="R1447" s="47"/>
      <c r="S1447" s="50"/>
      <c r="T1447" s="47"/>
      <c r="U1447" s="47"/>
      <c r="V1447" s="47"/>
      <c r="W1447" s="51"/>
      <c r="X1447" s="51"/>
      <c r="Y1447" s="47"/>
      <c r="Z1447" s="47"/>
      <c r="AA1447" s="47"/>
      <c r="AB1447" s="47"/>
      <c r="AC1447" s="47"/>
      <c r="AD1447" s="47"/>
      <c r="AE1447" s="54"/>
      <c r="AF1447" s="54"/>
      <c r="AG1447" s="55"/>
      <c r="AH1447" s="54"/>
      <c r="AI1447" s="54"/>
      <c r="AJ1447" s="54"/>
      <c r="AK1447" s="54"/>
      <c r="AL1447" s="54"/>
      <c r="AM1447" s="54"/>
      <c r="AN1447" s="54"/>
      <c r="AO1447" s="54"/>
      <c r="AP1447" s="54"/>
      <c r="AQ1447" s="54"/>
      <c r="AR1447" s="54"/>
      <c r="AS1447" s="54"/>
      <c r="AT1447" s="54"/>
      <c r="AU1447" s="54"/>
      <c r="AV1447" s="54"/>
      <c r="AW1447" s="54"/>
      <c r="AX1447" s="54"/>
      <c r="AY1447" s="54"/>
      <c r="AZ1447" s="54"/>
      <c r="BA1447" s="54"/>
      <c r="BB1447" s="54"/>
      <c r="BC1447" s="56"/>
      <c r="BD1447" s="51"/>
      <c r="BE1447" s="54"/>
      <c r="BF1447" s="54"/>
      <c r="BG1447" s="47"/>
      <c r="BH1447" s="48"/>
      <c r="BI1447" s="48"/>
      <c r="BJ1447" s="48"/>
      <c r="BK1447" s="48"/>
      <c r="BL1447" s="48"/>
      <c r="BM1447" s="48"/>
      <c r="BN1447" s="48"/>
      <c r="BO1447" s="48"/>
      <c r="BP1447" s="48"/>
      <c r="BQ1447" s="48"/>
      <c r="BR1447" s="48"/>
      <c r="BS1447" s="48"/>
      <c r="BT1447" s="48"/>
      <c r="BU1447" s="48"/>
      <c r="BV1447" s="48"/>
      <c r="BW1447" s="48"/>
      <c r="BX1447" s="48"/>
      <c r="BY1447" s="48"/>
      <c r="BZ1447" s="48"/>
      <c r="CA1447" s="48"/>
      <c r="CB1447" s="48"/>
      <c r="CC1447" s="48"/>
      <c r="CD1447" s="48"/>
      <c r="CE1447" s="48"/>
      <c r="CF1447" s="52"/>
      <c r="CG1447" s="52"/>
      <c r="CH1447" s="48"/>
      <c r="CI1447" s="48"/>
      <c r="CJ1447" s="48"/>
      <c r="CK1447" s="48"/>
    </row>
    <row r="1448" spans="1:89" ht="15.75" customHeight="1" x14ac:dyDescent="0.3">
      <c r="A1448" s="47"/>
      <c r="B1448" s="48"/>
      <c r="C1448" s="47"/>
      <c r="D1448" s="48"/>
      <c r="E1448" s="48"/>
      <c r="F1448" s="48"/>
      <c r="G1448" s="48"/>
      <c r="H1448" s="48"/>
      <c r="I1448" s="49"/>
      <c r="J1448" s="47"/>
      <c r="K1448" s="47"/>
      <c r="L1448" s="47"/>
      <c r="M1448" s="47"/>
      <c r="N1448" s="47"/>
      <c r="O1448" s="47"/>
      <c r="P1448" s="47"/>
      <c r="Q1448" s="47"/>
      <c r="R1448" s="47"/>
      <c r="S1448" s="50"/>
      <c r="T1448" s="47"/>
      <c r="U1448" s="47"/>
      <c r="V1448" s="47"/>
      <c r="W1448" s="51"/>
      <c r="X1448" s="51"/>
      <c r="Y1448" s="47"/>
      <c r="Z1448" s="47"/>
      <c r="AA1448" s="47"/>
      <c r="AB1448" s="47"/>
      <c r="AC1448" s="47"/>
      <c r="AD1448" s="47"/>
      <c r="AE1448" s="54"/>
      <c r="AF1448" s="54"/>
      <c r="AG1448" s="55"/>
      <c r="AH1448" s="54"/>
      <c r="AI1448" s="54"/>
      <c r="AJ1448" s="54"/>
      <c r="AK1448" s="54"/>
      <c r="AL1448" s="54"/>
      <c r="AM1448" s="54"/>
      <c r="AN1448" s="54"/>
      <c r="AO1448" s="54"/>
      <c r="AP1448" s="54"/>
      <c r="AQ1448" s="54"/>
      <c r="AR1448" s="54"/>
      <c r="AS1448" s="54"/>
      <c r="AT1448" s="54"/>
      <c r="AU1448" s="54"/>
      <c r="AV1448" s="54"/>
      <c r="AW1448" s="54"/>
      <c r="AX1448" s="54"/>
      <c r="AY1448" s="54"/>
      <c r="AZ1448" s="54"/>
      <c r="BA1448" s="54"/>
      <c r="BB1448" s="54"/>
      <c r="BC1448" s="56"/>
      <c r="BD1448" s="51"/>
      <c r="BE1448" s="54"/>
      <c r="BF1448" s="54"/>
      <c r="BG1448" s="47"/>
      <c r="BH1448" s="48"/>
      <c r="BI1448" s="48"/>
      <c r="BJ1448" s="48"/>
      <c r="BK1448" s="48"/>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52"/>
      <c r="CG1448" s="52"/>
      <c r="CH1448" s="48"/>
      <c r="CI1448" s="48"/>
      <c r="CJ1448" s="48"/>
      <c r="CK1448" s="48"/>
    </row>
    <row r="1449" spans="1:89" ht="15.75" customHeight="1" x14ac:dyDescent="0.3">
      <c r="A1449" s="47"/>
      <c r="B1449" s="48"/>
      <c r="C1449" s="47"/>
      <c r="D1449" s="48"/>
      <c r="E1449" s="48"/>
      <c r="F1449" s="48"/>
      <c r="G1449" s="48"/>
      <c r="H1449" s="48"/>
      <c r="I1449" s="49"/>
      <c r="J1449" s="47"/>
      <c r="K1449" s="47"/>
      <c r="L1449" s="47"/>
      <c r="M1449" s="47"/>
      <c r="N1449" s="47"/>
      <c r="O1449" s="47"/>
      <c r="P1449" s="47"/>
      <c r="Q1449" s="47"/>
      <c r="R1449" s="47"/>
      <c r="S1449" s="50"/>
      <c r="T1449" s="47"/>
      <c r="U1449" s="47"/>
      <c r="V1449" s="47"/>
      <c r="W1449" s="51"/>
      <c r="X1449" s="51"/>
      <c r="Y1449" s="47"/>
      <c r="Z1449" s="47"/>
      <c r="AA1449" s="47"/>
      <c r="AB1449" s="47"/>
      <c r="AC1449" s="47"/>
      <c r="AD1449" s="47"/>
      <c r="AE1449" s="54"/>
      <c r="AF1449" s="54"/>
      <c r="AG1449" s="55"/>
      <c r="AH1449" s="54"/>
      <c r="AI1449" s="54"/>
      <c r="AJ1449" s="54"/>
      <c r="AK1449" s="54"/>
      <c r="AL1449" s="54"/>
      <c r="AM1449" s="54"/>
      <c r="AN1449" s="54"/>
      <c r="AO1449" s="54"/>
      <c r="AP1449" s="54"/>
      <c r="AQ1449" s="54"/>
      <c r="AR1449" s="54"/>
      <c r="AS1449" s="54"/>
      <c r="AT1449" s="54"/>
      <c r="AU1449" s="54"/>
      <c r="AV1449" s="54"/>
      <c r="AW1449" s="54"/>
      <c r="AX1449" s="54"/>
      <c r="AY1449" s="54"/>
      <c r="AZ1449" s="54"/>
      <c r="BA1449" s="54"/>
      <c r="BB1449" s="54"/>
      <c r="BC1449" s="56"/>
      <c r="BD1449" s="51"/>
      <c r="BE1449" s="54"/>
      <c r="BF1449" s="54"/>
      <c r="BG1449" s="47"/>
      <c r="BH1449" s="48"/>
      <c r="BI1449" s="48"/>
      <c r="BJ1449" s="48"/>
      <c r="BK1449" s="48"/>
      <c r="BL1449" s="48"/>
      <c r="BM1449" s="48"/>
      <c r="BN1449" s="48"/>
      <c r="BO1449" s="48"/>
      <c r="BP1449" s="48"/>
      <c r="BQ1449" s="48"/>
      <c r="BR1449" s="48"/>
      <c r="BS1449" s="48"/>
      <c r="BT1449" s="48"/>
      <c r="BU1449" s="48"/>
      <c r="BV1449" s="48"/>
      <c r="BW1449" s="48"/>
      <c r="BX1449" s="48"/>
      <c r="BY1449" s="48"/>
      <c r="BZ1449" s="48"/>
      <c r="CA1449" s="48"/>
      <c r="CB1449" s="48"/>
      <c r="CC1449" s="48"/>
      <c r="CD1449" s="48"/>
      <c r="CE1449" s="48"/>
      <c r="CF1449" s="52"/>
      <c r="CG1449" s="52"/>
      <c r="CH1449" s="48"/>
      <c r="CI1449" s="48"/>
      <c r="CJ1449" s="48"/>
      <c r="CK1449" s="48"/>
    </row>
    <row r="1450" spans="1:89" ht="15.75" customHeight="1" x14ac:dyDescent="0.3">
      <c r="A1450" s="47"/>
      <c r="B1450" s="48"/>
      <c r="C1450" s="47"/>
      <c r="D1450" s="48"/>
      <c r="E1450" s="48"/>
      <c r="F1450" s="48"/>
      <c r="G1450" s="48"/>
      <c r="H1450" s="48"/>
      <c r="I1450" s="49"/>
      <c r="J1450" s="47"/>
      <c r="K1450" s="47"/>
      <c r="L1450" s="47"/>
      <c r="M1450" s="47"/>
      <c r="N1450" s="47"/>
      <c r="O1450" s="47"/>
      <c r="P1450" s="47"/>
      <c r="Q1450" s="47"/>
      <c r="R1450" s="47"/>
      <c r="S1450" s="50"/>
      <c r="T1450" s="47"/>
      <c r="U1450" s="47"/>
      <c r="V1450" s="47"/>
      <c r="W1450" s="51"/>
      <c r="X1450" s="51"/>
      <c r="Y1450" s="47"/>
      <c r="Z1450" s="47"/>
      <c r="AA1450" s="47"/>
      <c r="AB1450" s="47"/>
      <c r="AC1450" s="47"/>
      <c r="AD1450" s="47"/>
      <c r="AE1450" s="54"/>
      <c r="AF1450" s="54"/>
      <c r="AG1450" s="55"/>
      <c r="AH1450" s="54"/>
      <c r="AI1450" s="54"/>
      <c r="AJ1450" s="54"/>
      <c r="AK1450" s="54"/>
      <c r="AL1450" s="54"/>
      <c r="AM1450" s="54"/>
      <c r="AN1450" s="54"/>
      <c r="AO1450" s="54"/>
      <c r="AP1450" s="54"/>
      <c r="AQ1450" s="54"/>
      <c r="AR1450" s="54"/>
      <c r="AS1450" s="54"/>
      <c r="AT1450" s="54"/>
      <c r="AU1450" s="54"/>
      <c r="AV1450" s="54"/>
      <c r="AW1450" s="54"/>
      <c r="AX1450" s="54"/>
      <c r="AY1450" s="54"/>
      <c r="AZ1450" s="54"/>
      <c r="BA1450" s="54"/>
      <c r="BB1450" s="54"/>
      <c r="BC1450" s="56"/>
      <c r="BD1450" s="51"/>
      <c r="BE1450" s="54"/>
      <c r="BF1450" s="54"/>
      <c r="BG1450" s="47"/>
      <c r="BH1450" s="48"/>
      <c r="BI1450" s="48"/>
      <c r="BJ1450" s="48"/>
      <c r="BK1450" s="48"/>
      <c r="BL1450" s="48"/>
      <c r="BM1450" s="48"/>
      <c r="BN1450" s="48"/>
      <c r="BO1450" s="48"/>
      <c r="BP1450" s="48"/>
      <c r="BQ1450" s="48"/>
      <c r="BR1450" s="48"/>
      <c r="BS1450" s="48"/>
      <c r="BT1450" s="48"/>
      <c r="BU1450" s="48"/>
      <c r="BV1450" s="48"/>
      <c r="BW1450" s="48"/>
      <c r="BX1450" s="48"/>
      <c r="BY1450" s="48"/>
      <c r="BZ1450" s="48"/>
      <c r="CA1450" s="48"/>
      <c r="CB1450" s="48"/>
      <c r="CC1450" s="48"/>
      <c r="CD1450" s="48"/>
      <c r="CE1450" s="48"/>
      <c r="CF1450" s="52"/>
      <c r="CG1450" s="52"/>
      <c r="CH1450" s="48"/>
      <c r="CI1450" s="48"/>
      <c r="CJ1450" s="48"/>
      <c r="CK1450" s="48"/>
    </row>
    <row r="1451" spans="1:89" ht="15.75" customHeight="1" x14ac:dyDescent="0.3">
      <c r="A1451" s="47"/>
      <c r="B1451" s="48"/>
      <c r="C1451" s="47"/>
      <c r="D1451" s="48"/>
      <c r="E1451" s="48"/>
      <c r="F1451" s="48"/>
      <c r="G1451" s="48"/>
      <c r="H1451" s="48"/>
      <c r="I1451" s="49"/>
      <c r="J1451" s="47"/>
      <c r="K1451" s="47"/>
      <c r="L1451" s="47"/>
      <c r="M1451" s="47"/>
      <c r="N1451" s="47"/>
      <c r="O1451" s="47"/>
      <c r="P1451" s="47"/>
      <c r="Q1451" s="47"/>
      <c r="R1451" s="47"/>
      <c r="S1451" s="50"/>
      <c r="T1451" s="47"/>
      <c r="U1451" s="47"/>
      <c r="V1451" s="47"/>
      <c r="W1451" s="51"/>
      <c r="X1451" s="51"/>
      <c r="Y1451" s="47"/>
      <c r="Z1451" s="47"/>
      <c r="AA1451" s="47"/>
      <c r="AB1451" s="47"/>
      <c r="AC1451" s="47"/>
      <c r="AD1451" s="47"/>
      <c r="AE1451" s="54"/>
      <c r="AF1451" s="54"/>
      <c r="AG1451" s="55"/>
      <c r="AH1451" s="54"/>
      <c r="AI1451" s="54"/>
      <c r="AJ1451" s="54"/>
      <c r="AK1451" s="54"/>
      <c r="AL1451" s="54"/>
      <c r="AM1451" s="54"/>
      <c r="AN1451" s="54"/>
      <c r="AO1451" s="54"/>
      <c r="AP1451" s="54"/>
      <c r="AQ1451" s="54"/>
      <c r="AR1451" s="54"/>
      <c r="AS1451" s="54"/>
      <c r="AT1451" s="54"/>
      <c r="AU1451" s="54"/>
      <c r="AV1451" s="54"/>
      <c r="AW1451" s="54"/>
      <c r="AX1451" s="54"/>
      <c r="AY1451" s="54"/>
      <c r="AZ1451" s="54"/>
      <c r="BA1451" s="54"/>
      <c r="BB1451" s="54"/>
      <c r="BC1451" s="56"/>
      <c r="BD1451" s="51"/>
      <c r="BE1451" s="54"/>
      <c r="BF1451" s="54"/>
      <c r="BG1451" s="47"/>
      <c r="BH1451" s="48"/>
      <c r="BI1451" s="48"/>
      <c r="BJ1451" s="48"/>
      <c r="BK1451" s="48"/>
      <c r="BL1451" s="48"/>
      <c r="BM1451" s="48"/>
      <c r="BN1451" s="48"/>
      <c r="BO1451" s="48"/>
      <c r="BP1451" s="48"/>
      <c r="BQ1451" s="48"/>
      <c r="BR1451" s="48"/>
      <c r="BS1451" s="48"/>
      <c r="BT1451" s="48"/>
      <c r="BU1451" s="48"/>
      <c r="BV1451" s="48"/>
      <c r="BW1451" s="48"/>
      <c r="BX1451" s="48"/>
      <c r="BY1451" s="48"/>
      <c r="BZ1451" s="48"/>
      <c r="CA1451" s="48"/>
      <c r="CB1451" s="48"/>
      <c r="CC1451" s="48"/>
      <c r="CD1451" s="48"/>
      <c r="CE1451" s="48"/>
      <c r="CF1451" s="52"/>
      <c r="CG1451" s="52"/>
      <c r="CH1451" s="48"/>
      <c r="CI1451" s="48"/>
      <c r="CJ1451" s="48"/>
      <c r="CK1451" s="48"/>
    </row>
    <row r="1452" spans="1:89" ht="15.75" customHeight="1" x14ac:dyDescent="0.3">
      <c r="A1452" s="47"/>
      <c r="B1452" s="48"/>
      <c r="C1452" s="47"/>
      <c r="D1452" s="48"/>
      <c r="E1452" s="48"/>
      <c r="F1452" s="48"/>
      <c r="G1452" s="48"/>
      <c r="H1452" s="48"/>
      <c r="I1452" s="49"/>
      <c r="J1452" s="47"/>
      <c r="K1452" s="47"/>
      <c r="L1452" s="47"/>
      <c r="M1452" s="47"/>
      <c r="N1452" s="47"/>
      <c r="O1452" s="47"/>
      <c r="P1452" s="47"/>
      <c r="Q1452" s="47"/>
      <c r="R1452" s="47"/>
      <c r="S1452" s="50"/>
      <c r="T1452" s="47"/>
      <c r="U1452" s="47"/>
      <c r="V1452" s="47"/>
      <c r="W1452" s="51"/>
      <c r="X1452" s="51"/>
      <c r="Y1452" s="47"/>
      <c r="Z1452" s="47"/>
      <c r="AA1452" s="47"/>
      <c r="AB1452" s="47"/>
      <c r="AC1452" s="47"/>
      <c r="AD1452" s="47"/>
      <c r="AE1452" s="54"/>
      <c r="AF1452" s="54"/>
      <c r="AG1452" s="55"/>
      <c r="AH1452" s="54"/>
      <c r="AI1452" s="54"/>
      <c r="AJ1452" s="54"/>
      <c r="AK1452" s="54"/>
      <c r="AL1452" s="54"/>
      <c r="AM1452" s="54"/>
      <c r="AN1452" s="54"/>
      <c r="AO1452" s="54"/>
      <c r="AP1452" s="54"/>
      <c r="AQ1452" s="54"/>
      <c r="AR1452" s="54"/>
      <c r="AS1452" s="54"/>
      <c r="AT1452" s="54"/>
      <c r="AU1452" s="54"/>
      <c r="AV1452" s="54"/>
      <c r="AW1452" s="54"/>
      <c r="AX1452" s="54"/>
      <c r="AY1452" s="54"/>
      <c r="AZ1452" s="54"/>
      <c r="BA1452" s="54"/>
      <c r="BB1452" s="54"/>
      <c r="BC1452" s="56"/>
      <c r="BD1452" s="51"/>
      <c r="BE1452" s="54"/>
      <c r="BF1452" s="54"/>
      <c r="BG1452" s="47"/>
      <c r="BH1452" s="48"/>
      <c r="BI1452" s="48"/>
      <c r="BJ1452" s="48"/>
      <c r="BK1452" s="48"/>
      <c r="BL1452" s="48"/>
      <c r="BM1452" s="48"/>
      <c r="BN1452" s="48"/>
      <c r="BO1452" s="48"/>
      <c r="BP1452" s="48"/>
      <c r="BQ1452" s="48"/>
      <c r="BR1452" s="48"/>
      <c r="BS1452" s="48"/>
      <c r="BT1452" s="48"/>
      <c r="BU1452" s="48"/>
      <c r="BV1452" s="48"/>
      <c r="BW1452" s="48"/>
      <c r="BX1452" s="48"/>
      <c r="BY1452" s="48"/>
      <c r="BZ1452" s="48"/>
      <c r="CA1452" s="48"/>
      <c r="CB1452" s="48"/>
      <c r="CC1452" s="48"/>
      <c r="CD1452" s="48"/>
      <c r="CE1452" s="48"/>
      <c r="CF1452" s="52"/>
      <c r="CG1452" s="52"/>
      <c r="CH1452" s="48"/>
      <c r="CI1452" s="48"/>
      <c r="CJ1452" s="48"/>
      <c r="CK1452" s="48"/>
    </row>
    <row r="1453" spans="1:89" ht="15.75" customHeight="1" x14ac:dyDescent="0.3">
      <c r="A1453" s="47"/>
      <c r="B1453" s="48"/>
      <c r="C1453" s="47"/>
      <c r="D1453" s="48"/>
      <c r="E1453" s="48"/>
      <c r="F1453" s="48"/>
      <c r="G1453" s="48"/>
      <c r="H1453" s="48"/>
      <c r="I1453" s="49"/>
      <c r="J1453" s="47"/>
      <c r="K1453" s="47"/>
      <c r="L1453" s="47"/>
      <c r="M1453" s="47"/>
      <c r="N1453" s="47"/>
      <c r="O1453" s="47"/>
      <c r="P1453" s="47"/>
      <c r="Q1453" s="47"/>
      <c r="R1453" s="47"/>
      <c r="S1453" s="50"/>
      <c r="T1453" s="47"/>
      <c r="U1453" s="47"/>
      <c r="V1453" s="47"/>
      <c r="W1453" s="51"/>
      <c r="X1453" s="51"/>
      <c r="Y1453" s="47"/>
      <c r="Z1453" s="47"/>
      <c r="AA1453" s="47"/>
      <c r="AB1453" s="47"/>
      <c r="AC1453" s="47"/>
      <c r="AD1453" s="47"/>
      <c r="AE1453" s="54"/>
      <c r="AF1453" s="54"/>
      <c r="AG1453" s="55"/>
      <c r="AH1453" s="54"/>
      <c r="AI1453" s="54"/>
      <c r="AJ1453" s="54"/>
      <c r="AK1453" s="54"/>
      <c r="AL1453" s="54"/>
      <c r="AM1453" s="54"/>
      <c r="AN1453" s="54"/>
      <c r="AO1453" s="54"/>
      <c r="AP1453" s="54"/>
      <c r="AQ1453" s="54"/>
      <c r="AR1453" s="54"/>
      <c r="AS1453" s="54"/>
      <c r="AT1453" s="54"/>
      <c r="AU1453" s="54"/>
      <c r="AV1453" s="54"/>
      <c r="AW1453" s="54"/>
      <c r="AX1453" s="54"/>
      <c r="AY1453" s="54"/>
      <c r="AZ1453" s="54"/>
      <c r="BA1453" s="54"/>
      <c r="BB1453" s="54"/>
      <c r="BC1453" s="56"/>
      <c r="BD1453" s="51"/>
      <c r="BE1453" s="54"/>
      <c r="BF1453" s="54"/>
      <c r="BG1453" s="47"/>
      <c r="BH1453" s="48"/>
      <c r="BI1453" s="48"/>
      <c r="BJ1453" s="48"/>
      <c r="BK1453" s="48"/>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52"/>
      <c r="CG1453" s="52"/>
      <c r="CH1453" s="48"/>
      <c r="CI1453" s="48"/>
      <c r="CJ1453" s="48"/>
      <c r="CK1453" s="48"/>
    </row>
    <row r="1454" spans="1:89" ht="15.75" customHeight="1" x14ac:dyDescent="0.3">
      <c r="A1454" s="47"/>
      <c r="B1454" s="48"/>
      <c r="C1454" s="47"/>
      <c r="D1454" s="48"/>
      <c r="E1454" s="48"/>
      <c r="F1454" s="48"/>
      <c r="G1454" s="48"/>
      <c r="H1454" s="48"/>
      <c r="I1454" s="49"/>
      <c r="J1454" s="47"/>
      <c r="K1454" s="47"/>
      <c r="L1454" s="47"/>
      <c r="M1454" s="47"/>
      <c r="N1454" s="47"/>
      <c r="O1454" s="47"/>
      <c r="P1454" s="47"/>
      <c r="Q1454" s="47"/>
      <c r="R1454" s="47"/>
      <c r="S1454" s="50"/>
      <c r="T1454" s="47"/>
      <c r="U1454" s="47"/>
      <c r="V1454" s="47"/>
      <c r="W1454" s="51"/>
      <c r="X1454" s="51"/>
      <c r="Y1454" s="47"/>
      <c r="Z1454" s="47"/>
      <c r="AA1454" s="47"/>
      <c r="AB1454" s="47"/>
      <c r="AC1454" s="47"/>
      <c r="AD1454" s="47"/>
      <c r="AE1454" s="54"/>
      <c r="AF1454" s="54"/>
      <c r="AG1454" s="55"/>
      <c r="AH1454" s="54"/>
      <c r="AI1454" s="54"/>
      <c r="AJ1454" s="54"/>
      <c r="AK1454" s="54"/>
      <c r="AL1454" s="54"/>
      <c r="AM1454" s="54"/>
      <c r="AN1454" s="54"/>
      <c r="AO1454" s="54"/>
      <c r="AP1454" s="54"/>
      <c r="AQ1454" s="54"/>
      <c r="AR1454" s="54"/>
      <c r="AS1454" s="54"/>
      <c r="AT1454" s="54"/>
      <c r="AU1454" s="54"/>
      <c r="AV1454" s="54"/>
      <c r="AW1454" s="54"/>
      <c r="AX1454" s="54"/>
      <c r="AY1454" s="54"/>
      <c r="AZ1454" s="54"/>
      <c r="BA1454" s="54"/>
      <c r="BB1454" s="54"/>
      <c r="BC1454" s="56"/>
      <c r="BD1454" s="51"/>
      <c r="BE1454" s="54"/>
      <c r="BF1454" s="54"/>
      <c r="BG1454" s="47"/>
      <c r="BH1454" s="48"/>
      <c r="BI1454" s="48"/>
      <c r="BJ1454" s="48"/>
      <c r="BK1454" s="48"/>
      <c r="BL1454" s="48"/>
      <c r="BM1454" s="48"/>
      <c r="BN1454" s="48"/>
      <c r="BO1454" s="48"/>
      <c r="BP1454" s="48"/>
      <c r="BQ1454" s="48"/>
      <c r="BR1454" s="48"/>
      <c r="BS1454" s="48"/>
      <c r="BT1454" s="48"/>
      <c r="BU1454" s="48"/>
      <c r="BV1454" s="48"/>
      <c r="BW1454" s="48"/>
      <c r="BX1454" s="48"/>
      <c r="BY1454" s="48"/>
      <c r="BZ1454" s="48"/>
      <c r="CA1454" s="48"/>
      <c r="CB1454" s="48"/>
      <c r="CC1454" s="48"/>
      <c r="CD1454" s="48"/>
      <c r="CE1454" s="48"/>
      <c r="CF1454" s="52"/>
      <c r="CG1454" s="52"/>
      <c r="CH1454" s="48"/>
      <c r="CI1454" s="48"/>
      <c r="CJ1454" s="48"/>
      <c r="CK1454" s="48"/>
    </row>
    <row r="1455" spans="1:89" ht="15.75" customHeight="1" x14ac:dyDescent="0.3">
      <c r="A1455" s="47"/>
      <c r="B1455" s="48"/>
      <c r="C1455" s="47"/>
      <c r="D1455" s="48"/>
      <c r="E1455" s="48"/>
      <c r="F1455" s="48"/>
      <c r="G1455" s="48"/>
      <c r="H1455" s="48"/>
      <c r="I1455" s="49"/>
      <c r="J1455" s="47"/>
      <c r="K1455" s="47"/>
      <c r="L1455" s="47"/>
      <c r="M1455" s="47"/>
      <c r="N1455" s="47"/>
      <c r="O1455" s="47"/>
      <c r="P1455" s="47"/>
      <c r="Q1455" s="47"/>
      <c r="R1455" s="47"/>
      <c r="S1455" s="50"/>
      <c r="T1455" s="47"/>
      <c r="U1455" s="47"/>
      <c r="V1455" s="47"/>
      <c r="W1455" s="51"/>
      <c r="X1455" s="51"/>
      <c r="Y1455" s="47"/>
      <c r="Z1455" s="47"/>
      <c r="AA1455" s="47"/>
      <c r="AB1455" s="47"/>
      <c r="AC1455" s="47"/>
      <c r="AD1455" s="47"/>
      <c r="AE1455" s="54"/>
      <c r="AF1455" s="54"/>
      <c r="AG1455" s="55"/>
      <c r="AH1455" s="54"/>
      <c r="AI1455" s="54"/>
      <c r="AJ1455" s="54"/>
      <c r="AK1455" s="54"/>
      <c r="AL1455" s="54"/>
      <c r="AM1455" s="54"/>
      <c r="AN1455" s="54"/>
      <c r="AO1455" s="54"/>
      <c r="AP1455" s="54"/>
      <c r="AQ1455" s="54"/>
      <c r="AR1455" s="54"/>
      <c r="AS1455" s="54"/>
      <c r="AT1455" s="54"/>
      <c r="AU1455" s="54"/>
      <c r="AV1455" s="54"/>
      <c r="AW1455" s="54"/>
      <c r="AX1455" s="54"/>
      <c r="AY1455" s="54"/>
      <c r="AZ1455" s="54"/>
      <c r="BA1455" s="54"/>
      <c r="BB1455" s="54"/>
      <c r="BC1455" s="56"/>
      <c r="BD1455" s="51"/>
      <c r="BE1455" s="54"/>
      <c r="BF1455" s="54"/>
      <c r="BG1455" s="47"/>
      <c r="BH1455" s="48"/>
      <c r="BI1455" s="48"/>
      <c r="BJ1455" s="48"/>
      <c r="BK1455" s="48"/>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52"/>
      <c r="CG1455" s="52"/>
      <c r="CH1455" s="48"/>
      <c r="CI1455" s="48"/>
      <c r="CJ1455" s="48"/>
      <c r="CK1455" s="48"/>
    </row>
    <row r="1456" spans="1:89" ht="15.75" customHeight="1" x14ac:dyDescent="0.3">
      <c r="A1456" s="47"/>
      <c r="B1456" s="48"/>
      <c r="C1456" s="47"/>
      <c r="D1456" s="48"/>
      <c r="E1456" s="48"/>
      <c r="F1456" s="48"/>
      <c r="G1456" s="48"/>
      <c r="H1456" s="48"/>
      <c r="I1456" s="49"/>
      <c r="J1456" s="47"/>
      <c r="K1456" s="47"/>
      <c r="L1456" s="47"/>
      <c r="M1456" s="47"/>
      <c r="N1456" s="47"/>
      <c r="O1456" s="47"/>
      <c r="P1456" s="47"/>
      <c r="Q1456" s="47"/>
      <c r="R1456" s="47"/>
      <c r="S1456" s="50"/>
      <c r="T1456" s="47"/>
      <c r="U1456" s="47"/>
      <c r="V1456" s="47"/>
      <c r="W1456" s="51"/>
      <c r="X1456" s="51"/>
      <c r="Y1456" s="47"/>
      <c r="Z1456" s="47"/>
      <c r="AA1456" s="47"/>
      <c r="AB1456" s="47"/>
      <c r="AC1456" s="47"/>
      <c r="AD1456" s="47"/>
      <c r="AE1456" s="54"/>
      <c r="AF1456" s="54"/>
      <c r="AG1456" s="55"/>
      <c r="AH1456" s="54"/>
      <c r="AI1456" s="54"/>
      <c r="AJ1456" s="54"/>
      <c r="AK1456" s="54"/>
      <c r="AL1456" s="54"/>
      <c r="AM1456" s="54"/>
      <c r="AN1456" s="54"/>
      <c r="AO1456" s="54"/>
      <c r="AP1456" s="54"/>
      <c r="AQ1456" s="54"/>
      <c r="AR1456" s="54"/>
      <c r="AS1456" s="54"/>
      <c r="AT1456" s="54"/>
      <c r="AU1456" s="54"/>
      <c r="AV1456" s="54"/>
      <c r="AW1456" s="54"/>
      <c r="AX1456" s="54"/>
      <c r="AY1456" s="54"/>
      <c r="AZ1456" s="54"/>
      <c r="BA1456" s="54"/>
      <c r="BB1456" s="54"/>
      <c r="BC1456" s="56"/>
      <c r="BD1456" s="51"/>
      <c r="BE1456" s="54"/>
      <c r="BF1456" s="54"/>
      <c r="BG1456" s="47"/>
      <c r="BH1456" s="48"/>
      <c r="BI1456" s="48"/>
      <c r="BJ1456" s="48"/>
      <c r="BK1456" s="48"/>
      <c r="BL1456" s="48"/>
      <c r="BM1456" s="48"/>
      <c r="BN1456" s="48"/>
      <c r="BO1456" s="48"/>
      <c r="BP1456" s="48"/>
      <c r="BQ1456" s="48"/>
      <c r="BR1456" s="48"/>
      <c r="BS1456" s="48"/>
      <c r="BT1456" s="48"/>
      <c r="BU1456" s="48"/>
      <c r="BV1456" s="48"/>
      <c r="BW1456" s="48"/>
      <c r="BX1456" s="48"/>
      <c r="BY1456" s="48"/>
      <c r="BZ1456" s="48"/>
      <c r="CA1456" s="48"/>
      <c r="CB1456" s="48"/>
      <c r="CC1456" s="48"/>
      <c r="CD1456" s="48"/>
      <c r="CE1456" s="48"/>
      <c r="CF1456" s="52"/>
      <c r="CG1456" s="52"/>
      <c r="CH1456" s="48"/>
      <c r="CI1456" s="48"/>
      <c r="CJ1456" s="48"/>
      <c r="CK1456" s="48"/>
    </row>
    <row r="1457" spans="1:89" ht="15.75" customHeight="1" x14ac:dyDescent="0.3">
      <c r="A1457" s="47"/>
      <c r="B1457" s="48"/>
      <c r="C1457" s="47"/>
      <c r="D1457" s="48"/>
      <c r="E1457" s="48"/>
      <c r="F1457" s="48"/>
      <c r="G1457" s="48"/>
      <c r="H1457" s="48"/>
      <c r="I1457" s="49"/>
      <c r="J1457" s="47"/>
      <c r="K1457" s="47"/>
      <c r="L1457" s="47"/>
      <c r="M1457" s="47"/>
      <c r="N1457" s="47"/>
      <c r="O1457" s="47"/>
      <c r="P1457" s="47"/>
      <c r="Q1457" s="47"/>
      <c r="R1457" s="47"/>
      <c r="S1457" s="50"/>
      <c r="T1457" s="47"/>
      <c r="U1457" s="47"/>
      <c r="V1457" s="47"/>
      <c r="W1457" s="51"/>
      <c r="X1457" s="51"/>
      <c r="Y1457" s="47"/>
      <c r="Z1457" s="47"/>
      <c r="AA1457" s="47"/>
      <c r="AB1457" s="47"/>
      <c r="AC1457" s="47"/>
      <c r="AD1457" s="47"/>
      <c r="AE1457" s="54"/>
      <c r="AF1457" s="54"/>
      <c r="AG1457" s="55"/>
      <c r="AH1457" s="54"/>
      <c r="AI1457" s="54"/>
      <c r="AJ1457" s="54"/>
      <c r="AK1457" s="54"/>
      <c r="AL1457" s="54"/>
      <c r="AM1457" s="54"/>
      <c r="AN1457" s="54"/>
      <c r="AO1457" s="54"/>
      <c r="AP1457" s="54"/>
      <c r="AQ1457" s="54"/>
      <c r="AR1457" s="54"/>
      <c r="AS1457" s="54"/>
      <c r="AT1457" s="54"/>
      <c r="AU1457" s="54"/>
      <c r="AV1457" s="54"/>
      <c r="AW1457" s="54"/>
      <c r="AX1457" s="54"/>
      <c r="AY1457" s="54"/>
      <c r="AZ1457" s="54"/>
      <c r="BA1457" s="54"/>
      <c r="BB1457" s="54"/>
      <c r="BC1457" s="56"/>
      <c r="BD1457" s="51"/>
      <c r="BE1457" s="54"/>
      <c r="BF1457" s="54"/>
      <c r="BG1457" s="47"/>
      <c r="BH1457" s="48"/>
      <c r="BI1457" s="48"/>
      <c r="BJ1457" s="48"/>
      <c r="BK1457" s="48"/>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52"/>
      <c r="CG1457" s="52"/>
      <c r="CH1457" s="48"/>
      <c r="CI1457" s="48"/>
      <c r="CJ1457" s="48"/>
      <c r="CK1457" s="48"/>
    </row>
    <row r="1458" spans="1:89" ht="15.75" customHeight="1" x14ac:dyDescent="0.3">
      <c r="A1458" s="47"/>
      <c r="B1458" s="48"/>
      <c r="C1458" s="47"/>
      <c r="D1458" s="48"/>
      <c r="E1458" s="48"/>
      <c r="F1458" s="48"/>
      <c r="G1458" s="48"/>
      <c r="H1458" s="48"/>
      <c r="I1458" s="49"/>
      <c r="J1458" s="47"/>
      <c r="K1458" s="47"/>
      <c r="L1458" s="47"/>
      <c r="M1458" s="47"/>
      <c r="N1458" s="47"/>
      <c r="O1458" s="47"/>
      <c r="P1458" s="47"/>
      <c r="Q1458" s="47"/>
      <c r="R1458" s="47"/>
      <c r="S1458" s="50"/>
      <c r="T1458" s="47"/>
      <c r="U1458" s="47"/>
      <c r="V1458" s="47"/>
      <c r="W1458" s="51"/>
      <c r="X1458" s="51"/>
      <c r="Y1458" s="47"/>
      <c r="Z1458" s="47"/>
      <c r="AA1458" s="47"/>
      <c r="AB1458" s="47"/>
      <c r="AC1458" s="47"/>
      <c r="AD1458" s="47"/>
      <c r="AE1458" s="54"/>
      <c r="AF1458" s="54"/>
      <c r="AG1458" s="55"/>
      <c r="AH1458" s="54"/>
      <c r="AI1458" s="54"/>
      <c r="AJ1458" s="54"/>
      <c r="AK1458" s="54"/>
      <c r="AL1458" s="54"/>
      <c r="AM1458" s="54"/>
      <c r="AN1458" s="54"/>
      <c r="AO1458" s="54"/>
      <c r="AP1458" s="54"/>
      <c r="AQ1458" s="54"/>
      <c r="AR1458" s="54"/>
      <c r="AS1458" s="54"/>
      <c r="AT1458" s="54"/>
      <c r="AU1458" s="54"/>
      <c r="AV1458" s="54"/>
      <c r="AW1458" s="54"/>
      <c r="AX1458" s="54"/>
      <c r="AY1458" s="54"/>
      <c r="AZ1458" s="54"/>
      <c r="BA1458" s="54"/>
      <c r="BB1458" s="54"/>
      <c r="BC1458" s="56"/>
      <c r="BD1458" s="51"/>
      <c r="BE1458" s="54"/>
      <c r="BF1458" s="54"/>
      <c r="BG1458" s="47"/>
      <c r="BH1458" s="48"/>
      <c r="BI1458" s="48"/>
      <c r="BJ1458" s="48"/>
      <c r="BK1458" s="48"/>
      <c r="BL1458" s="48"/>
      <c r="BM1458" s="48"/>
      <c r="BN1458" s="48"/>
      <c r="BO1458" s="48"/>
      <c r="BP1458" s="48"/>
      <c r="BQ1458" s="48"/>
      <c r="BR1458" s="48"/>
      <c r="BS1458" s="48"/>
      <c r="BT1458" s="48"/>
      <c r="BU1458" s="48"/>
      <c r="BV1458" s="48"/>
      <c r="BW1458" s="48"/>
      <c r="BX1458" s="48"/>
      <c r="BY1458" s="48"/>
      <c r="BZ1458" s="48"/>
      <c r="CA1458" s="48"/>
      <c r="CB1458" s="48"/>
      <c r="CC1458" s="48"/>
      <c r="CD1458" s="48"/>
      <c r="CE1458" s="48"/>
      <c r="CF1458" s="52"/>
      <c r="CG1458" s="52"/>
      <c r="CH1458" s="48"/>
      <c r="CI1458" s="48"/>
      <c r="CJ1458" s="48"/>
      <c r="CK1458" s="48"/>
    </row>
    <row r="1459" spans="1:89" ht="15.75" customHeight="1" x14ac:dyDescent="0.3">
      <c r="A1459" s="47"/>
      <c r="B1459" s="48"/>
      <c r="C1459" s="47"/>
      <c r="D1459" s="48"/>
      <c r="E1459" s="48"/>
      <c r="F1459" s="48"/>
      <c r="G1459" s="48"/>
      <c r="H1459" s="48"/>
      <c r="I1459" s="49"/>
      <c r="J1459" s="47"/>
      <c r="K1459" s="47"/>
      <c r="L1459" s="47"/>
      <c r="M1459" s="47"/>
      <c r="N1459" s="47"/>
      <c r="O1459" s="47"/>
      <c r="P1459" s="47"/>
      <c r="Q1459" s="47"/>
      <c r="R1459" s="47"/>
      <c r="S1459" s="50"/>
      <c r="T1459" s="47"/>
      <c r="U1459" s="47"/>
      <c r="V1459" s="47"/>
      <c r="W1459" s="51"/>
      <c r="X1459" s="51"/>
      <c r="Y1459" s="47"/>
      <c r="Z1459" s="47"/>
      <c r="AA1459" s="47"/>
      <c r="AB1459" s="47"/>
      <c r="AC1459" s="47"/>
      <c r="AD1459" s="47"/>
      <c r="AE1459" s="54"/>
      <c r="AF1459" s="54"/>
      <c r="AG1459" s="55"/>
      <c r="AH1459" s="54"/>
      <c r="AI1459" s="54"/>
      <c r="AJ1459" s="54"/>
      <c r="AK1459" s="54"/>
      <c r="AL1459" s="54"/>
      <c r="AM1459" s="54"/>
      <c r="AN1459" s="54"/>
      <c r="AO1459" s="54"/>
      <c r="AP1459" s="54"/>
      <c r="AQ1459" s="54"/>
      <c r="AR1459" s="54"/>
      <c r="AS1459" s="54"/>
      <c r="AT1459" s="54"/>
      <c r="AU1459" s="54"/>
      <c r="AV1459" s="54"/>
      <c r="AW1459" s="54"/>
      <c r="AX1459" s="54"/>
      <c r="AY1459" s="54"/>
      <c r="AZ1459" s="54"/>
      <c r="BA1459" s="54"/>
      <c r="BB1459" s="54"/>
      <c r="BC1459" s="56"/>
      <c r="BD1459" s="51"/>
      <c r="BE1459" s="54"/>
      <c r="BF1459" s="54"/>
      <c r="BG1459" s="47"/>
      <c r="BH1459" s="48"/>
      <c r="BI1459" s="48"/>
      <c r="BJ1459" s="48"/>
      <c r="BK1459" s="48"/>
      <c r="BL1459" s="48"/>
      <c r="BM1459" s="48"/>
      <c r="BN1459" s="48"/>
      <c r="BO1459" s="48"/>
      <c r="BP1459" s="48"/>
      <c r="BQ1459" s="48"/>
      <c r="BR1459" s="48"/>
      <c r="BS1459" s="48"/>
      <c r="BT1459" s="48"/>
      <c r="BU1459" s="48"/>
      <c r="BV1459" s="48"/>
      <c r="BW1459" s="48"/>
      <c r="BX1459" s="48"/>
      <c r="BY1459" s="48"/>
      <c r="BZ1459" s="48"/>
      <c r="CA1459" s="48"/>
      <c r="CB1459" s="48"/>
      <c r="CC1459" s="48"/>
      <c r="CD1459" s="48"/>
      <c r="CE1459" s="48"/>
      <c r="CF1459" s="52"/>
      <c r="CG1459" s="52"/>
      <c r="CH1459" s="48"/>
      <c r="CI1459" s="48"/>
      <c r="CJ1459" s="48"/>
      <c r="CK1459" s="48"/>
    </row>
    <row r="1460" spans="1:89" ht="15.75" customHeight="1" x14ac:dyDescent="0.3">
      <c r="A1460" s="47"/>
      <c r="B1460" s="48"/>
      <c r="C1460" s="47"/>
      <c r="D1460" s="48"/>
      <c r="E1460" s="48"/>
      <c r="F1460" s="48"/>
      <c r="G1460" s="48"/>
      <c r="H1460" s="48"/>
      <c r="I1460" s="49"/>
      <c r="J1460" s="47"/>
      <c r="K1460" s="47"/>
      <c r="L1460" s="47"/>
      <c r="M1460" s="47"/>
      <c r="N1460" s="47"/>
      <c r="O1460" s="47"/>
      <c r="P1460" s="47"/>
      <c r="Q1460" s="47"/>
      <c r="R1460" s="47"/>
      <c r="S1460" s="50"/>
      <c r="T1460" s="47"/>
      <c r="U1460" s="47"/>
      <c r="V1460" s="47"/>
      <c r="W1460" s="51"/>
      <c r="X1460" s="51"/>
      <c r="Y1460" s="47"/>
      <c r="Z1460" s="47"/>
      <c r="AA1460" s="47"/>
      <c r="AB1460" s="47"/>
      <c r="AC1460" s="47"/>
      <c r="AD1460" s="47"/>
      <c r="AE1460" s="54"/>
      <c r="AF1460" s="54"/>
      <c r="AG1460" s="55"/>
      <c r="AH1460" s="54"/>
      <c r="AI1460" s="54"/>
      <c r="AJ1460" s="54"/>
      <c r="AK1460" s="54"/>
      <c r="AL1460" s="54"/>
      <c r="AM1460" s="54"/>
      <c r="AN1460" s="54"/>
      <c r="AO1460" s="54"/>
      <c r="AP1460" s="54"/>
      <c r="AQ1460" s="54"/>
      <c r="AR1460" s="54"/>
      <c r="AS1460" s="54"/>
      <c r="AT1460" s="54"/>
      <c r="AU1460" s="54"/>
      <c r="AV1460" s="54"/>
      <c r="AW1460" s="54"/>
      <c r="AX1460" s="54"/>
      <c r="AY1460" s="54"/>
      <c r="AZ1460" s="54"/>
      <c r="BA1460" s="54"/>
      <c r="BB1460" s="54"/>
      <c r="BC1460" s="56"/>
      <c r="BD1460" s="51"/>
      <c r="BE1460" s="54"/>
      <c r="BF1460" s="54"/>
      <c r="BG1460" s="47"/>
      <c r="BH1460" s="48"/>
      <c r="BI1460" s="48"/>
      <c r="BJ1460" s="48"/>
      <c r="BK1460" s="48"/>
      <c r="BL1460" s="48"/>
      <c r="BM1460" s="48"/>
      <c r="BN1460" s="48"/>
      <c r="BO1460" s="48"/>
      <c r="BP1460" s="48"/>
      <c r="BQ1460" s="48"/>
      <c r="BR1460" s="48"/>
      <c r="BS1460" s="48"/>
      <c r="BT1460" s="48"/>
      <c r="BU1460" s="48"/>
      <c r="BV1460" s="48"/>
      <c r="BW1460" s="48"/>
      <c r="BX1460" s="48"/>
      <c r="BY1460" s="48"/>
      <c r="BZ1460" s="48"/>
      <c r="CA1460" s="48"/>
      <c r="CB1460" s="48"/>
      <c r="CC1460" s="48"/>
      <c r="CD1460" s="48"/>
      <c r="CE1460" s="48"/>
      <c r="CF1460" s="52"/>
      <c r="CG1460" s="52"/>
      <c r="CH1460" s="48"/>
      <c r="CI1460" s="48"/>
      <c r="CJ1460" s="48"/>
      <c r="CK1460" s="48"/>
    </row>
    <row r="1461" spans="1:89" ht="15.75" customHeight="1" x14ac:dyDescent="0.3">
      <c r="A1461" s="47"/>
      <c r="B1461" s="48"/>
      <c r="C1461" s="47"/>
      <c r="D1461" s="48"/>
      <c r="E1461" s="48"/>
      <c r="F1461" s="48"/>
      <c r="G1461" s="48"/>
      <c r="H1461" s="48"/>
      <c r="I1461" s="49"/>
      <c r="J1461" s="47"/>
      <c r="K1461" s="47"/>
      <c r="L1461" s="47"/>
      <c r="M1461" s="47"/>
      <c r="N1461" s="47"/>
      <c r="O1461" s="47"/>
      <c r="P1461" s="47"/>
      <c r="Q1461" s="47"/>
      <c r="R1461" s="47"/>
      <c r="S1461" s="50"/>
      <c r="T1461" s="47"/>
      <c r="U1461" s="47"/>
      <c r="V1461" s="47"/>
      <c r="W1461" s="51"/>
      <c r="X1461" s="51"/>
      <c r="Y1461" s="47"/>
      <c r="Z1461" s="47"/>
      <c r="AA1461" s="47"/>
      <c r="AB1461" s="47"/>
      <c r="AC1461" s="47"/>
      <c r="AD1461" s="47"/>
      <c r="AE1461" s="54"/>
      <c r="AF1461" s="54"/>
      <c r="AG1461" s="55"/>
      <c r="AH1461" s="54"/>
      <c r="AI1461" s="54"/>
      <c r="AJ1461" s="54"/>
      <c r="AK1461" s="54"/>
      <c r="AL1461" s="54"/>
      <c r="AM1461" s="54"/>
      <c r="AN1461" s="54"/>
      <c r="AO1461" s="54"/>
      <c r="AP1461" s="54"/>
      <c r="AQ1461" s="54"/>
      <c r="AR1461" s="54"/>
      <c r="AS1461" s="54"/>
      <c r="AT1461" s="54"/>
      <c r="AU1461" s="54"/>
      <c r="AV1461" s="54"/>
      <c r="AW1461" s="54"/>
      <c r="AX1461" s="54"/>
      <c r="AY1461" s="54"/>
      <c r="AZ1461" s="54"/>
      <c r="BA1461" s="54"/>
      <c r="BB1461" s="54"/>
      <c r="BC1461" s="56"/>
      <c r="BD1461" s="51"/>
      <c r="BE1461" s="54"/>
      <c r="BF1461" s="54"/>
      <c r="BG1461" s="47"/>
      <c r="BH1461" s="48"/>
      <c r="BI1461" s="48"/>
      <c r="BJ1461" s="48"/>
      <c r="BK1461" s="48"/>
      <c r="BL1461" s="48"/>
      <c r="BM1461" s="48"/>
      <c r="BN1461" s="48"/>
      <c r="BO1461" s="48"/>
      <c r="BP1461" s="48"/>
      <c r="BQ1461" s="48"/>
      <c r="BR1461" s="48"/>
      <c r="BS1461" s="48"/>
      <c r="BT1461" s="48"/>
      <c r="BU1461" s="48"/>
      <c r="BV1461" s="48"/>
      <c r="BW1461" s="48"/>
      <c r="BX1461" s="48"/>
      <c r="BY1461" s="48"/>
      <c r="BZ1461" s="48"/>
      <c r="CA1461" s="48"/>
      <c r="CB1461" s="48"/>
      <c r="CC1461" s="48"/>
      <c r="CD1461" s="48"/>
      <c r="CE1461" s="48"/>
      <c r="CF1461" s="52"/>
      <c r="CG1461" s="52"/>
      <c r="CH1461" s="48"/>
      <c r="CI1461" s="48"/>
      <c r="CJ1461" s="48"/>
      <c r="CK1461" s="48"/>
    </row>
    <row r="1462" spans="1:89" ht="15.75" customHeight="1" x14ac:dyDescent="0.3">
      <c r="A1462" s="47"/>
      <c r="B1462" s="48"/>
      <c r="C1462" s="47"/>
      <c r="D1462" s="48"/>
      <c r="E1462" s="48"/>
      <c r="F1462" s="48"/>
      <c r="G1462" s="48"/>
      <c r="H1462" s="48"/>
      <c r="I1462" s="49"/>
      <c r="J1462" s="47"/>
      <c r="K1462" s="47"/>
      <c r="L1462" s="47"/>
      <c r="M1462" s="47"/>
      <c r="N1462" s="47"/>
      <c r="O1462" s="47"/>
      <c r="P1462" s="47"/>
      <c r="Q1462" s="47"/>
      <c r="R1462" s="47"/>
      <c r="S1462" s="50"/>
      <c r="T1462" s="47"/>
      <c r="U1462" s="47"/>
      <c r="V1462" s="47"/>
      <c r="W1462" s="51"/>
      <c r="X1462" s="51"/>
      <c r="Y1462" s="47"/>
      <c r="Z1462" s="47"/>
      <c r="AA1462" s="47"/>
      <c r="AB1462" s="47"/>
      <c r="AC1462" s="47"/>
      <c r="AD1462" s="47"/>
      <c r="AE1462" s="54"/>
      <c r="AF1462" s="54"/>
      <c r="AG1462" s="55"/>
      <c r="AH1462" s="54"/>
      <c r="AI1462" s="54"/>
      <c r="AJ1462" s="54"/>
      <c r="AK1462" s="54"/>
      <c r="AL1462" s="54"/>
      <c r="AM1462" s="54"/>
      <c r="AN1462" s="54"/>
      <c r="AO1462" s="54"/>
      <c r="AP1462" s="54"/>
      <c r="AQ1462" s="54"/>
      <c r="AR1462" s="54"/>
      <c r="AS1462" s="54"/>
      <c r="AT1462" s="54"/>
      <c r="AU1462" s="54"/>
      <c r="AV1462" s="54"/>
      <c r="AW1462" s="54"/>
      <c r="AX1462" s="54"/>
      <c r="AY1462" s="54"/>
      <c r="AZ1462" s="54"/>
      <c r="BA1462" s="54"/>
      <c r="BB1462" s="54"/>
      <c r="BC1462" s="56"/>
      <c r="BD1462" s="51"/>
      <c r="BE1462" s="54"/>
      <c r="BF1462" s="54"/>
      <c r="BG1462" s="47"/>
      <c r="BH1462" s="48"/>
      <c r="BI1462" s="48"/>
      <c r="BJ1462" s="48"/>
      <c r="BK1462" s="48"/>
      <c r="BL1462" s="48"/>
      <c r="BM1462" s="48"/>
      <c r="BN1462" s="48"/>
      <c r="BO1462" s="48"/>
      <c r="BP1462" s="48"/>
      <c r="BQ1462" s="48"/>
      <c r="BR1462" s="48"/>
      <c r="BS1462" s="48"/>
      <c r="BT1462" s="48"/>
      <c r="BU1462" s="48"/>
      <c r="BV1462" s="48"/>
      <c r="BW1462" s="48"/>
      <c r="BX1462" s="48"/>
      <c r="BY1462" s="48"/>
      <c r="BZ1462" s="48"/>
      <c r="CA1462" s="48"/>
      <c r="CB1462" s="48"/>
      <c r="CC1462" s="48"/>
      <c r="CD1462" s="48"/>
      <c r="CE1462" s="48"/>
      <c r="CF1462" s="52"/>
      <c r="CG1462" s="52"/>
      <c r="CH1462" s="48"/>
      <c r="CI1462" s="48"/>
      <c r="CJ1462" s="48"/>
      <c r="CK1462" s="48"/>
    </row>
    <row r="1463" spans="1:89" ht="15.75" customHeight="1" x14ac:dyDescent="0.3">
      <c r="A1463" s="47"/>
      <c r="B1463" s="48"/>
      <c r="C1463" s="47"/>
      <c r="D1463" s="48"/>
      <c r="E1463" s="48"/>
      <c r="F1463" s="48"/>
      <c r="G1463" s="48"/>
      <c r="H1463" s="48"/>
      <c r="I1463" s="49"/>
      <c r="J1463" s="47"/>
      <c r="K1463" s="47"/>
      <c r="L1463" s="47"/>
      <c r="M1463" s="47"/>
      <c r="N1463" s="47"/>
      <c r="O1463" s="47"/>
      <c r="P1463" s="47"/>
      <c r="Q1463" s="47"/>
      <c r="R1463" s="47"/>
      <c r="S1463" s="50"/>
      <c r="T1463" s="47"/>
      <c r="U1463" s="47"/>
      <c r="V1463" s="47"/>
      <c r="W1463" s="51"/>
      <c r="X1463" s="51"/>
      <c r="Y1463" s="47"/>
      <c r="Z1463" s="47"/>
      <c r="AA1463" s="47"/>
      <c r="AB1463" s="47"/>
      <c r="AC1463" s="47"/>
      <c r="AD1463" s="47"/>
      <c r="AE1463" s="54"/>
      <c r="AF1463" s="54"/>
      <c r="AG1463" s="55"/>
      <c r="AH1463" s="54"/>
      <c r="AI1463" s="54"/>
      <c r="AJ1463" s="54"/>
      <c r="AK1463" s="54"/>
      <c r="AL1463" s="54"/>
      <c r="AM1463" s="54"/>
      <c r="AN1463" s="54"/>
      <c r="AO1463" s="54"/>
      <c r="AP1463" s="54"/>
      <c r="AQ1463" s="54"/>
      <c r="AR1463" s="54"/>
      <c r="AS1463" s="54"/>
      <c r="AT1463" s="54"/>
      <c r="AU1463" s="54"/>
      <c r="AV1463" s="54"/>
      <c r="AW1463" s="54"/>
      <c r="AX1463" s="54"/>
      <c r="AY1463" s="54"/>
      <c r="AZ1463" s="54"/>
      <c r="BA1463" s="54"/>
      <c r="BB1463" s="54"/>
      <c r="BC1463" s="56"/>
      <c r="BD1463" s="51"/>
      <c r="BE1463" s="54"/>
      <c r="BF1463" s="54"/>
      <c r="BG1463" s="47"/>
      <c r="BH1463" s="48"/>
      <c r="BI1463" s="48"/>
      <c r="BJ1463" s="48"/>
      <c r="BK1463" s="48"/>
      <c r="BL1463" s="48"/>
      <c r="BM1463" s="48"/>
      <c r="BN1463" s="48"/>
      <c r="BO1463" s="48"/>
      <c r="BP1463" s="48"/>
      <c r="BQ1463" s="48"/>
      <c r="BR1463" s="48"/>
      <c r="BS1463" s="48"/>
      <c r="BT1463" s="48"/>
      <c r="BU1463" s="48"/>
      <c r="BV1463" s="48"/>
      <c r="BW1463" s="48"/>
      <c r="BX1463" s="48"/>
      <c r="BY1463" s="48"/>
      <c r="BZ1463" s="48"/>
      <c r="CA1463" s="48"/>
      <c r="CB1463" s="48"/>
      <c r="CC1463" s="48"/>
      <c r="CD1463" s="48"/>
      <c r="CE1463" s="48"/>
      <c r="CF1463" s="52"/>
      <c r="CG1463" s="52"/>
      <c r="CH1463" s="48"/>
      <c r="CI1463" s="48"/>
      <c r="CJ1463" s="48"/>
      <c r="CK1463" s="48"/>
    </row>
    <row r="1464" spans="1:89" ht="15.75" customHeight="1" x14ac:dyDescent="0.3">
      <c r="A1464" s="47"/>
      <c r="B1464" s="48"/>
      <c r="C1464" s="47"/>
      <c r="D1464" s="48"/>
      <c r="E1464" s="48"/>
      <c r="F1464" s="48"/>
      <c r="G1464" s="48"/>
      <c r="H1464" s="48"/>
      <c r="I1464" s="49"/>
      <c r="J1464" s="47"/>
      <c r="K1464" s="47"/>
      <c r="L1464" s="47"/>
      <c r="M1464" s="47"/>
      <c r="N1464" s="47"/>
      <c r="O1464" s="47"/>
      <c r="P1464" s="47"/>
      <c r="Q1464" s="47"/>
      <c r="R1464" s="47"/>
      <c r="S1464" s="50"/>
      <c r="T1464" s="47"/>
      <c r="U1464" s="47"/>
      <c r="V1464" s="47"/>
      <c r="W1464" s="51"/>
      <c r="X1464" s="51"/>
      <c r="Y1464" s="47"/>
      <c r="Z1464" s="47"/>
      <c r="AA1464" s="47"/>
      <c r="AB1464" s="47"/>
      <c r="AC1464" s="47"/>
      <c r="AD1464" s="47"/>
      <c r="AE1464" s="54"/>
      <c r="AF1464" s="54"/>
      <c r="AG1464" s="55"/>
      <c r="AH1464" s="54"/>
      <c r="AI1464" s="54"/>
      <c r="AJ1464" s="54"/>
      <c r="AK1464" s="54"/>
      <c r="AL1464" s="54"/>
      <c r="AM1464" s="54"/>
      <c r="AN1464" s="54"/>
      <c r="AO1464" s="54"/>
      <c r="AP1464" s="54"/>
      <c r="AQ1464" s="54"/>
      <c r="AR1464" s="54"/>
      <c r="AS1464" s="54"/>
      <c r="AT1464" s="54"/>
      <c r="AU1464" s="54"/>
      <c r="AV1464" s="54"/>
      <c r="AW1464" s="54"/>
      <c r="AX1464" s="54"/>
      <c r="AY1464" s="54"/>
      <c r="AZ1464" s="54"/>
      <c r="BA1464" s="54"/>
      <c r="BB1464" s="54"/>
      <c r="BC1464" s="56"/>
      <c r="BD1464" s="51"/>
      <c r="BE1464" s="54"/>
      <c r="BF1464" s="54"/>
      <c r="BG1464" s="47"/>
      <c r="BH1464" s="48"/>
      <c r="BI1464" s="48"/>
      <c r="BJ1464" s="48"/>
      <c r="BK1464" s="48"/>
      <c r="BL1464" s="48"/>
      <c r="BM1464" s="48"/>
      <c r="BN1464" s="48"/>
      <c r="BO1464" s="48"/>
      <c r="BP1464" s="48"/>
      <c r="BQ1464" s="48"/>
      <c r="BR1464" s="48"/>
      <c r="BS1464" s="48"/>
      <c r="BT1464" s="48"/>
      <c r="BU1464" s="48"/>
      <c r="BV1464" s="48"/>
      <c r="BW1464" s="48"/>
      <c r="BX1464" s="48"/>
      <c r="BY1464" s="48"/>
      <c r="BZ1464" s="48"/>
      <c r="CA1464" s="48"/>
      <c r="CB1464" s="48"/>
      <c r="CC1464" s="48"/>
      <c r="CD1464" s="48"/>
      <c r="CE1464" s="48"/>
      <c r="CF1464" s="52"/>
      <c r="CG1464" s="52"/>
      <c r="CH1464" s="48"/>
      <c r="CI1464" s="48"/>
      <c r="CJ1464" s="48"/>
      <c r="CK1464" s="48"/>
    </row>
    <row r="1465" spans="1:89" ht="15.75" customHeight="1" x14ac:dyDescent="0.3">
      <c r="A1465" s="47"/>
      <c r="B1465" s="48"/>
      <c r="C1465" s="47"/>
      <c r="D1465" s="48"/>
      <c r="E1465" s="48"/>
      <c r="F1465" s="48"/>
      <c r="G1465" s="48"/>
      <c r="H1465" s="48"/>
      <c r="I1465" s="49"/>
      <c r="J1465" s="47"/>
      <c r="K1465" s="47"/>
      <c r="L1465" s="47"/>
      <c r="M1465" s="47"/>
      <c r="N1465" s="47"/>
      <c r="O1465" s="47"/>
      <c r="P1465" s="47"/>
      <c r="Q1465" s="47"/>
      <c r="R1465" s="47"/>
      <c r="S1465" s="50"/>
      <c r="T1465" s="47"/>
      <c r="U1465" s="47"/>
      <c r="V1465" s="47"/>
      <c r="W1465" s="51"/>
      <c r="X1465" s="51"/>
      <c r="Y1465" s="47"/>
      <c r="Z1465" s="47"/>
      <c r="AA1465" s="47"/>
      <c r="AB1465" s="47"/>
      <c r="AC1465" s="47"/>
      <c r="AD1465" s="47"/>
      <c r="AE1465" s="54"/>
      <c r="AF1465" s="54"/>
      <c r="AG1465" s="55"/>
      <c r="AH1465" s="54"/>
      <c r="AI1465" s="54"/>
      <c r="AJ1465" s="54"/>
      <c r="AK1465" s="54"/>
      <c r="AL1465" s="54"/>
      <c r="AM1465" s="54"/>
      <c r="AN1465" s="54"/>
      <c r="AO1465" s="54"/>
      <c r="AP1465" s="54"/>
      <c r="AQ1465" s="54"/>
      <c r="AR1465" s="54"/>
      <c r="AS1465" s="54"/>
      <c r="AT1465" s="54"/>
      <c r="AU1465" s="54"/>
      <c r="AV1465" s="54"/>
      <c r="AW1465" s="54"/>
      <c r="AX1465" s="54"/>
      <c r="AY1465" s="54"/>
      <c r="AZ1465" s="54"/>
      <c r="BA1465" s="54"/>
      <c r="BB1465" s="54"/>
      <c r="BC1465" s="56"/>
      <c r="BD1465" s="51"/>
      <c r="BE1465" s="54"/>
      <c r="BF1465" s="54"/>
      <c r="BG1465" s="47"/>
      <c r="BH1465" s="48"/>
      <c r="BI1465" s="48"/>
      <c r="BJ1465" s="48"/>
      <c r="BK1465" s="48"/>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52"/>
      <c r="CG1465" s="52"/>
      <c r="CH1465" s="48"/>
      <c r="CI1465" s="48"/>
      <c r="CJ1465" s="48"/>
      <c r="CK1465" s="48"/>
    </row>
    <row r="1466" spans="1:89" ht="15.75" customHeight="1" x14ac:dyDescent="0.3">
      <c r="A1466" s="47"/>
      <c r="B1466" s="48"/>
      <c r="C1466" s="47"/>
      <c r="D1466" s="48"/>
      <c r="E1466" s="48"/>
      <c r="F1466" s="48"/>
      <c r="G1466" s="48"/>
      <c r="H1466" s="48"/>
      <c r="I1466" s="49"/>
      <c r="J1466" s="47"/>
      <c r="K1466" s="47"/>
      <c r="L1466" s="47"/>
      <c r="M1466" s="47"/>
      <c r="N1466" s="47"/>
      <c r="O1466" s="47"/>
      <c r="P1466" s="47"/>
      <c r="Q1466" s="47"/>
      <c r="R1466" s="47"/>
      <c r="S1466" s="50"/>
      <c r="T1466" s="47"/>
      <c r="U1466" s="47"/>
      <c r="V1466" s="47"/>
      <c r="W1466" s="51"/>
      <c r="X1466" s="51"/>
      <c r="Y1466" s="47"/>
      <c r="Z1466" s="47"/>
      <c r="AA1466" s="47"/>
      <c r="AB1466" s="47"/>
      <c r="AC1466" s="47"/>
      <c r="AD1466" s="47"/>
      <c r="AE1466" s="54"/>
      <c r="AF1466" s="54"/>
      <c r="AG1466" s="55"/>
      <c r="AH1466" s="54"/>
      <c r="AI1466" s="54"/>
      <c r="AJ1466" s="54"/>
      <c r="AK1466" s="54"/>
      <c r="AL1466" s="54"/>
      <c r="AM1466" s="54"/>
      <c r="AN1466" s="54"/>
      <c r="AO1466" s="54"/>
      <c r="AP1466" s="54"/>
      <c r="AQ1466" s="54"/>
      <c r="AR1466" s="54"/>
      <c r="AS1466" s="54"/>
      <c r="AT1466" s="54"/>
      <c r="AU1466" s="54"/>
      <c r="AV1466" s="54"/>
      <c r="AW1466" s="54"/>
      <c r="AX1466" s="54"/>
      <c r="AY1466" s="54"/>
      <c r="AZ1466" s="54"/>
      <c r="BA1466" s="54"/>
      <c r="BB1466" s="54"/>
      <c r="BC1466" s="56"/>
      <c r="BD1466" s="51"/>
      <c r="BE1466" s="54"/>
      <c r="BF1466" s="54"/>
      <c r="BG1466" s="47"/>
      <c r="BH1466" s="48"/>
      <c r="BI1466" s="48"/>
      <c r="BJ1466" s="48"/>
      <c r="BK1466" s="48"/>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52"/>
      <c r="CG1466" s="52"/>
      <c r="CH1466" s="48"/>
      <c r="CI1466" s="48"/>
      <c r="CJ1466" s="48"/>
      <c r="CK1466" s="48"/>
    </row>
    <row r="1467" spans="1:89" ht="15.75" customHeight="1" x14ac:dyDescent="0.3">
      <c r="A1467" s="47"/>
      <c r="B1467" s="48"/>
      <c r="C1467" s="47"/>
      <c r="D1467" s="48"/>
      <c r="E1467" s="48"/>
      <c r="F1467" s="48"/>
      <c r="G1467" s="48"/>
      <c r="H1467" s="48"/>
      <c r="I1467" s="49"/>
      <c r="J1467" s="47"/>
      <c r="K1467" s="47"/>
      <c r="L1467" s="47"/>
      <c r="M1467" s="47"/>
      <c r="N1467" s="47"/>
      <c r="O1467" s="47"/>
      <c r="P1467" s="47"/>
      <c r="Q1467" s="47"/>
      <c r="R1467" s="47"/>
      <c r="S1467" s="50"/>
      <c r="T1467" s="47"/>
      <c r="U1467" s="47"/>
      <c r="V1467" s="47"/>
      <c r="W1467" s="51"/>
      <c r="X1467" s="51"/>
      <c r="Y1467" s="47"/>
      <c r="Z1467" s="47"/>
      <c r="AA1467" s="47"/>
      <c r="AB1467" s="47"/>
      <c r="AC1467" s="47"/>
      <c r="AD1467" s="47"/>
      <c r="AE1467" s="54"/>
      <c r="AF1467" s="54"/>
      <c r="AG1467" s="55"/>
      <c r="AH1467" s="54"/>
      <c r="AI1467" s="54"/>
      <c r="AJ1467" s="54"/>
      <c r="AK1467" s="54"/>
      <c r="AL1467" s="54"/>
      <c r="AM1467" s="54"/>
      <c r="AN1467" s="54"/>
      <c r="AO1467" s="54"/>
      <c r="AP1467" s="54"/>
      <c r="AQ1467" s="54"/>
      <c r="AR1467" s="54"/>
      <c r="AS1467" s="54"/>
      <c r="AT1467" s="54"/>
      <c r="AU1467" s="54"/>
      <c r="AV1467" s="54"/>
      <c r="AW1467" s="54"/>
      <c r="AX1467" s="54"/>
      <c r="AY1467" s="54"/>
      <c r="AZ1467" s="54"/>
      <c r="BA1467" s="54"/>
      <c r="BB1467" s="54"/>
      <c r="BC1467" s="56"/>
      <c r="BD1467" s="51"/>
      <c r="BE1467" s="54"/>
      <c r="BF1467" s="54"/>
      <c r="BG1467" s="47"/>
      <c r="BH1467" s="48"/>
      <c r="BI1467" s="48"/>
      <c r="BJ1467" s="48"/>
      <c r="BK1467" s="48"/>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52"/>
      <c r="CG1467" s="52"/>
      <c r="CH1467" s="48"/>
      <c r="CI1467" s="48"/>
      <c r="CJ1467" s="48"/>
      <c r="CK1467" s="48"/>
    </row>
    <row r="1468" spans="1:89" ht="15.75" customHeight="1" x14ac:dyDescent="0.3">
      <c r="A1468" s="47"/>
      <c r="B1468" s="48"/>
      <c r="C1468" s="47"/>
      <c r="D1468" s="48"/>
      <c r="E1468" s="48"/>
      <c r="F1468" s="48"/>
      <c r="G1468" s="48"/>
      <c r="H1468" s="48"/>
      <c r="I1468" s="49"/>
      <c r="J1468" s="47"/>
      <c r="K1468" s="47"/>
      <c r="L1468" s="47"/>
      <c r="M1468" s="47"/>
      <c r="N1468" s="47"/>
      <c r="O1468" s="47"/>
      <c r="P1468" s="47"/>
      <c r="Q1468" s="47"/>
      <c r="R1468" s="47"/>
      <c r="S1468" s="50"/>
      <c r="T1468" s="47"/>
      <c r="U1468" s="47"/>
      <c r="V1468" s="47"/>
      <c r="W1468" s="51"/>
      <c r="X1468" s="51"/>
      <c r="Y1468" s="47"/>
      <c r="Z1468" s="47"/>
      <c r="AA1468" s="47"/>
      <c r="AB1468" s="47"/>
      <c r="AC1468" s="47"/>
      <c r="AD1468" s="47"/>
      <c r="AE1468" s="54"/>
      <c r="AF1468" s="54"/>
      <c r="AG1468" s="55"/>
      <c r="AH1468" s="54"/>
      <c r="AI1468" s="54"/>
      <c r="AJ1468" s="54"/>
      <c r="AK1468" s="54"/>
      <c r="AL1468" s="54"/>
      <c r="AM1468" s="54"/>
      <c r="AN1468" s="54"/>
      <c r="AO1468" s="54"/>
      <c r="AP1468" s="54"/>
      <c r="AQ1468" s="54"/>
      <c r="AR1468" s="54"/>
      <c r="AS1468" s="54"/>
      <c r="AT1468" s="54"/>
      <c r="AU1468" s="54"/>
      <c r="AV1468" s="54"/>
      <c r="AW1468" s="54"/>
      <c r="AX1468" s="54"/>
      <c r="AY1468" s="54"/>
      <c r="AZ1468" s="54"/>
      <c r="BA1468" s="54"/>
      <c r="BB1468" s="54"/>
      <c r="BC1468" s="56"/>
      <c r="BD1468" s="51"/>
      <c r="BE1468" s="54"/>
      <c r="BF1468" s="54"/>
      <c r="BG1468" s="47"/>
      <c r="BH1468" s="48"/>
      <c r="BI1468" s="48"/>
      <c r="BJ1468" s="48"/>
      <c r="BK1468" s="48"/>
      <c r="BL1468" s="48"/>
      <c r="BM1468" s="48"/>
      <c r="BN1468" s="48"/>
      <c r="BO1468" s="48"/>
      <c r="BP1468" s="48"/>
      <c r="BQ1468" s="48"/>
      <c r="BR1468" s="48"/>
      <c r="BS1468" s="48"/>
      <c r="BT1468" s="48"/>
      <c r="BU1468" s="48"/>
      <c r="BV1468" s="48"/>
      <c r="BW1468" s="48"/>
      <c r="BX1468" s="48"/>
      <c r="BY1468" s="48"/>
      <c r="BZ1468" s="48"/>
      <c r="CA1468" s="48"/>
      <c r="CB1468" s="48"/>
      <c r="CC1468" s="48"/>
      <c r="CD1468" s="48"/>
      <c r="CE1468" s="48"/>
      <c r="CF1468" s="52"/>
      <c r="CG1468" s="52"/>
      <c r="CH1468" s="48"/>
      <c r="CI1468" s="48"/>
      <c r="CJ1468" s="48"/>
      <c r="CK1468" s="48"/>
    </row>
    <row r="1469" spans="1:89" ht="15.75" customHeight="1" x14ac:dyDescent="0.3">
      <c r="A1469" s="47"/>
      <c r="B1469" s="48"/>
      <c r="C1469" s="47"/>
      <c r="D1469" s="48"/>
      <c r="E1469" s="48"/>
      <c r="F1469" s="48"/>
      <c r="G1469" s="48"/>
      <c r="H1469" s="48"/>
      <c r="I1469" s="49"/>
      <c r="J1469" s="47"/>
      <c r="K1469" s="47"/>
      <c r="L1469" s="47"/>
      <c r="M1469" s="47"/>
      <c r="N1469" s="47"/>
      <c r="O1469" s="47"/>
      <c r="P1469" s="47"/>
      <c r="Q1469" s="47"/>
      <c r="R1469" s="47"/>
      <c r="S1469" s="50"/>
      <c r="T1469" s="47"/>
      <c r="U1469" s="47"/>
      <c r="V1469" s="47"/>
      <c r="W1469" s="51"/>
      <c r="X1469" s="51"/>
      <c r="Y1469" s="47"/>
      <c r="Z1469" s="47"/>
      <c r="AA1469" s="47"/>
      <c r="AB1469" s="47"/>
      <c r="AC1469" s="47"/>
      <c r="AD1469" s="47"/>
      <c r="AE1469" s="54"/>
      <c r="AF1469" s="54"/>
      <c r="AG1469" s="55"/>
      <c r="AH1469" s="54"/>
      <c r="AI1469" s="54"/>
      <c r="AJ1469" s="54"/>
      <c r="AK1469" s="54"/>
      <c r="AL1469" s="54"/>
      <c r="AM1469" s="54"/>
      <c r="AN1469" s="54"/>
      <c r="AO1469" s="54"/>
      <c r="AP1469" s="54"/>
      <c r="AQ1469" s="54"/>
      <c r="AR1469" s="54"/>
      <c r="AS1469" s="54"/>
      <c r="AT1469" s="54"/>
      <c r="AU1469" s="54"/>
      <c r="AV1469" s="54"/>
      <c r="AW1469" s="54"/>
      <c r="AX1469" s="54"/>
      <c r="AY1469" s="54"/>
      <c r="AZ1469" s="54"/>
      <c r="BA1469" s="54"/>
      <c r="BB1469" s="54"/>
      <c r="BC1469" s="56"/>
      <c r="BD1469" s="51"/>
      <c r="BE1469" s="54"/>
      <c r="BF1469" s="54"/>
      <c r="BG1469" s="47"/>
      <c r="BH1469" s="48"/>
      <c r="BI1469" s="48"/>
      <c r="BJ1469" s="48"/>
      <c r="BK1469" s="48"/>
      <c r="BL1469" s="48"/>
      <c r="BM1469" s="48"/>
      <c r="BN1469" s="48"/>
      <c r="BO1469" s="48"/>
      <c r="BP1469" s="48"/>
      <c r="BQ1469" s="48"/>
      <c r="BR1469" s="48"/>
      <c r="BS1469" s="48"/>
      <c r="BT1469" s="48"/>
      <c r="BU1469" s="48"/>
      <c r="BV1469" s="48"/>
      <c r="BW1469" s="48"/>
      <c r="BX1469" s="48"/>
      <c r="BY1469" s="48"/>
      <c r="BZ1469" s="48"/>
      <c r="CA1469" s="48"/>
      <c r="CB1469" s="48"/>
      <c r="CC1469" s="48"/>
      <c r="CD1469" s="48"/>
      <c r="CE1469" s="48"/>
      <c r="CF1469" s="52"/>
      <c r="CG1469" s="52"/>
      <c r="CH1469" s="48"/>
      <c r="CI1469" s="48"/>
      <c r="CJ1469" s="48"/>
      <c r="CK1469" s="48"/>
    </row>
    <row r="1470" spans="1:89" ht="15.75" customHeight="1" x14ac:dyDescent="0.3">
      <c r="A1470" s="47"/>
      <c r="B1470" s="48"/>
      <c r="C1470" s="47"/>
      <c r="D1470" s="48"/>
      <c r="E1470" s="48"/>
      <c r="F1470" s="48"/>
      <c r="G1470" s="48"/>
      <c r="H1470" s="48"/>
      <c r="I1470" s="49"/>
      <c r="J1470" s="47"/>
      <c r="K1470" s="47"/>
      <c r="L1470" s="47"/>
      <c r="M1470" s="47"/>
      <c r="N1470" s="47"/>
      <c r="O1470" s="47"/>
      <c r="P1470" s="47"/>
      <c r="Q1470" s="47"/>
      <c r="R1470" s="47"/>
      <c r="S1470" s="50"/>
      <c r="T1470" s="47"/>
      <c r="U1470" s="47"/>
      <c r="V1470" s="47"/>
      <c r="W1470" s="51"/>
      <c r="X1470" s="51"/>
      <c r="Y1470" s="47"/>
      <c r="Z1470" s="47"/>
      <c r="AA1470" s="47"/>
      <c r="AB1470" s="47"/>
      <c r="AC1470" s="47"/>
      <c r="AD1470" s="47"/>
      <c r="AE1470" s="54"/>
      <c r="AF1470" s="54"/>
      <c r="AG1470" s="55"/>
      <c r="AH1470" s="54"/>
      <c r="AI1470" s="54"/>
      <c r="AJ1470" s="54"/>
      <c r="AK1470" s="54"/>
      <c r="AL1470" s="54"/>
      <c r="AM1470" s="54"/>
      <c r="AN1470" s="54"/>
      <c r="AO1470" s="54"/>
      <c r="AP1470" s="54"/>
      <c r="AQ1470" s="54"/>
      <c r="AR1470" s="54"/>
      <c r="AS1470" s="54"/>
      <c r="AT1470" s="54"/>
      <c r="AU1470" s="54"/>
      <c r="AV1470" s="54"/>
      <c r="AW1470" s="54"/>
      <c r="AX1470" s="54"/>
      <c r="AY1470" s="54"/>
      <c r="AZ1470" s="54"/>
      <c r="BA1470" s="54"/>
      <c r="BB1470" s="54"/>
      <c r="BC1470" s="56"/>
      <c r="BD1470" s="51"/>
      <c r="BE1470" s="54"/>
      <c r="BF1470" s="54"/>
      <c r="BG1470" s="47"/>
      <c r="BH1470" s="48"/>
      <c r="BI1470" s="48"/>
      <c r="BJ1470" s="48"/>
      <c r="BK1470" s="48"/>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52"/>
      <c r="CG1470" s="52"/>
      <c r="CH1470" s="48"/>
      <c r="CI1470" s="48"/>
      <c r="CJ1470" s="48"/>
      <c r="CK1470" s="48"/>
    </row>
    <row r="1471" spans="1:89" ht="15.75" customHeight="1" x14ac:dyDescent="0.3">
      <c r="A1471" s="47"/>
      <c r="B1471" s="48"/>
      <c r="C1471" s="47"/>
      <c r="D1471" s="48"/>
      <c r="E1471" s="48"/>
      <c r="F1471" s="48"/>
      <c r="G1471" s="48"/>
      <c r="H1471" s="48"/>
      <c r="I1471" s="49"/>
      <c r="J1471" s="47"/>
      <c r="K1471" s="47"/>
      <c r="L1471" s="47"/>
      <c r="M1471" s="47"/>
      <c r="N1471" s="47"/>
      <c r="O1471" s="47"/>
      <c r="P1471" s="47"/>
      <c r="Q1471" s="47"/>
      <c r="R1471" s="47"/>
      <c r="S1471" s="50"/>
      <c r="T1471" s="47"/>
      <c r="U1471" s="47"/>
      <c r="V1471" s="47"/>
      <c r="W1471" s="51"/>
      <c r="X1471" s="51"/>
      <c r="Y1471" s="47"/>
      <c r="Z1471" s="47"/>
      <c r="AA1471" s="47"/>
      <c r="AB1471" s="47"/>
      <c r="AC1471" s="47"/>
      <c r="AD1471" s="47"/>
      <c r="AE1471" s="54"/>
      <c r="AF1471" s="54"/>
      <c r="AG1471" s="55"/>
      <c r="AH1471" s="54"/>
      <c r="AI1471" s="54"/>
      <c r="AJ1471" s="54"/>
      <c r="AK1471" s="54"/>
      <c r="AL1471" s="54"/>
      <c r="AM1471" s="54"/>
      <c r="AN1471" s="54"/>
      <c r="AO1471" s="54"/>
      <c r="AP1471" s="54"/>
      <c r="AQ1471" s="54"/>
      <c r="AR1471" s="54"/>
      <c r="AS1471" s="54"/>
      <c r="AT1471" s="54"/>
      <c r="AU1471" s="54"/>
      <c r="AV1471" s="54"/>
      <c r="AW1471" s="54"/>
      <c r="AX1471" s="54"/>
      <c r="AY1471" s="54"/>
      <c r="AZ1471" s="54"/>
      <c r="BA1471" s="54"/>
      <c r="BB1471" s="54"/>
      <c r="BC1471" s="56"/>
      <c r="BD1471" s="51"/>
      <c r="BE1471" s="54"/>
      <c r="BF1471" s="54"/>
      <c r="BG1471" s="47"/>
      <c r="BH1471" s="48"/>
      <c r="BI1471" s="48"/>
      <c r="BJ1471" s="48"/>
      <c r="BK1471" s="48"/>
      <c r="BL1471" s="48"/>
      <c r="BM1471" s="48"/>
      <c r="BN1471" s="48"/>
      <c r="BO1471" s="48"/>
      <c r="BP1471" s="48"/>
      <c r="BQ1471" s="48"/>
      <c r="BR1471" s="48"/>
      <c r="BS1471" s="48"/>
      <c r="BT1471" s="48"/>
      <c r="BU1471" s="48"/>
      <c r="BV1471" s="48"/>
      <c r="BW1471" s="48"/>
      <c r="BX1471" s="48"/>
      <c r="BY1471" s="48"/>
      <c r="BZ1471" s="48"/>
      <c r="CA1471" s="48"/>
      <c r="CB1471" s="48"/>
      <c r="CC1471" s="48"/>
      <c r="CD1471" s="48"/>
      <c r="CE1471" s="48"/>
      <c r="CF1471" s="52"/>
      <c r="CG1471" s="52"/>
      <c r="CH1471" s="48"/>
      <c r="CI1471" s="48"/>
      <c r="CJ1471" s="48"/>
      <c r="CK1471" s="48"/>
    </row>
    <row r="1472" spans="1:89" ht="15.75" customHeight="1" x14ac:dyDescent="0.3">
      <c r="A1472" s="47"/>
      <c r="B1472" s="48"/>
      <c r="C1472" s="47"/>
      <c r="D1472" s="48"/>
      <c r="E1472" s="48"/>
      <c r="F1472" s="48"/>
      <c r="G1472" s="48"/>
      <c r="H1472" s="48"/>
      <c r="I1472" s="49"/>
      <c r="J1472" s="47"/>
      <c r="K1472" s="47"/>
      <c r="L1472" s="47"/>
      <c r="M1472" s="47"/>
      <c r="N1472" s="47"/>
      <c r="O1472" s="47"/>
      <c r="P1472" s="47"/>
      <c r="Q1472" s="47"/>
      <c r="R1472" s="47"/>
      <c r="S1472" s="50"/>
      <c r="T1472" s="47"/>
      <c r="U1472" s="47"/>
      <c r="V1472" s="47"/>
      <c r="W1472" s="51"/>
      <c r="X1472" s="51"/>
      <c r="Y1472" s="47"/>
      <c r="Z1472" s="47"/>
      <c r="AA1472" s="47"/>
      <c r="AB1472" s="47"/>
      <c r="AC1472" s="47"/>
      <c r="AD1472" s="47"/>
      <c r="AE1472" s="54"/>
      <c r="AF1472" s="54"/>
      <c r="AG1472" s="55"/>
      <c r="AH1472" s="54"/>
      <c r="AI1472" s="54"/>
      <c r="AJ1472" s="54"/>
      <c r="AK1472" s="54"/>
      <c r="AL1472" s="54"/>
      <c r="AM1472" s="54"/>
      <c r="AN1472" s="54"/>
      <c r="AO1472" s="54"/>
      <c r="AP1472" s="54"/>
      <c r="AQ1472" s="54"/>
      <c r="AR1472" s="54"/>
      <c r="AS1472" s="54"/>
      <c r="AT1472" s="54"/>
      <c r="AU1472" s="54"/>
      <c r="AV1472" s="54"/>
      <c r="AW1472" s="54"/>
      <c r="AX1472" s="54"/>
      <c r="AY1472" s="54"/>
      <c r="AZ1472" s="54"/>
      <c r="BA1472" s="54"/>
      <c r="BB1472" s="54"/>
      <c r="BC1472" s="56"/>
      <c r="BD1472" s="51"/>
      <c r="BE1472" s="54"/>
      <c r="BF1472" s="54"/>
      <c r="BG1472" s="47"/>
      <c r="BH1472" s="48"/>
      <c r="BI1472" s="48"/>
      <c r="BJ1472" s="48"/>
      <c r="BK1472" s="48"/>
      <c r="BL1472" s="48"/>
      <c r="BM1472" s="48"/>
      <c r="BN1472" s="48"/>
      <c r="BO1472" s="48"/>
      <c r="BP1472" s="48"/>
      <c r="BQ1472" s="48"/>
      <c r="BR1472" s="48"/>
      <c r="BS1472" s="48"/>
      <c r="BT1472" s="48"/>
      <c r="BU1472" s="48"/>
      <c r="BV1472" s="48"/>
      <c r="BW1472" s="48"/>
      <c r="BX1472" s="48"/>
      <c r="BY1472" s="48"/>
      <c r="BZ1472" s="48"/>
      <c r="CA1472" s="48"/>
      <c r="CB1472" s="48"/>
      <c r="CC1472" s="48"/>
      <c r="CD1472" s="48"/>
      <c r="CE1472" s="48"/>
      <c r="CF1472" s="52"/>
      <c r="CG1472" s="52"/>
      <c r="CH1472" s="48"/>
      <c r="CI1472" s="48"/>
      <c r="CJ1472" s="48"/>
      <c r="CK1472" s="48"/>
    </row>
    <row r="1473" spans="1:89" ht="15.75" customHeight="1" x14ac:dyDescent="0.3">
      <c r="A1473" s="47"/>
      <c r="B1473" s="48"/>
      <c r="C1473" s="47"/>
      <c r="D1473" s="48"/>
      <c r="E1473" s="48"/>
      <c r="F1473" s="48"/>
      <c r="G1473" s="48"/>
      <c r="H1473" s="48"/>
      <c r="I1473" s="49"/>
      <c r="J1473" s="47"/>
      <c r="K1473" s="47"/>
      <c r="L1473" s="47"/>
      <c r="M1473" s="47"/>
      <c r="N1473" s="47"/>
      <c r="O1473" s="47"/>
      <c r="P1473" s="47"/>
      <c r="Q1473" s="47"/>
      <c r="R1473" s="47"/>
      <c r="S1473" s="50"/>
      <c r="T1473" s="47"/>
      <c r="U1473" s="47"/>
      <c r="V1473" s="47"/>
      <c r="W1473" s="51"/>
      <c r="X1473" s="51"/>
      <c r="Y1473" s="47"/>
      <c r="Z1473" s="47"/>
      <c r="AA1473" s="47"/>
      <c r="AB1473" s="47"/>
      <c r="AC1473" s="47"/>
      <c r="AD1473" s="47"/>
      <c r="AE1473" s="54"/>
      <c r="AF1473" s="54"/>
      <c r="AG1473" s="55"/>
      <c r="AH1473" s="54"/>
      <c r="AI1473" s="54"/>
      <c r="AJ1473" s="54"/>
      <c r="AK1473" s="54"/>
      <c r="AL1473" s="54"/>
      <c r="AM1473" s="54"/>
      <c r="AN1473" s="54"/>
      <c r="AO1473" s="54"/>
      <c r="AP1473" s="54"/>
      <c r="AQ1473" s="54"/>
      <c r="AR1473" s="54"/>
      <c r="AS1473" s="54"/>
      <c r="AT1473" s="54"/>
      <c r="AU1473" s="54"/>
      <c r="AV1473" s="54"/>
      <c r="AW1473" s="54"/>
      <c r="AX1473" s="54"/>
      <c r="AY1473" s="54"/>
      <c r="AZ1473" s="54"/>
      <c r="BA1473" s="54"/>
      <c r="BB1473" s="54"/>
      <c r="BC1473" s="56"/>
      <c r="BD1473" s="51"/>
      <c r="BE1473" s="54"/>
      <c r="BF1473" s="54"/>
      <c r="BG1473" s="47"/>
      <c r="BH1473" s="48"/>
      <c r="BI1473" s="48"/>
      <c r="BJ1473" s="48"/>
      <c r="BK1473" s="48"/>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52"/>
      <c r="CG1473" s="52"/>
      <c r="CH1473" s="48"/>
      <c r="CI1473" s="48"/>
      <c r="CJ1473" s="48"/>
      <c r="CK1473" s="48"/>
    </row>
    <row r="1474" spans="1:89" ht="15.75" customHeight="1" x14ac:dyDescent="0.3">
      <c r="A1474" s="47"/>
      <c r="B1474" s="48"/>
      <c r="C1474" s="47"/>
      <c r="D1474" s="48"/>
      <c r="E1474" s="48"/>
      <c r="F1474" s="48"/>
      <c r="G1474" s="48"/>
      <c r="H1474" s="48"/>
      <c r="I1474" s="49"/>
      <c r="J1474" s="47"/>
      <c r="K1474" s="47"/>
      <c r="L1474" s="47"/>
      <c r="M1474" s="47"/>
      <c r="N1474" s="47"/>
      <c r="O1474" s="47"/>
      <c r="P1474" s="47"/>
      <c r="Q1474" s="47"/>
      <c r="R1474" s="47"/>
      <c r="S1474" s="50"/>
      <c r="T1474" s="47"/>
      <c r="U1474" s="47"/>
      <c r="V1474" s="47"/>
      <c r="W1474" s="51"/>
      <c r="X1474" s="51"/>
      <c r="Y1474" s="47"/>
      <c r="Z1474" s="47"/>
      <c r="AA1474" s="47"/>
      <c r="AB1474" s="47"/>
      <c r="AC1474" s="47"/>
      <c r="AD1474" s="47"/>
      <c r="AE1474" s="54"/>
      <c r="AF1474" s="54"/>
      <c r="AG1474" s="55"/>
      <c r="AH1474" s="54"/>
      <c r="AI1474" s="54"/>
      <c r="AJ1474" s="54"/>
      <c r="AK1474" s="54"/>
      <c r="AL1474" s="54"/>
      <c r="AM1474" s="54"/>
      <c r="AN1474" s="54"/>
      <c r="AO1474" s="54"/>
      <c r="AP1474" s="54"/>
      <c r="AQ1474" s="54"/>
      <c r="AR1474" s="54"/>
      <c r="AS1474" s="54"/>
      <c r="AT1474" s="54"/>
      <c r="AU1474" s="54"/>
      <c r="AV1474" s="54"/>
      <c r="AW1474" s="54"/>
      <c r="AX1474" s="54"/>
      <c r="AY1474" s="54"/>
      <c r="AZ1474" s="54"/>
      <c r="BA1474" s="54"/>
      <c r="BB1474" s="54"/>
      <c r="BC1474" s="56"/>
      <c r="BD1474" s="51"/>
      <c r="BE1474" s="54"/>
      <c r="BF1474" s="54"/>
      <c r="BG1474" s="47"/>
      <c r="BH1474" s="48"/>
      <c r="BI1474" s="48"/>
      <c r="BJ1474" s="48"/>
      <c r="BK1474" s="48"/>
      <c r="BL1474" s="48"/>
      <c r="BM1474" s="48"/>
      <c r="BN1474" s="48"/>
      <c r="BO1474" s="48"/>
      <c r="BP1474" s="48"/>
      <c r="BQ1474" s="48"/>
      <c r="BR1474" s="48"/>
      <c r="BS1474" s="48"/>
      <c r="BT1474" s="48"/>
      <c r="BU1474" s="48"/>
      <c r="BV1474" s="48"/>
      <c r="BW1474" s="48"/>
      <c r="BX1474" s="48"/>
      <c r="BY1474" s="48"/>
      <c r="BZ1474" s="48"/>
      <c r="CA1474" s="48"/>
      <c r="CB1474" s="48"/>
      <c r="CC1474" s="48"/>
      <c r="CD1474" s="48"/>
      <c r="CE1474" s="48"/>
      <c r="CF1474" s="52"/>
      <c r="CG1474" s="52"/>
      <c r="CH1474" s="48"/>
      <c r="CI1474" s="48"/>
      <c r="CJ1474" s="48"/>
      <c r="CK1474" s="48"/>
    </row>
    <row r="1475" spans="1:89" ht="15.75" customHeight="1" x14ac:dyDescent="0.3">
      <c r="A1475" s="47"/>
      <c r="B1475" s="48"/>
      <c r="C1475" s="47"/>
      <c r="D1475" s="48"/>
      <c r="E1475" s="48"/>
      <c r="F1475" s="48"/>
      <c r="G1475" s="48"/>
      <c r="H1475" s="48"/>
      <c r="I1475" s="49"/>
      <c r="J1475" s="47"/>
      <c r="K1475" s="47"/>
      <c r="L1475" s="47"/>
      <c r="M1475" s="47"/>
      <c r="N1475" s="47"/>
      <c r="O1475" s="47"/>
      <c r="P1475" s="47"/>
      <c r="Q1475" s="47"/>
      <c r="R1475" s="47"/>
      <c r="S1475" s="50"/>
      <c r="T1475" s="47"/>
      <c r="U1475" s="47"/>
      <c r="V1475" s="47"/>
      <c r="W1475" s="51"/>
      <c r="X1475" s="51"/>
      <c r="Y1475" s="47"/>
      <c r="Z1475" s="47"/>
      <c r="AA1475" s="47"/>
      <c r="AB1475" s="47"/>
      <c r="AC1475" s="47"/>
      <c r="AD1475" s="47"/>
      <c r="AE1475" s="54"/>
      <c r="AF1475" s="54"/>
      <c r="AG1475" s="55"/>
      <c r="AH1475" s="54"/>
      <c r="AI1475" s="54"/>
      <c r="AJ1475" s="54"/>
      <c r="AK1475" s="54"/>
      <c r="AL1475" s="54"/>
      <c r="AM1475" s="54"/>
      <c r="AN1475" s="54"/>
      <c r="AO1475" s="54"/>
      <c r="AP1475" s="54"/>
      <c r="AQ1475" s="54"/>
      <c r="AR1475" s="54"/>
      <c r="AS1475" s="54"/>
      <c r="AT1475" s="54"/>
      <c r="AU1475" s="54"/>
      <c r="AV1475" s="54"/>
      <c r="AW1475" s="54"/>
      <c r="AX1475" s="54"/>
      <c r="AY1475" s="54"/>
      <c r="AZ1475" s="54"/>
      <c r="BA1475" s="54"/>
      <c r="BB1475" s="54"/>
      <c r="BC1475" s="56"/>
      <c r="BD1475" s="51"/>
      <c r="BE1475" s="54"/>
      <c r="BF1475" s="54"/>
      <c r="BG1475" s="47"/>
      <c r="BH1475" s="48"/>
      <c r="BI1475" s="48"/>
      <c r="BJ1475" s="48"/>
      <c r="BK1475" s="48"/>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52"/>
      <c r="CG1475" s="52"/>
      <c r="CH1475" s="48"/>
      <c r="CI1475" s="48"/>
      <c r="CJ1475" s="48"/>
      <c r="CK1475" s="48"/>
    </row>
    <row r="1476" spans="1:89" ht="15.75" customHeight="1" x14ac:dyDescent="0.3">
      <c r="A1476" s="47"/>
      <c r="B1476" s="48"/>
      <c r="C1476" s="47"/>
      <c r="D1476" s="48"/>
      <c r="E1476" s="48"/>
      <c r="F1476" s="48"/>
      <c r="G1476" s="48"/>
      <c r="H1476" s="48"/>
      <c r="I1476" s="49"/>
      <c r="J1476" s="47"/>
      <c r="K1476" s="47"/>
      <c r="L1476" s="47"/>
      <c r="M1476" s="47"/>
      <c r="N1476" s="47"/>
      <c r="O1476" s="47"/>
      <c r="P1476" s="47"/>
      <c r="Q1476" s="47"/>
      <c r="R1476" s="47"/>
      <c r="S1476" s="50"/>
      <c r="T1476" s="47"/>
      <c r="U1476" s="47"/>
      <c r="V1476" s="47"/>
      <c r="W1476" s="51"/>
      <c r="X1476" s="51"/>
      <c r="Y1476" s="47"/>
      <c r="Z1476" s="47"/>
      <c r="AA1476" s="47"/>
      <c r="AB1476" s="47"/>
      <c r="AC1476" s="47"/>
      <c r="AD1476" s="47"/>
      <c r="AE1476" s="54"/>
      <c r="AF1476" s="54"/>
      <c r="AG1476" s="55"/>
      <c r="AH1476" s="54"/>
      <c r="AI1476" s="54"/>
      <c r="AJ1476" s="54"/>
      <c r="AK1476" s="54"/>
      <c r="AL1476" s="54"/>
      <c r="AM1476" s="54"/>
      <c r="AN1476" s="54"/>
      <c r="AO1476" s="54"/>
      <c r="AP1476" s="54"/>
      <c r="AQ1476" s="54"/>
      <c r="AR1476" s="54"/>
      <c r="AS1476" s="54"/>
      <c r="AT1476" s="54"/>
      <c r="AU1476" s="54"/>
      <c r="AV1476" s="54"/>
      <c r="AW1476" s="54"/>
      <c r="AX1476" s="54"/>
      <c r="AY1476" s="54"/>
      <c r="AZ1476" s="54"/>
      <c r="BA1476" s="54"/>
      <c r="BB1476" s="54"/>
      <c r="BC1476" s="56"/>
      <c r="BD1476" s="51"/>
      <c r="BE1476" s="54"/>
      <c r="BF1476" s="54"/>
      <c r="BG1476" s="47"/>
      <c r="BH1476" s="48"/>
      <c r="BI1476" s="48"/>
      <c r="BJ1476" s="48"/>
      <c r="BK1476" s="48"/>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52"/>
      <c r="CG1476" s="52"/>
      <c r="CH1476" s="48"/>
      <c r="CI1476" s="48"/>
      <c r="CJ1476" s="48"/>
      <c r="CK1476" s="48"/>
    </row>
    <row r="1477" spans="1:89" ht="15.75" customHeight="1" x14ac:dyDescent="0.3">
      <c r="A1477" s="47"/>
      <c r="B1477" s="48"/>
      <c r="C1477" s="47"/>
      <c r="D1477" s="48"/>
      <c r="E1477" s="48"/>
      <c r="F1477" s="48"/>
      <c r="G1477" s="48"/>
      <c r="H1477" s="48"/>
      <c r="I1477" s="49"/>
      <c r="J1477" s="47"/>
      <c r="K1477" s="47"/>
      <c r="L1477" s="47"/>
      <c r="M1477" s="47"/>
      <c r="N1477" s="47"/>
      <c r="O1477" s="47"/>
      <c r="P1477" s="47"/>
      <c r="Q1477" s="47"/>
      <c r="R1477" s="47"/>
      <c r="S1477" s="50"/>
      <c r="T1477" s="47"/>
      <c r="U1477" s="47"/>
      <c r="V1477" s="47"/>
      <c r="W1477" s="51"/>
      <c r="X1477" s="51"/>
      <c r="Y1477" s="47"/>
      <c r="Z1477" s="47"/>
      <c r="AA1477" s="47"/>
      <c r="AB1477" s="47"/>
      <c r="AC1477" s="47"/>
      <c r="AD1477" s="47"/>
      <c r="AE1477" s="54"/>
      <c r="AF1477" s="54"/>
      <c r="AG1477" s="55"/>
      <c r="AH1477" s="54"/>
      <c r="AI1477" s="54"/>
      <c r="AJ1477" s="54"/>
      <c r="AK1477" s="54"/>
      <c r="AL1477" s="54"/>
      <c r="AM1477" s="54"/>
      <c r="AN1477" s="54"/>
      <c r="AO1477" s="54"/>
      <c r="AP1477" s="54"/>
      <c r="AQ1477" s="54"/>
      <c r="AR1477" s="54"/>
      <c r="AS1477" s="54"/>
      <c r="AT1477" s="54"/>
      <c r="AU1477" s="54"/>
      <c r="AV1477" s="54"/>
      <c r="AW1477" s="54"/>
      <c r="AX1477" s="54"/>
      <c r="AY1477" s="54"/>
      <c r="AZ1477" s="54"/>
      <c r="BA1477" s="54"/>
      <c r="BB1477" s="54"/>
      <c r="BC1477" s="56"/>
      <c r="BD1477" s="51"/>
      <c r="BE1477" s="54"/>
      <c r="BF1477" s="54"/>
      <c r="BG1477" s="47"/>
      <c r="BH1477" s="48"/>
      <c r="BI1477" s="48"/>
      <c r="BJ1477" s="48"/>
      <c r="BK1477" s="48"/>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52"/>
      <c r="CG1477" s="52"/>
      <c r="CH1477" s="48"/>
      <c r="CI1477" s="48"/>
      <c r="CJ1477" s="48"/>
      <c r="CK1477" s="48"/>
    </row>
    <row r="1478" spans="1:89" ht="15.75" customHeight="1" x14ac:dyDescent="0.3">
      <c r="A1478" s="47"/>
      <c r="B1478" s="48"/>
      <c r="C1478" s="47"/>
      <c r="D1478" s="48"/>
      <c r="E1478" s="48"/>
      <c r="F1478" s="48"/>
      <c r="G1478" s="48"/>
      <c r="H1478" s="48"/>
      <c r="I1478" s="49"/>
      <c r="J1478" s="47"/>
      <c r="K1478" s="47"/>
      <c r="L1478" s="47"/>
      <c r="M1478" s="47"/>
      <c r="N1478" s="47"/>
      <c r="O1478" s="47"/>
      <c r="P1478" s="47"/>
      <c r="Q1478" s="47"/>
      <c r="R1478" s="47"/>
      <c r="S1478" s="50"/>
      <c r="T1478" s="47"/>
      <c r="U1478" s="47"/>
      <c r="V1478" s="47"/>
      <c r="W1478" s="51"/>
      <c r="X1478" s="51"/>
      <c r="Y1478" s="47"/>
      <c r="Z1478" s="47"/>
      <c r="AA1478" s="47"/>
      <c r="AB1478" s="47"/>
      <c r="AC1478" s="47"/>
      <c r="AD1478" s="47"/>
      <c r="AE1478" s="54"/>
      <c r="AF1478" s="54"/>
      <c r="AG1478" s="55"/>
      <c r="AH1478" s="54"/>
      <c r="AI1478" s="54"/>
      <c r="AJ1478" s="54"/>
      <c r="AK1478" s="54"/>
      <c r="AL1478" s="54"/>
      <c r="AM1478" s="54"/>
      <c r="AN1478" s="54"/>
      <c r="AO1478" s="54"/>
      <c r="AP1478" s="54"/>
      <c r="AQ1478" s="54"/>
      <c r="AR1478" s="54"/>
      <c r="AS1478" s="54"/>
      <c r="AT1478" s="54"/>
      <c r="AU1478" s="54"/>
      <c r="AV1478" s="54"/>
      <c r="AW1478" s="54"/>
      <c r="AX1478" s="54"/>
      <c r="AY1478" s="54"/>
      <c r="AZ1478" s="54"/>
      <c r="BA1478" s="54"/>
      <c r="BB1478" s="54"/>
      <c r="BC1478" s="56"/>
      <c r="BD1478" s="51"/>
      <c r="BE1478" s="54"/>
      <c r="BF1478" s="54"/>
      <c r="BG1478" s="47"/>
      <c r="BH1478" s="48"/>
      <c r="BI1478" s="48"/>
      <c r="BJ1478" s="48"/>
      <c r="BK1478" s="48"/>
      <c r="BL1478" s="48"/>
      <c r="BM1478" s="48"/>
      <c r="BN1478" s="48"/>
      <c r="BO1478" s="48"/>
      <c r="BP1478" s="48"/>
      <c r="BQ1478" s="48"/>
      <c r="BR1478" s="48"/>
      <c r="BS1478" s="48"/>
      <c r="BT1478" s="48"/>
      <c r="BU1478" s="48"/>
      <c r="BV1478" s="48"/>
      <c r="BW1478" s="48"/>
      <c r="BX1478" s="48"/>
      <c r="BY1478" s="48"/>
      <c r="BZ1478" s="48"/>
      <c r="CA1478" s="48"/>
      <c r="CB1478" s="48"/>
      <c r="CC1478" s="48"/>
      <c r="CD1478" s="48"/>
      <c r="CE1478" s="48"/>
      <c r="CF1478" s="52"/>
      <c r="CG1478" s="52"/>
      <c r="CH1478" s="48"/>
      <c r="CI1478" s="48"/>
      <c r="CJ1478" s="48"/>
      <c r="CK1478" s="48"/>
    </row>
    <row r="1479" spans="1:89" ht="15.75" customHeight="1" x14ac:dyDescent="0.3">
      <c r="A1479" s="47"/>
      <c r="B1479" s="48"/>
      <c r="C1479" s="47"/>
      <c r="D1479" s="48"/>
      <c r="E1479" s="48"/>
      <c r="F1479" s="48"/>
      <c r="G1479" s="48"/>
      <c r="H1479" s="48"/>
      <c r="I1479" s="49"/>
      <c r="J1479" s="47"/>
      <c r="K1479" s="47"/>
      <c r="L1479" s="47"/>
      <c r="M1479" s="47"/>
      <c r="N1479" s="47"/>
      <c r="O1479" s="47"/>
      <c r="P1479" s="47"/>
      <c r="Q1479" s="47"/>
      <c r="R1479" s="47"/>
      <c r="S1479" s="50"/>
      <c r="T1479" s="47"/>
      <c r="U1479" s="47"/>
      <c r="V1479" s="47"/>
      <c r="W1479" s="51"/>
      <c r="X1479" s="51"/>
      <c r="Y1479" s="47"/>
      <c r="Z1479" s="47"/>
      <c r="AA1479" s="47"/>
      <c r="AB1479" s="47"/>
      <c r="AC1479" s="47"/>
      <c r="AD1479" s="47"/>
      <c r="AE1479" s="54"/>
      <c r="AF1479" s="54"/>
      <c r="AG1479" s="55"/>
      <c r="AH1479" s="54"/>
      <c r="AI1479" s="54"/>
      <c r="AJ1479" s="54"/>
      <c r="AK1479" s="54"/>
      <c r="AL1479" s="54"/>
      <c r="AM1479" s="54"/>
      <c r="AN1479" s="54"/>
      <c r="AO1479" s="54"/>
      <c r="AP1479" s="54"/>
      <c r="AQ1479" s="54"/>
      <c r="AR1479" s="54"/>
      <c r="AS1479" s="54"/>
      <c r="AT1479" s="54"/>
      <c r="AU1479" s="54"/>
      <c r="AV1479" s="54"/>
      <c r="AW1479" s="54"/>
      <c r="AX1479" s="54"/>
      <c r="AY1479" s="54"/>
      <c r="AZ1479" s="54"/>
      <c r="BA1479" s="54"/>
      <c r="BB1479" s="54"/>
      <c r="BC1479" s="56"/>
      <c r="BD1479" s="51"/>
      <c r="BE1479" s="54"/>
      <c r="BF1479" s="54"/>
      <c r="BG1479" s="47"/>
      <c r="BH1479" s="48"/>
      <c r="BI1479" s="48"/>
      <c r="BJ1479" s="48"/>
      <c r="BK1479" s="48"/>
      <c r="BL1479" s="48"/>
      <c r="BM1479" s="48"/>
      <c r="BN1479" s="48"/>
      <c r="BO1479" s="48"/>
      <c r="BP1479" s="48"/>
      <c r="BQ1479" s="48"/>
      <c r="BR1479" s="48"/>
      <c r="BS1479" s="48"/>
      <c r="BT1479" s="48"/>
      <c r="BU1479" s="48"/>
      <c r="BV1479" s="48"/>
      <c r="BW1479" s="48"/>
      <c r="BX1479" s="48"/>
      <c r="BY1479" s="48"/>
      <c r="BZ1479" s="48"/>
      <c r="CA1479" s="48"/>
      <c r="CB1479" s="48"/>
      <c r="CC1479" s="48"/>
      <c r="CD1479" s="48"/>
      <c r="CE1479" s="48"/>
      <c r="CF1479" s="52"/>
      <c r="CG1479" s="52"/>
      <c r="CH1479" s="48"/>
      <c r="CI1479" s="48"/>
      <c r="CJ1479" s="48"/>
      <c r="CK1479" s="48"/>
    </row>
    <row r="1480" spans="1:89" ht="15.75" customHeight="1" x14ac:dyDescent="0.3">
      <c r="A1480" s="47"/>
      <c r="B1480" s="48"/>
      <c r="C1480" s="47"/>
      <c r="D1480" s="48"/>
      <c r="E1480" s="48"/>
      <c r="F1480" s="48"/>
      <c r="G1480" s="48"/>
      <c r="H1480" s="48"/>
      <c r="I1480" s="49"/>
      <c r="J1480" s="47"/>
      <c r="K1480" s="47"/>
      <c r="L1480" s="47"/>
      <c r="M1480" s="47"/>
      <c r="N1480" s="47"/>
      <c r="O1480" s="47"/>
      <c r="P1480" s="47"/>
      <c r="Q1480" s="47"/>
      <c r="R1480" s="47"/>
      <c r="S1480" s="50"/>
      <c r="T1480" s="47"/>
      <c r="U1480" s="47"/>
      <c r="V1480" s="47"/>
      <c r="W1480" s="51"/>
      <c r="X1480" s="51"/>
      <c r="Y1480" s="47"/>
      <c r="Z1480" s="47"/>
      <c r="AA1480" s="47"/>
      <c r="AB1480" s="47"/>
      <c r="AC1480" s="47"/>
      <c r="AD1480" s="47"/>
      <c r="AE1480" s="54"/>
      <c r="AF1480" s="54"/>
      <c r="AG1480" s="55"/>
      <c r="AH1480" s="54"/>
      <c r="AI1480" s="54"/>
      <c r="AJ1480" s="54"/>
      <c r="AK1480" s="54"/>
      <c r="AL1480" s="54"/>
      <c r="AM1480" s="54"/>
      <c r="AN1480" s="54"/>
      <c r="AO1480" s="54"/>
      <c r="AP1480" s="54"/>
      <c r="AQ1480" s="54"/>
      <c r="AR1480" s="54"/>
      <c r="AS1480" s="54"/>
      <c r="AT1480" s="54"/>
      <c r="AU1480" s="54"/>
      <c r="AV1480" s="54"/>
      <c r="AW1480" s="54"/>
      <c r="AX1480" s="54"/>
      <c r="AY1480" s="54"/>
      <c r="AZ1480" s="54"/>
      <c r="BA1480" s="54"/>
      <c r="BB1480" s="54"/>
      <c r="BC1480" s="56"/>
      <c r="BD1480" s="51"/>
      <c r="BE1480" s="54"/>
      <c r="BF1480" s="54"/>
      <c r="BG1480" s="47"/>
      <c r="BH1480" s="48"/>
      <c r="BI1480" s="48"/>
      <c r="BJ1480" s="48"/>
      <c r="BK1480" s="48"/>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52"/>
      <c r="CG1480" s="52"/>
      <c r="CH1480" s="48"/>
      <c r="CI1480" s="48"/>
      <c r="CJ1480" s="48"/>
      <c r="CK1480" s="48"/>
    </row>
    <row r="1481" spans="1:89" ht="15.75" customHeight="1" x14ac:dyDescent="0.3">
      <c r="A1481" s="47"/>
      <c r="B1481" s="48"/>
      <c r="C1481" s="47"/>
      <c r="D1481" s="48"/>
      <c r="E1481" s="48"/>
      <c r="F1481" s="48"/>
      <c r="G1481" s="48"/>
      <c r="H1481" s="48"/>
      <c r="I1481" s="49"/>
      <c r="J1481" s="47"/>
      <c r="K1481" s="47"/>
      <c r="L1481" s="47"/>
      <c r="M1481" s="47"/>
      <c r="N1481" s="47"/>
      <c r="O1481" s="47"/>
      <c r="P1481" s="47"/>
      <c r="Q1481" s="47"/>
      <c r="R1481" s="47"/>
      <c r="S1481" s="50"/>
      <c r="T1481" s="47"/>
      <c r="U1481" s="47"/>
      <c r="V1481" s="47"/>
      <c r="W1481" s="51"/>
      <c r="X1481" s="51"/>
      <c r="Y1481" s="47"/>
      <c r="Z1481" s="47"/>
      <c r="AA1481" s="47"/>
      <c r="AB1481" s="47"/>
      <c r="AC1481" s="47"/>
      <c r="AD1481" s="47"/>
      <c r="AE1481" s="54"/>
      <c r="AF1481" s="54"/>
      <c r="AG1481" s="55"/>
      <c r="AH1481" s="54"/>
      <c r="AI1481" s="54"/>
      <c r="AJ1481" s="54"/>
      <c r="AK1481" s="54"/>
      <c r="AL1481" s="54"/>
      <c r="AM1481" s="54"/>
      <c r="AN1481" s="54"/>
      <c r="AO1481" s="54"/>
      <c r="AP1481" s="54"/>
      <c r="AQ1481" s="54"/>
      <c r="AR1481" s="54"/>
      <c r="AS1481" s="54"/>
      <c r="AT1481" s="54"/>
      <c r="AU1481" s="54"/>
      <c r="AV1481" s="54"/>
      <c r="AW1481" s="54"/>
      <c r="AX1481" s="54"/>
      <c r="AY1481" s="54"/>
      <c r="AZ1481" s="54"/>
      <c r="BA1481" s="54"/>
      <c r="BB1481" s="54"/>
      <c r="BC1481" s="56"/>
      <c r="BD1481" s="51"/>
      <c r="BE1481" s="54"/>
      <c r="BF1481" s="54"/>
      <c r="BG1481" s="47"/>
      <c r="BH1481" s="48"/>
      <c r="BI1481" s="48"/>
      <c r="BJ1481" s="48"/>
      <c r="BK1481" s="48"/>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52"/>
      <c r="CG1481" s="52"/>
      <c r="CH1481" s="48"/>
      <c r="CI1481" s="48"/>
      <c r="CJ1481" s="48"/>
      <c r="CK1481" s="48"/>
    </row>
    <row r="1482" spans="1:89" ht="15.75" customHeight="1" x14ac:dyDescent="0.3">
      <c r="A1482" s="47"/>
      <c r="B1482" s="48"/>
      <c r="C1482" s="47"/>
      <c r="D1482" s="48"/>
      <c r="E1482" s="48"/>
      <c r="F1482" s="48"/>
      <c r="G1482" s="48"/>
      <c r="H1482" s="48"/>
      <c r="I1482" s="49"/>
      <c r="J1482" s="47"/>
      <c r="K1482" s="47"/>
      <c r="L1482" s="47"/>
      <c r="M1482" s="47"/>
      <c r="N1482" s="47"/>
      <c r="O1482" s="47"/>
      <c r="P1482" s="47"/>
      <c r="Q1482" s="47"/>
      <c r="R1482" s="47"/>
      <c r="S1482" s="50"/>
      <c r="T1482" s="47"/>
      <c r="U1482" s="47"/>
      <c r="V1482" s="47"/>
      <c r="W1482" s="51"/>
      <c r="X1482" s="51"/>
      <c r="Y1482" s="47"/>
      <c r="Z1482" s="47"/>
      <c r="AA1482" s="47"/>
      <c r="AB1482" s="47"/>
      <c r="AC1482" s="47"/>
      <c r="AD1482" s="47"/>
      <c r="AE1482" s="54"/>
      <c r="AF1482" s="54"/>
      <c r="AG1482" s="55"/>
      <c r="AH1482" s="54"/>
      <c r="AI1482" s="54"/>
      <c r="AJ1482" s="54"/>
      <c r="AK1482" s="54"/>
      <c r="AL1482" s="54"/>
      <c r="AM1482" s="54"/>
      <c r="AN1482" s="54"/>
      <c r="AO1482" s="54"/>
      <c r="AP1482" s="54"/>
      <c r="AQ1482" s="54"/>
      <c r="AR1482" s="54"/>
      <c r="AS1482" s="54"/>
      <c r="AT1482" s="54"/>
      <c r="AU1482" s="54"/>
      <c r="AV1482" s="54"/>
      <c r="AW1482" s="54"/>
      <c r="AX1482" s="54"/>
      <c r="AY1482" s="54"/>
      <c r="AZ1482" s="54"/>
      <c r="BA1482" s="54"/>
      <c r="BB1482" s="54"/>
      <c r="BC1482" s="56"/>
      <c r="BD1482" s="51"/>
      <c r="BE1482" s="54"/>
      <c r="BF1482" s="54"/>
      <c r="BG1482" s="47"/>
      <c r="BH1482" s="48"/>
      <c r="BI1482" s="48"/>
      <c r="BJ1482" s="48"/>
      <c r="BK1482" s="48"/>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52"/>
      <c r="CG1482" s="52"/>
      <c r="CH1482" s="48"/>
      <c r="CI1482" s="48"/>
      <c r="CJ1482" s="48"/>
      <c r="CK1482" s="48"/>
    </row>
    <row r="1483" spans="1:89" ht="15.75" customHeight="1" x14ac:dyDescent="0.3">
      <c r="A1483" s="47"/>
      <c r="B1483" s="48"/>
      <c r="C1483" s="47"/>
      <c r="D1483" s="48"/>
      <c r="E1483" s="48"/>
      <c r="F1483" s="48"/>
      <c r="G1483" s="48"/>
      <c r="H1483" s="48"/>
      <c r="I1483" s="49"/>
      <c r="J1483" s="47"/>
      <c r="K1483" s="47"/>
      <c r="L1483" s="47"/>
      <c r="M1483" s="47"/>
      <c r="N1483" s="47"/>
      <c r="O1483" s="47"/>
      <c r="P1483" s="47"/>
      <c r="Q1483" s="47"/>
      <c r="R1483" s="47"/>
      <c r="S1483" s="50"/>
      <c r="T1483" s="47"/>
      <c r="U1483" s="47"/>
      <c r="V1483" s="47"/>
      <c r="W1483" s="51"/>
      <c r="X1483" s="51"/>
      <c r="Y1483" s="47"/>
      <c r="Z1483" s="47"/>
      <c r="AA1483" s="47"/>
      <c r="AB1483" s="47"/>
      <c r="AC1483" s="47"/>
      <c r="AD1483" s="47"/>
      <c r="AE1483" s="54"/>
      <c r="AF1483" s="54"/>
      <c r="AG1483" s="55"/>
      <c r="AH1483" s="54"/>
      <c r="AI1483" s="54"/>
      <c r="AJ1483" s="54"/>
      <c r="AK1483" s="54"/>
      <c r="AL1483" s="54"/>
      <c r="AM1483" s="54"/>
      <c r="AN1483" s="54"/>
      <c r="AO1483" s="54"/>
      <c r="AP1483" s="54"/>
      <c r="AQ1483" s="54"/>
      <c r="AR1483" s="54"/>
      <c r="AS1483" s="54"/>
      <c r="AT1483" s="54"/>
      <c r="AU1483" s="54"/>
      <c r="AV1483" s="54"/>
      <c r="AW1483" s="54"/>
      <c r="AX1483" s="54"/>
      <c r="AY1483" s="54"/>
      <c r="AZ1483" s="54"/>
      <c r="BA1483" s="54"/>
      <c r="BB1483" s="54"/>
      <c r="BC1483" s="56"/>
      <c r="BD1483" s="51"/>
      <c r="BE1483" s="54"/>
      <c r="BF1483" s="54"/>
      <c r="BG1483" s="47"/>
      <c r="BH1483" s="48"/>
      <c r="BI1483" s="48"/>
      <c r="BJ1483" s="48"/>
      <c r="BK1483" s="48"/>
      <c r="BL1483" s="48"/>
      <c r="BM1483" s="48"/>
      <c r="BN1483" s="48"/>
      <c r="BO1483" s="48"/>
      <c r="BP1483" s="48"/>
      <c r="BQ1483" s="48"/>
      <c r="BR1483" s="48"/>
      <c r="BS1483" s="48"/>
      <c r="BT1483" s="48"/>
      <c r="BU1483" s="48"/>
      <c r="BV1483" s="48"/>
      <c r="BW1483" s="48"/>
      <c r="BX1483" s="48"/>
      <c r="BY1483" s="48"/>
      <c r="BZ1483" s="48"/>
      <c r="CA1483" s="48"/>
      <c r="CB1483" s="48"/>
      <c r="CC1483" s="48"/>
      <c r="CD1483" s="48"/>
      <c r="CE1483" s="48"/>
      <c r="CF1483" s="52"/>
      <c r="CG1483" s="52"/>
      <c r="CH1483" s="48"/>
      <c r="CI1483" s="48"/>
      <c r="CJ1483" s="48"/>
      <c r="CK1483" s="48"/>
    </row>
    <row r="1484" spans="1:89" ht="15.75" customHeight="1" x14ac:dyDescent="0.3">
      <c r="A1484" s="47"/>
      <c r="B1484" s="48"/>
      <c r="C1484" s="47"/>
      <c r="D1484" s="48"/>
      <c r="E1484" s="48"/>
      <c r="F1484" s="48"/>
      <c r="G1484" s="48"/>
      <c r="H1484" s="48"/>
      <c r="I1484" s="49"/>
      <c r="J1484" s="47"/>
      <c r="K1484" s="47"/>
      <c r="L1484" s="47"/>
      <c r="M1484" s="47"/>
      <c r="N1484" s="47"/>
      <c r="O1484" s="47"/>
      <c r="P1484" s="47"/>
      <c r="Q1484" s="47"/>
      <c r="R1484" s="47"/>
      <c r="S1484" s="50"/>
      <c r="T1484" s="47"/>
      <c r="U1484" s="47"/>
      <c r="V1484" s="47"/>
      <c r="W1484" s="51"/>
      <c r="X1484" s="51"/>
      <c r="Y1484" s="47"/>
      <c r="Z1484" s="47"/>
      <c r="AA1484" s="47"/>
      <c r="AB1484" s="47"/>
      <c r="AC1484" s="47"/>
      <c r="AD1484" s="47"/>
      <c r="AE1484" s="54"/>
      <c r="AF1484" s="54"/>
      <c r="AG1484" s="55"/>
      <c r="AH1484" s="54"/>
      <c r="AI1484" s="54"/>
      <c r="AJ1484" s="54"/>
      <c r="AK1484" s="54"/>
      <c r="AL1484" s="54"/>
      <c r="AM1484" s="54"/>
      <c r="AN1484" s="54"/>
      <c r="AO1484" s="54"/>
      <c r="AP1484" s="54"/>
      <c r="AQ1484" s="54"/>
      <c r="AR1484" s="54"/>
      <c r="AS1484" s="54"/>
      <c r="AT1484" s="54"/>
      <c r="AU1484" s="54"/>
      <c r="AV1484" s="54"/>
      <c r="AW1484" s="54"/>
      <c r="AX1484" s="54"/>
      <c r="AY1484" s="54"/>
      <c r="AZ1484" s="54"/>
      <c r="BA1484" s="54"/>
      <c r="BB1484" s="54"/>
      <c r="BC1484" s="56"/>
      <c r="BD1484" s="51"/>
      <c r="BE1484" s="54"/>
      <c r="BF1484" s="54"/>
      <c r="BG1484" s="47"/>
      <c r="BH1484" s="48"/>
      <c r="BI1484" s="48"/>
      <c r="BJ1484" s="48"/>
      <c r="BK1484" s="48"/>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52"/>
      <c r="CG1484" s="52"/>
      <c r="CH1484" s="48"/>
      <c r="CI1484" s="48"/>
      <c r="CJ1484" s="48"/>
      <c r="CK1484" s="48"/>
    </row>
    <row r="1485" spans="1:89" ht="15.75" customHeight="1" x14ac:dyDescent="0.3">
      <c r="A1485" s="47"/>
      <c r="B1485" s="48"/>
      <c r="C1485" s="47"/>
      <c r="D1485" s="48"/>
      <c r="E1485" s="48"/>
      <c r="F1485" s="48"/>
      <c r="G1485" s="48"/>
      <c r="H1485" s="48"/>
      <c r="I1485" s="49"/>
      <c r="J1485" s="47"/>
      <c r="K1485" s="47"/>
      <c r="L1485" s="47"/>
      <c r="M1485" s="47"/>
      <c r="N1485" s="47"/>
      <c r="O1485" s="47"/>
      <c r="P1485" s="47"/>
      <c r="Q1485" s="47"/>
      <c r="R1485" s="47"/>
      <c r="S1485" s="50"/>
      <c r="T1485" s="47"/>
      <c r="U1485" s="47"/>
      <c r="V1485" s="47"/>
      <c r="W1485" s="51"/>
      <c r="X1485" s="51"/>
      <c r="Y1485" s="47"/>
      <c r="Z1485" s="47"/>
      <c r="AA1485" s="47"/>
      <c r="AB1485" s="47"/>
      <c r="AC1485" s="47"/>
      <c r="AD1485" s="47"/>
      <c r="AE1485" s="54"/>
      <c r="AF1485" s="54"/>
      <c r="AG1485" s="55"/>
      <c r="AH1485" s="54"/>
      <c r="AI1485" s="54"/>
      <c r="AJ1485" s="54"/>
      <c r="AK1485" s="54"/>
      <c r="AL1485" s="54"/>
      <c r="AM1485" s="54"/>
      <c r="AN1485" s="54"/>
      <c r="AO1485" s="54"/>
      <c r="AP1485" s="54"/>
      <c r="AQ1485" s="54"/>
      <c r="AR1485" s="54"/>
      <c r="AS1485" s="54"/>
      <c r="AT1485" s="54"/>
      <c r="AU1485" s="54"/>
      <c r="AV1485" s="54"/>
      <c r="AW1485" s="54"/>
      <c r="AX1485" s="54"/>
      <c r="AY1485" s="54"/>
      <c r="AZ1485" s="54"/>
      <c r="BA1485" s="54"/>
      <c r="BB1485" s="54"/>
      <c r="BC1485" s="56"/>
      <c r="BD1485" s="51"/>
      <c r="BE1485" s="54"/>
      <c r="BF1485" s="54"/>
      <c r="BG1485" s="47"/>
      <c r="BH1485" s="48"/>
      <c r="BI1485" s="48"/>
      <c r="BJ1485" s="48"/>
      <c r="BK1485" s="48"/>
      <c r="BL1485" s="48"/>
      <c r="BM1485" s="48"/>
      <c r="BN1485" s="48"/>
      <c r="BO1485" s="48"/>
      <c r="BP1485" s="48"/>
      <c r="BQ1485" s="48"/>
      <c r="BR1485" s="48"/>
      <c r="BS1485" s="48"/>
      <c r="BT1485" s="48"/>
      <c r="BU1485" s="48"/>
      <c r="BV1485" s="48"/>
      <c r="BW1485" s="48"/>
      <c r="BX1485" s="48"/>
      <c r="BY1485" s="48"/>
      <c r="BZ1485" s="48"/>
      <c r="CA1485" s="48"/>
      <c r="CB1485" s="48"/>
      <c r="CC1485" s="48"/>
      <c r="CD1485" s="48"/>
      <c r="CE1485" s="48"/>
      <c r="CF1485" s="52"/>
      <c r="CG1485" s="52"/>
      <c r="CH1485" s="48"/>
      <c r="CI1485" s="48"/>
      <c r="CJ1485" s="48"/>
      <c r="CK1485" s="48"/>
    </row>
    <row r="1486" spans="1:89" ht="15.75" customHeight="1" x14ac:dyDescent="0.3">
      <c r="A1486" s="47"/>
      <c r="B1486" s="48"/>
      <c r="C1486" s="47"/>
      <c r="D1486" s="48"/>
      <c r="E1486" s="48"/>
      <c r="F1486" s="48"/>
      <c r="G1486" s="48"/>
      <c r="H1486" s="48"/>
      <c r="I1486" s="49"/>
      <c r="J1486" s="47"/>
      <c r="K1486" s="47"/>
      <c r="L1486" s="47"/>
      <c r="M1486" s="47"/>
      <c r="N1486" s="47"/>
      <c r="O1486" s="47"/>
      <c r="P1486" s="47"/>
      <c r="Q1486" s="47"/>
      <c r="R1486" s="47"/>
      <c r="S1486" s="50"/>
      <c r="T1486" s="47"/>
      <c r="U1486" s="47"/>
      <c r="V1486" s="47"/>
      <c r="W1486" s="51"/>
      <c r="X1486" s="51"/>
      <c r="Y1486" s="47"/>
      <c r="Z1486" s="47"/>
      <c r="AA1486" s="47"/>
      <c r="AB1486" s="47"/>
      <c r="AC1486" s="47"/>
      <c r="AD1486" s="47"/>
      <c r="AE1486" s="54"/>
      <c r="AF1486" s="54"/>
      <c r="AG1486" s="55"/>
      <c r="AH1486" s="54"/>
      <c r="AI1486" s="54"/>
      <c r="AJ1486" s="54"/>
      <c r="AK1486" s="54"/>
      <c r="AL1486" s="54"/>
      <c r="AM1486" s="54"/>
      <c r="AN1486" s="54"/>
      <c r="AO1486" s="54"/>
      <c r="AP1486" s="54"/>
      <c r="AQ1486" s="54"/>
      <c r="AR1486" s="54"/>
      <c r="AS1486" s="54"/>
      <c r="AT1486" s="54"/>
      <c r="AU1486" s="54"/>
      <c r="AV1486" s="54"/>
      <c r="AW1486" s="54"/>
      <c r="AX1486" s="54"/>
      <c r="AY1486" s="54"/>
      <c r="AZ1486" s="54"/>
      <c r="BA1486" s="54"/>
      <c r="BB1486" s="54"/>
      <c r="BC1486" s="56"/>
      <c r="BD1486" s="51"/>
      <c r="BE1486" s="54"/>
      <c r="BF1486" s="54"/>
      <c r="BG1486" s="47"/>
      <c r="BH1486" s="48"/>
      <c r="BI1486" s="48"/>
      <c r="BJ1486" s="48"/>
      <c r="BK1486" s="48"/>
      <c r="BL1486" s="48"/>
      <c r="BM1486" s="48"/>
      <c r="BN1486" s="48"/>
      <c r="BO1486" s="48"/>
      <c r="BP1486" s="48"/>
      <c r="BQ1486" s="48"/>
      <c r="BR1486" s="48"/>
      <c r="BS1486" s="48"/>
      <c r="BT1486" s="48"/>
      <c r="BU1486" s="48"/>
      <c r="BV1486" s="48"/>
      <c r="BW1486" s="48"/>
      <c r="BX1486" s="48"/>
      <c r="BY1486" s="48"/>
      <c r="BZ1486" s="48"/>
      <c r="CA1486" s="48"/>
      <c r="CB1486" s="48"/>
      <c r="CC1486" s="48"/>
      <c r="CD1486" s="48"/>
      <c r="CE1486" s="48"/>
      <c r="CF1486" s="52"/>
      <c r="CG1486" s="52"/>
      <c r="CH1486" s="48"/>
      <c r="CI1486" s="48"/>
      <c r="CJ1486" s="48"/>
      <c r="CK1486" s="48"/>
    </row>
    <row r="1487" spans="1:89" ht="15.75" customHeight="1" x14ac:dyDescent="0.3">
      <c r="A1487" s="47"/>
      <c r="B1487" s="48"/>
      <c r="C1487" s="47"/>
      <c r="D1487" s="48"/>
      <c r="E1487" s="48"/>
      <c r="F1487" s="48"/>
      <c r="G1487" s="48"/>
      <c r="H1487" s="48"/>
      <c r="I1487" s="49"/>
      <c r="J1487" s="47"/>
      <c r="K1487" s="47"/>
      <c r="L1487" s="47"/>
      <c r="M1487" s="47"/>
      <c r="N1487" s="47"/>
      <c r="O1487" s="47"/>
      <c r="P1487" s="47"/>
      <c r="Q1487" s="47"/>
      <c r="R1487" s="47"/>
      <c r="S1487" s="50"/>
      <c r="T1487" s="47"/>
      <c r="U1487" s="47"/>
      <c r="V1487" s="47"/>
      <c r="W1487" s="51"/>
      <c r="X1487" s="51"/>
      <c r="Y1487" s="47"/>
      <c r="Z1487" s="47"/>
      <c r="AA1487" s="47"/>
      <c r="AB1487" s="47"/>
      <c r="AC1487" s="47"/>
      <c r="AD1487" s="47"/>
      <c r="AE1487" s="54"/>
      <c r="AF1487" s="54"/>
      <c r="AG1487" s="55"/>
      <c r="AH1487" s="54"/>
      <c r="AI1487" s="54"/>
      <c r="AJ1487" s="54"/>
      <c r="AK1487" s="54"/>
      <c r="AL1487" s="54"/>
      <c r="AM1487" s="54"/>
      <c r="AN1487" s="54"/>
      <c r="AO1487" s="54"/>
      <c r="AP1487" s="54"/>
      <c r="AQ1487" s="54"/>
      <c r="AR1487" s="54"/>
      <c r="AS1487" s="54"/>
      <c r="AT1487" s="54"/>
      <c r="AU1487" s="54"/>
      <c r="AV1487" s="54"/>
      <c r="AW1487" s="54"/>
      <c r="AX1487" s="54"/>
      <c r="AY1487" s="54"/>
      <c r="AZ1487" s="54"/>
      <c r="BA1487" s="54"/>
      <c r="BB1487" s="54"/>
      <c r="BC1487" s="56"/>
      <c r="BD1487" s="51"/>
      <c r="BE1487" s="54"/>
      <c r="BF1487" s="54"/>
      <c r="BG1487" s="47"/>
      <c r="BH1487" s="48"/>
      <c r="BI1487" s="48"/>
      <c r="BJ1487" s="48"/>
      <c r="BK1487" s="48"/>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52"/>
      <c r="CG1487" s="52"/>
      <c r="CH1487" s="48"/>
      <c r="CI1487" s="48"/>
      <c r="CJ1487" s="48"/>
      <c r="CK1487" s="48"/>
    </row>
    <row r="1488" spans="1:89" ht="15.75" customHeight="1" x14ac:dyDescent="0.3">
      <c r="A1488" s="47"/>
      <c r="B1488" s="48"/>
      <c r="C1488" s="47"/>
      <c r="D1488" s="48"/>
      <c r="E1488" s="48"/>
      <c r="F1488" s="48"/>
      <c r="G1488" s="48"/>
      <c r="H1488" s="48"/>
      <c r="I1488" s="49"/>
      <c r="J1488" s="47"/>
      <c r="K1488" s="47"/>
      <c r="L1488" s="47"/>
      <c r="M1488" s="47"/>
      <c r="N1488" s="47"/>
      <c r="O1488" s="47"/>
      <c r="P1488" s="47"/>
      <c r="Q1488" s="47"/>
      <c r="R1488" s="47"/>
      <c r="S1488" s="50"/>
      <c r="T1488" s="47"/>
      <c r="U1488" s="47"/>
      <c r="V1488" s="47"/>
      <c r="W1488" s="51"/>
      <c r="X1488" s="51"/>
      <c r="Y1488" s="47"/>
      <c r="Z1488" s="47"/>
      <c r="AA1488" s="47"/>
      <c r="AB1488" s="47"/>
      <c r="AC1488" s="47"/>
      <c r="AD1488" s="47"/>
      <c r="AE1488" s="54"/>
      <c r="AF1488" s="54"/>
      <c r="AG1488" s="55"/>
      <c r="AH1488" s="54"/>
      <c r="AI1488" s="54"/>
      <c r="AJ1488" s="54"/>
      <c r="AK1488" s="54"/>
      <c r="AL1488" s="54"/>
      <c r="AM1488" s="54"/>
      <c r="AN1488" s="54"/>
      <c r="AO1488" s="54"/>
      <c r="AP1488" s="54"/>
      <c r="AQ1488" s="54"/>
      <c r="AR1488" s="54"/>
      <c r="AS1488" s="54"/>
      <c r="AT1488" s="54"/>
      <c r="AU1488" s="54"/>
      <c r="AV1488" s="54"/>
      <c r="AW1488" s="54"/>
      <c r="AX1488" s="54"/>
      <c r="AY1488" s="54"/>
      <c r="AZ1488" s="54"/>
      <c r="BA1488" s="54"/>
      <c r="BB1488" s="54"/>
      <c r="BC1488" s="56"/>
      <c r="BD1488" s="51"/>
      <c r="BE1488" s="54"/>
      <c r="BF1488" s="54"/>
      <c r="BG1488" s="47"/>
      <c r="BH1488" s="48"/>
      <c r="BI1488" s="48"/>
      <c r="BJ1488" s="48"/>
      <c r="BK1488" s="48"/>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52"/>
      <c r="CG1488" s="52"/>
      <c r="CH1488" s="48"/>
      <c r="CI1488" s="48"/>
      <c r="CJ1488" s="48"/>
      <c r="CK1488" s="48"/>
    </row>
    <row r="1489" spans="1:89" ht="15.75" customHeight="1" x14ac:dyDescent="0.3">
      <c r="A1489" s="47"/>
      <c r="B1489" s="48"/>
      <c r="C1489" s="47"/>
      <c r="D1489" s="48"/>
      <c r="E1489" s="48"/>
      <c r="F1489" s="48"/>
      <c r="G1489" s="48"/>
      <c r="H1489" s="48"/>
      <c r="I1489" s="49"/>
      <c r="J1489" s="47"/>
      <c r="K1489" s="47"/>
      <c r="L1489" s="47"/>
      <c r="M1489" s="47"/>
      <c r="N1489" s="47"/>
      <c r="O1489" s="47"/>
      <c r="P1489" s="47"/>
      <c r="Q1489" s="47"/>
      <c r="R1489" s="47"/>
      <c r="S1489" s="50"/>
      <c r="T1489" s="47"/>
      <c r="U1489" s="47"/>
      <c r="V1489" s="47"/>
      <c r="W1489" s="51"/>
      <c r="X1489" s="51"/>
      <c r="Y1489" s="47"/>
      <c r="Z1489" s="47"/>
      <c r="AA1489" s="47"/>
      <c r="AB1489" s="47"/>
      <c r="AC1489" s="47"/>
      <c r="AD1489" s="47"/>
      <c r="AE1489" s="54"/>
      <c r="AF1489" s="54"/>
      <c r="AG1489" s="55"/>
      <c r="AH1489" s="54"/>
      <c r="AI1489" s="54"/>
      <c r="AJ1489" s="54"/>
      <c r="AK1489" s="54"/>
      <c r="AL1489" s="54"/>
      <c r="AM1489" s="54"/>
      <c r="AN1489" s="54"/>
      <c r="AO1489" s="54"/>
      <c r="AP1489" s="54"/>
      <c r="AQ1489" s="54"/>
      <c r="AR1489" s="54"/>
      <c r="AS1489" s="54"/>
      <c r="AT1489" s="54"/>
      <c r="AU1489" s="54"/>
      <c r="AV1489" s="54"/>
      <c r="AW1489" s="54"/>
      <c r="AX1489" s="54"/>
      <c r="AY1489" s="54"/>
      <c r="AZ1489" s="54"/>
      <c r="BA1489" s="54"/>
      <c r="BB1489" s="54"/>
      <c r="BC1489" s="56"/>
      <c r="BD1489" s="51"/>
      <c r="BE1489" s="54"/>
      <c r="BF1489" s="54"/>
      <c r="BG1489" s="47"/>
      <c r="BH1489" s="48"/>
      <c r="BI1489" s="48"/>
      <c r="BJ1489" s="48"/>
      <c r="BK1489" s="48"/>
      <c r="BL1489" s="48"/>
      <c r="BM1489" s="48"/>
      <c r="BN1489" s="48"/>
      <c r="BO1489" s="48"/>
      <c r="BP1489" s="48"/>
      <c r="BQ1489" s="48"/>
      <c r="BR1489" s="48"/>
      <c r="BS1489" s="48"/>
      <c r="BT1489" s="48"/>
      <c r="BU1489" s="48"/>
      <c r="BV1489" s="48"/>
      <c r="BW1489" s="48"/>
      <c r="BX1489" s="48"/>
      <c r="BY1489" s="48"/>
      <c r="BZ1489" s="48"/>
      <c r="CA1489" s="48"/>
      <c r="CB1489" s="48"/>
      <c r="CC1489" s="48"/>
      <c r="CD1489" s="48"/>
      <c r="CE1489" s="48"/>
      <c r="CF1489" s="52"/>
      <c r="CG1489" s="52"/>
      <c r="CH1489" s="48"/>
      <c r="CI1489" s="48"/>
      <c r="CJ1489" s="48"/>
      <c r="CK1489" s="48"/>
    </row>
    <row r="1490" spans="1:89" ht="15.75" customHeight="1" x14ac:dyDescent="0.3">
      <c r="A1490" s="47"/>
      <c r="B1490" s="48"/>
      <c r="C1490" s="47"/>
      <c r="D1490" s="48"/>
      <c r="E1490" s="48"/>
      <c r="F1490" s="48"/>
      <c r="G1490" s="48"/>
      <c r="H1490" s="48"/>
      <c r="I1490" s="49"/>
      <c r="J1490" s="47"/>
      <c r="K1490" s="47"/>
      <c r="L1490" s="47"/>
      <c r="M1490" s="47"/>
      <c r="N1490" s="47"/>
      <c r="O1490" s="47"/>
      <c r="P1490" s="47"/>
      <c r="Q1490" s="47"/>
      <c r="R1490" s="47"/>
      <c r="S1490" s="50"/>
      <c r="T1490" s="47"/>
      <c r="U1490" s="47"/>
      <c r="V1490" s="47"/>
      <c r="W1490" s="51"/>
      <c r="X1490" s="51"/>
      <c r="Y1490" s="47"/>
      <c r="Z1490" s="47"/>
      <c r="AA1490" s="47"/>
      <c r="AB1490" s="47"/>
      <c r="AC1490" s="47"/>
      <c r="AD1490" s="47"/>
      <c r="AE1490" s="54"/>
      <c r="AF1490" s="54"/>
      <c r="AG1490" s="55"/>
      <c r="AH1490" s="54"/>
      <c r="AI1490" s="54"/>
      <c r="AJ1490" s="54"/>
      <c r="AK1490" s="54"/>
      <c r="AL1490" s="54"/>
      <c r="AM1490" s="54"/>
      <c r="AN1490" s="54"/>
      <c r="AO1490" s="54"/>
      <c r="AP1490" s="54"/>
      <c r="AQ1490" s="54"/>
      <c r="AR1490" s="54"/>
      <c r="AS1490" s="54"/>
      <c r="AT1490" s="54"/>
      <c r="AU1490" s="54"/>
      <c r="AV1490" s="54"/>
      <c r="AW1490" s="54"/>
      <c r="AX1490" s="54"/>
      <c r="AY1490" s="54"/>
      <c r="AZ1490" s="54"/>
      <c r="BA1490" s="54"/>
      <c r="BB1490" s="54"/>
      <c r="BC1490" s="56"/>
      <c r="BD1490" s="51"/>
      <c r="BE1490" s="54"/>
      <c r="BF1490" s="54"/>
      <c r="BG1490" s="47"/>
      <c r="BH1490" s="48"/>
      <c r="BI1490" s="48"/>
      <c r="BJ1490" s="48"/>
      <c r="BK1490" s="48"/>
      <c r="BL1490" s="48"/>
      <c r="BM1490" s="48"/>
      <c r="BN1490" s="48"/>
      <c r="BO1490" s="48"/>
      <c r="BP1490" s="48"/>
      <c r="BQ1490" s="48"/>
      <c r="BR1490" s="48"/>
      <c r="BS1490" s="48"/>
      <c r="BT1490" s="48"/>
      <c r="BU1490" s="48"/>
      <c r="BV1490" s="48"/>
      <c r="BW1490" s="48"/>
      <c r="BX1490" s="48"/>
      <c r="BY1490" s="48"/>
      <c r="BZ1490" s="48"/>
      <c r="CA1490" s="48"/>
      <c r="CB1490" s="48"/>
      <c r="CC1490" s="48"/>
      <c r="CD1490" s="48"/>
      <c r="CE1490" s="48"/>
      <c r="CF1490" s="52"/>
      <c r="CG1490" s="52"/>
      <c r="CH1490" s="48"/>
      <c r="CI1490" s="48"/>
      <c r="CJ1490" s="48"/>
      <c r="CK1490" s="48"/>
    </row>
    <row r="1491" spans="1:89" ht="15.75" customHeight="1" x14ac:dyDescent="0.3">
      <c r="A1491" s="47"/>
      <c r="B1491" s="48"/>
      <c r="C1491" s="47"/>
      <c r="D1491" s="48"/>
      <c r="E1491" s="48"/>
      <c r="F1491" s="48"/>
      <c r="G1491" s="48"/>
      <c r="H1491" s="48"/>
      <c r="I1491" s="49"/>
      <c r="J1491" s="47"/>
      <c r="K1491" s="47"/>
      <c r="L1491" s="47"/>
      <c r="M1491" s="47"/>
      <c r="N1491" s="47"/>
      <c r="O1491" s="47"/>
      <c r="P1491" s="47"/>
      <c r="Q1491" s="47"/>
      <c r="R1491" s="47"/>
      <c r="S1491" s="50"/>
      <c r="T1491" s="47"/>
      <c r="U1491" s="47"/>
      <c r="V1491" s="47"/>
      <c r="W1491" s="51"/>
      <c r="X1491" s="51"/>
      <c r="Y1491" s="47"/>
      <c r="Z1491" s="47"/>
      <c r="AA1491" s="47"/>
      <c r="AB1491" s="47"/>
      <c r="AC1491" s="47"/>
      <c r="AD1491" s="47"/>
      <c r="AE1491" s="54"/>
      <c r="AF1491" s="54"/>
      <c r="AG1491" s="55"/>
      <c r="AH1491" s="54"/>
      <c r="AI1491" s="54"/>
      <c r="AJ1491" s="54"/>
      <c r="AK1491" s="54"/>
      <c r="AL1491" s="54"/>
      <c r="AM1491" s="54"/>
      <c r="AN1491" s="54"/>
      <c r="AO1491" s="54"/>
      <c r="AP1491" s="54"/>
      <c r="AQ1491" s="54"/>
      <c r="AR1491" s="54"/>
      <c r="AS1491" s="54"/>
      <c r="AT1491" s="54"/>
      <c r="AU1491" s="54"/>
      <c r="AV1491" s="54"/>
      <c r="AW1491" s="54"/>
      <c r="AX1491" s="54"/>
      <c r="AY1491" s="54"/>
      <c r="AZ1491" s="54"/>
      <c r="BA1491" s="54"/>
      <c r="BB1491" s="54"/>
      <c r="BC1491" s="56"/>
      <c r="BD1491" s="51"/>
      <c r="BE1491" s="54"/>
      <c r="BF1491" s="54"/>
      <c r="BG1491" s="47"/>
      <c r="BH1491" s="48"/>
      <c r="BI1491" s="48"/>
      <c r="BJ1491" s="48"/>
      <c r="BK1491" s="48"/>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52"/>
      <c r="CG1491" s="52"/>
      <c r="CH1491" s="48"/>
      <c r="CI1491" s="48"/>
      <c r="CJ1491" s="48"/>
      <c r="CK1491" s="48"/>
    </row>
    <row r="1492" spans="1:89" ht="15.75" customHeight="1" x14ac:dyDescent="0.3">
      <c r="A1492" s="47"/>
      <c r="B1492" s="48"/>
      <c r="C1492" s="47"/>
      <c r="D1492" s="48"/>
      <c r="E1492" s="48"/>
      <c r="F1492" s="48"/>
      <c r="G1492" s="48"/>
      <c r="H1492" s="48"/>
      <c r="I1492" s="49"/>
      <c r="J1492" s="47"/>
      <c r="K1492" s="47"/>
      <c r="L1492" s="47"/>
      <c r="M1492" s="47"/>
      <c r="N1492" s="47"/>
      <c r="O1492" s="47"/>
      <c r="P1492" s="47"/>
      <c r="Q1492" s="47"/>
      <c r="R1492" s="47"/>
      <c r="S1492" s="50"/>
      <c r="T1492" s="47"/>
      <c r="U1492" s="47"/>
      <c r="V1492" s="47"/>
      <c r="W1492" s="51"/>
      <c r="X1492" s="51"/>
      <c r="Y1492" s="47"/>
      <c r="Z1492" s="47"/>
      <c r="AA1492" s="47"/>
      <c r="AB1492" s="47"/>
      <c r="AC1492" s="47"/>
      <c r="AD1492" s="47"/>
      <c r="AE1492" s="54"/>
      <c r="AF1492" s="54"/>
      <c r="AG1492" s="55"/>
      <c r="AH1492" s="54"/>
      <c r="AI1492" s="54"/>
      <c r="AJ1492" s="54"/>
      <c r="AK1492" s="54"/>
      <c r="AL1492" s="54"/>
      <c r="AM1492" s="54"/>
      <c r="AN1492" s="54"/>
      <c r="AO1492" s="54"/>
      <c r="AP1492" s="54"/>
      <c r="AQ1492" s="54"/>
      <c r="AR1492" s="54"/>
      <c r="AS1492" s="54"/>
      <c r="AT1492" s="54"/>
      <c r="AU1492" s="54"/>
      <c r="AV1492" s="54"/>
      <c r="AW1492" s="54"/>
      <c r="AX1492" s="54"/>
      <c r="AY1492" s="54"/>
      <c r="AZ1492" s="54"/>
      <c r="BA1492" s="54"/>
      <c r="BB1492" s="54"/>
      <c r="BC1492" s="56"/>
      <c r="BD1492" s="51"/>
      <c r="BE1492" s="54"/>
      <c r="BF1492" s="54"/>
      <c r="BG1492" s="47"/>
      <c r="BH1492" s="48"/>
      <c r="BI1492" s="48"/>
      <c r="BJ1492" s="48"/>
      <c r="BK1492" s="48"/>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52"/>
      <c r="CG1492" s="52"/>
      <c r="CH1492" s="48"/>
      <c r="CI1492" s="48"/>
      <c r="CJ1492" s="48"/>
      <c r="CK1492" s="48"/>
    </row>
    <row r="1493" spans="1:89" ht="15.75" customHeight="1" x14ac:dyDescent="0.3">
      <c r="A1493" s="47"/>
      <c r="B1493" s="48"/>
      <c r="C1493" s="47"/>
      <c r="D1493" s="48"/>
      <c r="E1493" s="48"/>
      <c r="F1493" s="48"/>
      <c r="G1493" s="48"/>
      <c r="H1493" s="48"/>
      <c r="I1493" s="49"/>
      <c r="J1493" s="47"/>
      <c r="K1493" s="47"/>
      <c r="L1493" s="47"/>
      <c r="M1493" s="47"/>
      <c r="N1493" s="47"/>
      <c r="O1493" s="47"/>
      <c r="P1493" s="47"/>
      <c r="Q1493" s="47"/>
      <c r="R1493" s="47"/>
      <c r="S1493" s="50"/>
      <c r="T1493" s="47"/>
      <c r="U1493" s="47"/>
      <c r="V1493" s="47"/>
      <c r="W1493" s="51"/>
      <c r="X1493" s="51"/>
      <c r="Y1493" s="47"/>
      <c r="Z1493" s="47"/>
      <c r="AA1493" s="47"/>
      <c r="AB1493" s="47"/>
      <c r="AC1493" s="47"/>
      <c r="AD1493" s="47"/>
      <c r="AE1493" s="54"/>
      <c r="AF1493" s="54"/>
      <c r="AG1493" s="55"/>
      <c r="AH1493" s="54"/>
      <c r="AI1493" s="54"/>
      <c r="AJ1493" s="54"/>
      <c r="AK1493" s="54"/>
      <c r="AL1493" s="54"/>
      <c r="AM1493" s="54"/>
      <c r="AN1493" s="54"/>
      <c r="AO1493" s="54"/>
      <c r="AP1493" s="54"/>
      <c r="AQ1493" s="54"/>
      <c r="AR1493" s="54"/>
      <c r="AS1493" s="54"/>
      <c r="AT1493" s="54"/>
      <c r="AU1493" s="54"/>
      <c r="AV1493" s="54"/>
      <c r="AW1493" s="54"/>
      <c r="AX1493" s="54"/>
      <c r="AY1493" s="54"/>
      <c r="AZ1493" s="54"/>
      <c r="BA1493" s="54"/>
      <c r="BB1493" s="54"/>
      <c r="BC1493" s="56"/>
      <c r="BD1493" s="51"/>
      <c r="BE1493" s="54"/>
      <c r="BF1493" s="54"/>
      <c r="BG1493" s="47"/>
      <c r="BH1493" s="48"/>
      <c r="BI1493" s="48"/>
      <c r="BJ1493" s="48"/>
      <c r="BK1493" s="48"/>
      <c r="BL1493" s="48"/>
      <c r="BM1493" s="48"/>
      <c r="BN1493" s="48"/>
      <c r="BO1493" s="48"/>
      <c r="BP1493" s="48"/>
      <c r="BQ1493" s="48"/>
      <c r="BR1493" s="48"/>
      <c r="BS1493" s="48"/>
      <c r="BT1493" s="48"/>
      <c r="BU1493" s="48"/>
      <c r="BV1493" s="48"/>
      <c r="BW1493" s="48"/>
      <c r="BX1493" s="48"/>
      <c r="BY1493" s="48"/>
      <c r="BZ1493" s="48"/>
      <c r="CA1493" s="48"/>
      <c r="CB1493" s="48"/>
      <c r="CC1493" s="48"/>
      <c r="CD1493" s="48"/>
      <c r="CE1493" s="48"/>
      <c r="CF1493" s="52"/>
      <c r="CG1493" s="52"/>
      <c r="CH1493" s="48"/>
      <c r="CI1493" s="48"/>
      <c r="CJ1493" s="48"/>
      <c r="CK1493" s="48"/>
    </row>
    <row r="1494" spans="1:89" ht="15.75" customHeight="1" x14ac:dyDescent="0.3">
      <c r="A1494" s="47"/>
      <c r="B1494" s="48"/>
      <c r="C1494" s="47"/>
      <c r="D1494" s="48"/>
      <c r="E1494" s="48"/>
      <c r="F1494" s="48"/>
      <c r="G1494" s="48"/>
      <c r="H1494" s="48"/>
      <c r="I1494" s="49"/>
      <c r="J1494" s="47"/>
      <c r="K1494" s="47"/>
      <c r="L1494" s="47"/>
      <c r="M1494" s="47"/>
      <c r="N1494" s="47"/>
      <c r="O1494" s="47"/>
      <c r="P1494" s="47"/>
      <c r="Q1494" s="47"/>
      <c r="R1494" s="47"/>
      <c r="S1494" s="50"/>
      <c r="T1494" s="47"/>
      <c r="U1494" s="47"/>
      <c r="V1494" s="47"/>
      <c r="W1494" s="51"/>
      <c r="X1494" s="51"/>
      <c r="Y1494" s="47"/>
      <c r="Z1494" s="47"/>
      <c r="AA1494" s="47"/>
      <c r="AB1494" s="47"/>
      <c r="AC1494" s="47"/>
      <c r="AD1494" s="47"/>
      <c r="AE1494" s="54"/>
      <c r="AF1494" s="54"/>
      <c r="AG1494" s="55"/>
      <c r="AH1494" s="54"/>
      <c r="AI1494" s="54"/>
      <c r="AJ1494" s="54"/>
      <c r="AK1494" s="54"/>
      <c r="AL1494" s="54"/>
      <c r="AM1494" s="54"/>
      <c r="AN1494" s="54"/>
      <c r="AO1494" s="54"/>
      <c r="AP1494" s="54"/>
      <c r="AQ1494" s="54"/>
      <c r="AR1494" s="54"/>
      <c r="AS1494" s="54"/>
      <c r="AT1494" s="54"/>
      <c r="AU1494" s="54"/>
      <c r="AV1494" s="54"/>
      <c r="AW1494" s="54"/>
      <c r="AX1494" s="54"/>
      <c r="AY1494" s="54"/>
      <c r="AZ1494" s="54"/>
      <c r="BA1494" s="54"/>
      <c r="BB1494" s="54"/>
      <c r="BC1494" s="56"/>
      <c r="BD1494" s="51"/>
      <c r="BE1494" s="54"/>
      <c r="BF1494" s="54"/>
      <c r="BG1494" s="47"/>
      <c r="BH1494" s="48"/>
      <c r="BI1494" s="48"/>
      <c r="BJ1494" s="48"/>
      <c r="BK1494" s="48"/>
      <c r="BL1494" s="48"/>
      <c r="BM1494" s="48"/>
      <c r="BN1494" s="48"/>
      <c r="BO1494" s="48"/>
      <c r="BP1494" s="48"/>
      <c r="BQ1494" s="48"/>
      <c r="BR1494" s="48"/>
      <c r="BS1494" s="48"/>
      <c r="BT1494" s="48"/>
      <c r="BU1494" s="48"/>
      <c r="BV1494" s="48"/>
      <c r="BW1494" s="48"/>
      <c r="BX1494" s="48"/>
      <c r="BY1494" s="48"/>
      <c r="BZ1494" s="48"/>
      <c r="CA1494" s="48"/>
      <c r="CB1494" s="48"/>
      <c r="CC1494" s="48"/>
      <c r="CD1494" s="48"/>
      <c r="CE1494" s="48"/>
      <c r="CF1494" s="52"/>
      <c r="CG1494" s="52"/>
      <c r="CH1494" s="48"/>
      <c r="CI1494" s="48"/>
      <c r="CJ1494" s="48"/>
      <c r="CK1494" s="48"/>
    </row>
    <row r="1495" spans="1:89" ht="15.75" customHeight="1" x14ac:dyDescent="0.3">
      <c r="A1495" s="47"/>
      <c r="B1495" s="48"/>
      <c r="C1495" s="47"/>
      <c r="D1495" s="48"/>
      <c r="E1495" s="48"/>
      <c r="F1495" s="48"/>
      <c r="G1495" s="48"/>
      <c r="H1495" s="48"/>
      <c r="I1495" s="49"/>
      <c r="J1495" s="47"/>
      <c r="K1495" s="47"/>
      <c r="L1495" s="47"/>
      <c r="M1495" s="47"/>
      <c r="N1495" s="47"/>
      <c r="O1495" s="47"/>
      <c r="P1495" s="47"/>
      <c r="Q1495" s="47"/>
      <c r="R1495" s="47"/>
      <c r="S1495" s="50"/>
      <c r="T1495" s="47"/>
      <c r="U1495" s="47"/>
      <c r="V1495" s="47"/>
      <c r="W1495" s="51"/>
      <c r="X1495" s="51"/>
      <c r="Y1495" s="47"/>
      <c r="Z1495" s="47"/>
      <c r="AA1495" s="47"/>
      <c r="AB1495" s="47"/>
      <c r="AC1495" s="47"/>
      <c r="AD1495" s="47"/>
      <c r="AE1495" s="54"/>
      <c r="AF1495" s="54"/>
      <c r="AG1495" s="55"/>
      <c r="AH1495" s="54"/>
      <c r="AI1495" s="54"/>
      <c r="AJ1495" s="54"/>
      <c r="AK1495" s="54"/>
      <c r="AL1495" s="54"/>
      <c r="AM1495" s="54"/>
      <c r="AN1495" s="54"/>
      <c r="AO1495" s="54"/>
      <c r="AP1495" s="54"/>
      <c r="AQ1495" s="54"/>
      <c r="AR1495" s="54"/>
      <c r="AS1495" s="54"/>
      <c r="AT1495" s="54"/>
      <c r="AU1495" s="54"/>
      <c r="AV1495" s="54"/>
      <c r="AW1495" s="54"/>
      <c r="AX1495" s="54"/>
      <c r="AY1495" s="54"/>
      <c r="AZ1495" s="54"/>
      <c r="BA1495" s="54"/>
      <c r="BB1495" s="54"/>
      <c r="BC1495" s="56"/>
      <c r="BD1495" s="51"/>
      <c r="BE1495" s="54"/>
      <c r="BF1495" s="54"/>
      <c r="BG1495" s="47"/>
      <c r="BH1495" s="48"/>
      <c r="BI1495" s="48"/>
      <c r="BJ1495" s="48"/>
      <c r="BK1495" s="48"/>
      <c r="BL1495" s="48"/>
      <c r="BM1495" s="48"/>
      <c r="BN1495" s="48"/>
      <c r="BO1495" s="48"/>
      <c r="BP1495" s="48"/>
      <c r="BQ1495" s="48"/>
      <c r="BR1495" s="48"/>
      <c r="BS1495" s="48"/>
      <c r="BT1495" s="48"/>
      <c r="BU1495" s="48"/>
      <c r="BV1495" s="48"/>
      <c r="BW1495" s="48"/>
      <c r="BX1495" s="48"/>
      <c r="BY1495" s="48"/>
      <c r="BZ1495" s="48"/>
      <c r="CA1495" s="48"/>
      <c r="CB1495" s="48"/>
      <c r="CC1495" s="48"/>
      <c r="CD1495" s="48"/>
      <c r="CE1495" s="48"/>
      <c r="CF1495" s="52"/>
      <c r="CG1495" s="52"/>
      <c r="CH1495" s="48"/>
      <c r="CI1495" s="48"/>
      <c r="CJ1495" s="48"/>
      <c r="CK1495" s="48"/>
    </row>
    <row r="1496" spans="1:89" ht="15.75" customHeight="1" x14ac:dyDescent="0.3">
      <c r="A1496" s="47"/>
      <c r="B1496" s="48"/>
      <c r="C1496" s="47"/>
      <c r="D1496" s="48"/>
      <c r="E1496" s="48"/>
      <c r="F1496" s="48"/>
      <c r="G1496" s="48"/>
      <c r="H1496" s="48"/>
      <c r="I1496" s="49"/>
      <c r="J1496" s="47"/>
      <c r="K1496" s="47"/>
      <c r="L1496" s="47"/>
      <c r="M1496" s="47"/>
      <c r="N1496" s="47"/>
      <c r="O1496" s="47"/>
      <c r="P1496" s="47"/>
      <c r="Q1496" s="47"/>
      <c r="R1496" s="47"/>
      <c r="S1496" s="50"/>
      <c r="T1496" s="47"/>
      <c r="U1496" s="47"/>
      <c r="V1496" s="47"/>
      <c r="W1496" s="51"/>
      <c r="X1496" s="51"/>
      <c r="Y1496" s="47"/>
      <c r="Z1496" s="47"/>
      <c r="AA1496" s="47"/>
      <c r="AB1496" s="47"/>
      <c r="AC1496" s="47"/>
      <c r="AD1496" s="47"/>
      <c r="AE1496" s="54"/>
      <c r="AF1496" s="54"/>
      <c r="AG1496" s="55"/>
      <c r="AH1496" s="54"/>
      <c r="AI1496" s="54"/>
      <c r="AJ1496" s="54"/>
      <c r="AK1496" s="54"/>
      <c r="AL1496" s="54"/>
      <c r="AM1496" s="54"/>
      <c r="AN1496" s="54"/>
      <c r="AO1496" s="54"/>
      <c r="AP1496" s="54"/>
      <c r="AQ1496" s="54"/>
      <c r="AR1496" s="54"/>
      <c r="AS1496" s="54"/>
      <c r="AT1496" s="54"/>
      <c r="AU1496" s="54"/>
      <c r="AV1496" s="54"/>
      <c r="AW1496" s="54"/>
      <c r="AX1496" s="54"/>
      <c r="AY1496" s="54"/>
      <c r="AZ1496" s="54"/>
      <c r="BA1496" s="54"/>
      <c r="BB1496" s="54"/>
      <c r="BC1496" s="56"/>
      <c r="BD1496" s="51"/>
      <c r="BE1496" s="54"/>
      <c r="BF1496" s="54"/>
      <c r="BG1496" s="47"/>
      <c r="BH1496" s="48"/>
      <c r="BI1496" s="48"/>
      <c r="BJ1496" s="48"/>
      <c r="BK1496" s="48"/>
      <c r="BL1496" s="48"/>
      <c r="BM1496" s="48"/>
      <c r="BN1496" s="48"/>
      <c r="BO1496" s="48"/>
      <c r="BP1496" s="48"/>
      <c r="BQ1496" s="48"/>
      <c r="BR1496" s="48"/>
      <c r="BS1496" s="48"/>
      <c r="BT1496" s="48"/>
      <c r="BU1496" s="48"/>
      <c r="BV1496" s="48"/>
      <c r="BW1496" s="48"/>
      <c r="BX1496" s="48"/>
      <c r="BY1496" s="48"/>
      <c r="BZ1496" s="48"/>
      <c r="CA1496" s="48"/>
      <c r="CB1496" s="48"/>
      <c r="CC1496" s="48"/>
      <c r="CD1496" s="48"/>
      <c r="CE1496" s="48"/>
      <c r="CF1496" s="52"/>
      <c r="CG1496" s="52"/>
      <c r="CH1496" s="48"/>
      <c r="CI1496" s="48"/>
      <c r="CJ1496" s="48"/>
      <c r="CK1496" s="48"/>
    </row>
    <row r="1497" spans="1:89" ht="15.75" customHeight="1" x14ac:dyDescent="0.3">
      <c r="A1497" s="47"/>
      <c r="B1497" s="48"/>
      <c r="C1497" s="47"/>
      <c r="D1497" s="48"/>
      <c r="E1497" s="48"/>
      <c r="F1497" s="48"/>
      <c r="G1497" s="48"/>
      <c r="H1497" s="48"/>
      <c r="I1497" s="49"/>
      <c r="J1497" s="47"/>
      <c r="K1497" s="47"/>
      <c r="L1497" s="47"/>
      <c r="M1497" s="47"/>
      <c r="N1497" s="47"/>
      <c r="O1497" s="47"/>
      <c r="P1497" s="47"/>
      <c r="Q1497" s="47"/>
      <c r="R1497" s="47"/>
      <c r="S1497" s="50"/>
      <c r="T1497" s="47"/>
      <c r="U1497" s="47"/>
      <c r="V1497" s="47"/>
      <c r="W1497" s="51"/>
      <c r="X1497" s="51"/>
      <c r="Y1497" s="47"/>
      <c r="Z1497" s="47"/>
      <c r="AA1497" s="47"/>
      <c r="AB1497" s="47"/>
      <c r="AC1497" s="47"/>
      <c r="AD1497" s="47"/>
      <c r="AE1497" s="54"/>
      <c r="AF1497" s="54"/>
      <c r="AG1497" s="55"/>
      <c r="AH1497" s="54"/>
      <c r="AI1497" s="54"/>
      <c r="AJ1497" s="54"/>
      <c r="AK1497" s="54"/>
      <c r="AL1497" s="54"/>
      <c r="AM1497" s="54"/>
      <c r="AN1497" s="54"/>
      <c r="AO1497" s="54"/>
      <c r="AP1497" s="54"/>
      <c r="AQ1497" s="54"/>
      <c r="AR1497" s="54"/>
      <c r="AS1497" s="54"/>
      <c r="AT1497" s="54"/>
      <c r="AU1497" s="54"/>
      <c r="AV1497" s="54"/>
      <c r="AW1497" s="54"/>
      <c r="AX1497" s="54"/>
      <c r="AY1497" s="54"/>
      <c r="AZ1497" s="54"/>
      <c r="BA1497" s="54"/>
      <c r="BB1497" s="54"/>
      <c r="BC1497" s="56"/>
      <c r="BD1497" s="51"/>
      <c r="BE1497" s="54"/>
      <c r="BF1497" s="54"/>
      <c r="BG1497" s="47"/>
      <c r="BH1497" s="48"/>
      <c r="BI1497" s="48"/>
      <c r="BJ1497" s="48"/>
      <c r="BK1497" s="48"/>
      <c r="BL1497" s="48"/>
      <c r="BM1497" s="48"/>
      <c r="BN1497" s="48"/>
      <c r="BO1497" s="48"/>
      <c r="BP1497" s="48"/>
      <c r="BQ1497" s="48"/>
      <c r="BR1497" s="48"/>
      <c r="BS1497" s="48"/>
      <c r="BT1497" s="48"/>
      <c r="BU1497" s="48"/>
      <c r="BV1497" s="48"/>
      <c r="BW1497" s="48"/>
      <c r="BX1497" s="48"/>
      <c r="BY1497" s="48"/>
      <c r="BZ1497" s="48"/>
      <c r="CA1497" s="48"/>
      <c r="CB1497" s="48"/>
      <c r="CC1497" s="48"/>
      <c r="CD1497" s="48"/>
      <c r="CE1497" s="48"/>
      <c r="CF1497" s="52"/>
      <c r="CG1497" s="52"/>
      <c r="CH1497" s="48"/>
      <c r="CI1497" s="48"/>
      <c r="CJ1497" s="48"/>
      <c r="CK1497" s="48"/>
    </row>
    <row r="1498" spans="1:89" ht="15.75" customHeight="1" x14ac:dyDescent="0.3">
      <c r="A1498" s="47"/>
      <c r="B1498" s="48"/>
      <c r="C1498" s="47"/>
      <c r="D1498" s="48"/>
      <c r="E1498" s="48"/>
      <c r="F1498" s="48"/>
      <c r="G1498" s="48"/>
      <c r="H1498" s="48"/>
      <c r="I1498" s="49"/>
      <c r="J1498" s="47"/>
      <c r="K1498" s="47"/>
      <c r="L1498" s="47"/>
      <c r="M1498" s="47"/>
      <c r="N1498" s="47"/>
      <c r="O1498" s="47"/>
      <c r="P1498" s="47"/>
      <c r="Q1498" s="47"/>
      <c r="R1498" s="47"/>
      <c r="S1498" s="50"/>
      <c r="T1498" s="47"/>
      <c r="U1498" s="47"/>
      <c r="V1498" s="47"/>
      <c r="W1498" s="51"/>
      <c r="X1498" s="51"/>
      <c r="Y1498" s="47"/>
      <c r="Z1498" s="47"/>
      <c r="AA1498" s="47"/>
      <c r="AB1498" s="47"/>
      <c r="AC1498" s="47"/>
      <c r="AD1498" s="47"/>
      <c r="AE1498" s="54"/>
      <c r="AF1498" s="54"/>
      <c r="AG1498" s="55"/>
      <c r="AH1498" s="54"/>
      <c r="AI1498" s="54"/>
      <c r="AJ1498" s="54"/>
      <c r="AK1498" s="54"/>
      <c r="AL1498" s="54"/>
      <c r="AM1498" s="54"/>
      <c r="AN1498" s="54"/>
      <c r="AO1498" s="54"/>
      <c r="AP1498" s="54"/>
      <c r="AQ1498" s="54"/>
      <c r="AR1498" s="54"/>
      <c r="AS1498" s="54"/>
      <c r="AT1498" s="54"/>
      <c r="AU1498" s="54"/>
      <c r="AV1498" s="54"/>
      <c r="AW1498" s="54"/>
      <c r="AX1498" s="54"/>
      <c r="AY1498" s="54"/>
      <c r="AZ1498" s="54"/>
      <c r="BA1498" s="54"/>
      <c r="BB1498" s="54"/>
      <c r="BC1498" s="56"/>
      <c r="BD1498" s="51"/>
      <c r="BE1498" s="54"/>
      <c r="BF1498" s="54"/>
      <c r="BG1498" s="47"/>
      <c r="BH1498" s="48"/>
      <c r="BI1498" s="48"/>
      <c r="BJ1498" s="48"/>
      <c r="BK1498" s="48"/>
      <c r="BL1498" s="48"/>
      <c r="BM1498" s="48"/>
      <c r="BN1498" s="48"/>
      <c r="BO1498" s="48"/>
      <c r="BP1498" s="48"/>
      <c r="BQ1498" s="48"/>
      <c r="BR1498" s="48"/>
      <c r="BS1498" s="48"/>
      <c r="BT1498" s="48"/>
      <c r="BU1498" s="48"/>
      <c r="BV1498" s="48"/>
      <c r="BW1498" s="48"/>
      <c r="BX1498" s="48"/>
      <c r="BY1498" s="48"/>
      <c r="BZ1498" s="48"/>
      <c r="CA1498" s="48"/>
      <c r="CB1498" s="48"/>
      <c r="CC1498" s="48"/>
      <c r="CD1498" s="48"/>
      <c r="CE1498" s="48"/>
      <c r="CF1498" s="52"/>
      <c r="CG1498" s="52"/>
      <c r="CH1498" s="48"/>
      <c r="CI1498" s="48"/>
      <c r="CJ1498" s="48"/>
      <c r="CK1498" s="48"/>
    </row>
    <row r="1499" spans="1:89" ht="15.75" customHeight="1" x14ac:dyDescent="0.3">
      <c r="A1499" s="47"/>
      <c r="B1499" s="48"/>
      <c r="C1499" s="47"/>
      <c r="D1499" s="48"/>
      <c r="E1499" s="48"/>
      <c r="F1499" s="48"/>
      <c r="G1499" s="48"/>
      <c r="H1499" s="48"/>
      <c r="I1499" s="49"/>
      <c r="J1499" s="47"/>
      <c r="K1499" s="47"/>
      <c r="L1499" s="47"/>
      <c r="M1499" s="47"/>
      <c r="N1499" s="47"/>
      <c r="O1499" s="47"/>
      <c r="P1499" s="47"/>
      <c r="Q1499" s="47"/>
      <c r="R1499" s="47"/>
      <c r="S1499" s="50"/>
      <c r="T1499" s="47"/>
      <c r="U1499" s="47"/>
      <c r="V1499" s="47"/>
      <c r="W1499" s="51"/>
      <c r="X1499" s="51"/>
      <c r="Y1499" s="47"/>
      <c r="Z1499" s="47"/>
      <c r="AA1499" s="47"/>
      <c r="AB1499" s="47"/>
      <c r="AC1499" s="47"/>
      <c r="AD1499" s="47"/>
      <c r="AE1499" s="54"/>
      <c r="AF1499" s="54"/>
      <c r="AG1499" s="55"/>
      <c r="AH1499" s="54"/>
      <c r="AI1499" s="54"/>
      <c r="AJ1499" s="54"/>
      <c r="AK1499" s="54"/>
      <c r="AL1499" s="54"/>
      <c r="AM1499" s="54"/>
      <c r="AN1499" s="54"/>
      <c r="AO1499" s="54"/>
      <c r="AP1499" s="54"/>
      <c r="AQ1499" s="54"/>
      <c r="AR1499" s="54"/>
      <c r="AS1499" s="54"/>
      <c r="AT1499" s="54"/>
      <c r="AU1499" s="54"/>
      <c r="AV1499" s="54"/>
      <c r="AW1499" s="54"/>
      <c r="AX1499" s="54"/>
      <c r="AY1499" s="54"/>
      <c r="AZ1499" s="54"/>
      <c r="BA1499" s="54"/>
      <c r="BB1499" s="54"/>
      <c r="BC1499" s="56"/>
      <c r="BD1499" s="51"/>
      <c r="BE1499" s="54"/>
      <c r="BF1499" s="54"/>
      <c r="BG1499" s="47"/>
      <c r="BH1499" s="48"/>
      <c r="BI1499" s="48"/>
      <c r="BJ1499" s="48"/>
      <c r="BK1499" s="48"/>
      <c r="BL1499" s="48"/>
      <c r="BM1499" s="48"/>
      <c r="BN1499" s="48"/>
      <c r="BO1499" s="48"/>
      <c r="BP1499" s="48"/>
      <c r="BQ1499" s="48"/>
      <c r="BR1499" s="48"/>
      <c r="BS1499" s="48"/>
      <c r="BT1499" s="48"/>
      <c r="BU1499" s="48"/>
      <c r="BV1499" s="48"/>
      <c r="BW1499" s="48"/>
      <c r="BX1499" s="48"/>
      <c r="BY1499" s="48"/>
      <c r="BZ1499" s="48"/>
      <c r="CA1499" s="48"/>
      <c r="CB1499" s="48"/>
      <c r="CC1499" s="48"/>
      <c r="CD1499" s="48"/>
      <c r="CE1499" s="48"/>
      <c r="CF1499" s="52"/>
      <c r="CG1499" s="52"/>
      <c r="CH1499" s="48"/>
      <c r="CI1499" s="48"/>
      <c r="CJ1499" s="48"/>
      <c r="CK1499" s="48"/>
    </row>
    <row r="1500" spans="1:89" ht="15.75" customHeight="1" x14ac:dyDescent="0.3">
      <c r="A1500" s="47"/>
      <c r="B1500" s="48"/>
      <c r="C1500" s="47"/>
      <c r="D1500" s="48"/>
      <c r="E1500" s="48"/>
      <c r="F1500" s="48"/>
      <c r="G1500" s="48"/>
      <c r="H1500" s="48"/>
      <c r="I1500" s="49"/>
      <c r="J1500" s="47"/>
      <c r="K1500" s="47"/>
      <c r="L1500" s="47"/>
      <c r="M1500" s="47"/>
      <c r="N1500" s="47"/>
      <c r="O1500" s="47"/>
      <c r="P1500" s="47"/>
      <c r="Q1500" s="47"/>
      <c r="R1500" s="47"/>
      <c r="S1500" s="50"/>
      <c r="T1500" s="47"/>
      <c r="U1500" s="47"/>
      <c r="V1500" s="47"/>
      <c r="W1500" s="51"/>
      <c r="X1500" s="51"/>
      <c r="Y1500" s="47"/>
      <c r="Z1500" s="47"/>
      <c r="AA1500" s="47"/>
      <c r="AB1500" s="47"/>
      <c r="AC1500" s="47"/>
      <c r="AD1500" s="47"/>
      <c r="AE1500" s="54"/>
      <c r="AF1500" s="54"/>
      <c r="AG1500" s="55"/>
      <c r="AH1500" s="54"/>
      <c r="AI1500" s="54"/>
      <c r="AJ1500" s="54"/>
      <c r="AK1500" s="54"/>
      <c r="AL1500" s="54"/>
      <c r="AM1500" s="54"/>
      <c r="AN1500" s="54"/>
      <c r="AO1500" s="54"/>
      <c r="AP1500" s="54"/>
      <c r="AQ1500" s="54"/>
      <c r="AR1500" s="54"/>
      <c r="AS1500" s="54"/>
      <c r="AT1500" s="54"/>
      <c r="AU1500" s="54"/>
      <c r="AV1500" s="54"/>
      <c r="AW1500" s="54"/>
      <c r="AX1500" s="54"/>
      <c r="AY1500" s="54"/>
      <c r="AZ1500" s="54"/>
      <c r="BA1500" s="54"/>
      <c r="BB1500" s="54"/>
      <c r="BC1500" s="56"/>
      <c r="BD1500" s="51"/>
      <c r="BE1500" s="54"/>
      <c r="BF1500" s="54"/>
      <c r="BG1500" s="47"/>
      <c r="BH1500" s="48"/>
      <c r="BI1500" s="48"/>
      <c r="BJ1500" s="48"/>
      <c r="BK1500" s="48"/>
      <c r="BL1500" s="48"/>
      <c r="BM1500" s="48"/>
      <c r="BN1500" s="48"/>
      <c r="BO1500" s="48"/>
      <c r="BP1500" s="48"/>
      <c r="BQ1500" s="48"/>
      <c r="BR1500" s="48"/>
      <c r="BS1500" s="48"/>
      <c r="BT1500" s="48"/>
      <c r="BU1500" s="48"/>
      <c r="BV1500" s="48"/>
      <c r="BW1500" s="48"/>
      <c r="BX1500" s="48"/>
      <c r="BY1500" s="48"/>
      <c r="BZ1500" s="48"/>
      <c r="CA1500" s="48"/>
      <c r="CB1500" s="48"/>
      <c r="CC1500" s="48"/>
      <c r="CD1500" s="48"/>
      <c r="CE1500" s="48"/>
      <c r="CF1500" s="52"/>
      <c r="CG1500" s="52"/>
      <c r="CH1500" s="48"/>
      <c r="CI1500" s="48"/>
      <c r="CJ1500" s="48"/>
      <c r="CK1500" s="48"/>
    </row>
    <row r="1501" spans="1:89" ht="15.75" customHeight="1" x14ac:dyDescent="0.3">
      <c r="A1501" s="47"/>
      <c r="B1501" s="48"/>
      <c r="C1501" s="47"/>
      <c r="D1501" s="48"/>
      <c r="E1501" s="48"/>
      <c r="F1501" s="48"/>
      <c r="G1501" s="48"/>
      <c r="H1501" s="48"/>
      <c r="I1501" s="49"/>
      <c r="J1501" s="47"/>
      <c r="K1501" s="47"/>
      <c r="L1501" s="47"/>
      <c r="M1501" s="47"/>
      <c r="N1501" s="47"/>
      <c r="O1501" s="47"/>
      <c r="P1501" s="47"/>
      <c r="Q1501" s="47"/>
      <c r="R1501" s="47"/>
      <c r="S1501" s="50"/>
      <c r="T1501" s="47"/>
      <c r="U1501" s="47"/>
      <c r="V1501" s="47"/>
      <c r="W1501" s="51"/>
      <c r="X1501" s="51"/>
      <c r="Y1501" s="47"/>
      <c r="Z1501" s="47"/>
      <c r="AA1501" s="47"/>
      <c r="AB1501" s="47"/>
      <c r="AC1501" s="47"/>
      <c r="AD1501" s="47"/>
      <c r="AE1501" s="54"/>
      <c r="AF1501" s="54"/>
      <c r="AG1501" s="55"/>
      <c r="AH1501" s="54"/>
      <c r="AI1501" s="54"/>
      <c r="AJ1501" s="54"/>
      <c r="AK1501" s="54"/>
      <c r="AL1501" s="54"/>
      <c r="AM1501" s="54"/>
      <c r="AN1501" s="54"/>
      <c r="AO1501" s="54"/>
      <c r="AP1501" s="54"/>
      <c r="AQ1501" s="54"/>
      <c r="AR1501" s="54"/>
      <c r="AS1501" s="54"/>
      <c r="AT1501" s="54"/>
      <c r="AU1501" s="54"/>
      <c r="AV1501" s="54"/>
      <c r="AW1501" s="54"/>
      <c r="AX1501" s="54"/>
      <c r="AY1501" s="54"/>
      <c r="AZ1501" s="54"/>
      <c r="BA1501" s="54"/>
      <c r="BB1501" s="54"/>
      <c r="BC1501" s="56"/>
      <c r="BD1501" s="51"/>
      <c r="BE1501" s="54"/>
      <c r="BF1501" s="54"/>
      <c r="BG1501" s="47"/>
      <c r="BH1501" s="48"/>
      <c r="BI1501" s="48"/>
      <c r="BJ1501" s="48"/>
      <c r="BK1501" s="48"/>
      <c r="BL1501" s="48"/>
      <c r="BM1501" s="48"/>
      <c r="BN1501" s="48"/>
      <c r="BO1501" s="48"/>
      <c r="BP1501" s="48"/>
      <c r="BQ1501" s="48"/>
      <c r="BR1501" s="48"/>
      <c r="BS1501" s="48"/>
      <c r="BT1501" s="48"/>
      <c r="BU1501" s="48"/>
      <c r="BV1501" s="48"/>
      <c r="BW1501" s="48"/>
      <c r="BX1501" s="48"/>
      <c r="BY1501" s="48"/>
      <c r="BZ1501" s="48"/>
      <c r="CA1501" s="48"/>
      <c r="CB1501" s="48"/>
      <c r="CC1501" s="48"/>
      <c r="CD1501" s="48"/>
      <c r="CE1501" s="48"/>
      <c r="CF1501" s="52"/>
      <c r="CG1501" s="52"/>
      <c r="CH1501" s="48"/>
      <c r="CI1501" s="48"/>
      <c r="CJ1501" s="48"/>
      <c r="CK1501" s="48"/>
    </row>
    <row r="1502" spans="1:89" ht="15.75" customHeight="1" x14ac:dyDescent="0.3">
      <c r="A1502" s="47"/>
      <c r="B1502" s="48"/>
      <c r="C1502" s="47"/>
      <c r="D1502" s="48"/>
      <c r="E1502" s="48"/>
      <c r="F1502" s="48"/>
      <c r="G1502" s="48"/>
      <c r="H1502" s="48"/>
      <c r="I1502" s="49"/>
      <c r="J1502" s="47"/>
      <c r="K1502" s="47"/>
      <c r="L1502" s="47"/>
      <c r="M1502" s="47"/>
      <c r="N1502" s="47"/>
      <c r="O1502" s="47"/>
      <c r="P1502" s="47"/>
      <c r="Q1502" s="47"/>
      <c r="R1502" s="47"/>
      <c r="S1502" s="50"/>
      <c r="T1502" s="47"/>
      <c r="U1502" s="47"/>
      <c r="V1502" s="47"/>
      <c r="W1502" s="51"/>
      <c r="X1502" s="51"/>
      <c r="Y1502" s="47"/>
      <c r="Z1502" s="47"/>
      <c r="AA1502" s="47"/>
      <c r="AB1502" s="47"/>
      <c r="AC1502" s="47"/>
      <c r="AD1502" s="47"/>
      <c r="AE1502" s="54"/>
      <c r="AF1502" s="54"/>
      <c r="AG1502" s="55"/>
      <c r="AH1502" s="54"/>
      <c r="AI1502" s="54"/>
      <c r="AJ1502" s="54"/>
      <c r="AK1502" s="54"/>
      <c r="AL1502" s="54"/>
      <c r="AM1502" s="54"/>
      <c r="AN1502" s="54"/>
      <c r="AO1502" s="54"/>
      <c r="AP1502" s="54"/>
      <c r="AQ1502" s="54"/>
      <c r="AR1502" s="54"/>
      <c r="AS1502" s="54"/>
      <c r="AT1502" s="54"/>
      <c r="AU1502" s="54"/>
      <c r="AV1502" s="54"/>
      <c r="AW1502" s="54"/>
      <c r="AX1502" s="54"/>
      <c r="AY1502" s="54"/>
      <c r="AZ1502" s="54"/>
      <c r="BA1502" s="54"/>
      <c r="BB1502" s="54"/>
      <c r="BC1502" s="56"/>
      <c r="BD1502" s="51"/>
      <c r="BE1502" s="54"/>
      <c r="BF1502" s="54"/>
      <c r="BG1502" s="47"/>
      <c r="BH1502" s="48"/>
      <c r="BI1502" s="48"/>
      <c r="BJ1502" s="48"/>
      <c r="BK1502" s="48"/>
      <c r="BL1502" s="48"/>
      <c r="BM1502" s="48"/>
      <c r="BN1502" s="48"/>
      <c r="BO1502" s="48"/>
      <c r="BP1502" s="48"/>
      <c r="BQ1502" s="48"/>
      <c r="BR1502" s="48"/>
      <c r="BS1502" s="48"/>
      <c r="BT1502" s="48"/>
      <c r="BU1502" s="48"/>
      <c r="BV1502" s="48"/>
      <c r="BW1502" s="48"/>
      <c r="BX1502" s="48"/>
      <c r="BY1502" s="48"/>
      <c r="BZ1502" s="48"/>
      <c r="CA1502" s="48"/>
      <c r="CB1502" s="48"/>
      <c r="CC1502" s="48"/>
      <c r="CD1502" s="48"/>
      <c r="CE1502" s="48"/>
      <c r="CF1502" s="52"/>
      <c r="CG1502" s="52"/>
      <c r="CH1502" s="48"/>
      <c r="CI1502" s="48"/>
      <c r="CJ1502" s="48"/>
      <c r="CK1502" s="48"/>
    </row>
    <row r="1503" spans="1:89" ht="15.75" customHeight="1" x14ac:dyDescent="0.3">
      <c r="A1503" s="47"/>
      <c r="B1503" s="48"/>
      <c r="C1503" s="47"/>
      <c r="D1503" s="48"/>
      <c r="E1503" s="48"/>
      <c r="F1503" s="48"/>
      <c r="G1503" s="48"/>
      <c r="H1503" s="48"/>
      <c r="I1503" s="49"/>
      <c r="J1503" s="47"/>
      <c r="K1503" s="47"/>
      <c r="L1503" s="47"/>
      <c r="M1503" s="47"/>
      <c r="N1503" s="47"/>
      <c r="O1503" s="47"/>
      <c r="P1503" s="47"/>
      <c r="Q1503" s="47"/>
      <c r="R1503" s="47"/>
      <c r="S1503" s="50"/>
      <c r="T1503" s="47"/>
      <c r="U1503" s="47"/>
      <c r="V1503" s="47"/>
      <c r="W1503" s="51"/>
      <c r="X1503" s="51"/>
      <c r="Y1503" s="47"/>
      <c r="Z1503" s="47"/>
      <c r="AA1503" s="47"/>
      <c r="AB1503" s="47"/>
      <c r="AC1503" s="47"/>
      <c r="AD1503" s="47"/>
      <c r="AE1503" s="54"/>
      <c r="AF1503" s="54"/>
      <c r="AG1503" s="55"/>
      <c r="AH1503" s="54"/>
      <c r="AI1503" s="54"/>
      <c r="AJ1503" s="54"/>
      <c r="AK1503" s="54"/>
      <c r="AL1503" s="54"/>
      <c r="AM1503" s="54"/>
      <c r="AN1503" s="54"/>
      <c r="AO1503" s="54"/>
      <c r="AP1503" s="54"/>
      <c r="AQ1503" s="54"/>
      <c r="AR1503" s="54"/>
      <c r="AS1503" s="54"/>
      <c r="AT1503" s="54"/>
      <c r="AU1503" s="54"/>
      <c r="AV1503" s="54"/>
      <c r="AW1503" s="54"/>
      <c r="AX1503" s="54"/>
      <c r="AY1503" s="54"/>
      <c r="AZ1503" s="54"/>
      <c r="BA1503" s="54"/>
      <c r="BB1503" s="54"/>
      <c r="BC1503" s="56"/>
      <c r="BD1503" s="51"/>
      <c r="BE1503" s="54"/>
      <c r="BF1503" s="54"/>
      <c r="BG1503" s="47"/>
      <c r="BH1503" s="48"/>
      <c r="BI1503" s="48"/>
      <c r="BJ1503" s="48"/>
      <c r="BK1503" s="48"/>
      <c r="BL1503" s="48"/>
      <c r="BM1503" s="48"/>
      <c r="BN1503" s="48"/>
      <c r="BO1503" s="48"/>
      <c r="BP1503" s="48"/>
      <c r="BQ1503" s="48"/>
      <c r="BR1503" s="48"/>
      <c r="BS1503" s="48"/>
      <c r="BT1503" s="48"/>
      <c r="BU1503" s="48"/>
      <c r="BV1503" s="48"/>
      <c r="BW1503" s="48"/>
      <c r="BX1503" s="48"/>
      <c r="BY1503" s="48"/>
      <c r="BZ1503" s="48"/>
      <c r="CA1503" s="48"/>
      <c r="CB1503" s="48"/>
      <c r="CC1503" s="48"/>
      <c r="CD1503" s="48"/>
      <c r="CE1503" s="48"/>
      <c r="CF1503" s="52"/>
      <c r="CG1503" s="52"/>
      <c r="CH1503" s="48"/>
      <c r="CI1503" s="48"/>
      <c r="CJ1503" s="48"/>
      <c r="CK1503" s="48"/>
    </row>
    <row r="1504" spans="1:89" ht="15.75" customHeight="1" x14ac:dyDescent="0.3">
      <c r="A1504" s="47"/>
      <c r="B1504" s="48"/>
      <c r="C1504" s="47"/>
      <c r="D1504" s="48"/>
      <c r="E1504" s="48"/>
      <c r="F1504" s="48"/>
      <c r="G1504" s="48"/>
      <c r="H1504" s="48"/>
      <c r="I1504" s="49"/>
      <c r="J1504" s="47"/>
      <c r="K1504" s="47"/>
      <c r="L1504" s="47"/>
      <c r="M1504" s="47"/>
      <c r="N1504" s="47"/>
      <c r="O1504" s="47"/>
      <c r="P1504" s="47"/>
      <c r="Q1504" s="47"/>
      <c r="R1504" s="47"/>
      <c r="S1504" s="50"/>
      <c r="T1504" s="47"/>
      <c r="U1504" s="47"/>
      <c r="V1504" s="47"/>
      <c r="W1504" s="51"/>
      <c r="X1504" s="51"/>
      <c r="Y1504" s="47"/>
      <c r="Z1504" s="47"/>
      <c r="AA1504" s="47"/>
      <c r="AB1504" s="47"/>
      <c r="AC1504" s="47"/>
      <c r="AD1504" s="47"/>
      <c r="AE1504" s="54"/>
      <c r="AF1504" s="54"/>
      <c r="AG1504" s="55"/>
      <c r="AH1504" s="54"/>
      <c r="AI1504" s="54"/>
      <c r="AJ1504" s="54"/>
      <c r="AK1504" s="54"/>
      <c r="AL1504" s="54"/>
      <c r="AM1504" s="54"/>
      <c r="AN1504" s="54"/>
      <c r="AO1504" s="54"/>
      <c r="AP1504" s="54"/>
      <c r="AQ1504" s="54"/>
      <c r="AR1504" s="54"/>
      <c r="AS1504" s="54"/>
      <c r="AT1504" s="54"/>
      <c r="AU1504" s="54"/>
      <c r="AV1504" s="54"/>
      <c r="AW1504" s="54"/>
      <c r="AX1504" s="54"/>
      <c r="AY1504" s="54"/>
      <c r="AZ1504" s="54"/>
      <c r="BA1504" s="54"/>
      <c r="BB1504" s="54"/>
      <c r="BC1504" s="56"/>
      <c r="BD1504" s="51"/>
      <c r="BE1504" s="54"/>
      <c r="BF1504" s="54"/>
      <c r="BG1504" s="47"/>
      <c r="BH1504" s="48"/>
      <c r="BI1504" s="48"/>
      <c r="BJ1504" s="48"/>
      <c r="BK1504" s="48"/>
      <c r="BL1504" s="48"/>
      <c r="BM1504" s="48"/>
      <c r="BN1504" s="48"/>
      <c r="BO1504" s="48"/>
      <c r="BP1504" s="48"/>
      <c r="BQ1504" s="48"/>
      <c r="BR1504" s="48"/>
      <c r="BS1504" s="48"/>
      <c r="BT1504" s="48"/>
      <c r="BU1504" s="48"/>
      <c r="BV1504" s="48"/>
      <c r="BW1504" s="48"/>
      <c r="BX1504" s="48"/>
      <c r="BY1504" s="48"/>
      <c r="BZ1504" s="48"/>
      <c r="CA1504" s="48"/>
      <c r="CB1504" s="48"/>
      <c r="CC1504" s="48"/>
      <c r="CD1504" s="48"/>
      <c r="CE1504" s="48"/>
      <c r="CF1504" s="52"/>
      <c r="CG1504" s="52"/>
      <c r="CH1504" s="48"/>
      <c r="CI1504" s="48"/>
      <c r="CJ1504" s="48"/>
      <c r="CK1504" s="48"/>
    </row>
    <row r="1505" spans="1:89" ht="15.75" customHeight="1" x14ac:dyDescent="0.3">
      <c r="A1505" s="47"/>
      <c r="B1505" s="48"/>
      <c r="C1505" s="47"/>
      <c r="D1505" s="48"/>
      <c r="E1505" s="48"/>
      <c r="F1505" s="48"/>
      <c r="G1505" s="48"/>
      <c r="H1505" s="48"/>
      <c r="I1505" s="49"/>
      <c r="J1505" s="47"/>
      <c r="K1505" s="47"/>
      <c r="L1505" s="47"/>
      <c r="M1505" s="47"/>
      <c r="N1505" s="47"/>
      <c r="O1505" s="47"/>
      <c r="P1505" s="47"/>
      <c r="Q1505" s="47"/>
      <c r="R1505" s="47"/>
      <c r="S1505" s="50"/>
      <c r="T1505" s="47"/>
      <c r="U1505" s="47"/>
      <c r="V1505" s="47"/>
      <c r="W1505" s="51"/>
      <c r="X1505" s="51"/>
      <c r="Y1505" s="47"/>
      <c r="Z1505" s="47"/>
      <c r="AA1505" s="47"/>
      <c r="AB1505" s="47"/>
      <c r="AC1505" s="47"/>
      <c r="AD1505" s="47"/>
      <c r="AE1505" s="54"/>
      <c r="AF1505" s="54"/>
      <c r="AG1505" s="55"/>
      <c r="AH1505" s="54"/>
      <c r="AI1505" s="54"/>
      <c r="AJ1505" s="54"/>
      <c r="AK1505" s="54"/>
      <c r="AL1505" s="54"/>
      <c r="AM1505" s="54"/>
      <c r="AN1505" s="54"/>
      <c r="AO1505" s="54"/>
      <c r="AP1505" s="54"/>
      <c r="AQ1505" s="54"/>
      <c r="AR1505" s="54"/>
      <c r="AS1505" s="54"/>
      <c r="AT1505" s="54"/>
      <c r="AU1505" s="54"/>
      <c r="AV1505" s="54"/>
      <c r="AW1505" s="54"/>
      <c r="AX1505" s="54"/>
      <c r="AY1505" s="54"/>
      <c r="AZ1505" s="54"/>
      <c r="BA1505" s="54"/>
      <c r="BB1505" s="54"/>
      <c r="BC1505" s="56"/>
      <c r="BD1505" s="51"/>
      <c r="BE1505" s="54"/>
      <c r="BF1505" s="54"/>
      <c r="BG1505" s="47"/>
      <c r="BH1505" s="48"/>
      <c r="BI1505" s="48"/>
      <c r="BJ1505" s="48"/>
      <c r="BK1505" s="48"/>
      <c r="BL1505" s="48"/>
      <c r="BM1505" s="48"/>
      <c r="BN1505" s="48"/>
      <c r="BO1505" s="48"/>
      <c r="BP1505" s="48"/>
      <c r="BQ1505" s="48"/>
      <c r="BR1505" s="48"/>
      <c r="BS1505" s="48"/>
      <c r="BT1505" s="48"/>
      <c r="BU1505" s="48"/>
      <c r="BV1505" s="48"/>
      <c r="BW1505" s="48"/>
      <c r="BX1505" s="48"/>
      <c r="BY1505" s="48"/>
      <c r="BZ1505" s="48"/>
      <c r="CA1505" s="48"/>
      <c r="CB1505" s="48"/>
      <c r="CC1505" s="48"/>
      <c r="CD1505" s="48"/>
      <c r="CE1505" s="48"/>
      <c r="CF1505" s="52"/>
      <c r="CG1505" s="52"/>
      <c r="CH1505" s="48"/>
      <c r="CI1505" s="48"/>
      <c r="CJ1505" s="48"/>
      <c r="CK1505" s="48"/>
    </row>
    <row r="1506" spans="1:89" ht="15.75" customHeight="1" x14ac:dyDescent="0.3">
      <c r="A1506" s="47"/>
      <c r="B1506" s="48"/>
      <c r="C1506" s="47"/>
      <c r="D1506" s="48"/>
      <c r="E1506" s="48"/>
      <c r="F1506" s="48"/>
      <c r="G1506" s="48"/>
      <c r="H1506" s="48"/>
      <c r="I1506" s="49"/>
      <c r="J1506" s="47"/>
      <c r="K1506" s="47"/>
      <c r="L1506" s="47"/>
      <c r="M1506" s="47"/>
      <c r="N1506" s="47"/>
      <c r="O1506" s="47"/>
      <c r="P1506" s="47"/>
      <c r="Q1506" s="47"/>
      <c r="R1506" s="47"/>
      <c r="S1506" s="50"/>
      <c r="T1506" s="47"/>
      <c r="U1506" s="47"/>
      <c r="V1506" s="47"/>
      <c r="W1506" s="51"/>
      <c r="X1506" s="51"/>
      <c r="Y1506" s="47"/>
      <c r="Z1506" s="47"/>
      <c r="AA1506" s="47"/>
      <c r="AB1506" s="47"/>
      <c r="AC1506" s="47"/>
      <c r="AD1506" s="47"/>
      <c r="AE1506" s="54"/>
      <c r="AF1506" s="54"/>
      <c r="AG1506" s="55"/>
      <c r="AH1506" s="54"/>
      <c r="AI1506" s="54"/>
      <c r="AJ1506" s="54"/>
      <c r="AK1506" s="54"/>
      <c r="AL1506" s="54"/>
      <c r="AM1506" s="54"/>
      <c r="AN1506" s="54"/>
      <c r="AO1506" s="54"/>
      <c r="AP1506" s="54"/>
      <c r="AQ1506" s="54"/>
      <c r="AR1506" s="54"/>
      <c r="AS1506" s="54"/>
      <c r="AT1506" s="54"/>
      <c r="AU1506" s="54"/>
      <c r="AV1506" s="54"/>
      <c r="AW1506" s="54"/>
      <c r="AX1506" s="54"/>
      <c r="AY1506" s="54"/>
      <c r="AZ1506" s="54"/>
      <c r="BA1506" s="54"/>
      <c r="BB1506" s="54"/>
      <c r="BC1506" s="56"/>
      <c r="BD1506" s="51"/>
      <c r="BE1506" s="54"/>
      <c r="BF1506" s="54"/>
      <c r="BG1506" s="47"/>
      <c r="BH1506" s="48"/>
      <c r="BI1506" s="48"/>
      <c r="BJ1506" s="48"/>
      <c r="BK1506" s="48"/>
      <c r="BL1506" s="48"/>
      <c r="BM1506" s="48"/>
      <c r="BN1506" s="48"/>
      <c r="BO1506" s="48"/>
      <c r="BP1506" s="48"/>
      <c r="BQ1506" s="48"/>
      <c r="BR1506" s="48"/>
      <c r="BS1506" s="48"/>
      <c r="BT1506" s="48"/>
      <c r="BU1506" s="48"/>
      <c r="BV1506" s="48"/>
      <c r="BW1506" s="48"/>
      <c r="BX1506" s="48"/>
      <c r="BY1506" s="48"/>
      <c r="BZ1506" s="48"/>
      <c r="CA1506" s="48"/>
      <c r="CB1506" s="48"/>
      <c r="CC1506" s="48"/>
      <c r="CD1506" s="48"/>
      <c r="CE1506" s="48"/>
      <c r="CF1506" s="52"/>
      <c r="CG1506" s="52"/>
      <c r="CH1506" s="48"/>
      <c r="CI1506" s="48"/>
      <c r="CJ1506" s="48"/>
      <c r="CK1506" s="48"/>
    </row>
    <row r="1507" spans="1:89" ht="15.75" customHeight="1" x14ac:dyDescent="0.3">
      <c r="A1507" s="47"/>
      <c r="B1507" s="48"/>
      <c r="C1507" s="47"/>
      <c r="D1507" s="48"/>
      <c r="E1507" s="48"/>
      <c r="F1507" s="48"/>
      <c r="G1507" s="48"/>
      <c r="H1507" s="48"/>
      <c r="I1507" s="49"/>
      <c r="J1507" s="47"/>
      <c r="K1507" s="47"/>
      <c r="L1507" s="47"/>
      <c r="M1507" s="47"/>
      <c r="N1507" s="47"/>
      <c r="O1507" s="47"/>
      <c r="P1507" s="47"/>
      <c r="Q1507" s="47"/>
      <c r="R1507" s="47"/>
      <c r="S1507" s="50"/>
      <c r="T1507" s="47"/>
      <c r="U1507" s="47"/>
      <c r="V1507" s="47"/>
      <c r="W1507" s="51"/>
      <c r="X1507" s="51"/>
      <c r="Y1507" s="47"/>
      <c r="Z1507" s="47"/>
      <c r="AA1507" s="47"/>
      <c r="AB1507" s="47"/>
      <c r="AC1507" s="47"/>
      <c r="AD1507" s="47"/>
      <c r="AE1507" s="54"/>
      <c r="AF1507" s="54"/>
      <c r="AG1507" s="55"/>
      <c r="AH1507" s="54"/>
      <c r="AI1507" s="54"/>
      <c r="AJ1507" s="54"/>
      <c r="AK1507" s="54"/>
      <c r="AL1507" s="54"/>
      <c r="AM1507" s="54"/>
      <c r="AN1507" s="54"/>
      <c r="AO1507" s="54"/>
      <c r="AP1507" s="54"/>
      <c r="AQ1507" s="54"/>
      <c r="AR1507" s="54"/>
      <c r="AS1507" s="54"/>
      <c r="AT1507" s="54"/>
      <c r="AU1507" s="54"/>
      <c r="AV1507" s="54"/>
      <c r="AW1507" s="54"/>
      <c r="AX1507" s="54"/>
      <c r="AY1507" s="54"/>
      <c r="AZ1507" s="54"/>
      <c r="BA1507" s="54"/>
      <c r="BB1507" s="54"/>
      <c r="BC1507" s="56"/>
      <c r="BD1507" s="51"/>
      <c r="BE1507" s="54"/>
      <c r="BF1507" s="54"/>
      <c r="BG1507" s="47"/>
      <c r="BH1507" s="48"/>
      <c r="BI1507" s="48"/>
      <c r="BJ1507" s="48"/>
      <c r="BK1507" s="48"/>
      <c r="BL1507" s="48"/>
      <c r="BM1507" s="48"/>
      <c r="BN1507" s="48"/>
      <c r="BO1507" s="48"/>
      <c r="BP1507" s="48"/>
      <c r="BQ1507" s="48"/>
      <c r="BR1507" s="48"/>
      <c r="BS1507" s="48"/>
      <c r="BT1507" s="48"/>
      <c r="BU1507" s="48"/>
      <c r="BV1507" s="48"/>
      <c r="BW1507" s="48"/>
      <c r="BX1507" s="48"/>
      <c r="BY1507" s="48"/>
      <c r="BZ1507" s="48"/>
      <c r="CA1507" s="48"/>
      <c r="CB1507" s="48"/>
      <c r="CC1507" s="48"/>
      <c r="CD1507" s="48"/>
      <c r="CE1507" s="48"/>
      <c r="CF1507" s="52"/>
      <c r="CG1507" s="52"/>
      <c r="CH1507" s="48"/>
      <c r="CI1507" s="48"/>
      <c r="CJ1507" s="48"/>
      <c r="CK1507" s="48"/>
    </row>
    <row r="1508" spans="1:89" ht="15.75" customHeight="1" x14ac:dyDescent="0.3">
      <c r="A1508" s="47"/>
      <c r="B1508" s="48"/>
      <c r="C1508" s="47"/>
      <c r="D1508" s="48"/>
      <c r="E1508" s="48"/>
      <c r="F1508" s="48"/>
      <c r="G1508" s="48"/>
      <c r="H1508" s="48"/>
      <c r="I1508" s="49"/>
      <c r="J1508" s="47"/>
      <c r="K1508" s="47"/>
      <c r="L1508" s="47"/>
      <c r="M1508" s="47"/>
      <c r="N1508" s="47"/>
      <c r="O1508" s="47"/>
      <c r="P1508" s="47"/>
      <c r="Q1508" s="47"/>
      <c r="R1508" s="47"/>
      <c r="S1508" s="50"/>
      <c r="T1508" s="47"/>
      <c r="U1508" s="47"/>
      <c r="V1508" s="47"/>
      <c r="W1508" s="51"/>
      <c r="X1508" s="51"/>
      <c r="Y1508" s="47"/>
      <c r="Z1508" s="47"/>
      <c r="AA1508" s="47"/>
      <c r="AB1508" s="47"/>
      <c r="AC1508" s="47"/>
      <c r="AD1508" s="47"/>
      <c r="AE1508" s="54"/>
      <c r="AF1508" s="54"/>
      <c r="AG1508" s="55"/>
      <c r="AH1508" s="54"/>
      <c r="AI1508" s="54"/>
      <c r="AJ1508" s="54"/>
      <c r="AK1508" s="54"/>
      <c r="AL1508" s="54"/>
      <c r="AM1508" s="54"/>
      <c r="AN1508" s="54"/>
      <c r="AO1508" s="54"/>
      <c r="AP1508" s="54"/>
      <c r="AQ1508" s="54"/>
      <c r="AR1508" s="54"/>
      <c r="AS1508" s="54"/>
      <c r="AT1508" s="54"/>
      <c r="AU1508" s="54"/>
      <c r="AV1508" s="54"/>
      <c r="AW1508" s="54"/>
      <c r="AX1508" s="54"/>
      <c r="AY1508" s="54"/>
      <c r="AZ1508" s="54"/>
      <c r="BA1508" s="54"/>
      <c r="BB1508" s="54"/>
      <c r="BC1508" s="56"/>
      <c r="BD1508" s="51"/>
      <c r="BE1508" s="54"/>
      <c r="BF1508" s="54"/>
      <c r="BG1508" s="47"/>
      <c r="BH1508" s="48"/>
      <c r="BI1508" s="48"/>
      <c r="BJ1508" s="48"/>
      <c r="BK1508" s="48"/>
      <c r="BL1508" s="48"/>
      <c r="BM1508" s="48"/>
      <c r="BN1508" s="48"/>
      <c r="BO1508" s="48"/>
      <c r="BP1508" s="48"/>
      <c r="BQ1508" s="48"/>
      <c r="BR1508" s="48"/>
      <c r="BS1508" s="48"/>
      <c r="BT1508" s="48"/>
      <c r="BU1508" s="48"/>
      <c r="BV1508" s="48"/>
      <c r="BW1508" s="48"/>
      <c r="BX1508" s="48"/>
      <c r="BY1508" s="48"/>
      <c r="BZ1508" s="48"/>
      <c r="CA1508" s="48"/>
      <c r="CB1508" s="48"/>
      <c r="CC1508" s="48"/>
      <c r="CD1508" s="48"/>
      <c r="CE1508" s="48"/>
      <c r="CF1508" s="52"/>
      <c r="CG1508" s="52"/>
      <c r="CH1508" s="48"/>
      <c r="CI1508" s="48"/>
      <c r="CJ1508" s="48"/>
      <c r="CK1508" s="48"/>
    </row>
    <row r="1509" spans="1:89" ht="15.75" customHeight="1" x14ac:dyDescent="0.3">
      <c r="A1509" s="47"/>
      <c r="B1509" s="48"/>
      <c r="C1509" s="47"/>
      <c r="D1509" s="48"/>
      <c r="E1509" s="48"/>
      <c r="F1509" s="48"/>
      <c r="G1509" s="48"/>
      <c r="H1509" s="48"/>
      <c r="I1509" s="49"/>
      <c r="J1509" s="47"/>
      <c r="K1509" s="47"/>
      <c r="L1509" s="47"/>
      <c r="M1509" s="47"/>
      <c r="N1509" s="47"/>
      <c r="O1509" s="47"/>
      <c r="P1509" s="47"/>
      <c r="Q1509" s="47"/>
      <c r="R1509" s="47"/>
      <c r="S1509" s="50"/>
      <c r="T1509" s="47"/>
      <c r="U1509" s="47"/>
      <c r="V1509" s="47"/>
      <c r="W1509" s="51"/>
      <c r="X1509" s="51"/>
      <c r="Y1509" s="47"/>
      <c r="Z1509" s="47"/>
      <c r="AA1509" s="47"/>
      <c r="AB1509" s="47"/>
      <c r="AC1509" s="47"/>
      <c r="AD1509" s="47"/>
      <c r="AE1509" s="54"/>
      <c r="AF1509" s="54"/>
      <c r="AG1509" s="55"/>
      <c r="AH1509" s="54"/>
      <c r="AI1509" s="54"/>
      <c r="AJ1509" s="54"/>
      <c r="AK1509" s="54"/>
      <c r="AL1509" s="54"/>
      <c r="AM1509" s="54"/>
      <c r="AN1509" s="54"/>
      <c r="AO1509" s="54"/>
      <c r="AP1509" s="54"/>
      <c r="AQ1509" s="54"/>
      <c r="AR1509" s="54"/>
      <c r="AS1509" s="54"/>
      <c r="AT1509" s="54"/>
      <c r="AU1509" s="54"/>
      <c r="AV1509" s="54"/>
      <c r="AW1509" s="54"/>
      <c r="AX1509" s="54"/>
      <c r="AY1509" s="54"/>
      <c r="AZ1509" s="54"/>
      <c r="BA1509" s="54"/>
      <c r="BB1509" s="54"/>
      <c r="BC1509" s="56"/>
      <c r="BD1509" s="51"/>
      <c r="BE1509" s="54"/>
      <c r="BF1509" s="54"/>
      <c r="BG1509" s="47"/>
      <c r="BH1509" s="48"/>
      <c r="BI1509" s="48"/>
      <c r="BJ1509" s="48"/>
      <c r="BK1509" s="48"/>
      <c r="BL1509" s="48"/>
      <c r="BM1509" s="48"/>
      <c r="BN1509" s="48"/>
      <c r="BO1509" s="48"/>
      <c r="BP1509" s="48"/>
      <c r="BQ1509" s="48"/>
      <c r="BR1509" s="48"/>
      <c r="BS1509" s="48"/>
      <c r="BT1509" s="48"/>
      <c r="BU1509" s="48"/>
      <c r="BV1509" s="48"/>
      <c r="BW1509" s="48"/>
      <c r="BX1509" s="48"/>
      <c r="BY1509" s="48"/>
      <c r="BZ1509" s="48"/>
      <c r="CA1509" s="48"/>
      <c r="CB1509" s="48"/>
      <c r="CC1509" s="48"/>
      <c r="CD1509" s="48"/>
      <c r="CE1509" s="48"/>
      <c r="CF1509" s="52"/>
      <c r="CG1509" s="52"/>
      <c r="CH1509" s="48"/>
      <c r="CI1509" s="48"/>
      <c r="CJ1509" s="48"/>
      <c r="CK1509" s="48"/>
    </row>
    <row r="1510" spans="1:89" ht="15.75" customHeight="1" x14ac:dyDescent="0.3">
      <c r="A1510" s="47"/>
      <c r="B1510" s="48"/>
      <c r="C1510" s="47"/>
      <c r="D1510" s="48"/>
      <c r="E1510" s="48"/>
      <c r="F1510" s="48"/>
      <c r="G1510" s="48"/>
      <c r="H1510" s="48"/>
      <c r="I1510" s="49"/>
      <c r="J1510" s="47"/>
      <c r="K1510" s="47"/>
      <c r="L1510" s="47"/>
      <c r="M1510" s="47"/>
      <c r="N1510" s="47"/>
      <c r="O1510" s="47"/>
      <c r="P1510" s="47"/>
      <c r="Q1510" s="47"/>
      <c r="R1510" s="47"/>
      <c r="S1510" s="50"/>
      <c r="T1510" s="47"/>
      <c r="U1510" s="47"/>
      <c r="V1510" s="47"/>
      <c r="W1510" s="51"/>
      <c r="X1510" s="51"/>
      <c r="Y1510" s="47"/>
      <c r="Z1510" s="47"/>
      <c r="AA1510" s="47"/>
      <c r="AB1510" s="47"/>
      <c r="AC1510" s="47"/>
      <c r="AD1510" s="47"/>
      <c r="AE1510" s="54"/>
      <c r="AF1510" s="54"/>
      <c r="AG1510" s="55"/>
      <c r="AH1510" s="54"/>
      <c r="AI1510" s="54"/>
      <c r="AJ1510" s="54"/>
      <c r="AK1510" s="54"/>
      <c r="AL1510" s="54"/>
      <c r="AM1510" s="54"/>
      <c r="AN1510" s="54"/>
      <c r="AO1510" s="54"/>
      <c r="AP1510" s="54"/>
      <c r="AQ1510" s="54"/>
      <c r="AR1510" s="54"/>
      <c r="AS1510" s="54"/>
      <c r="AT1510" s="54"/>
      <c r="AU1510" s="54"/>
      <c r="AV1510" s="54"/>
      <c r="AW1510" s="54"/>
      <c r="AX1510" s="54"/>
      <c r="AY1510" s="54"/>
      <c r="AZ1510" s="54"/>
      <c r="BA1510" s="54"/>
      <c r="BB1510" s="54"/>
      <c r="BC1510" s="56"/>
      <c r="BD1510" s="51"/>
      <c r="BE1510" s="54"/>
      <c r="BF1510" s="54"/>
      <c r="BG1510" s="47"/>
      <c r="BH1510" s="48"/>
      <c r="BI1510" s="48"/>
      <c r="BJ1510" s="48"/>
      <c r="BK1510" s="48"/>
      <c r="BL1510" s="48"/>
      <c r="BM1510" s="48"/>
      <c r="BN1510" s="48"/>
      <c r="BO1510" s="48"/>
      <c r="BP1510" s="48"/>
      <c r="BQ1510" s="48"/>
      <c r="BR1510" s="48"/>
      <c r="BS1510" s="48"/>
      <c r="BT1510" s="48"/>
      <c r="BU1510" s="48"/>
      <c r="BV1510" s="48"/>
      <c r="BW1510" s="48"/>
      <c r="BX1510" s="48"/>
      <c r="BY1510" s="48"/>
      <c r="BZ1510" s="48"/>
      <c r="CA1510" s="48"/>
      <c r="CB1510" s="48"/>
      <c r="CC1510" s="48"/>
      <c r="CD1510" s="48"/>
      <c r="CE1510" s="48"/>
      <c r="CF1510" s="52"/>
      <c r="CG1510" s="52"/>
      <c r="CH1510" s="48"/>
      <c r="CI1510" s="48"/>
      <c r="CJ1510" s="48"/>
      <c r="CK1510" s="48"/>
    </row>
    <row r="1511" spans="1:89" ht="15.75" customHeight="1" x14ac:dyDescent="0.3">
      <c r="A1511" s="47"/>
      <c r="B1511" s="48"/>
      <c r="C1511" s="47"/>
      <c r="D1511" s="48"/>
      <c r="E1511" s="48"/>
      <c r="F1511" s="48"/>
      <c r="G1511" s="48"/>
      <c r="H1511" s="48"/>
      <c r="I1511" s="49"/>
      <c r="J1511" s="47"/>
      <c r="K1511" s="47"/>
      <c r="L1511" s="47"/>
      <c r="M1511" s="47"/>
      <c r="N1511" s="47"/>
      <c r="O1511" s="47"/>
      <c r="P1511" s="47"/>
      <c r="Q1511" s="47"/>
      <c r="R1511" s="47"/>
      <c r="S1511" s="50"/>
      <c r="T1511" s="47"/>
      <c r="U1511" s="47"/>
      <c r="V1511" s="47"/>
      <c r="W1511" s="51"/>
      <c r="X1511" s="51"/>
      <c r="Y1511" s="47"/>
      <c r="Z1511" s="47"/>
      <c r="AA1511" s="47"/>
      <c r="AB1511" s="47"/>
      <c r="AC1511" s="47"/>
      <c r="AD1511" s="47"/>
      <c r="AE1511" s="54"/>
      <c r="AF1511" s="54"/>
      <c r="AG1511" s="55"/>
      <c r="AH1511" s="54"/>
      <c r="AI1511" s="54"/>
      <c r="AJ1511" s="54"/>
      <c r="AK1511" s="54"/>
      <c r="AL1511" s="54"/>
      <c r="AM1511" s="54"/>
      <c r="AN1511" s="54"/>
      <c r="AO1511" s="54"/>
      <c r="AP1511" s="54"/>
      <c r="AQ1511" s="54"/>
      <c r="AR1511" s="54"/>
      <c r="AS1511" s="54"/>
      <c r="AT1511" s="54"/>
      <c r="AU1511" s="54"/>
      <c r="AV1511" s="54"/>
      <c r="AW1511" s="54"/>
      <c r="AX1511" s="54"/>
      <c r="AY1511" s="54"/>
      <c r="AZ1511" s="54"/>
      <c r="BA1511" s="54"/>
      <c r="BB1511" s="54"/>
      <c r="BC1511" s="56"/>
      <c r="BD1511" s="51"/>
      <c r="BE1511" s="54"/>
      <c r="BF1511" s="54"/>
      <c r="BG1511" s="47"/>
      <c r="BH1511" s="48"/>
      <c r="BI1511" s="48"/>
      <c r="BJ1511" s="48"/>
      <c r="BK1511" s="48"/>
      <c r="BL1511" s="48"/>
      <c r="BM1511" s="48"/>
      <c r="BN1511" s="48"/>
      <c r="BO1511" s="48"/>
      <c r="BP1511" s="48"/>
      <c r="BQ1511" s="48"/>
      <c r="BR1511" s="48"/>
      <c r="BS1511" s="48"/>
      <c r="BT1511" s="48"/>
      <c r="BU1511" s="48"/>
      <c r="BV1511" s="48"/>
      <c r="BW1511" s="48"/>
      <c r="BX1511" s="48"/>
      <c r="BY1511" s="48"/>
      <c r="BZ1511" s="48"/>
      <c r="CA1511" s="48"/>
      <c r="CB1511" s="48"/>
      <c r="CC1511" s="48"/>
      <c r="CD1511" s="48"/>
      <c r="CE1511" s="48"/>
      <c r="CF1511" s="52"/>
      <c r="CG1511" s="52"/>
      <c r="CH1511" s="48"/>
      <c r="CI1511" s="48"/>
      <c r="CJ1511" s="48"/>
      <c r="CK1511" s="48"/>
    </row>
    <row r="1512" spans="1:89" ht="15.75" customHeight="1" x14ac:dyDescent="0.3">
      <c r="A1512" s="47"/>
      <c r="B1512" s="48"/>
      <c r="C1512" s="47"/>
      <c r="D1512" s="48"/>
      <c r="E1512" s="48"/>
      <c r="F1512" s="48"/>
      <c r="G1512" s="48"/>
      <c r="H1512" s="48"/>
      <c r="I1512" s="49"/>
      <c r="J1512" s="47"/>
      <c r="K1512" s="47"/>
      <c r="L1512" s="47"/>
      <c r="M1512" s="47"/>
      <c r="N1512" s="47"/>
      <c r="O1512" s="47"/>
      <c r="P1512" s="47"/>
      <c r="Q1512" s="47"/>
      <c r="R1512" s="47"/>
      <c r="S1512" s="50"/>
      <c r="T1512" s="47"/>
      <c r="U1512" s="47"/>
      <c r="V1512" s="47"/>
      <c r="W1512" s="51"/>
      <c r="X1512" s="51"/>
      <c r="Y1512" s="47"/>
      <c r="Z1512" s="47"/>
      <c r="AA1512" s="47"/>
      <c r="AB1512" s="47"/>
      <c r="AC1512" s="47"/>
      <c r="AD1512" s="47"/>
      <c r="AE1512" s="54"/>
      <c r="AF1512" s="54"/>
      <c r="AG1512" s="55"/>
      <c r="AH1512" s="54"/>
      <c r="AI1512" s="54"/>
      <c r="AJ1512" s="54"/>
      <c r="AK1512" s="54"/>
      <c r="AL1512" s="54"/>
      <c r="AM1512" s="54"/>
      <c r="AN1512" s="54"/>
      <c r="AO1512" s="54"/>
      <c r="AP1512" s="54"/>
      <c r="AQ1512" s="54"/>
      <c r="AR1512" s="54"/>
      <c r="AS1512" s="54"/>
      <c r="AT1512" s="54"/>
      <c r="AU1512" s="54"/>
      <c r="AV1512" s="54"/>
      <c r="AW1512" s="54"/>
      <c r="AX1512" s="54"/>
      <c r="AY1512" s="54"/>
      <c r="AZ1512" s="54"/>
      <c r="BA1512" s="54"/>
      <c r="BB1512" s="54"/>
      <c r="BC1512" s="56"/>
      <c r="BD1512" s="51"/>
      <c r="BE1512" s="54"/>
      <c r="BF1512" s="54"/>
      <c r="BG1512" s="47"/>
      <c r="BH1512" s="48"/>
      <c r="BI1512" s="48"/>
      <c r="BJ1512" s="48"/>
      <c r="BK1512" s="48"/>
      <c r="BL1512" s="48"/>
      <c r="BM1512" s="48"/>
      <c r="BN1512" s="48"/>
      <c r="BO1512" s="48"/>
      <c r="BP1512" s="48"/>
      <c r="BQ1512" s="48"/>
      <c r="BR1512" s="48"/>
      <c r="BS1512" s="48"/>
      <c r="BT1512" s="48"/>
      <c r="BU1512" s="48"/>
      <c r="BV1512" s="48"/>
      <c r="BW1512" s="48"/>
      <c r="BX1512" s="48"/>
      <c r="BY1512" s="48"/>
      <c r="BZ1512" s="48"/>
      <c r="CA1512" s="48"/>
      <c r="CB1512" s="48"/>
      <c r="CC1512" s="48"/>
      <c r="CD1512" s="48"/>
      <c r="CE1512" s="48"/>
      <c r="CF1512" s="52"/>
      <c r="CG1512" s="52"/>
      <c r="CH1512" s="48"/>
      <c r="CI1512" s="48"/>
      <c r="CJ1512" s="48"/>
      <c r="CK1512" s="48"/>
    </row>
    <row r="1513" spans="1:89" ht="15.75" customHeight="1" x14ac:dyDescent="0.3">
      <c r="A1513" s="47"/>
      <c r="B1513" s="48"/>
      <c r="C1513" s="47"/>
      <c r="D1513" s="48"/>
      <c r="E1513" s="48"/>
      <c r="F1513" s="48"/>
      <c r="G1513" s="48"/>
      <c r="H1513" s="48"/>
      <c r="I1513" s="49"/>
      <c r="J1513" s="47"/>
      <c r="K1513" s="47"/>
      <c r="L1513" s="47"/>
      <c r="M1513" s="47"/>
      <c r="N1513" s="47"/>
      <c r="O1513" s="47"/>
      <c r="P1513" s="47"/>
      <c r="Q1513" s="47"/>
      <c r="R1513" s="47"/>
      <c r="S1513" s="50"/>
      <c r="T1513" s="47"/>
      <c r="U1513" s="47"/>
      <c r="V1513" s="47"/>
      <c r="W1513" s="51"/>
      <c r="X1513" s="51"/>
      <c r="Y1513" s="47"/>
      <c r="Z1513" s="47"/>
      <c r="AA1513" s="47"/>
      <c r="AB1513" s="47"/>
      <c r="AC1513" s="47"/>
      <c r="AD1513" s="47"/>
      <c r="AE1513" s="54"/>
      <c r="AF1513" s="54"/>
      <c r="AG1513" s="55"/>
      <c r="AH1513" s="54"/>
      <c r="AI1513" s="54"/>
      <c r="AJ1513" s="54"/>
      <c r="AK1513" s="54"/>
      <c r="AL1513" s="54"/>
      <c r="AM1513" s="54"/>
      <c r="AN1513" s="54"/>
      <c r="AO1513" s="54"/>
      <c r="AP1513" s="54"/>
      <c r="AQ1513" s="54"/>
      <c r="AR1513" s="54"/>
      <c r="AS1513" s="54"/>
      <c r="AT1513" s="54"/>
      <c r="AU1513" s="54"/>
      <c r="AV1513" s="54"/>
      <c r="AW1513" s="54"/>
      <c r="AX1513" s="54"/>
      <c r="AY1513" s="54"/>
      <c r="AZ1513" s="54"/>
      <c r="BA1513" s="54"/>
      <c r="BB1513" s="54"/>
      <c r="BC1513" s="56"/>
      <c r="BD1513" s="51"/>
      <c r="BE1513" s="54"/>
      <c r="BF1513" s="54"/>
      <c r="BG1513" s="47"/>
      <c r="BH1513" s="48"/>
      <c r="BI1513" s="48"/>
      <c r="BJ1513" s="48"/>
      <c r="BK1513" s="48"/>
      <c r="BL1513" s="48"/>
      <c r="BM1513" s="48"/>
      <c r="BN1513" s="48"/>
      <c r="BO1513" s="48"/>
      <c r="BP1513" s="48"/>
      <c r="BQ1513" s="48"/>
      <c r="BR1513" s="48"/>
      <c r="BS1513" s="48"/>
      <c r="BT1513" s="48"/>
      <c r="BU1513" s="48"/>
      <c r="BV1513" s="48"/>
      <c r="BW1513" s="48"/>
      <c r="BX1513" s="48"/>
      <c r="BY1513" s="48"/>
      <c r="BZ1513" s="48"/>
      <c r="CA1513" s="48"/>
      <c r="CB1513" s="48"/>
      <c r="CC1513" s="48"/>
      <c r="CD1513" s="48"/>
      <c r="CE1513" s="48"/>
      <c r="CF1513" s="52"/>
      <c r="CG1513" s="52"/>
      <c r="CH1513" s="48"/>
      <c r="CI1513" s="48"/>
      <c r="CJ1513" s="48"/>
      <c r="CK1513" s="48"/>
    </row>
    <row r="1514" spans="1:89" ht="15.75" customHeight="1" x14ac:dyDescent="0.3">
      <c r="A1514" s="47"/>
      <c r="B1514" s="48"/>
      <c r="C1514" s="47"/>
      <c r="D1514" s="48"/>
      <c r="E1514" s="48"/>
      <c r="F1514" s="48"/>
      <c r="G1514" s="48"/>
      <c r="H1514" s="48"/>
      <c r="I1514" s="49"/>
      <c r="J1514" s="47"/>
      <c r="K1514" s="47"/>
      <c r="L1514" s="47"/>
      <c r="M1514" s="47"/>
      <c r="N1514" s="47"/>
      <c r="O1514" s="47"/>
      <c r="P1514" s="47"/>
      <c r="Q1514" s="47"/>
      <c r="R1514" s="47"/>
      <c r="S1514" s="50"/>
      <c r="T1514" s="47"/>
      <c r="U1514" s="47"/>
      <c r="V1514" s="47"/>
      <c r="W1514" s="51"/>
      <c r="X1514" s="51"/>
      <c r="Y1514" s="47"/>
      <c r="Z1514" s="47"/>
      <c r="AA1514" s="47"/>
      <c r="AB1514" s="47"/>
      <c r="AC1514" s="47"/>
      <c r="AD1514" s="47"/>
      <c r="AE1514" s="54"/>
      <c r="AF1514" s="54"/>
      <c r="AG1514" s="55"/>
      <c r="AH1514" s="54"/>
      <c r="AI1514" s="54"/>
      <c r="AJ1514" s="54"/>
      <c r="AK1514" s="54"/>
      <c r="AL1514" s="54"/>
      <c r="AM1514" s="54"/>
      <c r="AN1514" s="54"/>
      <c r="AO1514" s="54"/>
      <c r="AP1514" s="54"/>
      <c r="AQ1514" s="54"/>
      <c r="AR1514" s="54"/>
      <c r="AS1514" s="54"/>
      <c r="AT1514" s="54"/>
      <c r="AU1514" s="54"/>
      <c r="AV1514" s="54"/>
      <c r="AW1514" s="54"/>
      <c r="AX1514" s="54"/>
      <c r="AY1514" s="54"/>
      <c r="AZ1514" s="54"/>
      <c r="BA1514" s="54"/>
      <c r="BB1514" s="54"/>
      <c r="BC1514" s="56"/>
      <c r="BD1514" s="51"/>
      <c r="BE1514" s="54"/>
      <c r="BF1514" s="54"/>
      <c r="BG1514" s="47"/>
      <c r="BH1514" s="48"/>
      <c r="BI1514" s="48"/>
      <c r="BJ1514" s="48"/>
      <c r="BK1514" s="48"/>
      <c r="BL1514" s="48"/>
      <c r="BM1514" s="48"/>
      <c r="BN1514" s="48"/>
      <c r="BO1514" s="48"/>
      <c r="BP1514" s="48"/>
      <c r="BQ1514" s="48"/>
      <c r="BR1514" s="48"/>
      <c r="BS1514" s="48"/>
      <c r="BT1514" s="48"/>
      <c r="BU1514" s="48"/>
      <c r="BV1514" s="48"/>
      <c r="BW1514" s="48"/>
      <c r="BX1514" s="48"/>
      <c r="BY1514" s="48"/>
      <c r="BZ1514" s="48"/>
      <c r="CA1514" s="48"/>
      <c r="CB1514" s="48"/>
      <c r="CC1514" s="48"/>
      <c r="CD1514" s="48"/>
      <c r="CE1514" s="48"/>
      <c r="CF1514" s="52"/>
      <c r="CG1514" s="52"/>
      <c r="CH1514" s="48"/>
      <c r="CI1514" s="48"/>
      <c r="CJ1514" s="48"/>
      <c r="CK1514" s="48"/>
    </row>
    <row r="1515" spans="1:89" ht="15.75" customHeight="1" x14ac:dyDescent="0.3">
      <c r="A1515" s="47"/>
      <c r="B1515" s="48"/>
      <c r="C1515" s="47"/>
      <c r="D1515" s="48"/>
      <c r="E1515" s="48"/>
      <c r="F1515" s="48"/>
      <c r="G1515" s="48"/>
      <c r="H1515" s="48"/>
      <c r="I1515" s="49"/>
      <c r="J1515" s="47"/>
      <c r="K1515" s="47"/>
      <c r="L1515" s="47"/>
      <c r="M1515" s="47"/>
      <c r="N1515" s="47"/>
      <c r="O1515" s="47"/>
      <c r="P1515" s="47"/>
      <c r="Q1515" s="47"/>
      <c r="R1515" s="47"/>
      <c r="S1515" s="50"/>
      <c r="T1515" s="47"/>
      <c r="U1515" s="47"/>
      <c r="V1515" s="47"/>
      <c r="W1515" s="51"/>
      <c r="X1515" s="51"/>
      <c r="Y1515" s="47"/>
      <c r="Z1515" s="47"/>
      <c r="AA1515" s="47"/>
      <c r="AB1515" s="47"/>
      <c r="AC1515" s="47"/>
      <c r="AD1515" s="47"/>
      <c r="AE1515" s="54"/>
      <c r="AF1515" s="54"/>
      <c r="AG1515" s="55"/>
      <c r="AH1515" s="54"/>
      <c r="AI1515" s="54"/>
      <c r="AJ1515" s="54"/>
      <c r="AK1515" s="54"/>
      <c r="AL1515" s="54"/>
      <c r="AM1515" s="54"/>
      <c r="AN1515" s="54"/>
      <c r="AO1515" s="54"/>
      <c r="AP1515" s="54"/>
      <c r="AQ1515" s="54"/>
      <c r="AR1515" s="54"/>
      <c r="AS1515" s="54"/>
      <c r="AT1515" s="54"/>
      <c r="AU1515" s="54"/>
      <c r="AV1515" s="54"/>
      <c r="AW1515" s="54"/>
      <c r="AX1515" s="54"/>
      <c r="AY1515" s="54"/>
      <c r="AZ1515" s="54"/>
      <c r="BA1515" s="54"/>
      <c r="BB1515" s="54"/>
      <c r="BC1515" s="56"/>
      <c r="BD1515" s="51"/>
      <c r="BE1515" s="54"/>
      <c r="BF1515" s="54"/>
      <c r="BG1515" s="47"/>
      <c r="BH1515" s="48"/>
      <c r="BI1515" s="48"/>
      <c r="BJ1515" s="48"/>
      <c r="BK1515" s="48"/>
      <c r="BL1515" s="48"/>
      <c r="BM1515" s="48"/>
      <c r="BN1515" s="48"/>
      <c r="BO1515" s="48"/>
      <c r="BP1515" s="48"/>
      <c r="BQ1515" s="48"/>
      <c r="BR1515" s="48"/>
      <c r="BS1515" s="48"/>
      <c r="BT1515" s="48"/>
      <c r="BU1515" s="48"/>
      <c r="BV1515" s="48"/>
      <c r="BW1515" s="48"/>
      <c r="BX1515" s="48"/>
      <c r="BY1515" s="48"/>
      <c r="BZ1515" s="48"/>
      <c r="CA1515" s="48"/>
      <c r="CB1515" s="48"/>
      <c r="CC1515" s="48"/>
      <c r="CD1515" s="48"/>
      <c r="CE1515" s="48"/>
      <c r="CF1515" s="52"/>
      <c r="CG1515" s="52"/>
      <c r="CH1515" s="48"/>
      <c r="CI1515" s="48"/>
      <c r="CJ1515" s="48"/>
      <c r="CK1515" s="48"/>
    </row>
    <row r="1516" spans="1:89" ht="15.75" customHeight="1" x14ac:dyDescent="0.3">
      <c r="A1516" s="47"/>
      <c r="B1516" s="48"/>
      <c r="C1516" s="47"/>
      <c r="D1516" s="48"/>
      <c r="E1516" s="48"/>
      <c r="F1516" s="48"/>
      <c r="G1516" s="48"/>
      <c r="H1516" s="48"/>
      <c r="I1516" s="49"/>
      <c r="J1516" s="47"/>
      <c r="K1516" s="47"/>
      <c r="L1516" s="47"/>
      <c r="M1516" s="47"/>
      <c r="N1516" s="47"/>
      <c r="O1516" s="47"/>
      <c r="P1516" s="47"/>
      <c r="Q1516" s="47"/>
      <c r="R1516" s="47"/>
      <c r="S1516" s="50"/>
      <c r="T1516" s="47"/>
      <c r="U1516" s="47"/>
      <c r="V1516" s="47"/>
      <c r="W1516" s="51"/>
      <c r="X1516" s="51"/>
      <c r="Y1516" s="47"/>
      <c r="Z1516" s="47"/>
      <c r="AA1516" s="47"/>
      <c r="AB1516" s="47"/>
      <c r="AC1516" s="47"/>
      <c r="AD1516" s="47"/>
      <c r="AE1516" s="54"/>
      <c r="AF1516" s="54"/>
      <c r="AG1516" s="55"/>
      <c r="AH1516" s="54"/>
      <c r="AI1516" s="54"/>
      <c r="AJ1516" s="54"/>
      <c r="AK1516" s="54"/>
      <c r="AL1516" s="54"/>
      <c r="AM1516" s="54"/>
      <c r="AN1516" s="54"/>
      <c r="AO1516" s="54"/>
      <c r="AP1516" s="54"/>
      <c r="AQ1516" s="54"/>
      <c r="AR1516" s="54"/>
      <c r="AS1516" s="54"/>
      <c r="AT1516" s="54"/>
      <c r="AU1516" s="54"/>
      <c r="AV1516" s="54"/>
      <c r="AW1516" s="54"/>
      <c r="AX1516" s="54"/>
      <c r="AY1516" s="54"/>
      <c r="AZ1516" s="54"/>
      <c r="BA1516" s="54"/>
      <c r="BB1516" s="54"/>
      <c r="BC1516" s="56"/>
      <c r="BD1516" s="51"/>
      <c r="BE1516" s="54"/>
      <c r="BF1516" s="54"/>
      <c r="BG1516" s="47"/>
      <c r="BH1516" s="48"/>
      <c r="BI1516" s="48"/>
      <c r="BJ1516" s="48"/>
      <c r="BK1516" s="48"/>
      <c r="BL1516" s="48"/>
      <c r="BM1516" s="48"/>
      <c r="BN1516" s="48"/>
      <c r="BO1516" s="48"/>
      <c r="BP1516" s="48"/>
      <c r="BQ1516" s="48"/>
      <c r="BR1516" s="48"/>
      <c r="BS1516" s="48"/>
      <c r="BT1516" s="48"/>
      <c r="BU1516" s="48"/>
      <c r="BV1516" s="48"/>
      <c r="BW1516" s="48"/>
      <c r="BX1516" s="48"/>
      <c r="BY1516" s="48"/>
      <c r="BZ1516" s="48"/>
      <c r="CA1516" s="48"/>
      <c r="CB1516" s="48"/>
      <c r="CC1516" s="48"/>
      <c r="CD1516" s="48"/>
      <c r="CE1516" s="48"/>
      <c r="CF1516" s="52"/>
      <c r="CG1516" s="52"/>
      <c r="CH1516" s="48"/>
      <c r="CI1516" s="48"/>
      <c r="CJ1516" s="48"/>
      <c r="CK1516" s="48"/>
    </row>
    <row r="1517" spans="1:89" ht="15.75" customHeight="1" x14ac:dyDescent="0.3">
      <c r="A1517" s="47"/>
      <c r="B1517" s="48"/>
      <c r="C1517" s="47"/>
      <c r="D1517" s="48"/>
      <c r="E1517" s="48"/>
      <c r="F1517" s="48"/>
      <c r="G1517" s="48"/>
      <c r="H1517" s="48"/>
      <c r="I1517" s="49"/>
      <c r="J1517" s="47"/>
      <c r="K1517" s="47"/>
      <c r="L1517" s="47"/>
      <c r="M1517" s="47"/>
      <c r="N1517" s="47"/>
      <c r="O1517" s="47"/>
      <c r="P1517" s="47"/>
      <c r="Q1517" s="47"/>
      <c r="R1517" s="47"/>
      <c r="S1517" s="50"/>
      <c r="T1517" s="47"/>
      <c r="U1517" s="47"/>
      <c r="V1517" s="47"/>
      <c r="W1517" s="51"/>
      <c r="X1517" s="51"/>
      <c r="Y1517" s="47"/>
      <c r="Z1517" s="47"/>
      <c r="AA1517" s="47"/>
      <c r="AB1517" s="47"/>
      <c r="AC1517" s="47"/>
      <c r="AD1517" s="47"/>
      <c r="AE1517" s="54"/>
      <c r="AF1517" s="54"/>
      <c r="AG1517" s="55"/>
      <c r="AH1517" s="54"/>
      <c r="AI1517" s="54"/>
      <c r="AJ1517" s="54"/>
      <c r="AK1517" s="54"/>
      <c r="AL1517" s="54"/>
      <c r="AM1517" s="54"/>
      <c r="AN1517" s="54"/>
      <c r="AO1517" s="54"/>
      <c r="AP1517" s="54"/>
      <c r="AQ1517" s="54"/>
      <c r="AR1517" s="54"/>
      <c r="AS1517" s="54"/>
      <c r="AT1517" s="54"/>
      <c r="AU1517" s="54"/>
      <c r="AV1517" s="54"/>
      <c r="AW1517" s="54"/>
      <c r="AX1517" s="54"/>
      <c r="AY1517" s="54"/>
      <c r="AZ1517" s="54"/>
      <c r="BA1517" s="54"/>
      <c r="BB1517" s="54"/>
      <c r="BC1517" s="56"/>
      <c r="BD1517" s="51"/>
      <c r="BE1517" s="54"/>
      <c r="BF1517" s="54"/>
      <c r="BG1517" s="47"/>
      <c r="BH1517" s="48"/>
      <c r="BI1517" s="48"/>
      <c r="BJ1517" s="48"/>
      <c r="BK1517" s="48"/>
      <c r="BL1517" s="48"/>
      <c r="BM1517" s="48"/>
      <c r="BN1517" s="48"/>
      <c r="BO1517" s="48"/>
      <c r="BP1517" s="48"/>
      <c r="BQ1517" s="48"/>
      <c r="BR1517" s="48"/>
      <c r="BS1517" s="48"/>
      <c r="BT1517" s="48"/>
      <c r="BU1517" s="48"/>
      <c r="BV1517" s="48"/>
      <c r="BW1517" s="48"/>
      <c r="BX1517" s="48"/>
      <c r="BY1517" s="48"/>
      <c r="BZ1517" s="48"/>
      <c r="CA1517" s="48"/>
      <c r="CB1517" s="48"/>
      <c r="CC1517" s="48"/>
      <c r="CD1517" s="48"/>
      <c r="CE1517" s="48"/>
      <c r="CF1517" s="52"/>
      <c r="CG1517" s="52"/>
      <c r="CH1517" s="48"/>
      <c r="CI1517" s="48"/>
      <c r="CJ1517" s="48"/>
      <c r="CK1517" s="48"/>
    </row>
    <row r="1518" spans="1:89" ht="15.75" customHeight="1" x14ac:dyDescent="0.3">
      <c r="A1518" s="47"/>
      <c r="B1518" s="48"/>
      <c r="C1518" s="47"/>
      <c r="D1518" s="48"/>
      <c r="E1518" s="48"/>
      <c r="F1518" s="48"/>
      <c r="G1518" s="48"/>
      <c r="H1518" s="48"/>
      <c r="I1518" s="49"/>
      <c r="J1518" s="47"/>
      <c r="K1518" s="47"/>
      <c r="L1518" s="47"/>
      <c r="M1518" s="47"/>
      <c r="N1518" s="47"/>
      <c r="O1518" s="47"/>
      <c r="P1518" s="47"/>
      <c r="Q1518" s="47"/>
      <c r="R1518" s="47"/>
      <c r="S1518" s="50"/>
      <c r="T1518" s="47"/>
      <c r="U1518" s="47"/>
      <c r="V1518" s="47"/>
      <c r="W1518" s="51"/>
      <c r="X1518" s="51"/>
      <c r="Y1518" s="47"/>
      <c r="Z1518" s="47"/>
      <c r="AA1518" s="47"/>
      <c r="AB1518" s="47"/>
      <c r="AC1518" s="47"/>
      <c r="AD1518" s="47"/>
      <c r="AE1518" s="54"/>
      <c r="AF1518" s="54"/>
      <c r="AG1518" s="55"/>
      <c r="AH1518" s="54"/>
      <c r="AI1518" s="54"/>
      <c r="AJ1518" s="54"/>
      <c r="AK1518" s="54"/>
      <c r="AL1518" s="54"/>
      <c r="AM1518" s="54"/>
      <c r="AN1518" s="54"/>
      <c r="AO1518" s="54"/>
      <c r="AP1518" s="54"/>
      <c r="AQ1518" s="54"/>
      <c r="AR1518" s="54"/>
      <c r="AS1518" s="54"/>
      <c r="AT1518" s="54"/>
      <c r="AU1518" s="54"/>
      <c r="AV1518" s="54"/>
      <c r="AW1518" s="54"/>
      <c r="AX1518" s="54"/>
      <c r="AY1518" s="54"/>
      <c r="AZ1518" s="54"/>
      <c r="BA1518" s="54"/>
      <c r="BB1518" s="54"/>
      <c r="BC1518" s="56"/>
      <c r="BD1518" s="51"/>
      <c r="BE1518" s="54"/>
      <c r="BF1518" s="54"/>
      <c r="BG1518" s="47"/>
      <c r="BH1518" s="48"/>
      <c r="BI1518" s="48"/>
      <c r="BJ1518" s="48"/>
      <c r="BK1518" s="48"/>
      <c r="BL1518" s="48"/>
      <c r="BM1518" s="48"/>
      <c r="BN1518" s="48"/>
      <c r="BO1518" s="48"/>
      <c r="BP1518" s="48"/>
      <c r="BQ1518" s="48"/>
      <c r="BR1518" s="48"/>
      <c r="BS1518" s="48"/>
      <c r="BT1518" s="48"/>
      <c r="BU1518" s="48"/>
      <c r="BV1518" s="48"/>
      <c r="BW1518" s="48"/>
      <c r="BX1518" s="48"/>
      <c r="BY1518" s="48"/>
      <c r="BZ1518" s="48"/>
      <c r="CA1518" s="48"/>
      <c r="CB1518" s="48"/>
      <c r="CC1518" s="48"/>
      <c r="CD1518" s="48"/>
      <c r="CE1518" s="48"/>
      <c r="CF1518" s="52"/>
      <c r="CG1518" s="52"/>
      <c r="CH1518" s="48"/>
      <c r="CI1518" s="48"/>
      <c r="CJ1518" s="48"/>
      <c r="CK1518" s="48"/>
    </row>
    <row r="1519" spans="1:89" ht="15.75" customHeight="1" x14ac:dyDescent="0.3">
      <c r="A1519" s="47"/>
      <c r="B1519" s="48"/>
      <c r="C1519" s="47"/>
      <c r="D1519" s="48"/>
      <c r="E1519" s="48"/>
      <c r="F1519" s="48"/>
      <c r="G1519" s="48"/>
      <c r="H1519" s="48"/>
      <c r="I1519" s="49"/>
      <c r="J1519" s="47"/>
      <c r="K1519" s="47"/>
      <c r="L1519" s="47"/>
      <c r="M1519" s="47"/>
      <c r="N1519" s="47"/>
      <c r="O1519" s="47"/>
      <c r="P1519" s="47"/>
      <c r="Q1519" s="47"/>
      <c r="R1519" s="47"/>
      <c r="S1519" s="50"/>
      <c r="T1519" s="47"/>
      <c r="U1519" s="47"/>
      <c r="V1519" s="47"/>
      <c r="W1519" s="51"/>
      <c r="X1519" s="51"/>
      <c r="Y1519" s="47"/>
      <c r="Z1519" s="47"/>
      <c r="AA1519" s="47"/>
      <c r="AB1519" s="47"/>
      <c r="AC1519" s="47"/>
      <c r="AD1519" s="47"/>
      <c r="AE1519" s="54"/>
      <c r="AF1519" s="54"/>
      <c r="AG1519" s="55"/>
      <c r="AH1519" s="54"/>
      <c r="AI1519" s="54"/>
      <c r="AJ1519" s="54"/>
      <c r="AK1519" s="54"/>
      <c r="AL1519" s="54"/>
      <c r="AM1519" s="54"/>
      <c r="AN1519" s="54"/>
      <c r="AO1519" s="54"/>
      <c r="AP1519" s="54"/>
      <c r="AQ1519" s="54"/>
      <c r="AR1519" s="54"/>
      <c r="AS1519" s="54"/>
      <c r="AT1519" s="54"/>
      <c r="AU1519" s="54"/>
      <c r="AV1519" s="54"/>
      <c r="AW1519" s="54"/>
      <c r="AX1519" s="54"/>
      <c r="AY1519" s="54"/>
      <c r="AZ1519" s="54"/>
      <c r="BA1519" s="54"/>
      <c r="BB1519" s="54"/>
      <c r="BC1519" s="56"/>
      <c r="BD1519" s="51"/>
      <c r="BE1519" s="54"/>
      <c r="BF1519" s="54"/>
      <c r="BG1519" s="47"/>
      <c r="BH1519" s="48"/>
      <c r="BI1519" s="48"/>
      <c r="BJ1519" s="48"/>
      <c r="BK1519" s="48"/>
      <c r="BL1519" s="48"/>
      <c r="BM1519" s="48"/>
      <c r="BN1519" s="48"/>
      <c r="BO1519" s="48"/>
      <c r="BP1519" s="48"/>
      <c r="BQ1519" s="48"/>
      <c r="BR1519" s="48"/>
      <c r="BS1519" s="48"/>
      <c r="BT1519" s="48"/>
      <c r="BU1519" s="48"/>
      <c r="BV1519" s="48"/>
      <c r="BW1519" s="48"/>
      <c r="BX1519" s="48"/>
      <c r="BY1519" s="48"/>
      <c r="BZ1519" s="48"/>
      <c r="CA1519" s="48"/>
      <c r="CB1519" s="48"/>
      <c r="CC1519" s="48"/>
      <c r="CD1519" s="48"/>
      <c r="CE1519" s="48"/>
      <c r="CF1519" s="52"/>
      <c r="CG1519" s="52"/>
      <c r="CH1519" s="48"/>
      <c r="CI1519" s="48"/>
      <c r="CJ1519" s="48"/>
      <c r="CK1519" s="48"/>
    </row>
    <row r="1520" spans="1:89" ht="15.75" customHeight="1" x14ac:dyDescent="0.3">
      <c r="A1520" s="47"/>
      <c r="B1520" s="48"/>
      <c r="C1520" s="47"/>
      <c r="D1520" s="48"/>
      <c r="E1520" s="48"/>
      <c r="F1520" s="48"/>
      <c r="G1520" s="48"/>
      <c r="H1520" s="48"/>
      <c r="I1520" s="49"/>
      <c r="J1520" s="47"/>
      <c r="K1520" s="47"/>
      <c r="L1520" s="47"/>
      <c r="M1520" s="47"/>
      <c r="N1520" s="47"/>
      <c r="O1520" s="47"/>
      <c r="P1520" s="47"/>
      <c r="Q1520" s="47"/>
      <c r="R1520" s="47"/>
      <c r="S1520" s="50"/>
      <c r="T1520" s="47"/>
      <c r="U1520" s="47"/>
      <c r="V1520" s="47"/>
      <c r="W1520" s="51"/>
      <c r="X1520" s="51"/>
      <c r="Y1520" s="47"/>
      <c r="Z1520" s="47"/>
      <c r="AA1520" s="47"/>
      <c r="AB1520" s="47"/>
      <c r="AC1520" s="47"/>
      <c r="AD1520" s="47"/>
      <c r="AE1520" s="54"/>
      <c r="AF1520" s="54"/>
      <c r="AG1520" s="55"/>
      <c r="AH1520" s="54"/>
      <c r="AI1520" s="54"/>
      <c r="AJ1520" s="54"/>
      <c r="AK1520" s="54"/>
      <c r="AL1520" s="54"/>
      <c r="AM1520" s="54"/>
      <c r="AN1520" s="54"/>
      <c r="AO1520" s="54"/>
      <c r="AP1520" s="54"/>
      <c r="AQ1520" s="54"/>
      <c r="AR1520" s="54"/>
      <c r="AS1520" s="54"/>
      <c r="AT1520" s="54"/>
      <c r="AU1520" s="54"/>
      <c r="AV1520" s="54"/>
      <c r="AW1520" s="54"/>
      <c r="AX1520" s="54"/>
      <c r="AY1520" s="54"/>
      <c r="AZ1520" s="54"/>
      <c r="BA1520" s="54"/>
      <c r="BB1520" s="54"/>
      <c r="BC1520" s="56"/>
      <c r="BD1520" s="51"/>
      <c r="BE1520" s="54"/>
      <c r="BF1520" s="54"/>
      <c r="BG1520" s="47"/>
      <c r="BH1520" s="48"/>
      <c r="BI1520" s="48"/>
      <c r="BJ1520" s="48"/>
      <c r="BK1520" s="48"/>
      <c r="BL1520" s="48"/>
      <c r="BM1520" s="48"/>
      <c r="BN1520" s="48"/>
      <c r="BO1520" s="48"/>
      <c r="BP1520" s="48"/>
      <c r="BQ1520" s="48"/>
      <c r="BR1520" s="48"/>
      <c r="BS1520" s="48"/>
      <c r="BT1520" s="48"/>
      <c r="BU1520" s="48"/>
      <c r="BV1520" s="48"/>
      <c r="BW1520" s="48"/>
      <c r="BX1520" s="48"/>
      <c r="BY1520" s="48"/>
      <c r="BZ1520" s="48"/>
      <c r="CA1520" s="48"/>
      <c r="CB1520" s="48"/>
      <c r="CC1520" s="48"/>
      <c r="CD1520" s="48"/>
      <c r="CE1520" s="48"/>
      <c r="CF1520" s="52"/>
      <c r="CG1520" s="52"/>
      <c r="CH1520" s="48"/>
      <c r="CI1520" s="48"/>
      <c r="CJ1520" s="48"/>
      <c r="CK1520" s="48"/>
    </row>
    <row r="1521" spans="1:89" ht="15.75" customHeight="1" x14ac:dyDescent="0.3">
      <c r="A1521" s="47"/>
      <c r="B1521" s="48"/>
      <c r="C1521" s="47"/>
      <c r="D1521" s="48"/>
      <c r="E1521" s="48"/>
      <c r="F1521" s="48"/>
      <c r="G1521" s="48"/>
      <c r="H1521" s="48"/>
      <c r="I1521" s="49"/>
      <c r="J1521" s="47"/>
      <c r="K1521" s="47"/>
      <c r="L1521" s="47"/>
      <c r="M1521" s="47"/>
      <c r="N1521" s="47"/>
      <c r="O1521" s="47"/>
      <c r="P1521" s="47"/>
      <c r="Q1521" s="47"/>
      <c r="R1521" s="47"/>
      <c r="S1521" s="50"/>
      <c r="T1521" s="47"/>
      <c r="U1521" s="47"/>
      <c r="V1521" s="47"/>
      <c r="W1521" s="51"/>
      <c r="X1521" s="51"/>
      <c r="Y1521" s="47"/>
      <c r="Z1521" s="47"/>
      <c r="AA1521" s="47"/>
      <c r="AB1521" s="47"/>
      <c r="AC1521" s="47"/>
      <c r="AD1521" s="47"/>
      <c r="AE1521" s="54"/>
      <c r="AF1521" s="54"/>
      <c r="AG1521" s="55"/>
      <c r="AH1521" s="54"/>
      <c r="AI1521" s="54"/>
      <c r="AJ1521" s="54"/>
      <c r="AK1521" s="54"/>
      <c r="AL1521" s="54"/>
      <c r="AM1521" s="54"/>
      <c r="AN1521" s="54"/>
      <c r="AO1521" s="54"/>
      <c r="AP1521" s="54"/>
      <c r="AQ1521" s="54"/>
      <c r="AR1521" s="54"/>
      <c r="AS1521" s="54"/>
      <c r="AT1521" s="54"/>
      <c r="AU1521" s="54"/>
      <c r="AV1521" s="54"/>
      <c r="AW1521" s="54"/>
      <c r="AX1521" s="54"/>
      <c r="AY1521" s="54"/>
      <c r="AZ1521" s="54"/>
      <c r="BA1521" s="54"/>
      <c r="BB1521" s="54"/>
      <c r="BC1521" s="56"/>
      <c r="BD1521" s="51"/>
      <c r="BE1521" s="54"/>
      <c r="BF1521" s="54"/>
      <c r="BG1521" s="47"/>
      <c r="BH1521" s="48"/>
      <c r="BI1521" s="48"/>
      <c r="BJ1521" s="48"/>
      <c r="BK1521" s="48"/>
      <c r="BL1521" s="48"/>
      <c r="BM1521" s="48"/>
      <c r="BN1521" s="48"/>
      <c r="BO1521" s="48"/>
      <c r="BP1521" s="48"/>
      <c r="BQ1521" s="48"/>
      <c r="BR1521" s="48"/>
      <c r="BS1521" s="48"/>
      <c r="BT1521" s="48"/>
      <c r="BU1521" s="48"/>
      <c r="BV1521" s="48"/>
      <c r="BW1521" s="48"/>
      <c r="BX1521" s="48"/>
      <c r="BY1521" s="48"/>
      <c r="BZ1521" s="48"/>
      <c r="CA1521" s="48"/>
      <c r="CB1521" s="48"/>
      <c r="CC1521" s="48"/>
      <c r="CD1521" s="48"/>
      <c r="CE1521" s="48"/>
      <c r="CF1521" s="52"/>
      <c r="CG1521" s="52"/>
      <c r="CH1521" s="48"/>
      <c r="CI1521" s="48"/>
      <c r="CJ1521" s="48"/>
      <c r="CK1521" s="48"/>
    </row>
    <row r="1522" spans="1:89" ht="15.75" customHeight="1" x14ac:dyDescent="0.3">
      <c r="A1522" s="47"/>
      <c r="B1522" s="48"/>
      <c r="C1522" s="47"/>
      <c r="D1522" s="48"/>
      <c r="E1522" s="48"/>
      <c r="F1522" s="48"/>
      <c r="G1522" s="48"/>
      <c r="H1522" s="48"/>
      <c r="I1522" s="49"/>
      <c r="J1522" s="47"/>
      <c r="K1522" s="47"/>
      <c r="L1522" s="47"/>
      <c r="M1522" s="47"/>
      <c r="N1522" s="47"/>
      <c r="O1522" s="47"/>
      <c r="P1522" s="47"/>
      <c r="Q1522" s="47"/>
      <c r="R1522" s="47"/>
      <c r="S1522" s="50"/>
      <c r="T1522" s="47"/>
      <c r="U1522" s="47"/>
      <c r="V1522" s="47"/>
      <c r="W1522" s="51"/>
      <c r="X1522" s="51"/>
      <c r="Y1522" s="47"/>
      <c r="Z1522" s="47"/>
      <c r="AA1522" s="47"/>
      <c r="AB1522" s="47"/>
      <c r="AC1522" s="47"/>
      <c r="AD1522" s="47"/>
      <c r="AE1522" s="54"/>
      <c r="AF1522" s="54"/>
      <c r="AG1522" s="55"/>
      <c r="AH1522" s="54"/>
      <c r="AI1522" s="54"/>
      <c r="AJ1522" s="54"/>
      <c r="AK1522" s="54"/>
      <c r="AL1522" s="54"/>
      <c r="AM1522" s="54"/>
      <c r="AN1522" s="54"/>
      <c r="AO1522" s="54"/>
      <c r="AP1522" s="54"/>
      <c r="AQ1522" s="54"/>
      <c r="AR1522" s="54"/>
      <c r="AS1522" s="54"/>
      <c r="AT1522" s="54"/>
      <c r="AU1522" s="54"/>
      <c r="AV1522" s="54"/>
      <c r="AW1522" s="54"/>
      <c r="AX1522" s="54"/>
      <c r="AY1522" s="54"/>
      <c r="AZ1522" s="54"/>
      <c r="BA1522" s="54"/>
      <c r="BB1522" s="54"/>
      <c r="BC1522" s="56"/>
      <c r="BD1522" s="51"/>
      <c r="BE1522" s="54"/>
      <c r="BF1522" s="54"/>
      <c r="BG1522" s="47"/>
      <c r="BH1522" s="48"/>
      <c r="BI1522" s="48"/>
      <c r="BJ1522" s="48"/>
      <c r="BK1522" s="48"/>
      <c r="BL1522" s="48"/>
      <c r="BM1522" s="48"/>
      <c r="BN1522" s="48"/>
      <c r="BO1522" s="48"/>
      <c r="BP1522" s="48"/>
      <c r="BQ1522" s="48"/>
      <c r="BR1522" s="48"/>
      <c r="BS1522" s="48"/>
      <c r="BT1522" s="48"/>
      <c r="BU1522" s="48"/>
      <c r="BV1522" s="48"/>
      <c r="BW1522" s="48"/>
      <c r="BX1522" s="48"/>
      <c r="BY1522" s="48"/>
      <c r="BZ1522" s="48"/>
      <c r="CA1522" s="48"/>
      <c r="CB1522" s="48"/>
      <c r="CC1522" s="48"/>
      <c r="CD1522" s="48"/>
      <c r="CE1522" s="48"/>
      <c r="CF1522" s="52"/>
      <c r="CG1522" s="52"/>
      <c r="CH1522" s="48"/>
      <c r="CI1522" s="48"/>
      <c r="CJ1522" s="48"/>
      <c r="CK1522" s="48"/>
    </row>
    <row r="1523" spans="1:89" ht="15.75" customHeight="1" x14ac:dyDescent="0.3">
      <c r="A1523" s="47"/>
      <c r="B1523" s="48"/>
      <c r="C1523" s="47"/>
      <c r="D1523" s="48"/>
      <c r="E1523" s="48"/>
      <c r="F1523" s="48"/>
      <c r="G1523" s="48"/>
      <c r="H1523" s="48"/>
      <c r="I1523" s="49"/>
      <c r="J1523" s="47"/>
      <c r="K1523" s="47"/>
      <c r="L1523" s="47"/>
      <c r="M1523" s="47"/>
      <c r="N1523" s="47"/>
      <c r="O1523" s="47"/>
      <c r="P1523" s="47"/>
      <c r="Q1523" s="47"/>
      <c r="R1523" s="47"/>
      <c r="S1523" s="50"/>
      <c r="T1523" s="47"/>
      <c r="U1523" s="47"/>
      <c r="V1523" s="47"/>
      <c r="W1523" s="51"/>
      <c r="X1523" s="51"/>
      <c r="Y1523" s="47"/>
      <c r="Z1523" s="47"/>
      <c r="AA1523" s="47"/>
      <c r="AB1523" s="47"/>
      <c r="AC1523" s="47"/>
      <c r="AD1523" s="47"/>
      <c r="AE1523" s="54"/>
      <c r="AF1523" s="54"/>
      <c r="AG1523" s="55"/>
      <c r="AH1523" s="54"/>
      <c r="AI1523" s="54"/>
      <c r="AJ1523" s="54"/>
      <c r="AK1523" s="54"/>
      <c r="AL1523" s="54"/>
      <c r="AM1523" s="54"/>
      <c r="AN1523" s="54"/>
      <c r="AO1523" s="54"/>
      <c r="AP1523" s="54"/>
      <c r="AQ1523" s="54"/>
      <c r="AR1523" s="54"/>
      <c r="AS1523" s="54"/>
      <c r="AT1523" s="54"/>
      <c r="AU1523" s="54"/>
      <c r="AV1523" s="54"/>
      <c r="AW1523" s="54"/>
      <c r="AX1523" s="54"/>
      <c r="AY1523" s="54"/>
      <c r="AZ1523" s="54"/>
      <c r="BA1523" s="54"/>
      <c r="BB1523" s="54"/>
      <c r="BC1523" s="56"/>
      <c r="BD1523" s="51"/>
      <c r="BE1523" s="54"/>
      <c r="BF1523" s="54"/>
      <c r="BG1523" s="47"/>
      <c r="BH1523" s="48"/>
      <c r="BI1523" s="48"/>
      <c r="BJ1523" s="48"/>
      <c r="BK1523" s="48"/>
      <c r="BL1523" s="48"/>
      <c r="BM1523" s="48"/>
      <c r="BN1523" s="48"/>
      <c r="BO1523" s="48"/>
      <c r="BP1523" s="48"/>
      <c r="BQ1523" s="48"/>
      <c r="BR1523" s="48"/>
      <c r="BS1523" s="48"/>
      <c r="BT1523" s="48"/>
      <c r="BU1523" s="48"/>
      <c r="BV1523" s="48"/>
      <c r="BW1523" s="48"/>
      <c r="BX1523" s="48"/>
      <c r="BY1523" s="48"/>
      <c r="BZ1523" s="48"/>
      <c r="CA1523" s="48"/>
      <c r="CB1523" s="48"/>
      <c r="CC1523" s="48"/>
      <c r="CD1523" s="48"/>
      <c r="CE1523" s="48"/>
      <c r="CF1523" s="52"/>
      <c r="CG1523" s="52"/>
      <c r="CH1523" s="48"/>
      <c r="CI1523" s="48"/>
      <c r="CJ1523" s="48"/>
      <c r="CK1523" s="48"/>
    </row>
    <row r="1524" spans="1:89" ht="15.75" customHeight="1" x14ac:dyDescent="0.3">
      <c r="A1524" s="47"/>
      <c r="B1524" s="48"/>
      <c r="C1524" s="47"/>
      <c r="D1524" s="48"/>
      <c r="E1524" s="48"/>
      <c r="F1524" s="48"/>
      <c r="G1524" s="48"/>
      <c r="H1524" s="48"/>
      <c r="I1524" s="49"/>
      <c r="J1524" s="47"/>
      <c r="K1524" s="47"/>
      <c r="L1524" s="47"/>
      <c r="M1524" s="47"/>
      <c r="N1524" s="47"/>
      <c r="O1524" s="47"/>
      <c r="P1524" s="47"/>
      <c r="Q1524" s="47"/>
      <c r="R1524" s="47"/>
      <c r="S1524" s="50"/>
      <c r="T1524" s="47"/>
      <c r="U1524" s="47"/>
      <c r="V1524" s="47"/>
      <c r="W1524" s="51"/>
      <c r="X1524" s="51"/>
      <c r="Y1524" s="47"/>
      <c r="Z1524" s="47"/>
      <c r="AA1524" s="47"/>
      <c r="AB1524" s="47"/>
      <c r="AC1524" s="47"/>
      <c r="AD1524" s="47"/>
      <c r="AE1524" s="54"/>
      <c r="AF1524" s="54"/>
      <c r="AG1524" s="55"/>
      <c r="AH1524" s="54"/>
      <c r="AI1524" s="54"/>
      <c r="AJ1524" s="54"/>
      <c r="AK1524" s="54"/>
      <c r="AL1524" s="54"/>
      <c r="AM1524" s="54"/>
      <c r="AN1524" s="54"/>
      <c r="AO1524" s="54"/>
      <c r="AP1524" s="54"/>
      <c r="AQ1524" s="54"/>
      <c r="AR1524" s="54"/>
      <c r="AS1524" s="54"/>
      <c r="AT1524" s="54"/>
      <c r="AU1524" s="54"/>
      <c r="AV1524" s="54"/>
      <c r="AW1524" s="54"/>
      <c r="AX1524" s="54"/>
      <c r="AY1524" s="54"/>
      <c r="AZ1524" s="54"/>
      <c r="BA1524" s="54"/>
      <c r="BB1524" s="54"/>
      <c r="BC1524" s="56"/>
      <c r="BD1524" s="51"/>
      <c r="BE1524" s="54"/>
      <c r="BF1524" s="54"/>
      <c r="BG1524" s="47"/>
      <c r="BH1524" s="48"/>
      <c r="BI1524" s="48"/>
      <c r="BJ1524" s="48"/>
      <c r="BK1524" s="48"/>
      <c r="BL1524" s="48"/>
      <c r="BM1524" s="48"/>
      <c r="BN1524" s="48"/>
      <c r="BO1524" s="48"/>
      <c r="BP1524" s="48"/>
      <c r="BQ1524" s="48"/>
      <c r="BR1524" s="48"/>
      <c r="BS1524" s="48"/>
      <c r="BT1524" s="48"/>
      <c r="BU1524" s="48"/>
      <c r="BV1524" s="48"/>
      <c r="BW1524" s="48"/>
      <c r="BX1524" s="48"/>
      <c r="BY1524" s="48"/>
      <c r="BZ1524" s="48"/>
      <c r="CA1524" s="48"/>
      <c r="CB1524" s="48"/>
      <c r="CC1524" s="48"/>
      <c r="CD1524" s="48"/>
      <c r="CE1524" s="48"/>
      <c r="CF1524" s="52"/>
      <c r="CG1524" s="52"/>
      <c r="CH1524" s="48"/>
      <c r="CI1524" s="48"/>
      <c r="CJ1524" s="48"/>
      <c r="CK1524" s="48"/>
    </row>
    <row r="1525" spans="1:89" ht="15.75" customHeight="1" x14ac:dyDescent="0.3">
      <c r="A1525" s="47"/>
      <c r="B1525" s="48"/>
      <c r="C1525" s="47"/>
      <c r="D1525" s="48"/>
      <c r="E1525" s="48"/>
      <c r="F1525" s="48"/>
      <c r="G1525" s="48"/>
      <c r="H1525" s="48"/>
      <c r="I1525" s="49"/>
      <c r="J1525" s="47"/>
      <c r="K1525" s="47"/>
      <c r="L1525" s="47"/>
      <c r="M1525" s="47"/>
      <c r="N1525" s="47"/>
      <c r="O1525" s="47"/>
      <c r="P1525" s="47"/>
      <c r="Q1525" s="47"/>
      <c r="R1525" s="47"/>
      <c r="S1525" s="50"/>
      <c r="T1525" s="47"/>
      <c r="U1525" s="47"/>
      <c r="V1525" s="47"/>
      <c r="W1525" s="51"/>
      <c r="X1525" s="51"/>
      <c r="Y1525" s="47"/>
      <c r="Z1525" s="47"/>
      <c r="AA1525" s="47"/>
      <c r="AB1525" s="47"/>
      <c r="AC1525" s="47"/>
      <c r="AD1525" s="47"/>
      <c r="AE1525" s="54"/>
      <c r="AF1525" s="54"/>
      <c r="AG1525" s="55"/>
      <c r="AH1525" s="54"/>
      <c r="AI1525" s="54"/>
      <c r="AJ1525" s="54"/>
      <c r="AK1525" s="54"/>
      <c r="AL1525" s="54"/>
      <c r="AM1525" s="54"/>
      <c r="AN1525" s="54"/>
      <c r="AO1525" s="54"/>
      <c r="AP1525" s="54"/>
      <c r="AQ1525" s="54"/>
      <c r="AR1525" s="54"/>
      <c r="AS1525" s="54"/>
      <c r="AT1525" s="54"/>
      <c r="AU1525" s="54"/>
      <c r="AV1525" s="54"/>
      <c r="AW1525" s="54"/>
      <c r="AX1525" s="54"/>
      <c r="AY1525" s="54"/>
      <c r="AZ1525" s="54"/>
      <c r="BA1525" s="54"/>
      <c r="BB1525" s="54"/>
      <c r="BC1525" s="56"/>
      <c r="BD1525" s="51"/>
      <c r="BE1525" s="54"/>
      <c r="BF1525" s="54"/>
      <c r="BG1525" s="47"/>
      <c r="BH1525" s="48"/>
      <c r="BI1525" s="48"/>
      <c r="BJ1525" s="48"/>
      <c r="BK1525" s="48"/>
      <c r="BL1525" s="48"/>
      <c r="BM1525" s="48"/>
      <c r="BN1525" s="48"/>
      <c r="BO1525" s="48"/>
      <c r="BP1525" s="48"/>
      <c r="BQ1525" s="48"/>
      <c r="BR1525" s="48"/>
      <c r="BS1525" s="48"/>
      <c r="BT1525" s="48"/>
      <c r="BU1525" s="48"/>
      <c r="BV1525" s="48"/>
      <c r="BW1525" s="48"/>
      <c r="BX1525" s="48"/>
      <c r="BY1525" s="48"/>
      <c r="BZ1525" s="48"/>
      <c r="CA1525" s="48"/>
      <c r="CB1525" s="48"/>
      <c r="CC1525" s="48"/>
      <c r="CD1525" s="48"/>
      <c r="CE1525" s="48"/>
      <c r="CF1525" s="52"/>
      <c r="CG1525" s="52"/>
      <c r="CH1525" s="48"/>
      <c r="CI1525" s="48"/>
      <c r="CJ1525" s="48"/>
      <c r="CK1525" s="48"/>
    </row>
    <row r="1526" spans="1:89" ht="15.75" customHeight="1" x14ac:dyDescent="0.3">
      <c r="A1526" s="47"/>
      <c r="B1526" s="48"/>
      <c r="C1526" s="47"/>
      <c r="D1526" s="48"/>
      <c r="E1526" s="48"/>
      <c r="F1526" s="48"/>
      <c r="G1526" s="48"/>
      <c r="H1526" s="48"/>
      <c r="I1526" s="49"/>
      <c r="J1526" s="47"/>
      <c r="K1526" s="47"/>
      <c r="L1526" s="47"/>
      <c r="M1526" s="47"/>
      <c r="N1526" s="47"/>
      <c r="O1526" s="47"/>
      <c r="P1526" s="47"/>
      <c r="Q1526" s="47"/>
      <c r="R1526" s="47"/>
      <c r="S1526" s="50"/>
      <c r="T1526" s="47"/>
      <c r="U1526" s="47"/>
      <c r="V1526" s="47"/>
      <c r="W1526" s="51"/>
      <c r="X1526" s="51"/>
      <c r="Y1526" s="47"/>
      <c r="Z1526" s="47"/>
      <c r="AA1526" s="47"/>
      <c r="AB1526" s="47"/>
      <c r="AC1526" s="47"/>
      <c r="AD1526" s="47"/>
      <c r="AE1526" s="54"/>
      <c r="AF1526" s="54"/>
      <c r="AG1526" s="55"/>
      <c r="AH1526" s="54"/>
      <c r="AI1526" s="54"/>
      <c r="AJ1526" s="54"/>
      <c r="AK1526" s="54"/>
      <c r="AL1526" s="54"/>
      <c r="AM1526" s="54"/>
      <c r="AN1526" s="54"/>
      <c r="AO1526" s="54"/>
      <c r="AP1526" s="54"/>
      <c r="AQ1526" s="54"/>
      <c r="AR1526" s="54"/>
      <c r="AS1526" s="54"/>
      <c r="AT1526" s="54"/>
      <c r="AU1526" s="54"/>
      <c r="AV1526" s="54"/>
      <c r="AW1526" s="54"/>
      <c r="AX1526" s="54"/>
      <c r="AY1526" s="54"/>
      <c r="AZ1526" s="54"/>
      <c r="BA1526" s="54"/>
      <c r="BB1526" s="54"/>
      <c r="BC1526" s="56"/>
      <c r="BD1526" s="51"/>
      <c r="BE1526" s="54"/>
      <c r="BF1526" s="54"/>
      <c r="BG1526" s="47"/>
      <c r="BH1526" s="48"/>
      <c r="BI1526" s="48"/>
      <c r="BJ1526" s="48"/>
      <c r="BK1526" s="48"/>
      <c r="BL1526" s="48"/>
      <c r="BM1526" s="48"/>
      <c r="BN1526" s="48"/>
      <c r="BO1526" s="48"/>
      <c r="BP1526" s="48"/>
      <c r="BQ1526" s="48"/>
      <c r="BR1526" s="48"/>
      <c r="BS1526" s="48"/>
      <c r="BT1526" s="48"/>
      <c r="BU1526" s="48"/>
      <c r="BV1526" s="48"/>
      <c r="BW1526" s="48"/>
      <c r="BX1526" s="48"/>
      <c r="BY1526" s="48"/>
      <c r="BZ1526" s="48"/>
      <c r="CA1526" s="48"/>
      <c r="CB1526" s="48"/>
      <c r="CC1526" s="48"/>
      <c r="CD1526" s="48"/>
      <c r="CE1526" s="48"/>
      <c r="CF1526" s="52"/>
      <c r="CG1526" s="52"/>
      <c r="CH1526" s="48"/>
      <c r="CI1526" s="48"/>
      <c r="CJ1526" s="48"/>
      <c r="CK1526" s="48"/>
    </row>
    <row r="1527" spans="1:89" ht="15.75" customHeight="1" x14ac:dyDescent="0.3">
      <c r="A1527" s="47"/>
      <c r="B1527" s="48"/>
      <c r="C1527" s="47"/>
      <c r="D1527" s="48"/>
      <c r="E1527" s="48"/>
      <c r="F1527" s="48"/>
      <c r="G1527" s="48"/>
      <c r="H1527" s="48"/>
      <c r="I1527" s="49"/>
      <c r="J1527" s="47"/>
      <c r="K1527" s="47"/>
      <c r="L1527" s="47"/>
      <c r="M1527" s="47"/>
      <c r="N1527" s="47"/>
      <c r="O1527" s="47"/>
      <c r="P1527" s="47"/>
      <c r="Q1527" s="47"/>
      <c r="R1527" s="47"/>
      <c r="S1527" s="50"/>
      <c r="T1527" s="47"/>
      <c r="U1527" s="47"/>
      <c r="V1527" s="47"/>
      <c r="W1527" s="51"/>
      <c r="X1527" s="51"/>
      <c r="Y1527" s="47"/>
      <c r="Z1527" s="47"/>
      <c r="AA1527" s="47"/>
      <c r="AB1527" s="47"/>
      <c r="AC1527" s="47"/>
      <c r="AD1527" s="47"/>
      <c r="AE1527" s="54"/>
      <c r="AF1527" s="54"/>
      <c r="AG1527" s="55"/>
      <c r="AH1527" s="54"/>
      <c r="AI1527" s="54"/>
      <c r="AJ1527" s="54"/>
      <c r="AK1527" s="54"/>
      <c r="AL1527" s="54"/>
      <c r="AM1527" s="54"/>
      <c r="AN1527" s="54"/>
      <c r="AO1527" s="54"/>
      <c r="AP1527" s="54"/>
      <c r="AQ1527" s="54"/>
      <c r="AR1527" s="54"/>
      <c r="AS1527" s="54"/>
      <c r="AT1527" s="54"/>
      <c r="AU1527" s="54"/>
      <c r="AV1527" s="54"/>
      <c r="AW1527" s="54"/>
      <c r="AX1527" s="54"/>
      <c r="AY1527" s="54"/>
      <c r="AZ1527" s="54"/>
      <c r="BA1527" s="54"/>
      <c r="BB1527" s="54"/>
      <c r="BC1527" s="56"/>
      <c r="BD1527" s="51"/>
      <c r="BE1527" s="54"/>
      <c r="BF1527" s="54"/>
      <c r="BG1527" s="47"/>
      <c r="BH1527" s="48"/>
      <c r="BI1527" s="48"/>
      <c r="BJ1527" s="48"/>
      <c r="BK1527" s="48"/>
      <c r="BL1527" s="48"/>
      <c r="BM1527" s="48"/>
      <c r="BN1527" s="48"/>
      <c r="BO1527" s="48"/>
      <c r="BP1527" s="48"/>
      <c r="BQ1527" s="48"/>
      <c r="BR1527" s="48"/>
      <c r="BS1527" s="48"/>
      <c r="BT1527" s="48"/>
      <c r="BU1527" s="48"/>
      <c r="BV1527" s="48"/>
      <c r="BW1527" s="48"/>
      <c r="BX1527" s="48"/>
      <c r="BY1527" s="48"/>
      <c r="BZ1527" s="48"/>
      <c r="CA1527" s="48"/>
      <c r="CB1527" s="48"/>
      <c r="CC1527" s="48"/>
      <c r="CD1527" s="48"/>
      <c r="CE1527" s="48"/>
      <c r="CF1527" s="52"/>
      <c r="CG1527" s="52"/>
      <c r="CH1527" s="48"/>
      <c r="CI1527" s="48"/>
      <c r="CJ1527" s="48"/>
      <c r="CK1527" s="48"/>
    </row>
    <row r="1528" spans="1:89" ht="15.75" customHeight="1" x14ac:dyDescent="0.3">
      <c r="A1528" s="47"/>
      <c r="B1528" s="48"/>
      <c r="C1528" s="47"/>
      <c r="D1528" s="48"/>
      <c r="E1528" s="48"/>
      <c r="F1528" s="48"/>
      <c r="G1528" s="48"/>
      <c r="H1528" s="48"/>
      <c r="I1528" s="49"/>
      <c r="J1528" s="47"/>
      <c r="K1528" s="47"/>
      <c r="L1528" s="47"/>
      <c r="M1528" s="47"/>
      <c r="N1528" s="47"/>
      <c r="O1528" s="47"/>
      <c r="P1528" s="47"/>
      <c r="Q1528" s="47"/>
      <c r="R1528" s="47"/>
      <c r="S1528" s="50"/>
      <c r="T1528" s="47"/>
      <c r="U1528" s="47"/>
      <c r="V1528" s="47"/>
      <c r="W1528" s="51"/>
      <c r="X1528" s="51"/>
      <c r="Y1528" s="47"/>
      <c r="Z1528" s="47"/>
      <c r="AA1528" s="47"/>
      <c r="AB1528" s="47"/>
      <c r="AC1528" s="47"/>
      <c r="AD1528" s="47"/>
      <c r="AE1528" s="54"/>
      <c r="AF1528" s="54"/>
      <c r="AG1528" s="55"/>
      <c r="AH1528" s="54"/>
      <c r="AI1528" s="54"/>
      <c r="AJ1528" s="54"/>
      <c r="AK1528" s="54"/>
      <c r="AL1528" s="54"/>
      <c r="AM1528" s="54"/>
      <c r="AN1528" s="54"/>
      <c r="AO1528" s="54"/>
      <c r="AP1528" s="54"/>
      <c r="AQ1528" s="54"/>
      <c r="AR1528" s="54"/>
      <c r="AS1528" s="54"/>
      <c r="AT1528" s="54"/>
      <c r="AU1528" s="54"/>
      <c r="AV1528" s="54"/>
      <c r="AW1528" s="54"/>
      <c r="AX1528" s="54"/>
      <c r="AY1528" s="54"/>
      <c r="AZ1528" s="54"/>
      <c r="BA1528" s="54"/>
      <c r="BB1528" s="54"/>
      <c r="BC1528" s="56"/>
      <c r="BD1528" s="51"/>
      <c r="BE1528" s="54"/>
      <c r="BF1528" s="54"/>
      <c r="BG1528" s="47"/>
      <c r="BH1528" s="48"/>
      <c r="BI1528" s="48"/>
      <c r="BJ1528" s="48"/>
      <c r="BK1528" s="48"/>
      <c r="BL1528" s="48"/>
      <c r="BM1528" s="48"/>
      <c r="BN1528" s="48"/>
      <c r="BO1528" s="48"/>
      <c r="BP1528" s="48"/>
      <c r="BQ1528" s="48"/>
      <c r="BR1528" s="48"/>
      <c r="BS1528" s="48"/>
      <c r="BT1528" s="48"/>
      <c r="BU1528" s="48"/>
      <c r="BV1528" s="48"/>
      <c r="BW1528" s="48"/>
      <c r="BX1528" s="48"/>
      <c r="BY1528" s="48"/>
      <c r="BZ1528" s="48"/>
      <c r="CA1528" s="48"/>
      <c r="CB1528" s="48"/>
      <c r="CC1528" s="48"/>
      <c r="CD1528" s="48"/>
      <c r="CE1528" s="48"/>
      <c r="CF1528" s="52"/>
      <c r="CG1528" s="52"/>
      <c r="CH1528" s="48"/>
      <c r="CI1528" s="48"/>
      <c r="CJ1528" s="48"/>
      <c r="CK1528" s="48"/>
    </row>
    <row r="1529" spans="1:89" ht="15.75" customHeight="1" x14ac:dyDescent="0.3">
      <c r="A1529" s="47"/>
      <c r="B1529" s="48"/>
      <c r="C1529" s="47"/>
      <c r="D1529" s="48"/>
      <c r="E1529" s="48"/>
      <c r="F1529" s="48"/>
      <c r="G1529" s="48"/>
      <c r="H1529" s="48"/>
      <c r="I1529" s="49"/>
      <c r="J1529" s="47"/>
      <c r="K1529" s="47"/>
      <c r="L1529" s="47"/>
      <c r="M1529" s="47"/>
      <c r="N1529" s="47"/>
      <c r="O1529" s="47"/>
      <c r="P1529" s="47"/>
      <c r="Q1529" s="47"/>
      <c r="R1529" s="47"/>
      <c r="S1529" s="50"/>
      <c r="T1529" s="47"/>
      <c r="U1529" s="47"/>
      <c r="V1529" s="47"/>
      <c r="W1529" s="51"/>
      <c r="X1529" s="51"/>
      <c r="Y1529" s="47"/>
      <c r="Z1529" s="47"/>
      <c r="AA1529" s="47"/>
      <c r="AB1529" s="47"/>
      <c r="AC1529" s="47"/>
      <c r="AD1529" s="47"/>
      <c r="AE1529" s="54"/>
      <c r="AF1529" s="54"/>
      <c r="AG1529" s="55"/>
      <c r="AH1529" s="54"/>
      <c r="AI1529" s="54"/>
      <c r="AJ1529" s="54"/>
      <c r="AK1529" s="54"/>
      <c r="AL1529" s="54"/>
      <c r="AM1529" s="54"/>
      <c r="AN1529" s="54"/>
      <c r="AO1529" s="54"/>
      <c r="AP1529" s="54"/>
      <c r="AQ1529" s="54"/>
      <c r="AR1529" s="54"/>
      <c r="AS1529" s="54"/>
      <c r="AT1529" s="54"/>
      <c r="AU1529" s="54"/>
      <c r="AV1529" s="54"/>
      <c r="AW1529" s="54"/>
      <c r="AX1529" s="54"/>
      <c r="AY1529" s="54"/>
      <c r="AZ1529" s="54"/>
      <c r="BA1529" s="54"/>
      <c r="BB1529" s="54"/>
      <c r="BC1529" s="56"/>
      <c r="BD1529" s="51"/>
      <c r="BE1529" s="54"/>
      <c r="BF1529" s="54"/>
      <c r="BG1529" s="47"/>
      <c r="BH1529" s="48"/>
      <c r="BI1529" s="48"/>
      <c r="BJ1529" s="48"/>
      <c r="BK1529" s="48"/>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52"/>
      <c r="CG1529" s="52"/>
      <c r="CH1529" s="48"/>
      <c r="CI1529" s="48"/>
      <c r="CJ1529" s="48"/>
      <c r="CK1529" s="48"/>
    </row>
    <row r="1530" spans="1:89" ht="15.75" customHeight="1" x14ac:dyDescent="0.3">
      <c r="A1530" s="47"/>
      <c r="B1530" s="48"/>
      <c r="C1530" s="47"/>
      <c r="D1530" s="48"/>
      <c r="E1530" s="48"/>
      <c r="F1530" s="48"/>
      <c r="G1530" s="48"/>
      <c r="H1530" s="48"/>
      <c r="I1530" s="49"/>
      <c r="J1530" s="47"/>
      <c r="K1530" s="47"/>
      <c r="L1530" s="47"/>
      <c r="M1530" s="47"/>
      <c r="N1530" s="47"/>
      <c r="O1530" s="47"/>
      <c r="P1530" s="47"/>
      <c r="Q1530" s="47"/>
      <c r="R1530" s="47"/>
      <c r="S1530" s="50"/>
      <c r="T1530" s="47"/>
      <c r="U1530" s="47"/>
      <c r="V1530" s="47"/>
      <c r="W1530" s="51"/>
      <c r="X1530" s="51"/>
      <c r="Y1530" s="47"/>
      <c r="Z1530" s="47"/>
      <c r="AA1530" s="47"/>
      <c r="AB1530" s="47"/>
      <c r="AC1530" s="47"/>
      <c r="AD1530" s="47"/>
      <c r="AE1530" s="54"/>
      <c r="AF1530" s="54"/>
      <c r="AG1530" s="55"/>
      <c r="AH1530" s="54"/>
      <c r="AI1530" s="54"/>
      <c r="AJ1530" s="54"/>
      <c r="AK1530" s="54"/>
      <c r="AL1530" s="54"/>
      <c r="AM1530" s="54"/>
      <c r="AN1530" s="54"/>
      <c r="AO1530" s="54"/>
      <c r="AP1530" s="54"/>
      <c r="AQ1530" s="54"/>
      <c r="AR1530" s="54"/>
      <c r="AS1530" s="54"/>
      <c r="AT1530" s="54"/>
      <c r="AU1530" s="54"/>
      <c r="AV1530" s="54"/>
      <c r="AW1530" s="54"/>
      <c r="AX1530" s="54"/>
      <c r="AY1530" s="54"/>
      <c r="AZ1530" s="54"/>
      <c r="BA1530" s="54"/>
      <c r="BB1530" s="54"/>
      <c r="BC1530" s="56"/>
      <c r="BD1530" s="51"/>
      <c r="BE1530" s="54"/>
      <c r="BF1530" s="54"/>
      <c r="BG1530" s="47"/>
      <c r="BH1530" s="48"/>
      <c r="BI1530" s="48"/>
      <c r="BJ1530" s="48"/>
      <c r="BK1530" s="48"/>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52"/>
      <c r="CG1530" s="52"/>
      <c r="CH1530" s="48"/>
      <c r="CI1530" s="48"/>
      <c r="CJ1530" s="48"/>
      <c r="CK1530" s="48"/>
    </row>
    <row r="1531" spans="1:89" ht="15.75" customHeight="1" x14ac:dyDescent="0.3">
      <c r="A1531" s="47"/>
      <c r="B1531" s="48"/>
      <c r="C1531" s="47"/>
      <c r="D1531" s="48"/>
      <c r="E1531" s="48"/>
      <c r="F1531" s="48"/>
      <c r="G1531" s="48"/>
      <c r="H1531" s="48"/>
      <c r="I1531" s="49"/>
      <c r="J1531" s="47"/>
      <c r="K1531" s="47"/>
      <c r="L1531" s="47"/>
      <c r="M1531" s="47"/>
      <c r="N1531" s="47"/>
      <c r="O1531" s="47"/>
      <c r="P1531" s="47"/>
      <c r="Q1531" s="47"/>
      <c r="R1531" s="47"/>
      <c r="S1531" s="50"/>
      <c r="T1531" s="47"/>
      <c r="U1531" s="47"/>
      <c r="V1531" s="47"/>
      <c r="W1531" s="51"/>
      <c r="X1531" s="51"/>
      <c r="Y1531" s="47"/>
      <c r="Z1531" s="47"/>
      <c r="AA1531" s="47"/>
      <c r="AB1531" s="47"/>
      <c r="AC1531" s="47"/>
      <c r="AD1531" s="47"/>
      <c r="AE1531" s="54"/>
      <c r="AF1531" s="54"/>
      <c r="AG1531" s="55"/>
      <c r="AH1531" s="54"/>
      <c r="AI1531" s="54"/>
      <c r="AJ1531" s="54"/>
      <c r="AK1531" s="54"/>
      <c r="AL1531" s="54"/>
      <c r="AM1531" s="54"/>
      <c r="AN1531" s="54"/>
      <c r="AO1531" s="54"/>
      <c r="AP1531" s="54"/>
      <c r="AQ1531" s="54"/>
      <c r="AR1531" s="54"/>
      <c r="AS1531" s="54"/>
      <c r="AT1531" s="54"/>
      <c r="AU1531" s="54"/>
      <c r="AV1531" s="54"/>
      <c r="AW1531" s="54"/>
      <c r="AX1531" s="54"/>
      <c r="AY1531" s="54"/>
      <c r="AZ1531" s="54"/>
      <c r="BA1531" s="54"/>
      <c r="BB1531" s="54"/>
      <c r="BC1531" s="56"/>
      <c r="BD1531" s="51"/>
      <c r="BE1531" s="54"/>
      <c r="BF1531" s="54"/>
      <c r="BG1531" s="47"/>
      <c r="BH1531" s="48"/>
      <c r="BI1531" s="48"/>
      <c r="BJ1531" s="48"/>
      <c r="BK1531" s="48"/>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52"/>
      <c r="CG1531" s="52"/>
      <c r="CH1531" s="48"/>
      <c r="CI1531" s="48"/>
      <c r="CJ1531" s="48"/>
      <c r="CK1531" s="48"/>
    </row>
    <row r="1532" spans="1:89" ht="15.75" customHeight="1" x14ac:dyDescent="0.3">
      <c r="A1532" s="47"/>
      <c r="B1532" s="48"/>
      <c r="C1532" s="47"/>
      <c r="D1532" s="48"/>
      <c r="E1532" s="48"/>
      <c r="F1532" s="48"/>
      <c r="G1532" s="48"/>
      <c r="H1532" s="48"/>
      <c r="I1532" s="49"/>
      <c r="J1532" s="47"/>
      <c r="K1532" s="47"/>
      <c r="L1532" s="47"/>
      <c r="M1532" s="47"/>
      <c r="N1532" s="47"/>
      <c r="O1532" s="47"/>
      <c r="P1532" s="47"/>
      <c r="Q1532" s="47"/>
      <c r="R1532" s="47"/>
      <c r="S1532" s="50"/>
      <c r="T1532" s="47"/>
      <c r="U1532" s="47"/>
      <c r="V1532" s="47"/>
      <c r="W1532" s="51"/>
      <c r="X1532" s="51"/>
      <c r="Y1532" s="47"/>
      <c r="Z1532" s="47"/>
      <c r="AA1532" s="47"/>
      <c r="AB1532" s="47"/>
      <c r="AC1532" s="47"/>
      <c r="AD1532" s="47"/>
      <c r="AE1532" s="54"/>
      <c r="AF1532" s="54"/>
      <c r="AG1532" s="55"/>
      <c r="AH1532" s="54"/>
      <c r="AI1532" s="54"/>
      <c r="AJ1532" s="54"/>
      <c r="AK1532" s="54"/>
      <c r="AL1532" s="54"/>
      <c r="AM1532" s="54"/>
      <c r="AN1532" s="54"/>
      <c r="AO1532" s="54"/>
      <c r="AP1532" s="54"/>
      <c r="AQ1532" s="54"/>
      <c r="AR1532" s="54"/>
      <c r="AS1532" s="54"/>
      <c r="AT1532" s="54"/>
      <c r="AU1532" s="54"/>
      <c r="AV1532" s="54"/>
      <c r="AW1532" s="54"/>
      <c r="AX1532" s="54"/>
      <c r="AY1532" s="54"/>
      <c r="AZ1532" s="54"/>
      <c r="BA1532" s="54"/>
      <c r="BB1532" s="54"/>
      <c r="BC1532" s="56"/>
      <c r="BD1532" s="51"/>
      <c r="BE1532" s="54"/>
      <c r="BF1532" s="54"/>
      <c r="BG1532" s="47"/>
      <c r="BH1532" s="48"/>
      <c r="BI1532" s="48"/>
      <c r="BJ1532" s="48"/>
      <c r="BK1532" s="48"/>
      <c r="BL1532" s="48"/>
      <c r="BM1532" s="48"/>
      <c r="BN1532" s="48"/>
      <c r="BO1532" s="48"/>
      <c r="BP1532" s="48"/>
      <c r="BQ1532" s="48"/>
      <c r="BR1532" s="48"/>
      <c r="BS1532" s="48"/>
      <c r="BT1532" s="48"/>
      <c r="BU1532" s="48"/>
      <c r="BV1532" s="48"/>
      <c r="BW1532" s="48"/>
      <c r="BX1532" s="48"/>
      <c r="BY1532" s="48"/>
      <c r="BZ1532" s="48"/>
      <c r="CA1532" s="48"/>
      <c r="CB1532" s="48"/>
      <c r="CC1532" s="48"/>
      <c r="CD1532" s="48"/>
      <c r="CE1532" s="48"/>
      <c r="CF1532" s="52"/>
      <c r="CG1532" s="52"/>
      <c r="CH1532" s="48"/>
      <c r="CI1532" s="48"/>
      <c r="CJ1532" s="48"/>
      <c r="CK1532" s="48"/>
    </row>
    <row r="1533" spans="1:89" ht="15.75" customHeight="1" x14ac:dyDescent="0.3">
      <c r="A1533" s="47"/>
      <c r="B1533" s="48"/>
      <c r="C1533" s="47"/>
      <c r="D1533" s="48"/>
      <c r="E1533" s="48"/>
      <c r="F1533" s="48"/>
      <c r="G1533" s="48"/>
      <c r="H1533" s="48"/>
      <c r="I1533" s="49"/>
      <c r="J1533" s="47"/>
      <c r="K1533" s="47"/>
      <c r="L1533" s="47"/>
      <c r="M1533" s="47"/>
      <c r="N1533" s="47"/>
      <c r="O1533" s="47"/>
      <c r="P1533" s="47"/>
      <c r="Q1533" s="47"/>
      <c r="R1533" s="47"/>
      <c r="S1533" s="50"/>
      <c r="T1533" s="47"/>
      <c r="U1533" s="47"/>
      <c r="V1533" s="47"/>
      <c r="W1533" s="51"/>
      <c r="X1533" s="51"/>
      <c r="Y1533" s="47"/>
      <c r="Z1533" s="47"/>
      <c r="AA1533" s="47"/>
      <c r="AB1533" s="47"/>
      <c r="AC1533" s="47"/>
      <c r="AD1533" s="47"/>
      <c r="AE1533" s="54"/>
      <c r="AF1533" s="54"/>
      <c r="AG1533" s="55"/>
      <c r="AH1533" s="54"/>
      <c r="AI1533" s="54"/>
      <c r="AJ1533" s="54"/>
      <c r="AK1533" s="54"/>
      <c r="AL1533" s="54"/>
      <c r="AM1533" s="54"/>
      <c r="AN1533" s="54"/>
      <c r="AO1533" s="54"/>
      <c r="AP1533" s="54"/>
      <c r="AQ1533" s="54"/>
      <c r="AR1533" s="54"/>
      <c r="AS1533" s="54"/>
      <c r="AT1533" s="54"/>
      <c r="AU1533" s="54"/>
      <c r="AV1533" s="54"/>
      <c r="AW1533" s="54"/>
      <c r="AX1533" s="54"/>
      <c r="AY1533" s="54"/>
      <c r="AZ1533" s="54"/>
      <c r="BA1533" s="54"/>
      <c r="BB1533" s="54"/>
      <c r="BC1533" s="56"/>
      <c r="BD1533" s="51"/>
      <c r="BE1533" s="54"/>
      <c r="BF1533" s="54"/>
      <c r="BG1533" s="47"/>
      <c r="BH1533" s="48"/>
      <c r="BI1533" s="48"/>
      <c r="BJ1533" s="48"/>
      <c r="BK1533" s="48"/>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52"/>
      <c r="CG1533" s="52"/>
      <c r="CH1533" s="48"/>
      <c r="CI1533" s="48"/>
      <c r="CJ1533" s="48"/>
      <c r="CK1533" s="48"/>
    </row>
    <row r="1534" spans="1:89" ht="15.75" customHeight="1" x14ac:dyDescent="0.3">
      <c r="A1534" s="47"/>
      <c r="B1534" s="48"/>
      <c r="C1534" s="47"/>
      <c r="D1534" s="48"/>
      <c r="E1534" s="48"/>
      <c r="F1534" s="48"/>
      <c r="G1534" s="48"/>
      <c r="H1534" s="48"/>
      <c r="I1534" s="49"/>
      <c r="J1534" s="47"/>
      <c r="K1534" s="47"/>
      <c r="L1534" s="47"/>
      <c r="M1534" s="47"/>
      <c r="N1534" s="47"/>
      <c r="O1534" s="47"/>
      <c r="P1534" s="47"/>
      <c r="Q1534" s="47"/>
      <c r="R1534" s="47"/>
      <c r="S1534" s="50"/>
      <c r="T1534" s="47"/>
      <c r="U1534" s="47"/>
      <c r="V1534" s="47"/>
      <c r="W1534" s="51"/>
      <c r="X1534" s="51"/>
      <c r="Y1534" s="47"/>
      <c r="Z1534" s="47"/>
      <c r="AA1534" s="47"/>
      <c r="AB1534" s="47"/>
      <c r="AC1534" s="47"/>
      <c r="AD1534" s="47"/>
      <c r="AE1534" s="54"/>
      <c r="AF1534" s="54"/>
      <c r="AG1534" s="55"/>
      <c r="AH1534" s="54"/>
      <c r="AI1534" s="54"/>
      <c r="AJ1534" s="54"/>
      <c r="AK1534" s="54"/>
      <c r="AL1534" s="54"/>
      <c r="AM1534" s="54"/>
      <c r="AN1534" s="54"/>
      <c r="AO1534" s="54"/>
      <c r="AP1534" s="54"/>
      <c r="AQ1534" s="54"/>
      <c r="AR1534" s="54"/>
      <c r="AS1534" s="54"/>
      <c r="AT1534" s="54"/>
      <c r="AU1534" s="54"/>
      <c r="AV1534" s="54"/>
      <c r="AW1534" s="54"/>
      <c r="AX1534" s="54"/>
      <c r="AY1534" s="54"/>
      <c r="AZ1534" s="54"/>
      <c r="BA1534" s="54"/>
      <c r="BB1534" s="54"/>
      <c r="BC1534" s="56"/>
      <c r="BD1534" s="51"/>
      <c r="BE1534" s="54"/>
      <c r="BF1534" s="54"/>
      <c r="BG1534" s="47"/>
      <c r="BH1534" s="48"/>
      <c r="BI1534" s="48"/>
      <c r="BJ1534" s="48"/>
      <c r="BK1534" s="48"/>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52"/>
      <c r="CG1534" s="52"/>
      <c r="CH1534" s="48"/>
      <c r="CI1534" s="48"/>
      <c r="CJ1534" s="48"/>
      <c r="CK1534" s="48"/>
    </row>
    <row r="1535" spans="1:89" ht="15.75" customHeight="1" x14ac:dyDescent="0.3">
      <c r="A1535" s="47"/>
      <c r="B1535" s="48"/>
      <c r="C1535" s="47"/>
      <c r="D1535" s="48"/>
      <c r="E1535" s="48"/>
      <c r="F1535" s="48"/>
      <c r="G1535" s="48"/>
      <c r="H1535" s="48"/>
      <c r="I1535" s="49"/>
      <c r="J1535" s="47"/>
      <c r="K1535" s="47"/>
      <c r="L1535" s="47"/>
      <c r="M1535" s="47"/>
      <c r="N1535" s="47"/>
      <c r="O1535" s="47"/>
      <c r="P1535" s="47"/>
      <c r="Q1535" s="47"/>
      <c r="R1535" s="47"/>
      <c r="S1535" s="50"/>
      <c r="T1535" s="47"/>
      <c r="U1535" s="47"/>
      <c r="V1535" s="47"/>
      <c r="W1535" s="51"/>
      <c r="X1535" s="51"/>
      <c r="Y1535" s="47"/>
      <c r="Z1535" s="47"/>
      <c r="AA1535" s="47"/>
      <c r="AB1535" s="47"/>
      <c r="AC1535" s="47"/>
      <c r="AD1535" s="47"/>
      <c r="AE1535" s="54"/>
      <c r="AF1535" s="54"/>
      <c r="AG1535" s="55"/>
      <c r="AH1535" s="54"/>
      <c r="AI1535" s="54"/>
      <c r="AJ1535" s="54"/>
      <c r="AK1535" s="54"/>
      <c r="AL1535" s="54"/>
      <c r="AM1535" s="54"/>
      <c r="AN1535" s="54"/>
      <c r="AO1535" s="54"/>
      <c r="AP1535" s="54"/>
      <c r="AQ1535" s="54"/>
      <c r="AR1535" s="54"/>
      <c r="AS1535" s="54"/>
      <c r="AT1535" s="54"/>
      <c r="AU1535" s="54"/>
      <c r="AV1535" s="54"/>
      <c r="AW1535" s="54"/>
      <c r="AX1535" s="54"/>
      <c r="AY1535" s="54"/>
      <c r="AZ1535" s="54"/>
      <c r="BA1535" s="54"/>
      <c r="BB1535" s="54"/>
      <c r="BC1535" s="56"/>
      <c r="BD1535" s="51"/>
      <c r="BE1535" s="54"/>
      <c r="BF1535" s="54"/>
      <c r="BG1535" s="47"/>
      <c r="BH1535" s="48"/>
      <c r="BI1535" s="48"/>
      <c r="BJ1535" s="48"/>
      <c r="BK1535" s="48"/>
      <c r="BL1535" s="48"/>
      <c r="BM1535" s="48"/>
      <c r="BN1535" s="48"/>
      <c r="BO1535" s="48"/>
      <c r="BP1535" s="48"/>
      <c r="BQ1535" s="48"/>
      <c r="BR1535" s="48"/>
      <c r="BS1535" s="48"/>
      <c r="BT1535" s="48"/>
      <c r="BU1535" s="48"/>
      <c r="BV1535" s="48"/>
      <c r="BW1535" s="48"/>
      <c r="BX1535" s="48"/>
      <c r="BY1535" s="48"/>
      <c r="BZ1535" s="48"/>
      <c r="CA1535" s="48"/>
      <c r="CB1535" s="48"/>
      <c r="CC1535" s="48"/>
      <c r="CD1535" s="48"/>
      <c r="CE1535" s="48"/>
      <c r="CF1535" s="52"/>
      <c r="CG1535" s="52"/>
      <c r="CH1535" s="48"/>
      <c r="CI1535" s="48"/>
      <c r="CJ1535" s="48"/>
      <c r="CK1535" s="48"/>
    </row>
    <row r="1536" spans="1:89" ht="15.75" customHeight="1" x14ac:dyDescent="0.3">
      <c r="A1536" s="47"/>
      <c r="B1536" s="48"/>
      <c r="C1536" s="47"/>
      <c r="D1536" s="48"/>
      <c r="E1536" s="48"/>
      <c r="F1536" s="48"/>
      <c r="G1536" s="48"/>
      <c r="H1536" s="48"/>
      <c r="I1536" s="49"/>
      <c r="J1536" s="47"/>
      <c r="K1536" s="47"/>
      <c r="L1536" s="47"/>
      <c r="M1536" s="47"/>
      <c r="N1536" s="47"/>
      <c r="O1536" s="47"/>
      <c r="P1536" s="47"/>
      <c r="Q1536" s="47"/>
      <c r="R1536" s="47"/>
      <c r="S1536" s="50"/>
      <c r="T1536" s="47"/>
      <c r="U1536" s="47"/>
      <c r="V1536" s="47"/>
      <c r="W1536" s="51"/>
      <c r="X1536" s="51"/>
      <c r="Y1536" s="47"/>
      <c r="Z1536" s="47"/>
      <c r="AA1536" s="47"/>
      <c r="AB1536" s="47"/>
      <c r="AC1536" s="47"/>
      <c r="AD1536" s="47"/>
      <c r="AE1536" s="54"/>
      <c r="AF1536" s="54"/>
      <c r="AG1536" s="55"/>
      <c r="AH1536" s="54"/>
      <c r="AI1536" s="54"/>
      <c r="AJ1536" s="54"/>
      <c r="AK1536" s="54"/>
      <c r="AL1536" s="54"/>
      <c r="AM1536" s="54"/>
      <c r="AN1536" s="54"/>
      <c r="AO1536" s="54"/>
      <c r="AP1536" s="54"/>
      <c r="AQ1536" s="54"/>
      <c r="AR1536" s="54"/>
      <c r="AS1536" s="54"/>
      <c r="AT1536" s="54"/>
      <c r="AU1536" s="54"/>
      <c r="AV1536" s="54"/>
      <c r="AW1536" s="54"/>
      <c r="AX1536" s="54"/>
      <c r="AY1536" s="54"/>
      <c r="AZ1536" s="54"/>
      <c r="BA1536" s="54"/>
      <c r="BB1536" s="54"/>
      <c r="BC1536" s="56"/>
      <c r="BD1536" s="51"/>
      <c r="BE1536" s="54"/>
      <c r="BF1536" s="54"/>
      <c r="BG1536" s="47"/>
      <c r="BH1536" s="48"/>
      <c r="BI1536" s="48"/>
      <c r="BJ1536" s="48"/>
      <c r="BK1536" s="48"/>
      <c r="BL1536" s="48"/>
      <c r="BM1536" s="48"/>
      <c r="BN1536" s="48"/>
      <c r="BO1536" s="48"/>
      <c r="BP1536" s="48"/>
      <c r="BQ1536" s="48"/>
      <c r="BR1536" s="48"/>
      <c r="BS1536" s="48"/>
      <c r="BT1536" s="48"/>
      <c r="BU1536" s="48"/>
      <c r="BV1536" s="48"/>
      <c r="BW1536" s="48"/>
      <c r="BX1536" s="48"/>
      <c r="BY1536" s="48"/>
      <c r="BZ1536" s="48"/>
      <c r="CA1536" s="48"/>
      <c r="CB1536" s="48"/>
      <c r="CC1536" s="48"/>
      <c r="CD1536" s="48"/>
      <c r="CE1536" s="48"/>
      <c r="CF1536" s="52"/>
      <c r="CG1536" s="52"/>
      <c r="CH1536" s="48"/>
      <c r="CI1536" s="48"/>
      <c r="CJ1536" s="48"/>
      <c r="CK1536" s="48"/>
    </row>
    <row r="1537" spans="1:89" ht="15.75" customHeight="1" x14ac:dyDescent="0.3">
      <c r="A1537" s="47"/>
      <c r="B1537" s="48"/>
      <c r="C1537" s="47"/>
      <c r="D1537" s="48"/>
      <c r="E1537" s="48"/>
      <c r="F1537" s="48"/>
      <c r="G1537" s="48"/>
      <c r="H1537" s="48"/>
      <c r="I1537" s="49"/>
      <c r="J1537" s="47"/>
      <c r="K1537" s="47"/>
      <c r="L1537" s="47"/>
      <c r="M1537" s="47"/>
      <c r="N1537" s="47"/>
      <c r="O1537" s="47"/>
      <c r="P1537" s="47"/>
      <c r="Q1537" s="47"/>
      <c r="R1537" s="47"/>
      <c r="S1537" s="50"/>
      <c r="T1537" s="47"/>
      <c r="U1537" s="47"/>
      <c r="V1537" s="47"/>
      <c r="W1537" s="51"/>
      <c r="X1537" s="51"/>
      <c r="Y1537" s="47"/>
      <c r="Z1537" s="47"/>
      <c r="AA1537" s="47"/>
      <c r="AB1537" s="47"/>
      <c r="AC1537" s="47"/>
      <c r="AD1537" s="47"/>
      <c r="AE1537" s="54"/>
      <c r="AF1537" s="54"/>
      <c r="AG1537" s="55"/>
      <c r="AH1537" s="54"/>
      <c r="AI1537" s="54"/>
      <c r="AJ1537" s="54"/>
      <c r="AK1537" s="54"/>
      <c r="AL1537" s="54"/>
      <c r="AM1537" s="54"/>
      <c r="AN1537" s="54"/>
      <c r="AO1537" s="54"/>
      <c r="AP1537" s="54"/>
      <c r="AQ1537" s="54"/>
      <c r="AR1537" s="54"/>
      <c r="AS1537" s="54"/>
      <c r="AT1537" s="54"/>
      <c r="AU1537" s="54"/>
      <c r="AV1537" s="54"/>
      <c r="AW1537" s="54"/>
      <c r="AX1537" s="54"/>
      <c r="AY1537" s="54"/>
      <c r="AZ1537" s="54"/>
      <c r="BA1537" s="54"/>
      <c r="BB1537" s="54"/>
      <c r="BC1537" s="56"/>
      <c r="BD1537" s="51"/>
      <c r="BE1537" s="54"/>
      <c r="BF1537" s="54"/>
      <c r="BG1537" s="47"/>
      <c r="BH1537" s="48"/>
      <c r="BI1537" s="48"/>
      <c r="BJ1537" s="48"/>
      <c r="BK1537" s="48"/>
      <c r="BL1537" s="48"/>
      <c r="BM1537" s="48"/>
      <c r="BN1537" s="48"/>
      <c r="BO1537" s="48"/>
      <c r="BP1537" s="48"/>
      <c r="BQ1537" s="48"/>
      <c r="BR1537" s="48"/>
      <c r="BS1537" s="48"/>
      <c r="BT1537" s="48"/>
      <c r="BU1537" s="48"/>
      <c r="BV1537" s="48"/>
      <c r="BW1537" s="48"/>
      <c r="BX1537" s="48"/>
      <c r="BY1537" s="48"/>
      <c r="BZ1537" s="48"/>
      <c r="CA1537" s="48"/>
      <c r="CB1537" s="48"/>
      <c r="CC1537" s="48"/>
      <c r="CD1537" s="48"/>
      <c r="CE1537" s="48"/>
      <c r="CF1537" s="52"/>
      <c r="CG1537" s="52"/>
      <c r="CH1537" s="48"/>
      <c r="CI1537" s="48"/>
      <c r="CJ1537" s="48"/>
      <c r="CK1537" s="48"/>
    </row>
    <row r="1538" spans="1:89" ht="15.75" customHeight="1" x14ac:dyDescent="0.3">
      <c r="A1538" s="47"/>
      <c r="B1538" s="48"/>
      <c r="C1538" s="47"/>
      <c r="D1538" s="48"/>
      <c r="E1538" s="48"/>
      <c r="F1538" s="48"/>
      <c r="G1538" s="48"/>
      <c r="H1538" s="48"/>
      <c r="I1538" s="49"/>
      <c r="J1538" s="47"/>
      <c r="K1538" s="47"/>
      <c r="L1538" s="47"/>
      <c r="M1538" s="47"/>
      <c r="N1538" s="47"/>
      <c r="O1538" s="47"/>
      <c r="P1538" s="47"/>
      <c r="Q1538" s="47"/>
      <c r="R1538" s="47"/>
      <c r="S1538" s="50"/>
      <c r="T1538" s="47"/>
      <c r="U1538" s="47"/>
      <c r="V1538" s="47"/>
      <c r="W1538" s="51"/>
      <c r="X1538" s="51"/>
      <c r="Y1538" s="47"/>
      <c r="Z1538" s="47"/>
      <c r="AA1538" s="47"/>
      <c r="AB1538" s="47"/>
      <c r="AC1538" s="47"/>
      <c r="AD1538" s="47"/>
      <c r="AE1538" s="54"/>
      <c r="AF1538" s="54"/>
      <c r="AG1538" s="55"/>
      <c r="AH1538" s="54"/>
      <c r="AI1538" s="54"/>
      <c r="AJ1538" s="54"/>
      <c r="AK1538" s="54"/>
      <c r="AL1538" s="54"/>
      <c r="AM1538" s="54"/>
      <c r="AN1538" s="54"/>
      <c r="AO1538" s="54"/>
      <c r="AP1538" s="54"/>
      <c r="AQ1538" s="54"/>
      <c r="AR1538" s="54"/>
      <c r="AS1538" s="54"/>
      <c r="AT1538" s="54"/>
      <c r="AU1538" s="54"/>
      <c r="AV1538" s="54"/>
      <c r="AW1538" s="54"/>
      <c r="AX1538" s="54"/>
      <c r="AY1538" s="54"/>
      <c r="AZ1538" s="54"/>
      <c r="BA1538" s="54"/>
      <c r="BB1538" s="54"/>
      <c r="BC1538" s="56"/>
      <c r="BD1538" s="51"/>
      <c r="BE1538" s="54"/>
      <c r="BF1538" s="54"/>
      <c r="BG1538" s="47"/>
      <c r="BH1538" s="48"/>
      <c r="BI1538" s="48"/>
      <c r="BJ1538" s="48"/>
      <c r="BK1538" s="48"/>
      <c r="BL1538" s="48"/>
      <c r="BM1538" s="48"/>
      <c r="BN1538" s="48"/>
      <c r="BO1538" s="48"/>
      <c r="BP1538" s="48"/>
      <c r="BQ1538" s="48"/>
      <c r="BR1538" s="48"/>
      <c r="BS1538" s="48"/>
      <c r="BT1538" s="48"/>
      <c r="BU1538" s="48"/>
      <c r="BV1538" s="48"/>
      <c r="BW1538" s="48"/>
      <c r="BX1538" s="48"/>
      <c r="BY1538" s="48"/>
      <c r="BZ1538" s="48"/>
      <c r="CA1538" s="48"/>
      <c r="CB1538" s="48"/>
      <c r="CC1538" s="48"/>
      <c r="CD1538" s="48"/>
      <c r="CE1538" s="48"/>
      <c r="CF1538" s="52"/>
      <c r="CG1538" s="52"/>
      <c r="CH1538" s="48"/>
      <c r="CI1538" s="48"/>
      <c r="CJ1538" s="48"/>
      <c r="CK1538" s="48"/>
    </row>
    <row r="1539" spans="1:89" ht="15.75" customHeight="1" x14ac:dyDescent="0.3">
      <c r="A1539" s="47"/>
      <c r="B1539" s="48"/>
      <c r="C1539" s="47"/>
      <c r="D1539" s="48"/>
      <c r="E1539" s="48"/>
      <c r="F1539" s="48"/>
      <c r="G1539" s="48"/>
      <c r="H1539" s="48"/>
      <c r="I1539" s="49"/>
      <c r="J1539" s="47"/>
      <c r="K1539" s="47"/>
      <c r="L1539" s="47"/>
      <c r="M1539" s="47"/>
      <c r="N1539" s="47"/>
      <c r="O1539" s="47"/>
      <c r="P1539" s="47"/>
      <c r="Q1539" s="47"/>
      <c r="R1539" s="47"/>
      <c r="S1539" s="50"/>
      <c r="T1539" s="47"/>
      <c r="U1539" s="47"/>
      <c r="V1539" s="47"/>
      <c r="W1539" s="51"/>
      <c r="X1539" s="51"/>
      <c r="Y1539" s="47"/>
      <c r="Z1539" s="47"/>
      <c r="AA1539" s="47"/>
      <c r="AB1539" s="47"/>
      <c r="AC1539" s="47"/>
      <c r="AD1539" s="47"/>
      <c r="AE1539" s="54"/>
      <c r="AF1539" s="54"/>
      <c r="AG1539" s="55"/>
      <c r="AH1539" s="54"/>
      <c r="AI1539" s="54"/>
      <c r="AJ1539" s="54"/>
      <c r="AK1539" s="54"/>
      <c r="AL1539" s="54"/>
      <c r="AM1539" s="54"/>
      <c r="AN1539" s="54"/>
      <c r="AO1539" s="54"/>
      <c r="AP1539" s="54"/>
      <c r="AQ1539" s="54"/>
      <c r="AR1539" s="54"/>
      <c r="AS1539" s="54"/>
      <c r="AT1539" s="54"/>
      <c r="AU1539" s="54"/>
      <c r="AV1539" s="54"/>
      <c r="AW1539" s="54"/>
      <c r="AX1539" s="54"/>
      <c r="AY1539" s="54"/>
      <c r="AZ1539" s="54"/>
      <c r="BA1539" s="54"/>
      <c r="BB1539" s="54"/>
      <c r="BC1539" s="56"/>
      <c r="BD1539" s="51"/>
      <c r="BE1539" s="54"/>
      <c r="BF1539" s="54"/>
      <c r="BG1539" s="47"/>
      <c r="BH1539" s="48"/>
      <c r="BI1539" s="48"/>
      <c r="BJ1539" s="48"/>
      <c r="BK1539" s="48"/>
      <c r="BL1539" s="48"/>
      <c r="BM1539" s="48"/>
      <c r="BN1539" s="48"/>
      <c r="BO1539" s="48"/>
      <c r="BP1539" s="48"/>
      <c r="BQ1539" s="48"/>
      <c r="BR1539" s="48"/>
      <c r="BS1539" s="48"/>
      <c r="BT1539" s="48"/>
      <c r="BU1539" s="48"/>
      <c r="BV1539" s="48"/>
      <c r="BW1539" s="48"/>
      <c r="BX1539" s="48"/>
      <c r="BY1539" s="48"/>
      <c r="BZ1539" s="48"/>
      <c r="CA1539" s="48"/>
      <c r="CB1539" s="48"/>
      <c r="CC1539" s="48"/>
      <c r="CD1539" s="48"/>
      <c r="CE1539" s="48"/>
      <c r="CF1539" s="52"/>
      <c r="CG1539" s="52"/>
      <c r="CH1539" s="48"/>
      <c r="CI1539" s="48"/>
      <c r="CJ1539" s="48"/>
      <c r="CK1539" s="48"/>
    </row>
    <row r="1540" spans="1:89" ht="15.75" customHeight="1" x14ac:dyDescent="0.3">
      <c r="A1540" s="47"/>
      <c r="B1540" s="48"/>
      <c r="C1540" s="47"/>
      <c r="D1540" s="48"/>
      <c r="E1540" s="48"/>
      <c r="F1540" s="48"/>
      <c r="G1540" s="48"/>
      <c r="H1540" s="48"/>
      <c r="I1540" s="49"/>
      <c r="J1540" s="47"/>
      <c r="K1540" s="47"/>
      <c r="L1540" s="47"/>
      <c r="M1540" s="47"/>
      <c r="N1540" s="47"/>
      <c r="O1540" s="47"/>
      <c r="P1540" s="47"/>
      <c r="Q1540" s="47"/>
      <c r="R1540" s="47"/>
      <c r="S1540" s="50"/>
      <c r="T1540" s="47"/>
      <c r="U1540" s="47"/>
      <c r="V1540" s="47"/>
      <c r="W1540" s="51"/>
      <c r="X1540" s="51"/>
      <c r="Y1540" s="47"/>
      <c r="Z1540" s="47"/>
      <c r="AA1540" s="47"/>
      <c r="AB1540" s="47"/>
      <c r="AC1540" s="47"/>
      <c r="AD1540" s="47"/>
      <c r="AE1540" s="54"/>
      <c r="AF1540" s="54"/>
      <c r="AG1540" s="55"/>
      <c r="AH1540" s="54"/>
      <c r="AI1540" s="54"/>
      <c r="AJ1540" s="54"/>
      <c r="AK1540" s="54"/>
      <c r="AL1540" s="54"/>
      <c r="AM1540" s="54"/>
      <c r="AN1540" s="54"/>
      <c r="AO1540" s="54"/>
      <c r="AP1540" s="54"/>
      <c r="AQ1540" s="54"/>
      <c r="AR1540" s="54"/>
      <c r="AS1540" s="54"/>
      <c r="AT1540" s="54"/>
      <c r="AU1540" s="54"/>
      <c r="AV1540" s="54"/>
      <c r="AW1540" s="54"/>
      <c r="AX1540" s="54"/>
      <c r="AY1540" s="54"/>
      <c r="AZ1540" s="54"/>
      <c r="BA1540" s="54"/>
      <c r="BB1540" s="54"/>
      <c r="BC1540" s="56"/>
      <c r="BD1540" s="51"/>
      <c r="BE1540" s="54"/>
      <c r="BF1540" s="54"/>
      <c r="BG1540" s="47"/>
      <c r="BH1540" s="48"/>
      <c r="BI1540" s="48"/>
      <c r="BJ1540" s="48"/>
      <c r="BK1540" s="48"/>
      <c r="BL1540" s="48"/>
      <c r="BM1540" s="48"/>
      <c r="BN1540" s="48"/>
      <c r="BO1540" s="48"/>
      <c r="BP1540" s="48"/>
      <c r="BQ1540" s="48"/>
      <c r="BR1540" s="48"/>
      <c r="BS1540" s="48"/>
      <c r="BT1540" s="48"/>
      <c r="BU1540" s="48"/>
      <c r="BV1540" s="48"/>
      <c r="BW1540" s="48"/>
      <c r="BX1540" s="48"/>
      <c r="BY1540" s="48"/>
      <c r="BZ1540" s="48"/>
      <c r="CA1540" s="48"/>
      <c r="CB1540" s="48"/>
      <c r="CC1540" s="48"/>
      <c r="CD1540" s="48"/>
      <c r="CE1540" s="48"/>
      <c r="CF1540" s="52"/>
      <c r="CG1540" s="52"/>
      <c r="CH1540" s="48"/>
      <c r="CI1540" s="48"/>
      <c r="CJ1540" s="48"/>
      <c r="CK1540" s="48"/>
    </row>
    <row r="1541" spans="1:89" ht="15.75" customHeight="1" x14ac:dyDescent="0.3">
      <c r="A1541" s="47"/>
      <c r="B1541" s="48"/>
      <c r="C1541" s="47"/>
      <c r="D1541" s="48"/>
      <c r="E1541" s="48"/>
      <c r="F1541" s="48"/>
      <c r="G1541" s="48"/>
      <c r="H1541" s="48"/>
      <c r="I1541" s="49"/>
      <c r="J1541" s="47"/>
      <c r="K1541" s="47"/>
      <c r="L1541" s="47"/>
      <c r="M1541" s="47"/>
      <c r="N1541" s="47"/>
      <c r="O1541" s="47"/>
      <c r="P1541" s="47"/>
      <c r="Q1541" s="47"/>
      <c r="R1541" s="47"/>
      <c r="S1541" s="50"/>
      <c r="T1541" s="47"/>
      <c r="U1541" s="47"/>
      <c r="V1541" s="47"/>
      <c r="W1541" s="51"/>
      <c r="X1541" s="51"/>
      <c r="Y1541" s="47"/>
      <c r="Z1541" s="47"/>
      <c r="AA1541" s="47"/>
      <c r="AB1541" s="47"/>
      <c r="AC1541" s="47"/>
      <c r="AD1541" s="47"/>
      <c r="AE1541" s="54"/>
      <c r="AF1541" s="54"/>
      <c r="AG1541" s="55"/>
      <c r="AH1541" s="54"/>
      <c r="AI1541" s="54"/>
      <c r="AJ1541" s="54"/>
      <c r="AK1541" s="54"/>
      <c r="AL1541" s="54"/>
      <c r="AM1541" s="54"/>
      <c r="AN1541" s="54"/>
      <c r="AO1541" s="54"/>
      <c r="AP1541" s="54"/>
      <c r="AQ1541" s="54"/>
      <c r="AR1541" s="54"/>
      <c r="AS1541" s="54"/>
      <c r="AT1541" s="54"/>
      <c r="AU1541" s="54"/>
      <c r="AV1541" s="54"/>
      <c r="AW1541" s="54"/>
      <c r="AX1541" s="54"/>
      <c r="AY1541" s="54"/>
      <c r="AZ1541" s="54"/>
      <c r="BA1541" s="54"/>
      <c r="BB1541" s="54"/>
      <c r="BC1541" s="56"/>
      <c r="BD1541" s="51"/>
      <c r="BE1541" s="54"/>
      <c r="BF1541" s="54"/>
      <c r="BG1541" s="47"/>
      <c r="BH1541" s="48"/>
      <c r="BI1541" s="48"/>
      <c r="BJ1541" s="48"/>
      <c r="BK1541" s="48"/>
      <c r="BL1541" s="48"/>
      <c r="BM1541" s="48"/>
      <c r="BN1541" s="48"/>
      <c r="BO1541" s="48"/>
      <c r="BP1541" s="48"/>
      <c r="BQ1541" s="48"/>
      <c r="BR1541" s="48"/>
      <c r="BS1541" s="48"/>
      <c r="BT1541" s="48"/>
      <c r="BU1541" s="48"/>
      <c r="BV1541" s="48"/>
      <c r="BW1541" s="48"/>
      <c r="BX1541" s="48"/>
      <c r="BY1541" s="48"/>
      <c r="BZ1541" s="48"/>
      <c r="CA1541" s="48"/>
      <c r="CB1541" s="48"/>
      <c r="CC1541" s="48"/>
      <c r="CD1541" s="48"/>
      <c r="CE1541" s="48"/>
      <c r="CF1541" s="52"/>
      <c r="CG1541" s="52"/>
      <c r="CH1541" s="48"/>
      <c r="CI1541" s="48"/>
      <c r="CJ1541" s="48"/>
      <c r="CK1541" s="48"/>
    </row>
    <row r="1542" spans="1:89" ht="15.75" customHeight="1" x14ac:dyDescent="0.3">
      <c r="A1542" s="47"/>
      <c r="B1542" s="48"/>
      <c r="C1542" s="47"/>
      <c r="D1542" s="48"/>
      <c r="E1542" s="48"/>
      <c r="F1542" s="48"/>
      <c r="G1542" s="48"/>
      <c r="H1542" s="48"/>
      <c r="I1542" s="49"/>
      <c r="J1542" s="47"/>
      <c r="K1542" s="47"/>
      <c r="L1542" s="47"/>
      <c r="M1542" s="47"/>
      <c r="N1542" s="47"/>
      <c r="O1542" s="47"/>
      <c r="P1542" s="47"/>
      <c r="Q1542" s="47"/>
      <c r="R1542" s="47"/>
      <c r="S1542" s="50"/>
      <c r="T1542" s="47"/>
      <c r="U1542" s="47"/>
      <c r="V1542" s="47"/>
      <c r="W1542" s="51"/>
      <c r="X1542" s="51"/>
      <c r="Y1542" s="47"/>
      <c r="Z1542" s="47"/>
      <c r="AA1542" s="47"/>
      <c r="AB1542" s="47"/>
      <c r="AC1542" s="47"/>
      <c r="AD1542" s="47"/>
      <c r="AE1542" s="54"/>
      <c r="AF1542" s="54"/>
      <c r="AG1542" s="55"/>
      <c r="AH1542" s="54"/>
      <c r="AI1542" s="54"/>
      <c r="AJ1542" s="54"/>
      <c r="AK1542" s="54"/>
      <c r="AL1542" s="54"/>
      <c r="AM1542" s="54"/>
      <c r="AN1542" s="54"/>
      <c r="AO1542" s="54"/>
      <c r="AP1542" s="54"/>
      <c r="AQ1542" s="54"/>
      <c r="AR1542" s="54"/>
      <c r="AS1542" s="54"/>
      <c r="AT1542" s="54"/>
      <c r="AU1542" s="54"/>
      <c r="AV1542" s="54"/>
      <c r="AW1542" s="54"/>
      <c r="AX1542" s="54"/>
      <c r="AY1542" s="54"/>
      <c r="AZ1542" s="54"/>
      <c r="BA1542" s="54"/>
      <c r="BB1542" s="54"/>
      <c r="BC1542" s="56"/>
      <c r="BD1542" s="51"/>
      <c r="BE1542" s="54"/>
      <c r="BF1542" s="54"/>
      <c r="BG1542" s="47"/>
      <c r="BH1542" s="48"/>
      <c r="BI1542" s="48"/>
      <c r="BJ1542" s="48"/>
      <c r="BK1542" s="48"/>
      <c r="BL1542" s="48"/>
      <c r="BM1542" s="48"/>
      <c r="BN1542" s="48"/>
      <c r="BO1542" s="48"/>
      <c r="BP1542" s="48"/>
      <c r="BQ1542" s="48"/>
      <c r="BR1542" s="48"/>
      <c r="BS1542" s="48"/>
      <c r="BT1542" s="48"/>
      <c r="BU1542" s="48"/>
      <c r="BV1542" s="48"/>
      <c r="BW1542" s="48"/>
      <c r="BX1542" s="48"/>
      <c r="BY1542" s="48"/>
      <c r="BZ1542" s="48"/>
      <c r="CA1542" s="48"/>
      <c r="CB1542" s="48"/>
      <c r="CC1542" s="48"/>
      <c r="CD1542" s="48"/>
      <c r="CE1542" s="48"/>
      <c r="CF1542" s="52"/>
      <c r="CG1542" s="52"/>
      <c r="CH1542" s="48"/>
      <c r="CI1542" s="48"/>
      <c r="CJ1542" s="48"/>
      <c r="CK1542" s="48"/>
    </row>
    <row r="1543" spans="1:89" ht="15.75" customHeight="1" x14ac:dyDescent="0.3">
      <c r="A1543" s="47"/>
      <c r="B1543" s="48"/>
      <c r="C1543" s="47"/>
      <c r="D1543" s="48"/>
      <c r="E1543" s="48"/>
      <c r="F1543" s="48"/>
      <c r="G1543" s="48"/>
      <c r="H1543" s="48"/>
      <c r="I1543" s="49"/>
      <c r="J1543" s="47"/>
      <c r="K1543" s="47"/>
      <c r="L1543" s="47"/>
      <c r="M1543" s="47"/>
      <c r="N1543" s="47"/>
      <c r="O1543" s="47"/>
      <c r="P1543" s="47"/>
      <c r="Q1543" s="47"/>
      <c r="R1543" s="47"/>
      <c r="S1543" s="50"/>
      <c r="T1543" s="47"/>
      <c r="U1543" s="47"/>
      <c r="V1543" s="47"/>
      <c r="W1543" s="51"/>
      <c r="X1543" s="51"/>
      <c r="Y1543" s="47"/>
      <c r="Z1543" s="47"/>
      <c r="AA1543" s="47"/>
      <c r="AB1543" s="47"/>
      <c r="AC1543" s="47"/>
      <c r="AD1543" s="47"/>
      <c r="AE1543" s="54"/>
      <c r="AF1543" s="54"/>
      <c r="AG1543" s="55"/>
      <c r="AH1543" s="54"/>
      <c r="AI1543" s="54"/>
      <c r="AJ1543" s="54"/>
      <c r="AK1543" s="54"/>
      <c r="AL1543" s="54"/>
      <c r="AM1543" s="54"/>
      <c r="AN1543" s="54"/>
      <c r="AO1543" s="54"/>
      <c r="AP1543" s="54"/>
      <c r="AQ1543" s="54"/>
      <c r="AR1543" s="54"/>
      <c r="AS1543" s="54"/>
      <c r="AT1543" s="54"/>
      <c r="AU1543" s="54"/>
      <c r="AV1543" s="54"/>
      <c r="AW1543" s="54"/>
      <c r="AX1543" s="54"/>
      <c r="AY1543" s="54"/>
      <c r="AZ1543" s="54"/>
      <c r="BA1543" s="54"/>
      <c r="BB1543" s="54"/>
      <c r="BC1543" s="56"/>
      <c r="BD1543" s="51"/>
      <c r="BE1543" s="54"/>
      <c r="BF1543" s="54"/>
      <c r="BG1543" s="47"/>
      <c r="BH1543" s="48"/>
      <c r="BI1543" s="48"/>
      <c r="BJ1543" s="48"/>
      <c r="BK1543" s="48"/>
      <c r="BL1543" s="48"/>
      <c r="BM1543" s="48"/>
      <c r="BN1543" s="48"/>
      <c r="BO1543" s="48"/>
      <c r="BP1543" s="48"/>
      <c r="BQ1543" s="48"/>
      <c r="BR1543" s="48"/>
      <c r="BS1543" s="48"/>
      <c r="BT1543" s="48"/>
      <c r="BU1543" s="48"/>
      <c r="BV1543" s="48"/>
      <c r="BW1543" s="48"/>
      <c r="BX1543" s="48"/>
      <c r="BY1543" s="48"/>
      <c r="BZ1543" s="48"/>
      <c r="CA1543" s="48"/>
      <c r="CB1543" s="48"/>
      <c r="CC1543" s="48"/>
      <c r="CD1543" s="48"/>
      <c r="CE1543" s="48"/>
      <c r="CF1543" s="52"/>
      <c r="CG1543" s="52"/>
      <c r="CH1543" s="48"/>
      <c r="CI1543" s="48"/>
      <c r="CJ1543" s="48"/>
      <c r="CK1543" s="48"/>
    </row>
    <row r="1544" spans="1:89" ht="15.75" customHeight="1" x14ac:dyDescent="0.3">
      <c r="A1544" s="47"/>
      <c r="B1544" s="48"/>
      <c r="C1544" s="47"/>
      <c r="D1544" s="48"/>
      <c r="E1544" s="48"/>
      <c r="F1544" s="48"/>
      <c r="G1544" s="48"/>
      <c r="H1544" s="48"/>
      <c r="I1544" s="49"/>
      <c r="J1544" s="47"/>
      <c r="K1544" s="47"/>
      <c r="L1544" s="47"/>
      <c r="M1544" s="47"/>
      <c r="N1544" s="47"/>
      <c r="O1544" s="47"/>
      <c r="P1544" s="47"/>
      <c r="Q1544" s="47"/>
      <c r="R1544" s="47"/>
      <c r="S1544" s="50"/>
      <c r="T1544" s="47"/>
      <c r="U1544" s="47"/>
      <c r="V1544" s="47"/>
      <c r="W1544" s="51"/>
      <c r="X1544" s="51"/>
      <c r="Y1544" s="47"/>
      <c r="Z1544" s="47"/>
      <c r="AA1544" s="47"/>
      <c r="AB1544" s="47"/>
      <c r="AC1544" s="47"/>
      <c r="AD1544" s="47"/>
      <c r="AE1544" s="54"/>
      <c r="AF1544" s="54"/>
      <c r="AG1544" s="55"/>
      <c r="AH1544" s="54"/>
      <c r="AI1544" s="54"/>
      <c r="AJ1544" s="54"/>
      <c r="AK1544" s="54"/>
      <c r="AL1544" s="54"/>
      <c r="AM1544" s="54"/>
      <c r="AN1544" s="54"/>
      <c r="AO1544" s="54"/>
      <c r="AP1544" s="54"/>
      <c r="AQ1544" s="54"/>
      <c r="AR1544" s="54"/>
      <c r="AS1544" s="54"/>
      <c r="AT1544" s="54"/>
      <c r="AU1544" s="54"/>
      <c r="AV1544" s="54"/>
      <c r="AW1544" s="54"/>
      <c r="AX1544" s="54"/>
      <c r="AY1544" s="54"/>
      <c r="AZ1544" s="54"/>
      <c r="BA1544" s="54"/>
      <c r="BB1544" s="54"/>
      <c r="BC1544" s="56"/>
      <c r="BD1544" s="51"/>
      <c r="BE1544" s="54"/>
      <c r="BF1544" s="54"/>
      <c r="BG1544" s="47"/>
      <c r="BH1544" s="48"/>
      <c r="BI1544" s="48"/>
      <c r="BJ1544" s="48"/>
      <c r="BK1544" s="48"/>
      <c r="BL1544" s="48"/>
      <c r="BM1544" s="48"/>
      <c r="BN1544" s="48"/>
      <c r="BO1544" s="48"/>
      <c r="BP1544" s="48"/>
      <c r="BQ1544" s="48"/>
      <c r="BR1544" s="48"/>
      <c r="BS1544" s="48"/>
      <c r="BT1544" s="48"/>
      <c r="BU1544" s="48"/>
      <c r="BV1544" s="48"/>
      <c r="BW1544" s="48"/>
      <c r="BX1544" s="48"/>
      <c r="BY1544" s="48"/>
      <c r="BZ1544" s="48"/>
      <c r="CA1544" s="48"/>
      <c r="CB1544" s="48"/>
      <c r="CC1544" s="48"/>
      <c r="CD1544" s="48"/>
      <c r="CE1544" s="48"/>
      <c r="CF1544" s="52"/>
      <c r="CG1544" s="52"/>
      <c r="CH1544" s="48"/>
      <c r="CI1544" s="48"/>
      <c r="CJ1544" s="48"/>
      <c r="CK1544" s="48"/>
    </row>
    <row r="1545" spans="1:89" ht="15.75" customHeight="1" x14ac:dyDescent="0.3">
      <c r="A1545" s="47"/>
      <c r="B1545" s="48"/>
      <c r="C1545" s="47"/>
      <c r="D1545" s="48"/>
      <c r="E1545" s="48"/>
      <c r="F1545" s="48"/>
      <c r="G1545" s="48"/>
      <c r="H1545" s="48"/>
      <c r="I1545" s="49"/>
      <c r="J1545" s="47"/>
      <c r="K1545" s="47"/>
      <c r="L1545" s="47"/>
      <c r="M1545" s="47"/>
      <c r="N1545" s="47"/>
      <c r="O1545" s="47"/>
      <c r="P1545" s="47"/>
      <c r="Q1545" s="47"/>
      <c r="R1545" s="47"/>
      <c r="S1545" s="50"/>
      <c r="T1545" s="47"/>
      <c r="U1545" s="47"/>
      <c r="V1545" s="47"/>
      <c r="W1545" s="51"/>
      <c r="X1545" s="51"/>
      <c r="Y1545" s="47"/>
      <c r="Z1545" s="47"/>
      <c r="AA1545" s="47"/>
      <c r="AB1545" s="47"/>
      <c r="AC1545" s="47"/>
      <c r="AD1545" s="47"/>
      <c r="AE1545" s="54"/>
      <c r="AF1545" s="54"/>
      <c r="AG1545" s="55"/>
      <c r="AH1545" s="54"/>
      <c r="AI1545" s="54"/>
      <c r="AJ1545" s="54"/>
      <c r="AK1545" s="54"/>
      <c r="AL1545" s="54"/>
      <c r="AM1545" s="54"/>
      <c r="AN1545" s="54"/>
      <c r="AO1545" s="54"/>
      <c r="AP1545" s="54"/>
      <c r="AQ1545" s="54"/>
      <c r="AR1545" s="54"/>
      <c r="AS1545" s="54"/>
      <c r="AT1545" s="54"/>
      <c r="AU1545" s="54"/>
      <c r="AV1545" s="54"/>
      <c r="AW1545" s="54"/>
      <c r="AX1545" s="54"/>
      <c r="AY1545" s="54"/>
      <c r="AZ1545" s="54"/>
      <c r="BA1545" s="54"/>
      <c r="BB1545" s="54"/>
      <c r="BC1545" s="56"/>
      <c r="BD1545" s="51"/>
      <c r="BE1545" s="54"/>
      <c r="BF1545" s="54"/>
      <c r="BG1545" s="47"/>
      <c r="BH1545" s="48"/>
      <c r="BI1545" s="48"/>
      <c r="BJ1545" s="48"/>
      <c r="BK1545" s="48"/>
      <c r="BL1545" s="48"/>
      <c r="BM1545" s="48"/>
      <c r="BN1545" s="48"/>
      <c r="BO1545" s="48"/>
      <c r="BP1545" s="48"/>
      <c r="BQ1545" s="48"/>
      <c r="BR1545" s="48"/>
      <c r="BS1545" s="48"/>
      <c r="BT1545" s="48"/>
      <c r="BU1545" s="48"/>
      <c r="BV1545" s="48"/>
      <c r="BW1545" s="48"/>
      <c r="BX1545" s="48"/>
      <c r="BY1545" s="48"/>
      <c r="BZ1545" s="48"/>
      <c r="CA1545" s="48"/>
      <c r="CB1545" s="48"/>
      <c r="CC1545" s="48"/>
      <c r="CD1545" s="48"/>
      <c r="CE1545" s="48"/>
      <c r="CF1545" s="52"/>
      <c r="CG1545" s="52"/>
      <c r="CH1545" s="48"/>
      <c r="CI1545" s="48"/>
      <c r="CJ1545" s="48"/>
      <c r="CK1545" s="48"/>
    </row>
    <row r="1546" spans="1:89" ht="15.75" customHeight="1" x14ac:dyDescent="0.3">
      <c r="A1546" s="47"/>
      <c r="B1546" s="48"/>
      <c r="C1546" s="47"/>
      <c r="D1546" s="48"/>
      <c r="E1546" s="48"/>
      <c r="F1546" s="48"/>
      <c r="G1546" s="48"/>
      <c r="H1546" s="48"/>
      <c r="I1546" s="49"/>
      <c r="J1546" s="47"/>
      <c r="K1546" s="47"/>
      <c r="L1546" s="47"/>
      <c r="M1546" s="47"/>
      <c r="N1546" s="47"/>
      <c r="O1546" s="47"/>
      <c r="P1546" s="47"/>
      <c r="Q1546" s="47"/>
      <c r="R1546" s="47"/>
      <c r="S1546" s="50"/>
      <c r="T1546" s="47"/>
      <c r="U1546" s="47"/>
      <c r="V1546" s="47"/>
      <c r="W1546" s="51"/>
      <c r="X1546" s="51"/>
      <c r="Y1546" s="47"/>
      <c r="Z1546" s="47"/>
      <c r="AA1546" s="47"/>
      <c r="AB1546" s="47"/>
      <c r="AC1546" s="47"/>
      <c r="AD1546" s="47"/>
      <c r="AE1546" s="54"/>
      <c r="AF1546" s="54"/>
      <c r="AG1546" s="55"/>
      <c r="AH1546" s="54"/>
      <c r="AI1546" s="54"/>
      <c r="AJ1546" s="54"/>
      <c r="AK1546" s="54"/>
      <c r="AL1546" s="54"/>
      <c r="AM1546" s="54"/>
      <c r="AN1546" s="54"/>
      <c r="AO1546" s="54"/>
      <c r="AP1546" s="54"/>
      <c r="AQ1546" s="54"/>
      <c r="AR1546" s="54"/>
      <c r="AS1546" s="54"/>
      <c r="AT1546" s="54"/>
      <c r="AU1546" s="54"/>
      <c r="AV1546" s="54"/>
      <c r="AW1546" s="54"/>
      <c r="AX1546" s="54"/>
      <c r="AY1546" s="54"/>
      <c r="AZ1546" s="54"/>
      <c r="BA1546" s="54"/>
      <c r="BB1546" s="54"/>
      <c r="BC1546" s="56"/>
      <c r="BD1546" s="51"/>
      <c r="BE1546" s="54"/>
      <c r="BF1546" s="54"/>
      <c r="BG1546" s="47"/>
      <c r="BH1546" s="48"/>
      <c r="BI1546" s="48"/>
      <c r="BJ1546" s="48"/>
      <c r="BK1546" s="48"/>
      <c r="BL1546" s="48"/>
      <c r="BM1546" s="48"/>
      <c r="BN1546" s="48"/>
      <c r="BO1546" s="48"/>
      <c r="BP1546" s="48"/>
      <c r="BQ1546" s="48"/>
      <c r="BR1546" s="48"/>
      <c r="BS1546" s="48"/>
      <c r="BT1546" s="48"/>
      <c r="BU1546" s="48"/>
      <c r="BV1546" s="48"/>
      <c r="BW1546" s="48"/>
      <c r="BX1546" s="48"/>
      <c r="BY1546" s="48"/>
      <c r="BZ1546" s="48"/>
      <c r="CA1546" s="48"/>
      <c r="CB1546" s="48"/>
      <c r="CC1546" s="48"/>
      <c r="CD1546" s="48"/>
      <c r="CE1546" s="48"/>
      <c r="CF1546" s="52"/>
      <c r="CG1546" s="52"/>
      <c r="CH1546" s="48"/>
      <c r="CI1546" s="48"/>
      <c r="CJ1546" s="48"/>
      <c r="CK1546" s="48"/>
    </row>
    <row r="1547" spans="1:89" ht="15.75" customHeight="1" x14ac:dyDescent="0.3">
      <c r="A1547" s="47"/>
      <c r="B1547" s="48"/>
      <c r="C1547" s="47"/>
      <c r="D1547" s="48"/>
      <c r="E1547" s="48"/>
      <c r="F1547" s="48"/>
      <c r="G1547" s="48"/>
      <c r="H1547" s="48"/>
      <c r="I1547" s="49"/>
      <c r="J1547" s="47"/>
      <c r="K1547" s="47"/>
      <c r="L1547" s="47"/>
      <c r="M1547" s="47"/>
      <c r="N1547" s="47"/>
      <c r="O1547" s="47"/>
      <c r="P1547" s="47"/>
      <c r="Q1547" s="47"/>
      <c r="R1547" s="47"/>
      <c r="S1547" s="50"/>
      <c r="T1547" s="47"/>
      <c r="U1547" s="47"/>
      <c r="V1547" s="47"/>
      <c r="W1547" s="51"/>
      <c r="X1547" s="51"/>
      <c r="Y1547" s="47"/>
      <c r="Z1547" s="47"/>
      <c r="AA1547" s="47"/>
      <c r="AB1547" s="47"/>
      <c r="AC1547" s="47"/>
      <c r="AD1547" s="47"/>
      <c r="AE1547" s="54"/>
      <c r="AF1547" s="54"/>
      <c r="AG1547" s="55"/>
      <c r="AH1547" s="54"/>
      <c r="AI1547" s="54"/>
      <c r="AJ1547" s="54"/>
      <c r="AK1547" s="54"/>
      <c r="AL1547" s="54"/>
      <c r="AM1547" s="54"/>
      <c r="AN1547" s="54"/>
      <c r="AO1547" s="54"/>
      <c r="AP1547" s="54"/>
      <c r="AQ1547" s="54"/>
      <c r="AR1547" s="54"/>
      <c r="AS1547" s="54"/>
      <c r="AT1547" s="54"/>
      <c r="AU1547" s="54"/>
      <c r="AV1547" s="54"/>
      <c r="AW1547" s="54"/>
      <c r="AX1547" s="54"/>
      <c r="AY1547" s="54"/>
      <c r="AZ1547" s="54"/>
      <c r="BA1547" s="54"/>
      <c r="BB1547" s="54"/>
      <c r="BC1547" s="56"/>
      <c r="BD1547" s="51"/>
      <c r="BE1547" s="54"/>
      <c r="BF1547" s="54"/>
      <c r="BG1547" s="47"/>
      <c r="BH1547" s="48"/>
      <c r="BI1547" s="48"/>
      <c r="BJ1547" s="48"/>
      <c r="BK1547" s="48"/>
      <c r="BL1547" s="48"/>
      <c r="BM1547" s="48"/>
      <c r="BN1547" s="48"/>
      <c r="BO1547" s="48"/>
      <c r="BP1547" s="48"/>
      <c r="BQ1547" s="48"/>
      <c r="BR1547" s="48"/>
      <c r="BS1547" s="48"/>
      <c r="BT1547" s="48"/>
      <c r="BU1547" s="48"/>
      <c r="BV1547" s="48"/>
      <c r="BW1547" s="48"/>
      <c r="BX1547" s="48"/>
      <c r="BY1547" s="48"/>
      <c r="BZ1547" s="48"/>
      <c r="CA1547" s="48"/>
      <c r="CB1547" s="48"/>
      <c r="CC1547" s="48"/>
      <c r="CD1547" s="48"/>
      <c r="CE1547" s="48"/>
      <c r="CF1547" s="52"/>
      <c r="CG1547" s="52"/>
      <c r="CH1547" s="48"/>
      <c r="CI1547" s="48"/>
      <c r="CJ1547" s="48"/>
      <c r="CK1547" s="48"/>
    </row>
    <row r="1548" spans="1:89" ht="15.75" customHeight="1" x14ac:dyDescent="0.3">
      <c r="A1548" s="47"/>
      <c r="B1548" s="48"/>
      <c r="C1548" s="47"/>
      <c r="D1548" s="48"/>
      <c r="E1548" s="48"/>
      <c r="F1548" s="48"/>
      <c r="G1548" s="48"/>
      <c r="H1548" s="48"/>
      <c r="I1548" s="49"/>
      <c r="J1548" s="47"/>
      <c r="K1548" s="47"/>
      <c r="L1548" s="47"/>
      <c r="M1548" s="47"/>
      <c r="N1548" s="47"/>
      <c r="O1548" s="47"/>
      <c r="P1548" s="47"/>
      <c r="Q1548" s="47"/>
      <c r="R1548" s="47"/>
      <c r="S1548" s="50"/>
      <c r="T1548" s="47"/>
      <c r="U1548" s="47"/>
      <c r="V1548" s="47"/>
      <c r="W1548" s="51"/>
      <c r="X1548" s="51"/>
      <c r="Y1548" s="47"/>
      <c r="Z1548" s="47"/>
      <c r="AA1548" s="47"/>
      <c r="AB1548" s="47"/>
      <c r="AC1548" s="47"/>
      <c r="AD1548" s="47"/>
      <c r="AE1548" s="54"/>
      <c r="AF1548" s="54"/>
      <c r="AG1548" s="55"/>
      <c r="AH1548" s="54"/>
      <c r="AI1548" s="54"/>
      <c r="AJ1548" s="54"/>
      <c r="AK1548" s="54"/>
      <c r="AL1548" s="54"/>
      <c r="AM1548" s="54"/>
      <c r="AN1548" s="54"/>
      <c r="AO1548" s="54"/>
      <c r="AP1548" s="54"/>
      <c r="AQ1548" s="54"/>
      <c r="AR1548" s="54"/>
      <c r="AS1548" s="54"/>
      <c r="AT1548" s="54"/>
      <c r="AU1548" s="54"/>
      <c r="AV1548" s="54"/>
      <c r="AW1548" s="54"/>
      <c r="AX1548" s="54"/>
      <c r="AY1548" s="54"/>
      <c r="AZ1548" s="54"/>
      <c r="BA1548" s="54"/>
      <c r="BB1548" s="54"/>
      <c r="BC1548" s="56"/>
      <c r="BD1548" s="51"/>
      <c r="BE1548" s="54"/>
      <c r="BF1548" s="54"/>
      <c r="BG1548" s="47"/>
      <c r="BH1548" s="48"/>
      <c r="BI1548" s="48"/>
      <c r="BJ1548" s="48"/>
      <c r="BK1548" s="48"/>
      <c r="BL1548" s="48"/>
      <c r="BM1548" s="48"/>
      <c r="BN1548" s="48"/>
      <c r="BO1548" s="48"/>
      <c r="BP1548" s="48"/>
      <c r="BQ1548" s="48"/>
      <c r="BR1548" s="48"/>
      <c r="BS1548" s="48"/>
      <c r="BT1548" s="48"/>
      <c r="BU1548" s="48"/>
      <c r="BV1548" s="48"/>
      <c r="BW1548" s="48"/>
      <c r="BX1548" s="48"/>
      <c r="BY1548" s="48"/>
      <c r="BZ1548" s="48"/>
      <c r="CA1548" s="48"/>
      <c r="CB1548" s="48"/>
      <c r="CC1548" s="48"/>
      <c r="CD1548" s="48"/>
      <c r="CE1548" s="48"/>
      <c r="CF1548" s="52"/>
      <c r="CG1548" s="52"/>
      <c r="CH1548" s="48"/>
      <c r="CI1548" s="48"/>
      <c r="CJ1548" s="48"/>
      <c r="CK1548" s="48"/>
    </row>
    <row r="1549" spans="1:89" ht="15.75" customHeight="1" x14ac:dyDescent="0.3">
      <c r="A1549" s="47"/>
      <c r="B1549" s="48"/>
      <c r="C1549" s="47"/>
      <c r="D1549" s="48"/>
      <c r="E1549" s="48"/>
      <c r="F1549" s="48"/>
      <c r="G1549" s="48"/>
      <c r="H1549" s="48"/>
      <c r="I1549" s="49"/>
      <c r="J1549" s="47"/>
      <c r="K1549" s="47"/>
      <c r="L1549" s="47"/>
      <c r="M1549" s="47"/>
      <c r="N1549" s="47"/>
      <c r="O1549" s="47"/>
      <c r="P1549" s="47"/>
      <c r="Q1549" s="47"/>
      <c r="R1549" s="47"/>
      <c r="S1549" s="50"/>
      <c r="T1549" s="47"/>
      <c r="U1549" s="47"/>
      <c r="V1549" s="47"/>
      <c r="W1549" s="51"/>
      <c r="X1549" s="51"/>
      <c r="Y1549" s="47"/>
      <c r="Z1549" s="47"/>
      <c r="AA1549" s="47"/>
      <c r="AB1549" s="47"/>
      <c r="AC1549" s="47"/>
      <c r="AD1549" s="47"/>
      <c r="AE1549" s="54"/>
      <c r="AF1549" s="54"/>
      <c r="AG1549" s="55"/>
      <c r="AH1549" s="54"/>
      <c r="AI1549" s="54"/>
      <c r="AJ1549" s="54"/>
      <c r="AK1549" s="54"/>
      <c r="AL1549" s="54"/>
      <c r="AM1549" s="54"/>
      <c r="AN1549" s="54"/>
      <c r="AO1549" s="54"/>
      <c r="AP1549" s="54"/>
      <c r="AQ1549" s="54"/>
      <c r="AR1549" s="54"/>
      <c r="AS1549" s="54"/>
      <c r="AT1549" s="54"/>
      <c r="AU1549" s="54"/>
      <c r="AV1549" s="54"/>
      <c r="AW1549" s="54"/>
      <c r="AX1549" s="54"/>
      <c r="AY1549" s="54"/>
      <c r="AZ1549" s="54"/>
      <c r="BA1549" s="54"/>
      <c r="BB1549" s="54"/>
      <c r="BC1549" s="56"/>
      <c r="BD1549" s="51"/>
      <c r="BE1549" s="54"/>
      <c r="BF1549" s="54"/>
      <c r="BG1549" s="47"/>
      <c r="BH1549" s="48"/>
      <c r="BI1549" s="48"/>
      <c r="BJ1549" s="48"/>
      <c r="BK1549" s="48"/>
      <c r="BL1549" s="48"/>
      <c r="BM1549" s="48"/>
      <c r="BN1549" s="48"/>
      <c r="BO1549" s="48"/>
      <c r="BP1549" s="48"/>
      <c r="BQ1549" s="48"/>
      <c r="BR1549" s="48"/>
      <c r="BS1549" s="48"/>
      <c r="BT1549" s="48"/>
      <c r="BU1549" s="48"/>
      <c r="BV1549" s="48"/>
      <c r="BW1549" s="48"/>
      <c r="BX1549" s="48"/>
      <c r="BY1549" s="48"/>
      <c r="BZ1549" s="48"/>
      <c r="CA1549" s="48"/>
      <c r="CB1549" s="48"/>
      <c r="CC1549" s="48"/>
      <c r="CD1549" s="48"/>
      <c r="CE1549" s="48"/>
      <c r="CF1549" s="52"/>
      <c r="CG1549" s="52"/>
      <c r="CH1549" s="48"/>
      <c r="CI1549" s="48"/>
      <c r="CJ1549" s="48"/>
      <c r="CK1549" s="48"/>
    </row>
    <row r="1550" spans="1:89" ht="15.75" customHeight="1" x14ac:dyDescent="0.3">
      <c r="A1550" s="47"/>
      <c r="B1550" s="48"/>
      <c r="C1550" s="47"/>
      <c r="D1550" s="48"/>
      <c r="E1550" s="48"/>
      <c r="F1550" s="48"/>
      <c r="G1550" s="48"/>
      <c r="H1550" s="48"/>
      <c r="I1550" s="49"/>
      <c r="J1550" s="47"/>
      <c r="K1550" s="47"/>
      <c r="L1550" s="47"/>
      <c r="M1550" s="47"/>
      <c r="N1550" s="47"/>
      <c r="O1550" s="47"/>
      <c r="P1550" s="47"/>
      <c r="Q1550" s="47"/>
      <c r="R1550" s="47"/>
      <c r="S1550" s="50"/>
      <c r="T1550" s="47"/>
      <c r="U1550" s="47"/>
      <c r="V1550" s="47"/>
      <c r="W1550" s="51"/>
      <c r="X1550" s="51"/>
      <c r="Y1550" s="47"/>
      <c r="Z1550" s="47"/>
      <c r="AA1550" s="47"/>
      <c r="AB1550" s="47"/>
      <c r="AC1550" s="47"/>
      <c r="AD1550" s="47"/>
      <c r="AE1550" s="54"/>
      <c r="AF1550" s="54"/>
      <c r="AG1550" s="55"/>
      <c r="AH1550" s="54"/>
      <c r="AI1550" s="54"/>
      <c r="AJ1550" s="54"/>
      <c r="AK1550" s="54"/>
      <c r="AL1550" s="54"/>
      <c r="AM1550" s="54"/>
      <c r="AN1550" s="54"/>
      <c r="AO1550" s="54"/>
      <c r="AP1550" s="54"/>
      <c r="AQ1550" s="54"/>
      <c r="AR1550" s="54"/>
      <c r="AS1550" s="54"/>
      <c r="AT1550" s="54"/>
      <c r="AU1550" s="54"/>
      <c r="AV1550" s="54"/>
      <c r="AW1550" s="54"/>
      <c r="AX1550" s="54"/>
      <c r="AY1550" s="54"/>
      <c r="AZ1550" s="54"/>
      <c r="BA1550" s="54"/>
      <c r="BB1550" s="54"/>
      <c r="BC1550" s="56"/>
      <c r="BD1550" s="51"/>
      <c r="BE1550" s="54"/>
      <c r="BF1550" s="54"/>
      <c r="BG1550" s="47"/>
      <c r="BH1550" s="48"/>
      <c r="BI1550" s="48"/>
      <c r="BJ1550" s="48"/>
      <c r="BK1550" s="48"/>
      <c r="BL1550" s="48"/>
      <c r="BM1550" s="48"/>
      <c r="BN1550" s="48"/>
      <c r="BO1550" s="48"/>
      <c r="BP1550" s="48"/>
      <c r="BQ1550" s="48"/>
      <c r="BR1550" s="48"/>
      <c r="BS1550" s="48"/>
      <c r="BT1550" s="48"/>
      <c r="BU1550" s="48"/>
      <c r="BV1550" s="48"/>
      <c r="BW1550" s="48"/>
      <c r="BX1550" s="48"/>
      <c r="BY1550" s="48"/>
      <c r="BZ1550" s="48"/>
      <c r="CA1550" s="48"/>
      <c r="CB1550" s="48"/>
      <c r="CC1550" s="48"/>
      <c r="CD1550" s="48"/>
      <c r="CE1550" s="48"/>
      <c r="CF1550" s="52"/>
      <c r="CG1550" s="52"/>
      <c r="CH1550" s="48"/>
      <c r="CI1550" s="48"/>
      <c r="CJ1550" s="48"/>
      <c r="CK1550" s="48"/>
    </row>
    <row r="1551" spans="1:89" ht="15.75" customHeight="1" x14ac:dyDescent="0.3">
      <c r="A1551" s="47"/>
      <c r="B1551" s="48"/>
      <c r="C1551" s="47"/>
      <c r="D1551" s="48"/>
      <c r="E1551" s="48"/>
      <c r="F1551" s="48"/>
      <c r="G1551" s="48"/>
      <c r="H1551" s="48"/>
      <c r="I1551" s="49"/>
      <c r="J1551" s="47"/>
      <c r="K1551" s="47"/>
      <c r="L1551" s="47"/>
      <c r="M1551" s="47"/>
      <c r="N1551" s="47"/>
      <c r="O1551" s="47"/>
      <c r="P1551" s="47"/>
      <c r="Q1551" s="47"/>
      <c r="R1551" s="47"/>
      <c r="S1551" s="50"/>
      <c r="T1551" s="47"/>
      <c r="U1551" s="47"/>
      <c r="V1551" s="47"/>
      <c r="W1551" s="51"/>
      <c r="X1551" s="51"/>
      <c r="Y1551" s="47"/>
      <c r="Z1551" s="47"/>
      <c r="AA1551" s="47"/>
      <c r="AB1551" s="47"/>
      <c r="AC1551" s="47"/>
      <c r="AD1551" s="47"/>
      <c r="AE1551" s="54"/>
      <c r="AF1551" s="54"/>
      <c r="AG1551" s="55"/>
      <c r="AH1551" s="54"/>
      <c r="AI1551" s="54"/>
      <c r="AJ1551" s="54"/>
      <c r="AK1551" s="54"/>
      <c r="AL1551" s="54"/>
      <c r="AM1551" s="54"/>
      <c r="AN1551" s="54"/>
      <c r="AO1551" s="54"/>
      <c r="AP1551" s="54"/>
      <c r="AQ1551" s="54"/>
      <c r="AR1551" s="54"/>
      <c r="AS1551" s="54"/>
      <c r="AT1551" s="54"/>
      <c r="AU1551" s="54"/>
      <c r="AV1551" s="54"/>
      <c r="AW1551" s="54"/>
      <c r="AX1551" s="54"/>
      <c r="AY1551" s="54"/>
      <c r="AZ1551" s="54"/>
      <c r="BA1551" s="54"/>
      <c r="BB1551" s="54"/>
      <c r="BC1551" s="56"/>
      <c r="BD1551" s="51"/>
      <c r="BE1551" s="54"/>
      <c r="BF1551" s="54"/>
      <c r="BG1551" s="47"/>
      <c r="BH1551" s="48"/>
      <c r="BI1551" s="48"/>
      <c r="BJ1551" s="48"/>
      <c r="BK1551" s="48"/>
      <c r="BL1551" s="48"/>
      <c r="BM1551" s="48"/>
      <c r="BN1551" s="48"/>
      <c r="BO1551" s="48"/>
      <c r="BP1551" s="48"/>
      <c r="BQ1551" s="48"/>
      <c r="BR1551" s="48"/>
      <c r="BS1551" s="48"/>
      <c r="BT1551" s="48"/>
      <c r="BU1551" s="48"/>
      <c r="BV1551" s="48"/>
      <c r="BW1551" s="48"/>
      <c r="BX1551" s="48"/>
      <c r="BY1551" s="48"/>
      <c r="BZ1551" s="48"/>
      <c r="CA1551" s="48"/>
      <c r="CB1551" s="48"/>
      <c r="CC1551" s="48"/>
      <c r="CD1551" s="48"/>
      <c r="CE1551" s="48"/>
      <c r="CF1551" s="52"/>
      <c r="CG1551" s="52"/>
      <c r="CH1551" s="48"/>
      <c r="CI1551" s="48"/>
      <c r="CJ1551" s="48"/>
      <c r="CK1551" s="48"/>
    </row>
    <row r="1552" spans="1:89" ht="15.75" customHeight="1" x14ac:dyDescent="0.3">
      <c r="A1552" s="47"/>
      <c r="B1552" s="48"/>
      <c r="C1552" s="47"/>
      <c r="D1552" s="48"/>
      <c r="E1552" s="48"/>
      <c r="F1552" s="48"/>
      <c r="G1552" s="48"/>
      <c r="H1552" s="48"/>
      <c r="I1552" s="49"/>
      <c r="J1552" s="47"/>
      <c r="K1552" s="47"/>
      <c r="L1552" s="47"/>
      <c r="M1552" s="47"/>
      <c r="N1552" s="47"/>
      <c r="O1552" s="47"/>
      <c r="P1552" s="47"/>
      <c r="Q1552" s="47"/>
      <c r="R1552" s="47"/>
      <c r="S1552" s="50"/>
      <c r="T1552" s="47"/>
      <c r="U1552" s="47"/>
      <c r="V1552" s="47"/>
      <c r="W1552" s="51"/>
      <c r="X1552" s="51"/>
      <c r="Y1552" s="47"/>
      <c r="Z1552" s="47"/>
      <c r="AA1552" s="47"/>
      <c r="AB1552" s="47"/>
      <c r="AC1552" s="47"/>
      <c r="AD1552" s="47"/>
      <c r="AE1552" s="54"/>
      <c r="AF1552" s="54"/>
      <c r="AG1552" s="55"/>
      <c r="AH1552" s="54"/>
      <c r="AI1552" s="54"/>
      <c r="AJ1552" s="54"/>
      <c r="AK1552" s="54"/>
      <c r="AL1552" s="54"/>
      <c r="AM1552" s="54"/>
      <c r="AN1552" s="54"/>
      <c r="AO1552" s="54"/>
      <c r="AP1552" s="54"/>
      <c r="AQ1552" s="54"/>
      <c r="AR1552" s="54"/>
      <c r="AS1552" s="54"/>
      <c r="AT1552" s="54"/>
      <c r="AU1552" s="54"/>
      <c r="AV1552" s="54"/>
      <c r="AW1552" s="54"/>
      <c r="AX1552" s="54"/>
      <c r="AY1552" s="54"/>
      <c r="AZ1552" s="54"/>
      <c r="BA1552" s="54"/>
      <c r="BB1552" s="54"/>
      <c r="BC1552" s="56"/>
      <c r="BD1552" s="51"/>
      <c r="BE1552" s="54"/>
      <c r="BF1552" s="54"/>
      <c r="BG1552" s="47"/>
      <c r="BH1552" s="48"/>
      <c r="BI1552" s="48"/>
      <c r="BJ1552" s="48"/>
      <c r="BK1552" s="48"/>
      <c r="BL1552" s="48"/>
      <c r="BM1552" s="48"/>
      <c r="BN1552" s="48"/>
      <c r="BO1552" s="48"/>
      <c r="BP1552" s="48"/>
      <c r="BQ1552" s="48"/>
      <c r="BR1552" s="48"/>
      <c r="BS1552" s="48"/>
      <c r="BT1552" s="48"/>
      <c r="BU1552" s="48"/>
      <c r="BV1552" s="48"/>
      <c r="BW1552" s="48"/>
      <c r="BX1552" s="48"/>
      <c r="BY1552" s="48"/>
      <c r="BZ1552" s="48"/>
      <c r="CA1552" s="48"/>
      <c r="CB1552" s="48"/>
      <c r="CC1552" s="48"/>
      <c r="CD1552" s="48"/>
      <c r="CE1552" s="48"/>
      <c r="CF1552" s="52"/>
      <c r="CG1552" s="52"/>
      <c r="CH1552" s="48"/>
      <c r="CI1552" s="48"/>
      <c r="CJ1552" s="48"/>
      <c r="CK1552" s="48"/>
    </row>
    <row r="1553" spans="1:89" ht="15.75" customHeight="1" x14ac:dyDescent="0.3">
      <c r="A1553" s="47"/>
      <c r="B1553" s="48"/>
      <c r="C1553" s="47"/>
      <c r="D1553" s="48"/>
      <c r="E1553" s="48"/>
      <c r="F1553" s="48"/>
      <c r="G1553" s="48"/>
      <c r="H1553" s="48"/>
      <c r="I1553" s="49"/>
      <c r="J1553" s="47"/>
      <c r="K1553" s="47"/>
      <c r="L1553" s="47"/>
      <c r="M1553" s="47"/>
      <c r="N1553" s="47"/>
      <c r="O1553" s="47"/>
      <c r="P1553" s="47"/>
      <c r="Q1553" s="47"/>
      <c r="R1553" s="47"/>
      <c r="S1553" s="50"/>
      <c r="T1553" s="47"/>
      <c r="U1553" s="47"/>
      <c r="V1553" s="47"/>
      <c r="W1553" s="51"/>
      <c r="X1553" s="51"/>
      <c r="Y1553" s="47"/>
      <c r="Z1553" s="47"/>
      <c r="AA1553" s="47"/>
      <c r="AB1553" s="47"/>
      <c r="AC1553" s="47"/>
      <c r="AD1553" s="47"/>
      <c r="AE1553" s="54"/>
      <c r="AF1553" s="54"/>
      <c r="AG1553" s="55"/>
      <c r="AH1553" s="54"/>
      <c r="AI1553" s="54"/>
      <c r="AJ1553" s="54"/>
      <c r="AK1553" s="54"/>
      <c r="AL1553" s="54"/>
      <c r="AM1553" s="54"/>
      <c r="AN1553" s="54"/>
      <c r="AO1553" s="54"/>
      <c r="AP1553" s="54"/>
      <c r="AQ1553" s="54"/>
      <c r="AR1553" s="54"/>
      <c r="AS1553" s="54"/>
      <c r="AT1553" s="54"/>
      <c r="AU1553" s="54"/>
      <c r="AV1553" s="54"/>
      <c r="AW1553" s="54"/>
      <c r="AX1553" s="54"/>
      <c r="AY1553" s="54"/>
      <c r="AZ1553" s="54"/>
      <c r="BA1553" s="54"/>
      <c r="BB1553" s="54"/>
      <c r="BC1553" s="56"/>
      <c r="BD1553" s="51"/>
      <c r="BE1553" s="54"/>
      <c r="BF1553" s="54"/>
      <c r="BG1553" s="47"/>
      <c r="BH1553" s="48"/>
      <c r="BI1553" s="48"/>
      <c r="BJ1553" s="48"/>
      <c r="BK1553" s="48"/>
      <c r="BL1553" s="48"/>
      <c r="BM1553" s="48"/>
      <c r="BN1553" s="48"/>
      <c r="BO1553" s="48"/>
      <c r="BP1553" s="48"/>
      <c r="BQ1553" s="48"/>
      <c r="BR1553" s="48"/>
      <c r="BS1553" s="48"/>
      <c r="BT1553" s="48"/>
      <c r="BU1553" s="48"/>
      <c r="BV1553" s="48"/>
      <c r="BW1553" s="48"/>
      <c r="BX1553" s="48"/>
      <c r="BY1553" s="48"/>
      <c r="BZ1553" s="48"/>
      <c r="CA1553" s="48"/>
      <c r="CB1553" s="48"/>
      <c r="CC1553" s="48"/>
      <c r="CD1553" s="48"/>
      <c r="CE1553" s="48"/>
      <c r="CF1553" s="52"/>
      <c r="CG1553" s="52"/>
      <c r="CH1553" s="48"/>
      <c r="CI1553" s="48"/>
      <c r="CJ1553" s="48"/>
      <c r="CK1553" s="48"/>
    </row>
    <row r="1554" spans="1:89" ht="15.75" customHeight="1" x14ac:dyDescent="0.3">
      <c r="A1554" s="47"/>
      <c r="B1554" s="48"/>
      <c r="C1554" s="47"/>
      <c r="D1554" s="48"/>
      <c r="E1554" s="48"/>
      <c r="F1554" s="48"/>
      <c r="G1554" s="48"/>
      <c r="H1554" s="48"/>
      <c r="I1554" s="49"/>
      <c r="J1554" s="47"/>
      <c r="K1554" s="47"/>
      <c r="L1554" s="47"/>
      <c r="M1554" s="47"/>
      <c r="N1554" s="47"/>
      <c r="O1554" s="47"/>
      <c r="P1554" s="47"/>
      <c r="Q1554" s="47"/>
      <c r="R1554" s="47"/>
      <c r="S1554" s="50"/>
      <c r="T1554" s="47"/>
      <c r="U1554" s="47"/>
      <c r="V1554" s="47"/>
      <c r="W1554" s="51"/>
      <c r="X1554" s="51"/>
      <c r="Y1554" s="47"/>
      <c r="Z1554" s="47"/>
      <c r="AA1554" s="47"/>
      <c r="AB1554" s="47"/>
      <c r="AC1554" s="47"/>
      <c r="AD1554" s="47"/>
      <c r="AE1554" s="54"/>
      <c r="AF1554" s="54"/>
      <c r="AG1554" s="55"/>
      <c r="AH1554" s="54"/>
      <c r="AI1554" s="54"/>
      <c r="AJ1554" s="54"/>
      <c r="AK1554" s="54"/>
      <c r="AL1554" s="54"/>
      <c r="AM1554" s="54"/>
      <c r="AN1554" s="54"/>
      <c r="AO1554" s="54"/>
      <c r="AP1554" s="54"/>
      <c r="AQ1554" s="54"/>
      <c r="AR1554" s="54"/>
      <c r="AS1554" s="54"/>
      <c r="AT1554" s="54"/>
      <c r="AU1554" s="54"/>
      <c r="AV1554" s="54"/>
      <c r="AW1554" s="54"/>
      <c r="AX1554" s="54"/>
      <c r="AY1554" s="54"/>
      <c r="AZ1554" s="54"/>
      <c r="BA1554" s="54"/>
      <c r="BB1554" s="54"/>
      <c r="BC1554" s="56"/>
      <c r="BD1554" s="51"/>
      <c r="BE1554" s="54"/>
      <c r="BF1554" s="54"/>
      <c r="BG1554" s="47"/>
      <c r="BH1554" s="48"/>
      <c r="BI1554" s="48"/>
      <c r="BJ1554" s="48"/>
      <c r="BK1554" s="48"/>
      <c r="BL1554" s="48"/>
      <c r="BM1554" s="48"/>
      <c r="BN1554" s="48"/>
      <c r="BO1554" s="48"/>
      <c r="BP1554" s="48"/>
      <c r="BQ1554" s="48"/>
      <c r="BR1554" s="48"/>
      <c r="BS1554" s="48"/>
      <c r="BT1554" s="48"/>
      <c r="BU1554" s="48"/>
      <c r="BV1554" s="48"/>
      <c r="BW1554" s="48"/>
      <c r="BX1554" s="48"/>
      <c r="BY1554" s="48"/>
      <c r="BZ1554" s="48"/>
      <c r="CA1554" s="48"/>
      <c r="CB1554" s="48"/>
      <c r="CC1554" s="48"/>
      <c r="CD1554" s="48"/>
      <c r="CE1554" s="48"/>
      <c r="CF1554" s="52"/>
      <c r="CG1554" s="52"/>
      <c r="CH1554" s="48"/>
      <c r="CI1554" s="48"/>
      <c r="CJ1554" s="48"/>
      <c r="CK1554" s="48"/>
    </row>
    <row r="1555" spans="1:89" ht="15.75" customHeight="1" x14ac:dyDescent="0.3">
      <c r="A1555" s="47"/>
      <c r="B1555" s="48"/>
      <c r="C1555" s="47"/>
      <c r="D1555" s="48"/>
      <c r="E1555" s="48"/>
      <c r="F1555" s="48"/>
      <c r="G1555" s="48"/>
      <c r="H1555" s="48"/>
      <c r="I1555" s="49"/>
      <c r="J1555" s="47"/>
      <c r="K1555" s="47"/>
      <c r="L1555" s="47"/>
      <c r="M1555" s="47"/>
      <c r="N1555" s="47"/>
      <c r="O1555" s="47"/>
      <c r="P1555" s="47"/>
      <c r="Q1555" s="47"/>
      <c r="R1555" s="47"/>
      <c r="S1555" s="50"/>
      <c r="T1555" s="47"/>
      <c r="U1555" s="47"/>
      <c r="V1555" s="47"/>
      <c r="W1555" s="51"/>
      <c r="X1555" s="51"/>
      <c r="Y1555" s="47"/>
      <c r="Z1555" s="47"/>
      <c r="AA1555" s="47"/>
      <c r="AB1555" s="47"/>
      <c r="AC1555" s="47"/>
      <c r="AD1555" s="47"/>
      <c r="AE1555" s="54"/>
      <c r="AF1555" s="54"/>
      <c r="AG1555" s="55"/>
      <c r="AH1555" s="54"/>
      <c r="AI1555" s="54"/>
      <c r="AJ1555" s="54"/>
      <c r="AK1555" s="54"/>
      <c r="AL1555" s="54"/>
      <c r="AM1555" s="54"/>
      <c r="AN1555" s="54"/>
      <c r="AO1555" s="54"/>
      <c r="AP1555" s="54"/>
      <c r="AQ1555" s="54"/>
      <c r="AR1555" s="54"/>
      <c r="AS1555" s="54"/>
      <c r="AT1555" s="54"/>
      <c r="AU1555" s="54"/>
      <c r="AV1555" s="54"/>
      <c r="AW1555" s="54"/>
      <c r="AX1555" s="54"/>
      <c r="AY1555" s="54"/>
      <c r="AZ1555" s="54"/>
      <c r="BA1555" s="54"/>
      <c r="BB1555" s="54"/>
      <c r="BC1555" s="56"/>
      <c r="BD1555" s="51"/>
      <c r="BE1555" s="54"/>
      <c r="BF1555" s="54"/>
      <c r="BG1555" s="47"/>
      <c r="BH1555" s="48"/>
      <c r="BI1555" s="48"/>
      <c r="BJ1555" s="48"/>
      <c r="BK1555" s="48"/>
      <c r="BL1555" s="48"/>
      <c r="BM1555" s="48"/>
      <c r="BN1555" s="48"/>
      <c r="BO1555" s="48"/>
      <c r="BP1555" s="48"/>
      <c r="BQ1555" s="48"/>
      <c r="BR1555" s="48"/>
      <c r="BS1555" s="48"/>
      <c r="BT1555" s="48"/>
      <c r="BU1555" s="48"/>
      <c r="BV1555" s="48"/>
      <c r="BW1555" s="48"/>
      <c r="BX1555" s="48"/>
      <c r="BY1555" s="48"/>
      <c r="BZ1555" s="48"/>
      <c r="CA1555" s="48"/>
      <c r="CB1555" s="48"/>
      <c r="CC1555" s="48"/>
      <c r="CD1555" s="48"/>
      <c r="CE1555" s="48"/>
      <c r="CF1555" s="52"/>
      <c r="CG1555" s="52"/>
      <c r="CH1555" s="48"/>
      <c r="CI1555" s="48"/>
      <c r="CJ1555" s="48"/>
      <c r="CK1555" s="48"/>
    </row>
    <row r="1556" spans="1:89" ht="15.75" customHeight="1" x14ac:dyDescent="0.3">
      <c r="A1556" s="47"/>
      <c r="B1556" s="48"/>
      <c r="C1556" s="47"/>
      <c r="D1556" s="48"/>
      <c r="E1556" s="48"/>
      <c r="F1556" s="48"/>
      <c r="G1556" s="48"/>
      <c r="H1556" s="48"/>
      <c r="I1556" s="49"/>
      <c r="J1556" s="47"/>
      <c r="K1556" s="47"/>
      <c r="L1556" s="47"/>
      <c r="M1556" s="47"/>
      <c r="N1556" s="47"/>
      <c r="O1556" s="47"/>
      <c r="P1556" s="47"/>
      <c r="Q1556" s="47"/>
      <c r="R1556" s="47"/>
      <c r="S1556" s="50"/>
      <c r="T1556" s="47"/>
      <c r="U1556" s="47"/>
      <c r="V1556" s="47"/>
      <c r="W1556" s="51"/>
      <c r="X1556" s="51"/>
      <c r="Y1556" s="47"/>
      <c r="Z1556" s="47"/>
      <c r="AA1556" s="47"/>
      <c r="AB1556" s="47"/>
      <c r="AC1556" s="47"/>
      <c r="AD1556" s="47"/>
      <c r="AE1556" s="54"/>
      <c r="AF1556" s="54"/>
      <c r="AG1556" s="55"/>
      <c r="AH1556" s="54"/>
      <c r="AI1556" s="54"/>
      <c r="AJ1556" s="54"/>
      <c r="AK1556" s="54"/>
      <c r="AL1556" s="54"/>
      <c r="AM1556" s="54"/>
      <c r="AN1556" s="54"/>
      <c r="AO1556" s="54"/>
      <c r="AP1556" s="54"/>
      <c r="AQ1556" s="54"/>
      <c r="AR1556" s="54"/>
      <c r="AS1556" s="54"/>
      <c r="AT1556" s="54"/>
      <c r="AU1556" s="54"/>
      <c r="AV1556" s="54"/>
      <c r="AW1556" s="54"/>
      <c r="AX1556" s="54"/>
      <c r="AY1556" s="54"/>
      <c r="AZ1556" s="54"/>
      <c r="BA1556" s="54"/>
      <c r="BB1556" s="54"/>
      <c r="BC1556" s="56"/>
      <c r="BD1556" s="51"/>
      <c r="BE1556" s="54"/>
      <c r="BF1556" s="54"/>
      <c r="BG1556" s="47"/>
      <c r="BH1556" s="48"/>
      <c r="BI1556" s="48"/>
      <c r="BJ1556" s="48"/>
      <c r="BK1556" s="48"/>
      <c r="BL1556" s="48"/>
      <c r="BM1556" s="48"/>
      <c r="BN1556" s="48"/>
      <c r="BO1556" s="48"/>
      <c r="BP1556" s="48"/>
      <c r="BQ1556" s="48"/>
      <c r="BR1556" s="48"/>
      <c r="BS1556" s="48"/>
      <c r="BT1556" s="48"/>
      <c r="BU1556" s="48"/>
      <c r="BV1556" s="48"/>
      <c r="BW1556" s="48"/>
      <c r="BX1556" s="48"/>
      <c r="BY1556" s="48"/>
      <c r="BZ1556" s="48"/>
      <c r="CA1556" s="48"/>
      <c r="CB1556" s="48"/>
      <c r="CC1556" s="48"/>
      <c r="CD1556" s="48"/>
      <c r="CE1556" s="48"/>
      <c r="CF1556" s="52"/>
      <c r="CG1556" s="52"/>
      <c r="CH1556" s="48"/>
      <c r="CI1556" s="48"/>
      <c r="CJ1556" s="48"/>
      <c r="CK1556" s="48"/>
    </row>
    <row r="1557" spans="1:89" ht="15.75" customHeight="1" x14ac:dyDescent="0.3">
      <c r="A1557" s="47"/>
      <c r="B1557" s="48"/>
      <c r="C1557" s="47"/>
      <c r="D1557" s="48"/>
      <c r="E1557" s="48"/>
      <c r="F1557" s="48"/>
      <c r="G1557" s="48"/>
      <c r="H1557" s="48"/>
      <c r="I1557" s="49"/>
      <c r="J1557" s="47"/>
      <c r="K1557" s="47"/>
      <c r="L1557" s="47"/>
      <c r="M1557" s="47"/>
      <c r="N1557" s="47"/>
      <c r="O1557" s="47"/>
      <c r="P1557" s="47"/>
      <c r="Q1557" s="47"/>
      <c r="R1557" s="47"/>
      <c r="S1557" s="50"/>
      <c r="T1557" s="47"/>
      <c r="U1557" s="47"/>
      <c r="V1557" s="47"/>
      <c r="W1557" s="51"/>
      <c r="X1557" s="51"/>
      <c r="Y1557" s="47"/>
      <c r="Z1557" s="47"/>
      <c r="AA1557" s="47"/>
      <c r="AB1557" s="47"/>
      <c r="AC1557" s="47"/>
      <c r="AD1557" s="47"/>
      <c r="AE1557" s="54"/>
      <c r="AF1557" s="54"/>
      <c r="AG1557" s="55"/>
      <c r="AH1557" s="54"/>
      <c r="AI1557" s="54"/>
      <c r="AJ1557" s="54"/>
      <c r="AK1557" s="54"/>
      <c r="AL1557" s="54"/>
      <c r="AM1557" s="54"/>
      <c r="AN1557" s="54"/>
      <c r="AO1557" s="54"/>
      <c r="AP1557" s="54"/>
      <c r="AQ1557" s="54"/>
      <c r="AR1557" s="54"/>
      <c r="AS1557" s="54"/>
      <c r="AT1557" s="54"/>
      <c r="AU1557" s="54"/>
      <c r="AV1557" s="54"/>
      <c r="AW1557" s="54"/>
      <c r="AX1557" s="54"/>
      <c r="AY1557" s="54"/>
      <c r="AZ1557" s="54"/>
      <c r="BA1557" s="54"/>
      <c r="BB1557" s="54"/>
      <c r="BC1557" s="56"/>
      <c r="BD1557" s="51"/>
      <c r="BE1557" s="54"/>
      <c r="BF1557" s="54"/>
      <c r="BG1557" s="47"/>
      <c r="BH1557" s="48"/>
      <c r="BI1557" s="48"/>
      <c r="BJ1557" s="48"/>
      <c r="BK1557" s="48"/>
      <c r="BL1557" s="48"/>
      <c r="BM1557" s="48"/>
      <c r="BN1557" s="48"/>
      <c r="BO1557" s="48"/>
      <c r="BP1557" s="48"/>
      <c r="BQ1557" s="48"/>
      <c r="BR1557" s="48"/>
      <c r="BS1557" s="48"/>
      <c r="BT1557" s="48"/>
      <c r="BU1557" s="48"/>
      <c r="BV1557" s="48"/>
      <c r="BW1557" s="48"/>
      <c r="BX1557" s="48"/>
      <c r="BY1557" s="48"/>
      <c r="BZ1557" s="48"/>
      <c r="CA1557" s="48"/>
      <c r="CB1557" s="48"/>
      <c r="CC1557" s="48"/>
      <c r="CD1557" s="48"/>
      <c r="CE1557" s="48"/>
      <c r="CF1557" s="52"/>
      <c r="CG1557" s="52"/>
      <c r="CH1557" s="48"/>
      <c r="CI1557" s="48"/>
      <c r="CJ1557" s="48"/>
      <c r="CK1557" s="48"/>
    </row>
    <row r="1558" spans="1:89" ht="15.75" customHeight="1" x14ac:dyDescent="0.3">
      <c r="A1558" s="47"/>
      <c r="B1558" s="48"/>
      <c r="C1558" s="47"/>
      <c r="D1558" s="48"/>
      <c r="E1558" s="48"/>
      <c r="F1558" s="48"/>
      <c r="G1558" s="48"/>
      <c r="H1558" s="48"/>
      <c r="I1558" s="49"/>
      <c r="J1558" s="47"/>
      <c r="K1558" s="47"/>
      <c r="L1558" s="47"/>
      <c r="M1558" s="47"/>
      <c r="N1558" s="47"/>
      <c r="O1558" s="47"/>
      <c r="P1558" s="47"/>
      <c r="Q1558" s="47"/>
      <c r="R1558" s="47"/>
      <c r="S1558" s="50"/>
      <c r="T1558" s="47"/>
      <c r="U1558" s="47"/>
      <c r="V1558" s="47"/>
      <c r="W1558" s="51"/>
      <c r="X1558" s="51"/>
      <c r="Y1558" s="47"/>
      <c r="Z1558" s="47"/>
      <c r="AA1558" s="47"/>
      <c r="AB1558" s="47"/>
      <c r="AC1558" s="47"/>
      <c r="AD1558" s="47"/>
      <c r="AE1558" s="54"/>
      <c r="AF1558" s="54"/>
      <c r="AG1558" s="55"/>
      <c r="AH1558" s="54"/>
      <c r="AI1558" s="54"/>
      <c r="AJ1558" s="54"/>
      <c r="AK1558" s="54"/>
      <c r="AL1558" s="54"/>
      <c r="AM1558" s="54"/>
      <c r="AN1558" s="54"/>
      <c r="AO1558" s="54"/>
      <c r="AP1558" s="54"/>
      <c r="AQ1558" s="54"/>
      <c r="AR1558" s="54"/>
      <c r="AS1558" s="54"/>
      <c r="AT1558" s="54"/>
      <c r="AU1558" s="54"/>
      <c r="AV1558" s="54"/>
      <c r="AW1558" s="54"/>
      <c r="AX1558" s="54"/>
      <c r="AY1558" s="54"/>
      <c r="AZ1558" s="54"/>
      <c r="BA1558" s="54"/>
      <c r="BB1558" s="54"/>
      <c r="BC1558" s="56"/>
      <c r="BD1558" s="51"/>
      <c r="BE1558" s="54"/>
      <c r="BF1558" s="54"/>
      <c r="BG1558" s="47"/>
      <c r="BH1558" s="48"/>
      <c r="BI1558" s="48"/>
      <c r="BJ1558" s="48"/>
      <c r="BK1558" s="48"/>
      <c r="BL1558" s="48"/>
      <c r="BM1558" s="48"/>
      <c r="BN1558" s="48"/>
      <c r="BO1558" s="48"/>
      <c r="BP1558" s="48"/>
      <c r="BQ1558" s="48"/>
      <c r="BR1558" s="48"/>
      <c r="BS1558" s="48"/>
      <c r="BT1558" s="48"/>
      <c r="BU1558" s="48"/>
      <c r="BV1558" s="48"/>
      <c r="BW1558" s="48"/>
      <c r="BX1558" s="48"/>
      <c r="BY1558" s="48"/>
      <c r="BZ1558" s="48"/>
      <c r="CA1558" s="48"/>
      <c r="CB1558" s="48"/>
      <c r="CC1558" s="48"/>
      <c r="CD1558" s="48"/>
      <c r="CE1558" s="48"/>
      <c r="CF1558" s="52"/>
      <c r="CG1558" s="52"/>
      <c r="CH1558" s="48"/>
      <c r="CI1558" s="48"/>
      <c r="CJ1558" s="48"/>
      <c r="CK1558" s="48"/>
    </row>
    <row r="1559" spans="1:89" ht="15.75" customHeight="1" x14ac:dyDescent="0.3">
      <c r="A1559" s="47"/>
      <c r="B1559" s="48"/>
      <c r="C1559" s="47"/>
      <c r="D1559" s="48"/>
      <c r="E1559" s="48"/>
      <c r="F1559" s="48"/>
      <c r="G1559" s="48"/>
      <c r="H1559" s="48"/>
      <c r="I1559" s="49"/>
      <c r="J1559" s="47"/>
      <c r="K1559" s="47"/>
      <c r="L1559" s="47"/>
      <c r="M1559" s="47"/>
      <c r="N1559" s="47"/>
      <c r="O1559" s="47"/>
      <c r="P1559" s="47"/>
      <c r="Q1559" s="47"/>
      <c r="R1559" s="47"/>
      <c r="S1559" s="50"/>
      <c r="T1559" s="47"/>
      <c r="U1559" s="47"/>
      <c r="V1559" s="47"/>
      <c r="W1559" s="51"/>
      <c r="X1559" s="51"/>
      <c r="Y1559" s="47"/>
      <c r="Z1559" s="47"/>
      <c r="AA1559" s="47"/>
      <c r="AB1559" s="47"/>
      <c r="AC1559" s="47"/>
      <c r="AD1559" s="47"/>
      <c r="AE1559" s="54"/>
      <c r="AF1559" s="54"/>
      <c r="AG1559" s="55"/>
      <c r="AH1559" s="54"/>
      <c r="AI1559" s="54"/>
      <c r="AJ1559" s="54"/>
      <c r="AK1559" s="54"/>
      <c r="AL1559" s="54"/>
      <c r="AM1559" s="54"/>
      <c r="AN1559" s="54"/>
      <c r="AO1559" s="54"/>
      <c r="AP1559" s="54"/>
      <c r="AQ1559" s="54"/>
      <c r="AR1559" s="54"/>
      <c r="AS1559" s="54"/>
      <c r="AT1559" s="54"/>
      <c r="AU1559" s="54"/>
      <c r="AV1559" s="54"/>
      <c r="AW1559" s="54"/>
      <c r="AX1559" s="54"/>
      <c r="AY1559" s="54"/>
      <c r="AZ1559" s="54"/>
      <c r="BA1559" s="54"/>
      <c r="BB1559" s="54"/>
      <c r="BC1559" s="56"/>
      <c r="BD1559" s="51"/>
      <c r="BE1559" s="54"/>
      <c r="BF1559" s="54"/>
      <c r="BG1559" s="47"/>
      <c r="BH1559" s="48"/>
      <c r="BI1559" s="48"/>
      <c r="BJ1559" s="48"/>
      <c r="BK1559" s="48"/>
      <c r="BL1559" s="48"/>
      <c r="BM1559" s="48"/>
      <c r="BN1559" s="48"/>
      <c r="BO1559" s="48"/>
      <c r="BP1559" s="48"/>
      <c r="BQ1559" s="48"/>
      <c r="BR1559" s="48"/>
      <c r="BS1559" s="48"/>
      <c r="BT1559" s="48"/>
      <c r="BU1559" s="48"/>
      <c r="BV1559" s="48"/>
      <c r="BW1559" s="48"/>
      <c r="BX1559" s="48"/>
      <c r="BY1559" s="48"/>
      <c r="BZ1559" s="48"/>
      <c r="CA1559" s="48"/>
      <c r="CB1559" s="48"/>
      <c r="CC1559" s="48"/>
      <c r="CD1559" s="48"/>
      <c r="CE1559" s="48"/>
      <c r="CF1559" s="52"/>
      <c r="CG1559" s="52"/>
      <c r="CH1559" s="48"/>
      <c r="CI1559" s="48"/>
      <c r="CJ1559" s="48"/>
      <c r="CK1559" s="48"/>
    </row>
    <row r="1560" spans="1:89" ht="15.75" customHeight="1" x14ac:dyDescent="0.3">
      <c r="A1560" s="47"/>
      <c r="B1560" s="48"/>
      <c r="C1560" s="47"/>
      <c r="D1560" s="48"/>
      <c r="E1560" s="48"/>
      <c r="F1560" s="48"/>
      <c r="G1560" s="48"/>
      <c r="H1560" s="48"/>
      <c r="I1560" s="49"/>
      <c r="J1560" s="47"/>
      <c r="K1560" s="47"/>
      <c r="L1560" s="47"/>
      <c r="M1560" s="47"/>
      <c r="N1560" s="47"/>
      <c r="O1560" s="47"/>
      <c r="P1560" s="47"/>
      <c r="Q1560" s="47"/>
      <c r="R1560" s="47"/>
      <c r="S1560" s="50"/>
      <c r="T1560" s="47"/>
      <c r="U1560" s="47"/>
      <c r="V1560" s="47"/>
      <c r="W1560" s="51"/>
      <c r="X1560" s="51"/>
      <c r="Y1560" s="47"/>
      <c r="Z1560" s="47"/>
      <c r="AA1560" s="47"/>
      <c r="AB1560" s="47"/>
      <c r="AC1560" s="47"/>
      <c r="AD1560" s="47"/>
      <c r="AE1560" s="54"/>
      <c r="AF1560" s="54"/>
      <c r="AG1560" s="55"/>
      <c r="AH1560" s="54"/>
      <c r="AI1560" s="54"/>
      <c r="AJ1560" s="54"/>
      <c r="AK1560" s="54"/>
      <c r="AL1560" s="54"/>
      <c r="AM1560" s="54"/>
      <c r="AN1560" s="54"/>
      <c r="AO1560" s="54"/>
      <c r="AP1560" s="54"/>
      <c r="AQ1560" s="54"/>
      <c r="AR1560" s="54"/>
      <c r="AS1560" s="54"/>
      <c r="AT1560" s="54"/>
      <c r="AU1560" s="54"/>
      <c r="AV1560" s="54"/>
      <c r="AW1560" s="54"/>
      <c r="AX1560" s="54"/>
      <c r="AY1560" s="54"/>
      <c r="AZ1560" s="54"/>
      <c r="BA1560" s="54"/>
      <c r="BB1560" s="54"/>
      <c r="BC1560" s="56"/>
      <c r="BD1560" s="51"/>
      <c r="BE1560" s="54"/>
      <c r="BF1560" s="54"/>
      <c r="BG1560" s="47"/>
      <c r="BH1560" s="48"/>
      <c r="BI1560" s="48"/>
      <c r="BJ1560" s="48"/>
      <c r="BK1560" s="48"/>
      <c r="BL1560" s="48"/>
      <c r="BM1560" s="48"/>
      <c r="BN1560" s="48"/>
      <c r="BO1560" s="48"/>
      <c r="BP1560" s="48"/>
      <c r="BQ1560" s="48"/>
      <c r="BR1560" s="48"/>
      <c r="BS1560" s="48"/>
      <c r="BT1560" s="48"/>
      <c r="BU1560" s="48"/>
      <c r="BV1560" s="48"/>
      <c r="BW1560" s="48"/>
      <c r="BX1560" s="48"/>
      <c r="BY1560" s="48"/>
      <c r="BZ1560" s="48"/>
      <c r="CA1560" s="48"/>
      <c r="CB1560" s="48"/>
      <c r="CC1560" s="48"/>
      <c r="CD1560" s="48"/>
      <c r="CE1560" s="48"/>
      <c r="CF1560" s="52"/>
      <c r="CG1560" s="52"/>
      <c r="CH1560" s="48"/>
      <c r="CI1560" s="48"/>
      <c r="CJ1560" s="48"/>
      <c r="CK1560" s="48"/>
    </row>
    <row r="1561" spans="1:89" ht="15.75" customHeight="1" x14ac:dyDescent="0.3">
      <c r="A1561" s="47"/>
      <c r="B1561" s="48"/>
      <c r="C1561" s="47"/>
      <c r="D1561" s="48"/>
      <c r="E1561" s="48"/>
      <c r="F1561" s="48"/>
      <c r="G1561" s="48"/>
      <c r="H1561" s="48"/>
      <c r="I1561" s="49"/>
      <c r="J1561" s="47"/>
      <c r="K1561" s="47"/>
      <c r="L1561" s="47"/>
      <c r="M1561" s="47"/>
      <c r="N1561" s="47"/>
      <c r="O1561" s="47"/>
      <c r="P1561" s="47"/>
      <c r="Q1561" s="47"/>
      <c r="R1561" s="47"/>
      <c r="S1561" s="50"/>
      <c r="T1561" s="47"/>
      <c r="U1561" s="47"/>
      <c r="V1561" s="47"/>
      <c r="W1561" s="51"/>
      <c r="X1561" s="51"/>
      <c r="Y1561" s="47"/>
      <c r="Z1561" s="47"/>
      <c r="AA1561" s="47"/>
      <c r="AB1561" s="47"/>
      <c r="AC1561" s="47"/>
      <c r="AD1561" s="47"/>
      <c r="AE1561" s="54"/>
      <c r="AF1561" s="54"/>
      <c r="AG1561" s="55"/>
      <c r="AH1561" s="54"/>
      <c r="AI1561" s="54"/>
      <c r="AJ1561" s="54"/>
      <c r="AK1561" s="54"/>
      <c r="AL1561" s="54"/>
      <c r="AM1561" s="54"/>
      <c r="AN1561" s="54"/>
      <c r="AO1561" s="54"/>
      <c r="AP1561" s="54"/>
      <c r="AQ1561" s="54"/>
      <c r="AR1561" s="54"/>
      <c r="AS1561" s="54"/>
      <c r="AT1561" s="54"/>
      <c r="AU1561" s="54"/>
      <c r="AV1561" s="54"/>
      <c r="AW1561" s="54"/>
      <c r="AX1561" s="54"/>
      <c r="AY1561" s="54"/>
      <c r="AZ1561" s="54"/>
      <c r="BA1561" s="54"/>
      <c r="BB1561" s="54"/>
      <c r="BC1561" s="56"/>
      <c r="BD1561" s="51"/>
      <c r="BE1561" s="54"/>
      <c r="BF1561" s="54"/>
      <c r="BG1561" s="47"/>
      <c r="BH1561" s="48"/>
      <c r="BI1561" s="48"/>
      <c r="BJ1561" s="48"/>
      <c r="BK1561" s="48"/>
      <c r="BL1561" s="48"/>
      <c r="BM1561" s="48"/>
      <c r="BN1561" s="48"/>
      <c r="BO1561" s="48"/>
      <c r="BP1561" s="48"/>
      <c r="BQ1561" s="48"/>
      <c r="BR1561" s="48"/>
      <c r="BS1561" s="48"/>
      <c r="BT1561" s="48"/>
      <c r="BU1561" s="48"/>
      <c r="BV1561" s="48"/>
      <c r="BW1561" s="48"/>
      <c r="BX1561" s="48"/>
      <c r="BY1561" s="48"/>
      <c r="BZ1561" s="48"/>
      <c r="CA1561" s="48"/>
      <c r="CB1561" s="48"/>
      <c r="CC1561" s="48"/>
      <c r="CD1561" s="48"/>
      <c r="CE1561" s="48"/>
      <c r="CF1561" s="52"/>
      <c r="CG1561" s="52"/>
      <c r="CH1561" s="48"/>
      <c r="CI1561" s="48"/>
      <c r="CJ1561" s="48"/>
      <c r="CK1561" s="48"/>
    </row>
    <row r="1562" spans="1:89" ht="15.75" customHeight="1" x14ac:dyDescent="0.3">
      <c r="A1562" s="47"/>
      <c r="B1562" s="48"/>
      <c r="C1562" s="47"/>
      <c r="D1562" s="48"/>
      <c r="E1562" s="48"/>
      <c r="F1562" s="48"/>
      <c r="G1562" s="48"/>
      <c r="H1562" s="48"/>
      <c r="I1562" s="49"/>
      <c r="J1562" s="47"/>
      <c r="K1562" s="47"/>
      <c r="L1562" s="47"/>
      <c r="M1562" s="47"/>
      <c r="N1562" s="47"/>
      <c r="O1562" s="47"/>
      <c r="P1562" s="47"/>
      <c r="Q1562" s="47"/>
      <c r="R1562" s="47"/>
      <c r="S1562" s="50"/>
      <c r="T1562" s="47"/>
      <c r="U1562" s="47"/>
      <c r="V1562" s="47"/>
      <c r="W1562" s="51"/>
      <c r="X1562" s="51"/>
      <c r="Y1562" s="47"/>
      <c r="Z1562" s="47"/>
      <c r="AA1562" s="47"/>
      <c r="AB1562" s="47"/>
      <c r="AC1562" s="47"/>
      <c r="AD1562" s="47"/>
      <c r="AE1562" s="54"/>
      <c r="AF1562" s="54"/>
      <c r="AG1562" s="55"/>
      <c r="AH1562" s="54"/>
      <c r="AI1562" s="54"/>
      <c r="AJ1562" s="54"/>
      <c r="AK1562" s="54"/>
      <c r="AL1562" s="54"/>
      <c r="AM1562" s="54"/>
      <c r="AN1562" s="54"/>
      <c r="AO1562" s="54"/>
      <c r="AP1562" s="54"/>
      <c r="AQ1562" s="54"/>
      <c r="AR1562" s="54"/>
      <c r="AS1562" s="54"/>
      <c r="AT1562" s="54"/>
      <c r="AU1562" s="54"/>
      <c r="AV1562" s="54"/>
      <c r="AW1562" s="54"/>
      <c r="AX1562" s="54"/>
      <c r="AY1562" s="54"/>
      <c r="AZ1562" s="54"/>
      <c r="BA1562" s="54"/>
      <c r="BB1562" s="54"/>
      <c r="BC1562" s="56"/>
      <c r="BD1562" s="51"/>
      <c r="BE1562" s="54"/>
      <c r="BF1562" s="54"/>
      <c r="BG1562" s="47"/>
      <c r="BH1562" s="48"/>
      <c r="BI1562" s="48"/>
      <c r="BJ1562" s="48"/>
      <c r="BK1562" s="48"/>
      <c r="BL1562" s="48"/>
      <c r="BM1562" s="48"/>
      <c r="BN1562" s="48"/>
      <c r="BO1562" s="48"/>
      <c r="BP1562" s="48"/>
      <c r="BQ1562" s="48"/>
      <c r="BR1562" s="48"/>
      <c r="BS1562" s="48"/>
      <c r="BT1562" s="48"/>
      <c r="BU1562" s="48"/>
      <c r="BV1562" s="48"/>
      <c r="BW1562" s="48"/>
      <c r="BX1562" s="48"/>
      <c r="BY1562" s="48"/>
      <c r="BZ1562" s="48"/>
      <c r="CA1562" s="48"/>
      <c r="CB1562" s="48"/>
      <c r="CC1562" s="48"/>
      <c r="CD1562" s="48"/>
      <c r="CE1562" s="48"/>
      <c r="CF1562" s="52"/>
      <c r="CG1562" s="52"/>
      <c r="CH1562" s="48"/>
      <c r="CI1562" s="48"/>
      <c r="CJ1562" s="48"/>
      <c r="CK1562" s="48"/>
    </row>
    <row r="1563" spans="1:89" ht="15.75" customHeight="1" x14ac:dyDescent="0.3">
      <c r="A1563" s="47"/>
      <c r="B1563" s="48"/>
      <c r="C1563" s="47"/>
      <c r="D1563" s="48"/>
      <c r="E1563" s="48"/>
      <c r="F1563" s="48"/>
      <c r="G1563" s="48"/>
      <c r="H1563" s="48"/>
      <c r="I1563" s="49"/>
      <c r="J1563" s="47"/>
      <c r="K1563" s="47"/>
      <c r="L1563" s="47"/>
      <c r="M1563" s="47"/>
      <c r="N1563" s="47"/>
      <c r="O1563" s="47"/>
      <c r="P1563" s="47"/>
      <c r="Q1563" s="47"/>
      <c r="R1563" s="47"/>
      <c r="S1563" s="50"/>
      <c r="T1563" s="47"/>
      <c r="U1563" s="47"/>
      <c r="V1563" s="47"/>
      <c r="W1563" s="51"/>
      <c r="X1563" s="51"/>
      <c r="Y1563" s="47"/>
      <c r="Z1563" s="47"/>
      <c r="AA1563" s="47"/>
      <c r="AB1563" s="47"/>
      <c r="AC1563" s="47"/>
      <c r="AD1563" s="47"/>
      <c r="AE1563" s="54"/>
      <c r="AF1563" s="54"/>
      <c r="AG1563" s="55"/>
      <c r="AH1563" s="54"/>
      <c r="AI1563" s="54"/>
      <c r="AJ1563" s="54"/>
      <c r="AK1563" s="54"/>
      <c r="AL1563" s="54"/>
      <c r="AM1563" s="54"/>
      <c r="AN1563" s="54"/>
      <c r="AO1563" s="54"/>
      <c r="AP1563" s="54"/>
      <c r="AQ1563" s="54"/>
      <c r="AR1563" s="54"/>
      <c r="AS1563" s="54"/>
      <c r="AT1563" s="54"/>
      <c r="AU1563" s="54"/>
      <c r="AV1563" s="54"/>
      <c r="AW1563" s="54"/>
      <c r="AX1563" s="54"/>
      <c r="AY1563" s="54"/>
      <c r="AZ1563" s="54"/>
      <c r="BA1563" s="54"/>
      <c r="BB1563" s="54"/>
      <c r="BC1563" s="56"/>
      <c r="BD1563" s="51"/>
      <c r="BE1563" s="54"/>
      <c r="BF1563" s="54"/>
      <c r="BG1563" s="47"/>
      <c r="BH1563" s="48"/>
      <c r="BI1563" s="48"/>
      <c r="BJ1563" s="48"/>
      <c r="BK1563" s="48"/>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52"/>
      <c r="CG1563" s="52"/>
      <c r="CH1563" s="48"/>
      <c r="CI1563" s="48"/>
      <c r="CJ1563" s="48"/>
      <c r="CK1563" s="48"/>
    </row>
    <row r="1564" spans="1:89" ht="15.75" customHeight="1" x14ac:dyDescent="0.3">
      <c r="A1564" s="47"/>
      <c r="B1564" s="48"/>
      <c r="C1564" s="47"/>
      <c r="D1564" s="48"/>
      <c r="E1564" s="48"/>
      <c r="F1564" s="48"/>
      <c r="G1564" s="48"/>
      <c r="H1564" s="48"/>
      <c r="I1564" s="49"/>
      <c r="J1564" s="47"/>
      <c r="K1564" s="47"/>
      <c r="L1564" s="47"/>
      <c r="M1564" s="47"/>
      <c r="N1564" s="47"/>
      <c r="O1564" s="47"/>
      <c r="P1564" s="47"/>
      <c r="Q1564" s="47"/>
      <c r="R1564" s="47"/>
      <c r="S1564" s="50"/>
      <c r="T1564" s="47"/>
      <c r="U1564" s="47"/>
      <c r="V1564" s="47"/>
      <c r="W1564" s="51"/>
      <c r="X1564" s="51"/>
      <c r="Y1564" s="47"/>
      <c r="Z1564" s="47"/>
      <c r="AA1564" s="47"/>
      <c r="AB1564" s="47"/>
      <c r="AC1564" s="47"/>
      <c r="AD1564" s="47"/>
      <c r="AE1564" s="54"/>
      <c r="AF1564" s="54"/>
      <c r="AG1564" s="55"/>
      <c r="AH1564" s="54"/>
      <c r="AI1564" s="54"/>
      <c r="AJ1564" s="54"/>
      <c r="AK1564" s="54"/>
      <c r="AL1564" s="54"/>
      <c r="AM1564" s="54"/>
      <c r="AN1564" s="54"/>
      <c r="AO1564" s="54"/>
      <c r="AP1564" s="54"/>
      <c r="AQ1564" s="54"/>
      <c r="AR1564" s="54"/>
      <c r="AS1564" s="54"/>
      <c r="AT1564" s="54"/>
      <c r="AU1564" s="54"/>
      <c r="AV1564" s="54"/>
      <c r="AW1564" s="54"/>
      <c r="AX1564" s="54"/>
      <c r="AY1564" s="54"/>
      <c r="AZ1564" s="54"/>
      <c r="BA1564" s="54"/>
      <c r="BB1564" s="54"/>
      <c r="BC1564" s="56"/>
      <c r="BD1564" s="51"/>
      <c r="BE1564" s="54"/>
      <c r="BF1564" s="54"/>
      <c r="BG1564" s="47"/>
      <c r="BH1564" s="48"/>
      <c r="BI1564" s="48"/>
      <c r="BJ1564" s="48"/>
      <c r="BK1564" s="48"/>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52"/>
      <c r="CG1564" s="52"/>
      <c r="CH1564" s="48"/>
      <c r="CI1564" s="48"/>
      <c r="CJ1564" s="48"/>
      <c r="CK1564" s="48"/>
    </row>
    <row r="1565" spans="1:89" ht="15.75" customHeight="1" x14ac:dyDescent="0.3">
      <c r="A1565" s="47"/>
      <c r="B1565" s="48"/>
      <c r="C1565" s="47"/>
      <c r="D1565" s="48"/>
      <c r="E1565" s="48"/>
      <c r="F1565" s="48"/>
      <c r="G1565" s="48"/>
      <c r="H1565" s="48"/>
      <c r="I1565" s="49"/>
      <c r="J1565" s="47"/>
      <c r="K1565" s="47"/>
      <c r="L1565" s="47"/>
      <c r="M1565" s="47"/>
      <c r="N1565" s="47"/>
      <c r="O1565" s="47"/>
      <c r="P1565" s="47"/>
      <c r="Q1565" s="47"/>
      <c r="R1565" s="47"/>
      <c r="S1565" s="50"/>
      <c r="T1565" s="47"/>
      <c r="U1565" s="47"/>
      <c r="V1565" s="47"/>
      <c r="W1565" s="51"/>
      <c r="X1565" s="51"/>
      <c r="Y1565" s="47"/>
      <c r="Z1565" s="47"/>
      <c r="AA1565" s="47"/>
      <c r="AB1565" s="47"/>
      <c r="AC1565" s="47"/>
      <c r="AD1565" s="47"/>
      <c r="AE1565" s="54"/>
      <c r="AF1565" s="54"/>
      <c r="AG1565" s="55"/>
      <c r="AH1565" s="54"/>
      <c r="AI1565" s="54"/>
      <c r="AJ1565" s="54"/>
      <c r="AK1565" s="54"/>
      <c r="AL1565" s="54"/>
      <c r="AM1565" s="54"/>
      <c r="AN1565" s="54"/>
      <c r="AO1565" s="54"/>
      <c r="AP1565" s="54"/>
      <c r="AQ1565" s="54"/>
      <c r="AR1565" s="54"/>
      <c r="AS1565" s="54"/>
      <c r="AT1565" s="54"/>
      <c r="AU1565" s="54"/>
      <c r="AV1565" s="54"/>
      <c r="AW1565" s="54"/>
      <c r="AX1565" s="54"/>
      <c r="AY1565" s="54"/>
      <c r="AZ1565" s="54"/>
      <c r="BA1565" s="54"/>
      <c r="BB1565" s="54"/>
      <c r="BC1565" s="56"/>
      <c r="BD1565" s="51"/>
      <c r="BE1565" s="54"/>
      <c r="BF1565" s="54"/>
      <c r="BG1565" s="47"/>
      <c r="BH1565" s="48"/>
      <c r="BI1565" s="48"/>
      <c r="BJ1565" s="48"/>
      <c r="BK1565" s="48"/>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52"/>
      <c r="CG1565" s="52"/>
      <c r="CH1565" s="48"/>
      <c r="CI1565" s="48"/>
      <c r="CJ1565" s="48"/>
      <c r="CK1565" s="48"/>
    </row>
    <row r="1566" spans="1:89" ht="15.75" customHeight="1" x14ac:dyDescent="0.3">
      <c r="A1566" s="47"/>
      <c r="B1566" s="48"/>
      <c r="C1566" s="47"/>
      <c r="D1566" s="48"/>
      <c r="E1566" s="48"/>
      <c r="F1566" s="48"/>
      <c r="G1566" s="48"/>
      <c r="H1566" s="48"/>
      <c r="I1566" s="49"/>
      <c r="J1566" s="47"/>
      <c r="K1566" s="47"/>
      <c r="L1566" s="47"/>
      <c r="M1566" s="47"/>
      <c r="N1566" s="47"/>
      <c r="O1566" s="47"/>
      <c r="P1566" s="47"/>
      <c r="Q1566" s="47"/>
      <c r="R1566" s="47"/>
      <c r="S1566" s="50"/>
      <c r="T1566" s="47"/>
      <c r="U1566" s="47"/>
      <c r="V1566" s="47"/>
      <c r="W1566" s="51"/>
      <c r="X1566" s="51"/>
      <c r="Y1566" s="47"/>
      <c r="Z1566" s="47"/>
      <c r="AA1566" s="47"/>
      <c r="AB1566" s="47"/>
      <c r="AC1566" s="47"/>
      <c r="AD1566" s="47"/>
      <c r="AE1566" s="54"/>
      <c r="AF1566" s="54"/>
      <c r="AG1566" s="55"/>
      <c r="AH1566" s="54"/>
      <c r="AI1566" s="54"/>
      <c r="AJ1566" s="54"/>
      <c r="AK1566" s="54"/>
      <c r="AL1566" s="54"/>
      <c r="AM1566" s="54"/>
      <c r="AN1566" s="54"/>
      <c r="AO1566" s="54"/>
      <c r="AP1566" s="54"/>
      <c r="AQ1566" s="54"/>
      <c r="AR1566" s="54"/>
      <c r="AS1566" s="54"/>
      <c r="AT1566" s="54"/>
      <c r="AU1566" s="54"/>
      <c r="AV1566" s="54"/>
      <c r="AW1566" s="54"/>
      <c r="AX1566" s="54"/>
      <c r="AY1566" s="54"/>
      <c r="AZ1566" s="54"/>
      <c r="BA1566" s="54"/>
      <c r="BB1566" s="54"/>
      <c r="BC1566" s="56"/>
      <c r="BD1566" s="51"/>
      <c r="BE1566" s="54"/>
      <c r="BF1566" s="54"/>
      <c r="BG1566" s="47"/>
      <c r="BH1566" s="48"/>
      <c r="BI1566" s="48"/>
      <c r="BJ1566" s="48"/>
      <c r="BK1566" s="48"/>
      <c r="BL1566" s="48"/>
      <c r="BM1566" s="48"/>
      <c r="BN1566" s="48"/>
      <c r="BO1566" s="48"/>
      <c r="BP1566" s="48"/>
      <c r="BQ1566" s="48"/>
      <c r="BR1566" s="48"/>
      <c r="BS1566" s="48"/>
      <c r="BT1566" s="48"/>
      <c r="BU1566" s="48"/>
      <c r="BV1566" s="48"/>
      <c r="BW1566" s="48"/>
      <c r="BX1566" s="48"/>
      <c r="BY1566" s="48"/>
      <c r="BZ1566" s="48"/>
      <c r="CA1566" s="48"/>
      <c r="CB1566" s="48"/>
      <c r="CC1566" s="48"/>
      <c r="CD1566" s="48"/>
      <c r="CE1566" s="48"/>
      <c r="CF1566" s="52"/>
      <c r="CG1566" s="52"/>
      <c r="CH1566" s="48"/>
      <c r="CI1566" s="48"/>
      <c r="CJ1566" s="48"/>
      <c r="CK1566" s="48"/>
    </row>
    <row r="1567" spans="1:89" ht="15.75" customHeight="1" x14ac:dyDescent="0.3">
      <c r="A1567" s="47"/>
      <c r="B1567" s="48"/>
      <c r="C1567" s="47"/>
      <c r="D1567" s="48"/>
      <c r="E1567" s="48"/>
      <c r="F1567" s="48"/>
      <c r="G1567" s="48"/>
      <c r="H1567" s="48"/>
      <c r="I1567" s="49"/>
      <c r="J1567" s="47"/>
      <c r="K1567" s="47"/>
      <c r="L1567" s="47"/>
      <c r="M1567" s="47"/>
      <c r="N1567" s="47"/>
      <c r="O1567" s="47"/>
      <c r="P1567" s="47"/>
      <c r="Q1567" s="47"/>
      <c r="R1567" s="47"/>
      <c r="S1567" s="50"/>
      <c r="T1567" s="47"/>
      <c r="U1567" s="47"/>
      <c r="V1567" s="47"/>
      <c r="W1567" s="51"/>
      <c r="X1567" s="51"/>
      <c r="Y1567" s="47"/>
      <c r="Z1567" s="47"/>
      <c r="AA1567" s="47"/>
      <c r="AB1567" s="47"/>
      <c r="AC1567" s="47"/>
      <c r="AD1567" s="47"/>
      <c r="AE1567" s="54"/>
      <c r="AF1567" s="54"/>
      <c r="AG1567" s="55"/>
      <c r="AH1567" s="54"/>
      <c r="AI1567" s="54"/>
      <c r="AJ1567" s="54"/>
      <c r="AK1567" s="54"/>
      <c r="AL1567" s="54"/>
      <c r="AM1567" s="54"/>
      <c r="AN1567" s="54"/>
      <c r="AO1567" s="54"/>
      <c r="AP1567" s="54"/>
      <c r="AQ1567" s="54"/>
      <c r="AR1567" s="54"/>
      <c r="AS1567" s="54"/>
      <c r="AT1567" s="54"/>
      <c r="AU1567" s="54"/>
      <c r="AV1567" s="54"/>
      <c r="AW1567" s="54"/>
      <c r="AX1567" s="54"/>
      <c r="AY1567" s="54"/>
      <c r="AZ1567" s="54"/>
      <c r="BA1567" s="54"/>
      <c r="BB1567" s="54"/>
      <c r="BC1567" s="56"/>
      <c r="BD1567" s="51"/>
      <c r="BE1567" s="54"/>
      <c r="BF1567" s="54"/>
      <c r="BG1567" s="47"/>
      <c r="BH1567" s="48"/>
      <c r="BI1567" s="48"/>
      <c r="BJ1567" s="48"/>
      <c r="BK1567" s="48"/>
      <c r="BL1567" s="48"/>
      <c r="BM1567" s="48"/>
      <c r="BN1567" s="48"/>
      <c r="BO1567" s="48"/>
      <c r="BP1567" s="48"/>
      <c r="BQ1567" s="48"/>
      <c r="BR1567" s="48"/>
      <c r="BS1567" s="48"/>
      <c r="BT1567" s="48"/>
      <c r="BU1567" s="48"/>
      <c r="BV1567" s="48"/>
      <c r="BW1567" s="48"/>
      <c r="BX1567" s="48"/>
      <c r="BY1567" s="48"/>
      <c r="BZ1567" s="48"/>
      <c r="CA1567" s="48"/>
      <c r="CB1567" s="48"/>
      <c r="CC1567" s="48"/>
      <c r="CD1567" s="48"/>
      <c r="CE1567" s="48"/>
      <c r="CF1567" s="52"/>
      <c r="CG1567" s="52"/>
      <c r="CH1567" s="48"/>
      <c r="CI1567" s="48"/>
      <c r="CJ1567" s="48"/>
      <c r="CK1567" s="48"/>
    </row>
    <row r="1568" spans="1:89" ht="15.75" customHeight="1" x14ac:dyDescent="0.3">
      <c r="A1568" s="47"/>
      <c r="B1568" s="48"/>
      <c r="C1568" s="47"/>
      <c r="D1568" s="48"/>
      <c r="E1568" s="48"/>
      <c r="F1568" s="48"/>
      <c r="G1568" s="48"/>
      <c r="H1568" s="48"/>
      <c r="I1568" s="49"/>
      <c r="J1568" s="47"/>
      <c r="K1568" s="47"/>
      <c r="L1568" s="47"/>
      <c r="M1568" s="47"/>
      <c r="N1568" s="47"/>
      <c r="O1568" s="47"/>
      <c r="P1568" s="47"/>
      <c r="Q1568" s="47"/>
      <c r="R1568" s="47"/>
      <c r="S1568" s="50"/>
      <c r="T1568" s="47"/>
      <c r="U1568" s="47"/>
      <c r="V1568" s="47"/>
      <c r="W1568" s="51"/>
      <c r="X1568" s="51"/>
      <c r="Y1568" s="47"/>
      <c r="Z1568" s="47"/>
      <c r="AA1568" s="47"/>
      <c r="AB1568" s="47"/>
      <c r="AC1568" s="47"/>
      <c r="AD1568" s="47"/>
      <c r="AE1568" s="54"/>
      <c r="AF1568" s="54"/>
      <c r="AG1568" s="55"/>
      <c r="AH1568" s="54"/>
      <c r="AI1568" s="54"/>
      <c r="AJ1568" s="54"/>
      <c r="AK1568" s="54"/>
      <c r="AL1568" s="54"/>
      <c r="AM1568" s="54"/>
      <c r="AN1568" s="54"/>
      <c r="AO1568" s="54"/>
      <c r="AP1568" s="54"/>
      <c r="AQ1568" s="54"/>
      <c r="AR1568" s="54"/>
      <c r="AS1568" s="54"/>
      <c r="AT1568" s="54"/>
      <c r="AU1568" s="54"/>
      <c r="AV1568" s="54"/>
      <c r="AW1568" s="54"/>
      <c r="AX1568" s="54"/>
      <c r="AY1568" s="54"/>
      <c r="AZ1568" s="54"/>
      <c r="BA1568" s="54"/>
      <c r="BB1568" s="54"/>
      <c r="BC1568" s="56"/>
      <c r="BD1568" s="51"/>
      <c r="BE1568" s="54"/>
      <c r="BF1568" s="54"/>
      <c r="BG1568" s="47"/>
      <c r="BH1568" s="48"/>
      <c r="BI1568" s="48"/>
      <c r="BJ1568" s="48"/>
      <c r="BK1568" s="48"/>
      <c r="BL1568" s="48"/>
      <c r="BM1568" s="48"/>
      <c r="BN1568" s="48"/>
      <c r="BO1568" s="48"/>
      <c r="BP1568" s="48"/>
      <c r="BQ1568" s="48"/>
      <c r="BR1568" s="48"/>
      <c r="BS1568" s="48"/>
      <c r="BT1568" s="48"/>
      <c r="BU1568" s="48"/>
      <c r="BV1568" s="48"/>
      <c r="BW1568" s="48"/>
      <c r="BX1568" s="48"/>
      <c r="BY1568" s="48"/>
      <c r="BZ1568" s="48"/>
      <c r="CA1568" s="48"/>
      <c r="CB1568" s="48"/>
      <c r="CC1568" s="48"/>
      <c r="CD1568" s="48"/>
      <c r="CE1568" s="48"/>
      <c r="CF1568" s="52"/>
      <c r="CG1568" s="52"/>
      <c r="CH1568" s="48"/>
      <c r="CI1568" s="48"/>
      <c r="CJ1568" s="48"/>
      <c r="CK1568" s="48"/>
    </row>
    <row r="1569" spans="1:89" ht="15.75" customHeight="1" x14ac:dyDescent="0.3">
      <c r="A1569" s="47"/>
      <c r="B1569" s="48"/>
      <c r="C1569" s="47"/>
      <c r="D1569" s="48"/>
      <c r="E1569" s="48"/>
      <c r="F1569" s="48"/>
      <c r="G1569" s="48"/>
      <c r="H1569" s="48"/>
      <c r="I1569" s="49"/>
      <c r="J1569" s="47"/>
      <c r="K1569" s="47"/>
      <c r="L1569" s="47"/>
      <c r="M1569" s="47"/>
      <c r="N1569" s="47"/>
      <c r="O1569" s="47"/>
      <c r="P1569" s="47"/>
      <c r="Q1569" s="47"/>
      <c r="R1569" s="47"/>
      <c r="S1569" s="50"/>
      <c r="T1569" s="47"/>
      <c r="U1569" s="47"/>
      <c r="V1569" s="47"/>
      <c r="W1569" s="51"/>
      <c r="X1569" s="51"/>
      <c r="Y1569" s="47"/>
      <c r="Z1569" s="47"/>
      <c r="AA1569" s="47"/>
      <c r="AB1569" s="47"/>
      <c r="AC1569" s="47"/>
      <c r="AD1569" s="47"/>
      <c r="AE1569" s="54"/>
      <c r="AF1569" s="54"/>
      <c r="AG1569" s="55"/>
      <c r="AH1569" s="54"/>
      <c r="AI1569" s="54"/>
      <c r="AJ1569" s="54"/>
      <c r="AK1569" s="54"/>
      <c r="AL1569" s="54"/>
      <c r="AM1569" s="54"/>
      <c r="AN1569" s="54"/>
      <c r="AO1569" s="54"/>
      <c r="AP1569" s="54"/>
      <c r="AQ1569" s="54"/>
      <c r="AR1569" s="54"/>
      <c r="AS1569" s="54"/>
      <c r="AT1569" s="54"/>
      <c r="AU1569" s="54"/>
      <c r="AV1569" s="54"/>
      <c r="AW1569" s="54"/>
      <c r="AX1569" s="54"/>
      <c r="AY1569" s="54"/>
      <c r="AZ1569" s="54"/>
      <c r="BA1569" s="54"/>
      <c r="BB1569" s="54"/>
      <c r="BC1569" s="56"/>
      <c r="BD1569" s="51"/>
      <c r="BE1569" s="54"/>
      <c r="BF1569" s="54"/>
      <c r="BG1569" s="47"/>
      <c r="BH1569" s="48"/>
      <c r="BI1569" s="48"/>
      <c r="BJ1569" s="48"/>
      <c r="BK1569" s="48"/>
      <c r="BL1569" s="48"/>
      <c r="BM1569" s="48"/>
      <c r="BN1569" s="48"/>
      <c r="BO1569" s="48"/>
      <c r="BP1569" s="48"/>
      <c r="BQ1569" s="48"/>
      <c r="BR1569" s="48"/>
      <c r="BS1569" s="48"/>
      <c r="BT1569" s="48"/>
      <c r="BU1569" s="48"/>
      <c r="BV1569" s="48"/>
      <c r="BW1569" s="48"/>
      <c r="BX1569" s="48"/>
      <c r="BY1569" s="48"/>
      <c r="BZ1569" s="48"/>
      <c r="CA1569" s="48"/>
      <c r="CB1569" s="48"/>
      <c r="CC1569" s="48"/>
      <c r="CD1569" s="48"/>
      <c r="CE1569" s="48"/>
      <c r="CF1569" s="52"/>
      <c r="CG1569" s="52"/>
      <c r="CH1569" s="48"/>
      <c r="CI1569" s="48"/>
      <c r="CJ1569" s="48"/>
      <c r="CK1569" s="48"/>
    </row>
    <row r="1570" spans="1:89" ht="15.75" customHeight="1" x14ac:dyDescent="0.3">
      <c r="A1570" s="47"/>
      <c r="B1570" s="48"/>
      <c r="C1570" s="47"/>
      <c r="D1570" s="48"/>
      <c r="E1570" s="48"/>
      <c r="F1570" s="48"/>
      <c r="G1570" s="48"/>
      <c r="H1570" s="48"/>
      <c r="I1570" s="49"/>
      <c r="J1570" s="47"/>
      <c r="K1570" s="47"/>
      <c r="L1570" s="47"/>
      <c r="M1570" s="47"/>
      <c r="N1570" s="47"/>
      <c r="O1570" s="47"/>
      <c r="P1570" s="47"/>
      <c r="Q1570" s="47"/>
      <c r="R1570" s="47"/>
      <c r="S1570" s="50"/>
      <c r="T1570" s="47"/>
      <c r="U1570" s="47"/>
      <c r="V1570" s="47"/>
      <c r="W1570" s="51"/>
      <c r="X1570" s="51"/>
      <c r="Y1570" s="47"/>
      <c r="Z1570" s="47"/>
      <c r="AA1570" s="47"/>
      <c r="AB1570" s="47"/>
      <c r="AC1570" s="47"/>
      <c r="AD1570" s="47"/>
      <c r="AE1570" s="54"/>
      <c r="AF1570" s="54"/>
      <c r="AG1570" s="55"/>
      <c r="AH1570" s="54"/>
      <c r="AI1570" s="54"/>
      <c r="AJ1570" s="54"/>
      <c r="AK1570" s="54"/>
      <c r="AL1570" s="54"/>
      <c r="AM1570" s="54"/>
      <c r="AN1570" s="54"/>
      <c r="AO1570" s="54"/>
      <c r="AP1570" s="54"/>
      <c r="AQ1570" s="54"/>
      <c r="AR1570" s="54"/>
      <c r="AS1570" s="54"/>
      <c r="AT1570" s="54"/>
      <c r="AU1570" s="54"/>
      <c r="AV1570" s="54"/>
      <c r="AW1570" s="54"/>
      <c r="AX1570" s="54"/>
      <c r="AY1570" s="54"/>
      <c r="AZ1570" s="54"/>
      <c r="BA1570" s="54"/>
      <c r="BB1570" s="54"/>
      <c r="BC1570" s="56"/>
      <c r="BD1570" s="51"/>
      <c r="BE1570" s="54"/>
      <c r="BF1570" s="54"/>
      <c r="BG1570" s="47"/>
      <c r="BH1570" s="48"/>
      <c r="BI1570" s="48"/>
      <c r="BJ1570" s="48"/>
      <c r="BK1570" s="48"/>
      <c r="BL1570" s="48"/>
      <c r="BM1570" s="48"/>
      <c r="BN1570" s="48"/>
      <c r="BO1570" s="48"/>
      <c r="BP1570" s="48"/>
      <c r="BQ1570" s="48"/>
      <c r="BR1570" s="48"/>
      <c r="BS1570" s="48"/>
      <c r="BT1570" s="48"/>
      <c r="BU1570" s="48"/>
      <c r="BV1570" s="48"/>
      <c r="BW1570" s="48"/>
      <c r="BX1570" s="48"/>
      <c r="BY1570" s="48"/>
      <c r="BZ1570" s="48"/>
      <c r="CA1570" s="48"/>
      <c r="CB1570" s="48"/>
      <c r="CC1570" s="48"/>
      <c r="CD1570" s="48"/>
      <c r="CE1570" s="48"/>
      <c r="CF1570" s="52"/>
      <c r="CG1570" s="52"/>
      <c r="CH1570" s="48"/>
      <c r="CI1570" s="48"/>
      <c r="CJ1570" s="48"/>
      <c r="CK1570" s="48"/>
    </row>
    <row r="1571" spans="1:89" ht="15.75" customHeight="1" x14ac:dyDescent="0.3">
      <c r="A1571" s="47"/>
      <c r="B1571" s="48"/>
      <c r="C1571" s="47"/>
      <c r="D1571" s="48"/>
      <c r="E1571" s="48"/>
      <c r="F1571" s="48"/>
      <c r="G1571" s="48"/>
      <c r="H1571" s="48"/>
      <c r="I1571" s="49"/>
      <c r="J1571" s="47"/>
      <c r="K1571" s="47"/>
      <c r="L1571" s="47"/>
      <c r="M1571" s="47"/>
      <c r="N1571" s="47"/>
      <c r="O1571" s="47"/>
      <c r="P1571" s="47"/>
      <c r="Q1571" s="47"/>
      <c r="R1571" s="47"/>
      <c r="S1571" s="50"/>
      <c r="T1571" s="47"/>
      <c r="U1571" s="47"/>
      <c r="V1571" s="47"/>
      <c r="W1571" s="51"/>
      <c r="X1571" s="51"/>
      <c r="Y1571" s="47"/>
      <c r="Z1571" s="47"/>
      <c r="AA1571" s="47"/>
      <c r="AB1571" s="47"/>
      <c r="AC1571" s="47"/>
      <c r="AD1571" s="47"/>
      <c r="AE1571" s="54"/>
      <c r="AF1571" s="54"/>
      <c r="AG1571" s="55"/>
      <c r="AH1571" s="54"/>
      <c r="AI1571" s="54"/>
      <c r="AJ1571" s="54"/>
      <c r="AK1571" s="54"/>
      <c r="AL1571" s="54"/>
      <c r="AM1571" s="54"/>
      <c r="AN1571" s="54"/>
      <c r="AO1571" s="54"/>
      <c r="AP1571" s="54"/>
      <c r="AQ1571" s="54"/>
      <c r="AR1571" s="54"/>
      <c r="AS1571" s="54"/>
      <c r="AT1571" s="54"/>
      <c r="AU1571" s="54"/>
      <c r="AV1571" s="54"/>
      <c r="AW1571" s="54"/>
      <c r="AX1571" s="54"/>
      <c r="AY1571" s="54"/>
      <c r="AZ1571" s="54"/>
      <c r="BA1571" s="54"/>
      <c r="BB1571" s="54"/>
      <c r="BC1571" s="56"/>
      <c r="BD1571" s="51"/>
      <c r="BE1571" s="54"/>
      <c r="BF1571" s="54"/>
      <c r="BG1571" s="47"/>
      <c r="BH1571" s="48"/>
      <c r="BI1571" s="48"/>
      <c r="BJ1571" s="48"/>
      <c r="BK1571" s="48"/>
      <c r="BL1571" s="48"/>
      <c r="BM1571" s="48"/>
      <c r="BN1571" s="48"/>
      <c r="BO1571" s="48"/>
      <c r="BP1571" s="48"/>
      <c r="BQ1571" s="48"/>
      <c r="BR1571" s="48"/>
      <c r="BS1571" s="48"/>
      <c r="BT1571" s="48"/>
      <c r="BU1571" s="48"/>
      <c r="BV1571" s="48"/>
      <c r="BW1571" s="48"/>
      <c r="BX1571" s="48"/>
      <c r="BY1571" s="48"/>
      <c r="BZ1571" s="48"/>
      <c r="CA1571" s="48"/>
      <c r="CB1571" s="48"/>
      <c r="CC1571" s="48"/>
      <c r="CD1571" s="48"/>
      <c r="CE1571" s="48"/>
      <c r="CF1571" s="52"/>
      <c r="CG1571" s="52"/>
      <c r="CH1571" s="48"/>
      <c r="CI1571" s="48"/>
      <c r="CJ1571" s="48"/>
      <c r="CK1571" s="48"/>
    </row>
    <row r="1572" spans="1:89" ht="15.75" customHeight="1" x14ac:dyDescent="0.3">
      <c r="A1572" s="47"/>
      <c r="B1572" s="48"/>
      <c r="C1572" s="47"/>
      <c r="D1572" s="48"/>
      <c r="E1572" s="48"/>
      <c r="F1572" s="48"/>
      <c r="G1572" s="48"/>
      <c r="H1572" s="48"/>
      <c r="I1572" s="49"/>
      <c r="J1572" s="47"/>
      <c r="K1572" s="47"/>
      <c r="L1572" s="47"/>
      <c r="M1572" s="47"/>
      <c r="N1572" s="47"/>
      <c r="O1572" s="47"/>
      <c r="P1572" s="47"/>
      <c r="Q1572" s="47"/>
      <c r="R1572" s="47"/>
      <c r="S1572" s="50"/>
      <c r="T1572" s="47"/>
      <c r="U1572" s="47"/>
      <c r="V1572" s="47"/>
      <c r="W1572" s="51"/>
      <c r="X1572" s="51"/>
      <c r="Y1572" s="47"/>
      <c r="Z1572" s="47"/>
      <c r="AA1572" s="47"/>
      <c r="AB1572" s="47"/>
      <c r="AC1572" s="47"/>
      <c r="AD1572" s="47"/>
      <c r="AE1572" s="54"/>
      <c r="AF1572" s="54"/>
      <c r="AG1572" s="55"/>
      <c r="AH1572" s="54"/>
      <c r="AI1572" s="54"/>
      <c r="AJ1572" s="54"/>
      <c r="AK1572" s="54"/>
      <c r="AL1572" s="54"/>
      <c r="AM1572" s="54"/>
      <c r="AN1572" s="54"/>
      <c r="AO1572" s="54"/>
      <c r="AP1572" s="54"/>
      <c r="AQ1572" s="54"/>
      <c r="AR1572" s="54"/>
      <c r="AS1572" s="54"/>
      <c r="AT1572" s="54"/>
      <c r="AU1572" s="54"/>
      <c r="AV1572" s="54"/>
      <c r="AW1572" s="54"/>
      <c r="AX1572" s="54"/>
      <c r="AY1572" s="54"/>
      <c r="AZ1572" s="54"/>
      <c r="BA1572" s="54"/>
      <c r="BB1572" s="54"/>
      <c r="BC1572" s="56"/>
      <c r="BD1572" s="51"/>
      <c r="BE1572" s="54"/>
      <c r="BF1572" s="54"/>
      <c r="BG1572" s="47"/>
      <c r="BH1572" s="48"/>
      <c r="BI1572" s="48"/>
      <c r="BJ1572" s="48"/>
      <c r="BK1572" s="48"/>
      <c r="BL1572" s="48"/>
      <c r="BM1572" s="48"/>
      <c r="BN1572" s="48"/>
      <c r="BO1572" s="48"/>
      <c r="BP1572" s="48"/>
      <c r="BQ1572" s="48"/>
      <c r="BR1572" s="48"/>
      <c r="BS1572" s="48"/>
      <c r="BT1572" s="48"/>
      <c r="BU1572" s="48"/>
      <c r="BV1572" s="48"/>
      <c r="BW1572" s="48"/>
      <c r="BX1572" s="48"/>
      <c r="BY1572" s="48"/>
      <c r="BZ1572" s="48"/>
      <c r="CA1572" s="48"/>
      <c r="CB1572" s="48"/>
      <c r="CC1572" s="48"/>
      <c r="CD1572" s="48"/>
      <c r="CE1572" s="48"/>
      <c r="CF1572" s="52"/>
      <c r="CG1572" s="52"/>
      <c r="CH1572" s="48"/>
      <c r="CI1572" s="48"/>
      <c r="CJ1572" s="48"/>
      <c r="CK1572" s="48"/>
    </row>
    <row r="1573" spans="1:89" ht="15.75" customHeight="1" x14ac:dyDescent="0.3">
      <c r="A1573" s="47"/>
      <c r="B1573" s="48"/>
      <c r="C1573" s="47"/>
      <c r="D1573" s="48"/>
      <c r="E1573" s="48"/>
      <c r="F1573" s="48"/>
      <c r="G1573" s="48"/>
      <c r="H1573" s="48"/>
      <c r="I1573" s="49"/>
      <c r="J1573" s="47"/>
      <c r="K1573" s="47"/>
      <c r="L1573" s="47"/>
      <c r="M1573" s="47"/>
      <c r="N1573" s="47"/>
      <c r="O1573" s="47"/>
      <c r="P1573" s="47"/>
      <c r="Q1573" s="47"/>
      <c r="R1573" s="47"/>
      <c r="S1573" s="50"/>
      <c r="T1573" s="47"/>
      <c r="U1573" s="47"/>
      <c r="V1573" s="47"/>
      <c r="W1573" s="51"/>
      <c r="X1573" s="51"/>
      <c r="Y1573" s="47"/>
      <c r="Z1573" s="47"/>
      <c r="AA1573" s="47"/>
      <c r="AB1573" s="47"/>
      <c r="AC1573" s="47"/>
      <c r="AD1573" s="47"/>
      <c r="AE1573" s="54"/>
      <c r="AF1573" s="54"/>
      <c r="AG1573" s="55"/>
      <c r="AH1573" s="54"/>
      <c r="AI1573" s="54"/>
      <c r="AJ1573" s="54"/>
      <c r="AK1573" s="54"/>
      <c r="AL1573" s="54"/>
      <c r="AM1573" s="54"/>
      <c r="AN1573" s="54"/>
      <c r="AO1573" s="54"/>
      <c r="AP1573" s="54"/>
      <c r="AQ1573" s="54"/>
      <c r="AR1573" s="54"/>
      <c r="AS1573" s="54"/>
      <c r="AT1573" s="54"/>
      <c r="AU1573" s="54"/>
      <c r="AV1573" s="54"/>
      <c r="AW1573" s="54"/>
      <c r="AX1573" s="54"/>
      <c r="AY1573" s="54"/>
      <c r="AZ1573" s="54"/>
      <c r="BA1573" s="54"/>
      <c r="BB1573" s="54"/>
      <c r="BC1573" s="56"/>
      <c r="BD1573" s="51"/>
      <c r="BE1573" s="54"/>
      <c r="BF1573" s="54"/>
      <c r="BG1573" s="47"/>
      <c r="BH1573" s="48"/>
      <c r="BI1573" s="48"/>
      <c r="BJ1573" s="48"/>
      <c r="BK1573" s="48"/>
      <c r="BL1573" s="48"/>
      <c r="BM1573" s="48"/>
      <c r="BN1573" s="48"/>
      <c r="BO1573" s="48"/>
      <c r="BP1573" s="48"/>
      <c r="BQ1573" s="48"/>
      <c r="BR1573" s="48"/>
      <c r="BS1573" s="48"/>
      <c r="BT1573" s="48"/>
      <c r="BU1573" s="48"/>
      <c r="BV1573" s="48"/>
      <c r="BW1573" s="48"/>
      <c r="BX1573" s="48"/>
      <c r="BY1573" s="48"/>
      <c r="BZ1573" s="48"/>
      <c r="CA1573" s="48"/>
      <c r="CB1573" s="48"/>
      <c r="CC1573" s="48"/>
      <c r="CD1573" s="48"/>
      <c r="CE1573" s="48"/>
      <c r="CF1573" s="52"/>
      <c r="CG1573" s="52"/>
      <c r="CH1573" s="48"/>
      <c r="CI1573" s="48"/>
      <c r="CJ1573" s="48"/>
      <c r="CK1573" s="48"/>
    </row>
    <row r="1574" spans="1:89" ht="15.75" customHeight="1" x14ac:dyDescent="0.3">
      <c r="A1574" s="47"/>
      <c r="B1574" s="48"/>
      <c r="C1574" s="47"/>
      <c r="D1574" s="48"/>
      <c r="E1574" s="48"/>
      <c r="F1574" s="48"/>
      <c r="G1574" s="48"/>
      <c r="H1574" s="48"/>
      <c r="I1574" s="49"/>
      <c r="J1574" s="47"/>
      <c r="K1574" s="47"/>
      <c r="L1574" s="47"/>
      <c r="M1574" s="47"/>
      <c r="N1574" s="47"/>
      <c r="O1574" s="47"/>
      <c r="P1574" s="47"/>
      <c r="Q1574" s="47"/>
      <c r="R1574" s="47"/>
      <c r="S1574" s="50"/>
      <c r="T1574" s="47"/>
      <c r="U1574" s="47"/>
      <c r="V1574" s="47"/>
      <c r="W1574" s="51"/>
      <c r="X1574" s="51"/>
      <c r="Y1574" s="47"/>
      <c r="Z1574" s="47"/>
      <c r="AA1574" s="47"/>
      <c r="AB1574" s="47"/>
      <c r="AC1574" s="47"/>
      <c r="AD1574" s="47"/>
      <c r="AE1574" s="54"/>
      <c r="AF1574" s="54"/>
      <c r="AG1574" s="55"/>
      <c r="AH1574" s="54"/>
      <c r="AI1574" s="54"/>
      <c r="AJ1574" s="54"/>
      <c r="AK1574" s="54"/>
      <c r="AL1574" s="54"/>
      <c r="AM1574" s="54"/>
      <c r="AN1574" s="54"/>
      <c r="AO1574" s="54"/>
      <c r="AP1574" s="54"/>
      <c r="AQ1574" s="54"/>
      <c r="AR1574" s="54"/>
      <c r="AS1574" s="54"/>
      <c r="AT1574" s="54"/>
      <c r="AU1574" s="54"/>
      <c r="AV1574" s="54"/>
      <c r="AW1574" s="54"/>
      <c r="AX1574" s="54"/>
      <c r="AY1574" s="54"/>
      <c r="AZ1574" s="54"/>
      <c r="BA1574" s="54"/>
      <c r="BB1574" s="54"/>
      <c r="BC1574" s="56"/>
      <c r="BD1574" s="51"/>
      <c r="BE1574" s="54"/>
      <c r="BF1574" s="54"/>
      <c r="BG1574" s="47"/>
      <c r="BH1574" s="48"/>
      <c r="BI1574" s="48"/>
      <c r="BJ1574" s="48"/>
      <c r="BK1574" s="48"/>
      <c r="BL1574" s="48"/>
      <c r="BM1574" s="48"/>
      <c r="BN1574" s="48"/>
      <c r="BO1574" s="48"/>
      <c r="BP1574" s="48"/>
      <c r="BQ1574" s="48"/>
      <c r="BR1574" s="48"/>
      <c r="BS1574" s="48"/>
      <c r="BT1574" s="48"/>
      <c r="BU1574" s="48"/>
      <c r="BV1574" s="48"/>
      <c r="BW1574" s="48"/>
      <c r="BX1574" s="48"/>
      <c r="BY1574" s="48"/>
      <c r="BZ1574" s="48"/>
      <c r="CA1574" s="48"/>
      <c r="CB1574" s="48"/>
      <c r="CC1574" s="48"/>
      <c r="CD1574" s="48"/>
      <c r="CE1574" s="48"/>
      <c r="CF1574" s="52"/>
      <c r="CG1574" s="52"/>
      <c r="CH1574" s="48"/>
      <c r="CI1574" s="48"/>
      <c r="CJ1574" s="48"/>
      <c r="CK1574" s="48"/>
    </row>
    <row r="1575" spans="1:89" ht="15.75" customHeight="1" x14ac:dyDescent="0.3">
      <c r="A1575" s="47"/>
      <c r="B1575" s="48"/>
      <c r="C1575" s="47"/>
      <c r="D1575" s="48"/>
      <c r="E1575" s="48"/>
      <c r="F1575" s="48"/>
      <c r="G1575" s="48"/>
      <c r="H1575" s="48"/>
      <c r="I1575" s="49"/>
      <c r="J1575" s="47"/>
      <c r="K1575" s="47"/>
      <c r="L1575" s="47"/>
      <c r="M1575" s="47"/>
      <c r="N1575" s="47"/>
      <c r="O1575" s="47"/>
      <c r="P1575" s="47"/>
      <c r="Q1575" s="47"/>
      <c r="R1575" s="47"/>
      <c r="S1575" s="50"/>
      <c r="T1575" s="47"/>
      <c r="U1575" s="47"/>
      <c r="V1575" s="47"/>
      <c r="W1575" s="51"/>
      <c r="X1575" s="51"/>
      <c r="Y1575" s="47"/>
      <c r="Z1575" s="47"/>
      <c r="AA1575" s="47"/>
      <c r="AB1575" s="47"/>
      <c r="AC1575" s="47"/>
      <c r="AD1575" s="47"/>
      <c r="AE1575" s="54"/>
      <c r="AF1575" s="54"/>
      <c r="AG1575" s="55"/>
      <c r="AH1575" s="54"/>
      <c r="AI1575" s="54"/>
      <c r="AJ1575" s="54"/>
      <c r="AK1575" s="54"/>
      <c r="AL1575" s="54"/>
      <c r="AM1575" s="54"/>
      <c r="AN1575" s="54"/>
      <c r="AO1575" s="54"/>
      <c r="AP1575" s="54"/>
      <c r="AQ1575" s="54"/>
      <c r="AR1575" s="54"/>
      <c r="AS1575" s="54"/>
      <c r="AT1575" s="54"/>
      <c r="AU1575" s="54"/>
      <c r="AV1575" s="54"/>
      <c r="AW1575" s="54"/>
      <c r="AX1575" s="54"/>
      <c r="AY1575" s="54"/>
      <c r="AZ1575" s="54"/>
      <c r="BA1575" s="54"/>
      <c r="BB1575" s="54"/>
      <c r="BC1575" s="56"/>
      <c r="BD1575" s="51"/>
      <c r="BE1575" s="54"/>
      <c r="BF1575" s="54"/>
      <c r="BG1575" s="47"/>
      <c r="BH1575" s="48"/>
      <c r="BI1575" s="48"/>
      <c r="BJ1575" s="48"/>
      <c r="BK1575" s="48"/>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52"/>
      <c r="CG1575" s="52"/>
      <c r="CH1575" s="48"/>
      <c r="CI1575" s="48"/>
      <c r="CJ1575" s="48"/>
      <c r="CK1575" s="48"/>
    </row>
    <row r="1576" spans="1:89" ht="15.75" customHeight="1" x14ac:dyDescent="0.3">
      <c r="A1576" s="47"/>
      <c r="B1576" s="48"/>
      <c r="C1576" s="47"/>
      <c r="D1576" s="48"/>
      <c r="E1576" s="48"/>
      <c r="F1576" s="48"/>
      <c r="G1576" s="48"/>
      <c r="H1576" s="48"/>
      <c r="I1576" s="49"/>
      <c r="J1576" s="47"/>
      <c r="K1576" s="47"/>
      <c r="L1576" s="47"/>
      <c r="M1576" s="47"/>
      <c r="N1576" s="47"/>
      <c r="O1576" s="47"/>
      <c r="P1576" s="47"/>
      <c r="Q1576" s="47"/>
      <c r="R1576" s="47"/>
      <c r="S1576" s="50"/>
      <c r="T1576" s="47"/>
      <c r="U1576" s="47"/>
      <c r="V1576" s="47"/>
      <c r="W1576" s="51"/>
      <c r="X1576" s="51"/>
      <c r="Y1576" s="47"/>
      <c r="Z1576" s="47"/>
      <c r="AA1576" s="47"/>
      <c r="AB1576" s="47"/>
      <c r="AC1576" s="47"/>
      <c r="AD1576" s="47"/>
      <c r="AE1576" s="54"/>
      <c r="AF1576" s="54"/>
      <c r="AG1576" s="55"/>
      <c r="AH1576" s="54"/>
      <c r="AI1576" s="54"/>
      <c r="AJ1576" s="54"/>
      <c r="AK1576" s="54"/>
      <c r="AL1576" s="54"/>
      <c r="AM1576" s="54"/>
      <c r="AN1576" s="54"/>
      <c r="AO1576" s="54"/>
      <c r="AP1576" s="54"/>
      <c r="AQ1576" s="54"/>
      <c r="AR1576" s="54"/>
      <c r="AS1576" s="54"/>
      <c r="AT1576" s="54"/>
      <c r="AU1576" s="54"/>
      <c r="AV1576" s="54"/>
      <c r="AW1576" s="54"/>
      <c r="AX1576" s="54"/>
      <c r="AY1576" s="54"/>
      <c r="AZ1576" s="54"/>
      <c r="BA1576" s="54"/>
      <c r="BB1576" s="54"/>
      <c r="BC1576" s="56"/>
      <c r="BD1576" s="51"/>
      <c r="BE1576" s="54"/>
      <c r="BF1576" s="54"/>
      <c r="BG1576" s="47"/>
      <c r="BH1576" s="48"/>
      <c r="BI1576" s="48"/>
      <c r="BJ1576" s="48"/>
      <c r="BK1576" s="48"/>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52"/>
      <c r="CG1576" s="52"/>
      <c r="CH1576" s="48"/>
      <c r="CI1576" s="48"/>
      <c r="CJ1576" s="48"/>
      <c r="CK1576" s="48"/>
    </row>
    <row r="1577" spans="1:89" ht="15.75" customHeight="1" x14ac:dyDescent="0.3">
      <c r="A1577" s="47"/>
      <c r="B1577" s="48"/>
      <c r="C1577" s="47"/>
      <c r="D1577" s="48"/>
      <c r="E1577" s="48"/>
      <c r="F1577" s="48"/>
      <c r="G1577" s="48"/>
      <c r="H1577" s="48"/>
      <c r="I1577" s="49"/>
      <c r="J1577" s="47"/>
      <c r="K1577" s="47"/>
      <c r="L1577" s="47"/>
      <c r="M1577" s="47"/>
      <c r="N1577" s="47"/>
      <c r="O1577" s="47"/>
      <c r="P1577" s="47"/>
      <c r="Q1577" s="47"/>
      <c r="R1577" s="47"/>
      <c r="S1577" s="50"/>
      <c r="T1577" s="47"/>
      <c r="U1577" s="47"/>
      <c r="V1577" s="47"/>
      <c r="W1577" s="51"/>
      <c r="X1577" s="51"/>
      <c r="Y1577" s="47"/>
      <c r="Z1577" s="47"/>
      <c r="AA1577" s="47"/>
      <c r="AB1577" s="47"/>
      <c r="AC1577" s="47"/>
      <c r="AD1577" s="47"/>
      <c r="AE1577" s="54"/>
      <c r="AF1577" s="54"/>
      <c r="AG1577" s="55"/>
      <c r="AH1577" s="54"/>
      <c r="AI1577" s="54"/>
      <c r="AJ1577" s="54"/>
      <c r="AK1577" s="54"/>
      <c r="AL1577" s="54"/>
      <c r="AM1577" s="54"/>
      <c r="AN1577" s="54"/>
      <c r="AO1577" s="54"/>
      <c r="AP1577" s="54"/>
      <c r="AQ1577" s="54"/>
      <c r="AR1577" s="54"/>
      <c r="AS1577" s="54"/>
      <c r="AT1577" s="54"/>
      <c r="AU1577" s="54"/>
      <c r="AV1577" s="54"/>
      <c r="AW1577" s="54"/>
      <c r="AX1577" s="54"/>
      <c r="AY1577" s="54"/>
      <c r="AZ1577" s="54"/>
      <c r="BA1577" s="54"/>
      <c r="BB1577" s="54"/>
      <c r="BC1577" s="56"/>
      <c r="BD1577" s="51"/>
      <c r="BE1577" s="54"/>
      <c r="BF1577" s="54"/>
      <c r="BG1577" s="47"/>
      <c r="BH1577" s="48"/>
      <c r="BI1577" s="48"/>
      <c r="BJ1577" s="48"/>
      <c r="BK1577" s="48"/>
      <c r="BL1577" s="48"/>
      <c r="BM1577" s="48"/>
      <c r="BN1577" s="48"/>
      <c r="BO1577" s="48"/>
      <c r="BP1577" s="48"/>
      <c r="BQ1577" s="48"/>
      <c r="BR1577" s="48"/>
      <c r="BS1577" s="48"/>
      <c r="BT1577" s="48"/>
      <c r="BU1577" s="48"/>
      <c r="BV1577" s="48"/>
      <c r="BW1577" s="48"/>
      <c r="BX1577" s="48"/>
      <c r="BY1577" s="48"/>
      <c r="BZ1577" s="48"/>
      <c r="CA1577" s="48"/>
      <c r="CB1577" s="48"/>
      <c r="CC1577" s="48"/>
      <c r="CD1577" s="48"/>
      <c r="CE1577" s="48"/>
      <c r="CF1577" s="52"/>
      <c r="CG1577" s="52"/>
      <c r="CH1577" s="48"/>
      <c r="CI1577" s="48"/>
      <c r="CJ1577" s="48"/>
      <c r="CK1577" s="48"/>
    </row>
    <row r="1578" spans="1:89" ht="15.75" customHeight="1" x14ac:dyDescent="0.3">
      <c r="A1578" s="47"/>
      <c r="B1578" s="48"/>
      <c r="C1578" s="47"/>
      <c r="D1578" s="48"/>
      <c r="E1578" s="48"/>
      <c r="F1578" s="48"/>
      <c r="G1578" s="48"/>
      <c r="H1578" s="48"/>
      <c r="I1578" s="49"/>
      <c r="J1578" s="47"/>
      <c r="K1578" s="47"/>
      <c r="L1578" s="47"/>
      <c r="M1578" s="47"/>
      <c r="N1578" s="47"/>
      <c r="O1578" s="47"/>
      <c r="P1578" s="47"/>
      <c r="Q1578" s="47"/>
      <c r="R1578" s="47"/>
      <c r="S1578" s="50"/>
      <c r="T1578" s="47"/>
      <c r="U1578" s="47"/>
      <c r="V1578" s="47"/>
      <c r="W1578" s="51"/>
      <c r="X1578" s="51"/>
      <c r="Y1578" s="47"/>
      <c r="Z1578" s="47"/>
      <c r="AA1578" s="47"/>
      <c r="AB1578" s="47"/>
      <c r="AC1578" s="47"/>
      <c r="AD1578" s="47"/>
      <c r="AE1578" s="54"/>
      <c r="AF1578" s="54"/>
      <c r="AG1578" s="55"/>
      <c r="AH1578" s="54"/>
      <c r="AI1578" s="54"/>
      <c r="AJ1578" s="54"/>
      <c r="AK1578" s="54"/>
      <c r="AL1578" s="54"/>
      <c r="AM1578" s="54"/>
      <c r="AN1578" s="54"/>
      <c r="AO1578" s="54"/>
      <c r="AP1578" s="54"/>
      <c r="AQ1578" s="54"/>
      <c r="AR1578" s="54"/>
      <c r="AS1578" s="54"/>
      <c r="AT1578" s="54"/>
      <c r="AU1578" s="54"/>
      <c r="AV1578" s="54"/>
      <c r="AW1578" s="54"/>
      <c r="AX1578" s="54"/>
      <c r="AY1578" s="54"/>
      <c r="AZ1578" s="54"/>
      <c r="BA1578" s="54"/>
      <c r="BB1578" s="54"/>
      <c r="BC1578" s="56"/>
      <c r="BD1578" s="51"/>
      <c r="BE1578" s="54"/>
      <c r="BF1578" s="54"/>
      <c r="BG1578" s="47"/>
      <c r="BH1578" s="48"/>
      <c r="BI1578" s="48"/>
      <c r="BJ1578" s="48"/>
      <c r="BK1578" s="48"/>
      <c r="BL1578" s="48"/>
      <c r="BM1578" s="48"/>
      <c r="BN1578" s="48"/>
      <c r="BO1578" s="48"/>
      <c r="BP1578" s="48"/>
      <c r="BQ1578" s="48"/>
      <c r="BR1578" s="48"/>
      <c r="BS1578" s="48"/>
      <c r="BT1578" s="48"/>
      <c r="BU1578" s="48"/>
      <c r="BV1578" s="48"/>
      <c r="BW1578" s="48"/>
      <c r="BX1578" s="48"/>
      <c r="BY1578" s="48"/>
      <c r="BZ1578" s="48"/>
      <c r="CA1578" s="48"/>
      <c r="CB1578" s="48"/>
      <c r="CC1578" s="48"/>
      <c r="CD1578" s="48"/>
      <c r="CE1578" s="48"/>
      <c r="CF1578" s="52"/>
      <c r="CG1578" s="52"/>
      <c r="CH1578" s="48"/>
      <c r="CI1578" s="48"/>
      <c r="CJ1578" s="48"/>
      <c r="CK1578" s="48"/>
    </row>
    <row r="1579" spans="1:89" ht="15.75" customHeight="1" x14ac:dyDescent="0.3">
      <c r="A1579" s="47"/>
      <c r="B1579" s="48"/>
      <c r="C1579" s="47"/>
      <c r="D1579" s="48"/>
      <c r="E1579" s="48"/>
      <c r="F1579" s="48"/>
      <c r="G1579" s="48"/>
      <c r="H1579" s="48"/>
      <c r="I1579" s="49"/>
      <c r="J1579" s="47"/>
      <c r="K1579" s="47"/>
      <c r="L1579" s="47"/>
      <c r="M1579" s="47"/>
      <c r="N1579" s="47"/>
      <c r="O1579" s="47"/>
      <c r="P1579" s="47"/>
      <c r="Q1579" s="47"/>
      <c r="R1579" s="47"/>
      <c r="S1579" s="50"/>
      <c r="T1579" s="47"/>
      <c r="U1579" s="47"/>
      <c r="V1579" s="47"/>
      <c r="W1579" s="51"/>
      <c r="X1579" s="51"/>
      <c r="Y1579" s="47"/>
      <c r="Z1579" s="47"/>
      <c r="AA1579" s="47"/>
      <c r="AB1579" s="47"/>
      <c r="AC1579" s="47"/>
      <c r="AD1579" s="47"/>
      <c r="AE1579" s="54"/>
      <c r="AF1579" s="54"/>
      <c r="AG1579" s="55"/>
      <c r="AH1579" s="54"/>
      <c r="AI1579" s="54"/>
      <c r="AJ1579" s="54"/>
      <c r="AK1579" s="54"/>
      <c r="AL1579" s="54"/>
      <c r="AM1579" s="54"/>
      <c r="AN1579" s="54"/>
      <c r="AO1579" s="54"/>
      <c r="AP1579" s="54"/>
      <c r="AQ1579" s="54"/>
      <c r="AR1579" s="54"/>
      <c r="AS1579" s="54"/>
      <c r="AT1579" s="54"/>
      <c r="AU1579" s="54"/>
      <c r="AV1579" s="54"/>
      <c r="AW1579" s="54"/>
      <c r="AX1579" s="54"/>
      <c r="AY1579" s="54"/>
      <c r="AZ1579" s="54"/>
      <c r="BA1579" s="54"/>
      <c r="BB1579" s="54"/>
      <c r="BC1579" s="56"/>
      <c r="BD1579" s="51"/>
      <c r="BE1579" s="54"/>
      <c r="BF1579" s="54"/>
      <c r="BG1579" s="47"/>
      <c r="BH1579" s="48"/>
      <c r="BI1579" s="48"/>
      <c r="BJ1579" s="48"/>
      <c r="BK1579" s="48"/>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52"/>
      <c r="CG1579" s="52"/>
      <c r="CH1579" s="48"/>
      <c r="CI1579" s="48"/>
      <c r="CJ1579" s="48"/>
      <c r="CK1579" s="48"/>
    </row>
    <row r="1580" spans="1:89" ht="15.75" customHeight="1" x14ac:dyDescent="0.3">
      <c r="A1580" s="47"/>
      <c r="B1580" s="48"/>
      <c r="C1580" s="47"/>
      <c r="D1580" s="48"/>
      <c r="E1580" s="48"/>
      <c r="F1580" s="48"/>
      <c r="G1580" s="48"/>
      <c r="H1580" s="48"/>
      <c r="I1580" s="49"/>
      <c r="J1580" s="47"/>
      <c r="K1580" s="47"/>
      <c r="L1580" s="47"/>
      <c r="M1580" s="47"/>
      <c r="N1580" s="47"/>
      <c r="O1580" s="47"/>
      <c r="P1580" s="47"/>
      <c r="Q1580" s="47"/>
      <c r="R1580" s="47"/>
      <c r="S1580" s="50"/>
      <c r="T1580" s="47"/>
      <c r="U1580" s="47"/>
      <c r="V1580" s="47"/>
      <c r="W1580" s="51"/>
      <c r="X1580" s="51"/>
      <c r="Y1580" s="47"/>
      <c r="Z1580" s="47"/>
      <c r="AA1580" s="47"/>
      <c r="AB1580" s="47"/>
      <c r="AC1580" s="47"/>
      <c r="AD1580" s="47"/>
      <c r="AE1580" s="54"/>
      <c r="AF1580" s="54"/>
      <c r="AG1580" s="55"/>
      <c r="AH1580" s="54"/>
      <c r="AI1580" s="54"/>
      <c r="AJ1580" s="54"/>
      <c r="AK1580" s="54"/>
      <c r="AL1580" s="54"/>
      <c r="AM1580" s="54"/>
      <c r="AN1580" s="54"/>
      <c r="AO1580" s="54"/>
      <c r="AP1580" s="54"/>
      <c r="AQ1580" s="54"/>
      <c r="AR1580" s="54"/>
      <c r="AS1580" s="54"/>
      <c r="AT1580" s="54"/>
      <c r="AU1580" s="54"/>
      <c r="AV1580" s="54"/>
      <c r="AW1580" s="54"/>
      <c r="AX1580" s="54"/>
      <c r="AY1580" s="54"/>
      <c r="AZ1580" s="54"/>
      <c r="BA1580" s="54"/>
      <c r="BB1580" s="54"/>
      <c r="BC1580" s="56"/>
      <c r="BD1580" s="51"/>
      <c r="BE1580" s="54"/>
      <c r="BF1580" s="54"/>
      <c r="BG1580" s="47"/>
      <c r="BH1580" s="48"/>
      <c r="BI1580" s="48"/>
      <c r="BJ1580" s="48"/>
      <c r="BK1580" s="48"/>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52"/>
      <c r="CG1580" s="52"/>
      <c r="CH1580" s="48"/>
      <c r="CI1580" s="48"/>
      <c r="CJ1580" s="48"/>
      <c r="CK1580" s="48"/>
    </row>
    <row r="1581" spans="1:89" ht="15.75" customHeight="1" x14ac:dyDescent="0.3">
      <c r="A1581" s="47"/>
      <c r="B1581" s="48"/>
      <c r="C1581" s="47"/>
      <c r="D1581" s="48"/>
      <c r="E1581" s="48"/>
      <c r="F1581" s="48"/>
      <c r="G1581" s="48"/>
      <c r="H1581" s="48"/>
      <c r="I1581" s="49"/>
      <c r="J1581" s="47"/>
      <c r="K1581" s="47"/>
      <c r="L1581" s="47"/>
      <c r="M1581" s="47"/>
      <c r="N1581" s="47"/>
      <c r="O1581" s="47"/>
      <c r="P1581" s="47"/>
      <c r="Q1581" s="47"/>
      <c r="R1581" s="47"/>
      <c r="S1581" s="50"/>
      <c r="T1581" s="47"/>
      <c r="U1581" s="47"/>
      <c r="V1581" s="47"/>
      <c r="W1581" s="51"/>
      <c r="X1581" s="51"/>
      <c r="Y1581" s="47"/>
      <c r="Z1581" s="47"/>
      <c r="AA1581" s="47"/>
      <c r="AB1581" s="47"/>
      <c r="AC1581" s="47"/>
      <c r="AD1581" s="47"/>
      <c r="AE1581" s="54"/>
      <c r="AF1581" s="54"/>
      <c r="AG1581" s="55"/>
      <c r="AH1581" s="54"/>
      <c r="AI1581" s="54"/>
      <c r="AJ1581" s="54"/>
      <c r="AK1581" s="54"/>
      <c r="AL1581" s="54"/>
      <c r="AM1581" s="54"/>
      <c r="AN1581" s="54"/>
      <c r="AO1581" s="54"/>
      <c r="AP1581" s="54"/>
      <c r="AQ1581" s="54"/>
      <c r="AR1581" s="54"/>
      <c r="AS1581" s="54"/>
      <c r="AT1581" s="54"/>
      <c r="AU1581" s="54"/>
      <c r="AV1581" s="54"/>
      <c r="AW1581" s="54"/>
      <c r="AX1581" s="54"/>
      <c r="AY1581" s="54"/>
      <c r="AZ1581" s="54"/>
      <c r="BA1581" s="54"/>
      <c r="BB1581" s="54"/>
      <c r="BC1581" s="56"/>
      <c r="BD1581" s="51"/>
      <c r="BE1581" s="54"/>
      <c r="BF1581" s="54"/>
      <c r="BG1581" s="47"/>
      <c r="BH1581" s="48"/>
      <c r="BI1581" s="48"/>
      <c r="BJ1581" s="48"/>
      <c r="BK1581" s="48"/>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52"/>
      <c r="CG1581" s="52"/>
      <c r="CH1581" s="48"/>
      <c r="CI1581" s="48"/>
      <c r="CJ1581" s="48"/>
      <c r="CK1581" s="48"/>
    </row>
    <row r="1582" spans="1:89" ht="15.75" customHeight="1" x14ac:dyDescent="0.3">
      <c r="A1582" s="47"/>
      <c r="B1582" s="48"/>
      <c r="C1582" s="47"/>
      <c r="D1582" s="48"/>
      <c r="E1582" s="48"/>
      <c r="F1582" s="48"/>
      <c r="G1582" s="48"/>
      <c r="H1582" s="48"/>
      <c r="I1582" s="49"/>
      <c r="J1582" s="47"/>
      <c r="K1582" s="47"/>
      <c r="L1582" s="47"/>
      <c r="M1582" s="47"/>
      <c r="N1582" s="47"/>
      <c r="O1582" s="47"/>
      <c r="P1582" s="47"/>
      <c r="Q1582" s="47"/>
      <c r="R1582" s="47"/>
      <c r="S1582" s="50"/>
      <c r="T1582" s="47"/>
      <c r="U1582" s="47"/>
      <c r="V1582" s="47"/>
      <c r="W1582" s="51"/>
      <c r="X1582" s="51"/>
      <c r="Y1582" s="47"/>
      <c r="Z1582" s="47"/>
      <c r="AA1582" s="47"/>
      <c r="AB1582" s="47"/>
      <c r="AC1582" s="47"/>
      <c r="AD1582" s="47"/>
      <c r="AE1582" s="54"/>
      <c r="AF1582" s="54"/>
      <c r="AG1582" s="55"/>
      <c r="AH1582" s="54"/>
      <c r="AI1582" s="54"/>
      <c r="AJ1582" s="54"/>
      <c r="AK1582" s="54"/>
      <c r="AL1582" s="54"/>
      <c r="AM1582" s="54"/>
      <c r="AN1582" s="54"/>
      <c r="AO1582" s="54"/>
      <c r="AP1582" s="54"/>
      <c r="AQ1582" s="54"/>
      <c r="AR1582" s="54"/>
      <c r="AS1582" s="54"/>
      <c r="AT1582" s="54"/>
      <c r="AU1582" s="54"/>
      <c r="AV1582" s="54"/>
      <c r="AW1582" s="54"/>
      <c r="AX1582" s="54"/>
      <c r="AY1582" s="54"/>
      <c r="AZ1582" s="54"/>
      <c r="BA1582" s="54"/>
      <c r="BB1582" s="54"/>
      <c r="BC1582" s="56"/>
      <c r="BD1582" s="51"/>
      <c r="BE1582" s="54"/>
      <c r="BF1582" s="54"/>
      <c r="BG1582" s="47"/>
      <c r="BH1582" s="48"/>
      <c r="BI1582" s="48"/>
      <c r="BJ1582" s="48"/>
      <c r="BK1582" s="48"/>
      <c r="BL1582" s="48"/>
      <c r="BM1582" s="48"/>
      <c r="BN1582" s="48"/>
      <c r="BO1582" s="48"/>
      <c r="BP1582" s="48"/>
      <c r="BQ1582" s="48"/>
      <c r="BR1582" s="48"/>
      <c r="BS1582" s="48"/>
      <c r="BT1582" s="48"/>
      <c r="BU1582" s="48"/>
      <c r="BV1582" s="48"/>
      <c r="BW1582" s="48"/>
      <c r="BX1582" s="48"/>
      <c r="BY1582" s="48"/>
      <c r="BZ1582" s="48"/>
      <c r="CA1582" s="48"/>
      <c r="CB1582" s="48"/>
      <c r="CC1582" s="48"/>
      <c r="CD1582" s="48"/>
      <c r="CE1582" s="48"/>
      <c r="CF1582" s="52"/>
      <c r="CG1582" s="52"/>
      <c r="CH1582" s="48"/>
      <c r="CI1582" s="48"/>
      <c r="CJ1582" s="48"/>
      <c r="CK1582" s="48"/>
    </row>
    <row r="1583" spans="1:89" ht="15.75" customHeight="1" x14ac:dyDescent="0.3">
      <c r="A1583" s="47"/>
      <c r="B1583" s="48"/>
      <c r="C1583" s="47"/>
      <c r="D1583" s="48"/>
      <c r="E1583" s="48"/>
      <c r="F1583" s="48"/>
      <c r="G1583" s="48"/>
      <c r="H1583" s="48"/>
      <c r="I1583" s="49"/>
      <c r="J1583" s="47"/>
      <c r="K1583" s="47"/>
      <c r="L1583" s="47"/>
      <c r="M1583" s="47"/>
      <c r="N1583" s="47"/>
      <c r="O1583" s="47"/>
      <c r="P1583" s="47"/>
      <c r="Q1583" s="47"/>
      <c r="R1583" s="47"/>
      <c r="S1583" s="50"/>
      <c r="T1583" s="47"/>
      <c r="U1583" s="47"/>
      <c r="V1583" s="47"/>
      <c r="W1583" s="51"/>
      <c r="X1583" s="51"/>
      <c r="Y1583" s="47"/>
      <c r="Z1583" s="47"/>
      <c r="AA1583" s="47"/>
      <c r="AB1583" s="47"/>
      <c r="AC1583" s="47"/>
      <c r="AD1583" s="47"/>
      <c r="AE1583" s="54"/>
      <c r="AF1583" s="54"/>
      <c r="AG1583" s="55"/>
      <c r="AH1583" s="54"/>
      <c r="AI1583" s="54"/>
      <c r="AJ1583" s="54"/>
      <c r="AK1583" s="54"/>
      <c r="AL1583" s="54"/>
      <c r="AM1583" s="54"/>
      <c r="AN1583" s="54"/>
      <c r="AO1583" s="54"/>
      <c r="AP1583" s="54"/>
      <c r="AQ1583" s="54"/>
      <c r="AR1583" s="54"/>
      <c r="AS1583" s="54"/>
      <c r="AT1583" s="54"/>
      <c r="AU1583" s="54"/>
      <c r="AV1583" s="54"/>
      <c r="AW1583" s="54"/>
      <c r="AX1583" s="54"/>
      <c r="AY1583" s="54"/>
      <c r="AZ1583" s="54"/>
      <c r="BA1583" s="54"/>
      <c r="BB1583" s="54"/>
      <c r="BC1583" s="56"/>
      <c r="BD1583" s="51"/>
      <c r="BE1583" s="54"/>
      <c r="BF1583" s="54"/>
      <c r="BG1583" s="47"/>
      <c r="BH1583" s="48"/>
      <c r="BI1583" s="48"/>
      <c r="BJ1583" s="48"/>
      <c r="BK1583" s="48"/>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52"/>
      <c r="CG1583" s="52"/>
      <c r="CH1583" s="48"/>
      <c r="CI1583" s="48"/>
      <c r="CJ1583" s="48"/>
      <c r="CK1583" s="48"/>
    </row>
    <row r="1584" spans="1:89" ht="15.75" customHeight="1" x14ac:dyDescent="0.3">
      <c r="A1584" s="47"/>
      <c r="B1584" s="48"/>
      <c r="C1584" s="47"/>
      <c r="D1584" s="48"/>
      <c r="E1584" s="48"/>
      <c r="F1584" s="48"/>
      <c r="G1584" s="48"/>
      <c r="H1584" s="48"/>
      <c r="I1584" s="49"/>
      <c r="J1584" s="47"/>
      <c r="K1584" s="47"/>
      <c r="L1584" s="47"/>
      <c r="M1584" s="47"/>
      <c r="N1584" s="47"/>
      <c r="O1584" s="47"/>
      <c r="P1584" s="47"/>
      <c r="Q1584" s="47"/>
      <c r="R1584" s="47"/>
      <c r="S1584" s="50"/>
      <c r="T1584" s="47"/>
      <c r="U1584" s="47"/>
      <c r="V1584" s="47"/>
      <c r="W1584" s="51"/>
      <c r="X1584" s="51"/>
      <c r="Y1584" s="47"/>
      <c r="Z1584" s="47"/>
      <c r="AA1584" s="47"/>
      <c r="AB1584" s="47"/>
      <c r="AC1584" s="47"/>
      <c r="AD1584" s="47"/>
      <c r="AE1584" s="54"/>
      <c r="AF1584" s="54"/>
      <c r="AG1584" s="55"/>
      <c r="AH1584" s="54"/>
      <c r="AI1584" s="54"/>
      <c r="AJ1584" s="54"/>
      <c r="AK1584" s="54"/>
      <c r="AL1584" s="54"/>
      <c r="AM1584" s="54"/>
      <c r="AN1584" s="54"/>
      <c r="AO1584" s="54"/>
      <c r="AP1584" s="54"/>
      <c r="AQ1584" s="54"/>
      <c r="AR1584" s="54"/>
      <c r="AS1584" s="54"/>
      <c r="AT1584" s="54"/>
      <c r="AU1584" s="54"/>
      <c r="AV1584" s="54"/>
      <c r="AW1584" s="54"/>
      <c r="AX1584" s="54"/>
      <c r="AY1584" s="54"/>
      <c r="AZ1584" s="54"/>
      <c r="BA1584" s="54"/>
      <c r="BB1584" s="54"/>
      <c r="BC1584" s="56"/>
      <c r="BD1584" s="51"/>
      <c r="BE1584" s="54"/>
      <c r="BF1584" s="54"/>
      <c r="BG1584" s="47"/>
      <c r="BH1584" s="48"/>
      <c r="BI1584" s="48"/>
      <c r="BJ1584" s="48"/>
      <c r="BK1584" s="48"/>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52"/>
      <c r="CG1584" s="52"/>
      <c r="CH1584" s="48"/>
      <c r="CI1584" s="48"/>
      <c r="CJ1584" s="48"/>
      <c r="CK1584" s="48"/>
    </row>
    <row r="1585" spans="1:89" ht="15.75" customHeight="1" x14ac:dyDescent="0.3">
      <c r="A1585" s="47"/>
      <c r="B1585" s="48"/>
      <c r="C1585" s="47"/>
      <c r="D1585" s="48"/>
      <c r="E1585" s="48"/>
      <c r="F1585" s="48"/>
      <c r="G1585" s="48"/>
      <c r="H1585" s="48"/>
      <c r="I1585" s="49"/>
      <c r="J1585" s="47"/>
      <c r="K1585" s="47"/>
      <c r="L1585" s="47"/>
      <c r="M1585" s="47"/>
      <c r="N1585" s="47"/>
      <c r="O1585" s="47"/>
      <c r="P1585" s="47"/>
      <c r="Q1585" s="47"/>
      <c r="R1585" s="47"/>
      <c r="S1585" s="50"/>
      <c r="T1585" s="47"/>
      <c r="U1585" s="47"/>
      <c r="V1585" s="47"/>
      <c r="W1585" s="51"/>
      <c r="X1585" s="51"/>
      <c r="Y1585" s="47"/>
      <c r="Z1585" s="47"/>
      <c r="AA1585" s="47"/>
      <c r="AB1585" s="47"/>
      <c r="AC1585" s="47"/>
      <c r="AD1585" s="47"/>
      <c r="AE1585" s="54"/>
      <c r="AF1585" s="54"/>
      <c r="AG1585" s="55"/>
      <c r="AH1585" s="54"/>
      <c r="AI1585" s="54"/>
      <c r="AJ1585" s="54"/>
      <c r="AK1585" s="54"/>
      <c r="AL1585" s="54"/>
      <c r="AM1585" s="54"/>
      <c r="AN1585" s="54"/>
      <c r="AO1585" s="54"/>
      <c r="AP1585" s="54"/>
      <c r="AQ1585" s="54"/>
      <c r="AR1585" s="54"/>
      <c r="AS1585" s="54"/>
      <c r="AT1585" s="54"/>
      <c r="AU1585" s="54"/>
      <c r="AV1585" s="54"/>
      <c r="AW1585" s="54"/>
      <c r="AX1585" s="54"/>
      <c r="AY1585" s="54"/>
      <c r="AZ1585" s="54"/>
      <c r="BA1585" s="54"/>
      <c r="BB1585" s="54"/>
      <c r="BC1585" s="56"/>
      <c r="BD1585" s="51"/>
      <c r="BE1585" s="54"/>
      <c r="BF1585" s="54"/>
      <c r="BG1585" s="47"/>
      <c r="BH1585" s="48"/>
      <c r="BI1585" s="48"/>
      <c r="BJ1585" s="48"/>
      <c r="BK1585" s="48"/>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52"/>
      <c r="CG1585" s="52"/>
      <c r="CH1585" s="48"/>
      <c r="CI1585" s="48"/>
      <c r="CJ1585" s="48"/>
      <c r="CK1585" s="48"/>
    </row>
    <row r="1586" spans="1:89" ht="15.75" customHeight="1" x14ac:dyDescent="0.3">
      <c r="A1586" s="47"/>
      <c r="B1586" s="48"/>
      <c r="C1586" s="47"/>
      <c r="D1586" s="48"/>
      <c r="E1586" s="48"/>
      <c r="F1586" s="48"/>
      <c r="G1586" s="48"/>
      <c r="H1586" s="48"/>
      <c r="I1586" s="49"/>
      <c r="J1586" s="47"/>
      <c r="K1586" s="47"/>
      <c r="L1586" s="47"/>
      <c r="M1586" s="47"/>
      <c r="N1586" s="47"/>
      <c r="O1586" s="47"/>
      <c r="P1586" s="47"/>
      <c r="Q1586" s="47"/>
      <c r="R1586" s="47"/>
      <c r="S1586" s="50"/>
      <c r="T1586" s="47"/>
      <c r="U1586" s="47"/>
      <c r="V1586" s="47"/>
      <c r="W1586" s="51"/>
      <c r="X1586" s="51"/>
      <c r="Y1586" s="47"/>
      <c r="Z1586" s="47"/>
      <c r="AA1586" s="47"/>
      <c r="AB1586" s="47"/>
      <c r="AC1586" s="47"/>
      <c r="AD1586" s="47"/>
      <c r="AE1586" s="54"/>
      <c r="AF1586" s="54"/>
      <c r="AG1586" s="55"/>
      <c r="AH1586" s="54"/>
      <c r="AI1586" s="54"/>
      <c r="AJ1586" s="54"/>
      <c r="AK1586" s="54"/>
      <c r="AL1586" s="54"/>
      <c r="AM1586" s="54"/>
      <c r="AN1586" s="54"/>
      <c r="AO1586" s="54"/>
      <c r="AP1586" s="54"/>
      <c r="AQ1586" s="54"/>
      <c r="AR1586" s="54"/>
      <c r="AS1586" s="54"/>
      <c r="AT1586" s="54"/>
      <c r="AU1586" s="54"/>
      <c r="AV1586" s="54"/>
      <c r="AW1586" s="54"/>
      <c r="AX1586" s="54"/>
      <c r="AY1586" s="54"/>
      <c r="AZ1586" s="54"/>
      <c r="BA1586" s="54"/>
      <c r="BB1586" s="54"/>
      <c r="BC1586" s="56"/>
      <c r="BD1586" s="51"/>
      <c r="BE1586" s="54"/>
      <c r="BF1586" s="54"/>
      <c r="BG1586" s="47"/>
      <c r="BH1586" s="48"/>
      <c r="BI1586" s="48"/>
      <c r="BJ1586" s="48"/>
      <c r="BK1586" s="48"/>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52"/>
      <c r="CG1586" s="52"/>
      <c r="CH1586" s="48"/>
      <c r="CI1586" s="48"/>
      <c r="CJ1586" s="48"/>
      <c r="CK1586" s="48"/>
    </row>
    <row r="1587" spans="1:89" ht="15.75" customHeight="1" x14ac:dyDescent="0.3">
      <c r="A1587" s="47"/>
      <c r="B1587" s="48"/>
      <c r="C1587" s="47"/>
      <c r="D1587" s="48"/>
      <c r="E1587" s="48"/>
      <c r="F1587" s="48"/>
      <c r="G1587" s="48"/>
      <c r="H1587" s="48"/>
      <c r="I1587" s="49"/>
      <c r="J1587" s="47"/>
      <c r="K1587" s="47"/>
      <c r="L1587" s="47"/>
      <c r="M1587" s="47"/>
      <c r="N1587" s="47"/>
      <c r="O1587" s="47"/>
      <c r="P1587" s="47"/>
      <c r="Q1587" s="47"/>
      <c r="R1587" s="47"/>
      <c r="S1587" s="50"/>
      <c r="T1587" s="47"/>
      <c r="U1587" s="47"/>
      <c r="V1587" s="47"/>
      <c r="W1587" s="51"/>
      <c r="X1587" s="51"/>
      <c r="Y1587" s="47"/>
      <c r="Z1587" s="47"/>
      <c r="AA1587" s="47"/>
      <c r="AB1587" s="47"/>
      <c r="AC1587" s="47"/>
      <c r="AD1587" s="47"/>
      <c r="AE1587" s="54"/>
      <c r="AF1587" s="54"/>
      <c r="AG1587" s="55"/>
      <c r="AH1587" s="54"/>
      <c r="AI1587" s="54"/>
      <c r="AJ1587" s="54"/>
      <c r="AK1587" s="54"/>
      <c r="AL1587" s="54"/>
      <c r="AM1587" s="54"/>
      <c r="AN1587" s="54"/>
      <c r="AO1587" s="54"/>
      <c r="AP1587" s="54"/>
      <c r="AQ1587" s="54"/>
      <c r="AR1587" s="54"/>
      <c r="AS1587" s="54"/>
      <c r="AT1587" s="54"/>
      <c r="AU1587" s="54"/>
      <c r="AV1587" s="54"/>
      <c r="AW1587" s="54"/>
      <c r="AX1587" s="54"/>
      <c r="AY1587" s="54"/>
      <c r="AZ1587" s="54"/>
      <c r="BA1587" s="54"/>
      <c r="BB1587" s="54"/>
      <c r="BC1587" s="56"/>
      <c r="BD1587" s="51"/>
      <c r="BE1587" s="54"/>
      <c r="BF1587" s="54"/>
      <c r="BG1587" s="47"/>
      <c r="BH1587" s="48"/>
      <c r="BI1587" s="48"/>
      <c r="BJ1587" s="48"/>
      <c r="BK1587" s="48"/>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52"/>
      <c r="CG1587" s="52"/>
      <c r="CH1587" s="48"/>
      <c r="CI1587" s="48"/>
      <c r="CJ1587" s="48"/>
      <c r="CK1587" s="48"/>
    </row>
    <row r="1588" spans="1:89" ht="15.75" customHeight="1" x14ac:dyDescent="0.3">
      <c r="A1588" s="47"/>
      <c r="B1588" s="48"/>
      <c r="C1588" s="47"/>
      <c r="D1588" s="48"/>
      <c r="E1588" s="48"/>
      <c r="F1588" s="48"/>
      <c r="G1588" s="48"/>
      <c r="H1588" s="48"/>
      <c r="I1588" s="49"/>
      <c r="J1588" s="47"/>
      <c r="K1588" s="47"/>
      <c r="L1588" s="47"/>
      <c r="M1588" s="47"/>
      <c r="N1588" s="47"/>
      <c r="O1588" s="47"/>
      <c r="P1588" s="47"/>
      <c r="Q1588" s="47"/>
      <c r="R1588" s="47"/>
      <c r="S1588" s="50"/>
      <c r="T1588" s="47"/>
      <c r="U1588" s="47"/>
      <c r="V1588" s="47"/>
      <c r="W1588" s="51"/>
      <c r="X1588" s="51"/>
      <c r="Y1588" s="47"/>
      <c r="Z1588" s="47"/>
      <c r="AA1588" s="47"/>
      <c r="AB1588" s="47"/>
      <c r="AC1588" s="47"/>
      <c r="AD1588" s="47"/>
      <c r="AE1588" s="54"/>
      <c r="AF1588" s="54"/>
      <c r="AG1588" s="55"/>
      <c r="AH1588" s="54"/>
      <c r="AI1588" s="54"/>
      <c r="AJ1588" s="54"/>
      <c r="AK1588" s="54"/>
      <c r="AL1588" s="54"/>
      <c r="AM1588" s="54"/>
      <c r="AN1588" s="54"/>
      <c r="AO1588" s="54"/>
      <c r="AP1588" s="54"/>
      <c r="AQ1588" s="54"/>
      <c r="AR1588" s="54"/>
      <c r="AS1588" s="54"/>
      <c r="AT1588" s="54"/>
      <c r="AU1588" s="54"/>
      <c r="AV1588" s="54"/>
      <c r="AW1588" s="54"/>
      <c r="AX1588" s="54"/>
      <c r="AY1588" s="54"/>
      <c r="AZ1588" s="54"/>
      <c r="BA1588" s="54"/>
      <c r="BB1588" s="54"/>
      <c r="BC1588" s="56"/>
      <c r="BD1588" s="51"/>
      <c r="BE1588" s="54"/>
      <c r="BF1588" s="54"/>
      <c r="BG1588" s="47"/>
      <c r="BH1588" s="48"/>
      <c r="BI1588" s="48"/>
      <c r="BJ1588" s="48"/>
      <c r="BK1588" s="48"/>
      <c r="BL1588" s="48"/>
      <c r="BM1588" s="48"/>
      <c r="BN1588" s="48"/>
      <c r="BO1588" s="48"/>
      <c r="BP1588" s="48"/>
      <c r="BQ1588" s="48"/>
      <c r="BR1588" s="48"/>
      <c r="BS1588" s="48"/>
      <c r="BT1588" s="48"/>
      <c r="BU1588" s="48"/>
      <c r="BV1588" s="48"/>
      <c r="BW1588" s="48"/>
      <c r="BX1588" s="48"/>
      <c r="BY1588" s="48"/>
      <c r="BZ1588" s="48"/>
      <c r="CA1588" s="48"/>
      <c r="CB1588" s="48"/>
      <c r="CC1588" s="48"/>
      <c r="CD1588" s="48"/>
      <c r="CE1588" s="48"/>
      <c r="CF1588" s="52"/>
      <c r="CG1588" s="52"/>
      <c r="CH1588" s="48"/>
      <c r="CI1588" s="48"/>
      <c r="CJ1588" s="48"/>
      <c r="CK1588" s="48"/>
    </row>
    <row r="1589" spans="1:89" ht="15.75" customHeight="1" x14ac:dyDescent="0.3">
      <c r="A1589" s="47"/>
      <c r="B1589" s="48"/>
      <c r="C1589" s="47"/>
      <c r="D1589" s="48"/>
      <c r="E1589" s="48"/>
      <c r="F1589" s="48"/>
      <c r="G1589" s="48"/>
      <c r="H1589" s="48"/>
      <c r="I1589" s="49"/>
      <c r="J1589" s="47"/>
      <c r="K1589" s="47"/>
      <c r="L1589" s="47"/>
      <c r="M1589" s="47"/>
      <c r="N1589" s="47"/>
      <c r="O1589" s="47"/>
      <c r="P1589" s="47"/>
      <c r="Q1589" s="47"/>
      <c r="R1589" s="47"/>
      <c r="S1589" s="50"/>
      <c r="T1589" s="47"/>
      <c r="U1589" s="47"/>
      <c r="V1589" s="47"/>
      <c r="W1589" s="51"/>
      <c r="X1589" s="51"/>
      <c r="Y1589" s="47"/>
      <c r="Z1589" s="47"/>
      <c r="AA1589" s="47"/>
      <c r="AB1589" s="47"/>
      <c r="AC1589" s="47"/>
      <c r="AD1589" s="47"/>
      <c r="AE1589" s="54"/>
      <c r="AF1589" s="54"/>
      <c r="AG1589" s="55"/>
      <c r="AH1589" s="54"/>
      <c r="AI1589" s="54"/>
      <c r="AJ1589" s="54"/>
      <c r="AK1589" s="54"/>
      <c r="AL1589" s="54"/>
      <c r="AM1589" s="54"/>
      <c r="AN1589" s="54"/>
      <c r="AO1589" s="54"/>
      <c r="AP1589" s="54"/>
      <c r="AQ1589" s="54"/>
      <c r="AR1589" s="54"/>
      <c r="AS1589" s="54"/>
      <c r="AT1589" s="54"/>
      <c r="AU1589" s="54"/>
      <c r="AV1589" s="54"/>
      <c r="AW1589" s="54"/>
      <c r="AX1589" s="54"/>
      <c r="AY1589" s="54"/>
      <c r="AZ1589" s="54"/>
      <c r="BA1589" s="54"/>
      <c r="BB1589" s="54"/>
      <c r="BC1589" s="56"/>
      <c r="BD1589" s="51"/>
      <c r="BE1589" s="54"/>
      <c r="BF1589" s="54"/>
      <c r="BG1589" s="47"/>
      <c r="BH1589" s="48"/>
      <c r="BI1589" s="48"/>
      <c r="BJ1589" s="48"/>
      <c r="BK1589" s="48"/>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52"/>
      <c r="CG1589" s="52"/>
      <c r="CH1589" s="48"/>
      <c r="CI1589" s="48"/>
      <c r="CJ1589" s="48"/>
      <c r="CK1589" s="48"/>
    </row>
    <row r="1590" spans="1:89" ht="15.75" customHeight="1" x14ac:dyDescent="0.3">
      <c r="A1590" s="47"/>
      <c r="B1590" s="48"/>
      <c r="C1590" s="47"/>
      <c r="D1590" s="48"/>
      <c r="E1590" s="48"/>
      <c r="F1590" s="48"/>
      <c r="G1590" s="48"/>
      <c r="H1590" s="48"/>
      <c r="I1590" s="49"/>
      <c r="J1590" s="47"/>
      <c r="K1590" s="47"/>
      <c r="L1590" s="47"/>
      <c r="M1590" s="47"/>
      <c r="N1590" s="47"/>
      <c r="O1590" s="47"/>
      <c r="P1590" s="47"/>
      <c r="Q1590" s="47"/>
      <c r="R1590" s="47"/>
      <c r="S1590" s="50"/>
      <c r="T1590" s="47"/>
      <c r="U1590" s="47"/>
      <c r="V1590" s="47"/>
      <c r="W1590" s="51"/>
      <c r="X1590" s="51"/>
      <c r="Y1590" s="47"/>
      <c r="Z1590" s="47"/>
      <c r="AA1590" s="47"/>
      <c r="AB1590" s="47"/>
      <c r="AC1590" s="47"/>
      <c r="AD1590" s="47"/>
      <c r="AE1590" s="54"/>
      <c r="AF1590" s="54"/>
      <c r="AG1590" s="55"/>
      <c r="AH1590" s="54"/>
      <c r="AI1590" s="54"/>
      <c r="AJ1590" s="54"/>
      <c r="AK1590" s="54"/>
      <c r="AL1590" s="54"/>
      <c r="AM1590" s="54"/>
      <c r="AN1590" s="54"/>
      <c r="AO1590" s="54"/>
      <c r="AP1590" s="54"/>
      <c r="AQ1590" s="54"/>
      <c r="AR1590" s="54"/>
      <c r="AS1590" s="54"/>
      <c r="AT1590" s="54"/>
      <c r="AU1590" s="54"/>
      <c r="AV1590" s="54"/>
      <c r="AW1590" s="54"/>
      <c r="AX1590" s="54"/>
      <c r="AY1590" s="54"/>
      <c r="AZ1590" s="54"/>
      <c r="BA1590" s="54"/>
      <c r="BB1590" s="54"/>
      <c r="BC1590" s="56"/>
      <c r="BD1590" s="51"/>
      <c r="BE1590" s="54"/>
      <c r="BF1590" s="54"/>
      <c r="BG1590" s="47"/>
      <c r="BH1590" s="48"/>
      <c r="BI1590" s="48"/>
      <c r="BJ1590" s="48"/>
      <c r="BK1590" s="48"/>
      <c r="BL1590" s="48"/>
      <c r="BM1590" s="48"/>
      <c r="BN1590" s="48"/>
      <c r="BO1590" s="48"/>
      <c r="BP1590" s="48"/>
      <c r="BQ1590" s="48"/>
      <c r="BR1590" s="48"/>
      <c r="BS1590" s="48"/>
      <c r="BT1590" s="48"/>
      <c r="BU1590" s="48"/>
      <c r="BV1590" s="48"/>
      <c r="BW1590" s="48"/>
      <c r="BX1590" s="48"/>
      <c r="BY1590" s="48"/>
      <c r="BZ1590" s="48"/>
      <c r="CA1590" s="48"/>
      <c r="CB1590" s="48"/>
      <c r="CC1590" s="48"/>
      <c r="CD1590" s="48"/>
      <c r="CE1590" s="48"/>
      <c r="CF1590" s="52"/>
      <c r="CG1590" s="52"/>
      <c r="CH1590" s="48"/>
      <c r="CI1590" s="48"/>
      <c r="CJ1590" s="48"/>
      <c r="CK1590" s="48"/>
    </row>
    <row r="1591" spans="1:89" ht="15.75" customHeight="1" x14ac:dyDescent="0.3">
      <c r="A1591" s="47"/>
      <c r="B1591" s="48"/>
      <c r="C1591" s="47"/>
      <c r="D1591" s="48"/>
      <c r="E1591" s="48"/>
      <c r="F1591" s="48"/>
      <c r="G1591" s="48"/>
      <c r="H1591" s="48"/>
      <c r="I1591" s="49"/>
      <c r="J1591" s="47"/>
      <c r="K1591" s="47"/>
      <c r="L1591" s="47"/>
      <c r="M1591" s="47"/>
      <c r="N1591" s="47"/>
      <c r="O1591" s="47"/>
      <c r="P1591" s="47"/>
      <c r="Q1591" s="47"/>
      <c r="R1591" s="47"/>
      <c r="S1591" s="50"/>
      <c r="T1591" s="47"/>
      <c r="U1591" s="47"/>
      <c r="V1591" s="47"/>
      <c r="W1591" s="51"/>
      <c r="X1591" s="51"/>
      <c r="Y1591" s="47"/>
      <c r="Z1591" s="47"/>
      <c r="AA1591" s="47"/>
      <c r="AB1591" s="47"/>
      <c r="AC1591" s="47"/>
      <c r="AD1591" s="47"/>
      <c r="AE1591" s="54"/>
      <c r="AF1591" s="54"/>
      <c r="AG1591" s="55"/>
      <c r="AH1591" s="54"/>
      <c r="AI1591" s="54"/>
      <c r="AJ1591" s="54"/>
      <c r="AK1591" s="54"/>
      <c r="AL1591" s="54"/>
      <c r="AM1591" s="54"/>
      <c r="AN1591" s="54"/>
      <c r="AO1591" s="54"/>
      <c r="AP1591" s="54"/>
      <c r="AQ1591" s="54"/>
      <c r="AR1591" s="54"/>
      <c r="AS1591" s="54"/>
      <c r="AT1591" s="54"/>
      <c r="AU1591" s="54"/>
      <c r="AV1591" s="54"/>
      <c r="AW1591" s="54"/>
      <c r="AX1591" s="54"/>
      <c r="AY1591" s="54"/>
      <c r="AZ1591" s="54"/>
      <c r="BA1591" s="54"/>
      <c r="BB1591" s="54"/>
      <c r="BC1591" s="56"/>
      <c r="BD1591" s="51"/>
      <c r="BE1591" s="54"/>
      <c r="BF1591" s="54"/>
      <c r="BG1591" s="47"/>
      <c r="BH1591" s="48"/>
      <c r="BI1591" s="48"/>
      <c r="BJ1591" s="48"/>
      <c r="BK1591" s="48"/>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52"/>
      <c r="CG1591" s="52"/>
      <c r="CH1591" s="48"/>
      <c r="CI1591" s="48"/>
      <c r="CJ1591" s="48"/>
      <c r="CK1591" s="48"/>
    </row>
    <row r="1592" spans="1:89" ht="15.75" customHeight="1" x14ac:dyDescent="0.3">
      <c r="A1592" s="47"/>
      <c r="B1592" s="48"/>
      <c r="C1592" s="47"/>
      <c r="D1592" s="48"/>
      <c r="E1592" s="48"/>
      <c r="F1592" s="48"/>
      <c r="G1592" s="48"/>
      <c r="H1592" s="48"/>
      <c r="I1592" s="49"/>
      <c r="J1592" s="47"/>
      <c r="K1592" s="47"/>
      <c r="L1592" s="47"/>
      <c r="M1592" s="47"/>
      <c r="N1592" s="47"/>
      <c r="O1592" s="47"/>
      <c r="P1592" s="47"/>
      <c r="Q1592" s="47"/>
      <c r="R1592" s="47"/>
      <c r="S1592" s="50"/>
      <c r="T1592" s="47"/>
      <c r="U1592" s="47"/>
      <c r="V1592" s="47"/>
      <c r="W1592" s="51"/>
      <c r="X1592" s="51"/>
      <c r="Y1592" s="47"/>
      <c r="Z1592" s="47"/>
      <c r="AA1592" s="47"/>
      <c r="AB1592" s="47"/>
      <c r="AC1592" s="47"/>
      <c r="AD1592" s="47"/>
      <c r="AE1592" s="54"/>
      <c r="AF1592" s="54"/>
      <c r="AG1592" s="55"/>
      <c r="AH1592" s="54"/>
      <c r="AI1592" s="54"/>
      <c r="AJ1592" s="54"/>
      <c r="AK1592" s="54"/>
      <c r="AL1592" s="54"/>
      <c r="AM1592" s="54"/>
      <c r="AN1592" s="54"/>
      <c r="AO1592" s="54"/>
      <c r="AP1592" s="54"/>
      <c r="AQ1592" s="54"/>
      <c r="AR1592" s="54"/>
      <c r="AS1592" s="54"/>
      <c r="AT1592" s="54"/>
      <c r="AU1592" s="54"/>
      <c r="AV1592" s="54"/>
      <c r="AW1592" s="54"/>
      <c r="AX1592" s="54"/>
      <c r="AY1592" s="54"/>
      <c r="AZ1592" s="54"/>
      <c r="BA1592" s="54"/>
      <c r="BB1592" s="54"/>
      <c r="BC1592" s="56"/>
      <c r="BD1592" s="51"/>
      <c r="BE1592" s="54"/>
      <c r="BF1592" s="54"/>
      <c r="BG1592" s="47"/>
      <c r="BH1592" s="48"/>
      <c r="BI1592" s="48"/>
      <c r="BJ1592" s="48"/>
      <c r="BK1592" s="48"/>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52"/>
      <c r="CG1592" s="52"/>
      <c r="CH1592" s="48"/>
      <c r="CI1592" s="48"/>
      <c r="CJ1592" s="48"/>
      <c r="CK1592" s="48"/>
    </row>
    <row r="1593" spans="1:89" ht="15.75" customHeight="1" x14ac:dyDescent="0.3">
      <c r="A1593" s="47"/>
      <c r="B1593" s="48"/>
      <c r="C1593" s="47"/>
      <c r="D1593" s="48"/>
      <c r="E1593" s="48"/>
      <c r="F1593" s="48"/>
      <c r="G1593" s="48"/>
      <c r="H1593" s="48"/>
      <c r="I1593" s="49"/>
      <c r="J1593" s="47"/>
      <c r="K1593" s="47"/>
      <c r="L1593" s="47"/>
      <c r="M1593" s="47"/>
      <c r="N1593" s="47"/>
      <c r="O1593" s="47"/>
      <c r="P1593" s="47"/>
      <c r="Q1593" s="47"/>
      <c r="R1593" s="47"/>
      <c r="S1593" s="50"/>
      <c r="T1593" s="47"/>
      <c r="U1593" s="47"/>
      <c r="V1593" s="47"/>
      <c r="W1593" s="51"/>
      <c r="X1593" s="51"/>
      <c r="Y1593" s="47"/>
      <c r="Z1593" s="47"/>
      <c r="AA1593" s="47"/>
      <c r="AB1593" s="47"/>
      <c r="AC1593" s="47"/>
      <c r="AD1593" s="47"/>
      <c r="AE1593" s="54"/>
      <c r="AF1593" s="54"/>
      <c r="AG1593" s="55"/>
      <c r="AH1593" s="54"/>
      <c r="AI1593" s="54"/>
      <c r="AJ1593" s="54"/>
      <c r="AK1593" s="54"/>
      <c r="AL1593" s="54"/>
      <c r="AM1593" s="54"/>
      <c r="AN1593" s="54"/>
      <c r="AO1593" s="54"/>
      <c r="AP1593" s="54"/>
      <c r="AQ1593" s="54"/>
      <c r="AR1593" s="54"/>
      <c r="AS1593" s="54"/>
      <c r="AT1593" s="54"/>
      <c r="AU1593" s="54"/>
      <c r="AV1593" s="54"/>
      <c r="AW1593" s="54"/>
      <c r="AX1593" s="54"/>
      <c r="AY1593" s="54"/>
      <c r="AZ1593" s="54"/>
      <c r="BA1593" s="54"/>
      <c r="BB1593" s="54"/>
      <c r="BC1593" s="56"/>
      <c r="BD1593" s="51"/>
      <c r="BE1593" s="54"/>
      <c r="BF1593" s="54"/>
      <c r="BG1593" s="47"/>
      <c r="BH1593" s="48"/>
      <c r="BI1593" s="48"/>
      <c r="BJ1593" s="48"/>
      <c r="BK1593" s="48"/>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52"/>
      <c r="CG1593" s="52"/>
      <c r="CH1593" s="48"/>
      <c r="CI1593" s="48"/>
      <c r="CJ1593" s="48"/>
      <c r="CK1593" s="48"/>
    </row>
    <row r="1594" spans="1:89" ht="15.75" customHeight="1" x14ac:dyDescent="0.3">
      <c r="A1594" s="47"/>
      <c r="B1594" s="48"/>
      <c r="C1594" s="47"/>
      <c r="D1594" s="48"/>
      <c r="E1594" s="48"/>
      <c r="F1594" s="48"/>
      <c r="G1594" s="48"/>
      <c r="H1594" s="48"/>
      <c r="I1594" s="49"/>
      <c r="J1594" s="47"/>
      <c r="K1594" s="47"/>
      <c r="L1594" s="47"/>
      <c r="M1594" s="47"/>
      <c r="N1594" s="47"/>
      <c r="O1594" s="47"/>
      <c r="P1594" s="47"/>
      <c r="Q1594" s="47"/>
      <c r="R1594" s="47"/>
      <c r="S1594" s="50"/>
      <c r="T1594" s="47"/>
      <c r="U1594" s="47"/>
      <c r="V1594" s="47"/>
      <c r="W1594" s="51"/>
      <c r="X1594" s="51"/>
      <c r="Y1594" s="47"/>
      <c r="Z1594" s="47"/>
      <c r="AA1594" s="47"/>
      <c r="AB1594" s="47"/>
      <c r="AC1594" s="47"/>
      <c r="AD1594" s="47"/>
      <c r="AE1594" s="54"/>
      <c r="AF1594" s="54"/>
      <c r="AG1594" s="55"/>
      <c r="AH1594" s="54"/>
      <c r="AI1594" s="54"/>
      <c r="AJ1594" s="54"/>
      <c r="AK1594" s="54"/>
      <c r="AL1594" s="54"/>
      <c r="AM1594" s="54"/>
      <c r="AN1594" s="54"/>
      <c r="AO1594" s="54"/>
      <c r="AP1594" s="54"/>
      <c r="AQ1594" s="54"/>
      <c r="AR1594" s="54"/>
      <c r="AS1594" s="54"/>
      <c r="AT1594" s="54"/>
      <c r="AU1594" s="54"/>
      <c r="AV1594" s="54"/>
      <c r="AW1594" s="54"/>
      <c r="AX1594" s="54"/>
      <c r="AY1594" s="54"/>
      <c r="AZ1594" s="54"/>
      <c r="BA1594" s="54"/>
      <c r="BB1594" s="54"/>
      <c r="BC1594" s="56"/>
      <c r="BD1594" s="51"/>
      <c r="BE1594" s="54"/>
      <c r="BF1594" s="54"/>
      <c r="BG1594" s="47"/>
      <c r="BH1594" s="48"/>
      <c r="BI1594" s="48"/>
      <c r="BJ1594" s="48"/>
      <c r="BK1594" s="48"/>
      <c r="BL1594" s="48"/>
      <c r="BM1594" s="48"/>
      <c r="BN1594" s="48"/>
      <c r="BO1594" s="48"/>
      <c r="BP1594" s="48"/>
      <c r="BQ1594" s="48"/>
      <c r="BR1594" s="48"/>
      <c r="BS1594" s="48"/>
      <c r="BT1594" s="48"/>
      <c r="BU1594" s="48"/>
      <c r="BV1594" s="48"/>
      <c r="BW1594" s="48"/>
      <c r="BX1594" s="48"/>
      <c r="BY1594" s="48"/>
      <c r="BZ1594" s="48"/>
      <c r="CA1594" s="48"/>
      <c r="CB1594" s="48"/>
      <c r="CC1594" s="48"/>
      <c r="CD1594" s="48"/>
      <c r="CE1594" s="48"/>
      <c r="CF1594" s="52"/>
      <c r="CG1594" s="52"/>
      <c r="CH1594" s="48"/>
      <c r="CI1594" s="48"/>
      <c r="CJ1594" s="48"/>
      <c r="CK1594" s="48"/>
    </row>
    <row r="1595" spans="1:89" ht="15.75" customHeight="1" x14ac:dyDescent="0.3">
      <c r="A1595" s="47"/>
      <c r="B1595" s="48"/>
      <c r="C1595" s="47"/>
      <c r="D1595" s="48"/>
      <c r="E1595" s="48"/>
      <c r="F1595" s="48"/>
      <c r="G1595" s="48"/>
      <c r="H1595" s="48"/>
      <c r="I1595" s="49"/>
      <c r="J1595" s="47"/>
      <c r="K1595" s="47"/>
      <c r="L1595" s="47"/>
      <c r="M1595" s="47"/>
      <c r="N1595" s="47"/>
      <c r="O1595" s="47"/>
      <c r="P1595" s="47"/>
      <c r="Q1595" s="47"/>
      <c r="R1595" s="47"/>
      <c r="S1595" s="50"/>
      <c r="T1595" s="47"/>
      <c r="U1595" s="47"/>
      <c r="V1595" s="47"/>
      <c r="W1595" s="51"/>
      <c r="X1595" s="51"/>
      <c r="Y1595" s="47"/>
      <c r="Z1595" s="47"/>
      <c r="AA1595" s="47"/>
      <c r="AB1595" s="47"/>
      <c r="AC1595" s="47"/>
      <c r="AD1595" s="47"/>
      <c r="AE1595" s="54"/>
      <c r="AF1595" s="54"/>
      <c r="AG1595" s="55"/>
      <c r="AH1595" s="54"/>
      <c r="AI1595" s="54"/>
      <c r="AJ1595" s="54"/>
      <c r="AK1595" s="54"/>
      <c r="AL1595" s="54"/>
      <c r="AM1595" s="54"/>
      <c r="AN1595" s="54"/>
      <c r="AO1595" s="54"/>
      <c r="AP1595" s="54"/>
      <c r="AQ1595" s="54"/>
      <c r="AR1595" s="54"/>
      <c r="AS1595" s="54"/>
      <c r="AT1595" s="54"/>
      <c r="AU1595" s="54"/>
      <c r="AV1595" s="54"/>
      <c r="AW1595" s="54"/>
      <c r="AX1595" s="54"/>
      <c r="AY1595" s="54"/>
      <c r="AZ1595" s="54"/>
      <c r="BA1595" s="54"/>
      <c r="BB1595" s="54"/>
      <c r="BC1595" s="56"/>
      <c r="BD1595" s="51"/>
      <c r="BE1595" s="54"/>
      <c r="BF1595" s="54"/>
      <c r="BG1595" s="47"/>
      <c r="BH1595" s="48"/>
      <c r="BI1595" s="48"/>
      <c r="BJ1595" s="48"/>
      <c r="BK1595" s="48"/>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52"/>
      <c r="CG1595" s="52"/>
      <c r="CH1595" s="48"/>
      <c r="CI1595" s="48"/>
      <c r="CJ1595" s="48"/>
      <c r="CK1595" s="48"/>
    </row>
    <row r="1596" spans="1:89" ht="15.75" customHeight="1" x14ac:dyDescent="0.3">
      <c r="A1596" s="47"/>
      <c r="B1596" s="48"/>
      <c r="C1596" s="47"/>
      <c r="D1596" s="48"/>
      <c r="E1596" s="48"/>
      <c r="F1596" s="48"/>
      <c r="G1596" s="48"/>
      <c r="H1596" s="48"/>
      <c r="I1596" s="49"/>
      <c r="J1596" s="47"/>
      <c r="K1596" s="47"/>
      <c r="L1596" s="47"/>
      <c r="M1596" s="47"/>
      <c r="N1596" s="47"/>
      <c r="O1596" s="47"/>
      <c r="P1596" s="47"/>
      <c r="Q1596" s="47"/>
      <c r="R1596" s="47"/>
      <c r="S1596" s="50"/>
      <c r="T1596" s="47"/>
      <c r="U1596" s="47"/>
      <c r="V1596" s="47"/>
      <c r="W1596" s="51"/>
      <c r="X1596" s="51"/>
      <c r="Y1596" s="47"/>
      <c r="Z1596" s="47"/>
      <c r="AA1596" s="47"/>
      <c r="AB1596" s="47"/>
      <c r="AC1596" s="47"/>
      <c r="AD1596" s="47"/>
      <c r="AE1596" s="54"/>
      <c r="AF1596" s="54"/>
      <c r="AG1596" s="55"/>
      <c r="AH1596" s="54"/>
      <c r="AI1596" s="54"/>
      <c r="AJ1596" s="54"/>
      <c r="AK1596" s="54"/>
      <c r="AL1596" s="54"/>
      <c r="AM1596" s="54"/>
      <c r="AN1596" s="54"/>
      <c r="AO1596" s="54"/>
      <c r="AP1596" s="54"/>
      <c r="AQ1596" s="54"/>
      <c r="AR1596" s="54"/>
      <c r="AS1596" s="54"/>
      <c r="AT1596" s="54"/>
      <c r="AU1596" s="54"/>
      <c r="AV1596" s="54"/>
      <c r="AW1596" s="54"/>
      <c r="AX1596" s="54"/>
      <c r="AY1596" s="54"/>
      <c r="AZ1596" s="54"/>
      <c r="BA1596" s="54"/>
      <c r="BB1596" s="54"/>
      <c r="BC1596" s="56"/>
      <c r="BD1596" s="51"/>
      <c r="BE1596" s="54"/>
      <c r="BF1596" s="54"/>
      <c r="BG1596" s="47"/>
      <c r="BH1596" s="48"/>
      <c r="BI1596" s="48"/>
      <c r="BJ1596" s="48"/>
      <c r="BK1596" s="48"/>
      <c r="BL1596" s="48"/>
      <c r="BM1596" s="48"/>
      <c r="BN1596" s="48"/>
      <c r="BO1596" s="48"/>
      <c r="BP1596" s="48"/>
      <c r="BQ1596" s="48"/>
      <c r="BR1596" s="48"/>
      <c r="BS1596" s="48"/>
      <c r="BT1596" s="48"/>
      <c r="BU1596" s="48"/>
      <c r="BV1596" s="48"/>
      <c r="BW1596" s="48"/>
      <c r="BX1596" s="48"/>
      <c r="BY1596" s="48"/>
      <c r="BZ1596" s="48"/>
      <c r="CA1596" s="48"/>
      <c r="CB1596" s="48"/>
      <c r="CC1596" s="48"/>
      <c r="CD1596" s="48"/>
      <c r="CE1596" s="48"/>
      <c r="CF1596" s="52"/>
      <c r="CG1596" s="52"/>
      <c r="CH1596" s="48"/>
      <c r="CI1596" s="48"/>
      <c r="CJ1596" s="48"/>
      <c r="CK1596" s="48"/>
    </row>
    <row r="1597" spans="1:89" ht="15.75" customHeight="1" x14ac:dyDescent="0.3">
      <c r="A1597" s="47"/>
      <c r="B1597" s="48"/>
      <c r="C1597" s="47"/>
      <c r="D1597" s="48"/>
      <c r="E1597" s="48"/>
      <c r="F1597" s="48"/>
      <c r="G1597" s="48"/>
      <c r="H1597" s="48"/>
      <c r="I1597" s="49"/>
      <c r="J1597" s="47"/>
      <c r="K1597" s="47"/>
      <c r="L1597" s="47"/>
      <c r="M1597" s="47"/>
      <c r="N1597" s="47"/>
      <c r="O1597" s="47"/>
      <c r="P1597" s="47"/>
      <c r="Q1597" s="47"/>
      <c r="R1597" s="47"/>
      <c r="S1597" s="50"/>
      <c r="T1597" s="47"/>
      <c r="U1597" s="47"/>
      <c r="V1597" s="47"/>
      <c r="W1597" s="51"/>
      <c r="X1597" s="51"/>
      <c r="Y1597" s="47"/>
      <c r="Z1597" s="47"/>
      <c r="AA1597" s="47"/>
      <c r="AB1597" s="47"/>
      <c r="AC1597" s="47"/>
      <c r="AD1597" s="47"/>
      <c r="AE1597" s="54"/>
      <c r="AF1597" s="54"/>
      <c r="AG1597" s="55"/>
      <c r="AH1597" s="54"/>
      <c r="AI1597" s="54"/>
      <c r="AJ1597" s="54"/>
      <c r="AK1597" s="54"/>
      <c r="AL1597" s="54"/>
      <c r="AM1597" s="54"/>
      <c r="AN1597" s="54"/>
      <c r="AO1597" s="54"/>
      <c r="AP1597" s="54"/>
      <c r="AQ1597" s="54"/>
      <c r="AR1597" s="54"/>
      <c r="AS1597" s="54"/>
      <c r="AT1597" s="54"/>
      <c r="AU1597" s="54"/>
      <c r="AV1597" s="54"/>
      <c r="AW1597" s="54"/>
      <c r="AX1597" s="54"/>
      <c r="AY1597" s="54"/>
      <c r="AZ1597" s="54"/>
      <c r="BA1597" s="54"/>
      <c r="BB1597" s="54"/>
      <c r="BC1597" s="56"/>
      <c r="BD1597" s="51"/>
      <c r="BE1597" s="54"/>
      <c r="BF1597" s="54"/>
      <c r="BG1597" s="47"/>
      <c r="BH1597" s="48"/>
      <c r="BI1597" s="48"/>
      <c r="BJ1597" s="48"/>
      <c r="BK1597" s="48"/>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52"/>
      <c r="CG1597" s="52"/>
      <c r="CH1597" s="48"/>
      <c r="CI1597" s="48"/>
      <c r="CJ1597" s="48"/>
      <c r="CK1597" s="48"/>
    </row>
    <row r="1598" spans="1:89" ht="15.75" customHeight="1" x14ac:dyDescent="0.3">
      <c r="A1598" s="47"/>
      <c r="B1598" s="48"/>
      <c r="C1598" s="47"/>
      <c r="D1598" s="48"/>
      <c r="E1598" s="48"/>
      <c r="F1598" s="48"/>
      <c r="G1598" s="48"/>
      <c r="H1598" s="48"/>
      <c r="I1598" s="49"/>
      <c r="J1598" s="47"/>
      <c r="K1598" s="47"/>
      <c r="L1598" s="47"/>
      <c r="M1598" s="47"/>
      <c r="N1598" s="47"/>
      <c r="O1598" s="47"/>
      <c r="P1598" s="47"/>
      <c r="Q1598" s="47"/>
      <c r="R1598" s="47"/>
      <c r="S1598" s="50"/>
      <c r="T1598" s="47"/>
      <c r="U1598" s="47"/>
      <c r="V1598" s="47"/>
      <c r="W1598" s="51"/>
      <c r="X1598" s="51"/>
      <c r="Y1598" s="47"/>
      <c r="Z1598" s="47"/>
      <c r="AA1598" s="47"/>
      <c r="AB1598" s="47"/>
      <c r="AC1598" s="47"/>
      <c r="AD1598" s="47"/>
      <c r="AE1598" s="54"/>
      <c r="AF1598" s="54"/>
      <c r="AG1598" s="55"/>
      <c r="AH1598" s="54"/>
      <c r="AI1598" s="54"/>
      <c r="AJ1598" s="54"/>
      <c r="AK1598" s="54"/>
      <c r="AL1598" s="54"/>
      <c r="AM1598" s="54"/>
      <c r="AN1598" s="54"/>
      <c r="AO1598" s="54"/>
      <c r="AP1598" s="54"/>
      <c r="AQ1598" s="54"/>
      <c r="AR1598" s="54"/>
      <c r="AS1598" s="54"/>
      <c r="AT1598" s="54"/>
      <c r="AU1598" s="54"/>
      <c r="AV1598" s="54"/>
      <c r="AW1598" s="54"/>
      <c r="AX1598" s="54"/>
      <c r="AY1598" s="54"/>
      <c r="AZ1598" s="54"/>
      <c r="BA1598" s="54"/>
      <c r="BB1598" s="54"/>
      <c r="BC1598" s="56"/>
      <c r="BD1598" s="51"/>
      <c r="BE1598" s="54"/>
      <c r="BF1598" s="54"/>
      <c r="BG1598" s="47"/>
      <c r="BH1598" s="48"/>
      <c r="BI1598" s="48"/>
      <c r="BJ1598" s="48"/>
      <c r="BK1598" s="48"/>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52"/>
      <c r="CG1598" s="52"/>
      <c r="CH1598" s="48"/>
      <c r="CI1598" s="48"/>
      <c r="CJ1598" s="48"/>
      <c r="CK1598" s="48"/>
    </row>
    <row r="1599" spans="1:89" ht="15.75" customHeight="1" x14ac:dyDescent="0.3">
      <c r="A1599" s="47"/>
      <c r="B1599" s="48"/>
      <c r="C1599" s="47"/>
      <c r="D1599" s="48"/>
      <c r="E1599" s="48"/>
      <c r="F1599" s="48"/>
      <c r="G1599" s="48"/>
      <c r="H1599" s="48"/>
      <c r="I1599" s="49"/>
      <c r="J1599" s="47"/>
      <c r="K1599" s="47"/>
      <c r="L1599" s="47"/>
      <c r="M1599" s="47"/>
      <c r="N1599" s="47"/>
      <c r="O1599" s="47"/>
      <c r="P1599" s="47"/>
      <c r="Q1599" s="47"/>
      <c r="R1599" s="47"/>
      <c r="S1599" s="50"/>
      <c r="T1599" s="47"/>
      <c r="U1599" s="47"/>
      <c r="V1599" s="47"/>
      <c r="W1599" s="51"/>
      <c r="X1599" s="51"/>
      <c r="Y1599" s="47"/>
      <c r="Z1599" s="47"/>
      <c r="AA1599" s="47"/>
      <c r="AB1599" s="47"/>
      <c r="AC1599" s="47"/>
      <c r="AD1599" s="47"/>
      <c r="AE1599" s="54"/>
      <c r="AF1599" s="54"/>
      <c r="AG1599" s="55"/>
      <c r="AH1599" s="54"/>
      <c r="AI1599" s="54"/>
      <c r="AJ1599" s="54"/>
      <c r="AK1599" s="54"/>
      <c r="AL1599" s="54"/>
      <c r="AM1599" s="54"/>
      <c r="AN1599" s="54"/>
      <c r="AO1599" s="54"/>
      <c r="AP1599" s="54"/>
      <c r="AQ1599" s="54"/>
      <c r="AR1599" s="54"/>
      <c r="AS1599" s="54"/>
      <c r="AT1599" s="54"/>
      <c r="AU1599" s="54"/>
      <c r="AV1599" s="54"/>
      <c r="AW1599" s="54"/>
      <c r="AX1599" s="54"/>
      <c r="AY1599" s="54"/>
      <c r="AZ1599" s="54"/>
      <c r="BA1599" s="54"/>
      <c r="BB1599" s="54"/>
      <c r="BC1599" s="56"/>
      <c r="BD1599" s="51"/>
      <c r="BE1599" s="54"/>
      <c r="BF1599" s="54"/>
      <c r="BG1599" s="47"/>
      <c r="BH1599" s="48"/>
      <c r="BI1599" s="48"/>
      <c r="BJ1599" s="48"/>
      <c r="BK1599" s="48"/>
      <c r="BL1599" s="48"/>
      <c r="BM1599" s="48"/>
      <c r="BN1599" s="48"/>
      <c r="BO1599" s="48"/>
      <c r="BP1599" s="48"/>
      <c r="BQ1599" s="48"/>
      <c r="BR1599" s="48"/>
      <c r="BS1599" s="48"/>
      <c r="BT1599" s="48"/>
      <c r="BU1599" s="48"/>
      <c r="BV1599" s="48"/>
      <c r="BW1599" s="48"/>
      <c r="BX1599" s="48"/>
      <c r="BY1599" s="48"/>
      <c r="BZ1599" s="48"/>
      <c r="CA1599" s="48"/>
      <c r="CB1599" s="48"/>
      <c r="CC1599" s="48"/>
      <c r="CD1599" s="48"/>
      <c r="CE1599" s="48"/>
      <c r="CF1599" s="52"/>
      <c r="CG1599" s="52"/>
      <c r="CH1599" s="48"/>
      <c r="CI1599" s="48"/>
      <c r="CJ1599" s="48"/>
      <c r="CK1599" s="48"/>
    </row>
    <row r="1600" spans="1:89" ht="15.75" customHeight="1" x14ac:dyDescent="0.3">
      <c r="A1600" s="47"/>
      <c r="B1600" s="48"/>
      <c r="C1600" s="47"/>
      <c r="D1600" s="48"/>
      <c r="E1600" s="48"/>
      <c r="F1600" s="48"/>
      <c r="G1600" s="48"/>
      <c r="H1600" s="48"/>
      <c r="I1600" s="49"/>
      <c r="J1600" s="47"/>
      <c r="K1600" s="47"/>
      <c r="L1600" s="47"/>
      <c r="M1600" s="47"/>
      <c r="N1600" s="47"/>
      <c r="O1600" s="47"/>
      <c r="P1600" s="47"/>
      <c r="Q1600" s="47"/>
      <c r="R1600" s="47"/>
      <c r="S1600" s="50"/>
      <c r="T1600" s="47"/>
      <c r="U1600" s="47"/>
      <c r="V1600" s="47"/>
      <c r="W1600" s="51"/>
      <c r="X1600" s="51"/>
      <c r="Y1600" s="47"/>
      <c r="Z1600" s="47"/>
      <c r="AA1600" s="47"/>
      <c r="AB1600" s="47"/>
      <c r="AC1600" s="47"/>
      <c r="AD1600" s="47"/>
      <c r="AE1600" s="54"/>
      <c r="AF1600" s="54"/>
      <c r="AG1600" s="55"/>
      <c r="AH1600" s="54"/>
      <c r="AI1600" s="54"/>
      <c r="AJ1600" s="54"/>
      <c r="AK1600" s="54"/>
      <c r="AL1600" s="54"/>
      <c r="AM1600" s="54"/>
      <c r="AN1600" s="54"/>
      <c r="AO1600" s="54"/>
      <c r="AP1600" s="54"/>
      <c r="AQ1600" s="54"/>
      <c r="AR1600" s="54"/>
      <c r="AS1600" s="54"/>
      <c r="AT1600" s="54"/>
      <c r="AU1600" s="54"/>
      <c r="AV1600" s="54"/>
      <c r="AW1600" s="54"/>
      <c r="AX1600" s="54"/>
      <c r="AY1600" s="54"/>
      <c r="AZ1600" s="54"/>
      <c r="BA1600" s="54"/>
      <c r="BB1600" s="54"/>
      <c r="BC1600" s="56"/>
      <c r="BD1600" s="51"/>
      <c r="BE1600" s="54"/>
      <c r="BF1600" s="54"/>
      <c r="BG1600" s="47"/>
      <c r="BH1600" s="48"/>
      <c r="BI1600" s="48"/>
      <c r="BJ1600" s="48"/>
      <c r="BK1600" s="48"/>
      <c r="BL1600" s="48"/>
      <c r="BM1600" s="48"/>
      <c r="BN1600" s="48"/>
      <c r="BO1600" s="48"/>
      <c r="BP1600" s="48"/>
      <c r="BQ1600" s="48"/>
      <c r="BR1600" s="48"/>
      <c r="BS1600" s="48"/>
      <c r="BT1600" s="48"/>
      <c r="BU1600" s="48"/>
      <c r="BV1600" s="48"/>
      <c r="BW1600" s="48"/>
      <c r="BX1600" s="48"/>
      <c r="BY1600" s="48"/>
      <c r="BZ1600" s="48"/>
      <c r="CA1600" s="48"/>
      <c r="CB1600" s="48"/>
      <c r="CC1600" s="48"/>
      <c r="CD1600" s="48"/>
      <c r="CE1600" s="48"/>
      <c r="CF1600" s="52"/>
      <c r="CG1600" s="52"/>
      <c r="CH1600" s="48"/>
      <c r="CI1600" s="48"/>
      <c r="CJ1600" s="48"/>
      <c r="CK1600" s="48"/>
    </row>
    <row r="1601" spans="1:89" ht="15.75" customHeight="1" x14ac:dyDescent="0.3">
      <c r="A1601" s="47"/>
      <c r="B1601" s="48"/>
      <c r="C1601" s="47"/>
      <c r="D1601" s="48"/>
      <c r="E1601" s="48"/>
      <c r="F1601" s="48"/>
      <c r="G1601" s="48"/>
      <c r="H1601" s="48"/>
      <c r="I1601" s="49"/>
      <c r="J1601" s="47"/>
      <c r="K1601" s="47"/>
      <c r="L1601" s="47"/>
      <c r="M1601" s="47"/>
      <c r="N1601" s="47"/>
      <c r="O1601" s="47"/>
      <c r="P1601" s="47"/>
      <c r="Q1601" s="47"/>
      <c r="R1601" s="47"/>
      <c r="S1601" s="50"/>
      <c r="T1601" s="47"/>
      <c r="U1601" s="47"/>
      <c r="V1601" s="47"/>
      <c r="W1601" s="51"/>
      <c r="X1601" s="51"/>
      <c r="Y1601" s="47"/>
      <c r="Z1601" s="47"/>
      <c r="AA1601" s="47"/>
      <c r="AB1601" s="47"/>
      <c r="AC1601" s="47"/>
      <c r="AD1601" s="47"/>
      <c r="AE1601" s="54"/>
      <c r="AF1601" s="54"/>
      <c r="AG1601" s="55"/>
      <c r="AH1601" s="54"/>
      <c r="AI1601" s="54"/>
      <c r="AJ1601" s="54"/>
      <c r="AK1601" s="54"/>
      <c r="AL1601" s="54"/>
      <c r="AM1601" s="54"/>
      <c r="AN1601" s="54"/>
      <c r="AO1601" s="54"/>
      <c r="AP1601" s="54"/>
      <c r="AQ1601" s="54"/>
      <c r="AR1601" s="54"/>
      <c r="AS1601" s="54"/>
      <c r="AT1601" s="54"/>
      <c r="AU1601" s="54"/>
      <c r="AV1601" s="54"/>
      <c r="AW1601" s="54"/>
      <c r="AX1601" s="54"/>
      <c r="AY1601" s="54"/>
      <c r="AZ1601" s="54"/>
      <c r="BA1601" s="54"/>
      <c r="BB1601" s="54"/>
      <c r="BC1601" s="56"/>
      <c r="BD1601" s="51"/>
      <c r="BE1601" s="54"/>
      <c r="BF1601" s="54"/>
      <c r="BG1601" s="47"/>
      <c r="BH1601" s="48"/>
      <c r="BI1601" s="48"/>
      <c r="BJ1601" s="48"/>
      <c r="BK1601" s="48"/>
      <c r="BL1601" s="48"/>
      <c r="BM1601" s="48"/>
      <c r="BN1601" s="48"/>
      <c r="BO1601" s="48"/>
      <c r="BP1601" s="48"/>
      <c r="BQ1601" s="48"/>
      <c r="BR1601" s="48"/>
      <c r="BS1601" s="48"/>
      <c r="BT1601" s="48"/>
      <c r="BU1601" s="48"/>
      <c r="BV1601" s="48"/>
      <c r="BW1601" s="48"/>
      <c r="BX1601" s="48"/>
      <c r="BY1601" s="48"/>
      <c r="BZ1601" s="48"/>
      <c r="CA1601" s="48"/>
      <c r="CB1601" s="48"/>
      <c r="CC1601" s="48"/>
      <c r="CD1601" s="48"/>
      <c r="CE1601" s="48"/>
      <c r="CF1601" s="52"/>
      <c r="CG1601" s="52"/>
      <c r="CH1601" s="48"/>
      <c r="CI1601" s="48"/>
      <c r="CJ1601" s="48"/>
      <c r="CK1601" s="48"/>
    </row>
    <row r="1602" spans="1:89" ht="15.75" customHeight="1" x14ac:dyDescent="0.3">
      <c r="A1602" s="47"/>
      <c r="B1602" s="48"/>
      <c r="C1602" s="47"/>
      <c r="D1602" s="48"/>
      <c r="E1602" s="48"/>
      <c r="F1602" s="48"/>
      <c r="G1602" s="48"/>
      <c r="H1602" s="48"/>
      <c r="I1602" s="49"/>
      <c r="J1602" s="47"/>
      <c r="K1602" s="47"/>
      <c r="L1602" s="47"/>
      <c r="M1602" s="47"/>
      <c r="N1602" s="47"/>
      <c r="O1602" s="47"/>
      <c r="P1602" s="47"/>
      <c r="Q1602" s="47"/>
      <c r="R1602" s="47"/>
      <c r="S1602" s="50"/>
      <c r="T1602" s="47"/>
      <c r="U1602" s="47"/>
      <c r="V1602" s="47"/>
      <c r="W1602" s="51"/>
      <c r="X1602" s="51"/>
      <c r="Y1602" s="47"/>
      <c r="Z1602" s="47"/>
      <c r="AA1602" s="47"/>
      <c r="AB1602" s="47"/>
      <c r="AC1602" s="47"/>
      <c r="AD1602" s="47"/>
      <c r="AE1602" s="54"/>
      <c r="AF1602" s="54"/>
      <c r="AG1602" s="55"/>
      <c r="AH1602" s="54"/>
      <c r="AI1602" s="54"/>
      <c r="AJ1602" s="54"/>
      <c r="AK1602" s="54"/>
      <c r="AL1602" s="54"/>
      <c r="AM1602" s="54"/>
      <c r="AN1602" s="54"/>
      <c r="AO1602" s="54"/>
      <c r="AP1602" s="54"/>
      <c r="AQ1602" s="54"/>
      <c r="AR1602" s="54"/>
      <c r="AS1602" s="54"/>
      <c r="AT1602" s="54"/>
      <c r="AU1602" s="54"/>
      <c r="AV1602" s="54"/>
      <c r="AW1602" s="54"/>
      <c r="AX1602" s="54"/>
      <c r="AY1602" s="54"/>
      <c r="AZ1602" s="54"/>
      <c r="BA1602" s="54"/>
      <c r="BB1602" s="54"/>
      <c r="BC1602" s="56"/>
      <c r="BD1602" s="51"/>
      <c r="BE1602" s="54"/>
      <c r="BF1602" s="54"/>
      <c r="BG1602" s="47"/>
      <c r="BH1602" s="48"/>
      <c r="BI1602" s="48"/>
      <c r="BJ1602" s="48"/>
      <c r="BK1602" s="48"/>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52"/>
      <c r="CG1602" s="52"/>
      <c r="CH1602" s="48"/>
      <c r="CI1602" s="48"/>
      <c r="CJ1602" s="48"/>
      <c r="CK1602" s="48"/>
    </row>
    <row r="1603" spans="1:89" ht="15.75" customHeight="1" x14ac:dyDescent="0.3">
      <c r="A1603" s="47"/>
      <c r="B1603" s="48"/>
      <c r="C1603" s="47"/>
      <c r="D1603" s="48"/>
      <c r="E1603" s="48"/>
      <c r="F1603" s="48"/>
      <c r="G1603" s="48"/>
      <c r="H1603" s="48"/>
      <c r="I1603" s="49"/>
      <c r="J1603" s="47"/>
      <c r="K1603" s="47"/>
      <c r="L1603" s="47"/>
      <c r="M1603" s="47"/>
      <c r="N1603" s="47"/>
      <c r="O1603" s="47"/>
      <c r="P1603" s="47"/>
      <c r="Q1603" s="47"/>
      <c r="R1603" s="47"/>
      <c r="S1603" s="50"/>
      <c r="T1603" s="47"/>
      <c r="U1603" s="47"/>
      <c r="V1603" s="47"/>
      <c r="W1603" s="51"/>
      <c r="X1603" s="51"/>
      <c r="Y1603" s="47"/>
      <c r="Z1603" s="47"/>
      <c r="AA1603" s="47"/>
      <c r="AB1603" s="47"/>
      <c r="AC1603" s="47"/>
      <c r="AD1603" s="47"/>
      <c r="AE1603" s="54"/>
      <c r="AF1603" s="54"/>
      <c r="AG1603" s="55"/>
      <c r="AH1603" s="54"/>
      <c r="AI1603" s="54"/>
      <c r="AJ1603" s="54"/>
      <c r="AK1603" s="54"/>
      <c r="AL1603" s="54"/>
      <c r="AM1603" s="54"/>
      <c r="AN1603" s="54"/>
      <c r="AO1603" s="54"/>
      <c r="AP1603" s="54"/>
      <c r="AQ1603" s="54"/>
      <c r="AR1603" s="54"/>
      <c r="AS1603" s="54"/>
      <c r="AT1603" s="54"/>
      <c r="AU1603" s="54"/>
      <c r="AV1603" s="54"/>
      <c r="AW1603" s="54"/>
      <c r="AX1603" s="54"/>
      <c r="AY1603" s="54"/>
      <c r="AZ1603" s="54"/>
      <c r="BA1603" s="54"/>
      <c r="BB1603" s="54"/>
      <c r="BC1603" s="56"/>
      <c r="BD1603" s="51"/>
      <c r="BE1603" s="54"/>
      <c r="BF1603" s="54"/>
      <c r="BG1603" s="47"/>
      <c r="BH1603" s="48"/>
      <c r="BI1603" s="48"/>
      <c r="BJ1603" s="48"/>
      <c r="BK1603" s="48"/>
      <c r="BL1603" s="48"/>
      <c r="BM1603" s="48"/>
      <c r="BN1603" s="48"/>
      <c r="BO1603" s="48"/>
      <c r="BP1603" s="48"/>
      <c r="BQ1603" s="48"/>
      <c r="BR1603" s="48"/>
      <c r="BS1603" s="48"/>
      <c r="BT1603" s="48"/>
      <c r="BU1603" s="48"/>
      <c r="BV1603" s="48"/>
      <c r="BW1603" s="48"/>
      <c r="BX1603" s="48"/>
      <c r="BY1603" s="48"/>
      <c r="BZ1603" s="48"/>
      <c r="CA1603" s="48"/>
      <c r="CB1603" s="48"/>
      <c r="CC1603" s="48"/>
      <c r="CD1603" s="48"/>
      <c r="CE1603" s="48"/>
      <c r="CF1603" s="52"/>
      <c r="CG1603" s="52"/>
      <c r="CH1603" s="48"/>
      <c r="CI1603" s="48"/>
      <c r="CJ1603" s="48"/>
      <c r="CK1603" s="48"/>
    </row>
    <row r="1604" spans="1:89" ht="15.75" customHeight="1" x14ac:dyDescent="0.3">
      <c r="A1604" s="47"/>
      <c r="B1604" s="48"/>
      <c r="C1604" s="47"/>
      <c r="D1604" s="48"/>
      <c r="E1604" s="48"/>
      <c r="F1604" s="48"/>
      <c r="G1604" s="48"/>
      <c r="H1604" s="48"/>
      <c r="I1604" s="49"/>
      <c r="J1604" s="47"/>
      <c r="K1604" s="47"/>
      <c r="L1604" s="47"/>
      <c r="M1604" s="47"/>
      <c r="N1604" s="47"/>
      <c r="O1604" s="47"/>
      <c r="P1604" s="47"/>
      <c r="Q1604" s="47"/>
      <c r="R1604" s="47"/>
      <c r="S1604" s="50"/>
      <c r="T1604" s="47"/>
      <c r="U1604" s="47"/>
      <c r="V1604" s="47"/>
      <c r="W1604" s="51"/>
      <c r="X1604" s="51"/>
      <c r="Y1604" s="47"/>
      <c r="Z1604" s="47"/>
      <c r="AA1604" s="47"/>
      <c r="AB1604" s="47"/>
      <c r="AC1604" s="47"/>
      <c r="AD1604" s="47"/>
      <c r="AE1604" s="54"/>
      <c r="AF1604" s="54"/>
      <c r="AG1604" s="55"/>
      <c r="AH1604" s="54"/>
      <c r="AI1604" s="54"/>
      <c r="AJ1604" s="54"/>
      <c r="AK1604" s="54"/>
      <c r="AL1604" s="54"/>
      <c r="AM1604" s="54"/>
      <c r="AN1604" s="54"/>
      <c r="AO1604" s="54"/>
      <c r="AP1604" s="54"/>
      <c r="AQ1604" s="54"/>
      <c r="AR1604" s="54"/>
      <c r="AS1604" s="54"/>
      <c r="AT1604" s="54"/>
      <c r="AU1604" s="54"/>
      <c r="AV1604" s="54"/>
      <c r="AW1604" s="54"/>
      <c r="AX1604" s="54"/>
      <c r="AY1604" s="54"/>
      <c r="AZ1604" s="54"/>
      <c r="BA1604" s="54"/>
      <c r="BB1604" s="54"/>
      <c r="BC1604" s="56"/>
      <c r="BD1604" s="51"/>
      <c r="BE1604" s="54"/>
      <c r="BF1604" s="54"/>
      <c r="BG1604" s="47"/>
      <c r="BH1604" s="48"/>
      <c r="BI1604" s="48"/>
      <c r="BJ1604" s="48"/>
      <c r="BK1604" s="48"/>
      <c r="BL1604" s="48"/>
      <c r="BM1604" s="48"/>
      <c r="BN1604" s="48"/>
      <c r="BO1604" s="48"/>
      <c r="BP1604" s="48"/>
      <c r="BQ1604" s="48"/>
      <c r="BR1604" s="48"/>
      <c r="BS1604" s="48"/>
      <c r="BT1604" s="48"/>
      <c r="BU1604" s="48"/>
      <c r="BV1604" s="48"/>
      <c r="BW1604" s="48"/>
      <c r="BX1604" s="48"/>
      <c r="BY1604" s="48"/>
      <c r="BZ1604" s="48"/>
      <c r="CA1604" s="48"/>
      <c r="CB1604" s="48"/>
      <c r="CC1604" s="48"/>
      <c r="CD1604" s="48"/>
      <c r="CE1604" s="48"/>
      <c r="CF1604" s="52"/>
      <c r="CG1604" s="52"/>
      <c r="CH1604" s="48"/>
      <c r="CI1604" s="48"/>
      <c r="CJ1604" s="48"/>
      <c r="CK1604" s="48"/>
    </row>
    <row r="1605" spans="1:89" ht="15.75" customHeight="1" x14ac:dyDescent="0.3">
      <c r="A1605" s="47"/>
      <c r="B1605" s="48"/>
      <c r="C1605" s="47"/>
      <c r="D1605" s="48"/>
      <c r="E1605" s="48"/>
      <c r="F1605" s="48"/>
      <c r="G1605" s="48"/>
      <c r="H1605" s="48"/>
      <c r="I1605" s="49"/>
      <c r="J1605" s="47"/>
      <c r="K1605" s="47"/>
      <c r="L1605" s="47"/>
      <c r="M1605" s="47"/>
      <c r="N1605" s="47"/>
      <c r="O1605" s="47"/>
      <c r="P1605" s="47"/>
      <c r="Q1605" s="47"/>
      <c r="R1605" s="47"/>
      <c r="S1605" s="50"/>
      <c r="T1605" s="47"/>
      <c r="U1605" s="47"/>
      <c r="V1605" s="47"/>
      <c r="W1605" s="51"/>
      <c r="X1605" s="51"/>
      <c r="Y1605" s="47"/>
      <c r="Z1605" s="47"/>
      <c r="AA1605" s="47"/>
      <c r="AB1605" s="47"/>
      <c r="AC1605" s="47"/>
      <c r="AD1605" s="47"/>
      <c r="AE1605" s="54"/>
      <c r="AF1605" s="54"/>
      <c r="AG1605" s="55"/>
      <c r="AH1605" s="54"/>
      <c r="AI1605" s="54"/>
      <c r="AJ1605" s="54"/>
      <c r="AK1605" s="54"/>
      <c r="AL1605" s="54"/>
      <c r="AM1605" s="54"/>
      <c r="AN1605" s="54"/>
      <c r="AO1605" s="54"/>
      <c r="AP1605" s="54"/>
      <c r="AQ1605" s="54"/>
      <c r="AR1605" s="54"/>
      <c r="AS1605" s="54"/>
      <c r="AT1605" s="54"/>
      <c r="AU1605" s="54"/>
      <c r="AV1605" s="54"/>
      <c r="AW1605" s="54"/>
      <c r="AX1605" s="54"/>
      <c r="AY1605" s="54"/>
      <c r="AZ1605" s="54"/>
      <c r="BA1605" s="54"/>
      <c r="BB1605" s="54"/>
      <c r="BC1605" s="56"/>
      <c r="BD1605" s="51"/>
      <c r="BE1605" s="54"/>
      <c r="BF1605" s="54"/>
      <c r="BG1605" s="47"/>
      <c r="BH1605" s="48"/>
      <c r="BI1605" s="48"/>
      <c r="BJ1605" s="48"/>
      <c r="BK1605" s="48"/>
      <c r="BL1605" s="48"/>
      <c r="BM1605" s="48"/>
      <c r="BN1605" s="48"/>
      <c r="BO1605" s="48"/>
      <c r="BP1605" s="48"/>
      <c r="BQ1605" s="48"/>
      <c r="BR1605" s="48"/>
      <c r="BS1605" s="48"/>
      <c r="BT1605" s="48"/>
      <c r="BU1605" s="48"/>
      <c r="BV1605" s="48"/>
      <c r="BW1605" s="48"/>
      <c r="BX1605" s="48"/>
      <c r="BY1605" s="48"/>
      <c r="BZ1605" s="48"/>
      <c r="CA1605" s="48"/>
      <c r="CB1605" s="48"/>
      <c r="CC1605" s="48"/>
      <c r="CD1605" s="48"/>
      <c r="CE1605" s="48"/>
      <c r="CF1605" s="52"/>
      <c r="CG1605" s="52"/>
      <c r="CH1605" s="48"/>
      <c r="CI1605" s="48"/>
      <c r="CJ1605" s="48"/>
      <c r="CK1605" s="48"/>
    </row>
    <row r="1606" spans="1:89" ht="15.75" customHeight="1" x14ac:dyDescent="0.3">
      <c r="A1606" s="47"/>
      <c r="B1606" s="48"/>
      <c r="C1606" s="47"/>
      <c r="D1606" s="48"/>
      <c r="E1606" s="48"/>
      <c r="F1606" s="48"/>
      <c r="G1606" s="48"/>
      <c r="H1606" s="48"/>
      <c r="I1606" s="49"/>
      <c r="J1606" s="47"/>
      <c r="K1606" s="47"/>
      <c r="L1606" s="47"/>
      <c r="M1606" s="47"/>
      <c r="N1606" s="47"/>
      <c r="O1606" s="47"/>
      <c r="P1606" s="47"/>
      <c r="Q1606" s="47"/>
      <c r="R1606" s="47"/>
      <c r="S1606" s="50"/>
      <c r="T1606" s="47"/>
      <c r="U1606" s="47"/>
      <c r="V1606" s="47"/>
      <c r="W1606" s="51"/>
      <c r="X1606" s="51"/>
      <c r="Y1606" s="47"/>
      <c r="Z1606" s="47"/>
      <c r="AA1606" s="47"/>
      <c r="AB1606" s="47"/>
      <c r="AC1606" s="47"/>
      <c r="AD1606" s="47"/>
      <c r="AE1606" s="54"/>
      <c r="AF1606" s="54"/>
      <c r="AG1606" s="55"/>
      <c r="AH1606" s="54"/>
      <c r="AI1606" s="54"/>
      <c r="AJ1606" s="54"/>
      <c r="AK1606" s="54"/>
      <c r="AL1606" s="54"/>
      <c r="AM1606" s="54"/>
      <c r="AN1606" s="54"/>
      <c r="AO1606" s="54"/>
      <c r="AP1606" s="54"/>
      <c r="AQ1606" s="54"/>
      <c r="AR1606" s="54"/>
      <c r="AS1606" s="54"/>
      <c r="AT1606" s="54"/>
      <c r="AU1606" s="54"/>
      <c r="AV1606" s="54"/>
      <c r="AW1606" s="54"/>
      <c r="AX1606" s="54"/>
      <c r="AY1606" s="54"/>
      <c r="AZ1606" s="54"/>
      <c r="BA1606" s="54"/>
      <c r="BB1606" s="54"/>
      <c r="BC1606" s="56"/>
      <c r="BD1606" s="51"/>
      <c r="BE1606" s="54"/>
      <c r="BF1606" s="54"/>
      <c r="BG1606" s="47"/>
      <c r="BH1606" s="48"/>
      <c r="BI1606" s="48"/>
      <c r="BJ1606" s="48"/>
      <c r="BK1606" s="48"/>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52"/>
      <c r="CG1606" s="52"/>
      <c r="CH1606" s="48"/>
      <c r="CI1606" s="48"/>
      <c r="CJ1606" s="48"/>
      <c r="CK1606" s="48"/>
    </row>
    <row r="1607" spans="1:89" ht="15.75" customHeight="1" x14ac:dyDescent="0.3">
      <c r="A1607" s="47"/>
      <c r="B1607" s="48"/>
      <c r="C1607" s="47"/>
      <c r="D1607" s="48"/>
      <c r="E1607" s="48"/>
      <c r="F1607" s="48"/>
      <c r="G1607" s="48"/>
      <c r="H1607" s="48"/>
      <c r="I1607" s="49"/>
      <c r="J1607" s="47"/>
      <c r="K1607" s="47"/>
      <c r="L1607" s="47"/>
      <c r="M1607" s="47"/>
      <c r="N1607" s="47"/>
      <c r="O1607" s="47"/>
      <c r="P1607" s="47"/>
      <c r="Q1607" s="47"/>
      <c r="R1607" s="47"/>
      <c r="S1607" s="50"/>
      <c r="T1607" s="47"/>
      <c r="U1607" s="47"/>
      <c r="V1607" s="47"/>
      <c r="W1607" s="51"/>
      <c r="X1607" s="51"/>
      <c r="Y1607" s="47"/>
      <c r="Z1607" s="47"/>
      <c r="AA1607" s="47"/>
      <c r="AB1607" s="47"/>
      <c r="AC1607" s="47"/>
      <c r="AD1607" s="47"/>
      <c r="AE1607" s="54"/>
      <c r="AF1607" s="54"/>
      <c r="AG1607" s="55"/>
      <c r="AH1607" s="54"/>
      <c r="AI1607" s="54"/>
      <c r="AJ1607" s="54"/>
      <c r="AK1607" s="54"/>
      <c r="AL1607" s="54"/>
      <c r="AM1607" s="54"/>
      <c r="AN1607" s="54"/>
      <c r="AO1607" s="54"/>
      <c r="AP1607" s="54"/>
      <c r="AQ1607" s="54"/>
      <c r="AR1607" s="54"/>
      <c r="AS1607" s="54"/>
      <c r="AT1607" s="54"/>
      <c r="AU1607" s="54"/>
      <c r="AV1607" s="54"/>
      <c r="AW1607" s="54"/>
      <c r="AX1607" s="54"/>
      <c r="AY1607" s="54"/>
      <c r="AZ1607" s="54"/>
      <c r="BA1607" s="54"/>
      <c r="BB1607" s="54"/>
      <c r="BC1607" s="56"/>
      <c r="BD1607" s="51"/>
      <c r="BE1607" s="54"/>
      <c r="BF1607" s="54"/>
      <c r="BG1607" s="47"/>
      <c r="BH1607" s="48"/>
      <c r="BI1607" s="48"/>
      <c r="BJ1607" s="48"/>
      <c r="BK1607" s="48"/>
      <c r="BL1607" s="48"/>
      <c r="BM1607" s="48"/>
      <c r="BN1607" s="48"/>
      <c r="BO1607" s="48"/>
      <c r="BP1607" s="48"/>
      <c r="BQ1607" s="48"/>
      <c r="BR1607" s="48"/>
      <c r="BS1607" s="48"/>
      <c r="BT1607" s="48"/>
      <c r="BU1607" s="48"/>
      <c r="BV1607" s="48"/>
      <c r="BW1607" s="48"/>
      <c r="BX1607" s="48"/>
      <c r="BY1607" s="48"/>
      <c r="BZ1607" s="48"/>
      <c r="CA1607" s="48"/>
      <c r="CB1607" s="48"/>
      <c r="CC1607" s="48"/>
      <c r="CD1607" s="48"/>
      <c r="CE1607" s="48"/>
      <c r="CF1607" s="52"/>
      <c r="CG1607" s="52"/>
      <c r="CH1607" s="48"/>
      <c r="CI1607" s="48"/>
      <c r="CJ1607" s="48"/>
      <c r="CK1607" s="48"/>
    </row>
    <row r="1608" spans="1:89" ht="15.75" customHeight="1" x14ac:dyDescent="0.3">
      <c r="A1608" s="47"/>
      <c r="B1608" s="48"/>
      <c r="C1608" s="47"/>
      <c r="D1608" s="48"/>
      <c r="E1608" s="48"/>
      <c r="F1608" s="48"/>
      <c r="G1608" s="48"/>
      <c r="H1608" s="48"/>
      <c r="I1608" s="49"/>
      <c r="J1608" s="47"/>
      <c r="K1608" s="47"/>
      <c r="L1608" s="47"/>
      <c r="M1608" s="47"/>
      <c r="N1608" s="47"/>
      <c r="O1608" s="47"/>
      <c r="P1608" s="47"/>
      <c r="Q1608" s="47"/>
      <c r="R1608" s="47"/>
      <c r="S1608" s="50"/>
      <c r="T1608" s="47"/>
      <c r="U1608" s="47"/>
      <c r="V1608" s="47"/>
      <c r="W1608" s="51"/>
      <c r="X1608" s="51"/>
      <c r="Y1608" s="47"/>
      <c r="Z1608" s="47"/>
      <c r="AA1608" s="47"/>
      <c r="AB1608" s="47"/>
      <c r="AC1608" s="47"/>
      <c r="AD1608" s="47"/>
      <c r="AE1608" s="54"/>
      <c r="AF1608" s="54"/>
      <c r="AG1608" s="55"/>
      <c r="AH1608" s="54"/>
      <c r="AI1608" s="54"/>
      <c r="AJ1608" s="54"/>
      <c r="AK1608" s="54"/>
      <c r="AL1608" s="54"/>
      <c r="AM1608" s="54"/>
      <c r="AN1608" s="54"/>
      <c r="AO1608" s="54"/>
      <c r="AP1608" s="54"/>
      <c r="AQ1608" s="54"/>
      <c r="AR1608" s="54"/>
      <c r="AS1608" s="54"/>
      <c r="AT1608" s="54"/>
      <c r="AU1608" s="54"/>
      <c r="AV1608" s="54"/>
      <c r="AW1608" s="54"/>
      <c r="AX1608" s="54"/>
      <c r="AY1608" s="54"/>
      <c r="AZ1608" s="54"/>
      <c r="BA1608" s="54"/>
      <c r="BB1608" s="54"/>
      <c r="BC1608" s="56"/>
      <c r="BD1608" s="51"/>
      <c r="BE1608" s="54"/>
      <c r="BF1608" s="54"/>
      <c r="BG1608" s="47"/>
      <c r="BH1608" s="48"/>
      <c r="BI1608" s="48"/>
      <c r="BJ1608" s="48"/>
      <c r="BK1608" s="48"/>
      <c r="BL1608" s="48"/>
      <c r="BM1608" s="48"/>
      <c r="BN1608" s="48"/>
      <c r="BO1608" s="48"/>
      <c r="BP1608" s="48"/>
      <c r="BQ1608" s="48"/>
      <c r="BR1608" s="48"/>
      <c r="BS1608" s="48"/>
      <c r="BT1608" s="48"/>
      <c r="BU1608" s="48"/>
      <c r="BV1608" s="48"/>
      <c r="BW1608" s="48"/>
      <c r="BX1608" s="48"/>
      <c r="BY1608" s="48"/>
      <c r="BZ1608" s="48"/>
      <c r="CA1608" s="48"/>
      <c r="CB1608" s="48"/>
      <c r="CC1608" s="48"/>
      <c r="CD1608" s="48"/>
      <c r="CE1608" s="48"/>
      <c r="CF1608" s="52"/>
      <c r="CG1608" s="52"/>
      <c r="CH1608" s="48"/>
      <c r="CI1608" s="48"/>
      <c r="CJ1608" s="48"/>
      <c r="CK1608" s="48"/>
    </row>
    <row r="1609" spans="1:89" ht="15.75" customHeight="1" x14ac:dyDescent="0.3">
      <c r="A1609" s="47"/>
      <c r="B1609" s="48"/>
      <c r="C1609" s="47"/>
      <c r="D1609" s="48"/>
      <c r="E1609" s="48"/>
      <c r="F1609" s="48"/>
      <c r="G1609" s="48"/>
      <c r="H1609" s="48"/>
      <c r="I1609" s="49"/>
      <c r="J1609" s="47"/>
      <c r="K1609" s="47"/>
      <c r="L1609" s="47"/>
      <c r="M1609" s="47"/>
      <c r="N1609" s="47"/>
      <c r="O1609" s="47"/>
      <c r="P1609" s="47"/>
      <c r="Q1609" s="47"/>
      <c r="R1609" s="47"/>
      <c r="S1609" s="50"/>
      <c r="T1609" s="47"/>
      <c r="U1609" s="47"/>
      <c r="V1609" s="47"/>
      <c r="W1609" s="51"/>
      <c r="X1609" s="51"/>
      <c r="Y1609" s="47"/>
      <c r="Z1609" s="47"/>
      <c r="AA1609" s="47"/>
      <c r="AB1609" s="47"/>
      <c r="AC1609" s="47"/>
      <c r="AD1609" s="47"/>
      <c r="AE1609" s="54"/>
      <c r="AF1609" s="54"/>
      <c r="AG1609" s="55"/>
      <c r="AH1609" s="54"/>
      <c r="AI1609" s="54"/>
      <c r="AJ1609" s="54"/>
      <c r="AK1609" s="54"/>
      <c r="AL1609" s="54"/>
      <c r="AM1609" s="54"/>
      <c r="AN1609" s="54"/>
      <c r="AO1609" s="54"/>
      <c r="AP1609" s="54"/>
      <c r="AQ1609" s="54"/>
      <c r="AR1609" s="54"/>
      <c r="AS1609" s="54"/>
      <c r="AT1609" s="54"/>
      <c r="AU1609" s="54"/>
      <c r="AV1609" s="54"/>
      <c r="AW1609" s="54"/>
      <c r="AX1609" s="54"/>
      <c r="AY1609" s="54"/>
      <c r="AZ1609" s="54"/>
      <c r="BA1609" s="54"/>
      <c r="BB1609" s="54"/>
      <c r="BC1609" s="56"/>
      <c r="BD1609" s="51"/>
      <c r="BE1609" s="54"/>
      <c r="BF1609" s="54"/>
      <c r="BG1609" s="47"/>
      <c r="BH1609" s="48"/>
      <c r="BI1609" s="48"/>
      <c r="BJ1609" s="48"/>
      <c r="BK1609" s="48"/>
      <c r="BL1609" s="48"/>
      <c r="BM1609" s="48"/>
      <c r="BN1609" s="48"/>
      <c r="BO1609" s="48"/>
      <c r="BP1609" s="48"/>
      <c r="BQ1609" s="48"/>
      <c r="BR1609" s="48"/>
      <c r="BS1609" s="48"/>
      <c r="BT1609" s="48"/>
      <c r="BU1609" s="48"/>
      <c r="BV1609" s="48"/>
      <c r="BW1609" s="48"/>
      <c r="BX1609" s="48"/>
      <c r="BY1609" s="48"/>
      <c r="BZ1609" s="48"/>
      <c r="CA1609" s="48"/>
      <c r="CB1609" s="48"/>
      <c r="CC1609" s="48"/>
      <c r="CD1609" s="48"/>
      <c r="CE1609" s="48"/>
      <c r="CF1609" s="52"/>
      <c r="CG1609" s="52"/>
      <c r="CH1609" s="48"/>
      <c r="CI1609" s="48"/>
      <c r="CJ1609" s="48"/>
      <c r="CK1609" s="48"/>
    </row>
    <row r="1610" spans="1:89" ht="15.75" customHeight="1" x14ac:dyDescent="0.3">
      <c r="A1610" s="47"/>
      <c r="B1610" s="48"/>
      <c r="C1610" s="47"/>
      <c r="D1610" s="48"/>
      <c r="E1610" s="48"/>
      <c r="F1610" s="48"/>
      <c r="G1610" s="48"/>
      <c r="H1610" s="48"/>
      <c r="I1610" s="49"/>
      <c r="J1610" s="47"/>
      <c r="K1610" s="47"/>
      <c r="L1610" s="47"/>
      <c r="M1610" s="47"/>
      <c r="N1610" s="47"/>
      <c r="O1610" s="47"/>
      <c r="P1610" s="47"/>
      <c r="Q1610" s="47"/>
      <c r="R1610" s="47"/>
      <c r="S1610" s="50"/>
      <c r="T1610" s="47"/>
      <c r="U1610" s="47"/>
      <c r="V1610" s="47"/>
      <c r="W1610" s="51"/>
      <c r="X1610" s="51"/>
      <c r="Y1610" s="47"/>
      <c r="Z1610" s="47"/>
      <c r="AA1610" s="47"/>
      <c r="AB1610" s="47"/>
      <c r="AC1610" s="47"/>
      <c r="AD1610" s="47"/>
      <c r="AE1610" s="54"/>
      <c r="AF1610" s="54"/>
      <c r="AG1610" s="55"/>
      <c r="AH1610" s="54"/>
      <c r="AI1610" s="54"/>
      <c r="AJ1610" s="54"/>
      <c r="AK1610" s="54"/>
      <c r="AL1610" s="54"/>
      <c r="AM1610" s="54"/>
      <c r="AN1610" s="54"/>
      <c r="AO1610" s="54"/>
      <c r="AP1610" s="54"/>
      <c r="AQ1610" s="54"/>
      <c r="AR1610" s="54"/>
      <c r="AS1610" s="54"/>
      <c r="AT1610" s="54"/>
      <c r="AU1610" s="54"/>
      <c r="AV1610" s="54"/>
      <c r="AW1610" s="54"/>
      <c r="AX1610" s="54"/>
      <c r="AY1610" s="54"/>
      <c r="AZ1610" s="54"/>
      <c r="BA1610" s="54"/>
      <c r="BB1610" s="54"/>
      <c r="BC1610" s="56"/>
      <c r="BD1610" s="51"/>
      <c r="BE1610" s="54"/>
      <c r="BF1610" s="54"/>
      <c r="BG1610" s="47"/>
      <c r="BH1610" s="48"/>
      <c r="BI1610" s="48"/>
      <c r="BJ1610" s="48"/>
      <c r="BK1610" s="48"/>
      <c r="BL1610" s="48"/>
      <c r="BM1610" s="48"/>
      <c r="BN1610" s="48"/>
      <c r="BO1610" s="48"/>
      <c r="BP1610" s="48"/>
      <c r="BQ1610" s="48"/>
      <c r="BR1610" s="48"/>
      <c r="BS1610" s="48"/>
      <c r="BT1610" s="48"/>
      <c r="BU1610" s="48"/>
      <c r="BV1610" s="48"/>
      <c r="BW1610" s="48"/>
      <c r="BX1610" s="48"/>
      <c r="BY1610" s="48"/>
      <c r="BZ1610" s="48"/>
      <c r="CA1610" s="48"/>
      <c r="CB1610" s="48"/>
      <c r="CC1610" s="48"/>
      <c r="CD1610" s="48"/>
      <c r="CE1610" s="48"/>
      <c r="CF1610" s="52"/>
      <c r="CG1610" s="52"/>
      <c r="CH1610" s="48"/>
      <c r="CI1610" s="48"/>
      <c r="CJ1610" s="48"/>
      <c r="CK1610" s="48"/>
    </row>
    <row r="1611" spans="1:89" ht="15.75" customHeight="1" x14ac:dyDescent="0.3">
      <c r="A1611" s="47"/>
      <c r="B1611" s="48"/>
      <c r="C1611" s="47"/>
      <c r="D1611" s="48"/>
      <c r="E1611" s="48"/>
      <c r="F1611" s="48"/>
      <c r="G1611" s="48"/>
      <c r="H1611" s="48"/>
      <c r="I1611" s="49"/>
      <c r="J1611" s="47"/>
      <c r="K1611" s="47"/>
      <c r="L1611" s="47"/>
      <c r="M1611" s="47"/>
      <c r="N1611" s="47"/>
      <c r="O1611" s="47"/>
      <c r="P1611" s="47"/>
      <c r="Q1611" s="47"/>
      <c r="R1611" s="47"/>
      <c r="S1611" s="50"/>
      <c r="T1611" s="47"/>
      <c r="U1611" s="47"/>
      <c r="V1611" s="47"/>
      <c r="W1611" s="51"/>
      <c r="X1611" s="51"/>
      <c r="Y1611" s="47"/>
      <c r="Z1611" s="47"/>
      <c r="AA1611" s="47"/>
      <c r="AB1611" s="47"/>
      <c r="AC1611" s="47"/>
      <c r="AD1611" s="47"/>
      <c r="AE1611" s="54"/>
      <c r="AF1611" s="54"/>
      <c r="AG1611" s="55"/>
      <c r="AH1611" s="54"/>
      <c r="AI1611" s="54"/>
      <c r="AJ1611" s="54"/>
      <c r="AK1611" s="54"/>
      <c r="AL1611" s="54"/>
      <c r="AM1611" s="54"/>
      <c r="AN1611" s="54"/>
      <c r="AO1611" s="54"/>
      <c r="AP1611" s="54"/>
      <c r="AQ1611" s="54"/>
      <c r="AR1611" s="54"/>
      <c r="AS1611" s="54"/>
      <c r="AT1611" s="54"/>
      <c r="AU1611" s="54"/>
      <c r="AV1611" s="54"/>
      <c r="AW1611" s="54"/>
      <c r="AX1611" s="54"/>
      <c r="AY1611" s="54"/>
      <c r="AZ1611" s="54"/>
      <c r="BA1611" s="54"/>
      <c r="BB1611" s="54"/>
      <c r="BC1611" s="56"/>
      <c r="BD1611" s="51"/>
      <c r="BE1611" s="54"/>
      <c r="BF1611" s="54"/>
      <c r="BG1611" s="47"/>
      <c r="BH1611" s="48"/>
      <c r="BI1611" s="48"/>
      <c r="BJ1611" s="48"/>
      <c r="BK1611" s="48"/>
      <c r="BL1611" s="48"/>
      <c r="BM1611" s="48"/>
      <c r="BN1611" s="48"/>
      <c r="BO1611" s="48"/>
      <c r="BP1611" s="48"/>
      <c r="BQ1611" s="48"/>
      <c r="BR1611" s="48"/>
      <c r="BS1611" s="48"/>
      <c r="BT1611" s="48"/>
      <c r="BU1611" s="48"/>
      <c r="BV1611" s="48"/>
      <c r="BW1611" s="48"/>
      <c r="BX1611" s="48"/>
      <c r="BY1611" s="48"/>
      <c r="BZ1611" s="48"/>
      <c r="CA1611" s="48"/>
      <c r="CB1611" s="48"/>
      <c r="CC1611" s="48"/>
      <c r="CD1611" s="48"/>
      <c r="CE1611" s="48"/>
      <c r="CF1611" s="52"/>
      <c r="CG1611" s="52"/>
      <c r="CH1611" s="48"/>
      <c r="CI1611" s="48"/>
      <c r="CJ1611" s="48"/>
      <c r="CK1611" s="48"/>
    </row>
    <row r="1612" spans="1:89" ht="15.75" customHeight="1" x14ac:dyDescent="0.3">
      <c r="A1612" s="47"/>
      <c r="B1612" s="48"/>
      <c r="C1612" s="47"/>
      <c r="D1612" s="48"/>
      <c r="E1612" s="48"/>
      <c r="F1612" s="48"/>
      <c r="G1612" s="48"/>
      <c r="H1612" s="48"/>
      <c r="I1612" s="49"/>
      <c r="J1612" s="47"/>
      <c r="K1612" s="47"/>
      <c r="L1612" s="47"/>
      <c r="M1612" s="47"/>
      <c r="N1612" s="47"/>
      <c r="O1612" s="47"/>
      <c r="P1612" s="47"/>
      <c r="Q1612" s="47"/>
      <c r="R1612" s="47"/>
      <c r="S1612" s="50"/>
      <c r="T1612" s="47"/>
      <c r="U1612" s="47"/>
      <c r="V1612" s="47"/>
      <c r="W1612" s="51"/>
      <c r="X1612" s="51"/>
      <c r="Y1612" s="47"/>
      <c r="Z1612" s="47"/>
      <c r="AA1612" s="47"/>
      <c r="AB1612" s="47"/>
      <c r="AC1612" s="47"/>
      <c r="AD1612" s="47"/>
      <c r="AE1612" s="54"/>
      <c r="AF1612" s="54"/>
      <c r="AG1612" s="55"/>
      <c r="AH1612" s="54"/>
      <c r="AI1612" s="54"/>
      <c r="AJ1612" s="54"/>
      <c r="AK1612" s="54"/>
      <c r="AL1612" s="54"/>
      <c r="AM1612" s="54"/>
      <c r="AN1612" s="54"/>
      <c r="AO1612" s="54"/>
      <c r="AP1612" s="54"/>
      <c r="AQ1612" s="54"/>
      <c r="AR1612" s="54"/>
      <c r="AS1612" s="54"/>
      <c r="AT1612" s="54"/>
      <c r="AU1612" s="54"/>
      <c r="AV1612" s="54"/>
      <c r="AW1612" s="54"/>
      <c r="AX1612" s="54"/>
      <c r="AY1612" s="54"/>
      <c r="AZ1612" s="54"/>
      <c r="BA1612" s="54"/>
      <c r="BB1612" s="54"/>
      <c r="BC1612" s="56"/>
      <c r="BD1612" s="51"/>
      <c r="BE1612" s="54"/>
      <c r="BF1612" s="54"/>
      <c r="BG1612" s="47"/>
      <c r="BH1612" s="48"/>
      <c r="BI1612" s="48"/>
      <c r="BJ1612" s="48"/>
      <c r="BK1612" s="48"/>
      <c r="BL1612" s="48"/>
      <c r="BM1612" s="48"/>
      <c r="BN1612" s="48"/>
      <c r="BO1612" s="48"/>
      <c r="BP1612" s="48"/>
      <c r="BQ1612" s="48"/>
      <c r="BR1612" s="48"/>
      <c r="BS1612" s="48"/>
      <c r="BT1612" s="48"/>
      <c r="BU1612" s="48"/>
      <c r="BV1612" s="48"/>
      <c r="BW1612" s="48"/>
      <c r="BX1612" s="48"/>
      <c r="BY1612" s="48"/>
      <c r="BZ1612" s="48"/>
      <c r="CA1612" s="48"/>
      <c r="CB1612" s="48"/>
      <c r="CC1612" s="48"/>
      <c r="CD1612" s="48"/>
      <c r="CE1612" s="48"/>
      <c r="CF1612" s="52"/>
      <c r="CG1612" s="52"/>
      <c r="CH1612" s="48"/>
      <c r="CI1612" s="48"/>
      <c r="CJ1612" s="48"/>
      <c r="CK1612" s="48"/>
    </row>
    <row r="1613" spans="1:89" ht="15.75" customHeight="1" x14ac:dyDescent="0.3">
      <c r="A1613" s="47"/>
      <c r="B1613" s="48"/>
      <c r="C1613" s="47"/>
      <c r="D1613" s="48"/>
      <c r="E1613" s="48"/>
      <c r="F1613" s="48"/>
      <c r="G1613" s="48"/>
      <c r="H1613" s="48"/>
      <c r="I1613" s="49"/>
      <c r="J1613" s="47"/>
      <c r="K1613" s="47"/>
      <c r="L1613" s="47"/>
      <c r="M1613" s="47"/>
      <c r="N1613" s="47"/>
      <c r="O1613" s="47"/>
      <c r="P1613" s="47"/>
      <c r="Q1613" s="47"/>
      <c r="R1613" s="47"/>
      <c r="S1613" s="50"/>
      <c r="T1613" s="47"/>
      <c r="U1613" s="47"/>
      <c r="V1613" s="47"/>
      <c r="W1613" s="51"/>
      <c r="X1613" s="51"/>
      <c r="Y1613" s="47"/>
      <c r="Z1613" s="47"/>
      <c r="AA1613" s="47"/>
      <c r="AB1613" s="47"/>
      <c r="AC1613" s="47"/>
      <c r="AD1613" s="47"/>
      <c r="AE1613" s="54"/>
      <c r="AF1613" s="54"/>
      <c r="AG1613" s="55"/>
      <c r="AH1613" s="54"/>
      <c r="AI1613" s="54"/>
      <c r="AJ1613" s="54"/>
      <c r="AK1613" s="54"/>
      <c r="AL1613" s="54"/>
      <c r="AM1613" s="54"/>
      <c r="AN1613" s="54"/>
      <c r="AO1613" s="54"/>
      <c r="AP1613" s="54"/>
      <c r="AQ1613" s="54"/>
      <c r="AR1613" s="54"/>
      <c r="AS1613" s="54"/>
      <c r="AT1613" s="54"/>
      <c r="AU1613" s="54"/>
      <c r="AV1613" s="54"/>
      <c r="AW1613" s="54"/>
      <c r="AX1613" s="54"/>
      <c r="AY1613" s="54"/>
      <c r="AZ1613" s="54"/>
      <c r="BA1613" s="54"/>
      <c r="BB1613" s="54"/>
      <c r="BC1613" s="56"/>
      <c r="BD1613" s="51"/>
      <c r="BE1613" s="54"/>
      <c r="BF1613" s="54"/>
      <c r="BG1613" s="47"/>
      <c r="BH1613" s="48"/>
      <c r="BI1613" s="48"/>
      <c r="BJ1613" s="48"/>
      <c r="BK1613" s="48"/>
      <c r="BL1613" s="48"/>
      <c r="BM1613" s="48"/>
      <c r="BN1613" s="48"/>
      <c r="BO1613" s="48"/>
      <c r="BP1613" s="48"/>
      <c r="BQ1613" s="48"/>
      <c r="BR1613" s="48"/>
      <c r="BS1613" s="48"/>
      <c r="BT1613" s="48"/>
      <c r="BU1613" s="48"/>
      <c r="BV1613" s="48"/>
      <c r="BW1613" s="48"/>
      <c r="BX1613" s="48"/>
      <c r="BY1613" s="48"/>
      <c r="BZ1613" s="48"/>
      <c r="CA1613" s="48"/>
      <c r="CB1613" s="48"/>
      <c r="CC1613" s="48"/>
      <c r="CD1613" s="48"/>
      <c r="CE1613" s="48"/>
      <c r="CF1613" s="52"/>
      <c r="CG1613" s="52"/>
      <c r="CH1613" s="48"/>
      <c r="CI1613" s="48"/>
      <c r="CJ1613" s="48"/>
      <c r="CK1613" s="48"/>
    </row>
    <row r="1614" spans="1:89" ht="15.75" customHeight="1" x14ac:dyDescent="0.3">
      <c r="A1614" s="47"/>
      <c r="B1614" s="48"/>
      <c r="C1614" s="47"/>
      <c r="D1614" s="48"/>
      <c r="E1614" s="48"/>
      <c r="F1614" s="48"/>
      <c r="G1614" s="48"/>
      <c r="H1614" s="48"/>
      <c r="I1614" s="49"/>
      <c r="J1614" s="47"/>
      <c r="K1614" s="47"/>
      <c r="L1614" s="47"/>
      <c r="M1614" s="47"/>
      <c r="N1614" s="47"/>
      <c r="O1614" s="47"/>
      <c r="P1614" s="47"/>
      <c r="Q1614" s="47"/>
      <c r="R1614" s="47"/>
      <c r="S1614" s="50"/>
      <c r="T1614" s="47"/>
      <c r="U1614" s="47"/>
      <c r="V1614" s="47"/>
      <c r="W1614" s="51"/>
      <c r="X1614" s="51"/>
      <c r="Y1614" s="47"/>
      <c r="Z1614" s="47"/>
      <c r="AA1614" s="47"/>
      <c r="AB1614" s="47"/>
      <c r="AC1614" s="47"/>
      <c r="AD1614" s="47"/>
      <c r="AE1614" s="54"/>
      <c r="AF1614" s="54"/>
      <c r="AG1614" s="55"/>
      <c r="AH1614" s="54"/>
      <c r="AI1614" s="54"/>
      <c r="AJ1614" s="54"/>
      <c r="AK1614" s="54"/>
      <c r="AL1614" s="54"/>
      <c r="AM1614" s="54"/>
      <c r="AN1614" s="54"/>
      <c r="AO1614" s="54"/>
      <c r="AP1614" s="54"/>
      <c r="AQ1614" s="54"/>
      <c r="AR1614" s="54"/>
      <c r="AS1614" s="54"/>
      <c r="AT1614" s="54"/>
      <c r="AU1614" s="54"/>
      <c r="AV1614" s="54"/>
      <c r="AW1614" s="54"/>
      <c r="AX1614" s="54"/>
      <c r="AY1614" s="54"/>
      <c r="AZ1614" s="54"/>
      <c r="BA1614" s="54"/>
      <c r="BB1614" s="54"/>
      <c r="BC1614" s="56"/>
      <c r="BD1614" s="51"/>
      <c r="BE1614" s="54"/>
      <c r="BF1614" s="54"/>
      <c r="BG1614" s="47"/>
      <c r="BH1614" s="48"/>
      <c r="BI1614" s="48"/>
      <c r="BJ1614" s="48"/>
      <c r="BK1614" s="48"/>
      <c r="BL1614" s="48"/>
      <c r="BM1614" s="48"/>
      <c r="BN1614" s="48"/>
      <c r="BO1614" s="48"/>
      <c r="BP1614" s="48"/>
      <c r="BQ1614" s="48"/>
      <c r="BR1614" s="48"/>
      <c r="BS1614" s="48"/>
      <c r="BT1614" s="48"/>
      <c r="BU1614" s="48"/>
      <c r="BV1614" s="48"/>
      <c r="BW1614" s="48"/>
      <c r="BX1614" s="48"/>
      <c r="BY1614" s="48"/>
      <c r="BZ1614" s="48"/>
      <c r="CA1614" s="48"/>
      <c r="CB1614" s="48"/>
      <c r="CC1614" s="48"/>
      <c r="CD1614" s="48"/>
      <c r="CE1614" s="48"/>
      <c r="CF1614" s="52"/>
      <c r="CG1614" s="52"/>
      <c r="CH1614" s="48"/>
      <c r="CI1614" s="48"/>
      <c r="CJ1614" s="48"/>
      <c r="CK1614" s="48"/>
    </row>
    <row r="1615" spans="1:89" ht="15.75" customHeight="1" x14ac:dyDescent="0.3">
      <c r="A1615" s="47"/>
      <c r="B1615" s="48"/>
      <c r="C1615" s="47"/>
      <c r="D1615" s="48"/>
      <c r="E1615" s="48"/>
      <c r="F1615" s="48"/>
      <c r="G1615" s="48"/>
      <c r="H1615" s="48"/>
      <c r="I1615" s="49"/>
      <c r="J1615" s="47"/>
      <c r="K1615" s="47"/>
      <c r="L1615" s="47"/>
      <c r="M1615" s="47"/>
      <c r="N1615" s="47"/>
      <c r="O1615" s="47"/>
      <c r="P1615" s="47"/>
      <c r="Q1615" s="47"/>
      <c r="R1615" s="47"/>
      <c r="S1615" s="50"/>
      <c r="T1615" s="47"/>
      <c r="U1615" s="47"/>
      <c r="V1615" s="47"/>
      <c r="W1615" s="51"/>
      <c r="X1615" s="51"/>
      <c r="Y1615" s="47"/>
      <c r="Z1615" s="47"/>
      <c r="AA1615" s="47"/>
      <c r="AB1615" s="47"/>
      <c r="AC1615" s="47"/>
      <c r="AD1615" s="47"/>
      <c r="AE1615" s="54"/>
      <c r="AF1615" s="54"/>
      <c r="AG1615" s="55"/>
      <c r="AH1615" s="54"/>
      <c r="AI1615" s="54"/>
      <c r="AJ1615" s="54"/>
      <c r="AK1615" s="54"/>
      <c r="AL1615" s="54"/>
      <c r="AM1615" s="54"/>
      <c r="AN1615" s="54"/>
      <c r="AO1615" s="54"/>
      <c r="AP1615" s="54"/>
      <c r="AQ1615" s="54"/>
      <c r="AR1615" s="54"/>
      <c r="AS1615" s="54"/>
      <c r="AT1615" s="54"/>
      <c r="AU1615" s="54"/>
      <c r="AV1615" s="54"/>
      <c r="AW1615" s="54"/>
      <c r="AX1615" s="54"/>
      <c r="AY1615" s="54"/>
      <c r="AZ1615" s="54"/>
      <c r="BA1615" s="54"/>
      <c r="BB1615" s="54"/>
      <c r="BC1615" s="56"/>
      <c r="BD1615" s="51"/>
      <c r="BE1615" s="54"/>
      <c r="BF1615" s="54"/>
      <c r="BG1615" s="47"/>
      <c r="BH1615" s="48"/>
      <c r="BI1615" s="48"/>
      <c r="BJ1615" s="48"/>
      <c r="BK1615" s="48"/>
      <c r="BL1615" s="48"/>
      <c r="BM1615" s="48"/>
      <c r="BN1615" s="48"/>
      <c r="BO1615" s="48"/>
      <c r="BP1615" s="48"/>
      <c r="BQ1615" s="48"/>
      <c r="BR1615" s="48"/>
      <c r="BS1615" s="48"/>
      <c r="BT1615" s="48"/>
      <c r="BU1615" s="48"/>
      <c r="BV1615" s="48"/>
      <c r="BW1615" s="48"/>
      <c r="BX1615" s="48"/>
      <c r="BY1615" s="48"/>
      <c r="BZ1615" s="48"/>
      <c r="CA1615" s="48"/>
      <c r="CB1615" s="48"/>
      <c r="CC1615" s="48"/>
      <c r="CD1615" s="48"/>
      <c r="CE1615" s="48"/>
      <c r="CF1615" s="52"/>
      <c r="CG1615" s="52"/>
      <c r="CH1615" s="48"/>
      <c r="CI1615" s="48"/>
      <c r="CJ1615" s="48"/>
      <c r="CK1615" s="48"/>
    </row>
    <row r="1616" spans="1:89" ht="15.75" customHeight="1" x14ac:dyDescent="0.3">
      <c r="A1616" s="47"/>
      <c r="B1616" s="48"/>
      <c r="C1616" s="47"/>
      <c r="D1616" s="48"/>
      <c r="E1616" s="48"/>
      <c r="F1616" s="48"/>
      <c r="G1616" s="48"/>
      <c r="H1616" s="48"/>
      <c r="I1616" s="49"/>
      <c r="J1616" s="47"/>
      <c r="K1616" s="47"/>
      <c r="L1616" s="47"/>
      <c r="M1616" s="47"/>
      <c r="N1616" s="47"/>
      <c r="O1616" s="47"/>
      <c r="P1616" s="47"/>
      <c r="Q1616" s="47"/>
      <c r="R1616" s="47"/>
      <c r="S1616" s="50"/>
      <c r="T1616" s="47"/>
      <c r="U1616" s="47"/>
      <c r="V1616" s="47"/>
      <c r="W1616" s="51"/>
      <c r="X1616" s="51"/>
      <c r="Y1616" s="47"/>
      <c r="Z1616" s="47"/>
      <c r="AA1616" s="47"/>
      <c r="AB1616" s="47"/>
      <c r="AC1616" s="47"/>
      <c r="AD1616" s="47"/>
      <c r="AE1616" s="54"/>
      <c r="AF1616" s="54"/>
      <c r="AG1616" s="55"/>
      <c r="AH1616" s="54"/>
      <c r="AI1616" s="54"/>
      <c r="AJ1616" s="54"/>
      <c r="AK1616" s="54"/>
      <c r="AL1616" s="54"/>
      <c r="AM1616" s="54"/>
      <c r="AN1616" s="54"/>
      <c r="AO1616" s="54"/>
      <c r="AP1616" s="54"/>
      <c r="AQ1616" s="54"/>
      <c r="AR1616" s="54"/>
      <c r="AS1616" s="54"/>
      <c r="AT1616" s="54"/>
      <c r="AU1616" s="54"/>
      <c r="AV1616" s="54"/>
      <c r="AW1616" s="54"/>
      <c r="AX1616" s="54"/>
      <c r="AY1616" s="54"/>
      <c r="AZ1616" s="54"/>
      <c r="BA1616" s="54"/>
      <c r="BB1616" s="54"/>
      <c r="BC1616" s="56"/>
      <c r="BD1616" s="51"/>
      <c r="BE1616" s="54"/>
      <c r="BF1616" s="54"/>
      <c r="BG1616" s="47"/>
      <c r="BH1616" s="48"/>
      <c r="BI1616" s="48"/>
      <c r="BJ1616" s="48"/>
      <c r="BK1616" s="48"/>
      <c r="BL1616" s="48"/>
      <c r="BM1616" s="48"/>
      <c r="BN1616" s="48"/>
      <c r="BO1616" s="48"/>
      <c r="BP1616" s="48"/>
      <c r="BQ1616" s="48"/>
      <c r="BR1616" s="48"/>
      <c r="BS1616" s="48"/>
      <c r="BT1616" s="48"/>
      <c r="BU1616" s="48"/>
      <c r="BV1616" s="48"/>
      <c r="BW1616" s="48"/>
      <c r="BX1616" s="48"/>
      <c r="BY1616" s="48"/>
      <c r="BZ1616" s="48"/>
      <c r="CA1616" s="48"/>
      <c r="CB1616" s="48"/>
      <c r="CC1616" s="48"/>
      <c r="CD1616" s="48"/>
      <c r="CE1616" s="48"/>
      <c r="CF1616" s="52"/>
      <c r="CG1616" s="52"/>
      <c r="CH1616" s="48"/>
      <c r="CI1616" s="48"/>
      <c r="CJ1616" s="48"/>
      <c r="CK1616" s="48"/>
    </row>
    <row r="1617" spans="1:89" ht="15.75" customHeight="1" x14ac:dyDescent="0.3">
      <c r="A1617" s="47"/>
      <c r="B1617" s="48"/>
      <c r="C1617" s="47"/>
      <c r="D1617" s="48"/>
      <c r="E1617" s="48"/>
      <c r="F1617" s="48"/>
      <c r="G1617" s="48"/>
      <c r="H1617" s="48"/>
      <c r="I1617" s="49"/>
      <c r="J1617" s="47"/>
      <c r="K1617" s="47"/>
      <c r="L1617" s="47"/>
      <c r="M1617" s="47"/>
      <c r="N1617" s="47"/>
      <c r="O1617" s="47"/>
      <c r="P1617" s="47"/>
      <c r="Q1617" s="47"/>
      <c r="R1617" s="47"/>
      <c r="S1617" s="50"/>
      <c r="T1617" s="47"/>
      <c r="U1617" s="47"/>
      <c r="V1617" s="47"/>
      <c r="W1617" s="51"/>
      <c r="X1617" s="51"/>
      <c r="Y1617" s="47"/>
      <c r="Z1617" s="47"/>
      <c r="AA1617" s="47"/>
      <c r="AB1617" s="47"/>
      <c r="AC1617" s="47"/>
      <c r="AD1617" s="47"/>
      <c r="AE1617" s="54"/>
      <c r="AF1617" s="54"/>
      <c r="AG1617" s="55"/>
      <c r="AH1617" s="54"/>
      <c r="AI1617" s="54"/>
      <c r="AJ1617" s="54"/>
      <c r="AK1617" s="54"/>
      <c r="AL1617" s="54"/>
      <c r="AM1617" s="54"/>
      <c r="AN1617" s="54"/>
      <c r="AO1617" s="54"/>
      <c r="AP1617" s="54"/>
      <c r="AQ1617" s="54"/>
      <c r="AR1617" s="54"/>
      <c r="AS1617" s="54"/>
      <c r="AT1617" s="54"/>
      <c r="AU1617" s="54"/>
      <c r="AV1617" s="54"/>
      <c r="AW1617" s="54"/>
      <c r="AX1617" s="54"/>
      <c r="AY1617" s="54"/>
      <c r="AZ1617" s="54"/>
      <c r="BA1617" s="54"/>
      <c r="BB1617" s="54"/>
      <c r="BC1617" s="56"/>
      <c r="BD1617" s="51"/>
      <c r="BE1617" s="54"/>
      <c r="BF1617" s="54"/>
      <c r="BG1617" s="47"/>
      <c r="BH1617" s="48"/>
      <c r="BI1617" s="48"/>
      <c r="BJ1617" s="48"/>
      <c r="BK1617" s="48"/>
      <c r="BL1617" s="48"/>
      <c r="BM1617" s="48"/>
      <c r="BN1617" s="48"/>
      <c r="BO1617" s="48"/>
      <c r="BP1617" s="48"/>
      <c r="BQ1617" s="48"/>
      <c r="BR1617" s="48"/>
      <c r="BS1617" s="48"/>
      <c r="BT1617" s="48"/>
      <c r="BU1617" s="48"/>
      <c r="BV1617" s="48"/>
      <c r="BW1617" s="48"/>
      <c r="BX1617" s="48"/>
      <c r="BY1617" s="48"/>
      <c r="BZ1617" s="48"/>
      <c r="CA1617" s="48"/>
      <c r="CB1617" s="48"/>
      <c r="CC1617" s="48"/>
      <c r="CD1617" s="48"/>
      <c r="CE1617" s="48"/>
      <c r="CF1617" s="52"/>
      <c r="CG1617" s="52"/>
      <c r="CH1617" s="48"/>
      <c r="CI1617" s="48"/>
      <c r="CJ1617" s="48"/>
      <c r="CK1617" s="48"/>
    </row>
    <row r="1618" spans="1:89" ht="15.75" customHeight="1" x14ac:dyDescent="0.3">
      <c r="A1618" s="47"/>
      <c r="B1618" s="48"/>
      <c r="C1618" s="47"/>
      <c r="D1618" s="48"/>
      <c r="E1618" s="48"/>
      <c r="F1618" s="48"/>
      <c r="G1618" s="48"/>
      <c r="H1618" s="48"/>
      <c r="I1618" s="49"/>
      <c r="J1618" s="47"/>
      <c r="K1618" s="47"/>
      <c r="L1618" s="47"/>
      <c r="M1618" s="47"/>
      <c r="N1618" s="47"/>
      <c r="O1618" s="47"/>
      <c r="P1618" s="47"/>
      <c r="Q1618" s="47"/>
      <c r="R1618" s="47"/>
      <c r="S1618" s="50"/>
      <c r="T1618" s="47"/>
      <c r="U1618" s="47"/>
      <c r="V1618" s="47"/>
      <c r="W1618" s="51"/>
      <c r="X1618" s="51"/>
      <c r="Y1618" s="47"/>
      <c r="Z1618" s="47"/>
      <c r="AA1618" s="47"/>
      <c r="AB1618" s="47"/>
      <c r="AC1618" s="47"/>
      <c r="AD1618" s="47"/>
      <c r="AE1618" s="54"/>
      <c r="AF1618" s="54"/>
      <c r="AG1618" s="55"/>
      <c r="AH1618" s="54"/>
      <c r="AI1618" s="54"/>
      <c r="AJ1618" s="54"/>
      <c r="AK1618" s="54"/>
      <c r="AL1618" s="54"/>
      <c r="AM1618" s="54"/>
      <c r="AN1618" s="54"/>
      <c r="AO1618" s="54"/>
      <c r="AP1618" s="54"/>
      <c r="AQ1618" s="54"/>
      <c r="AR1618" s="54"/>
      <c r="AS1618" s="54"/>
      <c r="AT1618" s="54"/>
      <c r="AU1618" s="54"/>
      <c r="AV1618" s="54"/>
      <c r="AW1618" s="54"/>
      <c r="AX1618" s="54"/>
      <c r="AY1618" s="54"/>
      <c r="AZ1618" s="54"/>
      <c r="BA1618" s="54"/>
      <c r="BB1618" s="54"/>
      <c r="BC1618" s="56"/>
      <c r="BD1618" s="51"/>
      <c r="BE1618" s="54"/>
      <c r="BF1618" s="54"/>
      <c r="BG1618" s="47"/>
      <c r="BH1618" s="48"/>
      <c r="BI1618" s="48"/>
      <c r="BJ1618" s="48"/>
      <c r="BK1618" s="48"/>
      <c r="BL1618" s="48"/>
      <c r="BM1618" s="48"/>
      <c r="BN1618" s="48"/>
      <c r="BO1618" s="48"/>
      <c r="BP1618" s="48"/>
      <c r="BQ1618" s="48"/>
      <c r="BR1618" s="48"/>
      <c r="BS1618" s="48"/>
      <c r="BT1618" s="48"/>
      <c r="BU1618" s="48"/>
      <c r="BV1618" s="48"/>
      <c r="BW1618" s="48"/>
      <c r="BX1618" s="48"/>
      <c r="BY1618" s="48"/>
      <c r="BZ1618" s="48"/>
      <c r="CA1618" s="48"/>
      <c r="CB1618" s="48"/>
      <c r="CC1618" s="48"/>
      <c r="CD1618" s="48"/>
      <c r="CE1618" s="48"/>
      <c r="CF1618" s="52"/>
      <c r="CG1618" s="52"/>
      <c r="CH1618" s="48"/>
      <c r="CI1618" s="48"/>
      <c r="CJ1618" s="48"/>
      <c r="CK1618" s="48"/>
    </row>
    <row r="1619" spans="1:89" ht="15.75" customHeight="1" x14ac:dyDescent="0.3">
      <c r="A1619" s="47"/>
      <c r="B1619" s="48"/>
      <c r="C1619" s="47"/>
      <c r="D1619" s="48"/>
      <c r="E1619" s="48"/>
      <c r="F1619" s="48"/>
      <c r="G1619" s="48"/>
      <c r="H1619" s="48"/>
      <c r="I1619" s="49"/>
      <c r="J1619" s="47"/>
      <c r="K1619" s="47"/>
      <c r="L1619" s="47"/>
      <c r="M1619" s="47"/>
      <c r="N1619" s="47"/>
      <c r="O1619" s="47"/>
      <c r="P1619" s="47"/>
      <c r="Q1619" s="47"/>
      <c r="R1619" s="47"/>
      <c r="S1619" s="50"/>
      <c r="T1619" s="47"/>
      <c r="U1619" s="47"/>
      <c r="V1619" s="47"/>
      <c r="W1619" s="51"/>
      <c r="X1619" s="51"/>
      <c r="Y1619" s="47"/>
      <c r="Z1619" s="47"/>
      <c r="AA1619" s="47"/>
      <c r="AB1619" s="47"/>
      <c r="AC1619" s="47"/>
      <c r="AD1619" s="47"/>
      <c r="AE1619" s="54"/>
      <c r="AF1619" s="54"/>
      <c r="AG1619" s="55"/>
      <c r="AH1619" s="54"/>
      <c r="AI1619" s="54"/>
      <c r="AJ1619" s="54"/>
      <c r="AK1619" s="54"/>
      <c r="AL1619" s="54"/>
      <c r="AM1619" s="54"/>
      <c r="AN1619" s="54"/>
      <c r="AO1619" s="54"/>
      <c r="AP1619" s="54"/>
      <c r="AQ1619" s="54"/>
      <c r="AR1619" s="54"/>
      <c r="AS1619" s="54"/>
      <c r="AT1619" s="54"/>
      <c r="AU1619" s="54"/>
      <c r="AV1619" s="54"/>
      <c r="AW1619" s="54"/>
      <c r="AX1619" s="54"/>
      <c r="AY1619" s="54"/>
      <c r="AZ1619" s="54"/>
      <c r="BA1619" s="54"/>
      <c r="BB1619" s="54"/>
      <c r="BC1619" s="56"/>
      <c r="BD1619" s="51"/>
      <c r="BE1619" s="54"/>
      <c r="BF1619" s="54"/>
      <c r="BG1619" s="47"/>
      <c r="BH1619" s="48"/>
      <c r="BI1619" s="48"/>
      <c r="BJ1619" s="48"/>
      <c r="BK1619" s="48"/>
      <c r="BL1619" s="48"/>
      <c r="BM1619" s="48"/>
      <c r="BN1619" s="48"/>
      <c r="BO1619" s="48"/>
      <c r="BP1619" s="48"/>
      <c r="BQ1619" s="48"/>
      <c r="BR1619" s="48"/>
      <c r="BS1619" s="48"/>
      <c r="BT1619" s="48"/>
      <c r="BU1619" s="48"/>
      <c r="BV1619" s="48"/>
      <c r="BW1619" s="48"/>
      <c r="BX1619" s="48"/>
      <c r="BY1619" s="48"/>
      <c r="BZ1619" s="48"/>
      <c r="CA1619" s="48"/>
      <c r="CB1619" s="48"/>
      <c r="CC1619" s="48"/>
      <c r="CD1619" s="48"/>
      <c r="CE1619" s="48"/>
      <c r="CF1619" s="52"/>
      <c r="CG1619" s="52"/>
      <c r="CH1619" s="48"/>
      <c r="CI1619" s="48"/>
      <c r="CJ1619" s="48"/>
      <c r="CK1619" s="48"/>
    </row>
    <row r="1620" spans="1:89" ht="15.75" customHeight="1" x14ac:dyDescent="0.3">
      <c r="A1620" s="47"/>
      <c r="B1620" s="48"/>
      <c r="C1620" s="47"/>
      <c r="D1620" s="48"/>
      <c r="E1620" s="48"/>
      <c r="F1620" s="48"/>
      <c r="G1620" s="48"/>
      <c r="H1620" s="48"/>
      <c r="I1620" s="49"/>
      <c r="J1620" s="47"/>
      <c r="K1620" s="47"/>
      <c r="L1620" s="47"/>
      <c r="M1620" s="47"/>
      <c r="N1620" s="47"/>
      <c r="O1620" s="47"/>
      <c r="P1620" s="47"/>
      <c r="Q1620" s="47"/>
      <c r="R1620" s="47"/>
      <c r="S1620" s="50"/>
      <c r="T1620" s="47"/>
      <c r="U1620" s="47"/>
      <c r="V1620" s="47"/>
      <c r="W1620" s="51"/>
      <c r="X1620" s="51"/>
      <c r="Y1620" s="47"/>
      <c r="Z1620" s="47"/>
      <c r="AA1620" s="47"/>
      <c r="AB1620" s="47"/>
      <c r="AC1620" s="47"/>
      <c r="AD1620" s="47"/>
      <c r="AE1620" s="54"/>
      <c r="AF1620" s="54"/>
      <c r="AG1620" s="55"/>
      <c r="AH1620" s="54"/>
      <c r="AI1620" s="54"/>
      <c r="AJ1620" s="54"/>
      <c r="AK1620" s="54"/>
      <c r="AL1620" s="54"/>
      <c r="AM1620" s="54"/>
      <c r="AN1620" s="54"/>
      <c r="AO1620" s="54"/>
      <c r="AP1620" s="54"/>
      <c r="AQ1620" s="54"/>
      <c r="AR1620" s="54"/>
      <c r="AS1620" s="54"/>
      <c r="AT1620" s="54"/>
      <c r="AU1620" s="54"/>
      <c r="AV1620" s="54"/>
      <c r="AW1620" s="54"/>
      <c r="AX1620" s="54"/>
      <c r="AY1620" s="54"/>
      <c r="AZ1620" s="54"/>
      <c r="BA1620" s="54"/>
      <c r="BB1620" s="54"/>
      <c r="BC1620" s="56"/>
      <c r="BD1620" s="51"/>
      <c r="BE1620" s="54"/>
      <c r="BF1620" s="54"/>
      <c r="BG1620" s="47"/>
      <c r="BH1620" s="48"/>
      <c r="BI1620" s="48"/>
      <c r="BJ1620" s="48"/>
      <c r="BK1620" s="48"/>
      <c r="BL1620" s="48"/>
      <c r="BM1620" s="48"/>
      <c r="BN1620" s="48"/>
      <c r="BO1620" s="48"/>
      <c r="BP1620" s="48"/>
      <c r="BQ1620" s="48"/>
      <c r="BR1620" s="48"/>
      <c r="BS1620" s="48"/>
      <c r="BT1620" s="48"/>
      <c r="BU1620" s="48"/>
      <c r="BV1620" s="48"/>
      <c r="BW1620" s="48"/>
      <c r="BX1620" s="48"/>
      <c r="BY1620" s="48"/>
      <c r="BZ1620" s="48"/>
      <c r="CA1620" s="48"/>
      <c r="CB1620" s="48"/>
      <c r="CC1620" s="48"/>
      <c r="CD1620" s="48"/>
      <c r="CE1620" s="48"/>
      <c r="CF1620" s="52"/>
      <c r="CG1620" s="52"/>
      <c r="CH1620" s="48"/>
      <c r="CI1620" s="48"/>
      <c r="CJ1620" s="48"/>
      <c r="CK1620" s="48"/>
    </row>
    <row r="1621" spans="1:89" ht="15.75" customHeight="1" x14ac:dyDescent="0.3">
      <c r="A1621" s="47"/>
      <c r="B1621" s="48"/>
      <c r="C1621" s="47"/>
      <c r="D1621" s="48"/>
      <c r="E1621" s="48"/>
      <c r="F1621" s="48"/>
      <c r="G1621" s="48"/>
      <c r="H1621" s="48"/>
      <c r="I1621" s="49"/>
      <c r="J1621" s="47"/>
      <c r="K1621" s="47"/>
      <c r="L1621" s="47"/>
      <c r="M1621" s="47"/>
      <c r="N1621" s="47"/>
      <c r="O1621" s="47"/>
      <c r="P1621" s="47"/>
      <c r="Q1621" s="47"/>
      <c r="R1621" s="47"/>
      <c r="S1621" s="50"/>
      <c r="T1621" s="47"/>
      <c r="U1621" s="47"/>
      <c r="V1621" s="47"/>
      <c r="W1621" s="51"/>
      <c r="X1621" s="51"/>
      <c r="Y1621" s="47"/>
      <c r="Z1621" s="47"/>
      <c r="AA1621" s="47"/>
      <c r="AB1621" s="47"/>
      <c r="AC1621" s="47"/>
      <c r="AD1621" s="47"/>
      <c r="AE1621" s="54"/>
      <c r="AF1621" s="54"/>
      <c r="AG1621" s="55"/>
      <c r="AH1621" s="54"/>
      <c r="AI1621" s="54"/>
      <c r="AJ1621" s="54"/>
      <c r="AK1621" s="54"/>
      <c r="AL1621" s="54"/>
      <c r="AM1621" s="54"/>
      <c r="AN1621" s="54"/>
      <c r="AO1621" s="54"/>
      <c r="AP1621" s="54"/>
      <c r="AQ1621" s="54"/>
      <c r="AR1621" s="54"/>
      <c r="AS1621" s="54"/>
      <c r="AT1621" s="54"/>
      <c r="AU1621" s="54"/>
      <c r="AV1621" s="54"/>
      <c r="AW1621" s="54"/>
      <c r="AX1621" s="54"/>
      <c r="AY1621" s="54"/>
      <c r="AZ1621" s="54"/>
      <c r="BA1621" s="54"/>
      <c r="BB1621" s="54"/>
      <c r="BC1621" s="56"/>
      <c r="BD1621" s="51"/>
      <c r="BE1621" s="54"/>
      <c r="BF1621" s="54"/>
      <c r="BG1621" s="47"/>
      <c r="BH1621" s="48"/>
      <c r="BI1621" s="48"/>
      <c r="BJ1621" s="48"/>
      <c r="BK1621" s="48"/>
      <c r="BL1621" s="48"/>
      <c r="BM1621" s="48"/>
      <c r="BN1621" s="48"/>
      <c r="BO1621" s="48"/>
      <c r="BP1621" s="48"/>
      <c r="BQ1621" s="48"/>
      <c r="BR1621" s="48"/>
      <c r="BS1621" s="48"/>
      <c r="BT1621" s="48"/>
      <c r="BU1621" s="48"/>
      <c r="BV1621" s="48"/>
      <c r="BW1621" s="48"/>
      <c r="BX1621" s="48"/>
      <c r="BY1621" s="48"/>
      <c r="BZ1621" s="48"/>
      <c r="CA1621" s="48"/>
      <c r="CB1621" s="48"/>
      <c r="CC1621" s="48"/>
      <c r="CD1621" s="48"/>
      <c r="CE1621" s="48"/>
      <c r="CF1621" s="52"/>
      <c r="CG1621" s="52"/>
      <c r="CH1621" s="48"/>
      <c r="CI1621" s="48"/>
      <c r="CJ1621" s="48"/>
      <c r="CK1621" s="48"/>
    </row>
    <row r="1622" spans="1:89" ht="15.75" customHeight="1" x14ac:dyDescent="0.3">
      <c r="A1622" s="47"/>
      <c r="B1622" s="48"/>
      <c r="C1622" s="47"/>
      <c r="D1622" s="48"/>
      <c r="E1622" s="48"/>
      <c r="F1622" s="48"/>
      <c r="G1622" s="48"/>
      <c r="H1622" s="48"/>
      <c r="I1622" s="49"/>
      <c r="J1622" s="47"/>
      <c r="K1622" s="47"/>
      <c r="L1622" s="47"/>
      <c r="M1622" s="47"/>
      <c r="N1622" s="47"/>
      <c r="O1622" s="47"/>
      <c r="P1622" s="47"/>
      <c r="Q1622" s="47"/>
      <c r="R1622" s="47"/>
      <c r="S1622" s="50"/>
      <c r="T1622" s="47"/>
      <c r="U1622" s="47"/>
      <c r="V1622" s="47"/>
      <c r="W1622" s="51"/>
      <c r="X1622" s="51"/>
      <c r="Y1622" s="47"/>
      <c r="Z1622" s="47"/>
      <c r="AA1622" s="47"/>
      <c r="AB1622" s="47"/>
      <c r="AC1622" s="47"/>
      <c r="AD1622" s="47"/>
      <c r="AE1622" s="54"/>
      <c r="AF1622" s="54"/>
      <c r="AG1622" s="55"/>
      <c r="AH1622" s="54"/>
      <c r="AI1622" s="54"/>
      <c r="AJ1622" s="54"/>
      <c r="AK1622" s="54"/>
      <c r="AL1622" s="54"/>
      <c r="AM1622" s="54"/>
      <c r="AN1622" s="54"/>
      <c r="AO1622" s="54"/>
      <c r="AP1622" s="54"/>
      <c r="AQ1622" s="54"/>
      <c r="AR1622" s="54"/>
      <c r="AS1622" s="54"/>
      <c r="AT1622" s="54"/>
      <c r="AU1622" s="54"/>
      <c r="AV1622" s="54"/>
      <c r="AW1622" s="54"/>
      <c r="AX1622" s="54"/>
      <c r="AY1622" s="54"/>
      <c r="AZ1622" s="54"/>
      <c r="BA1622" s="54"/>
      <c r="BB1622" s="54"/>
      <c r="BC1622" s="56"/>
      <c r="BD1622" s="51"/>
      <c r="BE1622" s="54"/>
      <c r="BF1622" s="54"/>
      <c r="BG1622" s="47"/>
      <c r="BH1622" s="48"/>
      <c r="BI1622" s="48"/>
      <c r="BJ1622" s="48"/>
      <c r="BK1622" s="48"/>
      <c r="BL1622" s="48"/>
      <c r="BM1622" s="48"/>
      <c r="BN1622" s="48"/>
      <c r="BO1622" s="48"/>
      <c r="BP1622" s="48"/>
      <c r="BQ1622" s="48"/>
      <c r="BR1622" s="48"/>
      <c r="BS1622" s="48"/>
      <c r="BT1622" s="48"/>
      <c r="BU1622" s="48"/>
      <c r="BV1622" s="48"/>
      <c r="BW1622" s="48"/>
      <c r="BX1622" s="48"/>
      <c r="BY1622" s="48"/>
      <c r="BZ1622" s="48"/>
      <c r="CA1622" s="48"/>
      <c r="CB1622" s="48"/>
      <c r="CC1622" s="48"/>
      <c r="CD1622" s="48"/>
      <c r="CE1622" s="48"/>
      <c r="CF1622" s="52"/>
      <c r="CG1622" s="52"/>
      <c r="CH1622" s="48"/>
      <c r="CI1622" s="48"/>
      <c r="CJ1622" s="48"/>
      <c r="CK1622" s="48"/>
    </row>
    <row r="1623" spans="1:89" ht="15.75" customHeight="1" x14ac:dyDescent="0.3">
      <c r="A1623" s="47"/>
      <c r="B1623" s="48"/>
      <c r="C1623" s="47"/>
      <c r="D1623" s="48"/>
      <c r="E1623" s="48"/>
      <c r="F1623" s="48"/>
      <c r="G1623" s="48"/>
      <c r="H1623" s="48"/>
      <c r="I1623" s="49"/>
      <c r="J1623" s="47"/>
      <c r="K1623" s="47"/>
      <c r="L1623" s="47"/>
      <c r="M1623" s="47"/>
      <c r="N1623" s="47"/>
      <c r="O1623" s="47"/>
      <c r="P1623" s="47"/>
      <c r="Q1623" s="47"/>
      <c r="R1623" s="47"/>
      <c r="S1623" s="50"/>
      <c r="T1623" s="47"/>
      <c r="U1623" s="47"/>
      <c r="V1623" s="47"/>
      <c r="W1623" s="51"/>
      <c r="X1623" s="51"/>
      <c r="Y1623" s="47"/>
      <c r="Z1623" s="47"/>
      <c r="AA1623" s="47"/>
      <c r="AB1623" s="47"/>
      <c r="AC1623" s="47"/>
      <c r="AD1623" s="47"/>
      <c r="AE1623" s="54"/>
      <c r="AF1623" s="54"/>
      <c r="AG1623" s="55"/>
      <c r="AH1623" s="54"/>
      <c r="AI1623" s="54"/>
      <c r="AJ1623" s="54"/>
      <c r="AK1623" s="54"/>
      <c r="AL1623" s="54"/>
      <c r="AM1623" s="54"/>
      <c r="AN1623" s="54"/>
      <c r="AO1623" s="54"/>
      <c r="AP1623" s="54"/>
      <c r="AQ1623" s="54"/>
      <c r="AR1623" s="54"/>
      <c r="AS1623" s="54"/>
      <c r="AT1623" s="54"/>
      <c r="AU1623" s="54"/>
      <c r="AV1623" s="54"/>
      <c r="AW1623" s="54"/>
      <c r="AX1623" s="54"/>
      <c r="AY1623" s="54"/>
      <c r="AZ1623" s="54"/>
      <c r="BA1623" s="54"/>
      <c r="BB1623" s="54"/>
      <c r="BC1623" s="56"/>
      <c r="BD1623" s="51"/>
      <c r="BE1623" s="54"/>
      <c r="BF1623" s="54"/>
      <c r="BG1623" s="47"/>
      <c r="BH1623" s="48"/>
      <c r="BI1623" s="48"/>
      <c r="BJ1623" s="48"/>
      <c r="BK1623" s="48"/>
      <c r="BL1623" s="48"/>
      <c r="BM1623" s="48"/>
      <c r="BN1623" s="48"/>
      <c r="BO1623" s="48"/>
      <c r="BP1623" s="48"/>
      <c r="BQ1623" s="48"/>
      <c r="BR1623" s="48"/>
      <c r="BS1623" s="48"/>
      <c r="BT1623" s="48"/>
      <c r="BU1623" s="48"/>
      <c r="BV1623" s="48"/>
      <c r="BW1623" s="48"/>
      <c r="BX1623" s="48"/>
      <c r="BY1623" s="48"/>
      <c r="BZ1623" s="48"/>
      <c r="CA1623" s="48"/>
      <c r="CB1623" s="48"/>
      <c r="CC1623" s="48"/>
      <c r="CD1623" s="48"/>
      <c r="CE1623" s="48"/>
      <c r="CF1623" s="52"/>
      <c r="CG1623" s="52"/>
      <c r="CH1623" s="48"/>
      <c r="CI1623" s="48"/>
      <c r="CJ1623" s="48"/>
      <c r="CK1623" s="48"/>
    </row>
    <row r="1624" spans="1:89" ht="15.75" customHeight="1" x14ac:dyDescent="0.3">
      <c r="A1624" s="47"/>
      <c r="B1624" s="48"/>
      <c r="C1624" s="47"/>
      <c r="D1624" s="48"/>
      <c r="E1624" s="48"/>
      <c r="F1624" s="48"/>
      <c r="G1624" s="48"/>
      <c r="H1624" s="48"/>
      <c r="I1624" s="49"/>
      <c r="J1624" s="47"/>
      <c r="K1624" s="47"/>
      <c r="L1624" s="47"/>
      <c r="M1624" s="47"/>
      <c r="N1624" s="47"/>
      <c r="O1624" s="47"/>
      <c r="P1624" s="47"/>
      <c r="Q1624" s="47"/>
      <c r="R1624" s="47"/>
      <c r="S1624" s="50"/>
      <c r="T1624" s="47"/>
      <c r="U1624" s="47"/>
      <c r="V1624" s="47"/>
      <c r="W1624" s="51"/>
      <c r="X1624" s="51"/>
      <c r="Y1624" s="47"/>
      <c r="Z1624" s="47"/>
      <c r="AA1624" s="47"/>
      <c r="AB1624" s="47"/>
      <c r="AC1624" s="47"/>
      <c r="AD1624" s="47"/>
      <c r="AE1624" s="54"/>
      <c r="AF1624" s="54"/>
      <c r="AG1624" s="55"/>
      <c r="AH1624" s="54"/>
      <c r="AI1624" s="54"/>
      <c r="AJ1624" s="54"/>
      <c r="AK1624" s="54"/>
      <c r="AL1624" s="54"/>
      <c r="AM1624" s="54"/>
      <c r="AN1624" s="54"/>
      <c r="AO1624" s="54"/>
      <c r="AP1624" s="54"/>
      <c r="AQ1624" s="54"/>
      <c r="AR1624" s="54"/>
      <c r="AS1624" s="54"/>
      <c r="AT1624" s="54"/>
      <c r="AU1624" s="54"/>
      <c r="AV1624" s="54"/>
      <c r="AW1624" s="54"/>
      <c r="AX1624" s="54"/>
      <c r="AY1624" s="54"/>
      <c r="AZ1624" s="54"/>
      <c r="BA1624" s="54"/>
      <c r="BB1624" s="54"/>
      <c r="BC1624" s="56"/>
      <c r="BD1624" s="51"/>
      <c r="BE1624" s="54"/>
      <c r="BF1624" s="54"/>
      <c r="BG1624" s="47"/>
      <c r="BH1624" s="48"/>
      <c r="BI1624" s="48"/>
      <c r="BJ1624" s="48"/>
      <c r="BK1624" s="48"/>
      <c r="BL1624" s="48"/>
      <c r="BM1624" s="48"/>
      <c r="BN1624" s="48"/>
      <c r="BO1624" s="48"/>
      <c r="BP1624" s="48"/>
      <c r="BQ1624" s="48"/>
      <c r="BR1624" s="48"/>
      <c r="BS1624" s="48"/>
      <c r="BT1624" s="48"/>
      <c r="BU1624" s="48"/>
      <c r="BV1624" s="48"/>
      <c r="BW1624" s="48"/>
      <c r="BX1624" s="48"/>
      <c r="BY1624" s="48"/>
      <c r="BZ1624" s="48"/>
      <c r="CA1624" s="48"/>
      <c r="CB1624" s="48"/>
      <c r="CC1624" s="48"/>
      <c r="CD1624" s="48"/>
      <c r="CE1624" s="48"/>
      <c r="CF1624" s="52"/>
      <c r="CG1624" s="52"/>
      <c r="CH1624" s="48"/>
      <c r="CI1624" s="48"/>
      <c r="CJ1624" s="48"/>
      <c r="CK1624" s="48"/>
    </row>
    <row r="1625" spans="1:89" ht="15.75" customHeight="1" x14ac:dyDescent="0.3">
      <c r="A1625" s="47"/>
      <c r="B1625" s="48"/>
      <c r="C1625" s="47"/>
      <c r="D1625" s="48"/>
      <c r="E1625" s="48"/>
      <c r="F1625" s="48"/>
      <c r="G1625" s="48"/>
      <c r="H1625" s="48"/>
      <c r="I1625" s="49"/>
      <c r="J1625" s="47"/>
      <c r="K1625" s="47"/>
      <c r="L1625" s="47"/>
      <c r="M1625" s="47"/>
      <c r="N1625" s="47"/>
      <c r="O1625" s="47"/>
      <c r="P1625" s="47"/>
      <c r="Q1625" s="47"/>
      <c r="R1625" s="47"/>
      <c r="S1625" s="50"/>
      <c r="T1625" s="47"/>
      <c r="U1625" s="47"/>
      <c r="V1625" s="47"/>
      <c r="W1625" s="51"/>
      <c r="X1625" s="51"/>
      <c r="Y1625" s="47"/>
      <c r="Z1625" s="47"/>
      <c r="AA1625" s="47"/>
      <c r="AB1625" s="47"/>
      <c r="AC1625" s="47"/>
      <c r="AD1625" s="47"/>
      <c r="AE1625" s="54"/>
      <c r="AF1625" s="54"/>
      <c r="AG1625" s="55"/>
      <c r="AH1625" s="54"/>
      <c r="AI1625" s="54"/>
      <c r="AJ1625" s="54"/>
      <c r="AK1625" s="54"/>
      <c r="AL1625" s="54"/>
      <c r="AM1625" s="54"/>
      <c r="AN1625" s="54"/>
      <c r="AO1625" s="54"/>
      <c r="AP1625" s="54"/>
      <c r="AQ1625" s="54"/>
      <c r="AR1625" s="54"/>
      <c r="AS1625" s="54"/>
      <c r="AT1625" s="54"/>
      <c r="AU1625" s="54"/>
      <c r="AV1625" s="54"/>
      <c r="AW1625" s="54"/>
      <c r="AX1625" s="54"/>
      <c r="AY1625" s="54"/>
      <c r="AZ1625" s="54"/>
      <c r="BA1625" s="54"/>
      <c r="BB1625" s="54"/>
      <c r="BC1625" s="56"/>
      <c r="BD1625" s="51"/>
      <c r="BE1625" s="54"/>
      <c r="BF1625" s="54"/>
      <c r="BG1625" s="47"/>
      <c r="BH1625" s="48"/>
      <c r="BI1625" s="48"/>
      <c r="BJ1625" s="48"/>
      <c r="BK1625" s="48"/>
      <c r="BL1625" s="48"/>
      <c r="BM1625" s="48"/>
      <c r="BN1625" s="48"/>
      <c r="BO1625" s="48"/>
      <c r="BP1625" s="48"/>
      <c r="BQ1625" s="48"/>
      <c r="BR1625" s="48"/>
      <c r="BS1625" s="48"/>
      <c r="BT1625" s="48"/>
      <c r="BU1625" s="48"/>
      <c r="BV1625" s="48"/>
      <c r="BW1625" s="48"/>
      <c r="BX1625" s="48"/>
      <c r="BY1625" s="48"/>
      <c r="BZ1625" s="48"/>
      <c r="CA1625" s="48"/>
      <c r="CB1625" s="48"/>
      <c r="CC1625" s="48"/>
      <c r="CD1625" s="48"/>
      <c r="CE1625" s="48"/>
      <c r="CF1625" s="52"/>
      <c r="CG1625" s="52"/>
      <c r="CH1625" s="48"/>
      <c r="CI1625" s="48"/>
      <c r="CJ1625" s="48"/>
      <c r="CK1625" s="48"/>
    </row>
    <row r="1626" spans="1:89" ht="15.75" customHeight="1" x14ac:dyDescent="0.3">
      <c r="A1626" s="47"/>
      <c r="B1626" s="48"/>
      <c r="C1626" s="47"/>
      <c r="D1626" s="48"/>
      <c r="E1626" s="48"/>
      <c r="F1626" s="48"/>
      <c r="G1626" s="48"/>
      <c r="H1626" s="48"/>
      <c r="I1626" s="49"/>
      <c r="J1626" s="47"/>
      <c r="K1626" s="47"/>
      <c r="L1626" s="47"/>
      <c r="M1626" s="47"/>
      <c r="N1626" s="47"/>
      <c r="O1626" s="47"/>
      <c r="P1626" s="47"/>
      <c r="Q1626" s="47"/>
      <c r="R1626" s="47"/>
      <c r="S1626" s="50"/>
      <c r="T1626" s="47"/>
      <c r="U1626" s="47"/>
      <c r="V1626" s="47"/>
      <c r="W1626" s="51"/>
      <c r="X1626" s="51"/>
      <c r="Y1626" s="47"/>
      <c r="Z1626" s="47"/>
      <c r="AA1626" s="47"/>
      <c r="AB1626" s="47"/>
      <c r="AC1626" s="47"/>
      <c r="AD1626" s="47"/>
      <c r="AE1626" s="54"/>
      <c r="AF1626" s="54"/>
      <c r="AG1626" s="55"/>
      <c r="AH1626" s="54"/>
      <c r="AI1626" s="54"/>
      <c r="AJ1626" s="54"/>
      <c r="AK1626" s="54"/>
      <c r="AL1626" s="54"/>
      <c r="AM1626" s="54"/>
      <c r="AN1626" s="54"/>
      <c r="AO1626" s="54"/>
      <c r="AP1626" s="54"/>
      <c r="AQ1626" s="54"/>
      <c r="AR1626" s="54"/>
      <c r="AS1626" s="54"/>
      <c r="AT1626" s="54"/>
      <c r="AU1626" s="54"/>
      <c r="AV1626" s="54"/>
      <c r="AW1626" s="54"/>
      <c r="AX1626" s="54"/>
      <c r="AY1626" s="54"/>
      <c r="AZ1626" s="54"/>
      <c r="BA1626" s="54"/>
      <c r="BB1626" s="54"/>
      <c r="BC1626" s="56"/>
      <c r="BD1626" s="51"/>
      <c r="BE1626" s="54"/>
      <c r="BF1626" s="54"/>
      <c r="BG1626" s="47"/>
      <c r="BH1626" s="48"/>
      <c r="BI1626" s="48"/>
      <c r="BJ1626" s="48"/>
      <c r="BK1626" s="48"/>
      <c r="BL1626" s="48"/>
      <c r="BM1626" s="48"/>
      <c r="BN1626" s="48"/>
      <c r="BO1626" s="48"/>
      <c r="BP1626" s="48"/>
      <c r="BQ1626" s="48"/>
      <c r="BR1626" s="48"/>
      <c r="BS1626" s="48"/>
      <c r="BT1626" s="48"/>
      <c r="BU1626" s="48"/>
      <c r="BV1626" s="48"/>
      <c r="BW1626" s="48"/>
      <c r="BX1626" s="48"/>
      <c r="BY1626" s="48"/>
      <c r="BZ1626" s="48"/>
      <c r="CA1626" s="48"/>
      <c r="CB1626" s="48"/>
      <c r="CC1626" s="48"/>
      <c r="CD1626" s="48"/>
      <c r="CE1626" s="48"/>
      <c r="CF1626" s="52"/>
      <c r="CG1626" s="52"/>
      <c r="CH1626" s="48"/>
      <c r="CI1626" s="48"/>
      <c r="CJ1626" s="48"/>
      <c r="CK1626" s="48"/>
    </row>
    <row r="1627" spans="1:89" ht="15.75" customHeight="1" x14ac:dyDescent="0.3">
      <c r="A1627" s="47"/>
      <c r="B1627" s="48"/>
      <c r="C1627" s="47"/>
      <c r="D1627" s="48"/>
      <c r="E1627" s="48"/>
      <c r="F1627" s="48"/>
      <c r="G1627" s="48"/>
      <c r="H1627" s="48"/>
      <c r="I1627" s="49"/>
      <c r="J1627" s="47"/>
      <c r="K1627" s="47"/>
      <c r="L1627" s="47"/>
      <c r="M1627" s="47"/>
      <c r="N1627" s="47"/>
      <c r="O1627" s="47"/>
      <c r="P1627" s="47"/>
      <c r="Q1627" s="47"/>
      <c r="R1627" s="47"/>
      <c r="S1627" s="50"/>
      <c r="T1627" s="47"/>
      <c r="U1627" s="47"/>
      <c r="V1627" s="47"/>
      <c r="W1627" s="51"/>
      <c r="X1627" s="51"/>
      <c r="Y1627" s="47"/>
      <c r="Z1627" s="47"/>
      <c r="AA1627" s="47"/>
      <c r="AB1627" s="47"/>
      <c r="AC1627" s="47"/>
      <c r="AD1627" s="47"/>
      <c r="AE1627" s="54"/>
      <c r="AF1627" s="54"/>
      <c r="AG1627" s="55"/>
      <c r="AH1627" s="54"/>
      <c r="AI1627" s="54"/>
      <c r="AJ1627" s="54"/>
      <c r="AK1627" s="54"/>
      <c r="AL1627" s="54"/>
      <c r="AM1627" s="54"/>
      <c r="AN1627" s="54"/>
      <c r="AO1627" s="54"/>
      <c r="AP1627" s="54"/>
      <c r="AQ1627" s="54"/>
      <c r="AR1627" s="54"/>
      <c r="AS1627" s="54"/>
      <c r="AT1627" s="54"/>
      <c r="AU1627" s="54"/>
      <c r="AV1627" s="54"/>
      <c r="AW1627" s="54"/>
      <c r="AX1627" s="54"/>
      <c r="AY1627" s="54"/>
      <c r="AZ1627" s="54"/>
      <c r="BA1627" s="54"/>
      <c r="BB1627" s="54"/>
      <c r="BC1627" s="56"/>
      <c r="BD1627" s="51"/>
      <c r="BE1627" s="54"/>
      <c r="BF1627" s="54"/>
      <c r="BG1627" s="47"/>
      <c r="BH1627" s="48"/>
      <c r="BI1627" s="48"/>
      <c r="BJ1627" s="48"/>
      <c r="BK1627" s="48"/>
      <c r="BL1627" s="48"/>
      <c r="BM1627" s="48"/>
      <c r="BN1627" s="48"/>
      <c r="BO1627" s="48"/>
      <c r="BP1627" s="48"/>
      <c r="BQ1627" s="48"/>
      <c r="BR1627" s="48"/>
      <c r="BS1627" s="48"/>
      <c r="BT1627" s="48"/>
      <c r="BU1627" s="48"/>
      <c r="BV1627" s="48"/>
      <c r="BW1627" s="48"/>
      <c r="BX1627" s="48"/>
      <c r="BY1627" s="48"/>
      <c r="BZ1627" s="48"/>
      <c r="CA1627" s="48"/>
      <c r="CB1627" s="48"/>
      <c r="CC1627" s="48"/>
      <c r="CD1627" s="48"/>
      <c r="CE1627" s="48"/>
      <c r="CF1627" s="52"/>
      <c r="CG1627" s="52"/>
      <c r="CH1627" s="48"/>
      <c r="CI1627" s="48"/>
      <c r="CJ1627" s="48"/>
      <c r="CK1627" s="48"/>
    </row>
    <row r="1628" spans="1:89" ht="15.75" customHeight="1" x14ac:dyDescent="0.3">
      <c r="A1628" s="47"/>
      <c r="B1628" s="48"/>
      <c r="C1628" s="47"/>
      <c r="D1628" s="48"/>
      <c r="E1628" s="48"/>
      <c r="F1628" s="48"/>
      <c r="G1628" s="48"/>
      <c r="H1628" s="48"/>
      <c r="I1628" s="49"/>
      <c r="J1628" s="47"/>
      <c r="K1628" s="47"/>
      <c r="L1628" s="47"/>
      <c r="M1628" s="47"/>
      <c r="N1628" s="47"/>
      <c r="O1628" s="47"/>
      <c r="P1628" s="47"/>
      <c r="Q1628" s="47"/>
      <c r="R1628" s="47"/>
      <c r="S1628" s="50"/>
      <c r="T1628" s="47"/>
      <c r="U1628" s="47"/>
      <c r="V1628" s="47"/>
      <c r="W1628" s="51"/>
      <c r="X1628" s="51"/>
      <c r="Y1628" s="47"/>
      <c r="Z1628" s="47"/>
      <c r="AA1628" s="47"/>
      <c r="AB1628" s="47"/>
      <c r="AC1628" s="47"/>
      <c r="AD1628" s="47"/>
      <c r="AE1628" s="54"/>
      <c r="AF1628" s="54"/>
      <c r="AG1628" s="55"/>
      <c r="AH1628" s="54"/>
      <c r="AI1628" s="54"/>
      <c r="AJ1628" s="54"/>
      <c r="AK1628" s="54"/>
      <c r="AL1628" s="54"/>
      <c r="AM1628" s="54"/>
      <c r="AN1628" s="54"/>
      <c r="AO1628" s="54"/>
      <c r="AP1628" s="54"/>
      <c r="AQ1628" s="54"/>
      <c r="AR1628" s="54"/>
      <c r="AS1628" s="54"/>
      <c r="AT1628" s="54"/>
      <c r="AU1628" s="54"/>
      <c r="AV1628" s="54"/>
      <c r="AW1628" s="54"/>
      <c r="AX1628" s="54"/>
      <c r="AY1628" s="54"/>
      <c r="AZ1628" s="54"/>
      <c r="BA1628" s="54"/>
      <c r="BB1628" s="54"/>
      <c r="BC1628" s="56"/>
      <c r="BD1628" s="51"/>
      <c r="BE1628" s="54"/>
      <c r="BF1628" s="54"/>
      <c r="BG1628" s="47"/>
      <c r="BH1628" s="48"/>
      <c r="BI1628" s="48"/>
      <c r="BJ1628" s="48"/>
      <c r="BK1628" s="48"/>
      <c r="BL1628" s="48"/>
      <c r="BM1628" s="48"/>
      <c r="BN1628" s="48"/>
      <c r="BO1628" s="48"/>
      <c r="BP1628" s="48"/>
      <c r="BQ1628" s="48"/>
      <c r="BR1628" s="48"/>
      <c r="BS1628" s="48"/>
      <c r="BT1628" s="48"/>
      <c r="BU1628" s="48"/>
      <c r="BV1628" s="48"/>
      <c r="BW1628" s="48"/>
      <c r="BX1628" s="48"/>
      <c r="BY1628" s="48"/>
      <c r="BZ1628" s="48"/>
      <c r="CA1628" s="48"/>
      <c r="CB1628" s="48"/>
      <c r="CC1628" s="48"/>
      <c r="CD1628" s="48"/>
      <c r="CE1628" s="48"/>
      <c r="CF1628" s="52"/>
      <c r="CG1628" s="52"/>
      <c r="CH1628" s="48"/>
      <c r="CI1628" s="48"/>
      <c r="CJ1628" s="48"/>
      <c r="CK1628" s="48"/>
    </row>
    <row r="1629" spans="1:89" ht="15.75" customHeight="1" x14ac:dyDescent="0.3">
      <c r="A1629" s="47"/>
      <c r="B1629" s="48"/>
      <c r="C1629" s="47"/>
      <c r="D1629" s="48"/>
      <c r="E1629" s="48"/>
      <c r="F1629" s="48"/>
      <c r="G1629" s="48"/>
      <c r="H1629" s="48"/>
      <c r="I1629" s="49"/>
      <c r="J1629" s="47"/>
      <c r="K1629" s="47"/>
      <c r="L1629" s="47"/>
      <c r="M1629" s="47"/>
      <c r="N1629" s="47"/>
      <c r="O1629" s="47"/>
      <c r="P1629" s="47"/>
      <c r="Q1629" s="47"/>
      <c r="R1629" s="47"/>
      <c r="S1629" s="50"/>
      <c r="T1629" s="47"/>
      <c r="U1629" s="47"/>
      <c r="V1629" s="47"/>
      <c r="W1629" s="51"/>
      <c r="X1629" s="51"/>
      <c r="Y1629" s="47"/>
      <c r="Z1629" s="47"/>
      <c r="AA1629" s="47"/>
      <c r="AB1629" s="47"/>
      <c r="AC1629" s="47"/>
      <c r="AD1629" s="47"/>
      <c r="AE1629" s="54"/>
      <c r="AF1629" s="54"/>
      <c r="AG1629" s="55"/>
      <c r="AH1629" s="54"/>
      <c r="AI1629" s="54"/>
      <c r="AJ1629" s="54"/>
      <c r="AK1629" s="54"/>
      <c r="AL1629" s="54"/>
      <c r="AM1629" s="54"/>
      <c r="AN1629" s="54"/>
      <c r="AO1629" s="54"/>
      <c r="AP1629" s="54"/>
      <c r="AQ1629" s="54"/>
      <c r="AR1629" s="54"/>
      <c r="AS1629" s="54"/>
      <c r="AT1629" s="54"/>
      <c r="AU1629" s="54"/>
      <c r="AV1629" s="54"/>
      <c r="AW1629" s="54"/>
      <c r="AX1629" s="54"/>
      <c r="AY1629" s="54"/>
      <c r="AZ1629" s="54"/>
      <c r="BA1629" s="54"/>
      <c r="BB1629" s="54"/>
      <c r="BC1629" s="56"/>
      <c r="BD1629" s="51"/>
      <c r="BE1629" s="54"/>
      <c r="BF1629" s="54"/>
      <c r="BG1629" s="47"/>
      <c r="BH1629" s="48"/>
      <c r="BI1629" s="48"/>
      <c r="BJ1629" s="48"/>
      <c r="BK1629" s="48"/>
      <c r="BL1629" s="48"/>
      <c r="BM1629" s="48"/>
      <c r="BN1629" s="48"/>
      <c r="BO1629" s="48"/>
      <c r="BP1629" s="48"/>
      <c r="BQ1629" s="48"/>
      <c r="BR1629" s="48"/>
      <c r="BS1629" s="48"/>
      <c r="BT1629" s="48"/>
      <c r="BU1629" s="48"/>
      <c r="BV1629" s="48"/>
      <c r="BW1629" s="48"/>
      <c r="BX1629" s="48"/>
      <c r="BY1629" s="48"/>
      <c r="BZ1629" s="48"/>
      <c r="CA1629" s="48"/>
      <c r="CB1629" s="48"/>
      <c r="CC1629" s="48"/>
      <c r="CD1629" s="48"/>
      <c r="CE1629" s="48"/>
      <c r="CF1629" s="52"/>
      <c r="CG1629" s="52"/>
      <c r="CH1629" s="48"/>
      <c r="CI1629" s="48"/>
      <c r="CJ1629" s="48"/>
      <c r="CK1629" s="48"/>
    </row>
    <row r="1630" spans="1:89" ht="15.75" customHeight="1" x14ac:dyDescent="0.3">
      <c r="A1630" s="47"/>
      <c r="B1630" s="48"/>
      <c r="C1630" s="47"/>
      <c r="D1630" s="48"/>
      <c r="E1630" s="48"/>
      <c r="F1630" s="48"/>
      <c r="G1630" s="48"/>
      <c r="H1630" s="48"/>
      <c r="I1630" s="49"/>
      <c r="J1630" s="47"/>
      <c r="K1630" s="47"/>
      <c r="L1630" s="47"/>
      <c r="M1630" s="47"/>
      <c r="N1630" s="47"/>
      <c r="O1630" s="47"/>
      <c r="P1630" s="47"/>
      <c r="Q1630" s="47"/>
      <c r="R1630" s="47"/>
      <c r="S1630" s="50"/>
      <c r="T1630" s="47"/>
      <c r="U1630" s="47"/>
      <c r="V1630" s="47"/>
      <c r="W1630" s="51"/>
      <c r="X1630" s="51"/>
      <c r="Y1630" s="47"/>
      <c r="Z1630" s="47"/>
      <c r="AA1630" s="47"/>
      <c r="AB1630" s="47"/>
      <c r="AC1630" s="47"/>
      <c r="AD1630" s="47"/>
      <c r="AE1630" s="54"/>
      <c r="AF1630" s="54"/>
      <c r="AG1630" s="55"/>
      <c r="AH1630" s="54"/>
      <c r="AI1630" s="54"/>
      <c r="AJ1630" s="54"/>
      <c r="AK1630" s="54"/>
      <c r="AL1630" s="54"/>
      <c r="AM1630" s="54"/>
      <c r="AN1630" s="54"/>
      <c r="AO1630" s="54"/>
      <c r="AP1630" s="54"/>
      <c r="AQ1630" s="54"/>
      <c r="AR1630" s="54"/>
      <c r="AS1630" s="54"/>
      <c r="AT1630" s="54"/>
      <c r="AU1630" s="54"/>
      <c r="AV1630" s="54"/>
      <c r="AW1630" s="54"/>
      <c r="AX1630" s="54"/>
      <c r="AY1630" s="54"/>
      <c r="AZ1630" s="54"/>
      <c r="BA1630" s="54"/>
      <c r="BB1630" s="54"/>
      <c r="BC1630" s="56"/>
      <c r="BD1630" s="51"/>
      <c r="BE1630" s="54"/>
      <c r="BF1630" s="54"/>
      <c r="BG1630" s="47"/>
      <c r="BH1630" s="48"/>
      <c r="BI1630" s="48"/>
      <c r="BJ1630" s="48"/>
      <c r="BK1630" s="48"/>
      <c r="BL1630" s="48"/>
      <c r="BM1630" s="48"/>
      <c r="BN1630" s="48"/>
      <c r="BO1630" s="48"/>
      <c r="BP1630" s="48"/>
      <c r="BQ1630" s="48"/>
      <c r="BR1630" s="48"/>
      <c r="BS1630" s="48"/>
      <c r="BT1630" s="48"/>
      <c r="BU1630" s="48"/>
      <c r="BV1630" s="48"/>
      <c r="BW1630" s="48"/>
      <c r="BX1630" s="48"/>
      <c r="BY1630" s="48"/>
      <c r="BZ1630" s="48"/>
      <c r="CA1630" s="48"/>
      <c r="CB1630" s="48"/>
      <c r="CC1630" s="48"/>
      <c r="CD1630" s="48"/>
      <c r="CE1630" s="48"/>
      <c r="CF1630" s="52"/>
      <c r="CG1630" s="52"/>
      <c r="CH1630" s="48"/>
      <c r="CI1630" s="48"/>
      <c r="CJ1630" s="48"/>
      <c r="CK1630" s="48"/>
    </row>
    <row r="1631" spans="1:89" ht="15.75" customHeight="1" x14ac:dyDescent="0.3">
      <c r="A1631" s="47"/>
      <c r="B1631" s="48"/>
      <c r="C1631" s="47"/>
      <c r="D1631" s="48"/>
      <c r="E1631" s="48"/>
      <c r="F1631" s="48"/>
      <c r="G1631" s="48"/>
      <c r="H1631" s="48"/>
      <c r="I1631" s="49"/>
      <c r="J1631" s="47"/>
      <c r="K1631" s="47"/>
      <c r="L1631" s="47"/>
      <c r="M1631" s="47"/>
      <c r="N1631" s="47"/>
      <c r="O1631" s="47"/>
      <c r="P1631" s="47"/>
      <c r="Q1631" s="47"/>
      <c r="R1631" s="47"/>
      <c r="S1631" s="50"/>
      <c r="T1631" s="47"/>
      <c r="U1631" s="47"/>
      <c r="V1631" s="47"/>
      <c r="W1631" s="51"/>
      <c r="X1631" s="51"/>
      <c r="Y1631" s="47"/>
      <c r="Z1631" s="47"/>
      <c r="AA1631" s="47"/>
      <c r="AB1631" s="47"/>
      <c r="AC1631" s="47"/>
      <c r="AD1631" s="47"/>
      <c r="AE1631" s="54"/>
      <c r="AF1631" s="54"/>
      <c r="AG1631" s="55"/>
      <c r="AH1631" s="54"/>
      <c r="AI1631" s="54"/>
      <c r="AJ1631" s="54"/>
      <c r="AK1631" s="54"/>
      <c r="AL1631" s="54"/>
      <c r="AM1631" s="54"/>
      <c r="AN1631" s="54"/>
      <c r="AO1631" s="54"/>
      <c r="AP1631" s="54"/>
      <c r="AQ1631" s="54"/>
      <c r="AR1631" s="54"/>
      <c r="AS1631" s="54"/>
      <c r="AT1631" s="54"/>
      <c r="AU1631" s="54"/>
      <c r="AV1631" s="54"/>
      <c r="AW1631" s="54"/>
      <c r="AX1631" s="54"/>
      <c r="AY1631" s="54"/>
      <c r="AZ1631" s="54"/>
      <c r="BA1631" s="54"/>
      <c r="BB1631" s="54"/>
      <c r="BC1631" s="56"/>
      <c r="BD1631" s="51"/>
      <c r="BE1631" s="54"/>
      <c r="BF1631" s="54"/>
      <c r="BG1631" s="47"/>
      <c r="BH1631" s="48"/>
      <c r="BI1631" s="48"/>
      <c r="BJ1631" s="48"/>
      <c r="BK1631" s="48"/>
      <c r="BL1631" s="48"/>
      <c r="BM1631" s="48"/>
      <c r="BN1631" s="48"/>
      <c r="BO1631" s="48"/>
      <c r="BP1631" s="48"/>
      <c r="BQ1631" s="48"/>
      <c r="BR1631" s="48"/>
      <c r="BS1631" s="48"/>
      <c r="BT1631" s="48"/>
      <c r="BU1631" s="48"/>
      <c r="BV1631" s="48"/>
      <c r="BW1631" s="48"/>
      <c r="BX1631" s="48"/>
      <c r="BY1631" s="48"/>
      <c r="BZ1631" s="48"/>
      <c r="CA1631" s="48"/>
      <c r="CB1631" s="48"/>
      <c r="CC1631" s="48"/>
      <c r="CD1631" s="48"/>
      <c r="CE1631" s="48"/>
      <c r="CF1631" s="52"/>
      <c r="CG1631" s="52"/>
      <c r="CH1631" s="48"/>
      <c r="CI1631" s="48"/>
      <c r="CJ1631" s="48"/>
      <c r="CK1631" s="48"/>
    </row>
    <row r="1632" spans="1:89" ht="15.75" customHeight="1" x14ac:dyDescent="0.3">
      <c r="A1632" s="47"/>
      <c r="B1632" s="48"/>
      <c r="C1632" s="47"/>
      <c r="D1632" s="48"/>
      <c r="E1632" s="48"/>
      <c r="F1632" s="48"/>
      <c r="G1632" s="48"/>
      <c r="H1632" s="48"/>
      <c r="I1632" s="49"/>
      <c r="J1632" s="47"/>
      <c r="K1632" s="47"/>
      <c r="L1632" s="47"/>
      <c r="M1632" s="47"/>
      <c r="N1632" s="47"/>
      <c r="O1632" s="47"/>
      <c r="P1632" s="47"/>
      <c r="Q1632" s="47"/>
      <c r="R1632" s="47"/>
      <c r="S1632" s="50"/>
      <c r="T1632" s="47"/>
      <c r="U1632" s="47"/>
      <c r="V1632" s="47"/>
      <c r="W1632" s="51"/>
      <c r="X1632" s="51"/>
      <c r="Y1632" s="47"/>
      <c r="Z1632" s="47"/>
      <c r="AA1632" s="47"/>
      <c r="AB1632" s="47"/>
      <c r="AC1632" s="47"/>
      <c r="AD1632" s="47"/>
      <c r="AE1632" s="54"/>
      <c r="AF1632" s="54"/>
      <c r="AG1632" s="55"/>
      <c r="AH1632" s="54"/>
      <c r="AI1632" s="54"/>
      <c r="AJ1632" s="54"/>
      <c r="AK1632" s="54"/>
      <c r="AL1632" s="54"/>
      <c r="AM1632" s="54"/>
      <c r="AN1632" s="54"/>
      <c r="AO1632" s="54"/>
      <c r="AP1632" s="54"/>
      <c r="AQ1632" s="54"/>
      <c r="AR1632" s="54"/>
      <c r="AS1632" s="54"/>
      <c r="AT1632" s="54"/>
      <c r="AU1632" s="54"/>
      <c r="AV1632" s="54"/>
      <c r="AW1632" s="54"/>
      <c r="AX1632" s="54"/>
      <c r="AY1632" s="54"/>
      <c r="AZ1632" s="54"/>
      <c r="BA1632" s="54"/>
      <c r="BB1632" s="54"/>
      <c r="BC1632" s="56"/>
      <c r="BD1632" s="51"/>
      <c r="BE1632" s="54"/>
      <c r="BF1632" s="54"/>
      <c r="BG1632" s="47"/>
      <c r="BH1632" s="48"/>
      <c r="BI1632" s="48"/>
      <c r="BJ1632" s="48"/>
      <c r="BK1632" s="48"/>
      <c r="BL1632" s="48"/>
      <c r="BM1632" s="48"/>
      <c r="BN1632" s="48"/>
      <c r="BO1632" s="48"/>
      <c r="BP1632" s="48"/>
      <c r="BQ1632" s="48"/>
      <c r="BR1632" s="48"/>
      <c r="BS1632" s="48"/>
      <c r="BT1632" s="48"/>
      <c r="BU1632" s="48"/>
      <c r="BV1632" s="48"/>
      <c r="BW1632" s="48"/>
      <c r="BX1632" s="48"/>
      <c r="BY1632" s="48"/>
      <c r="BZ1632" s="48"/>
      <c r="CA1632" s="48"/>
      <c r="CB1632" s="48"/>
      <c r="CC1632" s="48"/>
      <c r="CD1632" s="48"/>
      <c r="CE1632" s="48"/>
      <c r="CF1632" s="52"/>
      <c r="CG1632" s="52"/>
      <c r="CH1632" s="48"/>
      <c r="CI1632" s="48"/>
      <c r="CJ1632" s="48"/>
      <c r="CK1632" s="48"/>
    </row>
    <row r="1633" spans="1:89" ht="15.75" customHeight="1" x14ac:dyDescent="0.3">
      <c r="A1633" s="47"/>
      <c r="B1633" s="48"/>
      <c r="C1633" s="47"/>
      <c r="D1633" s="48"/>
      <c r="E1633" s="48"/>
      <c r="F1633" s="48"/>
      <c r="G1633" s="48"/>
      <c r="H1633" s="48"/>
      <c r="I1633" s="49"/>
      <c r="J1633" s="47"/>
      <c r="K1633" s="47"/>
      <c r="L1633" s="47"/>
      <c r="M1633" s="47"/>
      <c r="N1633" s="47"/>
      <c r="O1633" s="47"/>
      <c r="P1633" s="47"/>
      <c r="Q1633" s="47"/>
      <c r="R1633" s="47"/>
      <c r="S1633" s="50"/>
      <c r="T1633" s="47"/>
      <c r="U1633" s="47"/>
      <c r="V1633" s="47"/>
      <c r="W1633" s="51"/>
      <c r="X1633" s="51"/>
      <c r="Y1633" s="47"/>
      <c r="Z1633" s="47"/>
      <c r="AA1633" s="47"/>
      <c r="AB1633" s="47"/>
      <c r="AC1633" s="47"/>
      <c r="AD1633" s="47"/>
      <c r="AE1633" s="54"/>
      <c r="AF1633" s="54"/>
      <c r="AG1633" s="55"/>
      <c r="AH1633" s="54"/>
      <c r="AI1633" s="54"/>
      <c r="AJ1633" s="54"/>
      <c r="AK1633" s="54"/>
      <c r="AL1633" s="54"/>
      <c r="AM1633" s="54"/>
      <c r="AN1633" s="54"/>
      <c r="AO1633" s="54"/>
      <c r="AP1633" s="54"/>
      <c r="AQ1633" s="54"/>
      <c r="AR1633" s="54"/>
      <c r="AS1633" s="54"/>
      <c r="AT1633" s="54"/>
      <c r="AU1633" s="54"/>
      <c r="AV1633" s="54"/>
      <c r="AW1633" s="54"/>
      <c r="AX1633" s="54"/>
      <c r="AY1633" s="54"/>
      <c r="AZ1633" s="54"/>
      <c r="BA1633" s="54"/>
      <c r="BB1633" s="54"/>
      <c r="BC1633" s="56"/>
      <c r="BD1633" s="51"/>
      <c r="BE1633" s="54"/>
      <c r="BF1633" s="54"/>
      <c r="BG1633" s="47"/>
      <c r="BH1633" s="48"/>
      <c r="BI1633" s="48"/>
      <c r="BJ1633" s="48"/>
      <c r="BK1633" s="48"/>
      <c r="BL1633" s="48"/>
      <c r="BM1633" s="48"/>
      <c r="BN1633" s="48"/>
      <c r="BO1633" s="48"/>
      <c r="BP1633" s="48"/>
      <c r="BQ1633" s="48"/>
      <c r="BR1633" s="48"/>
      <c r="BS1633" s="48"/>
      <c r="BT1633" s="48"/>
      <c r="BU1633" s="48"/>
      <c r="BV1633" s="48"/>
      <c r="BW1633" s="48"/>
      <c r="BX1633" s="48"/>
      <c r="BY1633" s="48"/>
      <c r="BZ1633" s="48"/>
      <c r="CA1633" s="48"/>
      <c r="CB1633" s="48"/>
      <c r="CC1633" s="48"/>
      <c r="CD1633" s="48"/>
      <c r="CE1633" s="48"/>
      <c r="CF1633" s="52"/>
      <c r="CG1633" s="52"/>
      <c r="CH1633" s="48"/>
      <c r="CI1633" s="48"/>
      <c r="CJ1633" s="48"/>
      <c r="CK1633" s="48"/>
    </row>
    <row r="1634" spans="1:89" ht="15.75" customHeight="1" x14ac:dyDescent="0.3">
      <c r="A1634" s="47"/>
      <c r="B1634" s="48"/>
      <c r="C1634" s="47"/>
      <c r="D1634" s="48"/>
      <c r="E1634" s="48"/>
      <c r="F1634" s="48"/>
      <c r="G1634" s="48"/>
      <c r="H1634" s="48"/>
      <c r="I1634" s="49"/>
      <c r="J1634" s="47"/>
      <c r="K1634" s="47"/>
      <c r="L1634" s="47"/>
      <c r="M1634" s="47"/>
      <c r="N1634" s="47"/>
      <c r="O1634" s="47"/>
      <c r="P1634" s="47"/>
      <c r="Q1634" s="47"/>
      <c r="R1634" s="47"/>
      <c r="S1634" s="50"/>
      <c r="T1634" s="47"/>
      <c r="U1634" s="47"/>
      <c r="V1634" s="47"/>
      <c r="W1634" s="51"/>
      <c r="X1634" s="51"/>
      <c r="Y1634" s="47"/>
      <c r="Z1634" s="47"/>
      <c r="AA1634" s="47"/>
      <c r="AB1634" s="47"/>
      <c r="AC1634" s="47"/>
      <c r="AD1634" s="47"/>
      <c r="AE1634" s="54"/>
      <c r="AF1634" s="54"/>
      <c r="AG1634" s="55"/>
      <c r="AH1634" s="54"/>
      <c r="AI1634" s="54"/>
      <c r="AJ1634" s="54"/>
      <c r="AK1634" s="54"/>
      <c r="AL1634" s="54"/>
      <c r="AM1634" s="54"/>
      <c r="AN1634" s="54"/>
      <c r="AO1634" s="54"/>
      <c r="AP1634" s="54"/>
      <c r="AQ1634" s="54"/>
      <c r="AR1634" s="54"/>
      <c r="AS1634" s="54"/>
      <c r="AT1634" s="54"/>
      <c r="AU1634" s="54"/>
      <c r="AV1634" s="54"/>
      <c r="AW1634" s="54"/>
      <c r="AX1634" s="54"/>
      <c r="AY1634" s="54"/>
      <c r="AZ1634" s="54"/>
      <c r="BA1634" s="54"/>
      <c r="BB1634" s="54"/>
      <c r="BC1634" s="56"/>
      <c r="BD1634" s="51"/>
      <c r="BE1634" s="54"/>
      <c r="BF1634" s="54"/>
      <c r="BG1634" s="47"/>
      <c r="BH1634" s="48"/>
      <c r="BI1634" s="48"/>
      <c r="BJ1634" s="48"/>
      <c r="BK1634" s="48"/>
      <c r="BL1634" s="48"/>
      <c r="BM1634" s="48"/>
      <c r="BN1634" s="48"/>
      <c r="BO1634" s="48"/>
      <c r="BP1634" s="48"/>
      <c r="BQ1634" s="48"/>
      <c r="BR1634" s="48"/>
      <c r="BS1634" s="48"/>
      <c r="BT1634" s="48"/>
      <c r="BU1634" s="48"/>
      <c r="BV1634" s="48"/>
      <c r="BW1634" s="48"/>
      <c r="BX1634" s="48"/>
      <c r="BY1634" s="48"/>
      <c r="BZ1634" s="48"/>
      <c r="CA1634" s="48"/>
      <c r="CB1634" s="48"/>
      <c r="CC1634" s="48"/>
      <c r="CD1634" s="48"/>
      <c r="CE1634" s="48"/>
      <c r="CF1634" s="52"/>
      <c r="CG1634" s="52"/>
      <c r="CH1634" s="48"/>
      <c r="CI1634" s="48"/>
      <c r="CJ1634" s="48"/>
      <c r="CK1634" s="48"/>
    </row>
    <row r="1635" spans="1:89" ht="15.75" customHeight="1" x14ac:dyDescent="0.3">
      <c r="A1635" s="47"/>
      <c r="B1635" s="48"/>
      <c r="C1635" s="47"/>
      <c r="D1635" s="48"/>
      <c r="E1635" s="48"/>
      <c r="F1635" s="48"/>
      <c r="G1635" s="48"/>
      <c r="H1635" s="48"/>
      <c r="I1635" s="49"/>
      <c r="J1635" s="47"/>
      <c r="K1635" s="47"/>
      <c r="L1635" s="47"/>
      <c r="M1635" s="47"/>
      <c r="N1635" s="47"/>
      <c r="O1635" s="47"/>
      <c r="P1635" s="47"/>
      <c r="Q1635" s="47"/>
      <c r="R1635" s="47"/>
      <c r="S1635" s="50"/>
      <c r="T1635" s="47"/>
      <c r="U1635" s="47"/>
      <c r="V1635" s="47"/>
      <c r="W1635" s="51"/>
      <c r="X1635" s="51"/>
      <c r="Y1635" s="47"/>
      <c r="Z1635" s="47"/>
      <c r="AA1635" s="47"/>
      <c r="AB1635" s="47"/>
      <c r="AC1635" s="47"/>
      <c r="AD1635" s="47"/>
      <c r="AE1635" s="54"/>
      <c r="AF1635" s="54"/>
      <c r="AG1635" s="55"/>
      <c r="AH1635" s="54"/>
      <c r="AI1635" s="54"/>
      <c r="AJ1635" s="54"/>
      <c r="AK1635" s="54"/>
      <c r="AL1635" s="54"/>
      <c r="AM1635" s="54"/>
      <c r="AN1635" s="54"/>
      <c r="AO1635" s="54"/>
      <c r="AP1635" s="54"/>
      <c r="AQ1635" s="54"/>
      <c r="AR1635" s="54"/>
      <c r="AS1635" s="54"/>
      <c r="AT1635" s="54"/>
      <c r="AU1635" s="54"/>
      <c r="AV1635" s="54"/>
      <c r="AW1635" s="54"/>
      <c r="AX1635" s="54"/>
      <c r="AY1635" s="54"/>
      <c r="AZ1635" s="54"/>
      <c r="BA1635" s="54"/>
      <c r="BB1635" s="54"/>
      <c r="BC1635" s="56"/>
      <c r="BD1635" s="51"/>
      <c r="BE1635" s="54"/>
      <c r="BF1635" s="54"/>
      <c r="BG1635" s="47"/>
      <c r="BH1635" s="48"/>
      <c r="BI1635" s="48"/>
      <c r="BJ1635" s="48"/>
      <c r="BK1635" s="48"/>
      <c r="BL1635" s="48"/>
      <c r="BM1635" s="48"/>
      <c r="BN1635" s="48"/>
      <c r="BO1635" s="48"/>
      <c r="BP1635" s="48"/>
      <c r="BQ1635" s="48"/>
      <c r="BR1635" s="48"/>
      <c r="BS1635" s="48"/>
      <c r="BT1635" s="48"/>
      <c r="BU1635" s="48"/>
      <c r="BV1635" s="48"/>
      <c r="BW1635" s="48"/>
      <c r="BX1635" s="48"/>
      <c r="BY1635" s="48"/>
      <c r="BZ1635" s="48"/>
      <c r="CA1635" s="48"/>
      <c r="CB1635" s="48"/>
      <c r="CC1635" s="48"/>
      <c r="CD1635" s="48"/>
      <c r="CE1635" s="48"/>
      <c r="CF1635" s="52"/>
      <c r="CG1635" s="52"/>
      <c r="CH1635" s="48"/>
      <c r="CI1635" s="48"/>
      <c r="CJ1635" s="48"/>
      <c r="CK1635" s="48"/>
    </row>
    <row r="1636" spans="1:89" ht="15.75" customHeight="1" x14ac:dyDescent="0.3">
      <c r="A1636" s="47"/>
      <c r="B1636" s="48"/>
      <c r="C1636" s="47"/>
      <c r="D1636" s="48"/>
      <c r="E1636" s="48"/>
      <c r="F1636" s="48"/>
      <c r="G1636" s="48"/>
      <c r="H1636" s="48"/>
      <c r="I1636" s="49"/>
      <c r="J1636" s="47"/>
      <c r="K1636" s="47"/>
      <c r="L1636" s="47"/>
      <c r="M1636" s="47"/>
      <c r="N1636" s="47"/>
      <c r="O1636" s="47"/>
      <c r="P1636" s="47"/>
      <c r="Q1636" s="47"/>
      <c r="R1636" s="47"/>
      <c r="S1636" s="50"/>
      <c r="T1636" s="47"/>
      <c r="U1636" s="47"/>
      <c r="V1636" s="47"/>
      <c r="W1636" s="51"/>
      <c r="X1636" s="51"/>
      <c r="Y1636" s="47"/>
      <c r="Z1636" s="47"/>
      <c r="AA1636" s="47"/>
      <c r="AB1636" s="47"/>
      <c r="AC1636" s="47"/>
      <c r="AD1636" s="47"/>
      <c r="AE1636" s="54"/>
      <c r="AF1636" s="54"/>
      <c r="AG1636" s="55"/>
      <c r="AH1636" s="54"/>
      <c r="AI1636" s="54"/>
      <c r="AJ1636" s="54"/>
      <c r="AK1636" s="54"/>
      <c r="AL1636" s="54"/>
      <c r="AM1636" s="54"/>
      <c r="AN1636" s="54"/>
      <c r="AO1636" s="54"/>
      <c r="AP1636" s="54"/>
      <c r="AQ1636" s="54"/>
      <c r="AR1636" s="54"/>
      <c r="AS1636" s="54"/>
      <c r="AT1636" s="54"/>
      <c r="AU1636" s="54"/>
      <c r="AV1636" s="54"/>
      <c r="AW1636" s="54"/>
      <c r="AX1636" s="54"/>
      <c r="AY1636" s="54"/>
      <c r="AZ1636" s="54"/>
      <c r="BA1636" s="54"/>
      <c r="BB1636" s="54"/>
      <c r="BC1636" s="56"/>
      <c r="BD1636" s="51"/>
      <c r="BE1636" s="54"/>
      <c r="BF1636" s="54"/>
      <c r="BG1636" s="47"/>
      <c r="BH1636" s="48"/>
      <c r="BI1636" s="48"/>
      <c r="BJ1636" s="48"/>
      <c r="BK1636" s="48"/>
      <c r="BL1636" s="48"/>
      <c r="BM1636" s="48"/>
      <c r="BN1636" s="48"/>
      <c r="BO1636" s="48"/>
      <c r="BP1636" s="48"/>
      <c r="BQ1636" s="48"/>
      <c r="BR1636" s="48"/>
      <c r="BS1636" s="48"/>
      <c r="BT1636" s="48"/>
      <c r="BU1636" s="48"/>
      <c r="BV1636" s="48"/>
      <c r="BW1636" s="48"/>
      <c r="BX1636" s="48"/>
      <c r="BY1636" s="48"/>
      <c r="BZ1636" s="48"/>
      <c r="CA1636" s="48"/>
      <c r="CB1636" s="48"/>
      <c r="CC1636" s="48"/>
      <c r="CD1636" s="48"/>
      <c r="CE1636" s="48"/>
      <c r="CF1636" s="52"/>
      <c r="CG1636" s="52"/>
      <c r="CH1636" s="48"/>
      <c r="CI1636" s="48"/>
      <c r="CJ1636" s="48"/>
      <c r="CK1636" s="48"/>
    </row>
    <row r="1637" spans="1:89" ht="15.75" customHeight="1" x14ac:dyDescent="0.3">
      <c r="A1637" s="47"/>
      <c r="B1637" s="48"/>
      <c r="C1637" s="47"/>
      <c r="D1637" s="48"/>
      <c r="E1637" s="48"/>
      <c r="F1637" s="48"/>
      <c r="G1637" s="48"/>
      <c r="H1637" s="48"/>
      <c r="I1637" s="49"/>
      <c r="J1637" s="47"/>
      <c r="K1637" s="47"/>
      <c r="L1637" s="47"/>
      <c r="M1637" s="47"/>
      <c r="N1637" s="47"/>
      <c r="O1637" s="47"/>
      <c r="P1637" s="47"/>
      <c r="Q1637" s="47"/>
      <c r="R1637" s="47"/>
      <c r="S1637" s="50"/>
      <c r="T1637" s="47"/>
      <c r="U1637" s="47"/>
      <c r="V1637" s="47"/>
      <c r="W1637" s="51"/>
      <c r="X1637" s="51"/>
      <c r="Y1637" s="47"/>
      <c r="Z1637" s="47"/>
      <c r="AA1637" s="47"/>
      <c r="AB1637" s="47"/>
      <c r="AC1637" s="47"/>
      <c r="AD1637" s="47"/>
      <c r="AE1637" s="54"/>
      <c r="AF1637" s="54"/>
      <c r="AG1637" s="55"/>
      <c r="AH1637" s="54"/>
      <c r="AI1637" s="54"/>
      <c r="AJ1637" s="54"/>
      <c r="AK1637" s="54"/>
      <c r="AL1637" s="54"/>
      <c r="AM1637" s="54"/>
      <c r="AN1637" s="54"/>
      <c r="AO1637" s="54"/>
      <c r="AP1637" s="54"/>
      <c r="AQ1637" s="54"/>
      <c r="AR1637" s="54"/>
      <c r="AS1637" s="54"/>
      <c r="AT1637" s="54"/>
      <c r="AU1637" s="54"/>
      <c r="AV1637" s="54"/>
      <c r="AW1637" s="54"/>
      <c r="AX1637" s="54"/>
      <c r="AY1637" s="54"/>
      <c r="AZ1637" s="54"/>
      <c r="BA1637" s="54"/>
      <c r="BB1637" s="54"/>
      <c r="BC1637" s="56"/>
      <c r="BD1637" s="51"/>
      <c r="BE1637" s="54"/>
      <c r="BF1637" s="54"/>
      <c r="BG1637" s="47"/>
      <c r="BH1637" s="48"/>
      <c r="BI1637" s="48"/>
      <c r="BJ1637" s="48"/>
      <c r="BK1637" s="48"/>
      <c r="BL1637" s="48"/>
      <c r="BM1637" s="48"/>
      <c r="BN1637" s="48"/>
      <c r="BO1637" s="48"/>
      <c r="BP1637" s="48"/>
      <c r="BQ1637" s="48"/>
      <c r="BR1637" s="48"/>
      <c r="BS1637" s="48"/>
      <c r="BT1637" s="48"/>
      <c r="BU1637" s="48"/>
      <c r="BV1637" s="48"/>
      <c r="BW1637" s="48"/>
      <c r="BX1637" s="48"/>
      <c r="BY1637" s="48"/>
      <c r="BZ1637" s="48"/>
      <c r="CA1637" s="48"/>
      <c r="CB1637" s="48"/>
      <c r="CC1637" s="48"/>
      <c r="CD1637" s="48"/>
      <c r="CE1637" s="48"/>
      <c r="CF1637" s="52"/>
      <c r="CG1637" s="52"/>
      <c r="CH1637" s="48"/>
      <c r="CI1637" s="48"/>
      <c r="CJ1637" s="48"/>
      <c r="CK1637" s="48"/>
    </row>
    <row r="1638" spans="1:89" ht="15.75" customHeight="1" x14ac:dyDescent="0.3">
      <c r="A1638" s="47"/>
      <c r="B1638" s="48"/>
      <c r="C1638" s="47"/>
      <c r="D1638" s="48"/>
      <c r="E1638" s="48"/>
      <c r="F1638" s="48"/>
      <c r="G1638" s="48"/>
      <c r="H1638" s="48"/>
      <c r="I1638" s="49"/>
      <c r="J1638" s="47"/>
      <c r="K1638" s="47"/>
      <c r="L1638" s="47"/>
      <c r="M1638" s="47"/>
      <c r="N1638" s="47"/>
      <c r="O1638" s="47"/>
      <c r="P1638" s="47"/>
      <c r="Q1638" s="47"/>
      <c r="R1638" s="47"/>
      <c r="S1638" s="50"/>
      <c r="T1638" s="47"/>
      <c r="U1638" s="47"/>
      <c r="V1638" s="47"/>
      <c r="W1638" s="51"/>
      <c r="X1638" s="51"/>
      <c r="Y1638" s="47"/>
      <c r="Z1638" s="47"/>
      <c r="AA1638" s="47"/>
      <c r="AB1638" s="47"/>
      <c r="AC1638" s="47"/>
      <c r="AD1638" s="47"/>
      <c r="AE1638" s="54"/>
      <c r="AF1638" s="54"/>
      <c r="AG1638" s="55"/>
      <c r="AH1638" s="54"/>
      <c r="AI1638" s="54"/>
      <c r="AJ1638" s="54"/>
      <c r="AK1638" s="54"/>
      <c r="AL1638" s="54"/>
      <c r="AM1638" s="54"/>
      <c r="AN1638" s="54"/>
      <c r="AO1638" s="54"/>
      <c r="AP1638" s="54"/>
      <c r="AQ1638" s="54"/>
      <c r="AR1638" s="54"/>
      <c r="AS1638" s="54"/>
      <c r="AT1638" s="54"/>
      <c r="AU1638" s="54"/>
      <c r="AV1638" s="54"/>
      <c r="AW1638" s="54"/>
      <c r="AX1638" s="54"/>
      <c r="AY1638" s="54"/>
      <c r="AZ1638" s="54"/>
      <c r="BA1638" s="54"/>
      <c r="BB1638" s="54"/>
      <c r="BC1638" s="56"/>
      <c r="BD1638" s="51"/>
      <c r="BE1638" s="54"/>
      <c r="BF1638" s="54"/>
      <c r="BG1638" s="47"/>
      <c r="BH1638" s="48"/>
      <c r="BI1638" s="48"/>
      <c r="BJ1638" s="48"/>
      <c r="BK1638" s="48"/>
      <c r="BL1638" s="48"/>
      <c r="BM1638" s="48"/>
      <c r="BN1638" s="48"/>
      <c r="BO1638" s="48"/>
      <c r="BP1638" s="48"/>
      <c r="BQ1638" s="48"/>
      <c r="BR1638" s="48"/>
      <c r="BS1638" s="48"/>
      <c r="BT1638" s="48"/>
      <c r="BU1638" s="48"/>
      <c r="BV1638" s="48"/>
      <c r="BW1638" s="48"/>
      <c r="BX1638" s="48"/>
      <c r="BY1638" s="48"/>
      <c r="BZ1638" s="48"/>
      <c r="CA1638" s="48"/>
      <c r="CB1638" s="48"/>
      <c r="CC1638" s="48"/>
      <c r="CD1638" s="48"/>
      <c r="CE1638" s="48"/>
      <c r="CF1638" s="52"/>
      <c r="CG1638" s="52"/>
      <c r="CH1638" s="48"/>
      <c r="CI1638" s="48"/>
      <c r="CJ1638" s="48"/>
      <c r="CK1638" s="48"/>
    </row>
    <row r="1639" spans="1:89" ht="15.75" customHeight="1" x14ac:dyDescent="0.3">
      <c r="A1639" s="47"/>
      <c r="B1639" s="48"/>
      <c r="C1639" s="47"/>
      <c r="D1639" s="48"/>
      <c r="E1639" s="48"/>
      <c r="F1639" s="48"/>
      <c r="G1639" s="48"/>
      <c r="H1639" s="48"/>
      <c r="I1639" s="49"/>
      <c r="J1639" s="47"/>
      <c r="K1639" s="47"/>
      <c r="L1639" s="47"/>
      <c r="M1639" s="47"/>
      <c r="N1639" s="47"/>
      <c r="O1639" s="47"/>
      <c r="P1639" s="47"/>
      <c r="Q1639" s="47"/>
      <c r="R1639" s="47"/>
      <c r="S1639" s="50"/>
      <c r="T1639" s="47"/>
      <c r="U1639" s="47"/>
      <c r="V1639" s="47"/>
      <c r="W1639" s="51"/>
      <c r="X1639" s="51"/>
      <c r="Y1639" s="47"/>
      <c r="Z1639" s="47"/>
      <c r="AA1639" s="47"/>
      <c r="AB1639" s="47"/>
      <c r="AC1639" s="47"/>
      <c r="AD1639" s="47"/>
      <c r="AE1639" s="54"/>
      <c r="AF1639" s="54"/>
      <c r="AG1639" s="55"/>
      <c r="AH1639" s="54"/>
      <c r="AI1639" s="54"/>
      <c r="AJ1639" s="54"/>
      <c r="AK1639" s="54"/>
      <c r="AL1639" s="54"/>
      <c r="AM1639" s="54"/>
      <c r="AN1639" s="54"/>
      <c r="AO1639" s="54"/>
      <c r="AP1639" s="54"/>
      <c r="AQ1639" s="54"/>
      <c r="AR1639" s="54"/>
      <c r="AS1639" s="54"/>
      <c r="AT1639" s="54"/>
      <c r="AU1639" s="54"/>
      <c r="AV1639" s="54"/>
      <c r="AW1639" s="54"/>
      <c r="AX1639" s="54"/>
      <c r="AY1639" s="54"/>
      <c r="AZ1639" s="54"/>
      <c r="BA1639" s="54"/>
      <c r="BB1639" s="54"/>
      <c r="BC1639" s="56"/>
      <c r="BD1639" s="51"/>
      <c r="BE1639" s="54"/>
      <c r="BF1639" s="54"/>
      <c r="BG1639" s="47"/>
      <c r="BH1639" s="48"/>
      <c r="BI1639" s="48"/>
      <c r="BJ1639" s="48"/>
      <c r="BK1639" s="48"/>
      <c r="BL1639" s="48"/>
      <c r="BM1639" s="48"/>
      <c r="BN1639" s="48"/>
      <c r="BO1639" s="48"/>
      <c r="BP1639" s="48"/>
      <c r="BQ1639" s="48"/>
      <c r="BR1639" s="48"/>
      <c r="BS1639" s="48"/>
      <c r="BT1639" s="48"/>
      <c r="BU1639" s="48"/>
      <c r="BV1639" s="48"/>
      <c r="BW1639" s="48"/>
      <c r="BX1639" s="48"/>
      <c r="BY1639" s="48"/>
      <c r="BZ1639" s="48"/>
      <c r="CA1639" s="48"/>
      <c r="CB1639" s="48"/>
      <c r="CC1639" s="48"/>
      <c r="CD1639" s="48"/>
      <c r="CE1639" s="48"/>
      <c r="CF1639" s="52"/>
      <c r="CG1639" s="52"/>
      <c r="CH1639" s="48"/>
      <c r="CI1639" s="48"/>
      <c r="CJ1639" s="48"/>
      <c r="CK1639" s="48"/>
    </row>
    <row r="1640" spans="1:89" ht="15.75" customHeight="1" x14ac:dyDescent="0.3">
      <c r="A1640" s="47"/>
      <c r="B1640" s="48"/>
      <c r="C1640" s="47"/>
      <c r="D1640" s="48"/>
      <c r="E1640" s="48"/>
      <c r="F1640" s="48"/>
      <c r="G1640" s="48"/>
      <c r="H1640" s="48"/>
      <c r="I1640" s="49"/>
      <c r="J1640" s="47"/>
      <c r="K1640" s="47"/>
      <c r="L1640" s="47"/>
      <c r="M1640" s="47"/>
      <c r="N1640" s="47"/>
      <c r="O1640" s="47"/>
      <c r="P1640" s="47"/>
      <c r="Q1640" s="47"/>
      <c r="R1640" s="47"/>
      <c r="S1640" s="50"/>
      <c r="T1640" s="47"/>
      <c r="U1640" s="47"/>
      <c r="V1640" s="47"/>
      <c r="W1640" s="51"/>
      <c r="X1640" s="51"/>
      <c r="Y1640" s="47"/>
      <c r="Z1640" s="47"/>
      <c r="AA1640" s="47"/>
      <c r="AB1640" s="47"/>
      <c r="AC1640" s="47"/>
      <c r="AD1640" s="47"/>
      <c r="AE1640" s="54"/>
      <c r="AF1640" s="54"/>
      <c r="AG1640" s="55"/>
      <c r="AH1640" s="54"/>
      <c r="AI1640" s="54"/>
      <c r="AJ1640" s="54"/>
      <c r="AK1640" s="54"/>
      <c r="AL1640" s="54"/>
      <c r="AM1640" s="54"/>
      <c r="AN1640" s="54"/>
      <c r="AO1640" s="54"/>
      <c r="AP1640" s="54"/>
      <c r="AQ1640" s="54"/>
      <c r="AR1640" s="54"/>
      <c r="AS1640" s="54"/>
      <c r="AT1640" s="54"/>
      <c r="AU1640" s="54"/>
      <c r="AV1640" s="54"/>
      <c r="AW1640" s="54"/>
      <c r="AX1640" s="54"/>
      <c r="AY1640" s="54"/>
      <c r="AZ1640" s="54"/>
      <c r="BA1640" s="54"/>
      <c r="BB1640" s="54"/>
      <c r="BC1640" s="56"/>
      <c r="BD1640" s="51"/>
      <c r="BE1640" s="54"/>
      <c r="BF1640" s="54"/>
      <c r="BG1640" s="47"/>
      <c r="BH1640" s="48"/>
      <c r="BI1640" s="48"/>
      <c r="BJ1640" s="48"/>
      <c r="BK1640" s="48"/>
      <c r="BL1640" s="48"/>
      <c r="BM1640" s="48"/>
      <c r="BN1640" s="48"/>
      <c r="BO1640" s="48"/>
      <c r="BP1640" s="48"/>
      <c r="BQ1640" s="48"/>
      <c r="BR1640" s="48"/>
      <c r="BS1640" s="48"/>
      <c r="BT1640" s="48"/>
      <c r="BU1640" s="48"/>
      <c r="BV1640" s="48"/>
      <c r="BW1640" s="48"/>
      <c r="BX1640" s="48"/>
      <c r="BY1640" s="48"/>
      <c r="BZ1640" s="48"/>
      <c r="CA1640" s="48"/>
      <c r="CB1640" s="48"/>
      <c r="CC1640" s="48"/>
      <c r="CD1640" s="48"/>
      <c r="CE1640" s="48"/>
      <c r="CF1640" s="52"/>
      <c r="CG1640" s="52"/>
      <c r="CH1640" s="48"/>
      <c r="CI1640" s="48"/>
      <c r="CJ1640" s="48"/>
      <c r="CK1640" s="48"/>
    </row>
    <row r="1641" spans="1:89" ht="15.75" customHeight="1" x14ac:dyDescent="0.3">
      <c r="A1641" s="47"/>
      <c r="B1641" s="48"/>
      <c r="C1641" s="47"/>
      <c r="D1641" s="48"/>
      <c r="E1641" s="48"/>
      <c r="F1641" s="48"/>
      <c r="G1641" s="48"/>
      <c r="H1641" s="48"/>
      <c r="I1641" s="49"/>
      <c r="J1641" s="47"/>
      <c r="K1641" s="47"/>
      <c r="L1641" s="47"/>
      <c r="M1641" s="47"/>
      <c r="N1641" s="47"/>
      <c r="O1641" s="47"/>
      <c r="P1641" s="47"/>
      <c r="Q1641" s="47"/>
      <c r="R1641" s="47"/>
      <c r="S1641" s="50"/>
      <c r="T1641" s="47"/>
      <c r="U1641" s="47"/>
      <c r="V1641" s="47"/>
      <c r="W1641" s="51"/>
      <c r="X1641" s="51"/>
      <c r="Y1641" s="47"/>
      <c r="Z1641" s="47"/>
      <c r="AA1641" s="47"/>
      <c r="AB1641" s="47"/>
      <c r="AC1641" s="47"/>
      <c r="AD1641" s="47"/>
      <c r="AE1641" s="54"/>
      <c r="AF1641" s="54"/>
      <c r="AG1641" s="55"/>
      <c r="AH1641" s="54"/>
      <c r="AI1641" s="54"/>
      <c r="AJ1641" s="54"/>
      <c r="AK1641" s="54"/>
      <c r="AL1641" s="54"/>
      <c r="AM1641" s="54"/>
      <c r="AN1641" s="54"/>
      <c r="AO1641" s="54"/>
      <c r="AP1641" s="54"/>
      <c r="AQ1641" s="54"/>
      <c r="AR1641" s="54"/>
      <c r="AS1641" s="54"/>
      <c r="AT1641" s="54"/>
      <c r="AU1641" s="54"/>
      <c r="AV1641" s="54"/>
      <c r="AW1641" s="54"/>
      <c r="AX1641" s="54"/>
      <c r="AY1641" s="54"/>
      <c r="AZ1641" s="54"/>
      <c r="BA1641" s="54"/>
      <c r="BB1641" s="54"/>
      <c r="BC1641" s="56"/>
      <c r="BD1641" s="51"/>
      <c r="BE1641" s="54"/>
      <c r="BF1641" s="54"/>
      <c r="BG1641" s="47"/>
      <c r="BH1641" s="48"/>
      <c r="BI1641" s="48"/>
      <c r="BJ1641" s="48"/>
      <c r="BK1641" s="48"/>
      <c r="BL1641" s="48"/>
      <c r="BM1641" s="48"/>
      <c r="BN1641" s="48"/>
      <c r="BO1641" s="48"/>
      <c r="BP1641" s="48"/>
      <c r="BQ1641" s="48"/>
      <c r="BR1641" s="48"/>
      <c r="BS1641" s="48"/>
      <c r="BT1641" s="48"/>
      <c r="BU1641" s="48"/>
      <c r="BV1641" s="48"/>
      <c r="BW1641" s="48"/>
      <c r="BX1641" s="48"/>
      <c r="BY1641" s="48"/>
      <c r="BZ1641" s="48"/>
      <c r="CA1641" s="48"/>
      <c r="CB1641" s="48"/>
      <c r="CC1641" s="48"/>
      <c r="CD1641" s="48"/>
      <c r="CE1641" s="48"/>
      <c r="CF1641" s="52"/>
      <c r="CG1641" s="52"/>
      <c r="CH1641" s="48"/>
      <c r="CI1641" s="48"/>
      <c r="CJ1641" s="48"/>
      <c r="CK1641" s="48"/>
    </row>
    <row r="1642" spans="1:89" ht="15.75" customHeight="1" x14ac:dyDescent="0.3">
      <c r="A1642" s="47"/>
      <c r="B1642" s="48"/>
      <c r="C1642" s="47"/>
      <c r="D1642" s="48"/>
      <c r="E1642" s="48"/>
      <c r="F1642" s="48"/>
      <c r="G1642" s="48"/>
      <c r="H1642" s="48"/>
      <c r="I1642" s="49"/>
      <c r="J1642" s="47"/>
      <c r="K1642" s="47"/>
      <c r="L1642" s="47"/>
      <c r="M1642" s="47"/>
      <c r="N1642" s="47"/>
      <c r="O1642" s="47"/>
      <c r="P1642" s="47"/>
      <c r="Q1642" s="47"/>
      <c r="R1642" s="47"/>
      <c r="S1642" s="50"/>
      <c r="T1642" s="47"/>
      <c r="U1642" s="47"/>
      <c r="V1642" s="47"/>
      <c r="W1642" s="51"/>
      <c r="X1642" s="51"/>
      <c r="Y1642" s="47"/>
      <c r="Z1642" s="47"/>
      <c r="AA1642" s="47"/>
      <c r="AB1642" s="47"/>
      <c r="AC1642" s="47"/>
      <c r="AD1642" s="47"/>
      <c r="AE1642" s="54"/>
      <c r="AF1642" s="54"/>
      <c r="AG1642" s="55"/>
      <c r="AH1642" s="54"/>
      <c r="AI1642" s="54"/>
      <c r="AJ1642" s="54"/>
      <c r="AK1642" s="54"/>
      <c r="AL1642" s="54"/>
      <c r="AM1642" s="54"/>
      <c r="AN1642" s="54"/>
      <c r="AO1642" s="54"/>
      <c r="AP1642" s="54"/>
      <c r="AQ1642" s="54"/>
      <c r="AR1642" s="54"/>
      <c r="AS1642" s="54"/>
      <c r="AT1642" s="54"/>
      <c r="AU1642" s="54"/>
      <c r="AV1642" s="54"/>
      <c r="AW1642" s="54"/>
      <c r="AX1642" s="54"/>
      <c r="AY1642" s="54"/>
      <c r="AZ1642" s="54"/>
      <c r="BA1642" s="54"/>
      <c r="BB1642" s="54"/>
      <c r="BC1642" s="56"/>
      <c r="BD1642" s="51"/>
      <c r="BE1642" s="54"/>
      <c r="BF1642" s="54"/>
      <c r="BG1642" s="47"/>
      <c r="BH1642" s="48"/>
      <c r="BI1642" s="48"/>
      <c r="BJ1642" s="48"/>
      <c r="BK1642" s="48"/>
      <c r="BL1642" s="48"/>
      <c r="BM1642" s="48"/>
      <c r="BN1642" s="48"/>
      <c r="BO1642" s="48"/>
      <c r="BP1642" s="48"/>
      <c r="BQ1642" s="48"/>
      <c r="BR1642" s="48"/>
      <c r="BS1642" s="48"/>
      <c r="BT1642" s="48"/>
      <c r="BU1642" s="48"/>
      <c r="BV1642" s="48"/>
      <c r="BW1642" s="48"/>
      <c r="BX1642" s="48"/>
      <c r="BY1642" s="48"/>
      <c r="BZ1642" s="48"/>
      <c r="CA1642" s="48"/>
      <c r="CB1642" s="48"/>
      <c r="CC1642" s="48"/>
      <c r="CD1642" s="48"/>
      <c r="CE1642" s="48"/>
      <c r="CF1642" s="52"/>
      <c r="CG1642" s="52"/>
      <c r="CH1642" s="48"/>
      <c r="CI1642" s="48"/>
      <c r="CJ1642" s="48"/>
      <c r="CK1642" s="48"/>
    </row>
    <row r="1643" spans="1:89" ht="15.75" customHeight="1" x14ac:dyDescent="0.3">
      <c r="A1643" s="47"/>
      <c r="B1643" s="48"/>
      <c r="C1643" s="47"/>
      <c r="D1643" s="48"/>
      <c r="E1643" s="48"/>
      <c r="F1643" s="48"/>
      <c r="G1643" s="48"/>
      <c r="H1643" s="48"/>
      <c r="I1643" s="49"/>
      <c r="J1643" s="47"/>
      <c r="K1643" s="47"/>
      <c r="L1643" s="47"/>
      <c r="M1643" s="47"/>
      <c r="N1643" s="47"/>
      <c r="O1643" s="47"/>
      <c r="P1643" s="47"/>
      <c r="Q1643" s="47"/>
      <c r="R1643" s="47"/>
      <c r="S1643" s="50"/>
      <c r="T1643" s="47"/>
      <c r="U1643" s="47"/>
      <c r="V1643" s="47"/>
      <c r="W1643" s="51"/>
      <c r="X1643" s="51"/>
      <c r="Y1643" s="47"/>
      <c r="Z1643" s="47"/>
      <c r="AA1643" s="47"/>
      <c r="AB1643" s="47"/>
      <c r="AC1643" s="47"/>
      <c r="AD1643" s="47"/>
      <c r="AE1643" s="54"/>
      <c r="AF1643" s="54"/>
      <c r="AG1643" s="55"/>
      <c r="AH1643" s="54"/>
      <c r="AI1643" s="54"/>
      <c r="AJ1643" s="54"/>
      <c r="AK1643" s="54"/>
      <c r="AL1643" s="54"/>
      <c r="AM1643" s="54"/>
      <c r="AN1643" s="54"/>
      <c r="AO1643" s="54"/>
      <c r="AP1643" s="54"/>
      <c r="AQ1643" s="54"/>
      <c r="AR1643" s="54"/>
      <c r="AS1643" s="54"/>
      <c r="AT1643" s="54"/>
      <c r="AU1643" s="54"/>
      <c r="AV1643" s="54"/>
      <c r="AW1643" s="54"/>
      <c r="AX1643" s="54"/>
      <c r="AY1643" s="54"/>
      <c r="AZ1643" s="54"/>
      <c r="BA1643" s="54"/>
      <c r="BB1643" s="54"/>
      <c r="BC1643" s="56"/>
      <c r="BD1643" s="51"/>
      <c r="BE1643" s="54"/>
      <c r="BF1643" s="54"/>
      <c r="BG1643" s="47"/>
      <c r="BH1643" s="48"/>
      <c r="BI1643" s="48"/>
      <c r="BJ1643" s="48"/>
      <c r="BK1643" s="48"/>
      <c r="BL1643" s="48"/>
      <c r="BM1643" s="48"/>
      <c r="BN1643" s="48"/>
      <c r="BO1643" s="48"/>
      <c r="BP1643" s="48"/>
      <c r="BQ1643" s="48"/>
      <c r="BR1643" s="48"/>
      <c r="BS1643" s="48"/>
      <c r="BT1643" s="48"/>
      <c r="BU1643" s="48"/>
      <c r="BV1643" s="48"/>
      <c r="BW1643" s="48"/>
      <c r="BX1643" s="48"/>
      <c r="BY1643" s="48"/>
      <c r="BZ1643" s="48"/>
      <c r="CA1643" s="48"/>
      <c r="CB1643" s="48"/>
      <c r="CC1643" s="48"/>
      <c r="CD1643" s="48"/>
      <c r="CE1643" s="48"/>
      <c r="CF1643" s="52"/>
      <c r="CG1643" s="52"/>
      <c r="CH1643" s="48"/>
      <c r="CI1643" s="48"/>
      <c r="CJ1643" s="48"/>
      <c r="CK1643" s="48"/>
    </row>
    <row r="1644" spans="1:89" ht="15.75" customHeight="1" x14ac:dyDescent="0.3">
      <c r="A1644" s="47"/>
      <c r="B1644" s="48"/>
      <c r="C1644" s="47"/>
      <c r="D1644" s="48"/>
      <c r="E1644" s="48"/>
      <c r="F1644" s="48"/>
      <c r="G1644" s="48"/>
      <c r="H1644" s="48"/>
      <c r="I1644" s="49"/>
      <c r="J1644" s="47"/>
      <c r="K1644" s="47"/>
      <c r="L1644" s="47"/>
      <c r="M1644" s="47"/>
      <c r="N1644" s="47"/>
      <c r="O1644" s="47"/>
      <c r="P1644" s="47"/>
      <c r="Q1644" s="47"/>
      <c r="R1644" s="47"/>
      <c r="S1644" s="50"/>
      <c r="T1644" s="47"/>
      <c r="U1644" s="47"/>
      <c r="V1644" s="47"/>
      <c r="W1644" s="51"/>
      <c r="X1644" s="51"/>
      <c r="Y1644" s="47"/>
      <c r="Z1644" s="47"/>
      <c r="AA1644" s="47"/>
      <c r="AB1644" s="47"/>
      <c r="AC1644" s="47"/>
      <c r="AD1644" s="47"/>
      <c r="AE1644" s="54"/>
      <c r="AF1644" s="54"/>
      <c r="AG1644" s="55"/>
      <c r="AH1644" s="54"/>
      <c r="AI1644" s="54"/>
      <c r="AJ1644" s="54"/>
      <c r="AK1644" s="54"/>
      <c r="AL1644" s="54"/>
      <c r="AM1644" s="54"/>
      <c r="AN1644" s="54"/>
      <c r="AO1644" s="54"/>
      <c r="AP1644" s="54"/>
      <c r="AQ1644" s="54"/>
      <c r="AR1644" s="54"/>
      <c r="AS1644" s="54"/>
      <c r="AT1644" s="54"/>
      <c r="AU1644" s="54"/>
      <c r="AV1644" s="54"/>
      <c r="AW1644" s="54"/>
      <c r="AX1644" s="54"/>
      <c r="AY1644" s="54"/>
      <c r="AZ1644" s="54"/>
      <c r="BA1644" s="54"/>
      <c r="BB1644" s="54"/>
      <c r="BC1644" s="56"/>
      <c r="BD1644" s="51"/>
      <c r="BE1644" s="54"/>
      <c r="BF1644" s="54"/>
      <c r="BG1644" s="47"/>
      <c r="BH1644" s="48"/>
      <c r="BI1644" s="48"/>
      <c r="BJ1644" s="48"/>
      <c r="BK1644" s="48"/>
      <c r="BL1644" s="48"/>
      <c r="BM1644" s="48"/>
      <c r="BN1644" s="48"/>
      <c r="BO1644" s="48"/>
      <c r="BP1644" s="48"/>
      <c r="BQ1644" s="48"/>
      <c r="BR1644" s="48"/>
      <c r="BS1644" s="48"/>
      <c r="BT1644" s="48"/>
      <c r="BU1644" s="48"/>
      <c r="BV1644" s="48"/>
      <c r="BW1644" s="48"/>
      <c r="BX1644" s="48"/>
      <c r="BY1644" s="48"/>
      <c r="BZ1644" s="48"/>
      <c r="CA1644" s="48"/>
      <c r="CB1644" s="48"/>
      <c r="CC1644" s="48"/>
      <c r="CD1644" s="48"/>
      <c r="CE1644" s="48"/>
      <c r="CF1644" s="52"/>
      <c r="CG1644" s="52"/>
      <c r="CH1644" s="48"/>
      <c r="CI1644" s="48"/>
      <c r="CJ1644" s="48"/>
      <c r="CK1644" s="48"/>
    </row>
    <row r="1645" spans="1:89" ht="15.75" customHeight="1" x14ac:dyDescent="0.3">
      <c r="A1645" s="47"/>
      <c r="B1645" s="48"/>
      <c r="C1645" s="47"/>
      <c r="D1645" s="48"/>
      <c r="E1645" s="48"/>
      <c r="F1645" s="48"/>
      <c r="G1645" s="48"/>
      <c r="H1645" s="48"/>
      <c r="I1645" s="49"/>
      <c r="J1645" s="47"/>
      <c r="K1645" s="47"/>
      <c r="L1645" s="47"/>
      <c r="M1645" s="47"/>
      <c r="N1645" s="47"/>
      <c r="O1645" s="47"/>
      <c r="P1645" s="47"/>
      <c r="Q1645" s="47"/>
      <c r="R1645" s="47"/>
      <c r="S1645" s="50"/>
      <c r="T1645" s="47"/>
      <c r="U1645" s="47"/>
      <c r="V1645" s="47"/>
      <c r="W1645" s="51"/>
      <c r="X1645" s="51"/>
      <c r="Y1645" s="47"/>
      <c r="Z1645" s="47"/>
      <c r="AA1645" s="47"/>
      <c r="AB1645" s="47"/>
      <c r="AC1645" s="47"/>
      <c r="AD1645" s="47"/>
      <c r="AE1645" s="54"/>
      <c r="AF1645" s="54"/>
      <c r="AG1645" s="55"/>
      <c r="AH1645" s="54"/>
      <c r="AI1645" s="54"/>
      <c r="AJ1645" s="54"/>
      <c r="AK1645" s="54"/>
      <c r="AL1645" s="54"/>
      <c r="AM1645" s="54"/>
      <c r="AN1645" s="54"/>
      <c r="AO1645" s="54"/>
      <c r="AP1645" s="54"/>
      <c r="AQ1645" s="54"/>
      <c r="AR1645" s="54"/>
      <c r="AS1645" s="54"/>
      <c r="AT1645" s="54"/>
      <c r="AU1645" s="54"/>
      <c r="AV1645" s="54"/>
      <c r="AW1645" s="54"/>
      <c r="AX1645" s="54"/>
      <c r="AY1645" s="54"/>
      <c r="AZ1645" s="54"/>
      <c r="BA1645" s="54"/>
      <c r="BB1645" s="54"/>
      <c r="BC1645" s="56"/>
      <c r="BD1645" s="51"/>
      <c r="BE1645" s="54"/>
      <c r="BF1645" s="54"/>
      <c r="BG1645" s="47"/>
      <c r="BH1645" s="48"/>
      <c r="BI1645" s="48"/>
      <c r="BJ1645" s="48"/>
      <c r="BK1645" s="48"/>
      <c r="BL1645" s="48"/>
      <c r="BM1645" s="48"/>
      <c r="BN1645" s="48"/>
      <c r="BO1645" s="48"/>
      <c r="BP1645" s="48"/>
      <c r="BQ1645" s="48"/>
      <c r="BR1645" s="48"/>
      <c r="BS1645" s="48"/>
      <c r="BT1645" s="48"/>
      <c r="BU1645" s="48"/>
      <c r="BV1645" s="48"/>
      <c r="BW1645" s="48"/>
      <c r="BX1645" s="48"/>
      <c r="BY1645" s="48"/>
      <c r="BZ1645" s="48"/>
      <c r="CA1645" s="48"/>
      <c r="CB1645" s="48"/>
      <c r="CC1645" s="48"/>
      <c r="CD1645" s="48"/>
      <c r="CE1645" s="48"/>
      <c r="CF1645" s="52"/>
      <c r="CG1645" s="52"/>
      <c r="CH1645" s="48"/>
      <c r="CI1645" s="48"/>
      <c r="CJ1645" s="48"/>
      <c r="CK1645" s="48"/>
    </row>
    <row r="1646" spans="1:89" ht="15.75" customHeight="1" x14ac:dyDescent="0.3">
      <c r="A1646" s="47"/>
      <c r="B1646" s="48"/>
      <c r="C1646" s="47"/>
      <c r="D1646" s="48"/>
      <c r="E1646" s="48"/>
      <c r="F1646" s="48"/>
      <c r="G1646" s="48"/>
      <c r="H1646" s="48"/>
      <c r="I1646" s="49"/>
      <c r="J1646" s="47"/>
      <c r="K1646" s="47"/>
      <c r="L1646" s="47"/>
      <c r="M1646" s="47"/>
      <c r="N1646" s="47"/>
      <c r="O1646" s="47"/>
      <c r="P1646" s="47"/>
      <c r="Q1646" s="47"/>
      <c r="R1646" s="47"/>
      <c r="S1646" s="50"/>
      <c r="T1646" s="47"/>
      <c r="U1646" s="47"/>
      <c r="V1646" s="47"/>
      <c r="W1646" s="51"/>
      <c r="X1646" s="51"/>
      <c r="Y1646" s="47"/>
      <c r="Z1646" s="47"/>
      <c r="AA1646" s="47"/>
      <c r="AB1646" s="47"/>
      <c r="AC1646" s="47"/>
      <c r="AD1646" s="47"/>
      <c r="AE1646" s="54"/>
      <c r="AF1646" s="54"/>
      <c r="AG1646" s="55"/>
      <c r="AH1646" s="54"/>
      <c r="AI1646" s="54"/>
      <c r="AJ1646" s="54"/>
      <c r="AK1646" s="54"/>
      <c r="AL1646" s="54"/>
      <c r="AM1646" s="54"/>
      <c r="AN1646" s="54"/>
      <c r="AO1646" s="54"/>
      <c r="AP1646" s="54"/>
      <c r="AQ1646" s="54"/>
      <c r="AR1646" s="54"/>
      <c r="AS1646" s="54"/>
      <c r="AT1646" s="54"/>
      <c r="AU1646" s="54"/>
      <c r="AV1646" s="54"/>
      <c r="AW1646" s="54"/>
      <c r="AX1646" s="54"/>
      <c r="AY1646" s="54"/>
      <c r="AZ1646" s="54"/>
      <c r="BA1646" s="54"/>
      <c r="BB1646" s="54"/>
      <c r="BC1646" s="56"/>
      <c r="BD1646" s="51"/>
      <c r="BE1646" s="54"/>
      <c r="BF1646" s="54"/>
      <c r="BG1646" s="47"/>
      <c r="BH1646" s="48"/>
      <c r="BI1646" s="48"/>
      <c r="BJ1646" s="48"/>
      <c r="BK1646" s="48"/>
      <c r="BL1646" s="48"/>
      <c r="BM1646" s="48"/>
      <c r="BN1646" s="48"/>
      <c r="BO1646" s="48"/>
      <c r="BP1646" s="48"/>
      <c r="BQ1646" s="48"/>
      <c r="BR1646" s="48"/>
      <c r="BS1646" s="48"/>
      <c r="BT1646" s="48"/>
      <c r="BU1646" s="48"/>
      <c r="BV1646" s="48"/>
      <c r="BW1646" s="48"/>
      <c r="BX1646" s="48"/>
      <c r="BY1646" s="48"/>
      <c r="BZ1646" s="48"/>
      <c r="CA1646" s="48"/>
      <c r="CB1646" s="48"/>
      <c r="CC1646" s="48"/>
      <c r="CD1646" s="48"/>
      <c r="CE1646" s="48"/>
      <c r="CF1646" s="52"/>
      <c r="CG1646" s="52"/>
      <c r="CH1646" s="48"/>
      <c r="CI1646" s="48"/>
      <c r="CJ1646" s="48"/>
      <c r="CK1646" s="48"/>
    </row>
    <row r="1647" spans="1:89" ht="15.75" customHeight="1" x14ac:dyDescent="0.3">
      <c r="A1647" s="47"/>
      <c r="B1647" s="48"/>
      <c r="C1647" s="47"/>
      <c r="D1647" s="48"/>
      <c r="E1647" s="48"/>
      <c r="F1647" s="48"/>
      <c r="G1647" s="48"/>
      <c r="H1647" s="48"/>
      <c r="I1647" s="49"/>
      <c r="J1647" s="47"/>
      <c r="K1647" s="47"/>
      <c r="L1647" s="47"/>
      <c r="M1647" s="47"/>
      <c r="N1647" s="47"/>
      <c r="O1647" s="47"/>
      <c r="P1647" s="47"/>
      <c r="Q1647" s="47"/>
      <c r="R1647" s="47"/>
      <c r="S1647" s="50"/>
      <c r="T1647" s="47"/>
      <c r="U1647" s="47"/>
      <c r="V1647" s="47"/>
      <c r="W1647" s="51"/>
      <c r="X1647" s="51"/>
      <c r="Y1647" s="47"/>
      <c r="Z1647" s="47"/>
      <c r="AA1647" s="47"/>
      <c r="AB1647" s="47"/>
      <c r="AC1647" s="47"/>
      <c r="AD1647" s="47"/>
      <c r="AE1647" s="54"/>
      <c r="AF1647" s="54"/>
      <c r="AG1647" s="55"/>
      <c r="AH1647" s="54"/>
      <c r="AI1647" s="54"/>
      <c r="AJ1647" s="54"/>
      <c r="AK1647" s="54"/>
      <c r="AL1647" s="54"/>
      <c r="AM1647" s="54"/>
      <c r="AN1647" s="54"/>
      <c r="AO1647" s="54"/>
      <c r="AP1647" s="54"/>
      <c r="AQ1647" s="54"/>
      <c r="AR1647" s="54"/>
      <c r="AS1647" s="54"/>
      <c r="AT1647" s="54"/>
      <c r="AU1647" s="54"/>
      <c r="AV1647" s="54"/>
      <c r="AW1647" s="54"/>
      <c r="AX1647" s="54"/>
      <c r="AY1647" s="54"/>
      <c r="AZ1647" s="54"/>
      <c r="BA1647" s="54"/>
      <c r="BB1647" s="54"/>
      <c r="BC1647" s="56"/>
      <c r="BD1647" s="51"/>
      <c r="BE1647" s="54"/>
      <c r="BF1647" s="54"/>
      <c r="BG1647" s="47"/>
      <c r="BH1647" s="48"/>
      <c r="BI1647" s="48"/>
      <c r="BJ1647" s="48"/>
      <c r="BK1647" s="48"/>
      <c r="BL1647" s="48"/>
      <c r="BM1647" s="48"/>
      <c r="BN1647" s="48"/>
      <c r="BO1647" s="48"/>
      <c r="BP1647" s="48"/>
      <c r="BQ1647" s="48"/>
      <c r="BR1647" s="48"/>
      <c r="BS1647" s="48"/>
      <c r="BT1647" s="48"/>
      <c r="BU1647" s="48"/>
      <c r="BV1647" s="48"/>
      <c r="BW1647" s="48"/>
      <c r="BX1647" s="48"/>
      <c r="BY1647" s="48"/>
      <c r="BZ1647" s="48"/>
      <c r="CA1647" s="48"/>
      <c r="CB1647" s="48"/>
      <c r="CC1647" s="48"/>
      <c r="CD1647" s="48"/>
      <c r="CE1647" s="48"/>
      <c r="CF1647" s="52"/>
      <c r="CG1647" s="52"/>
      <c r="CH1647" s="48"/>
      <c r="CI1647" s="48"/>
      <c r="CJ1647" s="48"/>
      <c r="CK1647" s="48"/>
    </row>
    <row r="1648" spans="1:89" ht="15.75" customHeight="1" x14ac:dyDescent="0.3">
      <c r="A1648" s="47"/>
      <c r="B1648" s="48"/>
      <c r="C1648" s="47"/>
      <c r="D1648" s="48"/>
      <c r="E1648" s="48"/>
      <c r="F1648" s="48"/>
      <c r="G1648" s="48"/>
      <c r="H1648" s="48"/>
      <c r="I1648" s="49"/>
      <c r="J1648" s="47"/>
      <c r="K1648" s="47"/>
      <c r="L1648" s="47"/>
      <c r="M1648" s="47"/>
      <c r="N1648" s="47"/>
      <c r="O1648" s="47"/>
      <c r="P1648" s="47"/>
      <c r="Q1648" s="47"/>
      <c r="R1648" s="47"/>
      <c r="S1648" s="50"/>
      <c r="T1648" s="47"/>
      <c r="U1648" s="47"/>
      <c r="V1648" s="47"/>
      <c r="W1648" s="51"/>
      <c r="X1648" s="51"/>
      <c r="Y1648" s="47"/>
      <c r="Z1648" s="47"/>
      <c r="AA1648" s="47"/>
      <c r="AB1648" s="47"/>
      <c r="AC1648" s="47"/>
      <c r="AD1648" s="47"/>
      <c r="AE1648" s="54"/>
      <c r="AF1648" s="54"/>
      <c r="AG1648" s="55"/>
      <c r="AH1648" s="54"/>
      <c r="AI1648" s="54"/>
      <c r="AJ1648" s="54"/>
      <c r="AK1648" s="54"/>
      <c r="AL1648" s="54"/>
      <c r="AM1648" s="54"/>
      <c r="AN1648" s="54"/>
      <c r="AO1648" s="54"/>
      <c r="AP1648" s="54"/>
      <c r="AQ1648" s="54"/>
      <c r="AR1648" s="54"/>
      <c r="AS1648" s="54"/>
      <c r="AT1648" s="54"/>
      <c r="AU1648" s="54"/>
      <c r="AV1648" s="54"/>
      <c r="AW1648" s="54"/>
      <c r="AX1648" s="54"/>
      <c r="AY1648" s="54"/>
      <c r="AZ1648" s="54"/>
      <c r="BA1648" s="54"/>
      <c r="BB1648" s="54"/>
      <c r="BC1648" s="56"/>
      <c r="BD1648" s="51"/>
      <c r="BE1648" s="54"/>
      <c r="BF1648" s="54"/>
      <c r="BG1648" s="47"/>
      <c r="BH1648" s="48"/>
      <c r="BI1648" s="48"/>
      <c r="BJ1648" s="48"/>
      <c r="BK1648" s="48"/>
      <c r="BL1648" s="48"/>
      <c r="BM1648" s="48"/>
      <c r="BN1648" s="48"/>
      <c r="BO1648" s="48"/>
      <c r="BP1648" s="48"/>
      <c r="BQ1648" s="48"/>
      <c r="BR1648" s="48"/>
      <c r="BS1648" s="48"/>
      <c r="BT1648" s="48"/>
      <c r="BU1648" s="48"/>
      <c r="BV1648" s="48"/>
      <c r="BW1648" s="48"/>
      <c r="BX1648" s="48"/>
      <c r="BY1648" s="48"/>
      <c r="BZ1648" s="48"/>
      <c r="CA1648" s="48"/>
      <c r="CB1648" s="48"/>
      <c r="CC1648" s="48"/>
      <c r="CD1648" s="48"/>
      <c r="CE1648" s="48"/>
      <c r="CF1648" s="52"/>
      <c r="CG1648" s="52"/>
      <c r="CH1648" s="48"/>
      <c r="CI1648" s="48"/>
      <c r="CJ1648" s="48"/>
      <c r="CK1648" s="48"/>
    </row>
    <row r="1649" spans="1:89" ht="15.75" customHeight="1" x14ac:dyDescent="0.3">
      <c r="A1649" s="47"/>
      <c r="B1649" s="48"/>
      <c r="C1649" s="47"/>
      <c r="D1649" s="48"/>
      <c r="E1649" s="48"/>
      <c r="F1649" s="48"/>
      <c r="G1649" s="48"/>
      <c r="H1649" s="48"/>
      <c r="I1649" s="49"/>
      <c r="J1649" s="47"/>
      <c r="K1649" s="47"/>
      <c r="L1649" s="47"/>
      <c r="M1649" s="47"/>
      <c r="N1649" s="47"/>
      <c r="O1649" s="47"/>
      <c r="P1649" s="47"/>
      <c r="Q1649" s="47"/>
      <c r="R1649" s="47"/>
      <c r="S1649" s="50"/>
      <c r="T1649" s="47"/>
      <c r="U1649" s="47"/>
      <c r="V1649" s="47"/>
      <c r="W1649" s="51"/>
      <c r="X1649" s="51"/>
      <c r="Y1649" s="47"/>
      <c r="Z1649" s="47"/>
      <c r="AA1649" s="47"/>
      <c r="AB1649" s="47"/>
      <c r="AC1649" s="47"/>
      <c r="AD1649" s="47"/>
      <c r="AE1649" s="54"/>
      <c r="AF1649" s="54"/>
      <c r="AG1649" s="55"/>
      <c r="AH1649" s="54"/>
      <c r="AI1649" s="54"/>
      <c r="AJ1649" s="54"/>
      <c r="AK1649" s="54"/>
      <c r="AL1649" s="54"/>
      <c r="AM1649" s="54"/>
      <c r="AN1649" s="54"/>
      <c r="AO1649" s="54"/>
      <c r="AP1649" s="54"/>
      <c r="AQ1649" s="54"/>
      <c r="AR1649" s="54"/>
      <c r="AS1649" s="54"/>
      <c r="AT1649" s="54"/>
      <c r="AU1649" s="54"/>
      <c r="AV1649" s="54"/>
      <c r="AW1649" s="54"/>
      <c r="AX1649" s="54"/>
      <c r="AY1649" s="54"/>
      <c r="AZ1649" s="54"/>
      <c r="BA1649" s="54"/>
      <c r="BB1649" s="54"/>
      <c r="BC1649" s="56"/>
      <c r="BD1649" s="51"/>
      <c r="BE1649" s="54"/>
      <c r="BF1649" s="54"/>
      <c r="BG1649" s="47"/>
      <c r="BH1649" s="48"/>
      <c r="BI1649" s="48"/>
      <c r="BJ1649" s="48"/>
      <c r="BK1649" s="48"/>
      <c r="BL1649" s="48"/>
      <c r="BM1649" s="48"/>
      <c r="BN1649" s="48"/>
      <c r="BO1649" s="48"/>
      <c r="BP1649" s="48"/>
      <c r="BQ1649" s="48"/>
      <c r="BR1649" s="48"/>
      <c r="BS1649" s="48"/>
      <c r="BT1649" s="48"/>
      <c r="BU1649" s="48"/>
      <c r="BV1649" s="48"/>
      <c r="BW1649" s="48"/>
      <c r="BX1649" s="48"/>
      <c r="BY1649" s="48"/>
      <c r="BZ1649" s="48"/>
      <c r="CA1649" s="48"/>
      <c r="CB1649" s="48"/>
      <c r="CC1649" s="48"/>
      <c r="CD1649" s="48"/>
      <c r="CE1649" s="48"/>
      <c r="CF1649" s="52"/>
      <c r="CG1649" s="52"/>
      <c r="CH1649" s="48"/>
      <c r="CI1649" s="48"/>
      <c r="CJ1649" s="48"/>
      <c r="CK1649" s="48"/>
    </row>
    <row r="1650" spans="1:89" ht="15.75" customHeight="1" x14ac:dyDescent="0.3">
      <c r="A1650" s="47"/>
      <c r="B1650" s="48"/>
      <c r="C1650" s="47"/>
      <c r="D1650" s="48"/>
      <c r="E1650" s="48"/>
      <c r="F1650" s="48"/>
      <c r="G1650" s="48"/>
      <c r="H1650" s="48"/>
      <c r="I1650" s="49"/>
      <c r="J1650" s="47"/>
      <c r="K1650" s="47"/>
      <c r="L1650" s="47"/>
      <c r="M1650" s="47"/>
      <c r="N1650" s="47"/>
      <c r="O1650" s="47"/>
      <c r="P1650" s="47"/>
      <c r="Q1650" s="47"/>
      <c r="R1650" s="47"/>
      <c r="S1650" s="50"/>
      <c r="T1650" s="47"/>
      <c r="U1650" s="47"/>
      <c r="V1650" s="47"/>
      <c r="W1650" s="51"/>
      <c r="X1650" s="51"/>
      <c r="Y1650" s="47"/>
      <c r="Z1650" s="47"/>
      <c r="AA1650" s="47"/>
      <c r="AB1650" s="47"/>
      <c r="AC1650" s="47"/>
      <c r="AD1650" s="47"/>
      <c r="AE1650" s="54"/>
      <c r="AF1650" s="54"/>
      <c r="AG1650" s="55"/>
      <c r="AH1650" s="54"/>
      <c r="AI1650" s="54"/>
      <c r="AJ1650" s="54"/>
      <c r="AK1650" s="54"/>
      <c r="AL1650" s="54"/>
      <c r="AM1650" s="54"/>
      <c r="AN1650" s="54"/>
      <c r="AO1650" s="54"/>
      <c r="AP1650" s="54"/>
      <c r="AQ1650" s="54"/>
      <c r="AR1650" s="54"/>
      <c r="AS1650" s="54"/>
      <c r="AT1650" s="54"/>
      <c r="AU1650" s="54"/>
      <c r="AV1650" s="54"/>
      <c r="AW1650" s="54"/>
      <c r="AX1650" s="54"/>
      <c r="AY1650" s="54"/>
      <c r="AZ1650" s="54"/>
      <c r="BA1650" s="54"/>
      <c r="BB1650" s="54"/>
      <c r="BC1650" s="56"/>
      <c r="BD1650" s="51"/>
      <c r="BE1650" s="54"/>
      <c r="BF1650" s="54"/>
      <c r="BG1650" s="47"/>
      <c r="BH1650" s="48"/>
      <c r="BI1650" s="48"/>
      <c r="BJ1650" s="48"/>
      <c r="BK1650" s="48"/>
      <c r="BL1650" s="48"/>
      <c r="BM1650" s="48"/>
      <c r="BN1650" s="48"/>
      <c r="BO1650" s="48"/>
      <c r="BP1650" s="48"/>
      <c r="BQ1650" s="48"/>
      <c r="BR1650" s="48"/>
      <c r="BS1650" s="48"/>
      <c r="BT1650" s="48"/>
      <c r="BU1650" s="48"/>
      <c r="BV1650" s="48"/>
      <c r="BW1650" s="48"/>
      <c r="BX1650" s="48"/>
      <c r="BY1650" s="48"/>
      <c r="BZ1650" s="48"/>
      <c r="CA1650" s="48"/>
      <c r="CB1650" s="48"/>
      <c r="CC1650" s="48"/>
      <c r="CD1650" s="48"/>
      <c r="CE1650" s="48"/>
      <c r="CF1650" s="52"/>
      <c r="CG1650" s="52"/>
      <c r="CH1650" s="48"/>
      <c r="CI1650" s="48"/>
      <c r="CJ1650" s="48"/>
      <c r="CK1650" s="48"/>
    </row>
    <row r="1651" spans="1:89" ht="15.75" customHeight="1" x14ac:dyDescent="0.3">
      <c r="A1651" s="47"/>
      <c r="B1651" s="48"/>
      <c r="C1651" s="47"/>
      <c r="D1651" s="48"/>
      <c r="E1651" s="48"/>
      <c r="F1651" s="48"/>
      <c r="G1651" s="48"/>
      <c r="H1651" s="48"/>
      <c r="I1651" s="49"/>
      <c r="J1651" s="47"/>
      <c r="K1651" s="47"/>
      <c r="L1651" s="47"/>
      <c r="M1651" s="47"/>
      <c r="N1651" s="47"/>
      <c r="O1651" s="47"/>
      <c r="P1651" s="47"/>
      <c r="Q1651" s="47"/>
      <c r="R1651" s="47"/>
      <c r="S1651" s="50"/>
      <c r="T1651" s="47"/>
      <c r="U1651" s="47"/>
      <c r="V1651" s="47"/>
      <c r="W1651" s="51"/>
      <c r="X1651" s="51"/>
      <c r="Y1651" s="47"/>
      <c r="Z1651" s="47"/>
      <c r="AA1651" s="47"/>
      <c r="AB1651" s="47"/>
      <c r="AC1651" s="47"/>
      <c r="AD1651" s="47"/>
      <c r="AE1651" s="54"/>
      <c r="AF1651" s="54"/>
      <c r="AG1651" s="55"/>
      <c r="AH1651" s="54"/>
      <c r="AI1651" s="54"/>
      <c r="AJ1651" s="54"/>
      <c r="AK1651" s="54"/>
      <c r="AL1651" s="54"/>
      <c r="AM1651" s="54"/>
      <c r="AN1651" s="54"/>
      <c r="AO1651" s="54"/>
      <c r="AP1651" s="54"/>
      <c r="AQ1651" s="54"/>
      <c r="AR1651" s="54"/>
      <c r="AS1651" s="54"/>
      <c r="AT1651" s="54"/>
      <c r="AU1651" s="54"/>
      <c r="AV1651" s="54"/>
      <c r="AW1651" s="54"/>
      <c r="AX1651" s="54"/>
      <c r="AY1651" s="54"/>
      <c r="AZ1651" s="54"/>
      <c r="BA1651" s="54"/>
      <c r="BB1651" s="54"/>
      <c r="BC1651" s="56"/>
      <c r="BD1651" s="51"/>
      <c r="BE1651" s="54"/>
      <c r="BF1651" s="54"/>
      <c r="BG1651" s="47"/>
      <c r="BH1651" s="48"/>
      <c r="BI1651" s="48"/>
      <c r="BJ1651" s="48"/>
      <c r="BK1651" s="48"/>
      <c r="BL1651" s="48"/>
      <c r="BM1651" s="48"/>
      <c r="BN1651" s="48"/>
      <c r="BO1651" s="48"/>
      <c r="BP1651" s="48"/>
      <c r="BQ1651" s="48"/>
      <c r="BR1651" s="48"/>
      <c r="BS1651" s="48"/>
      <c r="BT1651" s="48"/>
      <c r="BU1651" s="48"/>
      <c r="BV1651" s="48"/>
      <c r="BW1651" s="48"/>
      <c r="BX1651" s="48"/>
      <c r="BY1651" s="48"/>
      <c r="BZ1651" s="48"/>
      <c r="CA1651" s="48"/>
      <c r="CB1651" s="48"/>
      <c r="CC1651" s="48"/>
      <c r="CD1651" s="48"/>
      <c r="CE1651" s="48"/>
      <c r="CF1651" s="52"/>
      <c r="CG1651" s="52"/>
      <c r="CH1651" s="48"/>
      <c r="CI1651" s="48"/>
      <c r="CJ1651" s="48"/>
      <c r="CK1651" s="48"/>
    </row>
    <row r="1652" spans="1:89" ht="15.75" customHeight="1" x14ac:dyDescent="0.3">
      <c r="A1652" s="47"/>
      <c r="B1652" s="48"/>
      <c r="C1652" s="47"/>
      <c r="D1652" s="48"/>
      <c r="E1652" s="48"/>
      <c r="F1652" s="48"/>
      <c r="G1652" s="48"/>
      <c r="H1652" s="48"/>
      <c r="I1652" s="49"/>
      <c r="J1652" s="47"/>
      <c r="K1652" s="47"/>
      <c r="L1652" s="47"/>
      <c r="M1652" s="47"/>
      <c r="N1652" s="47"/>
      <c r="O1652" s="47"/>
      <c r="P1652" s="47"/>
      <c r="Q1652" s="47"/>
      <c r="R1652" s="47"/>
      <c r="S1652" s="50"/>
      <c r="T1652" s="47"/>
      <c r="U1652" s="47"/>
      <c r="V1652" s="47"/>
      <c r="W1652" s="51"/>
      <c r="X1652" s="51"/>
      <c r="Y1652" s="47"/>
      <c r="Z1652" s="47"/>
      <c r="AA1652" s="47"/>
      <c r="AB1652" s="47"/>
      <c r="AC1652" s="47"/>
      <c r="AD1652" s="47"/>
      <c r="AE1652" s="54"/>
      <c r="AF1652" s="54"/>
      <c r="AG1652" s="55"/>
      <c r="AH1652" s="54"/>
      <c r="AI1652" s="54"/>
      <c r="AJ1652" s="54"/>
      <c r="AK1652" s="54"/>
      <c r="AL1652" s="54"/>
      <c r="AM1652" s="54"/>
      <c r="AN1652" s="54"/>
      <c r="AO1652" s="54"/>
      <c r="AP1652" s="54"/>
      <c r="AQ1652" s="54"/>
      <c r="AR1652" s="54"/>
      <c r="AS1652" s="54"/>
      <c r="AT1652" s="54"/>
      <c r="AU1652" s="54"/>
      <c r="AV1652" s="54"/>
      <c r="AW1652" s="54"/>
      <c r="AX1652" s="54"/>
      <c r="AY1652" s="54"/>
      <c r="AZ1652" s="54"/>
      <c r="BA1652" s="54"/>
      <c r="BB1652" s="54"/>
      <c r="BC1652" s="56"/>
      <c r="BD1652" s="51"/>
      <c r="BE1652" s="54"/>
      <c r="BF1652" s="54"/>
      <c r="BG1652" s="47"/>
      <c r="BH1652" s="48"/>
      <c r="BI1652" s="48"/>
      <c r="BJ1652" s="48"/>
      <c r="BK1652" s="48"/>
      <c r="BL1652" s="48"/>
      <c r="BM1652" s="48"/>
      <c r="BN1652" s="48"/>
      <c r="BO1652" s="48"/>
      <c r="BP1652" s="48"/>
      <c r="BQ1652" s="48"/>
      <c r="BR1652" s="48"/>
      <c r="BS1652" s="48"/>
      <c r="BT1652" s="48"/>
      <c r="BU1652" s="48"/>
      <c r="BV1652" s="48"/>
      <c r="BW1652" s="48"/>
      <c r="BX1652" s="48"/>
      <c r="BY1652" s="48"/>
      <c r="BZ1652" s="48"/>
      <c r="CA1652" s="48"/>
      <c r="CB1652" s="48"/>
      <c r="CC1652" s="48"/>
      <c r="CD1652" s="48"/>
      <c r="CE1652" s="48"/>
      <c r="CF1652" s="52"/>
      <c r="CG1652" s="52"/>
      <c r="CH1652" s="48"/>
      <c r="CI1652" s="48"/>
      <c r="CJ1652" s="48"/>
      <c r="CK1652" s="48"/>
    </row>
    <row r="1653" spans="1:89" ht="15.75" customHeight="1" x14ac:dyDescent="0.3">
      <c r="A1653" s="47"/>
      <c r="B1653" s="48"/>
      <c r="C1653" s="47"/>
      <c r="D1653" s="48"/>
      <c r="E1653" s="48"/>
      <c r="F1653" s="48"/>
      <c r="G1653" s="48"/>
      <c r="H1653" s="48"/>
      <c r="I1653" s="49"/>
      <c r="J1653" s="47"/>
      <c r="K1653" s="47"/>
      <c r="L1653" s="47"/>
      <c r="M1653" s="47"/>
      <c r="N1653" s="47"/>
      <c r="O1653" s="47"/>
      <c r="P1653" s="47"/>
      <c r="Q1653" s="47"/>
      <c r="R1653" s="47"/>
      <c r="S1653" s="50"/>
      <c r="T1653" s="47"/>
      <c r="U1653" s="47"/>
      <c r="V1653" s="47"/>
      <c r="W1653" s="51"/>
      <c r="X1653" s="51"/>
      <c r="Y1653" s="47"/>
      <c r="Z1653" s="47"/>
      <c r="AA1653" s="47"/>
      <c r="AB1653" s="47"/>
      <c r="AC1653" s="47"/>
      <c r="AD1653" s="47"/>
      <c r="AE1653" s="54"/>
      <c r="AF1653" s="54"/>
      <c r="AG1653" s="55"/>
      <c r="AH1653" s="54"/>
      <c r="AI1653" s="54"/>
      <c r="AJ1653" s="54"/>
      <c r="AK1653" s="54"/>
      <c r="AL1653" s="54"/>
      <c r="AM1653" s="54"/>
      <c r="AN1653" s="54"/>
      <c r="AO1653" s="54"/>
      <c r="AP1653" s="54"/>
      <c r="AQ1653" s="54"/>
      <c r="AR1653" s="54"/>
      <c r="AS1653" s="54"/>
      <c r="AT1653" s="54"/>
      <c r="AU1653" s="54"/>
      <c r="AV1653" s="54"/>
      <c r="AW1653" s="54"/>
      <c r="AX1653" s="54"/>
      <c r="AY1653" s="54"/>
      <c r="AZ1653" s="54"/>
      <c r="BA1653" s="54"/>
      <c r="BB1653" s="54"/>
      <c r="BC1653" s="56"/>
      <c r="BD1653" s="51"/>
      <c r="BE1653" s="54"/>
      <c r="BF1653" s="54"/>
      <c r="BG1653" s="47"/>
      <c r="BH1653" s="48"/>
      <c r="BI1653" s="48"/>
      <c r="BJ1653" s="48"/>
      <c r="BK1653" s="48"/>
      <c r="BL1653" s="48"/>
      <c r="BM1653" s="48"/>
      <c r="BN1653" s="48"/>
      <c r="BO1653" s="48"/>
      <c r="BP1653" s="48"/>
      <c r="BQ1653" s="48"/>
      <c r="BR1653" s="48"/>
      <c r="BS1653" s="48"/>
      <c r="BT1653" s="48"/>
      <c r="BU1653" s="48"/>
      <c r="BV1653" s="48"/>
      <c r="BW1653" s="48"/>
      <c r="BX1653" s="48"/>
      <c r="BY1653" s="48"/>
      <c r="BZ1653" s="48"/>
      <c r="CA1653" s="48"/>
      <c r="CB1653" s="48"/>
      <c r="CC1653" s="48"/>
      <c r="CD1653" s="48"/>
      <c r="CE1653" s="48"/>
      <c r="CF1653" s="52"/>
      <c r="CG1653" s="52"/>
      <c r="CH1653" s="48"/>
      <c r="CI1653" s="48"/>
      <c r="CJ1653" s="48"/>
      <c r="CK1653" s="48"/>
    </row>
    <row r="1654" spans="1:89" ht="15.75" customHeight="1" x14ac:dyDescent="0.3">
      <c r="A1654" s="47"/>
      <c r="B1654" s="48"/>
      <c r="C1654" s="47"/>
      <c r="D1654" s="48"/>
      <c r="E1654" s="48"/>
      <c r="F1654" s="48"/>
      <c r="G1654" s="48"/>
      <c r="H1654" s="48"/>
      <c r="I1654" s="49"/>
      <c r="J1654" s="47"/>
      <c r="K1654" s="47"/>
      <c r="L1654" s="47"/>
      <c r="M1654" s="47"/>
      <c r="N1654" s="47"/>
      <c r="O1654" s="47"/>
      <c r="P1654" s="47"/>
      <c r="Q1654" s="47"/>
      <c r="R1654" s="47"/>
      <c r="S1654" s="50"/>
      <c r="T1654" s="47"/>
      <c r="U1654" s="47"/>
      <c r="V1654" s="47"/>
      <c r="W1654" s="51"/>
      <c r="X1654" s="51"/>
      <c r="Y1654" s="47"/>
      <c r="Z1654" s="47"/>
      <c r="AA1654" s="47"/>
      <c r="AB1654" s="47"/>
      <c r="AC1654" s="47"/>
      <c r="AD1654" s="47"/>
      <c r="AE1654" s="54"/>
      <c r="AF1654" s="54"/>
      <c r="AG1654" s="55"/>
      <c r="AH1654" s="54"/>
      <c r="AI1654" s="54"/>
      <c r="AJ1654" s="54"/>
      <c r="AK1654" s="54"/>
      <c r="AL1654" s="54"/>
      <c r="AM1654" s="54"/>
      <c r="AN1654" s="54"/>
      <c r="AO1654" s="54"/>
      <c r="AP1654" s="54"/>
      <c r="AQ1654" s="54"/>
      <c r="AR1654" s="54"/>
      <c r="AS1654" s="54"/>
      <c r="AT1654" s="54"/>
      <c r="AU1654" s="54"/>
      <c r="AV1654" s="54"/>
      <c r="AW1654" s="54"/>
      <c r="AX1654" s="54"/>
      <c r="AY1654" s="54"/>
      <c r="AZ1654" s="54"/>
      <c r="BA1654" s="54"/>
      <c r="BB1654" s="54"/>
      <c r="BC1654" s="56"/>
      <c r="BD1654" s="51"/>
      <c r="BE1654" s="54"/>
      <c r="BF1654" s="54"/>
      <c r="BG1654" s="47"/>
      <c r="BH1654" s="48"/>
      <c r="BI1654" s="48"/>
      <c r="BJ1654" s="48"/>
      <c r="BK1654" s="48"/>
      <c r="BL1654" s="48"/>
      <c r="BM1654" s="48"/>
      <c r="BN1654" s="48"/>
      <c r="BO1654" s="48"/>
      <c r="BP1654" s="48"/>
      <c r="BQ1654" s="48"/>
      <c r="BR1654" s="48"/>
      <c r="BS1654" s="48"/>
      <c r="BT1654" s="48"/>
      <c r="BU1654" s="48"/>
      <c r="BV1654" s="48"/>
      <c r="BW1654" s="48"/>
      <c r="BX1654" s="48"/>
      <c r="BY1654" s="48"/>
      <c r="BZ1654" s="48"/>
      <c r="CA1654" s="48"/>
      <c r="CB1654" s="48"/>
      <c r="CC1654" s="48"/>
      <c r="CD1654" s="48"/>
      <c r="CE1654" s="48"/>
      <c r="CF1654" s="52"/>
      <c r="CG1654" s="52"/>
      <c r="CH1654" s="48"/>
      <c r="CI1654" s="48"/>
      <c r="CJ1654" s="48"/>
      <c r="CK1654" s="48"/>
    </row>
    <row r="1655" spans="1:89" ht="15.75" customHeight="1" x14ac:dyDescent="0.3">
      <c r="A1655" s="47"/>
      <c r="B1655" s="48"/>
      <c r="C1655" s="47"/>
      <c r="D1655" s="48"/>
      <c r="E1655" s="48"/>
      <c r="F1655" s="48"/>
      <c r="G1655" s="48"/>
      <c r="H1655" s="48"/>
      <c r="I1655" s="49"/>
      <c r="J1655" s="47"/>
      <c r="K1655" s="47"/>
      <c r="L1655" s="47"/>
      <c r="M1655" s="47"/>
      <c r="N1655" s="47"/>
      <c r="O1655" s="47"/>
      <c r="P1655" s="47"/>
      <c r="Q1655" s="47"/>
      <c r="R1655" s="47"/>
      <c r="S1655" s="50"/>
      <c r="T1655" s="47"/>
      <c r="U1655" s="47"/>
      <c r="V1655" s="47"/>
      <c r="W1655" s="51"/>
      <c r="X1655" s="51"/>
      <c r="Y1655" s="47"/>
      <c r="Z1655" s="47"/>
      <c r="AA1655" s="47"/>
      <c r="AB1655" s="47"/>
      <c r="AC1655" s="47"/>
      <c r="AD1655" s="47"/>
      <c r="AE1655" s="54"/>
      <c r="AF1655" s="54"/>
      <c r="AG1655" s="55"/>
      <c r="AH1655" s="54"/>
      <c r="AI1655" s="54"/>
      <c r="AJ1655" s="54"/>
      <c r="AK1655" s="54"/>
      <c r="AL1655" s="54"/>
      <c r="AM1655" s="54"/>
      <c r="AN1655" s="54"/>
      <c r="AO1655" s="54"/>
      <c r="AP1655" s="54"/>
      <c r="AQ1655" s="54"/>
      <c r="AR1655" s="54"/>
      <c r="AS1655" s="54"/>
      <c r="AT1655" s="54"/>
      <c r="AU1655" s="54"/>
      <c r="AV1655" s="54"/>
      <c r="AW1655" s="54"/>
      <c r="AX1655" s="54"/>
      <c r="AY1655" s="54"/>
      <c r="AZ1655" s="54"/>
      <c r="BA1655" s="54"/>
      <c r="BB1655" s="54"/>
      <c r="BC1655" s="56"/>
      <c r="BD1655" s="51"/>
      <c r="BE1655" s="54"/>
      <c r="BF1655" s="54"/>
      <c r="BG1655" s="47"/>
      <c r="BH1655" s="48"/>
      <c r="BI1655" s="48"/>
      <c r="BJ1655" s="48"/>
      <c r="BK1655" s="48"/>
      <c r="BL1655" s="48"/>
      <c r="BM1655" s="48"/>
      <c r="BN1655" s="48"/>
      <c r="BO1655" s="48"/>
      <c r="BP1655" s="48"/>
      <c r="BQ1655" s="48"/>
      <c r="BR1655" s="48"/>
      <c r="BS1655" s="48"/>
      <c r="BT1655" s="48"/>
      <c r="BU1655" s="48"/>
      <c r="BV1655" s="48"/>
      <c r="BW1655" s="48"/>
      <c r="BX1655" s="48"/>
      <c r="BY1655" s="48"/>
      <c r="BZ1655" s="48"/>
      <c r="CA1655" s="48"/>
      <c r="CB1655" s="48"/>
      <c r="CC1655" s="48"/>
      <c r="CD1655" s="48"/>
      <c r="CE1655" s="48"/>
      <c r="CF1655" s="52"/>
      <c r="CG1655" s="52"/>
      <c r="CH1655" s="48"/>
      <c r="CI1655" s="48"/>
      <c r="CJ1655" s="48"/>
      <c r="CK1655" s="48"/>
    </row>
    <row r="1656" spans="1:89" ht="15.75" customHeight="1" x14ac:dyDescent="0.3">
      <c r="A1656" s="47"/>
      <c r="B1656" s="48"/>
      <c r="C1656" s="47"/>
      <c r="D1656" s="48"/>
      <c r="E1656" s="48"/>
      <c r="F1656" s="48"/>
      <c r="G1656" s="48"/>
      <c r="H1656" s="48"/>
      <c r="I1656" s="49"/>
      <c r="J1656" s="47"/>
      <c r="K1656" s="47"/>
      <c r="L1656" s="47"/>
      <c r="M1656" s="47"/>
      <c r="N1656" s="47"/>
      <c r="O1656" s="47"/>
      <c r="P1656" s="47"/>
      <c r="Q1656" s="47"/>
      <c r="R1656" s="47"/>
      <c r="S1656" s="50"/>
      <c r="T1656" s="47"/>
      <c r="U1656" s="47"/>
      <c r="V1656" s="47"/>
      <c r="W1656" s="51"/>
      <c r="X1656" s="51"/>
      <c r="Y1656" s="47"/>
      <c r="Z1656" s="47"/>
      <c r="AA1656" s="47"/>
      <c r="AB1656" s="47"/>
      <c r="AC1656" s="47"/>
      <c r="AD1656" s="47"/>
      <c r="AE1656" s="54"/>
      <c r="AF1656" s="54"/>
      <c r="AG1656" s="55"/>
      <c r="AH1656" s="54"/>
      <c r="AI1656" s="54"/>
      <c r="AJ1656" s="54"/>
      <c r="AK1656" s="54"/>
      <c r="AL1656" s="54"/>
      <c r="AM1656" s="54"/>
      <c r="AN1656" s="54"/>
      <c r="AO1656" s="54"/>
      <c r="AP1656" s="54"/>
      <c r="AQ1656" s="54"/>
      <c r="AR1656" s="54"/>
      <c r="AS1656" s="54"/>
      <c r="AT1656" s="54"/>
      <c r="AU1656" s="54"/>
      <c r="AV1656" s="54"/>
      <c r="AW1656" s="54"/>
      <c r="AX1656" s="54"/>
      <c r="AY1656" s="54"/>
      <c r="AZ1656" s="54"/>
      <c r="BA1656" s="54"/>
      <c r="BB1656" s="54"/>
      <c r="BC1656" s="56"/>
      <c r="BD1656" s="51"/>
      <c r="BE1656" s="54"/>
      <c r="BF1656" s="54"/>
      <c r="BG1656" s="47"/>
      <c r="BH1656" s="48"/>
      <c r="BI1656" s="48"/>
      <c r="BJ1656" s="48"/>
      <c r="BK1656" s="48"/>
      <c r="BL1656" s="48"/>
      <c r="BM1656" s="48"/>
      <c r="BN1656" s="48"/>
      <c r="BO1656" s="48"/>
      <c r="BP1656" s="48"/>
      <c r="BQ1656" s="48"/>
      <c r="BR1656" s="48"/>
      <c r="BS1656" s="48"/>
      <c r="BT1656" s="48"/>
      <c r="BU1656" s="48"/>
      <c r="BV1656" s="48"/>
      <c r="BW1656" s="48"/>
      <c r="BX1656" s="48"/>
      <c r="BY1656" s="48"/>
      <c r="BZ1656" s="48"/>
      <c r="CA1656" s="48"/>
      <c r="CB1656" s="48"/>
      <c r="CC1656" s="48"/>
      <c r="CD1656" s="48"/>
      <c r="CE1656" s="48"/>
      <c r="CF1656" s="52"/>
      <c r="CG1656" s="52"/>
      <c r="CH1656" s="48"/>
      <c r="CI1656" s="48"/>
      <c r="CJ1656" s="48"/>
      <c r="CK1656" s="48"/>
    </row>
    <row r="1657" spans="1:89" ht="15.75" customHeight="1" x14ac:dyDescent="0.3">
      <c r="A1657" s="47"/>
      <c r="B1657" s="48"/>
      <c r="C1657" s="47"/>
      <c r="D1657" s="48"/>
      <c r="E1657" s="48"/>
      <c r="F1657" s="48"/>
      <c r="G1657" s="48"/>
      <c r="H1657" s="48"/>
      <c r="I1657" s="49"/>
      <c r="J1657" s="47"/>
      <c r="K1657" s="47"/>
      <c r="L1657" s="47"/>
      <c r="M1657" s="47"/>
      <c r="N1657" s="47"/>
      <c r="O1657" s="47"/>
      <c r="P1657" s="47"/>
      <c r="Q1657" s="47"/>
      <c r="R1657" s="47"/>
      <c r="S1657" s="50"/>
      <c r="T1657" s="47"/>
      <c r="U1657" s="47"/>
      <c r="V1657" s="47"/>
      <c r="W1657" s="51"/>
      <c r="X1657" s="51"/>
      <c r="Y1657" s="47"/>
      <c r="Z1657" s="47"/>
      <c r="AA1657" s="47"/>
      <c r="AB1657" s="47"/>
      <c r="AC1657" s="47"/>
      <c r="AD1657" s="47"/>
      <c r="AE1657" s="54"/>
      <c r="AF1657" s="54"/>
      <c r="AG1657" s="55"/>
      <c r="AH1657" s="54"/>
      <c r="AI1657" s="54"/>
      <c r="AJ1657" s="54"/>
      <c r="AK1657" s="54"/>
      <c r="AL1657" s="54"/>
      <c r="AM1657" s="54"/>
      <c r="AN1657" s="54"/>
      <c r="AO1657" s="54"/>
      <c r="AP1657" s="54"/>
      <c r="AQ1657" s="54"/>
      <c r="AR1657" s="54"/>
      <c r="AS1657" s="54"/>
      <c r="AT1657" s="54"/>
      <c r="AU1657" s="54"/>
      <c r="AV1657" s="54"/>
      <c r="AW1657" s="54"/>
      <c r="AX1657" s="54"/>
      <c r="AY1657" s="54"/>
      <c r="AZ1657" s="54"/>
      <c r="BA1657" s="54"/>
      <c r="BB1657" s="54"/>
      <c r="BC1657" s="56"/>
      <c r="BD1657" s="51"/>
      <c r="BE1657" s="54"/>
      <c r="BF1657" s="54"/>
      <c r="BG1657" s="47"/>
      <c r="BH1657" s="48"/>
      <c r="BI1657" s="48"/>
      <c r="BJ1657" s="48"/>
      <c r="BK1657" s="48"/>
      <c r="BL1657" s="48"/>
      <c r="BM1657" s="48"/>
      <c r="BN1657" s="48"/>
      <c r="BO1657" s="48"/>
      <c r="BP1657" s="48"/>
      <c r="BQ1657" s="48"/>
      <c r="BR1657" s="48"/>
      <c r="BS1657" s="48"/>
      <c r="BT1657" s="48"/>
      <c r="BU1657" s="48"/>
      <c r="BV1657" s="48"/>
      <c r="BW1657" s="48"/>
      <c r="BX1657" s="48"/>
      <c r="BY1657" s="48"/>
      <c r="BZ1657" s="48"/>
      <c r="CA1657" s="48"/>
      <c r="CB1657" s="48"/>
      <c r="CC1657" s="48"/>
      <c r="CD1657" s="48"/>
      <c r="CE1657" s="48"/>
      <c r="CF1657" s="52"/>
      <c r="CG1657" s="52"/>
      <c r="CH1657" s="48"/>
      <c r="CI1657" s="48"/>
      <c r="CJ1657" s="48"/>
      <c r="CK1657" s="48"/>
    </row>
    <row r="1658" spans="1:89" ht="15.75" customHeight="1" x14ac:dyDescent="0.3">
      <c r="A1658" s="47"/>
      <c r="B1658" s="48"/>
      <c r="C1658" s="47"/>
      <c r="D1658" s="48"/>
      <c r="E1658" s="48"/>
      <c r="F1658" s="48"/>
      <c r="G1658" s="48"/>
      <c r="H1658" s="48"/>
      <c r="I1658" s="49"/>
      <c r="J1658" s="47"/>
      <c r="K1658" s="47"/>
      <c r="L1658" s="47"/>
      <c r="M1658" s="47"/>
      <c r="N1658" s="47"/>
      <c r="O1658" s="47"/>
      <c r="P1658" s="47"/>
      <c r="Q1658" s="47"/>
      <c r="R1658" s="47"/>
      <c r="S1658" s="50"/>
      <c r="T1658" s="47"/>
      <c r="U1658" s="47"/>
      <c r="V1658" s="47"/>
      <c r="W1658" s="51"/>
      <c r="X1658" s="51"/>
      <c r="Y1658" s="47"/>
      <c r="Z1658" s="47"/>
      <c r="AA1658" s="47"/>
      <c r="AB1658" s="47"/>
      <c r="AC1658" s="47"/>
      <c r="AD1658" s="47"/>
      <c r="AE1658" s="54"/>
      <c r="AF1658" s="54"/>
      <c r="AG1658" s="55"/>
      <c r="AH1658" s="54"/>
      <c r="AI1658" s="54"/>
      <c r="AJ1658" s="54"/>
      <c r="AK1658" s="54"/>
      <c r="AL1658" s="54"/>
      <c r="AM1658" s="54"/>
      <c r="AN1658" s="54"/>
      <c r="AO1658" s="54"/>
      <c r="AP1658" s="54"/>
      <c r="AQ1658" s="54"/>
      <c r="AR1658" s="54"/>
      <c r="AS1658" s="54"/>
      <c r="AT1658" s="54"/>
      <c r="AU1658" s="54"/>
      <c r="AV1658" s="54"/>
      <c r="AW1658" s="54"/>
      <c r="AX1658" s="54"/>
      <c r="AY1658" s="54"/>
      <c r="AZ1658" s="54"/>
      <c r="BA1658" s="54"/>
      <c r="BB1658" s="54"/>
      <c r="BC1658" s="56"/>
      <c r="BD1658" s="51"/>
      <c r="BE1658" s="54"/>
      <c r="BF1658" s="54"/>
      <c r="BG1658" s="47"/>
      <c r="BH1658" s="48"/>
      <c r="BI1658" s="48"/>
      <c r="BJ1658" s="48"/>
      <c r="BK1658" s="48"/>
      <c r="BL1658" s="48"/>
      <c r="BM1658" s="48"/>
      <c r="BN1658" s="48"/>
      <c r="BO1658" s="48"/>
      <c r="BP1658" s="48"/>
      <c r="BQ1658" s="48"/>
      <c r="BR1658" s="48"/>
      <c r="BS1658" s="48"/>
      <c r="BT1658" s="48"/>
      <c r="BU1658" s="48"/>
      <c r="BV1658" s="48"/>
      <c r="BW1658" s="48"/>
      <c r="BX1658" s="48"/>
      <c r="BY1658" s="48"/>
      <c r="BZ1658" s="48"/>
      <c r="CA1658" s="48"/>
      <c r="CB1658" s="48"/>
      <c r="CC1658" s="48"/>
      <c r="CD1658" s="48"/>
      <c r="CE1658" s="48"/>
      <c r="CF1658" s="52"/>
      <c r="CG1658" s="52"/>
      <c r="CH1658" s="48"/>
      <c r="CI1658" s="48"/>
      <c r="CJ1658" s="48"/>
      <c r="CK1658" s="48"/>
    </row>
    <row r="1659" spans="1:89" ht="15.75" customHeight="1" x14ac:dyDescent="0.3">
      <c r="A1659" s="47"/>
      <c r="B1659" s="48"/>
      <c r="C1659" s="47"/>
      <c r="D1659" s="48"/>
      <c r="E1659" s="48"/>
      <c r="F1659" s="48"/>
      <c r="G1659" s="48"/>
      <c r="H1659" s="48"/>
      <c r="I1659" s="49"/>
      <c r="J1659" s="47"/>
      <c r="K1659" s="47"/>
      <c r="L1659" s="47"/>
      <c r="M1659" s="47"/>
      <c r="N1659" s="47"/>
      <c r="O1659" s="47"/>
      <c r="P1659" s="47"/>
      <c r="Q1659" s="47"/>
      <c r="R1659" s="47"/>
      <c r="S1659" s="50"/>
      <c r="T1659" s="47"/>
      <c r="U1659" s="47"/>
      <c r="V1659" s="47"/>
      <c r="W1659" s="51"/>
      <c r="X1659" s="51"/>
      <c r="Y1659" s="47"/>
      <c r="Z1659" s="47"/>
      <c r="AA1659" s="47"/>
      <c r="AB1659" s="47"/>
      <c r="AC1659" s="47"/>
      <c r="AD1659" s="47"/>
      <c r="AE1659" s="54"/>
      <c r="AF1659" s="54"/>
      <c r="AG1659" s="55"/>
      <c r="AH1659" s="54"/>
      <c r="AI1659" s="54"/>
      <c r="AJ1659" s="54"/>
      <c r="AK1659" s="54"/>
      <c r="AL1659" s="54"/>
      <c r="AM1659" s="54"/>
      <c r="AN1659" s="54"/>
      <c r="AO1659" s="54"/>
      <c r="AP1659" s="54"/>
      <c r="AQ1659" s="54"/>
      <c r="AR1659" s="54"/>
      <c r="AS1659" s="54"/>
      <c r="AT1659" s="54"/>
      <c r="AU1659" s="54"/>
      <c r="AV1659" s="54"/>
      <c r="AW1659" s="54"/>
      <c r="AX1659" s="54"/>
      <c r="AY1659" s="54"/>
      <c r="AZ1659" s="54"/>
      <c r="BA1659" s="54"/>
      <c r="BB1659" s="54"/>
      <c r="BC1659" s="56"/>
      <c r="BD1659" s="51"/>
      <c r="BE1659" s="54"/>
      <c r="BF1659" s="54"/>
      <c r="BG1659" s="47"/>
      <c r="BH1659" s="48"/>
      <c r="BI1659" s="48"/>
      <c r="BJ1659" s="48"/>
      <c r="BK1659" s="48"/>
      <c r="BL1659" s="48"/>
      <c r="BM1659" s="48"/>
      <c r="BN1659" s="48"/>
      <c r="BO1659" s="48"/>
      <c r="BP1659" s="48"/>
      <c r="BQ1659" s="48"/>
      <c r="BR1659" s="48"/>
      <c r="BS1659" s="48"/>
      <c r="BT1659" s="48"/>
      <c r="BU1659" s="48"/>
      <c r="BV1659" s="48"/>
      <c r="BW1659" s="48"/>
      <c r="BX1659" s="48"/>
      <c r="BY1659" s="48"/>
      <c r="BZ1659" s="48"/>
      <c r="CA1659" s="48"/>
      <c r="CB1659" s="48"/>
      <c r="CC1659" s="48"/>
      <c r="CD1659" s="48"/>
      <c r="CE1659" s="48"/>
      <c r="CF1659" s="52"/>
      <c r="CG1659" s="52"/>
      <c r="CH1659" s="48"/>
      <c r="CI1659" s="48"/>
      <c r="CJ1659" s="48"/>
      <c r="CK1659" s="48"/>
    </row>
    <row r="1660" spans="1:89" ht="15.75" customHeight="1" x14ac:dyDescent="0.3">
      <c r="A1660" s="47"/>
      <c r="B1660" s="48"/>
      <c r="C1660" s="47"/>
      <c r="D1660" s="48"/>
      <c r="E1660" s="48"/>
      <c r="F1660" s="48"/>
      <c r="G1660" s="48"/>
      <c r="H1660" s="48"/>
      <c r="I1660" s="49"/>
      <c r="J1660" s="47"/>
      <c r="K1660" s="47"/>
      <c r="L1660" s="47"/>
      <c r="M1660" s="47"/>
      <c r="N1660" s="47"/>
      <c r="O1660" s="47"/>
      <c r="P1660" s="47"/>
      <c r="Q1660" s="47"/>
      <c r="R1660" s="47"/>
      <c r="S1660" s="50"/>
      <c r="T1660" s="47"/>
      <c r="U1660" s="47"/>
      <c r="V1660" s="47"/>
      <c r="W1660" s="51"/>
      <c r="X1660" s="51"/>
      <c r="Y1660" s="47"/>
      <c r="Z1660" s="47"/>
      <c r="AA1660" s="47"/>
      <c r="AB1660" s="47"/>
      <c r="AC1660" s="47"/>
      <c r="AD1660" s="47"/>
      <c r="AE1660" s="54"/>
      <c r="AF1660" s="54"/>
      <c r="AG1660" s="55"/>
      <c r="AH1660" s="54"/>
      <c r="AI1660" s="54"/>
      <c r="AJ1660" s="54"/>
      <c r="AK1660" s="54"/>
      <c r="AL1660" s="54"/>
      <c r="AM1660" s="54"/>
      <c r="AN1660" s="54"/>
      <c r="AO1660" s="54"/>
      <c r="AP1660" s="54"/>
      <c r="AQ1660" s="54"/>
      <c r="AR1660" s="54"/>
      <c r="AS1660" s="54"/>
      <c r="AT1660" s="54"/>
      <c r="AU1660" s="54"/>
      <c r="AV1660" s="54"/>
      <c r="AW1660" s="54"/>
      <c r="AX1660" s="54"/>
      <c r="AY1660" s="54"/>
      <c r="AZ1660" s="54"/>
      <c r="BA1660" s="54"/>
      <c r="BB1660" s="54"/>
      <c r="BC1660" s="56"/>
      <c r="BD1660" s="51"/>
      <c r="BE1660" s="54"/>
      <c r="BF1660" s="54"/>
      <c r="BG1660" s="47"/>
      <c r="BH1660" s="48"/>
      <c r="BI1660" s="48"/>
      <c r="BJ1660" s="48"/>
      <c r="BK1660" s="48"/>
      <c r="BL1660" s="48"/>
      <c r="BM1660" s="48"/>
      <c r="BN1660" s="48"/>
      <c r="BO1660" s="48"/>
      <c r="BP1660" s="48"/>
      <c r="BQ1660" s="48"/>
      <c r="BR1660" s="48"/>
      <c r="BS1660" s="48"/>
      <c r="BT1660" s="48"/>
      <c r="BU1660" s="48"/>
      <c r="BV1660" s="48"/>
      <c r="BW1660" s="48"/>
      <c r="BX1660" s="48"/>
      <c r="BY1660" s="48"/>
      <c r="BZ1660" s="48"/>
      <c r="CA1660" s="48"/>
      <c r="CB1660" s="48"/>
      <c r="CC1660" s="48"/>
      <c r="CD1660" s="48"/>
      <c r="CE1660" s="48"/>
      <c r="CF1660" s="52"/>
      <c r="CG1660" s="52"/>
      <c r="CH1660" s="48"/>
      <c r="CI1660" s="48"/>
      <c r="CJ1660" s="48"/>
      <c r="CK1660" s="48"/>
    </row>
    <row r="1661" spans="1:89" ht="15.75" customHeight="1" x14ac:dyDescent="0.3">
      <c r="A1661" s="47"/>
      <c r="B1661" s="48"/>
      <c r="C1661" s="47"/>
      <c r="D1661" s="48"/>
      <c r="E1661" s="48"/>
      <c r="F1661" s="48"/>
      <c r="G1661" s="48"/>
      <c r="H1661" s="48"/>
      <c r="I1661" s="49"/>
      <c r="J1661" s="47"/>
      <c r="K1661" s="47"/>
      <c r="L1661" s="47"/>
      <c r="M1661" s="47"/>
      <c r="N1661" s="47"/>
      <c r="O1661" s="47"/>
      <c r="P1661" s="47"/>
      <c r="Q1661" s="47"/>
      <c r="R1661" s="47"/>
      <c r="S1661" s="50"/>
      <c r="T1661" s="47"/>
      <c r="U1661" s="47"/>
      <c r="V1661" s="47"/>
      <c r="W1661" s="51"/>
      <c r="X1661" s="51"/>
      <c r="Y1661" s="47"/>
      <c r="Z1661" s="47"/>
      <c r="AA1661" s="47"/>
      <c r="AB1661" s="47"/>
      <c r="AC1661" s="47"/>
      <c r="AD1661" s="47"/>
      <c r="AE1661" s="54"/>
      <c r="AF1661" s="54"/>
      <c r="AG1661" s="55"/>
      <c r="AH1661" s="54"/>
      <c r="AI1661" s="54"/>
      <c r="AJ1661" s="54"/>
      <c r="AK1661" s="54"/>
      <c r="AL1661" s="54"/>
      <c r="AM1661" s="54"/>
      <c r="AN1661" s="54"/>
      <c r="AO1661" s="54"/>
      <c r="AP1661" s="54"/>
      <c r="AQ1661" s="54"/>
      <c r="AR1661" s="54"/>
      <c r="AS1661" s="54"/>
      <c r="AT1661" s="54"/>
      <c r="AU1661" s="54"/>
      <c r="AV1661" s="54"/>
      <c r="AW1661" s="54"/>
      <c r="AX1661" s="54"/>
      <c r="AY1661" s="54"/>
      <c r="AZ1661" s="54"/>
      <c r="BA1661" s="54"/>
      <c r="BB1661" s="54"/>
      <c r="BC1661" s="56"/>
      <c r="BD1661" s="51"/>
      <c r="BE1661" s="54"/>
      <c r="BF1661" s="54"/>
      <c r="BG1661" s="47"/>
      <c r="BH1661" s="48"/>
      <c r="BI1661" s="48"/>
      <c r="BJ1661" s="48"/>
      <c r="BK1661" s="48"/>
      <c r="BL1661" s="48"/>
      <c r="BM1661" s="48"/>
      <c r="BN1661" s="48"/>
      <c r="BO1661" s="48"/>
      <c r="BP1661" s="48"/>
      <c r="BQ1661" s="48"/>
      <c r="BR1661" s="48"/>
      <c r="BS1661" s="48"/>
      <c r="BT1661" s="48"/>
      <c r="BU1661" s="48"/>
      <c r="BV1661" s="48"/>
      <c r="BW1661" s="48"/>
      <c r="BX1661" s="48"/>
      <c r="BY1661" s="48"/>
      <c r="BZ1661" s="48"/>
      <c r="CA1661" s="48"/>
      <c r="CB1661" s="48"/>
      <c r="CC1661" s="48"/>
      <c r="CD1661" s="48"/>
      <c r="CE1661" s="48"/>
      <c r="CF1661" s="52"/>
      <c r="CG1661" s="52"/>
      <c r="CH1661" s="48"/>
      <c r="CI1661" s="48"/>
      <c r="CJ1661" s="48"/>
      <c r="CK1661" s="48"/>
    </row>
    <row r="1662" spans="1:89" ht="15.75" customHeight="1" x14ac:dyDescent="0.3">
      <c r="A1662" s="47"/>
      <c r="B1662" s="48"/>
      <c r="C1662" s="47"/>
      <c r="D1662" s="48"/>
      <c r="E1662" s="48"/>
      <c r="F1662" s="48"/>
      <c r="G1662" s="48"/>
      <c r="H1662" s="48"/>
      <c r="I1662" s="49"/>
      <c r="J1662" s="47"/>
      <c r="K1662" s="47"/>
      <c r="L1662" s="47"/>
      <c r="M1662" s="47"/>
      <c r="N1662" s="47"/>
      <c r="O1662" s="47"/>
      <c r="P1662" s="47"/>
      <c r="Q1662" s="47"/>
      <c r="R1662" s="47"/>
      <c r="S1662" s="50"/>
      <c r="T1662" s="47"/>
      <c r="U1662" s="47"/>
      <c r="V1662" s="47"/>
      <c r="W1662" s="51"/>
      <c r="X1662" s="51"/>
      <c r="Y1662" s="47"/>
      <c r="Z1662" s="47"/>
      <c r="AA1662" s="47"/>
      <c r="AB1662" s="47"/>
      <c r="AC1662" s="47"/>
      <c r="AD1662" s="47"/>
      <c r="AE1662" s="54"/>
      <c r="AF1662" s="54"/>
      <c r="AG1662" s="55"/>
      <c r="AH1662" s="54"/>
      <c r="AI1662" s="54"/>
      <c r="AJ1662" s="54"/>
      <c r="AK1662" s="54"/>
      <c r="AL1662" s="54"/>
      <c r="AM1662" s="54"/>
      <c r="AN1662" s="54"/>
      <c r="AO1662" s="54"/>
      <c r="AP1662" s="54"/>
      <c r="AQ1662" s="54"/>
      <c r="AR1662" s="54"/>
      <c r="AS1662" s="54"/>
      <c r="AT1662" s="54"/>
      <c r="AU1662" s="54"/>
      <c r="AV1662" s="54"/>
      <c r="AW1662" s="54"/>
      <c r="AX1662" s="54"/>
      <c r="AY1662" s="54"/>
      <c r="AZ1662" s="54"/>
      <c r="BA1662" s="54"/>
      <c r="BB1662" s="54"/>
      <c r="BC1662" s="56"/>
      <c r="BD1662" s="51"/>
      <c r="BE1662" s="54"/>
      <c r="BF1662" s="54"/>
      <c r="BG1662" s="47"/>
      <c r="BH1662" s="48"/>
      <c r="BI1662" s="48"/>
      <c r="BJ1662" s="48"/>
      <c r="BK1662" s="48"/>
      <c r="BL1662" s="48"/>
      <c r="BM1662" s="48"/>
      <c r="BN1662" s="48"/>
      <c r="BO1662" s="48"/>
      <c r="BP1662" s="48"/>
      <c r="BQ1662" s="48"/>
      <c r="BR1662" s="48"/>
      <c r="BS1662" s="48"/>
      <c r="BT1662" s="48"/>
      <c r="BU1662" s="48"/>
      <c r="BV1662" s="48"/>
      <c r="BW1662" s="48"/>
      <c r="BX1662" s="48"/>
      <c r="BY1662" s="48"/>
      <c r="BZ1662" s="48"/>
      <c r="CA1662" s="48"/>
      <c r="CB1662" s="48"/>
      <c r="CC1662" s="48"/>
      <c r="CD1662" s="48"/>
      <c r="CE1662" s="48"/>
      <c r="CF1662" s="52"/>
      <c r="CG1662" s="52"/>
      <c r="CH1662" s="48"/>
      <c r="CI1662" s="48"/>
      <c r="CJ1662" s="48"/>
      <c r="CK1662" s="48"/>
    </row>
    <row r="1663" spans="1:89" ht="15.75" customHeight="1" x14ac:dyDescent="0.3">
      <c r="A1663" s="47"/>
      <c r="B1663" s="48"/>
      <c r="C1663" s="47"/>
      <c r="D1663" s="48"/>
      <c r="E1663" s="48"/>
      <c r="F1663" s="48"/>
      <c r="G1663" s="48"/>
      <c r="H1663" s="48"/>
      <c r="I1663" s="49"/>
      <c r="J1663" s="47"/>
      <c r="K1663" s="47"/>
      <c r="L1663" s="47"/>
      <c r="M1663" s="47"/>
      <c r="N1663" s="47"/>
      <c r="O1663" s="47"/>
      <c r="P1663" s="47"/>
      <c r="Q1663" s="47"/>
      <c r="R1663" s="47"/>
      <c r="S1663" s="50"/>
      <c r="T1663" s="47"/>
      <c r="U1663" s="47"/>
      <c r="V1663" s="47"/>
      <c r="W1663" s="51"/>
      <c r="X1663" s="51"/>
      <c r="Y1663" s="47"/>
      <c r="Z1663" s="47"/>
      <c r="AA1663" s="47"/>
      <c r="AB1663" s="47"/>
      <c r="AC1663" s="47"/>
      <c r="AD1663" s="47"/>
      <c r="AE1663" s="54"/>
      <c r="AF1663" s="54"/>
      <c r="AG1663" s="55"/>
      <c r="AH1663" s="54"/>
      <c r="AI1663" s="54"/>
      <c r="AJ1663" s="54"/>
      <c r="AK1663" s="54"/>
      <c r="AL1663" s="54"/>
      <c r="AM1663" s="54"/>
      <c r="AN1663" s="54"/>
      <c r="AO1663" s="54"/>
      <c r="AP1663" s="54"/>
      <c r="AQ1663" s="54"/>
      <c r="AR1663" s="54"/>
      <c r="AS1663" s="54"/>
      <c r="AT1663" s="54"/>
      <c r="AU1663" s="54"/>
      <c r="AV1663" s="54"/>
      <c r="AW1663" s="54"/>
      <c r="AX1663" s="54"/>
      <c r="AY1663" s="54"/>
      <c r="AZ1663" s="54"/>
      <c r="BA1663" s="54"/>
      <c r="BB1663" s="54"/>
      <c r="BC1663" s="56"/>
      <c r="BD1663" s="51"/>
      <c r="BE1663" s="54"/>
      <c r="BF1663" s="54"/>
      <c r="BG1663" s="47"/>
      <c r="BH1663" s="48"/>
      <c r="BI1663" s="48"/>
      <c r="BJ1663" s="48"/>
      <c r="BK1663" s="48"/>
      <c r="BL1663" s="48"/>
      <c r="BM1663" s="48"/>
      <c r="BN1663" s="48"/>
      <c r="BO1663" s="48"/>
      <c r="BP1663" s="48"/>
      <c r="BQ1663" s="48"/>
      <c r="BR1663" s="48"/>
      <c r="BS1663" s="48"/>
      <c r="BT1663" s="48"/>
      <c r="BU1663" s="48"/>
      <c r="BV1663" s="48"/>
      <c r="BW1663" s="48"/>
      <c r="BX1663" s="48"/>
      <c r="BY1663" s="48"/>
      <c r="BZ1663" s="48"/>
      <c r="CA1663" s="48"/>
      <c r="CB1663" s="48"/>
      <c r="CC1663" s="48"/>
      <c r="CD1663" s="48"/>
      <c r="CE1663" s="48"/>
      <c r="CF1663" s="52"/>
      <c r="CG1663" s="52"/>
      <c r="CH1663" s="48"/>
      <c r="CI1663" s="48"/>
      <c r="CJ1663" s="48"/>
      <c r="CK1663" s="48"/>
    </row>
    <row r="1664" spans="1:89" ht="15.75" customHeight="1" x14ac:dyDescent="0.3">
      <c r="A1664" s="47"/>
      <c r="B1664" s="48"/>
      <c r="C1664" s="47"/>
      <c r="D1664" s="48"/>
      <c r="E1664" s="48"/>
      <c r="F1664" s="48"/>
      <c r="G1664" s="48"/>
      <c r="H1664" s="48"/>
      <c r="I1664" s="49"/>
      <c r="J1664" s="47"/>
      <c r="K1664" s="47"/>
      <c r="L1664" s="47"/>
      <c r="M1664" s="47"/>
      <c r="N1664" s="47"/>
      <c r="O1664" s="47"/>
      <c r="P1664" s="47"/>
      <c r="Q1664" s="47"/>
      <c r="R1664" s="47"/>
      <c r="S1664" s="50"/>
      <c r="T1664" s="47"/>
      <c r="U1664" s="47"/>
      <c r="V1664" s="47"/>
      <c r="W1664" s="51"/>
      <c r="X1664" s="51"/>
      <c r="Y1664" s="47"/>
      <c r="Z1664" s="47"/>
      <c r="AA1664" s="47"/>
      <c r="AB1664" s="47"/>
      <c r="AC1664" s="47"/>
      <c r="AD1664" s="47"/>
      <c r="AE1664" s="54"/>
      <c r="AF1664" s="54"/>
      <c r="AG1664" s="55"/>
      <c r="AH1664" s="54"/>
      <c r="AI1664" s="54"/>
      <c r="AJ1664" s="54"/>
      <c r="AK1664" s="54"/>
      <c r="AL1664" s="54"/>
      <c r="AM1664" s="54"/>
      <c r="AN1664" s="54"/>
      <c r="AO1664" s="54"/>
      <c r="AP1664" s="54"/>
      <c r="AQ1664" s="54"/>
      <c r="AR1664" s="54"/>
      <c r="AS1664" s="54"/>
      <c r="AT1664" s="54"/>
      <c r="AU1664" s="54"/>
      <c r="AV1664" s="54"/>
      <c r="AW1664" s="54"/>
      <c r="AX1664" s="54"/>
      <c r="AY1664" s="54"/>
      <c r="AZ1664" s="54"/>
      <c r="BA1664" s="54"/>
      <c r="BB1664" s="54"/>
      <c r="BC1664" s="56"/>
      <c r="BD1664" s="51"/>
      <c r="BE1664" s="54"/>
      <c r="BF1664" s="54"/>
      <c r="BG1664" s="47"/>
      <c r="BH1664" s="48"/>
      <c r="BI1664" s="48"/>
      <c r="BJ1664" s="48"/>
      <c r="BK1664" s="48"/>
      <c r="BL1664" s="48"/>
      <c r="BM1664" s="48"/>
      <c r="BN1664" s="48"/>
      <c r="BO1664" s="48"/>
      <c r="BP1664" s="48"/>
      <c r="BQ1664" s="48"/>
      <c r="BR1664" s="48"/>
      <c r="BS1664" s="48"/>
      <c r="BT1664" s="48"/>
      <c r="BU1664" s="48"/>
      <c r="BV1664" s="48"/>
      <c r="BW1664" s="48"/>
      <c r="BX1664" s="48"/>
      <c r="BY1664" s="48"/>
      <c r="BZ1664" s="48"/>
      <c r="CA1664" s="48"/>
      <c r="CB1664" s="48"/>
      <c r="CC1664" s="48"/>
      <c r="CD1664" s="48"/>
      <c r="CE1664" s="48"/>
      <c r="CF1664" s="52"/>
      <c r="CG1664" s="52"/>
      <c r="CH1664" s="48"/>
      <c r="CI1664" s="48"/>
      <c r="CJ1664" s="48"/>
      <c r="CK1664" s="48"/>
    </row>
    <row r="1665" spans="1:89" ht="15.75" customHeight="1" x14ac:dyDescent="0.3">
      <c r="A1665" s="47"/>
      <c r="B1665" s="48"/>
      <c r="C1665" s="47"/>
      <c r="D1665" s="48"/>
      <c r="E1665" s="48"/>
      <c r="F1665" s="48"/>
      <c r="G1665" s="48"/>
      <c r="H1665" s="48"/>
      <c r="I1665" s="49"/>
      <c r="J1665" s="47"/>
      <c r="K1665" s="47"/>
      <c r="L1665" s="47"/>
      <c r="M1665" s="47"/>
      <c r="N1665" s="47"/>
      <c r="O1665" s="47"/>
      <c r="P1665" s="47"/>
      <c r="Q1665" s="47"/>
      <c r="R1665" s="47"/>
      <c r="S1665" s="50"/>
      <c r="T1665" s="47"/>
      <c r="U1665" s="47"/>
      <c r="V1665" s="47"/>
      <c r="W1665" s="51"/>
      <c r="X1665" s="51"/>
      <c r="Y1665" s="47"/>
      <c r="Z1665" s="47"/>
      <c r="AA1665" s="47"/>
      <c r="AB1665" s="47"/>
      <c r="AC1665" s="47"/>
      <c r="AD1665" s="47"/>
      <c r="AE1665" s="54"/>
      <c r="AF1665" s="54"/>
      <c r="AG1665" s="55"/>
      <c r="AH1665" s="54"/>
      <c r="AI1665" s="54"/>
      <c r="AJ1665" s="54"/>
      <c r="AK1665" s="54"/>
      <c r="AL1665" s="54"/>
      <c r="AM1665" s="54"/>
      <c r="AN1665" s="54"/>
      <c r="AO1665" s="54"/>
      <c r="AP1665" s="54"/>
      <c r="AQ1665" s="54"/>
      <c r="AR1665" s="54"/>
      <c r="AS1665" s="54"/>
      <c r="AT1665" s="54"/>
      <c r="AU1665" s="54"/>
      <c r="AV1665" s="54"/>
      <c r="AW1665" s="54"/>
      <c r="AX1665" s="54"/>
      <c r="AY1665" s="54"/>
      <c r="AZ1665" s="54"/>
      <c r="BA1665" s="54"/>
      <c r="BB1665" s="54"/>
      <c r="BC1665" s="56"/>
      <c r="BD1665" s="51"/>
      <c r="BE1665" s="54"/>
      <c r="BF1665" s="54"/>
      <c r="BG1665" s="47"/>
      <c r="BH1665" s="48"/>
      <c r="BI1665" s="48"/>
      <c r="BJ1665" s="48"/>
      <c r="BK1665" s="48"/>
      <c r="BL1665" s="48"/>
      <c r="BM1665" s="48"/>
      <c r="BN1665" s="48"/>
      <c r="BO1665" s="48"/>
      <c r="BP1665" s="48"/>
      <c r="BQ1665" s="48"/>
      <c r="BR1665" s="48"/>
      <c r="BS1665" s="48"/>
      <c r="BT1665" s="48"/>
      <c r="BU1665" s="48"/>
      <c r="BV1665" s="48"/>
      <c r="BW1665" s="48"/>
      <c r="BX1665" s="48"/>
      <c r="BY1665" s="48"/>
      <c r="BZ1665" s="48"/>
      <c r="CA1665" s="48"/>
      <c r="CB1665" s="48"/>
      <c r="CC1665" s="48"/>
      <c r="CD1665" s="48"/>
      <c r="CE1665" s="48"/>
      <c r="CF1665" s="52"/>
      <c r="CG1665" s="52"/>
      <c r="CH1665" s="48"/>
      <c r="CI1665" s="48"/>
      <c r="CJ1665" s="48"/>
      <c r="CK1665" s="48"/>
    </row>
    <row r="1666" spans="1:89" ht="15.75" customHeight="1" x14ac:dyDescent="0.3">
      <c r="A1666" s="47"/>
      <c r="B1666" s="48"/>
      <c r="C1666" s="47"/>
      <c r="D1666" s="48"/>
      <c r="E1666" s="48"/>
      <c r="F1666" s="48"/>
      <c r="G1666" s="48"/>
      <c r="H1666" s="48"/>
      <c r="I1666" s="49"/>
      <c r="J1666" s="47"/>
      <c r="K1666" s="47"/>
      <c r="L1666" s="47"/>
      <c r="M1666" s="47"/>
      <c r="N1666" s="47"/>
      <c r="O1666" s="47"/>
      <c r="P1666" s="47"/>
      <c r="Q1666" s="47"/>
      <c r="R1666" s="47"/>
      <c r="S1666" s="50"/>
      <c r="T1666" s="47"/>
      <c r="U1666" s="47"/>
      <c r="V1666" s="47"/>
      <c r="W1666" s="51"/>
      <c r="X1666" s="51"/>
      <c r="Y1666" s="47"/>
      <c r="Z1666" s="47"/>
      <c r="AA1666" s="47"/>
      <c r="AB1666" s="47"/>
      <c r="AC1666" s="47"/>
      <c r="AD1666" s="47"/>
      <c r="AE1666" s="54"/>
      <c r="AF1666" s="54"/>
      <c r="AG1666" s="55"/>
      <c r="AH1666" s="54"/>
      <c r="AI1666" s="54"/>
      <c r="AJ1666" s="54"/>
      <c r="AK1666" s="54"/>
      <c r="AL1666" s="54"/>
      <c r="AM1666" s="54"/>
      <c r="AN1666" s="54"/>
      <c r="AO1666" s="54"/>
      <c r="AP1666" s="54"/>
      <c r="AQ1666" s="54"/>
      <c r="AR1666" s="54"/>
      <c r="AS1666" s="54"/>
      <c r="AT1666" s="54"/>
      <c r="AU1666" s="54"/>
      <c r="AV1666" s="54"/>
      <c r="AW1666" s="54"/>
      <c r="AX1666" s="54"/>
      <c r="AY1666" s="54"/>
      <c r="AZ1666" s="54"/>
      <c r="BA1666" s="54"/>
      <c r="BB1666" s="54"/>
      <c r="BC1666" s="56"/>
      <c r="BD1666" s="51"/>
      <c r="BE1666" s="54"/>
      <c r="BF1666" s="54"/>
      <c r="BG1666" s="47"/>
      <c r="BH1666" s="48"/>
      <c r="BI1666" s="48"/>
      <c r="BJ1666" s="48"/>
      <c r="BK1666" s="48"/>
      <c r="BL1666" s="48"/>
      <c r="BM1666" s="48"/>
      <c r="BN1666" s="48"/>
      <c r="BO1666" s="48"/>
      <c r="BP1666" s="48"/>
      <c r="BQ1666" s="48"/>
      <c r="BR1666" s="48"/>
      <c r="BS1666" s="48"/>
      <c r="BT1666" s="48"/>
      <c r="BU1666" s="48"/>
      <c r="BV1666" s="48"/>
      <c r="BW1666" s="48"/>
      <c r="BX1666" s="48"/>
      <c r="BY1666" s="48"/>
      <c r="BZ1666" s="48"/>
      <c r="CA1666" s="48"/>
      <c r="CB1666" s="48"/>
      <c r="CC1666" s="48"/>
      <c r="CD1666" s="48"/>
      <c r="CE1666" s="48"/>
      <c r="CF1666" s="52"/>
      <c r="CG1666" s="52"/>
      <c r="CH1666" s="48"/>
      <c r="CI1666" s="48"/>
      <c r="CJ1666" s="48"/>
      <c r="CK1666" s="48"/>
    </row>
    <row r="1667" spans="1:89" ht="15.75" customHeight="1" x14ac:dyDescent="0.3">
      <c r="A1667" s="47"/>
      <c r="B1667" s="48"/>
      <c r="C1667" s="47"/>
      <c r="D1667" s="48"/>
      <c r="E1667" s="48"/>
      <c r="F1667" s="48"/>
      <c r="G1667" s="48"/>
      <c r="H1667" s="48"/>
      <c r="I1667" s="49"/>
      <c r="J1667" s="47"/>
      <c r="K1667" s="47"/>
      <c r="L1667" s="47"/>
      <c r="M1667" s="47"/>
      <c r="N1667" s="47"/>
      <c r="O1667" s="47"/>
      <c r="P1667" s="47"/>
      <c r="Q1667" s="47"/>
      <c r="R1667" s="47"/>
      <c r="S1667" s="50"/>
      <c r="T1667" s="47"/>
      <c r="U1667" s="47"/>
      <c r="V1667" s="47"/>
      <c r="W1667" s="51"/>
      <c r="X1667" s="51"/>
      <c r="Y1667" s="47"/>
      <c r="Z1667" s="47"/>
      <c r="AA1667" s="47"/>
      <c r="AB1667" s="47"/>
      <c r="AC1667" s="47"/>
      <c r="AD1667" s="47"/>
      <c r="AE1667" s="54"/>
      <c r="AF1667" s="54"/>
      <c r="AG1667" s="55"/>
      <c r="AH1667" s="54"/>
      <c r="AI1667" s="54"/>
      <c r="AJ1667" s="54"/>
      <c r="AK1667" s="54"/>
      <c r="AL1667" s="54"/>
      <c r="AM1667" s="54"/>
      <c r="AN1667" s="54"/>
      <c r="AO1667" s="54"/>
      <c r="AP1667" s="54"/>
      <c r="AQ1667" s="54"/>
      <c r="AR1667" s="54"/>
      <c r="AS1667" s="54"/>
      <c r="AT1667" s="54"/>
      <c r="AU1667" s="54"/>
      <c r="AV1667" s="54"/>
      <c r="AW1667" s="54"/>
      <c r="AX1667" s="54"/>
      <c r="AY1667" s="54"/>
      <c r="AZ1667" s="54"/>
      <c r="BA1667" s="54"/>
      <c r="BB1667" s="54"/>
      <c r="BC1667" s="56"/>
      <c r="BD1667" s="51"/>
      <c r="BE1667" s="54"/>
      <c r="BF1667" s="54"/>
      <c r="BG1667" s="47"/>
      <c r="BH1667" s="48"/>
      <c r="BI1667" s="48"/>
      <c r="BJ1667" s="48"/>
      <c r="BK1667" s="48"/>
      <c r="BL1667" s="48"/>
      <c r="BM1667" s="48"/>
      <c r="BN1667" s="48"/>
      <c r="BO1667" s="48"/>
      <c r="BP1667" s="48"/>
      <c r="BQ1667" s="48"/>
      <c r="BR1667" s="48"/>
      <c r="BS1667" s="48"/>
      <c r="BT1667" s="48"/>
      <c r="BU1667" s="48"/>
      <c r="BV1667" s="48"/>
      <c r="BW1667" s="48"/>
      <c r="BX1667" s="48"/>
      <c r="BY1667" s="48"/>
      <c r="BZ1667" s="48"/>
      <c r="CA1667" s="48"/>
      <c r="CB1667" s="48"/>
      <c r="CC1667" s="48"/>
      <c r="CD1667" s="48"/>
      <c r="CE1667" s="48"/>
      <c r="CF1667" s="52"/>
      <c r="CG1667" s="52"/>
      <c r="CH1667" s="48"/>
      <c r="CI1667" s="48"/>
      <c r="CJ1667" s="48"/>
      <c r="CK1667" s="48"/>
    </row>
    <row r="1668" spans="1:89" ht="15.75" customHeight="1" x14ac:dyDescent="0.3">
      <c r="A1668" s="47"/>
      <c r="B1668" s="48"/>
      <c r="C1668" s="47"/>
      <c r="D1668" s="48"/>
      <c r="E1668" s="48"/>
      <c r="F1668" s="48"/>
      <c r="G1668" s="48"/>
      <c r="H1668" s="48"/>
      <c r="I1668" s="49"/>
      <c r="J1668" s="47"/>
      <c r="K1668" s="47"/>
      <c r="L1668" s="47"/>
      <c r="M1668" s="47"/>
      <c r="N1668" s="47"/>
      <c r="O1668" s="47"/>
      <c r="P1668" s="47"/>
      <c r="Q1668" s="47"/>
      <c r="R1668" s="47"/>
      <c r="S1668" s="50"/>
      <c r="T1668" s="47"/>
      <c r="U1668" s="47"/>
      <c r="V1668" s="47"/>
      <c r="W1668" s="51"/>
      <c r="X1668" s="51"/>
      <c r="Y1668" s="47"/>
      <c r="Z1668" s="47"/>
      <c r="AA1668" s="47"/>
      <c r="AB1668" s="47"/>
      <c r="AC1668" s="47"/>
      <c r="AD1668" s="47"/>
      <c r="AE1668" s="54"/>
      <c r="AF1668" s="54"/>
      <c r="AG1668" s="55"/>
      <c r="AH1668" s="54"/>
      <c r="AI1668" s="54"/>
      <c r="AJ1668" s="54"/>
      <c r="AK1668" s="54"/>
      <c r="AL1668" s="54"/>
      <c r="AM1668" s="54"/>
      <c r="AN1668" s="54"/>
      <c r="AO1668" s="54"/>
      <c r="AP1668" s="54"/>
      <c r="AQ1668" s="54"/>
      <c r="AR1668" s="54"/>
      <c r="AS1668" s="54"/>
      <c r="AT1668" s="54"/>
      <c r="AU1668" s="54"/>
      <c r="AV1668" s="54"/>
      <c r="AW1668" s="54"/>
      <c r="AX1668" s="54"/>
      <c r="AY1668" s="54"/>
      <c r="AZ1668" s="54"/>
      <c r="BA1668" s="54"/>
      <c r="BB1668" s="54"/>
      <c r="BC1668" s="56"/>
      <c r="BD1668" s="51"/>
      <c r="BE1668" s="54"/>
      <c r="BF1668" s="54"/>
      <c r="BG1668" s="47"/>
      <c r="BH1668" s="48"/>
      <c r="BI1668" s="48"/>
      <c r="BJ1668" s="48"/>
      <c r="BK1668" s="48"/>
      <c r="BL1668" s="48"/>
      <c r="BM1668" s="48"/>
      <c r="BN1668" s="48"/>
      <c r="BO1668" s="48"/>
      <c r="BP1668" s="48"/>
      <c r="BQ1668" s="48"/>
      <c r="BR1668" s="48"/>
      <c r="BS1668" s="48"/>
      <c r="BT1668" s="48"/>
      <c r="BU1668" s="48"/>
      <c r="BV1668" s="48"/>
      <c r="BW1668" s="48"/>
      <c r="BX1668" s="48"/>
      <c r="BY1668" s="48"/>
      <c r="BZ1668" s="48"/>
      <c r="CA1668" s="48"/>
      <c r="CB1668" s="48"/>
      <c r="CC1668" s="48"/>
      <c r="CD1668" s="48"/>
      <c r="CE1668" s="48"/>
      <c r="CF1668" s="52"/>
      <c r="CG1668" s="52"/>
      <c r="CH1668" s="48"/>
      <c r="CI1668" s="48"/>
      <c r="CJ1668" s="48"/>
      <c r="CK1668" s="48"/>
    </row>
    <row r="1669" spans="1:89" ht="15.75" customHeight="1" x14ac:dyDescent="0.3">
      <c r="A1669" s="47"/>
      <c r="B1669" s="48"/>
      <c r="C1669" s="47"/>
      <c r="D1669" s="48"/>
      <c r="E1669" s="48"/>
      <c r="F1669" s="48"/>
      <c r="G1669" s="48"/>
      <c r="H1669" s="48"/>
      <c r="I1669" s="49"/>
      <c r="J1669" s="47"/>
      <c r="K1669" s="47"/>
      <c r="L1669" s="47"/>
      <c r="M1669" s="47"/>
      <c r="N1669" s="47"/>
      <c r="O1669" s="47"/>
      <c r="P1669" s="47"/>
      <c r="Q1669" s="47"/>
      <c r="R1669" s="47"/>
      <c r="S1669" s="50"/>
      <c r="T1669" s="47"/>
      <c r="U1669" s="47"/>
      <c r="V1669" s="47"/>
      <c r="W1669" s="51"/>
      <c r="X1669" s="51"/>
      <c r="Y1669" s="47"/>
      <c r="Z1669" s="47"/>
      <c r="AA1669" s="47"/>
      <c r="AB1669" s="47"/>
      <c r="AC1669" s="47"/>
      <c r="AD1669" s="47"/>
      <c r="AE1669" s="54"/>
      <c r="AF1669" s="54"/>
      <c r="AG1669" s="55"/>
      <c r="AH1669" s="54"/>
      <c r="AI1669" s="54"/>
      <c r="AJ1669" s="54"/>
      <c r="AK1669" s="54"/>
      <c r="AL1669" s="54"/>
      <c r="AM1669" s="54"/>
      <c r="AN1669" s="54"/>
      <c r="AO1669" s="54"/>
      <c r="AP1669" s="54"/>
      <c r="AQ1669" s="54"/>
      <c r="AR1669" s="54"/>
      <c r="AS1669" s="54"/>
      <c r="AT1669" s="54"/>
      <c r="AU1669" s="54"/>
      <c r="AV1669" s="54"/>
      <c r="AW1669" s="54"/>
      <c r="AX1669" s="54"/>
      <c r="AY1669" s="54"/>
      <c r="AZ1669" s="54"/>
      <c r="BA1669" s="54"/>
      <c r="BB1669" s="54"/>
      <c r="BC1669" s="56"/>
      <c r="BD1669" s="51"/>
      <c r="BE1669" s="54"/>
      <c r="BF1669" s="54"/>
      <c r="BG1669" s="47"/>
      <c r="BH1669" s="48"/>
      <c r="BI1669" s="48"/>
      <c r="BJ1669" s="48"/>
      <c r="BK1669" s="48"/>
      <c r="BL1669" s="48"/>
      <c r="BM1669" s="48"/>
      <c r="BN1669" s="48"/>
      <c r="BO1669" s="48"/>
      <c r="BP1669" s="48"/>
      <c r="BQ1669" s="48"/>
      <c r="BR1669" s="48"/>
      <c r="BS1669" s="48"/>
      <c r="BT1669" s="48"/>
      <c r="BU1669" s="48"/>
      <c r="BV1669" s="48"/>
      <c r="BW1669" s="48"/>
      <c r="BX1669" s="48"/>
      <c r="BY1669" s="48"/>
      <c r="BZ1669" s="48"/>
      <c r="CA1669" s="48"/>
      <c r="CB1669" s="48"/>
      <c r="CC1669" s="48"/>
      <c r="CD1669" s="48"/>
      <c r="CE1669" s="48"/>
      <c r="CF1669" s="52"/>
      <c r="CG1669" s="52"/>
      <c r="CH1669" s="48"/>
      <c r="CI1669" s="48"/>
      <c r="CJ1669" s="48"/>
      <c r="CK1669" s="48"/>
    </row>
    <row r="1670" spans="1:89" ht="15.75" customHeight="1" x14ac:dyDescent="0.3">
      <c r="A1670" s="47"/>
      <c r="B1670" s="48"/>
      <c r="C1670" s="47"/>
      <c r="D1670" s="48"/>
      <c r="E1670" s="48"/>
      <c r="F1670" s="48"/>
      <c r="G1670" s="48"/>
      <c r="H1670" s="48"/>
      <c r="I1670" s="49"/>
      <c r="J1670" s="47"/>
      <c r="K1670" s="47"/>
      <c r="L1670" s="47"/>
      <c r="M1670" s="47"/>
      <c r="N1670" s="47"/>
      <c r="O1670" s="47"/>
      <c r="P1670" s="47"/>
      <c r="Q1670" s="47"/>
      <c r="R1670" s="47"/>
      <c r="S1670" s="50"/>
      <c r="T1670" s="47"/>
      <c r="U1670" s="47"/>
      <c r="V1670" s="47"/>
      <c r="W1670" s="51"/>
      <c r="X1670" s="51"/>
      <c r="Y1670" s="47"/>
      <c r="Z1670" s="47"/>
      <c r="AA1670" s="47"/>
      <c r="AB1670" s="47"/>
      <c r="AC1670" s="47"/>
      <c r="AD1670" s="47"/>
      <c r="AE1670" s="54"/>
      <c r="AF1670" s="54"/>
      <c r="AG1670" s="55"/>
      <c r="AH1670" s="54"/>
      <c r="AI1670" s="54"/>
      <c r="AJ1670" s="54"/>
      <c r="AK1670" s="54"/>
      <c r="AL1670" s="54"/>
      <c r="AM1670" s="54"/>
      <c r="AN1670" s="54"/>
      <c r="AO1670" s="54"/>
      <c r="AP1670" s="54"/>
      <c r="AQ1670" s="54"/>
      <c r="AR1670" s="54"/>
      <c r="AS1670" s="54"/>
      <c r="AT1670" s="54"/>
      <c r="AU1670" s="54"/>
      <c r="AV1670" s="54"/>
      <c r="AW1670" s="54"/>
      <c r="AX1670" s="54"/>
      <c r="AY1670" s="54"/>
      <c r="AZ1670" s="54"/>
      <c r="BA1670" s="54"/>
      <c r="BB1670" s="54"/>
      <c r="BC1670" s="56"/>
      <c r="BD1670" s="51"/>
      <c r="BE1670" s="54"/>
      <c r="BF1670" s="54"/>
      <c r="BG1670" s="47"/>
      <c r="BH1670" s="48"/>
      <c r="BI1670" s="48"/>
      <c r="BJ1670" s="48"/>
      <c r="BK1670" s="48"/>
      <c r="BL1670" s="48"/>
      <c r="BM1670" s="48"/>
      <c r="BN1670" s="48"/>
      <c r="BO1670" s="48"/>
      <c r="BP1670" s="48"/>
      <c r="BQ1670" s="48"/>
      <c r="BR1670" s="48"/>
      <c r="BS1670" s="48"/>
      <c r="BT1670" s="48"/>
      <c r="BU1670" s="48"/>
      <c r="BV1670" s="48"/>
      <c r="BW1670" s="48"/>
      <c r="BX1670" s="48"/>
      <c r="BY1670" s="48"/>
      <c r="BZ1670" s="48"/>
      <c r="CA1670" s="48"/>
      <c r="CB1670" s="48"/>
      <c r="CC1670" s="48"/>
      <c r="CD1670" s="48"/>
      <c r="CE1670" s="48"/>
      <c r="CF1670" s="52"/>
      <c r="CG1670" s="52"/>
      <c r="CH1670" s="48"/>
      <c r="CI1670" s="48"/>
      <c r="CJ1670" s="48"/>
      <c r="CK1670" s="48"/>
    </row>
    <row r="1671" spans="1:89" ht="15.75" customHeight="1" x14ac:dyDescent="0.3">
      <c r="A1671" s="47"/>
      <c r="B1671" s="48"/>
      <c r="C1671" s="47"/>
      <c r="D1671" s="48"/>
      <c r="E1671" s="48"/>
      <c r="F1671" s="48"/>
      <c r="G1671" s="48"/>
      <c r="H1671" s="48"/>
      <c r="I1671" s="49"/>
      <c r="J1671" s="47"/>
      <c r="K1671" s="47"/>
      <c r="L1671" s="47"/>
      <c r="M1671" s="47"/>
      <c r="N1671" s="47"/>
      <c r="O1671" s="47"/>
      <c r="P1671" s="47"/>
      <c r="Q1671" s="47"/>
      <c r="R1671" s="47"/>
      <c r="S1671" s="50"/>
      <c r="T1671" s="47"/>
      <c r="U1671" s="47"/>
      <c r="V1671" s="47"/>
      <c r="W1671" s="51"/>
      <c r="X1671" s="51"/>
      <c r="Y1671" s="47"/>
      <c r="Z1671" s="47"/>
      <c r="AA1671" s="47"/>
      <c r="AB1671" s="47"/>
      <c r="AC1671" s="47"/>
      <c r="AD1671" s="47"/>
      <c r="AE1671" s="54"/>
      <c r="AF1671" s="54"/>
      <c r="AG1671" s="55"/>
      <c r="AH1671" s="54"/>
      <c r="AI1671" s="54"/>
      <c r="AJ1671" s="54"/>
      <c r="AK1671" s="54"/>
      <c r="AL1671" s="54"/>
      <c r="AM1671" s="54"/>
      <c r="AN1671" s="54"/>
      <c r="AO1671" s="54"/>
      <c r="AP1671" s="54"/>
      <c r="AQ1671" s="54"/>
      <c r="AR1671" s="54"/>
      <c r="AS1671" s="54"/>
      <c r="AT1671" s="54"/>
      <c r="AU1671" s="54"/>
      <c r="AV1671" s="54"/>
      <c r="AW1671" s="54"/>
      <c r="AX1671" s="54"/>
      <c r="AY1671" s="54"/>
      <c r="AZ1671" s="54"/>
      <c r="BA1671" s="54"/>
      <c r="BB1671" s="54"/>
      <c r="BC1671" s="56"/>
      <c r="BD1671" s="51"/>
      <c r="BE1671" s="54"/>
      <c r="BF1671" s="54"/>
      <c r="BG1671" s="47"/>
      <c r="BH1671" s="48"/>
      <c r="BI1671" s="48"/>
      <c r="BJ1671" s="48"/>
      <c r="BK1671" s="48"/>
      <c r="BL1671" s="48"/>
      <c r="BM1671" s="48"/>
      <c r="BN1671" s="48"/>
      <c r="BO1671" s="48"/>
      <c r="BP1671" s="48"/>
      <c r="BQ1671" s="48"/>
      <c r="BR1671" s="48"/>
      <c r="BS1671" s="48"/>
      <c r="BT1671" s="48"/>
      <c r="BU1671" s="48"/>
      <c r="BV1671" s="48"/>
      <c r="BW1671" s="48"/>
      <c r="BX1671" s="48"/>
      <c r="BY1671" s="48"/>
      <c r="BZ1671" s="48"/>
      <c r="CA1671" s="48"/>
      <c r="CB1671" s="48"/>
      <c r="CC1671" s="48"/>
      <c r="CD1671" s="48"/>
      <c r="CE1671" s="48"/>
      <c r="CF1671" s="52"/>
      <c r="CG1671" s="52"/>
      <c r="CH1671" s="48"/>
      <c r="CI1671" s="48"/>
      <c r="CJ1671" s="48"/>
      <c r="CK1671" s="48"/>
    </row>
    <row r="1672" spans="1:89" ht="15.75" customHeight="1" x14ac:dyDescent="0.3">
      <c r="A1672" s="47"/>
      <c r="B1672" s="48"/>
      <c r="C1672" s="47"/>
      <c r="D1672" s="48"/>
      <c r="E1672" s="48"/>
      <c r="F1672" s="48"/>
      <c r="G1672" s="48"/>
      <c r="H1672" s="48"/>
      <c r="I1672" s="49"/>
      <c r="J1672" s="47"/>
      <c r="K1672" s="47"/>
      <c r="L1672" s="47"/>
      <c r="M1672" s="47"/>
      <c r="N1672" s="47"/>
      <c r="O1672" s="47"/>
      <c r="P1672" s="47"/>
      <c r="Q1672" s="47"/>
      <c r="R1672" s="47"/>
      <c r="S1672" s="50"/>
      <c r="T1672" s="47"/>
      <c r="U1672" s="47"/>
      <c r="V1672" s="47"/>
      <c r="W1672" s="51"/>
      <c r="X1672" s="51"/>
      <c r="Y1672" s="47"/>
      <c r="Z1672" s="47"/>
      <c r="AA1672" s="47"/>
      <c r="AB1672" s="47"/>
      <c r="AC1672" s="47"/>
      <c r="AD1672" s="47"/>
      <c r="AE1672" s="54"/>
      <c r="AF1672" s="54"/>
      <c r="AG1672" s="55"/>
      <c r="AH1672" s="54"/>
      <c r="AI1672" s="54"/>
      <c r="AJ1672" s="54"/>
      <c r="AK1672" s="54"/>
      <c r="AL1672" s="54"/>
      <c r="AM1672" s="54"/>
      <c r="AN1672" s="54"/>
      <c r="AO1672" s="54"/>
      <c r="AP1672" s="54"/>
      <c r="AQ1672" s="54"/>
      <c r="AR1672" s="54"/>
      <c r="AS1672" s="54"/>
      <c r="AT1672" s="54"/>
      <c r="AU1672" s="54"/>
      <c r="AV1672" s="54"/>
      <c r="AW1672" s="54"/>
      <c r="AX1672" s="54"/>
      <c r="AY1672" s="54"/>
      <c r="AZ1672" s="54"/>
      <c r="BA1672" s="54"/>
      <c r="BB1672" s="54"/>
      <c r="BC1672" s="56"/>
      <c r="BD1672" s="51"/>
      <c r="BE1672" s="54"/>
      <c r="BF1672" s="54"/>
      <c r="BG1672" s="47"/>
      <c r="BH1672" s="48"/>
      <c r="BI1672" s="48"/>
      <c r="BJ1672" s="48"/>
      <c r="BK1672" s="48"/>
      <c r="BL1672" s="48"/>
      <c r="BM1672" s="48"/>
      <c r="BN1672" s="48"/>
      <c r="BO1672" s="48"/>
      <c r="BP1672" s="48"/>
      <c r="BQ1672" s="48"/>
      <c r="BR1672" s="48"/>
      <c r="BS1672" s="48"/>
      <c r="BT1672" s="48"/>
      <c r="BU1672" s="48"/>
      <c r="BV1672" s="48"/>
      <c r="BW1672" s="48"/>
      <c r="BX1672" s="48"/>
      <c r="BY1672" s="48"/>
      <c r="BZ1672" s="48"/>
      <c r="CA1672" s="48"/>
      <c r="CB1672" s="48"/>
      <c r="CC1672" s="48"/>
      <c r="CD1672" s="48"/>
      <c r="CE1672" s="48"/>
      <c r="CF1672" s="52"/>
      <c r="CG1672" s="52"/>
      <c r="CH1672" s="48"/>
      <c r="CI1672" s="48"/>
      <c r="CJ1672" s="48"/>
      <c r="CK1672" s="48"/>
    </row>
    <row r="1673" spans="1:89" ht="15.75" customHeight="1" x14ac:dyDescent="0.3">
      <c r="A1673" s="47"/>
      <c r="B1673" s="48"/>
      <c r="C1673" s="47"/>
      <c r="D1673" s="48"/>
      <c r="E1673" s="48"/>
      <c r="F1673" s="48"/>
      <c r="G1673" s="48"/>
      <c r="H1673" s="48"/>
      <c r="I1673" s="49"/>
      <c r="J1673" s="47"/>
      <c r="K1673" s="47"/>
      <c r="L1673" s="47"/>
      <c r="M1673" s="47"/>
      <c r="N1673" s="47"/>
      <c r="O1673" s="47"/>
      <c r="P1673" s="47"/>
      <c r="Q1673" s="47"/>
      <c r="R1673" s="47"/>
      <c r="S1673" s="50"/>
      <c r="T1673" s="47"/>
      <c r="U1673" s="47"/>
      <c r="V1673" s="47"/>
      <c r="W1673" s="51"/>
      <c r="X1673" s="51"/>
      <c r="Y1673" s="47"/>
      <c r="Z1673" s="47"/>
      <c r="AA1673" s="47"/>
      <c r="AB1673" s="47"/>
      <c r="AC1673" s="47"/>
      <c r="AD1673" s="47"/>
      <c r="AE1673" s="54"/>
      <c r="AF1673" s="54"/>
      <c r="AG1673" s="55"/>
      <c r="AH1673" s="54"/>
      <c r="AI1673" s="54"/>
      <c r="AJ1673" s="54"/>
      <c r="AK1673" s="54"/>
      <c r="AL1673" s="54"/>
      <c r="AM1673" s="54"/>
      <c r="AN1673" s="54"/>
      <c r="AO1673" s="54"/>
      <c r="AP1673" s="54"/>
      <c r="AQ1673" s="54"/>
      <c r="AR1673" s="54"/>
      <c r="AS1673" s="54"/>
      <c r="AT1673" s="54"/>
      <c r="AU1673" s="54"/>
      <c r="AV1673" s="54"/>
      <c r="AW1673" s="54"/>
      <c r="AX1673" s="54"/>
      <c r="AY1673" s="54"/>
      <c r="AZ1673" s="54"/>
      <c r="BA1673" s="54"/>
      <c r="BB1673" s="54"/>
      <c r="BC1673" s="56"/>
      <c r="BD1673" s="51"/>
      <c r="BE1673" s="54"/>
      <c r="BF1673" s="54"/>
      <c r="BG1673" s="47"/>
      <c r="BH1673" s="48"/>
      <c r="BI1673" s="48"/>
      <c r="BJ1673" s="48"/>
      <c r="BK1673" s="48"/>
      <c r="BL1673" s="48"/>
      <c r="BM1673" s="48"/>
      <c r="BN1673" s="48"/>
      <c r="BO1673" s="48"/>
      <c r="BP1673" s="48"/>
      <c r="BQ1673" s="48"/>
      <c r="BR1673" s="48"/>
      <c r="BS1673" s="48"/>
      <c r="BT1673" s="48"/>
      <c r="BU1673" s="48"/>
      <c r="BV1673" s="48"/>
      <c r="BW1673" s="48"/>
      <c r="BX1673" s="48"/>
      <c r="BY1673" s="48"/>
      <c r="BZ1673" s="48"/>
      <c r="CA1673" s="48"/>
      <c r="CB1673" s="48"/>
      <c r="CC1673" s="48"/>
      <c r="CD1673" s="48"/>
      <c r="CE1673" s="48"/>
      <c r="CF1673" s="52"/>
      <c r="CG1673" s="52"/>
      <c r="CH1673" s="48"/>
      <c r="CI1673" s="48"/>
      <c r="CJ1673" s="48"/>
      <c r="CK1673" s="48"/>
    </row>
    <row r="1674" spans="1:89" ht="15.75" customHeight="1" x14ac:dyDescent="0.3">
      <c r="A1674" s="47"/>
      <c r="B1674" s="48"/>
      <c r="C1674" s="47"/>
      <c r="D1674" s="48"/>
      <c r="E1674" s="48"/>
      <c r="F1674" s="48"/>
      <c r="G1674" s="48"/>
      <c r="H1674" s="48"/>
      <c r="I1674" s="49"/>
      <c r="J1674" s="47"/>
      <c r="K1674" s="47"/>
      <c r="L1674" s="47"/>
      <c r="M1674" s="47"/>
      <c r="N1674" s="47"/>
      <c r="O1674" s="47"/>
      <c r="P1674" s="47"/>
      <c r="Q1674" s="47"/>
      <c r="R1674" s="47"/>
      <c r="S1674" s="50"/>
      <c r="T1674" s="47"/>
      <c r="U1674" s="47"/>
      <c r="V1674" s="47"/>
      <c r="W1674" s="51"/>
      <c r="X1674" s="51"/>
      <c r="Y1674" s="47"/>
      <c r="Z1674" s="47"/>
      <c r="AA1674" s="47"/>
      <c r="AB1674" s="47"/>
      <c r="AC1674" s="47"/>
      <c r="AD1674" s="47"/>
      <c r="AE1674" s="54"/>
      <c r="AF1674" s="54"/>
      <c r="AG1674" s="55"/>
      <c r="AH1674" s="54"/>
      <c r="AI1674" s="54"/>
      <c r="AJ1674" s="54"/>
      <c r="AK1674" s="54"/>
      <c r="AL1674" s="54"/>
      <c r="AM1674" s="54"/>
      <c r="AN1674" s="54"/>
      <c r="AO1674" s="54"/>
      <c r="AP1674" s="54"/>
      <c r="AQ1674" s="54"/>
      <c r="AR1674" s="54"/>
      <c r="AS1674" s="54"/>
      <c r="AT1674" s="54"/>
      <c r="AU1674" s="54"/>
      <c r="AV1674" s="54"/>
      <c r="AW1674" s="54"/>
      <c r="AX1674" s="54"/>
      <c r="AY1674" s="54"/>
      <c r="AZ1674" s="54"/>
      <c r="BA1674" s="54"/>
      <c r="BB1674" s="54"/>
      <c r="BC1674" s="56"/>
      <c r="BD1674" s="51"/>
      <c r="BE1674" s="54"/>
      <c r="BF1674" s="54"/>
      <c r="BG1674" s="47"/>
      <c r="BH1674" s="48"/>
      <c r="BI1674" s="48"/>
      <c r="BJ1674" s="48"/>
      <c r="BK1674" s="48"/>
      <c r="BL1674" s="48"/>
      <c r="BM1674" s="48"/>
      <c r="BN1674" s="48"/>
      <c r="BO1674" s="48"/>
      <c r="BP1674" s="48"/>
      <c r="BQ1674" s="48"/>
      <c r="BR1674" s="48"/>
      <c r="BS1674" s="48"/>
      <c r="BT1674" s="48"/>
      <c r="BU1674" s="48"/>
      <c r="BV1674" s="48"/>
      <c r="BW1674" s="48"/>
      <c r="BX1674" s="48"/>
      <c r="BY1674" s="48"/>
      <c r="BZ1674" s="48"/>
      <c r="CA1674" s="48"/>
      <c r="CB1674" s="48"/>
      <c r="CC1674" s="48"/>
      <c r="CD1674" s="48"/>
      <c r="CE1674" s="48"/>
      <c r="CF1674" s="52"/>
      <c r="CG1674" s="52"/>
      <c r="CH1674" s="48"/>
      <c r="CI1674" s="48"/>
      <c r="CJ1674" s="48"/>
      <c r="CK1674" s="48"/>
    </row>
    <row r="1675" spans="1:89" ht="15.75" customHeight="1" x14ac:dyDescent="0.3">
      <c r="A1675" s="47"/>
      <c r="B1675" s="48"/>
      <c r="C1675" s="47"/>
      <c r="D1675" s="48"/>
      <c r="E1675" s="48"/>
      <c r="F1675" s="48"/>
      <c r="G1675" s="48"/>
      <c r="H1675" s="48"/>
      <c r="I1675" s="49"/>
      <c r="J1675" s="47"/>
      <c r="K1675" s="47"/>
      <c r="L1675" s="47"/>
      <c r="M1675" s="47"/>
      <c r="N1675" s="47"/>
      <c r="O1675" s="47"/>
      <c r="P1675" s="47"/>
      <c r="Q1675" s="47"/>
      <c r="R1675" s="47"/>
      <c r="S1675" s="50"/>
      <c r="T1675" s="47"/>
      <c r="U1675" s="47"/>
      <c r="V1675" s="47"/>
      <c r="W1675" s="51"/>
      <c r="X1675" s="51"/>
      <c r="Y1675" s="47"/>
      <c r="Z1675" s="47"/>
      <c r="AA1675" s="47"/>
      <c r="AB1675" s="47"/>
      <c r="AC1675" s="47"/>
      <c r="AD1675" s="47"/>
      <c r="AE1675" s="54"/>
      <c r="AF1675" s="54"/>
      <c r="AG1675" s="55"/>
      <c r="AH1675" s="54"/>
      <c r="AI1675" s="54"/>
      <c r="AJ1675" s="54"/>
      <c r="AK1675" s="54"/>
      <c r="AL1675" s="54"/>
      <c r="AM1675" s="54"/>
      <c r="AN1675" s="54"/>
      <c r="AO1675" s="54"/>
      <c r="AP1675" s="54"/>
      <c r="AQ1675" s="54"/>
      <c r="AR1675" s="54"/>
      <c r="AS1675" s="54"/>
      <c r="AT1675" s="54"/>
      <c r="AU1675" s="54"/>
      <c r="AV1675" s="54"/>
      <c r="AW1675" s="54"/>
      <c r="AX1675" s="54"/>
      <c r="AY1675" s="54"/>
      <c r="AZ1675" s="54"/>
      <c r="BA1675" s="54"/>
      <c r="BB1675" s="54"/>
      <c r="BC1675" s="56"/>
      <c r="BD1675" s="51"/>
      <c r="BE1675" s="54"/>
      <c r="BF1675" s="54"/>
      <c r="BG1675" s="47"/>
      <c r="BH1675" s="48"/>
      <c r="BI1675" s="48"/>
      <c r="BJ1675" s="48"/>
      <c r="BK1675" s="48"/>
      <c r="BL1675" s="48"/>
      <c r="BM1675" s="48"/>
      <c r="BN1675" s="48"/>
      <c r="BO1675" s="48"/>
      <c r="BP1675" s="48"/>
      <c r="BQ1675" s="48"/>
      <c r="BR1675" s="48"/>
      <c r="BS1675" s="48"/>
      <c r="BT1675" s="48"/>
      <c r="BU1675" s="48"/>
      <c r="BV1675" s="48"/>
      <c r="BW1675" s="48"/>
      <c r="BX1675" s="48"/>
      <c r="BY1675" s="48"/>
      <c r="BZ1675" s="48"/>
      <c r="CA1675" s="48"/>
      <c r="CB1675" s="48"/>
      <c r="CC1675" s="48"/>
      <c r="CD1675" s="48"/>
      <c r="CE1675" s="48"/>
      <c r="CF1675" s="52"/>
      <c r="CG1675" s="52"/>
      <c r="CH1675" s="48"/>
      <c r="CI1675" s="48"/>
      <c r="CJ1675" s="48"/>
      <c r="CK1675" s="48"/>
    </row>
    <row r="1676" spans="1:89" ht="15.75" customHeight="1" x14ac:dyDescent="0.3">
      <c r="A1676" s="47"/>
      <c r="B1676" s="48"/>
      <c r="C1676" s="47"/>
      <c r="D1676" s="48"/>
      <c r="E1676" s="48"/>
      <c r="F1676" s="48"/>
      <c r="G1676" s="48"/>
      <c r="H1676" s="48"/>
      <c r="I1676" s="49"/>
      <c r="J1676" s="47"/>
      <c r="K1676" s="47"/>
      <c r="L1676" s="47"/>
      <c r="M1676" s="47"/>
      <c r="N1676" s="47"/>
      <c r="O1676" s="47"/>
      <c r="P1676" s="47"/>
      <c r="Q1676" s="47"/>
      <c r="R1676" s="47"/>
      <c r="S1676" s="50"/>
      <c r="T1676" s="47"/>
      <c r="U1676" s="47"/>
      <c r="V1676" s="47"/>
      <c r="W1676" s="51"/>
      <c r="X1676" s="51"/>
      <c r="Y1676" s="47"/>
      <c r="Z1676" s="47"/>
      <c r="AA1676" s="47"/>
      <c r="AB1676" s="47"/>
      <c r="AC1676" s="47"/>
      <c r="AD1676" s="47"/>
      <c r="AE1676" s="54"/>
      <c r="AF1676" s="54"/>
      <c r="AG1676" s="55"/>
      <c r="AH1676" s="54"/>
      <c r="AI1676" s="54"/>
      <c r="AJ1676" s="54"/>
      <c r="AK1676" s="54"/>
      <c r="AL1676" s="54"/>
      <c r="AM1676" s="54"/>
      <c r="AN1676" s="54"/>
      <c r="AO1676" s="54"/>
      <c r="AP1676" s="54"/>
      <c r="AQ1676" s="54"/>
      <c r="AR1676" s="54"/>
      <c r="AS1676" s="54"/>
      <c r="AT1676" s="54"/>
      <c r="AU1676" s="54"/>
      <c r="AV1676" s="54"/>
      <c r="AW1676" s="54"/>
      <c r="AX1676" s="54"/>
      <c r="AY1676" s="54"/>
      <c r="AZ1676" s="54"/>
      <c r="BA1676" s="54"/>
      <c r="BB1676" s="54"/>
      <c r="BC1676" s="56"/>
      <c r="BD1676" s="51"/>
      <c r="BE1676" s="54"/>
      <c r="BF1676" s="54"/>
      <c r="BG1676" s="47"/>
      <c r="BH1676" s="48"/>
      <c r="BI1676" s="48"/>
      <c r="BJ1676" s="48"/>
      <c r="BK1676" s="48"/>
      <c r="BL1676" s="48"/>
      <c r="BM1676" s="48"/>
      <c r="BN1676" s="48"/>
      <c r="BO1676" s="48"/>
      <c r="BP1676" s="48"/>
      <c r="BQ1676" s="48"/>
      <c r="BR1676" s="48"/>
      <c r="BS1676" s="48"/>
      <c r="BT1676" s="48"/>
      <c r="BU1676" s="48"/>
      <c r="BV1676" s="48"/>
      <c r="BW1676" s="48"/>
      <c r="BX1676" s="48"/>
      <c r="BY1676" s="48"/>
      <c r="BZ1676" s="48"/>
      <c r="CA1676" s="48"/>
      <c r="CB1676" s="48"/>
      <c r="CC1676" s="48"/>
      <c r="CD1676" s="48"/>
      <c r="CE1676" s="48"/>
      <c r="CF1676" s="52"/>
      <c r="CG1676" s="52"/>
      <c r="CH1676" s="48"/>
      <c r="CI1676" s="48"/>
      <c r="CJ1676" s="48"/>
      <c r="CK1676" s="48"/>
    </row>
    <row r="1677" spans="1:89" ht="15.75" customHeight="1" x14ac:dyDescent="0.3">
      <c r="A1677" s="47"/>
      <c r="B1677" s="48"/>
      <c r="C1677" s="47"/>
      <c r="D1677" s="48"/>
      <c r="E1677" s="48"/>
      <c r="F1677" s="48"/>
      <c r="G1677" s="48"/>
      <c r="H1677" s="48"/>
      <c r="I1677" s="49"/>
      <c r="J1677" s="47"/>
      <c r="K1677" s="47"/>
      <c r="L1677" s="47"/>
      <c r="M1677" s="47"/>
      <c r="N1677" s="47"/>
      <c r="O1677" s="47"/>
      <c r="P1677" s="47"/>
      <c r="Q1677" s="47"/>
      <c r="R1677" s="47"/>
      <c r="S1677" s="50"/>
      <c r="T1677" s="47"/>
      <c r="U1677" s="47"/>
      <c r="V1677" s="47"/>
      <c r="W1677" s="51"/>
      <c r="X1677" s="51"/>
      <c r="Y1677" s="47"/>
      <c r="Z1677" s="47"/>
      <c r="AA1677" s="47"/>
      <c r="AB1677" s="47"/>
      <c r="AC1677" s="47"/>
      <c r="AD1677" s="47"/>
      <c r="AE1677" s="54"/>
      <c r="AF1677" s="54"/>
      <c r="AG1677" s="55"/>
      <c r="AH1677" s="54"/>
      <c r="AI1677" s="54"/>
      <c r="AJ1677" s="54"/>
      <c r="AK1677" s="54"/>
      <c r="AL1677" s="54"/>
      <c r="AM1677" s="54"/>
      <c r="AN1677" s="54"/>
      <c r="AO1677" s="54"/>
      <c r="AP1677" s="54"/>
      <c r="AQ1677" s="54"/>
      <c r="AR1677" s="54"/>
      <c r="AS1677" s="54"/>
      <c r="AT1677" s="54"/>
      <c r="AU1677" s="54"/>
      <c r="AV1677" s="54"/>
      <c r="AW1677" s="54"/>
      <c r="AX1677" s="54"/>
      <c r="AY1677" s="54"/>
      <c r="AZ1677" s="54"/>
      <c r="BA1677" s="54"/>
      <c r="BB1677" s="54"/>
      <c r="BC1677" s="56"/>
      <c r="BD1677" s="51"/>
      <c r="BE1677" s="54"/>
      <c r="BF1677" s="54"/>
      <c r="BG1677" s="47"/>
      <c r="BH1677" s="48"/>
      <c r="BI1677" s="48"/>
      <c r="BJ1677" s="48"/>
      <c r="BK1677" s="48"/>
      <c r="BL1677" s="48"/>
      <c r="BM1677" s="48"/>
      <c r="BN1677" s="48"/>
      <c r="BO1677" s="48"/>
      <c r="BP1677" s="48"/>
      <c r="BQ1677" s="48"/>
      <c r="BR1677" s="48"/>
      <c r="BS1677" s="48"/>
      <c r="BT1677" s="48"/>
      <c r="BU1677" s="48"/>
      <c r="BV1677" s="48"/>
      <c r="BW1677" s="48"/>
      <c r="BX1677" s="48"/>
      <c r="BY1677" s="48"/>
      <c r="BZ1677" s="48"/>
      <c r="CA1677" s="48"/>
      <c r="CB1677" s="48"/>
      <c r="CC1677" s="48"/>
      <c r="CD1677" s="48"/>
      <c r="CE1677" s="48"/>
      <c r="CF1677" s="52"/>
      <c r="CG1677" s="52"/>
      <c r="CH1677" s="48"/>
      <c r="CI1677" s="48"/>
      <c r="CJ1677" s="48"/>
      <c r="CK1677" s="48"/>
    </row>
    <row r="1678" spans="1:89" ht="15.75" customHeight="1" x14ac:dyDescent="0.3">
      <c r="A1678" s="47"/>
      <c r="B1678" s="48"/>
      <c r="C1678" s="47"/>
      <c r="D1678" s="48"/>
      <c r="E1678" s="48"/>
      <c r="F1678" s="48"/>
      <c r="G1678" s="48"/>
      <c r="H1678" s="48"/>
      <c r="I1678" s="49"/>
      <c r="J1678" s="47"/>
      <c r="K1678" s="47"/>
      <c r="L1678" s="47"/>
      <c r="M1678" s="47"/>
      <c r="N1678" s="47"/>
      <c r="O1678" s="47"/>
      <c r="P1678" s="47"/>
      <c r="Q1678" s="47"/>
      <c r="R1678" s="47"/>
      <c r="S1678" s="50"/>
      <c r="T1678" s="47"/>
      <c r="U1678" s="47"/>
      <c r="V1678" s="47"/>
      <c r="W1678" s="51"/>
      <c r="X1678" s="51"/>
      <c r="Y1678" s="47"/>
      <c r="Z1678" s="47"/>
      <c r="AA1678" s="47"/>
      <c r="AB1678" s="47"/>
      <c r="AC1678" s="47"/>
      <c r="AD1678" s="47"/>
      <c r="AE1678" s="54"/>
      <c r="AF1678" s="54"/>
      <c r="AG1678" s="55"/>
      <c r="AH1678" s="54"/>
      <c r="AI1678" s="54"/>
      <c r="AJ1678" s="54"/>
      <c r="AK1678" s="54"/>
      <c r="AL1678" s="54"/>
      <c r="AM1678" s="54"/>
      <c r="AN1678" s="54"/>
      <c r="AO1678" s="54"/>
      <c r="AP1678" s="54"/>
      <c r="AQ1678" s="54"/>
      <c r="AR1678" s="54"/>
      <c r="AS1678" s="54"/>
      <c r="AT1678" s="54"/>
      <c r="AU1678" s="54"/>
      <c r="AV1678" s="54"/>
      <c r="AW1678" s="54"/>
      <c r="AX1678" s="54"/>
      <c r="AY1678" s="54"/>
      <c r="AZ1678" s="54"/>
      <c r="BA1678" s="54"/>
      <c r="BB1678" s="54"/>
      <c r="BC1678" s="56"/>
      <c r="BD1678" s="51"/>
      <c r="BE1678" s="54"/>
      <c r="BF1678" s="54"/>
      <c r="BG1678" s="47"/>
      <c r="BH1678" s="48"/>
      <c r="BI1678" s="48"/>
      <c r="BJ1678" s="48"/>
      <c r="BK1678" s="48"/>
      <c r="BL1678" s="48"/>
      <c r="BM1678" s="48"/>
      <c r="BN1678" s="48"/>
      <c r="BO1678" s="48"/>
      <c r="BP1678" s="48"/>
      <c r="BQ1678" s="48"/>
      <c r="BR1678" s="48"/>
      <c r="BS1678" s="48"/>
      <c r="BT1678" s="48"/>
      <c r="BU1678" s="48"/>
      <c r="BV1678" s="48"/>
      <c r="BW1678" s="48"/>
      <c r="BX1678" s="48"/>
      <c r="BY1678" s="48"/>
      <c r="BZ1678" s="48"/>
      <c r="CA1678" s="48"/>
      <c r="CB1678" s="48"/>
      <c r="CC1678" s="48"/>
      <c r="CD1678" s="48"/>
      <c r="CE1678" s="48"/>
      <c r="CF1678" s="52"/>
      <c r="CG1678" s="52"/>
      <c r="CH1678" s="48"/>
      <c r="CI1678" s="48"/>
      <c r="CJ1678" s="48"/>
      <c r="CK1678" s="48"/>
    </row>
    <row r="1679" spans="1:89" ht="15.75" customHeight="1" x14ac:dyDescent="0.3">
      <c r="A1679" s="47"/>
      <c r="B1679" s="48"/>
      <c r="C1679" s="47"/>
      <c r="D1679" s="48"/>
      <c r="E1679" s="48"/>
      <c r="F1679" s="48"/>
      <c r="G1679" s="48"/>
      <c r="H1679" s="48"/>
      <c r="I1679" s="49"/>
      <c r="J1679" s="47"/>
      <c r="K1679" s="47"/>
      <c r="L1679" s="47"/>
      <c r="M1679" s="47"/>
      <c r="N1679" s="47"/>
      <c r="O1679" s="47"/>
      <c r="P1679" s="47"/>
      <c r="Q1679" s="47"/>
      <c r="R1679" s="47"/>
      <c r="S1679" s="50"/>
      <c r="T1679" s="47"/>
      <c r="U1679" s="47"/>
      <c r="V1679" s="47"/>
      <c r="W1679" s="51"/>
      <c r="X1679" s="51"/>
      <c r="Y1679" s="47"/>
      <c r="Z1679" s="47"/>
      <c r="AA1679" s="47"/>
      <c r="AB1679" s="47"/>
      <c r="AC1679" s="47"/>
      <c r="AD1679" s="47"/>
      <c r="AE1679" s="54"/>
      <c r="AF1679" s="54"/>
      <c r="AG1679" s="55"/>
      <c r="AH1679" s="54"/>
      <c r="AI1679" s="54"/>
      <c r="AJ1679" s="54"/>
      <c r="AK1679" s="54"/>
      <c r="AL1679" s="54"/>
      <c r="AM1679" s="54"/>
      <c r="AN1679" s="54"/>
      <c r="AO1679" s="54"/>
      <c r="AP1679" s="54"/>
      <c r="AQ1679" s="54"/>
      <c r="AR1679" s="54"/>
      <c r="AS1679" s="54"/>
      <c r="AT1679" s="54"/>
      <c r="AU1679" s="54"/>
      <c r="AV1679" s="54"/>
      <c r="AW1679" s="54"/>
      <c r="AX1679" s="54"/>
      <c r="AY1679" s="54"/>
      <c r="AZ1679" s="54"/>
      <c r="BA1679" s="54"/>
      <c r="BB1679" s="54"/>
      <c r="BC1679" s="56"/>
      <c r="BD1679" s="51"/>
      <c r="BE1679" s="54"/>
      <c r="BF1679" s="54"/>
      <c r="BG1679" s="47"/>
      <c r="BH1679" s="48"/>
      <c r="BI1679" s="48"/>
      <c r="BJ1679" s="48"/>
      <c r="BK1679" s="48"/>
      <c r="BL1679" s="48"/>
      <c r="BM1679" s="48"/>
      <c r="BN1679" s="48"/>
      <c r="BO1679" s="48"/>
      <c r="BP1679" s="48"/>
      <c r="BQ1679" s="48"/>
      <c r="BR1679" s="48"/>
      <c r="BS1679" s="48"/>
      <c r="BT1679" s="48"/>
      <c r="BU1679" s="48"/>
      <c r="BV1679" s="48"/>
      <c r="BW1679" s="48"/>
      <c r="BX1679" s="48"/>
      <c r="BY1679" s="48"/>
      <c r="BZ1679" s="48"/>
      <c r="CA1679" s="48"/>
      <c r="CB1679" s="48"/>
      <c r="CC1679" s="48"/>
      <c r="CD1679" s="48"/>
      <c r="CE1679" s="48"/>
      <c r="CF1679" s="52"/>
      <c r="CG1679" s="52"/>
      <c r="CH1679" s="48"/>
      <c r="CI1679" s="48"/>
      <c r="CJ1679" s="48"/>
      <c r="CK1679" s="48"/>
    </row>
    <row r="1680" spans="1:89" ht="15.75" customHeight="1" x14ac:dyDescent="0.3">
      <c r="A1680" s="47"/>
      <c r="B1680" s="48"/>
      <c r="C1680" s="47"/>
      <c r="D1680" s="48"/>
      <c r="E1680" s="48"/>
      <c r="F1680" s="48"/>
      <c r="G1680" s="48"/>
      <c r="H1680" s="48"/>
      <c r="I1680" s="49"/>
      <c r="J1680" s="47"/>
      <c r="K1680" s="47"/>
      <c r="L1680" s="47"/>
      <c r="M1680" s="47"/>
      <c r="N1680" s="47"/>
      <c r="O1680" s="47"/>
      <c r="P1680" s="47"/>
      <c r="Q1680" s="47"/>
      <c r="R1680" s="47"/>
      <c r="S1680" s="50"/>
      <c r="T1680" s="47"/>
      <c r="U1680" s="47"/>
      <c r="V1680" s="47"/>
      <c r="W1680" s="51"/>
      <c r="X1680" s="51"/>
      <c r="Y1680" s="47"/>
      <c r="Z1680" s="47"/>
      <c r="AA1680" s="47"/>
      <c r="AB1680" s="47"/>
      <c r="AC1680" s="47"/>
      <c r="AD1680" s="47"/>
      <c r="AE1680" s="54"/>
      <c r="AF1680" s="54"/>
      <c r="AG1680" s="55"/>
      <c r="AH1680" s="54"/>
      <c r="AI1680" s="54"/>
      <c r="AJ1680" s="54"/>
      <c r="AK1680" s="54"/>
      <c r="AL1680" s="54"/>
      <c r="AM1680" s="54"/>
      <c r="AN1680" s="54"/>
      <c r="AO1680" s="54"/>
      <c r="AP1680" s="54"/>
      <c r="AQ1680" s="54"/>
      <c r="AR1680" s="54"/>
      <c r="AS1680" s="54"/>
      <c r="AT1680" s="54"/>
      <c r="AU1680" s="54"/>
      <c r="AV1680" s="54"/>
      <c r="AW1680" s="54"/>
      <c r="AX1680" s="54"/>
      <c r="AY1680" s="54"/>
      <c r="AZ1680" s="54"/>
      <c r="BA1680" s="54"/>
      <c r="BB1680" s="54"/>
      <c r="BC1680" s="56"/>
      <c r="BD1680" s="51"/>
      <c r="BE1680" s="54"/>
      <c r="BF1680" s="54"/>
      <c r="BG1680" s="47"/>
      <c r="BH1680" s="48"/>
      <c r="BI1680" s="48"/>
      <c r="BJ1680" s="48"/>
      <c r="BK1680" s="48"/>
      <c r="BL1680" s="48"/>
      <c r="BM1680" s="48"/>
      <c r="BN1680" s="48"/>
      <c r="BO1680" s="48"/>
      <c r="BP1680" s="48"/>
      <c r="BQ1680" s="48"/>
      <c r="BR1680" s="48"/>
      <c r="BS1680" s="48"/>
      <c r="BT1680" s="48"/>
      <c r="BU1680" s="48"/>
      <c r="BV1680" s="48"/>
      <c r="BW1680" s="48"/>
      <c r="BX1680" s="48"/>
      <c r="BY1680" s="48"/>
      <c r="BZ1680" s="48"/>
      <c r="CA1680" s="48"/>
      <c r="CB1680" s="48"/>
      <c r="CC1680" s="48"/>
      <c r="CD1680" s="48"/>
      <c r="CE1680" s="48"/>
      <c r="CF1680" s="52"/>
      <c r="CG1680" s="52"/>
      <c r="CH1680" s="48"/>
      <c r="CI1680" s="48"/>
      <c r="CJ1680" s="48"/>
      <c r="CK1680" s="48"/>
    </row>
    <row r="1681" spans="1:89" ht="15.75" customHeight="1" x14ac:dyDescent="0.3">
      <c r="A1681" s="47"/>
      <c r="B1681" s="48"/>
      <c r="C1681" s="47"/>
      <c r="D1681" s="48"/>
      <c r="E1681" s="48"/>
      <c r="F1681" s="48"/>
      <c r="G1681" s="48"/>
      <c r="H1681" s="48"/>
      <c r="I1681" s="49"/>
      <c r="J1681" s="47"/>
      <c r="K1681" s="47"/>
      <c r="L1681" s="47"/>
      <c r="M1681" s="47"/>
      <c r="N1681" s="47"/>
      <c r="O1681" s="47"/>
      <c r="P1681" s="47"/>
      <c r="Q1681" s="47"/>
      <c r="R1681" s="47"/>
      <c r="S1681" s="50"/>
      <c r="T1681" s="47"/>
      <c r="U1681" s="47"/>
      <c r="V1681" s="47"/>
      <c r="W1681" s="51"/>
      <c r="X1681" s="51"/>
      <c r="Y1681" s="47"/>
      <c r="Z1681" s="47"/>
      <c r="AA1681" s="47"/>
      <c r="AB1681" s="47"/>
      <c r="AC1681" s="47"/>
      <c r="AD1681" s="47"/>
      <c r="AE1681" s="54"/>
      <c r="AF1681" s="54"/>
      <c r="AG1681" s="55"/>
      <c r="AH1681" s="54"/>
      <c r="AI1681" s="54"/>
      <c r="AJ1681" s="54"/>
      <c r="AK1681" s="54"/>
      <c r="AL1681" s="54"/>
      <c r="AM1681" s="54"/>
      <c r="AN1681" s="54"/>
      <c r="AO1681" s="54"/>
      <c r="AP1681" s="54"/>
      <c r="AQ1681" s="54"/>
      <c r="AR1681" s="54"/>
      <c r="AS1681" s="54"/>
      <c r="AT1681" s="54"/>
      <c r="AU1681" s="54"/>
      <c r="AV1681" s="54"/>
      <c r="AW1681" s="54"/>
      <c r="AX1681" s="54"/>
      <c r="AY1681" s="54"/>
      <c r="AZ1681" s="54"/>
      <c r="BA1681" s="54"/>
      <c r="BB1681" s="54"/>
      <c r="BC1681" s="56"/>
      <c r="BD1681" s="51"/>
      <c r="BE1681" s="54"/>
      <c r="BF1681" s="54"/>
      <c r="BG1681" s="47"/>
      <c r="BH1681" s="48"/>
      <c r="BI1681" s="48"/>
      <c r="BJ1681" s="48"/>
      <c r="BK1681" s="48"/>
      <c r="BL1681" s="48"/>
      <c r="BM1681" s="48"/>
      <c r="BN1681" s="48"/>
      <c r="BO1681" s="48"/>
      <c r="BP1681" s="48"/>
      <c r="BQ1681" s="48"/>
      <c r="BR1681" s="48"/>
      <c r="BS1681" s="48"/>
      <c r="BT1681" s="48"/>
      <c r="BU1681" s="48"/>
      <c r="BV1681" s="48"/>
      <c r="BW1681" s="48"/>
      <c r="BX1681" s="48"/>
      <c r="BY1681" s="48"/>
      <c r="BZ1681" s="48"/>
      <c r="CA1681" s="48"/>
      <c r="CB1681" s="48"/>
      <c r="CC1681" s="48"/>
      <c r="CD1681" s="48"/>
      <c r="CE1681" s="48"/>
      <c r="CF1681" s="52"/>
      <c r="CG1681" s="52"/>
      <c r="CH1681" s="48"/>
      <c r="CI1681" s="48"/>
      <c r="CJ1681" s="48"/>
      <c r="CK1681" s="48"/>
    </row>
    <row r="1682" spans="1:89" ht="15.75" customHeight="1" x14ac:dyDescent="0.3">
      <c r="A1682" s="47"/>
      <c r="B1682" s="48"/>
      <c r="C1682" s="47"/>
      <c r="D1682" s="48"/>
      <c r="E1682" s="48"/>
      <c r="F1682" s="48"/>
      <c r="G1682" s="48"/>
      <c r="H1682" s="48"/>
      <c r="I1682" s="49"/>
      <c r="J1682" s="47"/>
      <c r="K1682" s="47"/>
      <c r="L1682" s="47"/>
      <c r="M1682" s="47"/>
      <c r="N1682" s="47"/>
      <c r="O1682" s="47"/>
      <c r="P1682" s="47"/>
      <c r="Q1682" s="47"/>
      <c r="R1682" s="47"/>
      <c r="S1682" s="50"/>
      <c r="T1682" s="47"/>
      <c r="U1682" s="47"/>
      <c r="V1682" s="47"/>
      <c r="W1682" s="51"/>
      <c r="X1682" s="51"/>
      <c r="Y1682" s="47"/>
      <c r="Z1682" s="47"/>
      <c r="AA1682" s="47"/>
      <c r="AB1682" s="47"/>
      <c r="AC1682" s="47"/>
      <c r="AD1682" s="47"/>
      <c r="AE1682" s="54"/>
      <c r="AF1682" s="54"/>
      <c r="AG1682" s="55"/>
      <c r="AH1682" s="54"/>
      <c r="AI1682" s="54"/>
      <c r="AJ1682" s="54"/>
      <c r="AK1682" s="54"/>
      <c r="AL1682" s="54"/>
      <c r="AM1682" s="54"/>
      <c r="AN1682" s="54"/>
      <c r="AO1682" s="54"/>
      <c r="AP1682" s="54"/>
      <c r="AQ1682" s="54"/>
      <c r="AR1682" s="54"/>
      <c r="AS1682" s="54"/>
      <c r="AT1682" s="54"/>
      <c r="AU1682" s="54"/>
      <c r="AV1682" s="54"/>
      <c r="AW1682" s="54"/>
      <c r="AX1682" s="54"/>
      <c r="AY1682" s="54"/>
      <c r="AZ1682" s="54"/>
      <c r="BA1682" s="54"/>
      <c r="BB1682" s="54"/>
      <c r="BC1682" s="56"/>
      <c r="BD1682" s="51"/>
      <c r="BE1682" s="54"/>
      <c r="BF1682" s="54"/>
      <c r="BG1682" s="47"/>
      <c r="BH1682" s="48"/>
      <c r="BI1682" s="48"/>
      <c r="BJ1682" s="48"/>
      <c r="BK1682" s="48"/>
      <c r="BL1682" s="48"/>
      <c r="BM1682" s="48"/>
      <c r="BN1682" s="48"/>
      <c r="BO1682" s="48"/>
      <c r="BP1682" s="48"/>
      <c r="BQ1682" s="48"/>
      <c r="BR1682" s="48"/>
      <c r="BS1682" s="48"/>
      <c r="BT1682" s="48"/>
      <c r="BU1682" s="48"/>
      <c r="BV1682" s="48"/>
      <c r="BW1682" s="48"/>
      <c r="BX1682" s="48"/>
      <c r="BY1682" s="48"/>
      <c r="BZ1682" s="48"/>
      <c r="CA1682" s="48"/>
      <c r="CB1682" s="48"/>
      <c r="CC1682" s="48"/>
      <c r="CD1682" s="48"/>
      <c r="CE1682" s="48"/>
      <c r="CF1682" s="52"/>
      <c r="CG1682" s="52"/>
      <c r="CH1682" s="48"/>
      <c r="CI1682" s="48"/>
      <c r="CJ1682" s="48"/>
      <c r="CK1682" s="48"/>
    </row>
    <row r="1683" spans="1:89" ht="15.75" customHeight="1" x14ac:dyDescent="0.3">
      <c r="A1683" s="47"/>
      <c r="B1683" s="48"/>
      <c r="C1683" s="47"/>
      <c r="D1683" s="48"/>
      <c r="E1683" s="48"/>
      <c r="F1683" s="48"/>
      <c r="G1683" s="48"/>
      <c r="H1683" s="48"/>
      <c r="I1683" s="49"/>
      <c r="J1683" s="47"/>
      <c r="K1683" s="47"/>
      <c r="L1683" s="47"/>
      <c r="M1683" s="47"/>
      <c r="N1683" s="47"/>
      <c r="O1683" s="47"/>
      <c r="P1683" s="47"/>
      <c r="Q1683" s="47"/>
      <c r="R1683" s="47"/>
      <c r="S1683" s="50"/>
      <c r="T1683" s="47"/>
      <c r="U1683" s="47"/>
      <c r="V1683" s="47"/>
      <c r="W1683" s="51"/>
      <c r="X1683" s="51"/>
      <c r="Y1683" s="47"/>
      <c r="Z1683" s="47"/>
      <c r="AA1683" s="47"/>
      <c r="AB1683" s="47"/>
      <c r="AC1683" s="47"/>
      <c r="AD1683" s="47"/>
      <c r="AE1683" s="54"/>
      <c r="AF1683" s="54"/>
      <c r="AG1683" s="55"/>
      <c r="AH1683" s="54"/>
      <c r="AI1683" s="54"/>
      <c r="AJ1683" s="54"/>
      <c r="AK1683" s="54"/>
      <c r="AL1683" s="54"/>
      <c r="AM1683" s="54"/>
      <c r="AN1683" s="54"/>
      <c r="AO1683" s="54"/>
      <c r="AP1683" s="54"/>
      <c r="AQ1683" s="54"/>
      <c r="AR1683" s="54"/>
      <c r="AS1683" s="54"/>
      <c r="AT1683" s="54"/>
      <c r="AU1683" s="54"/>
      <c r="AV1683" s="54"/>
      <c r="AW1683" s="54"/>
      <c r="AX1683" s="54"/>
      <c r="AY1683" s="54"/>
      <c r="AZ1683" s="54"/>
      <c r="BA1683" s="54"/>
      <c r="BB1683" s="54"/>
      <c r="BC1683" s="56"/>
      <c r="BD1683" s="51"/>
      <c r="BE1683" s="54"/>
      <c r="BF1683" s="54"/>
      <c r="BG1683" s="47"/>
      <c r="BH1683" s="48"/>
      <c r="BI1683" s="48"/>
      <c r="BJ1683" s="48"/>
      <c r="BK1683" s="48"/>
      <c r="BL1683" s="48"/>
      <c r="BM1683" s="48"/>
      <c r="BN1683" s="48"/>
      <c r="BO1683" s="48"/>
      <c r="BP1683" s="48"/>
      <c r="BQ1683" s="48"/>
      <c r="BR1683" s="48"/>
      <c r="BS1683" s="48"/>
      <c r="BT1683" s="48"/>
      <c r="BU1683" s="48"/>
      <c r="BV1683" s="48"/>
      <c r="BW1683" s="48"/>
      <c r="BX1683" s="48"/>
      <c r="BY1683" s="48"/>
      <c r="BZ1683" s="48"/>
      <c r="CA1683" s="48"/>
      <c r="CB1683" s="48"/>
      <c r="CC1683" s="48"/>
      <c r="CD1683" s="48"/>
      <c r="CE1683" s="48"/>
      <c r="CF1683" s="52"/>
      <c r="CG1683" s="52"/>
      <c r="CH1683" s="48"/>
      <c r="CI1683" s="48"/>
      <c r="CJ1683" s="48"/>
      <c r="CK1683" s="48"/>
    </row>
    <row r="1684" spans="1:89" ht="15.75" customHeight="1" x14ac:dyDescent="0.3">
      <c r="A1684" s="47"/>
      <c r="B1684" s="48"/>
      <c r="C1684" s="47"/>
      <c r="D1684" s="48"/>
      <c r="E1684" s="48"/>
      <c r="F1684" s="48"/>
      <c r="G1684" s="48"/>
      <c r="H1684" s="48"/>
      <c r="I1684" s="49"/>
      <c r="J1684" s="47"/>
      <c r="K1684" s="47"/>
      <c r="L1684" s="47"/>
      <c r="M1684" s="47"/>
      <c r="N1684" s="47"/>
      <c r="O1684" s="47"/>
      <c r="P1684" s="47"/>
      <c r="Q1684" s="47"/>
      <c r="R1684" s="47"/>
      <c r="S1684" s="50"/>
      <c r="T1684" s="47"/>
      <c r="U1684" s="47"/>
      <c r="V1684" s="47"/>
      <c r="W1684" s="51"/>
      <c r="X1684" s="51"/>
      <c r="Y1684" s="47"/>
      <c r="Z1684" s="47"/>
      <c r="AA1684" s="47"/>
      <c r="AB1684" s="47"/>
      <c r="AC1684" s="47"/>
      <c r="AD1684" s="47"/>
      <c r="AE1684" s="54"/>
      <c r="AF1684" s="54"/>
      <c r="AG1684" s="55"/>
      <c r="AH1684" s="54"/>
      <c r="AI1684" s="54"/>
      <c r="AJ1684" s="54"/>
      <c r="AK1684" s="54"/>
      <c r="AL1684" s="54"/>
      <c r="AM1684" s="54"/>
      <c r="AN1684" s="54"/>
      <c r="AO1684" s="54"/>
      <c r="AP1684" s="54"/>
      <c r="AQ1684" s="54"/>
      <c r="AR1684" s="54"/>
      <c r="AS1684" s="54"/>
      <c r="AT1684" s="54"/>
      <c r="AU1684" s="54"/>
      <c r="AV1684" s="54"/>
      <c r="AW1684" s="54"/>
      <c r="AX1684" s="54"/>
      <c r="AY1684" s="54"/>
      <c r="AZ1684" s="54"/>
      <c r="BA1684" s="54"/>
      <c r="BB1684" s="54"/>
      <c r="BC1684" s="56"/>
      <c r="BD1684" s="51"/>
      <c r="BE1684" s="54"/>
      <c r="BF1684" s="54"/>
      <c r="BG1684" s="47"/>
      <c r="BH1684" s="48"/>
      <c r="BI1684" s="48"/>
      <c r="BJ1684" s="48"/>
      <c r="BK1684" s="48"/>
      <c r="BL1684" s="48"/>
      <c r="BM1684" s="48"/>
      <c r="BN1684" s="48"/>
      <c r="BO1684" s="48"/>
      <c r="BP1684" s="48"/>
      <c r="BQ1684" s="48"/>
      <c r="BR1684" s="48"/>
      <c r="BS1684" s="48"/>
      <c r="BT1684" s="48"/>
      <c r="BU1684" s="48"/>
      <c r="BV1684" s="48"/>
      <c r="BW1684" s="48"/>
      <c r="BX1684" s="48"/>
      <c r="BY1684" s="48"/>
      <c r="BZ1684" s="48"/>
      <c r="CA1684" s="48"/>
      <c r="CB1684" s="48"/>
      <c r="CC1684" s="48"/>
      <c r="CD1684" s="48"/>
      <c r="CE1684" s="48"/>
      <c r="CF1684" s="52"/>
      <c r="CG1684" s="52"/>
      <c r="CH1684" s="48"/>
      <c r="CI1684" s="48"/>
      <c r="CJ1684" s="48"/>
      <c r="CK1684" s="48"/>
    </row>
    <row r="1685" spans="1:89" ht="15.75" customHeight="1" x14ac:dyDescent="0.3">
      <c r="A1685" s="47"/>
      <c r="B1685" s="48"/>
      <c r="C1685" s="47"/>
      <c r="D1685" s="48"/>
      <c r="E1685" s="48"/>
      <c r="F1685" s="48"/>
      <c r="G1685" s="48"/>
      <c r="H1685" s="48"/>
      <c r="I1685" s="49"/>
      <c r="J1685" s="47"/>
      <c r="K1685" s="47"/>
      <c r="L1685" s="47"/>
      <c r="M1685" s="47"/>
      <c r="N1685" s="47"/>
      <c r="O1685" s="47"/>
      <c r="P1685" s="47"/>
      <c r="Q1685" s="47"/>
      <c r="R1685" s="47"/>
      <c r="S1685" s="50"/>
      <c r="T1685" s="47"/>
      <c r="U1685" s="47"/>
      <c r="V1685" s="47"/>
      <c r="W1685" s="51"/>
      <c r="X1685" s="51"/>
      <c r="Y1685" s="47"/>
      <c r="Z1685" s="47"/>
      <c r="AA1685" s="47"/>
      <c r="AB1685" s="47"/>
      <c r="AC1685" s="47"/>
      <c r="AD1685" s="47"/>
      <c r="AE1685" s="54"/>
      <c r="AF1685" s="54"/>
      <c r="AG1685" s="55"/>
      <c r="AH1685" s="54"/>
      <c r="AI1685" s="54"/>
      <c r="AJ1685" s="54"/>
      <c r="AK1685" s="54"/>
      <c r="AL1685" s="54"/>
      <c r="AM1685" s="54"/>
      <c r="AN1685" s="54"/>
      <c r="AO1685" s="54"/>
      <c r="AP1685" s="54"/>
      <c r="AQ1685" s="54"/>
      <c r="AR1685" s="54"/>
      <c r="AS1685" s="54"/>
      <c r="AT1685" s="54"/>
      <c r="AU1685" s="54"/>
      <c r="AV1685" s="54"/>
      <c r="AW1685" s="54"/>
      <c r="AX1685" s="54"/>
      <c r="AY1685" s="54"/>
      <c r="AZ1685" s="54"/>
      <c r="BA1685" s="54"/>
      <c r="BB1685" s="54"/>
      <c r="BC1685" s="56"/>
      <c r="BD1685" s="51"/>
      <c r="BE1685" s="54"/>
      <c r="BF1685" s="54"/>
      <c r="BG1685" s="47"/>
      <c r="BH1685" s="48"/>
      <c r="BI1685" s="48"/>
      <c r="BJ1685" s="48"/>
      <c r="BK1685" s="48"/>
      <c r="BL1685" s="48"/>
      <c r="BM1685" s="48"/>
      <c r="BN1685" s="48"/>
      <c r="BO1685" s="48"/>
      <c r="BP1685" s="48"/>
      <c r="BQ1685" s="48"/>
      <c r="BR1685" s="48"/>
      <c r="BS1685" s="48"/>
      <c r="BT1685" s="48"/>
      <c r="BU1685" s="48"/>
      <c r="BV1685" s="48"/>
      <c r="BW1685" s="48"/>
      <c r="BX1685" s="48"/>
      <c r="BY1685" s="48"/>
      <c r="BZ1685" s="48"/>
      <c r="CA1685" s="48"/>
      <c r="CB1685" s="48"/>
      <c r="CC1685" s="48"/>
      <c r="CD1685" s="48"/>
      <c r="CE1685" s="48"/>
      <c r="CF1685" s="52"/>
      <c r="CG1685" s="52"/>
      <c r="CH1685" s="48"/>
      <c r="CI1685" s="48"/>
      <c r="CJ1685" s="48"/>
      <c r="CK1685" s="48"/>
    </row>
    <row r="1686" spans="1:89" ht="15.75" customHeight="1" x14ac:dyDescent="0.3">
      <c r="A1686" s="47"/>
      <c r="B1686" s="48"/>
      <c r="C1686" s="47"/>
      <c r="D1686" s="48"/>
      <c r="E1686" s="48"/>
      <c r="F1686" s="48"/>
      <c r="G1686" s="48"/>
      <c r="H1686" s="48"/>
      <c r="I1686" s="49"/>
      <c r="J1686" s="47"/>
      <c r="K1686" s="47"/>
      <c r="L1686" s="47"/>
      <c r="M1686" s="47"/>
      <c r="N1686" s="47"/>
      <c r="O1686" s="47"/>
      <c r="P1686" s="47"/>
      <c r="Q1686" s="47"/>
      <c r="R1686" s="47"/>
      <c r="S1686" s="50"/>
      <c r="T1686" s="47"/>
      <c r="U1686" s="47"/>
      <c r="V1686" s="47"/>
      <c r="W1686" s="51"/>
      <c r="X1686" s="51"/>
      <c r="Y1686" s="47"/>
      <c r="Z1686" s="47"/>
      <c r="AA1686" s="47"/>
      <c r="AB1686" s="47"/>
      <c r="AC1686" s="47"/>
      <c r="AD1686" s="47"/>
      <c r="AE1686" s="54"/>
      <c r="AF1686" s="54"/>
      <c r="AG1686" s="55"/>
      <c r="AH1686" s="54"/>
      <c r="AI1686" s="54"/>
      <c r="AJ1686" s="54"/>
      <c r="AK1686" s="54"/>
      <c r="AL1686" s="54"/>
      <c r="AM1686" s="54"/>
      <c r="AN1686" s="54"/>
      <c r="AO1686" s="54"/>
      <c r="AP1686" s="54"/>
      <c r="AQ1686" s="54"/>
      <c r="AR1686" s="54"/>
      <c r="AS1686" s="54"/>
      <c r="AT1686" s="54"/>
      <c r="AU1686" s="54"/>
      <c r="AV1686" s="54"/>
      <c r="AW1686" s="54"/>
      <c r="AX1686" s="54"/>
      <c r="AY1686" s="54"/>
      <c r="AZ1686" s="54"/>
      <c r="BA1686" s="54"/>
      <c r="BB1686" s="54"/>
      <c r="BC1686" s="56"/>
      <c r="BD1686" s="51"/>
      <c r="BE1686" s="54"/>
      <c r="BF1686" s="54"/>
      <c r="BG1686" s="47"/>
      <c r="BH1686" s="48"/>
      <c r="BI1686" s="48"/>
      <c r="BJ1686" s="48"/>
      <c r="BK1686" s="48"/>
      <c r="BL1686" s="48"/>
      <c r="BM1686" s="48"/>
      <c r="BN1686" s="48"/>
      <c r="BO1686" s="48"/>
      <c r="BP1686" s="48"/>
      <c r="BQ1686" s="48"/>
      <c r="BR1686" s="48"/>
      <c r="BS1686" s="48"/>
      <c r="BT1686" s="48"/>
      <c r="BU1686" s="48"/>
      <c r="BV1686" s="48"/>
      <c r="BW1686" s="48"/>
      <c r="BX1686" s="48"/>
      <c r="BY1686" s="48"/>
      <c r="BZ1686" s="48"/>
      <c r="CA1686" s="48"/>
      <c r="CB1686" s="48"/>
      <c r="CC1686" s="48"/>
      <c r="CD1686" s="48"/>
      <c r="CE1686" s="48"/>
      <c r="CF1686" s="52"/>
      <c r="CG1686" s="52"/>
      <c r="CH1686" s="48"/>
      <c r="CI1686" s="48"/>
      <c r="CJ1686" s="48"/>
      <c r="CK1686" s="48"/>
    </row>
    <row r="1687" spans="1:89" ht="15.75" customHeight="1" x14ac:dyDescent="0.3">
      <c r="A1687" s="47"/>
      <c r="B1687" s="48"/>
      <c r="C1687" s="47"/>
      <c r="D1687" s="48"/>
      <c r="E1687" s="48"/>
      <c r="F1687" s="48"/>
      <c r="G1687" s="48"/>
      <c r="H1687" s="48"/>
      <c r="I1687" s="49"/>
      <c r="J1687" s="47"/>
      <c r="K1687" s="47"/>
      <c r="L1687" s="47"/>
      <c r="M1687" s="47"/>
      <c r="N1687" s="47"/>
      <c r="O1687" s="47"/>
      <c r="P1687" s="47"/>
      <c r="Q1687" s="47"/>
      <c r="R1687" s="47"/>
      <c r="S1687" s="50"/>
      <c r="T1687" s="47"/>
      <c r="U1687" s="47"/>
      <c r="V1687" s="47"/>
      <c r="W1687" s="51"/>
      <c r="X1687" s="51"/>
      <c r="Y1687" s="47"/>
      <c r="Z1687" s="47"/>
      <c r="AA1687" s="47"/>
      <c r="AB1687" s="47"/>
      <c r="AC1687" s="47"/>
      <c r="AD1687" s="47"/>
      <c r="AE1687" s="54"/>
      <c r="AF1687" s="54"/>
      <c r="AG1687" s="55"/>
      <c r="AH1687" s="54"/>
      <c r="AI1687" s="54"/>
      <c r="AJ1687" s="54"/>
      <c r="AK1687" s="54"/>
      <c r="AL1687" s="54"/>
      <c r="AM1687" s="54"/>
      <c r="AN1687" s="54"/>
      <c r="AO1687" s="54"/>
      <c r="AP1687" s="54"/>
      <c r="AQ1687" s="54"/>
      <c r="AR1687" s="54"/>
      <c r="AS1687" s="54"/>
      <c r="AT1687" s="54"/>
      <c r="AU1687" s="54"/>
      <c r="AV1687" s="54"/>
      <c r="AW1687" s="54"/>
      <c r="AX1687" s="54"/>
      <c r="AY1687" s="54"/>
      <c r="AZ1687" s="54"/>
      <c r="BA1687" s="54"/>
      <c r="BB1687" s="54"/>
      <c r="BC1687" s="56"/>
      <c r="BD1687" s="51"/>
      <c r="BE1687" s="54"/>
      <c r="BF1687" s="54"/>
      <c r="BG1687" s="47"/>
      <c r="BH1687" s="48"/>
      <c r="BI1687" s="48"/>
      <c r="BJ1687" s="48"/>
      <c r="BK1687" s="48"/>
      <c r="BL1687" s="48"/>
      <c r="BM1687" s="48"/>
      <c r="BN1687" s="48"/>
      <c r="BO1687" s="48"/>
      <c r="BP1687" s="48"/>
      <c r="BQ1687" s="48"/>
      <c r="BR1687" s="48"/>
      <c r="BS1687" s="48"/>
      <c r="BT1687" s="48"/>
      <c r="BU1687" s="48"/>
      <c r="BV1687" s="48"/>
      <c r="BW1687" s="48"/>
      <c r="BX1687" s="48"/>
      <c r="BY1687" s="48"/>
      <c r="BZ1687" s="48"/>
      <c r="CA1687" s="48"/>
      <c r="CB1687" s="48"/>
      <c r="CC1687" s="48"/>
      <c r="CD1687" s="48"/>
      <c r="CE1687" s="48"/>
      <c r="CF1687" s="52"/>
      <c r="CG1687" s="52"/>
      <c r="CH1687" s="48"/>
      <c r="CI1687" s="48"/>
      <c r="CJ1687" s="48"/>
      <c r="CK1687" s="48"/>
    </row>
    <row r="1688" spans="1:89" ht="15.75" customHeight="1" x14ac:dyDescent="0.3">
      <c r="A1688" s="47"/>
      <c r="B1688" s="48"/>
      <c r="C1688" s="47"/>
      <c r="D1688" s="48"/>
      <c r="E1688" s="48"/>
      <c r="F1688" s="48"/>
      <c r="G1688" s="48"/>
      <c r="H1688" s="48"/>
      <c r="I1688" s="49"/>
      <c r="J1688" s="47"/>
      <c r="K1688" s="47"/>
      <c r="L1688" s="47"/>
      <c r="M1688" s="47"/>
      <c r="N1688" s="47"/>
      <c r="O1688" s="47"/>
      <c r="P1688" s="47"/>
      <c r="Q1688" s="47"/>
      <c r="R1688" s="47"/>
      <c r="S1688" s="50"/>
      <c r="T1688" s="47"/>
      <c r="U1688" s="47"/>
      <c r="V1688" s="47"/>
      <c r="W1688" s="51"/>
      <c r="X1688" s="51"/>
      <c r="Y1688" s="47"/>
      <c r="Z1688" s="47"/>
      <c r="AA1688" s="47"/>
      <c r="AB1688" s="47"/>
      <c r="AC1688" s="47"/>
      <c r="AD1688" s="47"/>
      <c r="AE1688" s="54"/>
      <c r="AF1688" s="54"/>
      <c r="AG1688" s="55"/>
      <c r="AH1688" s="54"/>
      <c r="AI1688" s="54"/>
      <c r="AJ1688" s="54"/>
      <c r="AK1688" s="54"/>
      <c r="AL1688" s="54"/>
      <c r="AM1688" s="54"/>
      <c r="AN1688" s="54"/>
      <c r="AO1688" s="54"/>
      <c r="AP1688" s="54"/>
      <c r="AQ1688" s="54"/>
      <c r="AR1688" s="54"/>
      <c r="AS1688" s="54"/>
      <c r="AT1688" s="54"/>
      <c r="AU1688" s="54"/>
      <c r="AV1688" s="54"/>
      <c r="AW1688" s="54"/>
      <c r="AX1688" s="54"/>
      <c r="AY1688" s="54"/>
      <c r="AZ1688" s="54"/>
      <c r="BA1688" s="54"/>
      <c r="BB1688" s="54"/>
      <c r="BC1688" s="56"/>
      <c r="BD1688" s="51"/>
      <c r="BE1688" s="54"/>
      <c r="BF1688" s="54"/>
      <c r="BG1688" s="47"/>
      <c r="BH1688" s="48"/>
      <c r="BI1688" s="48"/>
      <c r="BJ1688" s="48"/>
      <c r="BK1688" s="48"/>
      <c r="BL1688" s="48"/>
      <c r="BM1688" s="48"/>
      <c r="BN1688" s="48"/>
      <c r="BO1688" s="48"/>
      <c r="BP1688" s="48"/>
      <c r="BQ1688" s="48"/>
      <c r="BR1688" s="48"/>
      <c r="BS1688" s="48"/>
      <c r="BT1688" s="48"/>
      <c r="BU1688" s="48"/>
      <c r="BV1688" s="48"/>
      <c r="BW1688" s="48"/>
      <c r="BX1688" s="48"/>
      <c r="BY1688" s="48"/>
      <c r="BZ1688" s="48"/>
      <c r="CA1688" s="48"/>
      <c r="CB1688" s="48"/>
      <c r="CC1688" s="48"/>
      <c r="CD1688" s="48"/>
      <c r="CE1688" s="48"/>
      <c r="CF1688" s="52"/>
      <c r="CG1688" s="52"/>
      <c r="CH1688" s="48"/>
      <c r="CI1688" s="48"/>
      <c r="CJ1688" s="48"/>
      <c r="CK1688" s="48"/>
    </row>
    <row r="1689" spans="1:89" ht="15.75" customHeight="1" x14ac:dyDescent="0.3">
      <c r="A1689" s="47"/>
      <c r="B1689" s="48"/>
      <c r="C1689" s="47"/>
      <c r="D1689" s="48"/>
      <c r="E1689" s="48"/>
      <c r="F1689" s="48"/>
      <c r="G1689" s="48"/>
      <c r="H1689" s="48"/>
      <c r="I1689" s="49"/>
      <c r="J1689" s="47"/>
      <c r="K1689" s="47"/>
      <c r="L1689" s="47"/>
      <c r="M1689" s="47"/>
      <c r="N1689" s="47"/>
      <c r="O1689" s="47"/>
      <c r="P1689" s="47"/>
      <c r="Q1689" s="47"/>
      <c r="R1689" s="47"/>
      <c r="S1689" s="50"/>
      <c r="T1689" s="47"/>
      <c r="U1689" s="47"/>
      <c r="V1689" s="47"/>
      <c r="W1689" s="51"/>
      <c r="X1689" s="51"/>
      <c r="Y1689" s="47"/>
      <c r="Z1689" s="47"/>
      <c r="AA1689" s="47"/>
      <c r="AB1689" s="47"/>
      <c r="AC1689" s="47"/>
      <c r="AD1689" s="47"/>
      <c r="AE1689" s="54"/>
      <c r="AF1689" s="54"/>
      <c r="AG1689" s="55"/>
      <c r="AH1689" s="54"/>
      <c r="AI1689" s="54"/>
      <c r="AJ1689" s="54"/>
      <c r="AK1689" s="54"/>
      <c r="AL1689" s="54"/>
      <c r="AM1689" s="54"/>
      <c r="AN1689" s="54"/>
      <c r="AO1689" s="54"/>
      <c r="AP1689" s="54"/>
      <c r="AQ1689" s="54"/>
      <c r="AR1689" s="54"/>
      <c r="AS1689" s="54"/>
      <c r="AT1689" s="54"/>
      <c r="AU1689" s="54"/>
      <c r="AV1689" s="54"/>
      <c r="AW1689" s="54"/>
      <c r="AX1689" s="54"/>
      <c r="AY1689" s="54"/>
      <c r="AZ1689" s="54"/>
      <c r="BA1689" s="54"/>
      <c r="BB1689" s="54"/>
      <c r="BC1689" s="56"/>
      <c r="BD1689" s="51"/>
      <c r="BE1689" s="54"/>
      <c r="BF1689" s="54"/>
      <c r="BG1689" s="47"/>
      <c r="BH1689" s="48"/>
      <c r="BI1689" s="48"/>
      <c r="BJ1689" s="48"/>
      <c r="BK1689" s="48"/>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52"/>
      <c r="CG1689" s="52"/>
      <c r="CH1689" s="48"/>
      <c r="CI1689" s="48"/>
      <c r="CJ1689" s="48"/>
      <c r="CK1689" s="48"/>
    </row>
    <row r="1690" spans="1:89" ht="15.75" customHeight="1" x14ac:dyDescent="0.3">
      <c r="A1690" s="47"/>
      <c r="B1690" s="48"/>
      <c r="C1690" s="47"/>
      <c r="D1690" s="48"/>
      <c r="E1690" s="48"/>
      <c r="F1690" s="48"/>
      <c r="G1690" s="48"/>
      <c r="H1690" s="48"/>
      <c r="I1690" s="49"/>
      <c r="J1690" s="47"/>
      <c r="K1690" s="47"/>
      <c r="L1690" s="47"/>
      <c r="M1690" s="47"/>
      <c r="N1690" s="47"/>
      <c r="O1690" s="47"/>
      <c r="P1690" s="47"/>
      <c r="Q1690" s="47"/>
      <c r="R1690" s="47"/>
      <c r="S1690" s="50"/>
      <c r="T1690" s="47"/>
      <c r="U1690" s="47"/>
      <c r="V1690" s="47"/>
      <c r="W1690" s="51"/>
      <c r="X1690" s="51"/>
      <c r="Y1690" s="47"/>
      <c r="Z1690" s="47"/>
      <c r="AA1690" s="47"/>
      <c r="AB1690" s="47"/>
      <c r="AC1690" s="47"/>
      <c r="AD1690" s="47"/>
      <c r="AE1690" s="54"/>
      <c r="AF1690" s="54"/>
      <c r="AG1690" s="55"/>
      <c r="AH1690" s="54"/>
      <c r="AI1690" s="54"/>
      <c r="AJ1690" s="54"/>
      <c r="AK1690" s="54"/>
      <c r="AL1690" s="54"/>
      <c r="AM1690" s="54"/>
      <c r="AN1690" s="54"/>
      <c r="AO1690" s="54"/>
      <c r="AP1690" s="54"/>
      <c r="AQ1690" s="54"/>
      <c r="AR1690" s="54"/>
      <c r="AS1690" s="54"/>
      <c r="AT1690" s="54"/>
      <c r="AU1690" s="54"/>
      <c r="AV1690" s="54"/>
      <c r="AW1690" s="54"/>
      <c r="AX1690" s="54"/>
      <c r="AY1690" s="54"/>
      <c r="AZ1690" s="54"/>
      <c r="BA1690" s="54"/>
      <c r="BB1690" s="54"/>
      <c r="BC1690" s="56"/>
      <c r="BD1690" s="51"/>
      <c r="BE1690" s="54"/>
      <c r="BF1690" s="54"/>
      <c r="BG1690" s="47"/>
      <c r="BH1690" s="48"/>
      <c r="BI1690" s="48"/>
      <c r="BJ1690" s="48"/>
      <c r="BK1690" s="48"/>
      <c r="BL1690" s="48"/>
      <c r="BM1690" s="48"/>
      <c r="BN1690" s="48"/>
      <c r="BO1690" s="48"/>
      <c r="BP1690" s="48"/>
      <c r="BQ1690" s="48"/>
      <c r="BR1690" s="48"/>
      <c r="BS1690" s="48"/>
      <c r="BT1690" s="48"/>
      <c r="BU1690" s="48"/>
      <c r="BV1690" s="48"/>
      <c r="BW1690" s="48"/>
      <c r="BX1690" s="48"/>
      <c r="BY1690" s="48"/>
      <c r="BZ1690" s="48"/>
      <c r="CA1690" s="48"/>
      <c r="CB1690" s="48"/>
      <c r="CC1690" s="48"/>
      <c r="CD1690" s="48"/>
      <c r="CE1690" s="48"/>
      <c r="CF1690" s="52"/>
      <c r="CG1690" s="52"/>
      <c r="CH1690" s="48"/>
      <c r="CI1690" s="48"/>
      <c r="CJ1690" s="48"/>
      <c r="CK1690" s="48"/>
    </row>
    <row r="1691" spans="1:89" ht="15.75" customHeight="1" x14ac:dyDescent="0.3">
      <c r="A1691" s="47"/>
      <c r="B1691" s="48"/>
      <c r="C1691" s="47"/>
      <c r="D1691" s="48"/>
      <c r="E1691" s="48"/>
      <c r="F1691" s="48"/>
      <c r="G1691" s="48"/>
      <c r="H1691" s="48"/>
      <c r="I1691" s="49"/>
      <c r="J1691" s="47"/>
      <c r="K1691" s="47"/>
      <c r="L1691" s="47"/>
      <c r="M1691" s="47"/>
      <c r="N1691" s="47"/>
      <c r="O1691" s="47"/>
      <c r="P1691" s="47"/>
      <c r="Q1691" s="47"/>
      <c r="R1691" s="47"/>
      <c r="S1691" s="50"/>
      <c r="T1691" s="47"/>
      <c r="U1691" s="47"/>
      <c r="V1691" s="47"/>
      <c r="W1691" s="51"/>
      <c r="X1691" s="51"/>
      <c r="Y1691" s="47"/>
      <c r="Z1691" s="47"/>
      <c r="AA1691" s="47"/>
      <c r="AB1691" s="47"/>
      <c r="AC1691" s="47"/>
      <c r="AD1691" s="47"/>
      <c r="AE1691" s="54"/>
      <c r="AF1691" s="54"/>
      <c r="AG1691" s="55"/>
      <c r="AH1691" s="54"/>
      <c r="AI1691" s="54"/>
      <c r="AJ1691" s="54"/>
      <c r="AK1691" s="54"/>
      <c r="AL1691" s="54"/>
      <c r="AM1691" s="54"/>
      <c r="AN1691" s="54"/>
      <c r="AO1691" s="54"/>
      <c r="AP1691" s="54"/>
      <c r="AQ1691" s="54"/>
      <c r="AR1691" s="54"/>
      <c r="AS1691" s="54"/>
      <c r="AT1691" s="54"/>
      <c r="AU1691" s="54"/>
      <c r="AV1691" s="54"/>
      <c r="AW1691" s="54"/>
      <c r="AX1691" s="54"/>
      <c r="AY1691" s="54"/>
      <c r="AZ1691" s="54"/>
      <c r="BA1691" s="54"/>
      <c r="BB1691" s="54"/>
      <c r="BC1691" s="56"/>
      <c r="BD1691" s="51"/>
      <c r="BE1691" s="54"/>
      <c r="BF1691" s="54"/>
      <c r="BG1691" s="47"/>
      <c r="BH1691" s="48"/>
      <c r="BI1691" s="48"/>
      <c r="BJ1691" s="48"/>
      <c r="BK1691" s="48"/>
      <c r="BL1691" s="48"/>
      <c r="BM1691" s="48"/>
      <c r="BN1691" s="48"/>
      <c r="BO1691" s="48"/>
      <c r="BP1691" s="48"/>
      <c r="BQ1691" s="48"/>
      <c r="BR1691" s="48"/>
      <c r="BS1691" s="48"/>
      <c r="BT1691" s="48"/>
      <c r="BU1691" s="48"/>
      <c r="BV1691" s="48"/>
      <c r="BW1691" s="48"/>
      <c r="BX1691" s="48"/>
      <c r="BY1691" s="48"/>
      <c r="BZ1691" s="48"/>
      <c r="CA1691" s="48"/>
      <c r="CB1691" s="48"/>
      <c r="CC1691" s="48"/>
      <c r="CD1691" s="48"/>
      <c r="CE1691" s="48"/>
      <c r="CF1691" s="52"/>
      <c r="CG1691" s="52"/>
      <c r="CH1691" s="48"/>
      <c r="CI1691" s="48"/>
      <c r="CJ1691" s="48"/>
      <c r="CK1691" s="48"/>
    </row>
    <row r="1692" spans="1:89" ht="15.75" customHeight="1" x14ac:dyDescent="0.3">
      <c r="A1692" s="47"/>
      <c r="B1692" s="48"/>
      <c r="C1692" s="47"/>
      <c r="D1692" s="48"/>
      <c r="E1692" s="48"/>
      <c r="F1692" s="48"/>
      <c r="G1692" s="48"/>
      <c r="H1692" s="48"/>
      <c r="I1692" s="49"/>
      <c r="J1692" s="47"/>
      <c r="K1692" s="47"/>
      <c r="L1692" s="47"/>
      <c r="M1692" s="47"/>
      <c r="N1692" s="47"/>
      <c r="O1692" s="47"/>
      <c r="P1692" s="47"/>
      <c r="Q1692" s="47"/>
      <c r="R1692" s="47"/>
      <c r="S1692" s="50"/>
      <c r="T1692" s="47"/>
      <c r="U1692" s="47"/>
      <c r="V1692" s="47"/>
      <c r="W1692" s="51"/>
      <c r="X1692" s="51"/>
      <c r="Y1692" s="47"/>
      <c r="Z1692" s="47"/>
      <c r="AA1692" s="47"/>
      <c r="AB1692" s="47"/>
      <c r="AC1692" s="47"/>
      <c r="AD1692" s="47"/>
      <c r="AE1692" s="54"/>
      <c r="AF1692" s="54"/>
      <c r="AG1692" s="55"/>
      <c r="AH1692" s="54"/>
      <c r="AI1692" s="54"/>
      <c r="AJ1692" s="54"/>
      <c r="AK1692" s="54"/>
      <c r="AL1692" s="54"/>
      <c r="AM1692" s="54"/>
      <c r="AN1692" s="54"/>
      <c r="AO1692" s="54"/>
      <c r="AP1692" s="54"/>
      <c r="AQ1692" s="54"/>
      <c r="AR1692" s="54"/>
      <c r="AS1692" s="54"/>
      <c r="AT1692" s="54"/>
      <c r="AU1692" s="54"/>
      <c r="AV1692" s="54"/>
      <c r="AW1692" s="54"/>
      <c r="AX1692" s="54"/>
      <c r="AY1692" s="54"/>
      <c r="AZ1692" s="54"/>
      <c r="BA1692" s="54"/>
      <c r="BB1692" s="54"/>
      <c r="BC1692" s="56"/>
      <c r="BD1692" s="51"/>
      <c r="BE1692" s="54"/>
      <c r="BF1692" s="54"/>
      <c r="BG1692" s="47"/>
      <c r="BH1692" s="48"/>
      <c r="BI1692" s="48"/>
      <c r="BJ1692" s="48"/>
      <c r="BK1692" s="48"/>
      <c r="BL1692" s="48"/>
      <c r="BM1692" s="48"/>
      <c r="BN1692" s="48"/>
      <c r="BO1692" s="48"/>
      <c r="BP1692" s="48"/>
      <c r="BQ1692" s="48"/>
      <c r="BR1692" s="48"/>
      <c r="BS1692" s="48"/>
      <c r="BT1692" s="48"/>
      <c r="BU1692" s="48"/>
      <c r="BV1692" s="48"/>
      <c r="BW1692" s="48"/>
      <c r="BX1692" s="48"/>
      <c r="BY1692" s="48"/>
      <c r="BZ1692" s="48"/>
      <c r="CA1692" s="48"/>
      <c r="CB1692" s="48"/>
      <c r="CC1692" s="48"/>
      <c r="CD1692" s="48"/>
      <c r="CE1692" s="48"/>
      <c r="CF1692" s="52"/>
      <c r="CG1692" s="52"/>
      <c r="CH1692" s="48"/>
      <c r="CI1692" s="48"/>
      <c r="CJ1692" s="48"/>
      <c r="CK1692" s="48"/>
    </row>
    <row r="1693" spans="1:89" ht="15.75" customHeight="1" x14ac:dyDescent="0.3">
      <c r="A1693" s="47"/>
      <c r="B1693" s="48"/>
      <c r="C1693" s="47"/>
      <c r="D1693" s="48"/>
      <c r="E1693" s="48"/>
      <c r="F1693" s="48"/>
      <c r="G1693" s="48"/>
      <c r="H1693" s="48"/>
      <c r="I1693" s="49"/>
      <c r="J1693" s="47"/>
      <c r="K1693" s="47"/>
      <c r="L1693" s="47"/>
      <c r="M1693" s="47"/>
      <c r="N1693" s="47"/>
      <c r="O1693" s="47"/>
      <c r="P1693" s="47"/>
      <c r="Q1693" s="47"/>
      <c r="R1693" s="47"/>
      <c r="S1693" s="50"/>
      <c r="T1693" s="47"/>
      <c r="U1693" s="47"/>
      <c r="V1693" s="47"/>
      <c r="W1693" s="51"/>
      <c r="X1693" s="51"/>
      <c r="Y1693" s="47"/>
      <c r="Z1693" s="47"/>
      <c r="AA1693" s="47"/>
      <c r="AB1693" s="47"/>
      <c r="AC1693" s="47"/>
      <c r="AD1693" s="47"/>
      <c r="AE1693" s="54"/>
      <c r="AF1693" s="54"/>
      <c r="AG1693" s="55"/>
      <c r="AH1693" s="54"/>
      <c r="AI1693" s="54"/>
      <c r="AJ1693" s="54"/>
      <c r="AK1693" s="54"/>
      <c r="AL1693" s="54"/>
      <c r="AM1693" s="54"/>
      <c r="AN1693" s="54"/>
      <c r="AO1693" s="54"/>
      <c r="AP1693" s="54"/>
      <c r="AQ1693" s="54"/>
      <c r="AR1693" s="54"/>
      <c r="AS1693" s="54"/>
      <c r="AT1693" s="54"/>
      <c r="AU1693" s="54"/>
      <c r="AV1693" s="54"/>
      <c r="AW1693" s="54"/>
      <c r="AX1693" s="54"/>
      <c r="AY1693" s="54"/>
      <c r="AZ1693" s="54"/>
      <c r="BA1693" s="54"/>
      <c r="BB1693" s="54"/>
      <c r="BC1693" s="56"/>
      <c r="BD1693" s="51"/>
      <c r="BE1693" s="54"/>
      <c r="BF1693" s="54"/>
      <c r="BG1693" s="47"/>
      <c r="BH1693" s="48"/>
      <c r="BI1693" s="48"/>
      <c r="BJ1693" s="48"/>
      <c r="BK1693" s="48"/>
      <c r="BL1693" s="48"/>
      <c r="BM1693" s="48"/>
      <c r="BN1693" s="48"/>
      <c r="BO1693" s="48"/>
      <c r="BP1693" s="48"/>
      <c r="BQ1693" s="48"/>
      <c r="BR1693" s="48"/>
      <c r="BS1693" s="48"/>
      <c r="BT1693" s="48"/>
      <c r="BU1693" s="48"/>
      <c r="BV1693" s="48"/>
      <c r="BW1693" s="48"/>
      <c r="BX1693" s="48"/>
      <c r="BY1693" s="48"/>
      <c r="BZ1693" s="48"/>
      <c r="CA1693" s="48"/>
      <c r="CB1693" s="48"/>
      <c r="CC1693" s="48"/>
      <c r="CD1693" s="48"/>
      <c r="CE1693" s="48"/>
      <c r="CF1693" s="52"/>
      <c r="CG1693" s="52"/>
      <c r="CH1693" s="48"/>
      <c r="CI1693" s="48"/>
      <c r="CJ1693" s="48"/>
      <c r="CK1693" s="48"/>
    </row>
    <row r="1694" spans="1:89" ht="15.75" customHeight="1" x14ac:dyDescent="0.3">
      <c r="A1694" s="47"/>
      <c r="B1694" s="48"/>
      <c r="C1694" s="47"/>
      <c r="D1694" s="48"/>
      <c r="E1694" s="48"/>
      <c r="F1694" s="48"/>
      <c r="G1694" s="48"/>
      <c r="H1694" s="48"/>
      <c r="I1694" s="49"/>
      <c r="J1694" s="47"/>
      <c r="K1694" s="47"/>
      <c r="L1694" s="47"/>
      <c r="M1694" s="47"/>
      <c r="N1694" s="47"/>
      <c r="O1694" s="47"/>
      <c r="P1694" s="47"/>
      <c r="Q1694" s="47"/>
      <c r="R1694" s="47"/>
      <c r="S1694" s="50"/>
      <c r="T1694" s="47"/>
      <c r="U1694" s="47"/>
      <c r="V1694" s="47"/>
      <c r="W1694" s="51"/>
      <c r="X1694" s="51"/>
      <c r="Y1694" s="47"/>
      <c r="Z1694" s="47"/>
      <c r="AA1694" s="47"/>
      <c r="AB1694" s="47"/>
      <c r="AC1694" s="47"/>
      <c r="AD1694" s="47"/>
      <c r="AE1694" s="54"/>
      <c r="AF1694" s="54"/>
      <c r="AG1694" s="55"/>
      <c r="AH1694" s="54"/>
      <c r="AI1694" s="54"/>
      <c r="AJ1694" s="54"/>
      <c r="AK1694" s="54"/>
      <c r="AL1694" s="54"/>
      <c r="AM1694" s="54"/>
      <c r="AN1694" s="54"/>
      <c r="AO1694" s="54"/>
      <c r="AP1694" s="54"/>
      <c r="AQ1694" s="54"/>
      <c r="AR1694" s="54"/>
      <c r="AS1694" s="54"/>
      <c r="AT1694" s="54"/>
      <c r="AU1694" s="54"/>
      <c r="AV1694" s="54"/>
      <c r="AW1694" s="54"/>
      <c r="AX1694" s="54"/>
      <c r="AY1694" s="54"/>
      <c r="AZ1694" s="54"/>
      <c r="BA1694" s="54"/>
      <c r="BB1694" s="54"/>
      <c r="BC1694" s="56"/>
      <c r="BD1694" s="51"/>
      <c r="BE1694" s="54"/>
      <c r="BF1694" s="54"/>
      <c r="BG1694" s="47"/>
      <c r="BH1694" s="48"/>
      <c r="BI1694" s="48"/>
      <c r="BJ1694" s="48"/>
      <c r="BK1694" s="48"/>
      <c r="BL1694" s="48"/>
      <c r="BM1694" s="48"/>
      <c r="BN1694" s="48"/>
      <c r="BO1694" s="48"/>
      <c r="BP1694" s="48"/>
      <c r="BQ1694" s="48"/>
      <c r="BR1694" s="48"/>
      <c r="BS1694" s="48"/>
      <c r="BT1694" s="48"/>
      <c r="BU1694" s="48"/>
      <c r="BV1694" s="48"/>
      <c r="BW1694" s="48"/>
      <c r="BX1694" s="48"/>
      <c r="BY1694" s="48"/>
      <c r="BZ1694" s="48"/>
      <c r="CA1694" s="48"/>
      <c r="CB1694" s="48"/>
      <c r="CC1694" s="48"/>
      <c r="CD1694" s="48"/>
      <c r="CE1694" s="48"/>
      <c r="CF1694" s="52"/>
      <c r="CG1694" s="52"/>
      <c r="CH1694" s="48"/>
      <c r="CI1694" s="48"/>
      <c r="CJ1694" s="48"/>
      <c r="CK1694" s="48"/>
    </row>
    <row r="1695" spans="1:89" ht="15.75" customHeight="1" x14ac:dyDescent="0.3">
      <c r="A1695" s="47"/>
      <c r="B1695" s="48"/>
      <c r="C1695" s="47"/>
      <c r="D1695" s="48"/>
      <c r="E1695" s="48"/>
      <c r="F1695" s="48"/>
      <c r="G1695" s="48"/>
      <c r="H1695" s="48"/>
      <c r="I1695" s="49"/>
      <c r="J1695" s="47"/>
      <c r="K1695" s="47"/>
      <c r="L1695" s="47"/>
      <c r="M1695" s="47"/>
      <c r="N1695" s="47"/>
      <c r="O1695" s="47"/>
      <c r="P1695" s="47"/>
      <c r="Q1695" s="47"/>
      <c r="R1695" s="47"/>
      <c r="S1695" s="50"/>
      <c r="T1695" s="47"/>
      <c r="U1695" s="47"/>
      <c r="V1695" s="47"/>
      <c r="W1695" s="51"/>
      <c r="X1695" s="51"/>
      <c r="Y1695" s="47"/>
      <c r="Z1695" s="47"/>
      <c r="AA1695" s="47"/>
      <c r="AB1695" s="47"/>
      <c r="AC1695" s="47"/>
      <c r="AD1695" s="47"/>
      <c r="AE1695" s="54"/>
      <c r="AF1695" s="54"/>
      <c r="AG1695" s="55"/>
      <c r="AH1695" s="54"/>
      <c r="AI1695" s="54"/>
      <c r="AJ1695" s="54"/>
      <c r="AK1695" s="54"/>
      <c r="AL1695" s="54"/>
      <c r="AM1695" s="54"/>
      <c r="AN1695" s="54"/>
      <c r="AO1695" s="54"/>
      <c r="AP1695" s="54"/>
      <c r="AQ1695" s="54"/>
      <c r="AR1695" s="54"/>
      <c r="AS1695" s="54"/>
      <c r="AT1695" s="54"/>
      <c r="AU1695" s="54"/>
      <c r="AV1695" s="54"/>
      <c r="AW1695" s="54"/>
      <c r="AX1695" s="54"/>
      <c r="AY1695" s="54"/>
      <c r="AZ1695" s="54"/>
      <c r="BA1695" s="54"/>
      <c r="BB1695" s="54"/>
      <c r="BC1695" s="56"/>
      <c r="BD1695" s="51"/>
      <c r="BE1695" s="54"/>
      <c r="BF1695" s="54"/>
      <c r="BG1695" s="47"/>
      <c r="BH1695" s="48"/>
      <c r="BI1695" s="48"/>
      <c r="BJ1695" s="48"/>
      <c r="BK1695" s="48"/>
      <c r="BL1695" s="48"/>
      <c r="BM1695" s="48"/>
      <c r="BN1695" s="48"/>
      <c r="BO1695" s="48"/>
      <c r="BP1695" s="48"/>
      <c r="BQ1695" s="48"/>
      <c r="BR1695" s="48"/>
      <c r="BS1695" s="48"/>
      <c r="BT1695" s="48"/>
      <c r="BU1695" s="48"/>
      <c r="BV1695" s="48"/>
      <c r="BW1695" s="48"/>
      <c r="BX1695" s="48"/>
      <c r="BY1695" s="48"/>
      <c r="BZ1695" s="48"/>
      <c r="CA1695" s="48"/>
      <c r="CB1695" s="48"/>
      <c r="CC1695" s="48"/>
      <c r="CD1695" s="48"/>
      <c r="CE1695" s="48"/>
      <c r="CF1695" s="52"/>
      <c r="CG1695" s="52"/>
      <c r="CH1695" s="48"/>
      <c r="CI1695" s="48"/>
      <c r="CJ1695" s="48"/>
      <c r="CK1695" s="48"/>
    </row>
    <row r="1696" spans="1:89" ht="15.75" customHeight="1" x14ac:dyDescent="0.3">
      <c r="A1696" s="47"/>
      <c r="B1696" s="48"/>
      <c r="C1696" s="47"/>
      <c r="D1696" s="48"/>
      <c r="E1696" s="48"/>
      <c r="F1696" s="48"/>
      <c r="G1696" s="48"/>
      <c r="H1696" s="48"/>
      <c r="I1696" s="49"/>
      <c r="J1696" s="47"/>
      <c r="K1696" s="47"/>
      <c r="L1696" s="47"/>
      <c r="M1696" s="47"/>
      <c r="N1696" s="47"/>
      <c r="O1696" s="47"/>
      <c r="P1696" s="47"/>
      <c r="Q1696" s="47"/>
      <c r="R1696" s="47"/>
      <c r="S1696" s="50"/>
      <c r="T1696" s="47"/>
      <c r="U1696" s="47"/>
      <c r="V1696" s="47"/>
      <c r="W1696" s="51"/>
      <c r="X1696" s="51"/>
      <c r="Y1696" s="47"/>
      <c r="Z1696" s="47"/>
      <c r="AA1696" s="47"/>
      <c r="AB1696" s="47"/>
      <c r="AC1696" s="47"/>
      <c r="AD1696" s="47"/>
      <c r="AE1696" s="54"/>
      <c r="AF1696" s="54"/>
      <c r="AG1696" s="55"/>
      <c r="AH1696" s="54"/>
      <c r="AI1696" s="54"/>
      <c r="AJ1696" s="54"/>
      <c r="AK1696" s="54"/>
      <c r="AL1696" s="54"/>
      <c r="AM1696" s="54"/>
      <c r="AN1696" s="54"/>
      <c r="AO1696" s="54"/>
      <c r="AP1696" s="54"/>
      <c r="AQ1696" s="54"/>
      <c r="AR1696" s="54"/>
      <c r="AS1696" s="54"/>
      <c r="AT1696" s="54"/>
      <c r="AU1696" s="54"/>
      <c r="AV1696" s="54"/>
      <c r="AW1696" s="54"/>
      <c r="AX1696" s="54"/>
      <c r="AY1696" s="54"/>
      <c r="AZ1696" s="54"/>
      <c r="BA1696" s="54"/>
      <c r="BB1696" s="54"/>
      <c r="BC1696" s="56"/>
      <c r="BD1696" s="51"/>
      <c r="BE1696" s="54"/>
      <c r="BF1696" s="54"/>
      <c r="BG1696" s="47"/>
      <c r="BH1696" s="48"/>
      <c r="BI1696" s="48"/>
      <c r="BJ1696" s="48"/>
      <c r="BK1696" s="48"/>
      <c r="BL1696" s="48"/>
      <c r="BM1696" s="48"/>
      <c r="BN1696" s="48"/>
      <c r="BO1696" s="48"/>
      <c r="BP1696" s="48"/>
      <c r="BQ1696" s="48"/>
      <c r="BR1696" s="48"/>
      <c r="BS1696" s="48"/>
      <c r="BT1696" s="48"/>
      <c r="BU1696" s="48"/>
      <c r="BV1696" s="48"/>
      <c r="BW1696" s="48"/>
      <c r="BX1696" s="48"/>
      <c r="BY1696" s="48"/>
      <c r="BZ1696" s="48"/>
      <c r="CA1696" s="48"/>
      <c r="CB1696" s="48"/>
      <c r="CC1696" s="48"/>
      <c r="CD1696" s="48"/>
      <c r="CE1696" s="48"/>
      <c r="CF1696" s="52"/>
      <c r="CG1696" s="52"/>
      <c r="CH1696" s="48"/>
      <c r="CI1696" s="48"/>
      <c r="CJ1696" s="48"/>
      <c r="CK1696" s="48"/>
    </row>
    <row r="1697" spans="1:89" ht="15.75" customHeight="1" x14ac:dyDescent="0.3">
      <c r="A1697" s="47"/>
      <c r="B1697" s="48"/>
      <c r="C1697" s="47"/>
      <c r="D1697" s="48"/>
      <c r="E1697" s="48"/>
      <c r="F1697" s="48"/>
      <c r="G1697" s="48"/>
      <c r="H1697" s="48"/>
      <c r="I1697" s="49"/>
      <c r="J1697" s="47"/>
      <c r="K1697" s="47"/>
      <c r="L1697" s="47"/>
      <c r="M1697" s="47"/>
      <c r="N1697" s="47"/>
      <c r="O1697" s="47"/>
      <c r="P1697" s="47"/>
      <c r="Q1697" s="47"/>
      <c r="R1697" s="47"/>
      <c r="S1697" s="50"/>
      <c r="T1697" s="47"/>
      <c r="U1697" s="47"/>
      <c r="V1697" s="47"/>
      <c r="W1697" s="51"/>
      <c r="X1697" s="51"/>
      <c r="Y1697" s="47"/>
      <c r="Z1697" s="47"/>
      <c r="AA1697" s="47"/>
      <c r="AB1697" s="47"/>
      <c r="AC1697" s="47"/>
      <c r="AD1697" s="47"/>
      <c r="AE1697" s="54"/>
      <c r="AF1697" s="54"/>
      <c r="AG1697" s="55"/>
      <c r="AH1697" s="54"/>
      <c r="AI1697" s="54"/>
      <c r="AJ1697" s="54"/>
      <c r="AK1697" s="54"/>
      <c r="AL1697" s="54"/>
      <c r="AM1697" s="54"/>
      <c r="AN1697" s="54"/>
      <c r="AO1697" s="54"/>
      <c r="AP1697" s="54"/>
      <c r="AQ1697" s="54"/>
      <c r="AR1697" s="54"/>
      <c r="AS1697" s="54"/>
      <c r="AT1697" s="54"/>
      <c r="AU1697" s="54"/>
      <c r="AV1697" s="54"/>
      <c r="AW1697" s="54"/>
      <c r="AX1697" s="54"/>
      <c r="AY1697" s="54"/>
      <c r="AZ1697" s="54"/>
      <c r="BA1697" s="54"/>
      <c r="BB1697" s="54"/>
      <c r="BC1697" s="56"/>
      <c r="BD1697" s="51"/>
      <c r="BE1697" s="54"/>
      <c r="BF1697" s="54"/>
      <c r="BG1697" s="47"/>
      <c r="BH1697" s="48"/>
      <c r="BI1697" s="48"/>
      <c r="BJ1697" s="48"/>
      <c r="BK1697" s="48"/>
      <c r="BL1697" s="48"/>
      <c r="BM1697" s="48"/>
      <c r="BN1697" s="48"/>
      <c r="BO1697" s="48"/>
      <c r="BP1697" s="48"/>
      <c r="BQ1697" s="48"/>
      <c r="BR1697" s="48"/>
      <c r="BS1697" s="48"/>
      <c r="BT1697" s="48"/>
      <c r="BU1697" s="48"/>
      <c r="BV1697" s="48"/>
      <c r="BW1697" s="48"/>
      <c r="BX1697" s="48"/>
      <c r="BY1697" s="48"/>
      <c r="BZ1697" s="48"/>
      <c r="CA1697" s="48"/>
      <c r="CB1697" s="48"/>
      <c r="CC1697" s="48"/>
      <c r="CD1697" s="48"/>
      <c r="CE1697" s="48"/>
      <c r="CF1697" s="52"/>
      <c r="CG1697" s="52"/>
      <c r="CH1697" s="48"/>
      <c r="CI1697" s="48"/>
      <c r="CJ1697" s="48"/>
      <c r="CK1697" s="48"/>
    </row>
    <row r="1698" spans="1:89" ht="15.75" customHeight="1" x14ac:dyDescent="0.3">
      <c r="A1698" s="47"/>
      <c r="B1698" s="48"/>
      <c r="C1698" s="47"/>
      <c r="D1698" s="48"/>
      <c r="E1698" s="48"/>
      <c r="F1698" s="48"/>
      <c r="G1698" s="48"/>
      <c r="H1698" s="48"/>
      <c r="I1698" s="49"/>
      <c r="J1698" s="47"/>
      <c r="K1698" s="47"/>
      <c r="L1698" s="47"/>
      <c r="M1698" s="47"/>
      <c r="N1698" s="47"/>
      <c r="O1698" s="47"/>
      <c r="P1698" s="47"/>
      <c r="Q1698" s="47"/>
      <c r="R1698" s="47"/>
      <c r="S1698" s="50"/>
      <c r="T1698" s="47"/>
      <c r="U1698" s="47"/>
      <c r="V1698" s="47"/>
      <c r="W1698" s="51"/>
      <c r="X1698" s="51"/>
      <c r="Y1698" s="47"/>
      <c r="Z1698" s="47"/>
      <c r="AA1698" s="47"/>
      <c r="AB1698" s="47"/>
      <c r="AC1698" s="47"/>
      <c r="AD1698" s="47"/>
      <c r="AE1698" s="54"/>
      <c r="AF1698" s="54"/>
      <c r="AG1698" s="55"/>
      <c r="AH1698" s="54"/>
      <c r="AI1698" s="54"/>
      <c r="AJ1698" s="54"/>
      <c r="AK1698" s="54"/>
      <c r="AL1698" s="54"/>
      <c r="AM1698" s="54"/>
      <c r="AN1698" s="54"/>
      <c r="AO1698" s="54"/>
      <c r="AP1698" s="54"/>
      <c r="AQ1698" s="54"/>
      <c r="AR1698" s="54"/>
      <c r="AS1698" s="54"/>
      <c r="AT1698" s="54"/>
      <c r="AU1698" s="54"/>
      <c r="AV1698" s="54"/>
      <c r="AW1698" s="54"/>
      <c r="AX1698" s="54"/>
      <c r="AY1698" s="54"/>
      <c r="AZ1698" s="54"/>
      <c r="BA1698" s="54"/>
      <c r="BB1698" s="54"/>
      <c r="BC1698" s="56"/>
      <c r="BD1698" s="51"/>
      <c r="BE1698" s="54"/>
      <c r="BF1698" s="54"/>
      <c r="BG1698" s="47"/>
      <c r="BH1698" s="48"/>
      <c r="BI1698" s="48"/>
      <c r="BJ1698" s="48"/>
      <c r="BK1698" s="48"/>
      <c r="BL1698" s="48"/>
      <c r="BM1698" s="48"/>
      <c r="BN1698" s="48"/>
      <c r="BO1698" s="48"/>
      <c r="BP1698" s="48"/>
      <c r="BQ1698" s="48"/>
      <c r="BR1698" s="48"/>
      <c r="BS1698" s="48"/>
      <c r="BT1698" s="48"/>
      <c r="BU1698" s="48"/>
      <c r="BV1698" s="48"/>
      <c r="BW1698" s="48"/>
      <c r="BX1698" s="48"/>
      <c r="BY1698" s="48"/>
      <c r="BZ1698" s="48"/>
      <c r="CA1698" s="48"/>
      <c r="CB1698" s="48"/>
      <c r="CC1698" s="48"/>
      <c r="CD1698" s="48"/>
      <c r="CE1698" s="48"/>
      <c r="CF1698" s="52"/>
      <c r="CG1698" s="52"/>
      <c r="CH1698" s="48"/>
      <c r="CI1698" s="48"/>
      <c r="CJ1698" s="48"/>
      <c r="CK1698" s="48"/>
    </row>
    <row r="1699" spans="1:89" ht="15.75" customHeight="1" x14ac:dyDescent="0.3">
      <c r="A1699" s="47"/>
      <c r="B1699" s="48"/>
      <c r="C1699" s="47"/>
      <c r="D1699" s="48"/>
      <c r="E1699" s="48"/>
      <c r="F1699" s="48"/>
      <c r="G1699" s="48"/>
      <c r="H1699" s="48"/>
      <c r="I1699" s="49"/>
      <c r="J1699" s="47"/>
      <c r="K1699" s="47"/>
      <c r="L1699" s="47"/>
      <c r="M1699" s="47"/>
      <c r="N1699" s="47"/>
      <c r="O1699" s="47"/>
      <c r="P1699" s="47"/>
      <c r="Q1699" s="47"/>
      <c r="R1699" s="47"/>
      <c r="S1699" s="50"/>
      <c r="T1699" s="47"/>
      <c r="U1699" s="47"/>
      <c r="V1699" s="47"/>
      <c r="W1699" s="51"/>
      <c r="X1699" s="51"/>
      <c r="Y1699" s="47"/>
      <c r="Z1699" s="47"/>
      <c r="AA1699" s="47"/>
      <c r="AB1699" s="47"/>
      <c r="AC1699" s="47"/>
      <c r="AD1699" s="47"/>
      <c r="AE1699" s="54"/>
      <c r="AF1699" s="54"/>
      <c r="AG1699" s="55"/>
      <c r="AH1699" s="54"/>
      <c r="AI1699" s="54"/>
      <c r="AJ1699" s="54"/>
      <c r="AK1699" s="54"/>
      <c r="AL1699" s="54"/>
      <c r="AM1699" s="54"/>
      <c r="AN1699" s="54"/>
      <c r="AO1699" s="54"/>
      <c r="AP1699" s="54"/>
      <c r="AQ1699" s="54"/>
      <c r="AR1699" s="54"/>
      <c r="AS1699" s="54"/>
      <c r="AT1699" s="54"/>
      <c r="AU1699" s="54"/>
      <c r="AV1699" s="54"/>
      <c r="AW1699" s="54"/>
      <c r="AX1699" s="54"/>
      <c r="AY1699" s="54"/>
      <c r="AZ1699" s="54"/>
      <c r="BA1699" s="54"/>
      <c r="BB1699" s="54"/>
      <c r="BC1699" s="56"/>
      <c r="BD1699" s="51"/>
      <c r="BE1699" s="54"/>
      <c r="BF1699" s="54"/>
      <c r="BG1699" s="47"/>
      <c r="BH1699" s="48"/>
      <c r="BI1699" s="48"/>
      <c r="BJ1699" s="48"/>
      <c r="BK1699" s="48"/>
      <c r="BL1699" s="48"/>
      <c r="BM1699" s="48"/>
      <c r="BN1699" s="48"/>
      <c r="BO1699" s="48"/>
      <c r="BP1699" s="48"/>
      <c r="BQ1699" s="48"/>
      <c r="BR1699" s="48"/>
      <c r="BS1699" s="48"/>
      <c r="BT1699" s="48"/>
      <c r="BU1699" s="48"/>
      <c r="BV1699" s="48"/>
      <c r="BW1699" s="48"/>
      <c r="BX1699" s="48"/>
      <c r="BY1699" s="48"/>
      <c r="BZ1699" s="48"/>
      <c r="CA1699" s="48"/>
      <c r="CB1699" s="48"/>
      <c r="CC1699" s="48"/>
      <c r="CD1699" s="48"/>
      <c r="CE1699" s="48"/>
      <c r="CF1699" s="52"/>
      <c r="CG1699" s="52"/>
      <c r="CH1699" s="48"/>
      <c r="CI1699" s="48"/>
      <c r="CJ1699" s="48"/>
      <c r="CK1699" s="48"/>
    </row>
    <row r="1700" spans="1:89" ht="15.75" customHeight="1" x14ac:dyDescent="0.3">
      <c r="A1700" s="47"/>
      <c r="B1700" s="48"/>
      <c r="C1700" s="47"/>
      <c r="D1700" s="48"/>
      <c r="E1700" s="48"/>
      <c r="F1700" s="48"/>
      <c r="G1700" s="48"/>
      <c r="H1700" s="48"/>
      <c r="I1700" s="49"/>
      <c r="J1700" s="47"/>
      <c r="K1700" s="47"/>
      <c r="L1700" s="47"/>
      <c r="M1700" s="47"/>
      <c r="N1700" s="47"/>
      <c r="O1700" s="47"/>
      <c r="P1700" s="47"/>
      <c r="Q1700" s="47"/>
      <c r="R1700" s="47"/>
      <c r="S1700" s="50"/>
      <c r="T1700" s="47"/>
      <c r="U1700" s="47"/>
      <c r="V1700" s="47"/>
      <c r="W1700" s="51"/>
      <c r="X1700" s="51"/>
      <c r="Y1700" s="47"/>
      <c r="Z1700" s="47"/>
      <c r="AA1700" s="47"/>
      <c r="AB1700" s="47"/>
      <c r="AC1700" s="47"/>
      <c r="AD1700" s="47"/>
      <c r="AE1700" s="54"/>
      <c r="AF1700" s="54"/>
      <c r="AG1700" s="55"/>
      <c r="AH1700" s="54"/>
      <c r="AI1700" s="54"/>
      <c r="AJ1700" s="54"/>
      <c r="AK1700" s="54"/>
      <c r="AL1700" s="54"/>
      <c r="AM1700" s="54"/>
      <c r="AN1700" s="54"/>
      <c r="AO1700" s="54"/>
      <c r="AP1700" s="54"/>
      <c r="AQ1700" s="54"/>
      <c r="AR1700" s="54"/>
      <c r="AS1700" s="54"/>
      <c r="AT1700" s="54"/>
      <c r="AU1700" s="54"/>
      <c r="AV1700" s="54"/>
      <c r="AW1700" s="54"/>
      <c r="AX1700" s="54"/>
      <c r="AY1700" s="54"/>
      <c r="AZ1700" s="54"/>
      <c r="BA1700" s="54"/>
      <c r="BB1700" s="54"/>
      <c r="BC1700" s="56"/>
      <c r="BD1700" s="51"/>
      <c r="BE1700" s="54"/>
      <c r="BF1700" s="54"/>
      <c r="BG1700" s="47"/>
      <c r="BH1700" s="48"/>
      <c r="BI1700" s="48"/>
      <c r="BJ1700" s="48"/>
      <c r="BK1700" s="48"/>
      <c r="BL1700" s="48"/>
      <c r="BM1700" s="48"/>
      <c r="BN1700" s="48"/>
      <c r="BO1700" s="48"/>
      <c r="BP1700" s="48"/>
      <c r="BQ1700" s="48"/>
      <c r="BR1700" s="48"/>
      <c r="BS1700" s="48"/>
      <c r="BT1700" s="48"/>
      <c r="BU1700" s="48"/>
      <c r="BV1700" s="48"/>
      <c r="BW1700" s="48"/>
      <c r="BX1700" s="48"/>
      <c r="BY1700" s="48"/>
      <c r="BZ1700" s="48"/>
      <c r="CA1700" s="48"/>
      <c r="CB1700" s="48"/>
      <c r="CC1700" s="48"/>
      <c r="CD1700" s="48"/>
      <c r="CE1700" s="48"/>
      <c r="CF1700" s="52"/>
      <c r="CG1700" s="52"/>
      <c r="CH1700" s="48"/>
      <c r="CI1700" s="48"/>
      <c r="CJ1700" s="48"/>
      <c r="CK1700" s="48"/>
    </row>
    <row r="1701" spans="1:89" ht="15.75" customHeight="1" x14ac:dyDescent="0.3">
      <c r="A1701" s="47"/>
      <c r="B1701" s="48"/>
      <c r="C1701" s="47"/>
      <c r="D1701" s="48"/>
      <c r="E1701" s="48"/>
      <c r="F1701" s="48"/>
      <c r="G1701" s="48"/>
      <c r="H1701" s="48"/>
      <c r="I1701" s="49"/>
      <c r="J1701" s="47"/>
      <c r="K1701" s="47"/>
      <c r="L1701" s="47"/>
      <c r="M1701" s="47"/>
      <c r="N1701" s="47"/>
      <c r="O1701" s="47"/>
      <c r="P1701" s="47"/>
      <c r="Q1701" s="47"/>
      <c r="R1701" s="47"/>
      <c r="S1701" s="50"/>
      <c r="T1701" s="47"/>
      <c r="U1701" s="47"/>
      <c r="V1701" s="47"/>
      <c r="W1701" s="51"/>
      <c r="X1701" s="51"/>
      <c r="Y1701" s="47"/>
      <c r="Z1701" s="47"/>
      <c r="AA1701" s="47"/>
      <c r="AB1701" s="47"/>
      <c r="AC1701" s="47"/>
      <c r="AD1701" s="47"/>
      <c r="AE1701" s="54"/>
      <c r="AF1701" s="54"/>
      <c r="AG1701" s="55"/>
      <c r="AH1701" s="54"/>
      <c r="AI1701" s="54"/>
      <c r="AJ1701" s="54"/>
      <c r="AK1701" s="54"/>
      <c r="AL1701" s="54"/>
      <c r="AM1701" s="54"/>
      <c r="AN1701" s="54"/>
      <c r="AO1701" s="54"/>
      <c r="AP1701" s="54"/>
      <c r="AQ1701" s="54"/>
      <c r="AR1701" s="54"/>
      <c r="AS1701" s="54"/>
      <c r="AT1701" s="54"/>
      <c r="AU1701" s="54"/>
      <c r="AV1701" s="54"/>
      <c r="AW1701" s="54"/>
      <c r="AX1701" s="54"/>
      <c r="AY1701" s="54"/>
      <c r="AZ1701" s="54"/>
      <c r="BA1701" s="54"/>
      <c r="BB1701" s="54"/>
      <c r="BC1701" s="56"/>
      <c r="BD1701" s="51"/>
      <c r="BE1701" s="54"/>
      <c r="BF1701" s="54"/>
      <c r="BG1701" s="47"/>
      <c r="BH1701" s="48"/>
      <c r="BI1701" s="48"/>
      <c r="BJ1701" s="48"/>
      <c r="BK1701" s="48"/>
      <c r="BL1701" s="48"/>
      <c r="BM1701" s="48"/>
      <c r="BN1701" s="48"/>
      <c r="BO1701" s="48"/>
      <c r="BP1701" s="48"/>
      <c r="BQ1701" s="48"/>
      <c r="BR1701" s="48"/>
      <c r="BS1701" s="48"/>
      <c r="BT1701" s="48"/>
      <c r="BU1701" s="48"/>
      <c r="BV1701" s="48"/>
      <c r="BW1701" s="48"/>
      <c r="BX1701" s="48"/>
      <c r="BY1701" s="48"/>
      <c r="BZ1701" s="48"/>
      <c r="CA1701" s="48"/>
      <c r="CB1701" s="48"/>
      <c r="CC1701" s="48"/>
      <c r="CD1701" s="48"/>
      <c r="CE1701" s="48"/>
      <c r="CF1701" s="52"/>
      <c r="CG1701" s="52"/>
      <c r="CH1701" s="48"/>
      <c r="CI1701" s="48"/>
      <c r="CJ1701" s="48"/>
      <c r="CK1701" s="48"/>
    </row>
    <row r="1702" spans="1:89" ht="15.75" customHeight="1" x14ac:dyDescent="0.3">
      <c r="A1702" s="47"/>
      <c r="B1702" s="48"/>
      <c r="C1702" s="47"/>
      <c r="D1702" s="48"/>
      <c r="E1702" s="48"/>
      <c r="F1702" s="48"/>
      <c r="G1702" s="48"/>
      <c r="H1702" s="48"/>
      <c r="I1702" s="49"/>
      <c r="J1702" s="47"/>
      <c r="K1702" s="47"/>
      <c r="L1702" s="47"/>
      <c r="M1702" s="47"/>
      <c r="N1702" s="47"/>
      <c r="O1702" s="47"/>
      <c r="P1702" s="47"/>
      <c r="Q1702" s="47"/>
      <c r="R1702" s="47"/>
      <c r="S1702" s="50"/>
      <c r="T1702" s="47"/>
      <c r="U1702" s="47"/>
      <c r="V1702" s="47"/>
      <c r="W1702" s="51"/>
      <c r="X1702" s="51"/>
      <c r="Y1702" s="47"/>
      <c r="Z1702" s="47"/>
      <c r="AA1702" s="47"/>
      <c r="AB1702" s="47"/>
      <c r="AC1702" s="47"/>
      <c r="AD1702" s="47"/>
      <c r="AE1702" s="54"/>
      <c r="AF1702" s="54"/>
      <c r="AG1702" s="55"/>
      <c r="AH1702" s="54"/>
      <c r="AI1702" s="54"/>
      <c r="AJ1702" s="54"/>
      <c r="AK1702" s="54"/>
      <c r="AL1702" s="54"/>
      <c r="AM1702" s="54"/>
      <c r="AN1702" s="54"/>
      <c r="AO1702" s="54"/>
      <c r="AP1702" s="54"/>
      <c r="AQ1702" s="54"/>
      <c r="AR1702" s="54"/>
      <c r="AS1702" s="54"/>
      <c r="AT1702" s="54"/>
      <c r="AU1702" s="54"/>
      <c r="AV1702" s="54"/>
      <c r="AW1702" s="54"/>
      <c r="AX1702" s="54"/>
      <c r="AY1702" s="54"/>
      <c r="AZ1702" s="54"/>
      <c r="BA1702" s="54"/>
      <c r="BB1702" s="54"/>
      <c r="BC1702" s="56"/>
      <c r="BD1702" s="51"/>
      <c r="BE1702" s="54"/>
      <c r="BF1702" s="54"/>
      <c r="BG1702" s="47"/>
      <c r="BH1702" s="48"/>
      <c r="BI1702" s="48"/>
      <c r="BJ1702" s="48"/>
      <c r="BK1702" s="48"/>
      <c r="BL1702" s="48"/>
      <c r="BM1702" s="48"/>
      <c r="BN1702" s="48"/>
      <c r="BO1702" s="48"/>
      <c r="BP1702" s="48"/>
      <c r="BQ1702" s="48"/>
      <c r="BR1702" s="48"/>
      <c r="BS1702" s="48"/>
      <c r="BT1702" s="48"/>
      <c r="BU1702" s="48"/>
      <c r="BV1702" s="48"/>
      <c r="BW1702" s="48"/>
      <c r="BX1702" s="48"/>
      <c r="BY1702" s="48"/>
      <c r="BZ1702" s="48"/>
      <c r="CA1702" s="48"/>
      <c r="CB1702" s="48"/>
      <c r="CC1702" s="48"/>
      <c r="CD1702" s="48"/>
      <c r="CE1702" s="48"/>
      <c r="CF1702" s="52"/>
      <c r="CG1702" s="52"/>
      <c r="CH1702" s="48"/>
      <c r="CI1702" s="48"/>
      <c r="CJ1702" s="48"/>
      <c r="CK1702" s="48"/>
    </row>
    <row r="1703" spans="1:89" ht="15.75" customHeight="1" x14ac:dyDescent="0.3">
      <c r="A1703" s="47"/>
      <c r="B1703" s="48"/>
      <c r="C1703" s="47"/>
      <c r="D1703" s="48"/>
      <c r="E1703" s="48"/>
      <c r="F1703" s="48"/>
      <c r="G1703" s="48"/>
      <c r="H1703" s="48"/>
      <c r="I1703" s="49"/>
      <c r="J1703" s="47"/>
      <c r="K1703" s="47"/>
      <c r="L1703" s="47"/>
      <c r="M1703" s="47"/>
      <c r="N1703" s="47"/>
      <c r="O1703" s="47"/>
      <c r="P1703" s="47"/>
      <c r="Q1703" s="47"/>
      <c r="R1703" s="47"/>
      <c r="S1703" s="50"/>
      <c r="T1703" s="47"/>
      <c r="U1703" s="47"/>
      <c r="V1703" s="47"/>
      <c r="W1703" s="51"/>
      <c r="X1703" s="51"/>
      <c r="Y1703" s="47"/>
      <c r="Z1703" s="47"/>
      <c r="AA1703" s="47"/>
      <c r="AB1703" s="47"/>
      <c r="AC1703" s="47"/>
      <c r="AD1703" s="47"/>
      <c r="AE1703" s="54"/>
      <c r="AF1703" s="54"/>
      <c r="AG1703" s="55"/>
      <c r="AH1703" s="54"/>
      <c r="AI1703" s="54"/>
      <c r="AJ1703" s="54"/>
      <c r="AK1703" s="54"/>
      <c r="AL1703" s="54"/>
      <c r="AM1703" s="54"/>
      <c r="AN1703" s="54"/>
      <c r="AO1703" s="54"/>
      <c r="AP1703" s="54"/>
      <c r="AQ1703" s="54"/>
      <c r="AR1703" s="54"/>
      <c r="AS1703" s="54"/>
      <c r="AT1703" s="54"/>
      <c r="AU1703" s="54"/>
      <c r="AV1703" s="54"/>
      <c r="AW1703" s="54"/>
      <c r="AX1703" s="54"/>
      <c r="AY1703" s="54"/>
      <c r="AZ1703" s="54"/>
      <c r="BA1703" s="54"/>
      <c r="BB1703" s="54"/>
      <c r="BC1703" s="56"/>
      <c r="BD1703" s="51"/>
      <c r="BE1703" s="54"/>
      <c r="BF1703" s="54"/>
      <c r="BG1703" s="47"/>
      <c r="BH1703" s="48"/>
      <c r="BI1703" s="48"/>
      <c r="BJ1703" s="48"/>
      <c r="BK1703" s="48"/>
      <c r="BL1703" s="48"/>
      <c r="BM1703" s="48"/>
      <c r="BN1703" s="48"/>
      <c r="BO1703" s="48"/>
      <c r="BP1703" s="48"/>
      <c r="BQ1703" s="48"/>
      <c r="BR1703" s="48"/>
      <c r="BS1703" s="48"/>
      <c r="BT1703" s="48"/>
      <c r="BU1703" s="48"/>
      <c r="BV1703" s="48"/>
      <c r="BW1703" s="48"/>
      <c r="BX1703" s="48"/>
      <c r="BY1703" s="48"/>
      <c r="BZ1703" s="48"/>
      <c r="CA1703" s="48"/>
      <c r="CB1703" s="48"/>
      <c r="CC1703" s="48"/>
      <c r="CD1703" s="48"/>
      <c r="CE1703" s="48"/>
      <c r="CF1703" s="52"/>
      <c r="CG1703" s="52"/>
      <c r="CH1703" s="48"/>
      <c r="CI1703" s="48"/>
      <c r="CJ1703" s="48"/>
      <c r="CK1703" s="48"/>
    </row>
    <row r="1704" spans="1:89" ht="15.75" customHeight="1" x14ac:dyDescent="0.3">
      <c r="A1704" s="47"/>
      <c r="B1704" s="48"/>
      <c r="C1704" s="47"/>
      <c r="D1704" s="48"/>
      <c r="E1704" s="48"/>
      <c r="F1704" s="48"/>
      <c r="G1704" s="48"/>
      <c r="H1704" s="48"/>
      <c r="I1704" s="49"/>
      <c r="J1704" s="47"/>
      <c r="K1704" s="47"/>
      <c r="L1704" s="47"/>
      <c r="M1704" s="47"/>
      <c r="N1704" s="47"/>
      <c r="O1704" s="47"/>
      <c r="P1704" s="47"/>
      <c r="Q1704" s="47"/>
      <c r="R1704" s="47"/>
      <c r="S1704" s="50"/>
      <c r="T1704" s="47"/>
      <c r="U1704" s="47"/>
      <c r="V1704" s="47"/>
      <c r="W1704" s="51"/>
      <c r="X1704" s="51"/>
      <c r="Y1704" s="47"/>
      <c r="Z1704" s="47"/>
      <c r="AA1704" s="47"/>
      <c r="AB1704" s="47"/>
      <c r="AC1704" s="47"/>
      <c r="AD1704" s="47"/>
      <c r="AE1704" s="54"/>
      <c r="AF1704" s="54"/>
      <c r="AG1704" s="55"/>
      <c r="AH1704" s="54"/>
      <c r="AI1704" s="54"/>
      <c r="AJ1704" s="54"/>
      <c r="AK1704" s="54"/>
      <c r="AL1704" s="54"/>
      <c r="AM1704" s="54"/>
      <c r="AN1704" s="54"/>
      <c r="AO1704" s="54"/>
      <c r="AP1704" s="54"/>
      <c r="AQ1704" s="54"/>
      <c r="AR1704" s="54"/>
      <c r="AS1704" s="54"/>
      <c r="AT1704" s="54"/>
      <c r="AU1704" s="54"/>
      <c r="AV1704" s="54"/>
      <c r="AW1704" s="54"/>
      <c r="AX1704" s="54"/>
      <c r="AY1704" s="54"/>
      <c r="AZ1704" s="54"/>
      <c r="BA1704" s="54"/>
      <c r="BB1704" s="54"/>
      <c r="BC1704" s="56"/>
      <c r="BD1704" s="51"/>
      <c r="BE1704" s="54"/>
      <c r="BF1704" s="54"/>
      <c r="BG1704" s="47"/>
      <c r="BH1704" s="48"/>
      <c r="BI1704" s="48"/>
      <c r="BJ1704" s="48"/>
      <c r="BK1704" s="48"/>
      <c r="BL1704" s="48"/>
      <c r="BM1704" s="48"/>
      <c r="BN1704" s="48"/>
      <c r="BO1704" s="48"/>
      <c r="BP1704" s="48"/>
      <c r="BQ1704" s="48"/>
      <c r="BR1704" s="48"/>
      <c r="BS1704" s="48"/>
      <c r="BT1704" s="48"/>
      <c r="BU1704" s="48"/>
      <c r="BV1704" s="48"/>
      <c r="BW1704" s="48"/>
      <c r="BX1704" s="48"/>
      <c r="BY1704" s="48"/>
      <c r="BZ1704" s="48"/>
      <c r="CA1704" s="48"/>
      <c r="CB1704" s="48"/>
      <c r="CC1704" s="48"/>
      <c r="CD1704" s="48"/>
      <c r="CE1704" s="48"/>
      <c r="CF1704" s="52"/>
      <c r="CG1704" s="52"/>
      <c r="CH1704" s="48"/>
      <c r="CI1704" s="48"/>
      <c r="CJ1704" s="48"/>
      <c r="CK1704" s="48"/>
    </row>
    <row r="1705" spans="1:89" ht="15.75" customHeight="1" x14ac:dyDescent="0.3">
      <c r="A1705" s="47"/>
      <c r="B1705" s="48"/>
      <c r="C1705" s="47"/>
      <c r="D1705" s="48"/>
      <c r="E1705" s="48"/>
      <c r="F1705" s="48"/>
      <c r="G1705" s="48"/>
      <c r="H1705" s="48"/>
      <c r="I1705" s="49"/>
      <c r="J1705" s="47"/>
      <c r="K1705" s="47"/>
      <c r="L1705" s="47"/>
      <c r="M1705" s="47"/>
      <c r="N1705" s="47"/>
      <c r="O1705" s="47"/>
      <c r="P1705" s="47"/>
      <c r="Q1705" s="47"/>
      <c r="R1705" s="47"/>
      <c r="S1705" s="50"/>
      <c r="T1705" s="47"/>
      <c r="U1705" s="47"/>
      <c r="V1705" s="47"/>
      <c r="W1705" s="51"/>
      <c r="X1705" s="51"/>
      <c r="Y1705" s="47"/>
      <c r="Z1705" s="47"/>
      <c r="AA1705" s="47"/>
      <c r="AB1705" s="47"/>
      <c r="AC1705" s="47"/>
      <c r="AD1705" s="47"/>
      <c r="AE1705" s="54"/>
      <c r="AF1705" s="54"/>
      <c r="AG1705" s="55"/>
      <c r="AH1705" s="54"/>
      <c r="AI1705" s="54"/>
      <c r="AJ1705" s="54"/>
      <c r="AK1705" s="54"/>
      <c r="AL1705" s="54"/>
      <c r="AM1705" s="54"/>
      <c r="AN1705" s="54"/>
      <c r="AO1705" s="54"/>
      <c r="AP1705" s="54"/>
      <c r="AQ1705" s="54"/>
      <c r="AR1705" s="54"/>
      <c r="AS1705" s="54"/>
      <c r="AT1705" s="54"/>
      <c r="AU1705" s="54"/>
      <c r="AV1705" s="54"/>
      <c r="AW1705" s="54"/>
      <c r="AX1705" s="54"/>
      <c r="AY1705" s="54"/>
      <c r="AZ1705" s="54"/>
      <c r="BA1705" s="54"/>
      <c r="BB1705" s="54"/>
      <c r="BC1705" s="56"/>
      <c r="BD1705" s="51"/>
      <c r="BE1705" s="54"/>
      <c r="BF1705" s="54"/>
      <c r="BG1705" s="47"/>
      <c r="BH1705" s="48"/>
      <c r="BI1705" s="48"/>
      <c r="BJ1705" s="48"/>
      <c r="BK1705" s="48"/>
      <c r="BL1705" s="48"/>
      <c r="BM1705" s="48"/>
      <c r="BN1705" s="48"/>
      <c r="BO1705" s="48"/>
      <c r="BP1705" s="48"/>
      <c r="BQ1705" s="48"/>
      <c r="BR1705" s="48"/>
      <c r="BS1705" s="48"/>
      <c r="BT1705" s="48"/>
      <c r="BU1705" s="48"/>
      <c r="BV1705" s="48"/>
      <c r="BW1705" s="48"/>
      <c r="BX1705" s="48"/>
      <c r="BY1705" s="48"/>
      <c r="BZ1705" s="48"/>
      <c r="CA1705" s="48"/>
      <c r="CB1705" s="48"/>
      <c r="CC1705" s="48"/>
      <c r="CD1705" s="48"/>
      <c r="CE1705" s="48"/>
      <c r="CF1705" s="52"/>
      <c r="CG1705" s="52"/>
      <c r="CH1705" s="48"/>
      <c r="CI1705" s="48"/>
      <c r="CJ1705" s="48"/>
      <c r="CK1705" s="48"/>
    </row>
    <row r="1706" spans="1:89" ht="15.75" customHeight="1" x14ac:dyDescent="0.3">
      <c r="A1706" s="47"/>
      <c r="B1706" s="48"/>
      <c r="C1706" s="47"/>
      <c r="D1706" s="48"/>
      <c r="E1706" s="48"/>
      <c r="F1706" s="48"/>
      <c r="G1706" s="48"/>
      <c r="H1706" s="48"/>
      <c r="I1706" s="49"/>
      <c r="J1706" s="47"/>
      <c r="K1706" s="47"/>
      <c r="L1706" s="47"/>
      <c r="M1706" s="47"/>
      <c r="N1706" s="47"/>
      <c r="O1706" s="47"/>
      <c r="P1706" s="47"/>
      <c r="Q1706" s="47"/>
      <c r="R1706" s="47"/>
      <c r="S1706" s="50"/>
      <c r="T1706" s="47"/>
      <c r="U1706" s="47"/>
      <c r="V1706" s="47"/>
      <c r="W1706" s="51"/>
      <c r="X1706" s="51"/>
      <c r="Y1706" s="47"/>
      <c r="Z1706" s="47"/>
      <c r="AA1706" s="47"/>
      <c r="AB1706" s="47"/>
      <c r="AC1706" s="47"/>
      <c r="AD1706" s="47"/>
      <c r="AE1706" s="54"/>
      <c r="AF1706" s="54"/>
      <c r="AG1706" s="55"/>
      <c r="AH1706" s="54"/>
      <c r="AI1706" s="54"/>
      <c r="AJ1706" s="54"/>
      <c r="AK1706" s="54"/>
      <c r="AL1706" s="54"/>
      <c r="AM1706" s="54"/>
      <c r="AN1706" s="54"/>
      <c r="AO1706" s="54"/>
      <c r="AP1706" s="54"/>
      <c r="AQ1706" s="54"/>
      <c r="AR1706" s="54"/>
      <c r="AS1706" s="54"/>
      <c r="AT1706" s="54"/>
      <c r="AU1706" s="54"/>
      <c r="AV1706" s="54"/>
      <c r="AW1706" s="54"/>
      <c r="AX1706" s="54"/>
      <c r="AY1706" s="54"/>
      <c r="AZ1706" s="54"/>
      <c r="BA1706" s="54"/>
      <c r="BB1706" s="54"/>
      <c r="BC1706" s="56"/>
      <c r="BD1706" s="51"/>
      <c r="BE1706" s="54"/>
      <c r="BF1706" s="54"/>
      <c r="BG1706" s="47"/>
      <c r="BH1706" s="48"/>
      <c r="BI1706" s="48"/>
      <c r="BJ1706" s="48"/>
      <c r="BK1706" s="48"/>
      <c r="BL1706" s="48"/>
      <c r="BM1706" s="48"/>
      <c r="BN1706" s="48"/>
      <c r="BO1706" s="48"/>
      <c r="BP1706" s="48"/>
      <c r="BQ1706" s="48"/>
      <c r="BR1706" s="48"/>
      <c r="BS1706" s="48"/>
      <c r="BT1706" s="48"/>
      <c r="BU1706" s="48"/>
      <c r="BV1706" s="48"/>
      <c r="BW1706" s="48"/>
      <c r="BX1706" s="48"/>
      <c r="BY1706" s="48"/>
      <c r="BZ1706" s="48"/>
      <c r="CA1706" s="48"/>
      <c r="CB1706" s="48"/>
      <c r="CC1706" s="48"/>
      <c r="CD1706" s="48"/>
      <c r="CE1706" s="48"/>
      <c r="CF1706" s="52"/>
      <c r="CG1706" s="52"/>
      <c r="CH1706" s="48"/>
      <c r="CI1706" s="48"/>
      <c r="CJ1706" s="48"/>
      <c r="CK1706" s="48"/>
    </row>
    <row r="1707" spans="1:89" ht="15.75" customHeight="1" x14ac:dyDescent="0.3">
      <c r="A1707" s="47"/>
      <c r="B1707" s="48"/>
      <c r="C1707" s="47"/>
      <c r="D1707" s="48"/>
      <c r="E1707" s="48"/>
      <c r="F1707" s="48"/>
      <c r="G1707" s="48"/>
      <c r="H1707" s="48"/>
      <c r="I1707" s="49"/>
      <c r="J1707" s="47"/>
      <c r="K1707" s="47"/>
      <c r="L1707" s="47"/>
      <c r="M1707" s="47"/>
      <c r="N1707" s="47"/>
      <c r="O1707" s="47"/>
      <c r="P1707" s="47"/>
      <c r="Q1707" s="47"/>
      <c r="R1707" s="47"/>
      <c r="S1707" s="50"/>
      <c r="T1707" s="47"/>
      <c r="U1707" s="47"/>
      <c r="V1707" s="47"/>
      <c r="W1707" s="51"/>
      <c r="X1707" s="51"/>
      <c r="Y1707" s="47"/>
      <c r="Z1707" s="47"/>
      <c r="AA1707" s="47"/>
      <c r="AB1707" s="47"/>
      <c r="AC1707" s="47"/>
      <c r="AD1707" s="47"/>
      <c r="AE1707" s="54"/>
      <c r="AF1707" s="54"/>
      <c r="AG1707" s="55"/>
      <c r="AH1707" s="54"/>
      <c r="AI1707" s="54"/>
      <c r="AJ1707" s="54"/>
      <c r="AK1707" s="54"/>
      <c r="AL1707" s="54"/>
      <c r="AM1707" s="54"/>
      <c r="AN1707" s="54"/>
      <c r="AO1707" s="54"/>
      <c r="AP1707" s="54"/>
      <c r="AQ1707" s="54"/>
      <c r="AR1707" s="54"/>
      <c r="AS1707" s="54"/>
      <c r="AT1707" s="54"/>
      <c r="AU1707" s="54"/>
      <c r="AV1707" s="54"/>
      <c r="AW1707" s="54"/>
      <c r="AX1707" s="54"/>
      <c r="AY1707" s="54"/>
      <c r="AZ1707" s="54"/>
      <c r="BA1707" s="54"/>
      <c r="BB1707" s="54"/>
      <c r="BC1707" s="56"/>
      <c r="BD1707" s="51"/>
      <c r="BE1707" s="54"/>
      <c r="BF1707" s="54"/>
      <c r="BG1707" s="47"/>
      <c r="BH1707" s="48"/>
      <c r="BI1707" s="48"/>
      <c r="BJ1707" s="48"/>
      <c r="BK1707" s="48"/>
      <c r="BL1707" s="48"/>
      <c r="BM1707" s="48"/>
      <c r="BN1707" s="48"/>
      <c r="BO1707" s="48"/>
      <c r="BP1707" s="48"/>
      <c r="BQ1707" s="48"/>
      <c r="BR1707" s="48"/>
      <c r="BS1707" s="48"/>
      <c r="BT1707" s="48"/>
      <c r="BU1707" s="48"/>
      <c r="BV1707" s="48"/>
      <c r="BW1707" s="48"/>
      <c r="BX1707" s="48"/>
      <c r="BY1707" s="48"/>
      <c r="BZ1707" s="48"/>
      <c r="CA1707" s="48"/>
      <c r="CB1707" s="48"/>
      <c r="CC1707" s="48"/>
      <c r="CD1707" s="48"/>
      <c r="CE1707" s="48"/>
      <c r="CF1707" s="52"/>
      <c r="CG1707" s="52"/>
      <c r="CH1707" s="48"/>
      <c r="CI1707" s="48"/>
      <c r="CJ1707" s="48"/>
      <c r="CK1707" s="48"/>
    </row>
    <row r="1708" spans="1:89" ht="15.75" customHeight="1" x14ac:dyDescent="0.3">
      <c r="A1708" s="47"/>
      <c r="B1708" s="48"/>
      <c r="C1708" s="47"/>
      <c r="D1708" s="48"/>
      <c r="E1708" s="48"/>
      <c r="F1708" s="48"/>
      <c r="G1708" s="48"/>
      <c r="H1708" s="48"/>
      <c r="I1708" s="49"/>
      <c r="J1708" s="47"/>
      <c r="K1708" s="47"/>
      <c r="L1708" s="47"/>
      <c r="M1708" s="47"/>
      <c r="N1708" s="47"/>
      <c r="O1708" s="47"/>
      <c r="P1708" s="47"/>
      <c r="Q1708" s="47"/>
      <c r="R1708" s="47"/>
      <c r="S1708" s="50"/>
      <c r="T1708" s="47"/>
      <c r="U1708" s="47"/>
      <c r="V1708" s="47"/>
      <c r="W1708" s="51"/>
      <c r="X1708" s="51"/>
      <c r="Y1708" s="47"/>
      <c r="Z1708" s="47"/>
      <c r="AA1708" s="47"/>
      <c r="AB1708" s="47"/>
      <c r="AC1708" s="47"/>
      <c r="AD1708" s="47"/>
      <c r="AE1708" s="54"/>
      <c r="AF1708" s="54"/>
      <c r="AG1708" s="55"/>
      <c r="AH1708" s="54"/>
      <c r="AI1708" s="54"/>
      <c r="AJ1708" s="54"/>
      <c r="AK1708" s="54"/>
      <c r="AL1708" s="54"/>
      <c r="AM1708" s="54"/>
      <c r="AN1708" s="54"/>
      <c r="AO1708" s="54"/>
      <c r="AP1708" s="54"/>
      <c r="AQ1708" s="54"/>
      <c r="AR1708" s="54"/>
      <c r="AS1708" s="54"/>
      <c r="AT1708" s="54"/>
      <c r="AU1708" s="54"/>
      <c r="AV1708" s="54"/>
      <c r="AW1708" s="54"/>
      <c r="AX1708" s="54"/>
      <c r="AY1708" s="54"/>
      <c r="AZ1708" s="54"/>
      <c r="BA1708" s="54"/>
      <c r="BB1708" s="54"/>
      <c r="BC1708" s="56"/>
      <c r="BD1708" s="51"/>
      <c r="BE1708" s="54"/>
      <c r="BF1708" s="54"/>
      <c r="BG1708" s="47"/>
      <c r="BH1708" s="48"/>
      <c r="BI1708" s="48"/>
      <c r="BJ1708" s="48"/>
      <c r="BK1708" s="48"/>
      <c r="BL1708" s="48"/>
      <c r="BM1708" s="48"/>
      <c r="BN1708" s="48"/>
      <c r="BO1708" s="48"/>
      <c r="BP1708" s="48"/>
      <c r="BQ1708" s="48"/>
      <c r="BR1708" s="48"/>
      <c r="BS1708" s="48"/>
      <c r="BT1708" s="48"/>
      <c r="BU1708" s="48"/>
      <c r="BV1708" s="48"/>
      <c r="BW1708" s="48"/>
      <c r="BX1708" s="48"/>
      <c r="BY1708" s="48"/>
      <c r="BZ1708" s="48"/>
      <c r="CA1708" s="48"/>
      <c r="CB1708" s="48"/>
      <c r="CC1708" s="48"/>
      <c r="CD1708" s="48"/>
      <c r="CE1708" s="48"/>
      <c r="CF1708" s="52"/>
      <c r="CG1708" s="52"/>
      <c r="CH1708" s="48"/>
      <c r="CI1708" s="48"/>
      <c r="CJ1708" s="48"/>
      <c r="CK1708" s="48"/>
    </row>
    <row r="1709" spans="1:89" ht="15.75" customHeight="1" x14ac:dyDescent="0.3">
      <c r="A1709" s="47"/>
      <c r="B1709" s="48"/>
      <c r="C1709" s="47"/>
      <c r="D1709" s="48"/>
      <c r="E1709" s="48"/>
      <c r="F1709" s="48"/>
      <c r="G1709" s="48"/>
      <c r="H1709" s="48"/>
      <c r="I1709" s="49"/>
      <c r="J1709" s="47"/>
      <c r="K1709" s="47"/>
      <c r="L1709" s="47"/>
      <c r="M1709" s="47"/>
      <c r="N1709" s="47"/>
      <c r="O1709" s="47"/>
      <c r="P1709" s="47"/>
      <c r="Q1709" s="47"/>
      <c r="R1709" s="47"/>
      <c r="S1709" s="50"/>
      <c r="T1709" s="47"/>
      <c r="U1709" s="47"/>
      <c r="V1709" s="47"/>
      <c r="W1709" s="51"/>
      <c r="X1709" s="51"/>
      <c r="Y1709" s="47"/>
      <c r="Z1709" s="47"/>
      <c r="AA1709" s="47"/>
      <c r="AB1709" s="47"/>
      <c r="AC1709" s="47"/>
      <c r="AD1709" s="47"/>
      <c r="AE1709" s="54"/>
      <c r="AF1709" s="54"/>
      <c r="AG1709" s="55"/>
      <c r="AH1709" s="54"/>
      <c r="AI1709" s="54"/>
      <c r="AJ1709" s="54"/>
      <c r="AK1709" s="54"/>
      <c r="AL1709" s="54"/>
      <c r="AM1709" s="54"/>
      <c r="AN1709" s="54"/>
      <c r="AO1709" s="54"/>
      <c r="AP1709" s="54"/>
      <c r="AQ1709" s="54"/>
      <c r="AR1709" s="54"/>
      <c r="AS1709" s="54"/>
      <c r="AT1709" s="54"/>
      <c r="AU1709" s="54"/>
      <c r="AV1709" s="54"/>
      <c r="AW1709" s="54"/>
      <c r="AX1709" s="54"/>
      <c r="AY1709" s="54"/>
      <c r="AZ1709" s="54"/>
      <c r="BA1709" s="54"/>
      <c r="BB1709" s="54"/>
      <c r="BC1709" s="56"/>
      <c r="BD1709" s="51"/>
      <c r="BE1709" s="54"/>
      <c r="BF1709" s="54"/>
      <c r="BG1709" s="47"/>
      <c r="BH1709" s="48"/>
      <c r="BI1709" s="48"/>
      <c r="BJ1709" s="48"/>
      <c r="BK1709" s="48"/>
      <c r="BL1709" s="48"/>
      <c r="BM1709" s="48"/>
      <c r="BN1709" s="48"/>
      <c r="BO1709" s="48"/>
      <c r="BP1709" s="48"/>
      <c r="BQ1709" s="48"/>
      <c r="BR1709" s="48"/>
      <c r="BS1709" s="48"/>
      <c r="BT1709" s="48"/>
      <c r="BU1709" s="48"/>
      <c r="BV1709" s="48"/>
      <c r="BW1709" s="48"/>
      <c r="BX1709" s="48"/>
      <c r="BY1709" s="48"/>
      <c r="BZ1709" s="48"/>
      <c r="CA1709" s="48"/>
      <c r="CB1709" s="48"/>
      <c r="CC1709" s="48"/>
      <c r="CD1709" s="48"/>
      <c r="CE1709" s="48"/>
      <c r="CF1709" s="52"/>
      <c r="CG1709" s="52"/>
      <c r="CH1709" s="48"/>
      <c r="CI1709" s="48"/>
      <c r="CJ1709" s="48"/>
      <c r="CK1709" s="48"/>
    </row>
    <row r="1710" spans="1:89" ht="15.75" customHeight="1" x14ac:dyDescent="0.3">
      <c r="A1710" s="47"/>
      <c r="B1710" s="48"/>
      <c r="C1710" s="47"/>
      <c r="D1710" s="48"/>
      <c r="E1710" s="48"/>
      <c r="F1710" s="48"/>
      <c r="G1710" s="48"/>
      <c r="H1710" s="48"/>
      <c r="I1710" s="49"/>
      <c r="J1710" s="47"/>
      <c r="K1710" s="47"/>
      <c r="L1710" s="47"/>
      <c r="M1710" s="47"/>
      <c r="N1710" s="47"/>
      <c r="O1710" s="47"/>
      <c r="P1710" s="47"/>
      <c r="Q1710" s="47"/>
      <c r="R1710" s="47"/>
      <c r="S1710" s="50"/>
      <c r="T1710" s="47"/>
      <c r="U1710" s="47"/>
      <c r="V1710" s="47"/>
      <c r="W1710" s="51"/>
      <c r="X1710" s="51"/>
      <c r="Y1710" s="47"/>
      <c r="Z1710" s="47"/>
      <c r="AA1710" s="47"/>
      <c r="AB1710" s="47"/>
      <c r="AC1710" s="47"/>
      <c r="AD1710" s="47"/>
      <c r="AE1710" s="54"/>
      <c r="AF1710" s="54"/>
      <c r="AG1710" s="55"/>
      <c r="AH1710" s="54"/>
      <c r="AI1710" s="54"/>
      <c r="AJ1710" s="54"/>
      <c r="AK1710" s="54"/>
      <c r="AL1710" s="54"/>
      <c r="AM1710" s="54"/>
      <c r="AN1710" s="54"/>
      <c r="AO1710" s="54"/>
      <c r="AP1710" s="54"/>
      <c r="AQ1710" s="54"/>
      <c r="AR1710" s="54"/>
      <c r="AS1710" s="54"/>
      <c r="AT1710" s="54"/>
      <c r="AU1710" s="54"/>
      <c r="AV1710" s="54"/>
      <c r="AW1710" s="54"/>
      <c r="AX1710" s="54"/>
      <c r="AY1710" s="54"/>
      <c r="AZ1710" s="54"/>
      <c r="BA1710" s="54"/>
      <c r="BB1710" s="54"/>
      <c r="BC1710" s="56"/>
      <c r="BD1710" s="51"/>
      <c r="BE1710" s="54"/>
      <c r="BF1710" s="54"/>
      <c r="BG1710" s="47"/>
      <c r="BH1710" s="48"/>
      <c r="BI1710" s="48"/>
      <c r="BJ1710" s="48"/>
      <c r="BK1710" s="48"/>
      <c r="BL1710" s="48"/>
      <c r="BM1710" s="48"/>
      <c r="BN1710" s="48"/>
      <c r="BO1710" s="48"/>
      <c r="BP1710" s="48"/>
      <c r="BQ1710" s="48"/>
      <c r="BR1710" s="48"/>
      <c r="BS1710" s="48"/>
      <c r="BT1710" s="48"/>
      <c r="BU1710" s="48"/>
      <c r="BV1710" s="48"/>
      <c r="BW1710" s="48"/>
      <c r="BX1710" s="48"/>
      <c r="BY1710" s="48"/>
      <c r="BZ1710" s="48"/>
      <c r="CA1710" s="48"/>
      <c r="CB1710" s="48"/>
      <c r="CC1710" s="48"/>
      <c r="CD1710" s="48"/>
      <c r="CE1710" s="48"/>
      <c r="CF1710" s="52"/>
      <c r="CG1710" s="52"/>
      <c r="CH1710" s="48"/>
      <c r="CI1710" s="48"/>
      <c r="CJ1710" s="48"/>
      <c r="CK1710" s="48"/>
    </row>
    <row r="1711" spans="1:89" ht="15.75" customHeight="1" x14ac:dyDescent="0.3">
      <c r="A1711" s="47"/>
      <c r="B1711" s="48"/>
      <c r="C1711" s="47"/>
      <c r="D1711" s="48"/>
      <c r="E1711" s="48"/>
      <c r="F1711" s="48"/>
      <c r="G1711" s="48"/>
      <c r="H1711" s="48"/>
      <c r="I1711" s="49"/>
      <c r="J1711" s="47"/>
      <c r="K1711" s="47"/>
      <c r="L1711" s="47"/>
      <c r="M1711" s="47"/>
      <c r="N1711" s="47"/>
      <c r="O1711" s="47"/>
      <c r="P1711" s="47"/>
      <c r="Q1711" s="47"/>
      <c r="R1711" s="47"/>
      <c r="S1711" s="50"/>
      <c r="T1711" s="47"/>
      <c r="U1711" s="47"/>
      <c r="V1711" s="47"/>
      <c r="W1711" s="51"/>
      <c r="X1711" s="51"/>
      <c r="Y1711" s="47"/>
      <c r="Z1711" s="47"/>
      <c r="AA1711" s="47"/>
      <c r="AB1711" s="47"/>
      <c r="AC1711" s="47"/>
      <c r="AD1711" s="47"/>
      <c r="AE1711" s="54"/>
      <c r="AF1711" s="54"/>
      <c r="AG1711" s="55"/>
      <c r="AH1711" s="54"/>
      <c r="AI1711" s="54"/>
      <c r="AJ1711" s="54"/>
      <c r="AK1711" s="54"/>
      <c r="AL1711" s="54"/>
      <c r="AM1711" s="54"/>
      <c r="AN1711" s="54"/>
      <c r="AO1711" s="54"/>
      <c r="AP1711" s="54"/>
      <c r="AQ1711" s="54"/>
      <c r="AR1711" s="54"/>
      <c r="AS1711" s="54"/>
      <c r="AT1711" s="54"/>
      <c r="AU1711" s="54"/>
      <c r="AV1711" s="54"/>
      <c r="AW1711" s="54"/>
      <c r="AX1711" s="54"/>
      <c r="AY1711" s="54"/>
      <c r="AZ1711" s="54"/>
      <c r="BA1711" s="54"/>
      <c r="BB1711" s="54"/>
      <c r="BC1711" s="56"/>
      <c r="BD1711" s="51"/>
      <c r="BE1711" s="54"/>
      <c r="BF1711" s="54"/>
      <c r="BG1711" s="47"/>
      <c r="BH1711" s="48"/>
      <c r="BI1711" s="48"/>
      <c r="BJ1711" s="48"/>
      <c r="BK1711" s="48"/>
      <c r="BL1711" s="48"/>
      <c r="BM1711" s="48"/>
      <c r="BN1711" s="48"/>
      <c r="BO1711" s="48"/>
      <c r="BP1711" s="48"/>
      <c r="BQ1711" s="48"/>
      <c r="BR1711" s="48"/>
      <c r="BS1711" s="48"/>
      <c r="BT1711" s="48"/>
      <c r="BU1711" s="48"/>
      <c r="BV1711" s="48"/>
      <c r="BW1711" s="48"/>
      <c r="BX1711" s="48"/>
      <c r="BY1711" s="48"/>
      <c r="BZ1711" s="48"/>
      <c r="CA1711" s="48"/>
      <c r="CB1711" s="48"/>
      <c r="CC1711" s="48"/>
      <c r="CD1711" s="48"/>
      <c r="CE1711" s="48"/>
      <c r="CF1711" s="52"/>
      <c r="CG1711" s="52"/>
      <c r="CH1711" s="48"/>
      <c r="CI1711" s="48"/>
      <c r="CJ1711" s="48"/>
      <c r="CK1711" s="48"/>
    </row>
    <row r="1712" spans="1:89" ht="15.75" customHeight="1" x14ac:dyDescent="0.3">
      <c r="A1712" s="47"/>
      <c r="B1712" s="48"/>
      <c r="C1712" s="47"/>
      <c r="D1712" s="48"/>
      <c r="E1712" s="48"/>
      <c r="F1712" s="48"/>
      <c r="G1712" s="48"/>
      <c r="H1712" s="48"/>
      <c r="I1712" s="49"/>
      <c r="J1712" s="47"/>
      <c r="K1712" s="47"/>
      <c r="L1712" s="47"/>
      <c r="M1712" s="47"/>
      <c r="N1712" s="47"/>
      <c r="O1712" s="47"/>
      <c r="P1712" s="47"/>
      <c r="Q1712" s="47"/>
      <c r="R1712" s="47"/>
      <c r="S1712" s="50"/>
      <c r="T1712" s="47"/>
      <c r="U1712" s="47"/>
      <c r="V1712" s="47"/>
      <c r="W1712" s="51"/>
      <c r="X1712" s="51"/>
      <c r="Y1712" s="47"/>
      <c r="Z1712" s="47"/>
      <c r="AA1712" s="47"/>
      <c r="AB1712" s="47"/>
      <c r="AC1712" s="47"/>
      <c r="AD1712" s="47"/>
      <c r="AE1712" s="54"/>
      <c r="AF1712" s="54"/>
      <c r="AG1712" s="55"/>
      <c r="AH1712" s="54"/>
      <c r="AI1712" s="54"/>
      <c r="AJ1712" s="54"/>
      <c r="AK1712" s="54"/>
      <c r="AL1712" s="54"/>
      <c r="AM1712" s="54"/>
      <c r="AN1712" s="54"/>
      <c r="AO1712" s="54"/>
      <c r="AP1712" s="54"/>
      <c r="AQ1712" s="54"/>
      <c r="AR1712" s="54"/>
      <c r="AS1712" s="54"/>
      <c r="AT1712" s="54"/>
      <c r="AU1712" s="54"/>
      <c r="AV1712" s="54"/>
      <c r="AW1712" s="54"/>
      <c r="AX1712" s="54"/>
      <c r="AY1712" s="54"/>
      <c r="AZ1712" s="54"/>
      <c r="BA1712" s="54"/>
      <c r="BB1712" s="54"/>
      <c r="BC1712" s="56"/>
      <c r="BD1712" s="51"/>
      <c r="BE1712" s="54"/>
      <c r="BF1712" s="54"/>
      <c r="BG1712" s="47"/>
      <c r="BH1712" s="48"/>
      <c r="BI1712" s="48"/>
      <c r="BJ1712" s="48"/>
      <c r="BK1712" s="48"/>
      <c r="BL1712" s="48"/>
      <c r="BM1712" s="48"/>
      <c r="BN1712" s="48"/>
      <c r="BO1712" s="48"/>
      <c r="BP1712" s="48"/>
      <c r="BQ1712" s="48"/>
      <c r="BR1712" s="48"/>
      <c r="BS1712" s="48"/>
      <c r="BT1712" s="48"/>
      <c r="BU1712" s="48"/>
      <c r="BV1712" s="48"/>
      <c r="BW1712" s="48"/>
      <c r="BX1712" s="48"/>
      <c r="BY1712" s="48"/>
      <c r="BZ1712" s="48"/>
      <c r="CA1712" s="48"/>
      <c r="CB1712" s="48"/>
      <c r="CC1712" s="48"/>
      <c r="CD1712" s="48"/>
      <c r="CE1712" s="48"/>
      <c r="CF1712" s="52"/>
      <c r="CG1712" s="52"/>
      <c r="CH1712" s="48"/>
      <c r="CI1712" s="48"/>
      <c r="CJ1712" s="48"/>
      <c r="CK1712" s="48"/>
    </row>
    <row r="1713" spans="1:89" ht="15.75" customHeight="1" x14ac:dyDescent="0.3">
      <c r="A1713" s="47"/>
      <c r="B1713" s="48"/>
      <c r="C1713" s="47"/>
      <c r="D1713" s="48"/>
      <c r="E1713" s="48"/>
      <c r="F1713" s="48"/>
      <c r="G1713" s="48"/>
      <c r="H1713" s="48"/>
      <c r="I1713" s="49"/>
      <c r="J1713" s="47"/>
      <c r="K1713" s="47"/>
      <c r="L1713" s="47"/>
      <c r="M1713" s="47"/>
      <c r="N1713" s="47"/>
      <c r="O1713" s="47"/>
      <c r="P1713" s="47"/>
      <c r="Q1713" s="47"/>
      <c r="R1713" s="47"/>
      <c r="S1713" s="50"/>
      <c r="T1713" s="47"/>
      <c r="U1713" s="47"/>
      <c r="V1713" s="47"/>
      <c r="W1713" s="51"/>
      <c r="X1713" s="51"/>
      <c r="Y1713" s="47"/>
      <c r="Z1713" s="47"/>
      <c r="AA1713" s="47"/>
      <c r="AB1713" s="47"/>
      <c r="AC1713" s="47"/>
      <c r="AD1713" s="47"/>
      <c r="AE1713" s="54"/>
      <c r="AF1713" s="54"/>
      <c r="AG1713" s="55"/>
      <c r="AH1713" s="54"/>
      <c r="AI1713" s="54"/>
      <c r="AJ1713" s="54"/>
      <c r="AK1713" s="54"/>
      <c r="AL1713" s="54"/>
      <c r="AM1713" s="54"/>
      <c r="AN1713" s="54"/>
      <c r="AO1713" s="54"/>
      <c r="AP1713" s="54"/>
      <c r="AQ1713" s="54"/>
      <c r="AR1713" s="54"/>
      <c r="AS1713" s="54"/>
      <c r="AT1713" s="54"/>
      <c r="AU1713" s="54"/>
      <c r="AV1713" s="54"/>
      <c r="AW1713" s="54"/>
      <c r="AX1713" s="54"/>
      <c r="AY1713" s="54"/>
      <c r="AZ1713" s="54"/>
      <c r="BA1713" s="54"/>
      <c r="BB1713" s="54"/>
      <c r="BC1713" s="56"/>
      <c r="BD1713" s="51"/>
      <c r="BE1713" s="54"/>
      <c r="BF1713" s="54"/>
      <c r="BG1713" s="47"/>
      <c r="BH1713" s="48"/>
      <c r="BI1713" s="48"/>
      <c r="BJ1713" s="48"/>
      <c r="BK1713" s="48"/>
      <c r="BL1713" s="48"/>
      <c r="BM1713" s="48"/>
      <c r="BN1713" s="48"/>
      <c r="BO1713" s="48"/>
      <c r="BP1713" s="48"/>
      <c r="BQ1713" s="48"/>
      <c r="BR1713" s="48"/>
      <c r="BS1713" s="48"/>
      <c r="BT1713" s="48"/>
      <c r="BU1713" s="48"/>
      <c r="BV1713" s="48"/>
      <c r="BW1713" s="48"/>
      <c r="BX1713" s="48"/>
      <c r="BY1713" s="48"/>
      <c r="BZ1713" s="48"/>
      <c r="CA1713" s="48"/>
      <c r="CB1713" s="48"/>
      <c r="CC1713" s="48"/>
      <c r="CD1713" s="48"/>
      <c r="CE1713" s="48"/>
      <c r="CF1713" s="52"/>
      <c r="CG1713" s="52"/>
      <c r="CH1713" s="48"/>
      <c r="CI1713" s="48"/>
      <c r="CJ1713" s="48"/>
      <c r="CK1713" s="48"/>
    </row>
    <row r="1714" spans="1:89" ht="15.75" customHeight="1" x14ac:dyDescent="0.3">
      <c r="A1714" s="47"/>
      <c r="B1714" s="48"/>
      <c r="C1714" s="47"/>
      <c r="D1714" s="48"/>
      <c r="E1714" s="48"/>
      <c r="F1714" s="48"/>
      <c r="G1714" s="48"/>
      <c r="H1714" s="48"/>
      <c r="I1714" s="49"/>
      <c r="J1714" s="47"/>
      <c r="K1714" s="47"/>
      <c r="L1714" s="47"/>
      <c r="M1714" s="47"/>
      <c r="N1714" s="47"/>
      <c r="O1714" s="47"/>
      <c r="P1714" s="47"/>
      <c r="Q1714" s="47"/>
      <c r="R1714" s="47"/>
      <c r="S1714" s="50"/>
      <c r="T1714" s="47"/>
      <c r="U1714" s="47"/>
      <c r="V1714" s="47"/>
      <c r="W1714" s="51"/>
      <c r="X1714" s="51"/>
      <c r="Y1714" s="47"/>
      <c r="Z1714" s="47"/>
      <c r="AA1714" s="47"/>
      <c r="AB1714" s="47"/>
      <c r="AC1714" s="47"/>
      <c r="AD1714" s="47"/>
      <c r="AE1714" s="54"/>
      <c r="AF1714" s="54"/>
      <c r="AG1714" s="55"/>
      <c r="AH1714" s="54"/>
      <c r="AI1714" s="54"/>
      <c r="AJ1714" s="54"/>
      <c r="AK1714" s="54"/>
      <c r="AL1714" s="54"/>
      <c r="AM1714" s="54"/>
      <c r="AN1714" s="54"/>
      <c r="AO1714" s="54"/>
      <c r="AP1714" s="54"/>
      <c r="AQ1714" s="54"/>
      <c r="AR1714" s="54"/>
      <c r="AS1714" s="54"/>
      <c r="AT1714" s="54"/>
      <c r="AU1714" s="54"/>
      <c r="AV1714" s="54"/>
      <c r="AW1714" s="54"/>
      <c r="AX1714" s="54"/>
      <c r="AY1714" s="54"/>
      <c r="AZ1714" s="54"/>
      <c r="BA1714" s="54"/>
      <c r="BB1714" s="54"/>
      <c r="BC1714" s="56"/>
      <c r="BD1714" s="51"/>
      <c r="BE1714" s="54"/>
      <c r="BF1714" s="54"/>
      <c r="BG1714" s="47"/>
      <c r="BH1714" s="48"/>
      <c r="BI1714" s="48"/>
      <c r="BJ1714" s="48"/>
      <c r="BK1714" s="48"/>
      <c r="BL1714" s="48"/>
      <c r="BM1714" s="48"/>
      <c r="BN1714" s="48"/>
      <c r="BO1714" s="48"/>
      <c r="BP1714" s="48"/>
      <c r="BQ1714" s="48"/>
      <c r="BR1714" s="48"/>
      <c r="BS1714" s="48"/>
      <c r="BT1714" s="48"/>
      <c r="BU1714" s="48"/>
      <c r="BV1714" s="48"/>
      <c r="BW1714" s="48"/>
      <c r="BX1714" s="48"/>
      <c r="BY1714" s="48"/>
      <c r="BZ1714" s="48"/>
      <c r="CA1714" s="48"/>
      <c r="CB1714" s="48"/>
      <c r="CC1714" s="48"/>
      <c r="CD1714" s="48"/>
      <c r="CE1714" s="48"/>
      <c r="CF1714" s="52"/>
      <c r="CG1714" s="52"/>
      <c r="CH1714" s="48"/>
      <c r="CI1714" s="48"/>
      <c r="CJ1714" s="48"/>
      <c r="CK1714" s="48"/>
    </row>
    <row r="1715" spans="1:89" ht="15.75" customHeight="1" x14ac:dyDescent="0.3">
      <c r="A1715" s="47"/>
      <c r="B1715" s="48"/>
      <c r="C1715" s="47"/>
      <c r="D1715" s="48"/>
      <c r="E1715" s="48"/>
      <c r="F1715" s="48"/>
      <c r="G1715" s="48"/>
      <c r="H1715" s="48"/>
      <c r="I1715" s="49"/>
      <c r="J1715" s="47"/>
      <c r="K1715" s="47"/>
      <c r="L1715" s="47"/>
      <c r="M1715" s="47"/>
      <c r="N1715" s="47"/>
      <c r="O1715" s="47"/>
      <c r="P1715" s="47"/>
      <c r="Q1715" s="47"/>
      <c r="R1715" s="47"/>
      <c r="S1715" s="50"/>
      <c r="T1715" s="47"/>
      <c r="U1715" s="47"/>
      <c r="V1715" s="47"/>
      <c r="W1715" s="51"/>
      <c r="X1715" s="51"/>
      <c r="Y1715" s="47"/>
      <c r="Z1715" s="47"/>
      <c r="AA1715" s="47"/>
      <c r="AB1715" s="47"/>
      <c r="AC1715" s="47"/>
      <c r="AD1715" s="47"/>
      <c r="AE1715" s="54"/>
      <c r="AF1715" s="54"/>
      <c r="AG1715" s="55"/>
      <c r="AH1715" s="54"/>
      <c r="AI1715" s="54"/>
      <c r="AJ1715" s="54"/>
      <c r="AK1715" s="54"/>
      <c r="AL1715" s="54"/>
      <c r="AM1715" s="54"/>
      <c r="AN1715" s="54"/>
      <c r="AO1715" s="54"/>
      <c r="AP1715" s="54"/>
      <c r="AQ1715" s="54"/>
      <c r="AR1715" s="54"/>
      <c r="AS1715" s="54"/>
      <c r="AT1715" s="54"/>
      <c r="AU1715" s="54"/>
      <c r="AV1715" s="54"/>
      <c r="AW1715" s="54"/>
      <c r="AX1715" s="54"/>
      <c r="AY1715" s="54"/>
      <c r="AZ1715" s="54"/>
      <c r="BA1715" s="54"/>
      <c r="BB1715" s="54"/>
      <c r="BC1715" s="56"/>
      <c r="BD1715" s="51"/>
      <c r="BE1715" s="54"/>
      <c r="BF1715" s="54"/>
      <c r="BG1715" s="47"/>
      <c r="BH1715" s="48"/>
      <c r="BI1715" s="48"/>
      <c r="BJ1715" s="48"/>
      <c r="BK1715" s="48"/>
      <c r="BL1715" s="48"/>
      <c r="BM1715" s="48"/>
      <c r="BN1715" s="48"/>
      <c r="BO1715" s="48"/>
      <c r="BP1715" s="48"/>
      <c r="BQ1715" s="48"/>
      <c r="BR1715" s="48"/>
      <c r="BS1715" s="48"/>
      <c r="BT1715" s="48"/>
      <c r="BU1715" s="48"/>
      <c r="BV1715" s="48"/>
      <c r="BW1715" s="48"/>
      <c r="BX1715" s="48"/>
      <c r="BY1715" s="48"/>
      <c r="BZ1715" s="48"/>
      <c r="CA1715" s="48"/>
      <c r="CB1715" s="48"/>
      <c r="CC1715" s="48"/>
      <c r="CD1715" s="48"/>
      <c r="CE1715" s="48"/>
      <c r="CF1715" s="52"/>
      <c r="CG1715" s="52"/>
      <c r="CH1715" s="48"/>
      <c r="CI1715" s="48"/>
      <c r="CJ1715" s="48"/>
      <c r="CK1715" s="48"/>
    </row>
    <row r="1716" spans="1:89" ht="15.75" customHeight="1" x14ac:dyDescent="0.3">
      <c r="A1716" s="47"/>
      <c r="B1716" s="48"/>
      <c r="C1716" s="47"/>
      <c r="D1716" s="48"/>
      <c r="E1716" s="48"/>
      <c r="F1716" s="48"/>
      <c r="G1716" s="48"/>
      <c r="H1716" s="48"/>
      <c r="I1716" s="49"/>
      <c r="J1716" s="47"/>
      <c r="K1716" s="47"/>
      <c r="L1716" s="47"/>
      <c r="M1716" s="47"/>
      <c r="N1716" s="47"/>
      <c r="O1716" s="47"/>
      <c r="P1716" s="47"/>
      <c r="Q1716" s="47"/>
      <c r="R1716" s="47"/>
      <c r="S1716" s="50"/>
      <c r="T1716" s="47"/>
      <c r="U1716" s="47"/>
      <c r="V1716" s="47"/>
      <c r="W1716" s="51"/>
      <c r="X1716" s="51"/>
      <c r="Y1716" s="47"/>
      <c r="Z1716" s="47"/>
      <c r="AA1716" s="47"/>
      <c r="AB1716" s="47"/>
      <c r="AC1716" s="47"/>
      <c r="AD1716" s="47"/>
      <c r="AE1716" s="54"/>
      <c r="AF1716" s="54"/>
      <c r="AG1716" s="55"/>
      <c r="AH1716" s="54"/>
      <c r="AI1716" s="54"/>
      <c r="AJ1716" s="54"/>
      <c r="AK1716" s="54"/>
      <c r="AL1716" s="54"/>
      <c r="AM1716" s="54"/>
      <c r="AN1716" s="54"/>
      <c r="AO1716" s="54"/>
      <c r="AP1716" s="54"/>
      <c r="AQ1716" s="54"/>
      <c r="AR1716" s="54"/>
      <c r="AS1716" s="54"/>
      <c r="AT1716" s="54"/>
      <c r="AU1716" s="54"/>
      <c r="AV1716" s="54"/>
      <c r="AW1716" s="54"/>
      <c r="AX1716" s="54"/>
      <c r="AY1716" s="54"/>
      <c r="AZ1716" s="54"/>
      <c r="BA1716" s="54"/>
      <c r="BB1716" s="54"/>
      <c r="BC1716" s="56"/>
      <c r="BD1716" s="51"/>
      <c r="BE1716" s="54"/>
      <c r="BF1716" s="54"/>
      <c r="BG1716" s="47"/>
      <c r="BH1716" s="48"/>
      <c r="BI1716" s="48"/>
      <c r="BJ1716" s="48"/>
      <c r="BK1716" s="48"/>
      <c r="BL1716" s="48"/>
      <c r="BM1716" s="48"/>
      <c r="BN1716" s="48"/>
      <c r="BO1716" s="48"/>
      <c r="BP1716" s="48"/>
      <c r="BQ1716" s="48"/>
      <c r="BR1716" s="48"/>
      <c r="BS1716" s="48"/>
      <c r="BT1716" s="48"/>
      <c r="BU1716" s="48"/>
      <c r="BV1716" s="48"/>
      <c r="BW1716" s="48"/>
      <c r="BX1716" s="48"/>
      <c r="BY1716" s="48"/>
      <c r="BZ1716" s="48"/>
      <c r="CA1716" s="48"/>
      <c r="CB1716" s="48"/>
      <c r="CC1716" s="48"/>
      <c r="CD1716" s="48"/>
      <c r="CE1716" s="48"/>
      <c r="CF1716" s="52"/>
      <c r="CG1716" s="52"/>
      <c r="CH1716" s="48"/>
      <c r="CI1716" s="48"/>
      <c r="CJ1716" s="48"/>
      <c r="CK1716" s="48"/>
    </row>
    <row r="1717" spans="1:89" ht="15.75" customHeight="1" x14ac:dyDescent="0.3">
      <c r="A1717" s="47"/>
      <c r="B1717" s="48"/>
      <c r="C1717" s="47"/>
      <c r="D1717" s="48"/>
      <c r="E1717" s="48"/>
      <c r="F1717" s="48"/>
      <c r="G1717" s="48"/>
      <c r="H1717" s="48"/>
      <c r="I1717" s="49"/>
      <c r="J1717" s="47"/>
      <c r="K1717" s="47"/>
      <c r="L1717" s="47"/>
      <c r="M1717" s="47"/>
      <c r="N1717" s="47"/>
      <c r="O1717" s="47"/>
      <c r="P1717" s="47"/>
      <c r="Q1717" s="47"/>
      <c r="R1717" s="47"/>
      <c r="S1717" s="50"/>
      <c r="T1717" s="47"/>
      <c r="U1717" s="47"/>
      <c r="V1717" s="47"/>
      <c r="W1717" s="51"/>
      <c r="X1717" s="51"/>
      <c r="Y1717" s="47"/>
      <c r="Z1717" s="47"/>
      <c r="AA1717" s="47"/>
      <c r="AB1717" s="47"/>
      <c r="AC1717" s="47"/>
      <c r="AD1717" s="47"/>
      <c r="AE1717" s="54"/>
      <c r="AF1717" s="54"/>
      <c r="AG1717" s="55"/>
      <c r="AH1717" s="54"/>
      <c r="AI1717" s="54"/>
      <c r="AJ1717" s="54"/>
      <c r="AK1717" s="54"/>
      <c r="AL1717" s="54"/>
      <c r="AM1717" s="54"/>
      <c r="AN1717" s="54"/>
      <c r="AO1717" s="54"/>
      <c r="AP1717" s="54"/>
      <c r="AQ1717" s="54"/>
      <c r="AR1717" s="54"/>
      <c r="AS1717" s="54"/>
      <c r="AT1717" s="54"/>
      <c r="AU1717" s="54"/>
      <c r="AV1717" s="54"/>
      <c r="AW1717" s="54"/>
      <c r="AX1717" s="54"/>
      <c r="AY1717" s="54"/>
      <c r="AZ1717" s="54"/>
      <c r="BA1717" s="54"/>
      <c r="BB1717" s="54"/>
      <c r="BC1717" s="56"/>
      <c r="BD1717" s="51"/>
      <c r="BE1717" s="54"/>
      <c r="BF1717" s="54"/>
      <c r="BG1717" s="47"/>
      <c r="BH1717" s="48"/>
      <c r="BI1717" s="48"/>
      <c r="BJ1717" s="48"/>
      <c r="BK1717" s="48"/>
      <c r="BL1717" s="48"/>
      <c r="BM1717" s="48"/>
      <c r="BN1717" s="48"/>
      <c r="BO1717" s="48"/>
      <c r="BP1717" s="48"/>
      <c r="BQ1717" s="48"/>
      <c r="BR1717" s="48"/>
      <c r="BS1717" s="48"/>
      <c r="BT1717" s="48"/>
      <c r="BU1717" s="48"/>
      <c r="BV1717" s="48"/>
      <c r="BW1717" s="48"/>
      <c r="BX1717" s="48"/>
      <c r="BY1717" s="48"/>
      <c r="BZ1717" s="48"/>
      <c r="CA1717" s="48"/>
      <c r="CB1717" s="48"/>
      <c r="CC1717" s="48"/>
      <c r="CD1717" s="48"/>
      <c r="CE1717" s="48"/>
      <c r="CF1717" s="52"/>
      <c r="CG1717" s="52"/>
      <c r="CH1717" s="48"/>
      <c r="CI1717" s="48"/>
      <c r="CJ1717" s="48"/>
      <c r="CK1717" s="48"/>
    </row>
    <row r="1718" spans="1:89" ht="15.75" customHeight="1" x14ac:dyDescent="0.3">
      <c r="A1718" s="47"/>
      <c r="B1718" s="48"/>
      <c r="C1718" s="47"/>
      <c r="D1718" s="48"/>
      <c r="E1718" s="48"/>
      <c r="F1718" s="48"/>
      <c r="G1718" s="48"/>
      <c r="H1718" s="48"/>
      <c r="I1718" s="49"/>
      <c r="J1718" s="47"/>
      <c r="K1718" s="47"/>
      <c r="L1718" s="47"/>
      <c r="M1718" s="47"/>
      <c r="N1718" s="47"/>
      <c r="O1718" s="47"/>
      <c r="P1718" s="47"/>
      <c r="Q1718" s="47"/>
      <c r="R1718" s="47"/>
      <c r="S1718" s="50"/>
      <c r="T1718" s="47"/>
      <c r="U1718" s="47"/>
      <c r="V1718" s="47"/>
      <c r="W1718" s="51"/>
      <c r="X1718" s="51"/>
      <c r="Y1718" s="47"/>
      <c r="Z1718" s="47"/>
      <c r="AA1718" s="47"/>
      <c r="AB1718" s="47"/>
      <c r="AC1718" s="47"/>
      <c r="AD1718" s="47"/>
      <c r="AE1718" s="54"/>
      <c r="AF1718" s="54"/>
      <c r="AG1718" s="55"/>
      <c r="AH1718" s="54"/>
      <c r="AI1718" s="54"/>
      <c r="AJ1718" s="54"/>
      <c r="AK1718" s="54"/>
      <c r="AL1718" s="54"/>
      <c r="AM1718" s="54"/>
      <c r="AN1718" s="54"/>
      <c r="AO1718" s="54"/>
      <c r="AP1718" s="54"/>
      <c r="AQ1718" s="54"/>
      <c r="AR1718" s="54"/>
      <c r="AS1718" s="54"/>
      <c r="AT1718" s="54"/>
      <c r="AU1718" s="54"/>
      <c r="AV1718" s="54"/>
      <c r="AW1718" s="54"/>
      <c r="AX1718" s="54"/>
      <c r="AY1718" s="54"/>
      <c r="AZ1718" s="54"/>
      <c r="BA1718" s="54"/>
      <c r="BB1718" s="54"/>
      <c r="BC1718" s="56"/>
      <c r="BD1718" s="51"/>
      <c r="BE1718" s="54"/>
      <c r="BF1718" s="54"/>
      <c r="BG1718" s="47"/>
      <c r="BH1718" s="48"/>
      <c r="BI1718" s="48"/>
      <c r="BJ1718" s="48"/>
      <c r="BK1718" s="48"/>
      <c r="BL1718" s="48"/>
      <c r="BM1718" s="48"/>
      <c r="BN1718" s="48"/>
      <c r="BO1718" s="48"/>
      <c r="BP1718" s="48"/>
      <c r="BQ1718" s="48"/>
      <c r="BR1718" s="48"/>
      <c r="BS1718" s="48"/>
      <c r="BT1718" s="48"/>
      <c r="BU1718" s="48"/>
      <c r="BV1718" s="48"/>
      <c r="BW1718" s="48"/>
      <c r="BX1718" s="48"/>
      <c r="BY1718" s="48"/>
      <c r="BZ1718" s="48"/>
      <c r="CA1718" s="48"/>
      <c r="CB1718" s="48"/>
      <c r="CC1718" s="48"/>
      <c r="CD1718" s="48"/>
      <c r="CE1718" s="48"/>
      <c r="CF1718" s="52"/>
      <c r="CG1718" s="52"/>
      <c r="CH1718" s="48"/>
      <c r="CI1718" s="48"/>
      <c r="CJ1718" s="48"/>
      <c r="CK1718" s="48"/>
    </row>
    <row r="1719" spans="1:89" ht="15.75" customHeight="1" x14ac:dyDescent="0.3">
      <c r="A1719" s="47"/>
      <c r="B1719" s="48"/>
      <c r="C1719" s="47"/>
      <c r="D1719" s="48"/>
      <c r="E1719" s="48"/>
      <c r="F1719" s="48"/>
      <c r="G1719" s="48"/>
      <c r="H1719" s="48"/>
      <c r="I1719" s="49"/>
      <c r="J1719" s="47"/>
      <c r="K1719" s="47"/>
      <c r="L1719" s="47"/>
      <c r="M1719" s="47"/>
      <c r="N1719" s="47"/>
      <c r="O1719" s="47"/>
      <c r="P1719" s="47"/>
      <c r="Q1719" s="47"/>
      <c r="R1719" s="47"/>
      <c r="S1719" s="50"/>
      <c r="T1719" s="47"/>
      <c r="U1719" s="47"/>
      <c r="V1719" s="47"/>
      <c r="W1719" s="51"/>
      <c r="X1719" s="51"/>
      <c r="Y1719" s="47"/>
      <c r="Z1719" s="47"/>
      <c r="AA1719" s="47"/>
      <c r="AB1719" s="47"/>
      <c r="AC1719" s="47"/>
      <c r="AD1719" s="47"/>
      <c r="AE1719" s="54"/>
      <c r="AF1719" s="54"/>
      <c r="AG1719" s="55"/>
      <c r="AH1719" s="54"/>
      <c r="AI1719" s="54"/>
      <c r="AJ1719" s="54"/>
      <c r="AK1719" s="54"/>
      <c r="AL1719" s="54"/>
      <c r="AM1719" s="54"/>
      <c r="AN1719" s="54"/>
      <c r="AO1719" s="54"/>
      <c r="AP1719" s="54"/>
      <c r="AQ1719" s="54"/>
      <c r="AR1719" s="54"/>
      <c r="AS1719" s="54"/>
      <c r="AT1719" s="54"/>
      <c r="AU1719" s="54"/>
      <c r="AV1719" s="54"/>
      <c r="AW1719" s="54"/>
      <c r="AX1719" s="54"/>
      <c r="AY1719" s="54"/>
      <c r="AZ1719" s="54"/>
      <c r="BA1719" s="54"/>
      <c r="BB1719" s="54"/>
      <c r="BC1719" s="56"/>
      <c r="BD1719" s="51"/>
      <c r="BE1719" s="54"/>
      <c r="BF1719" s="54"/>
      <c r="BG1719" s="47"/>
      <c r="BH1719" s="48"/>
      <c r="BI1719" s="48"/>
      <c r="BJ1719" s="48"/>
      <c r="BK1719" s="48"/>
      <c r="BL1719" s="48"/>
      <c r="BM1719" s="48"/>
      <c r="BN1719" s="48"/>
      <c r="BO1719" s="48"/>
      <c r="BP1719" s="48"/>
      <c r="BQ1719" s="48"/>
      <c r="BR1719" s="48"/>
      <c r="BS1719" s="48"/>
      <c r="BT1719" s="48"/>
      <c r="BU1719" s="48"/>
      <c r="BV1719" s="48"/>
      <c r="BW1719" s="48"/>
      <c r="BX1719" s="48"/>
      <c r="BY1719" s="48"/>
      <c r="BZ1719" s="48"/>
      <c r="CA1719" s="48"/>
      <c r="CB1719" s="48"/>
      <c r="CC1719" s="48"/>
      <c r="CD1719" s="48"/>
      <c r="CE1719" s="48"/>
      <c r="CF1719" s="52"/>
      <c r="CG1719" s="52"/>
      <c r="CH1719" s="48"/>
      <c r="CI1719" s="48"/>
      <c r="CJ1719" s="48"/>
      <c r="CK1719" s="48"/>
    </row>
    <row r="1720" spans="1:89" ht="15.75" customHeight="1" x14ac:dyDescent="0.3">
      <c r="A1720" s="47"/>
      <c r="B1720" s="48"/>
      <c r="C1720" s="47"/>
      <c r="D1720" s="48"/>
      <c r="E1720" s="48"/>
      <c r="F1720" s="48"/>
      <c r="G1720" s="48"/>
      <c r="H1720" s="48"/>
      <c r="I1720" s="49"/>
      <c r="J1720" s="47"/>
      <c r="K1720" s="47"/>
      <c r="L1720" s="47"/>
      <c r="M1720" s="47"/>
      <c r="N1720" s="47"/>
      <c r="O1720" s="47"/>
      <c r="P1720" s="47"/>
      <c r="Q1720" s="47"/>
      <c r="R1720" s="47"/>
      <c r="S1720" s="50"/>
      <c r="T1720" s="47"/>
      <c r="U1720" s="47"/>
      <c r="V1720" s="47"/>
      <c r="W1720" s="51"/>
      <c r="X1720" s="51"/>
      <c r="Y1720" s="47"/>
      <c r="Z1720" s="47"/>
      <c r="AA1720" s="47"/>
      <c r="AB1720" s="47"/>
      <c r="AC1720" s="47"/>
      <c r="AD1720" s="47"/>
      <c r="AE1720" s="54"/>
      <c r="AF1720" s="54"/>
      <c r="AG1720" s="55"/>
      <c r="AH1720" s="54"/>
      <c r="AI1720" s="54"/>
      <c r="AJ1720" s="54"/>
      <c r="AK1720" s="54"/>
      <c r="AL1720" s="54"/>
      <c r="AM1720" s="54"/>
      <c r="AN1720" s="54"/>
      <c r="AO1720" s="54"/>
      <c r="AP1720" s="54"/>
      <c r="AQ1720" s="54"/>
      <c r="AR1720" s="54"/>
      <c r="AS1720" s="54"/>
      <c r="AT1720" s="54"/>
      <c r="AU1720" s="54"/>
      <c r="AV1720" s="54"/>
      <c r="AW1720" s="54"/>
      <c r="AX1720" s="54"/>
      <c r="AY1720" s="54"/>
      <c r="AZ1720" s="54"/>
      <c r="BA1720" s="54"/>
      <c r="BB1720" s="54"/>
      <c r="BC1720" s="56"/>
      <c r="BD1720" s="51"/>
      <c r="BE1720" s="54"/>
      <c r="BF1720" s="54"/>
      <c r="BG1720" s="47"/>
      <c r="BH1720" s="48"/>
      <c r="BI1720" s="48"/>
      <c r="BJ1720" s="48"/>
      <c r="BK1720" s="48"/>
      <c r="BL1720" s="48"/>
      <c r="BM1720" s="48"/>
      <c r="BN1720" s="48"/>
      <c r="BO1720" s="48"/>
      <c r="BP1720" s="48"/>
      <c r="BQ1720" s="48"/>
      <c r="BR1720" s="48"/>
      <c r="BS1720" s="48"/>
      <c r="BT1720" s="48"/>
      <c r="BU1720" s="48"/>
      <c r="BV1720" s="48"/>
      <c r="BW1720" s="48"/>
      <c r="BX1720" s="48"/>
      <c r="BY1720" s="48"/>
      <c r="BZ1720" s="48"/>
      <c r="CA1720" s="48"/>
      <c r="CB1720" s="48"/>
      <c r="CC1720" s="48"/>
      <c r="CD1720" s="48"/>
      <c r="CE1720" s="48"/>
      <c r="CF1720" s="52"/>
      <c r="CG1720" s="52"/>
      <c r="CH1720" s="48"/>
      <c r="CI1720" s="48"/>
      <c r="CJ1720" s="48"/>
      <c r="CK1720" s="48"/>
    </row>
    <row r="1721" spans="1:89" ht="15.75" customHeight="1" x14ac:dyDescent="0.3">
      <c r="A1721" s="47"/>
      <c r="B1721" s="48"/>
      <c r="C1721" s="47"/>
      <c r="D1721" s="48"/>
      <c r="E1721" s="48"/>
      <c r="F1721" s="48"/>
      <c r="G1721" s="48"/>
      <c r="H1721" s="48"/>
      <c r="I1721" s="49"/>
      <c r="J1721" s="47"/>
      <c r="K1721" s="47"/>
      <c r="L1721" s="47"/>
      <c r="M1721" s="47"/>
      <c r="N1721" s="47"/>
      <c r="O1721" s="47"/>
      <c r="P1721" s="47"/>
      <c r="Q1721" s="47"/>
      <c r="R1721" s="47"/>
      <c r="S1721" s="50"/>
      <c r="T1721" s="47"/>
      <c r="U1721" s="47"/>
      <c r="V1721" s="47"/>
      <c r="W1721" s="51"/>
      <c r="X1721" s="51"/>
      <c r="Y1721" s="47"/>
      <c r="Z1721" s="47"/>
      <c r="AA1721" s="47"/>
      <c r="AB1721" s="47"/>
      <c r="AC1721" s="47"/>
      <c r="AD1721" s="47"/>
      <c r="AE1721" s="54"/>
      <c r="AF1721" s="54"/>
      <c r="AG1721" s="55"/>
      <c r="AH1721" s="54"/>
      <c r="AI1721" s="54"/>
      <c r="AJ1721" s="54"/>
      <c r="AK1721" s="54"/>
      <c r="AL1721" s="54"/>
      <c r="AM1721" s="54"/>
      <c r="AN1721" s="54"/>
      <c r="AO1721" s="54"/>
      <c r="AP1721" s="54"/>
      <c r="AQ1721" s="54"/>
      <c r="AR1721" s="54"/>
      <c r="AS1721" s="54"/>
      <c r="AT1721" s="54"/>
      <c r="AU1721" s="54"/>
      <c r="AV1721" s="54"/>
      <c r="AW1721" s="54"/>
      <c r="AX1721" s="54"/>
      <c r="AY1721" s="54"/>
      <c r="AZ1721" s="54"/>
      <c r="BA1721" s="54"/>
      <c r="BB1721" s="54"/>
      <c r="BC1721" s="56"/>
      <c r="BD1721" s="51"/>
      <c r="BE1721" s="54"/>
      <c r="BF1721" s="54"/>
      <c r="BG1721" s="47"/>
      <c r="BH1721" s="48"/>
      <c r="BI1721" s="48"/>
      <c r="BJ1721" s="48"/>
      <c r="BK1721" s="48"/>
      <c r="BL1721" s="48"/>
      <c r="BM1721" s="48"/>
      <c r="BN1721" s="48"/>
      <c r="BO1721" s="48"/>
      <c r="BP1721" s="48"/>
      <c r="BQ1721" s="48"/>
      <c r="BR1721" s="48"/>
      <c r="BS1721" s="48"/>
      <c r="BT1721" s="48"/>
      <c r="BU1721" s="48"/>
      <c r="BV1721" s="48"/>
      <c r="BW1721" s="48"/>
      <c r="BX1721" s="48"/>
      <c r="BY1721" s="48"/>
      <c r="BZ1721" s="48"/>
      <c r="CA1721" s="48"/>
      <c r="CB1721" s="48"/>
      <c r="CC1721" s="48"/>
      <c r="CD1721" s="48"/>
      <c r="CE1721" s="48"/>
      <c r="CF1721" s="52"/>
      <c r="CG1721" s="52"/>
      <c r="CH1721" s="48"/>
      <c r="CI1721" s="48"/>
      <c r="CJ1721" s="48"/>
      <c r="CK1721" s="48"/>
    </row>
    <row r="1722" spans="1:89" ht="15.75" customHeight="1" x14ac:dyDescent="0.3">
      <c r="A1722" s="47"/>
      <c r="B1722" s="48"/>
      <c r="C1722" s="47"/>
      <c r="D1722" s="48"/>
      <c r="E1722" s="48"/>
      <c r="F1722" s="48"/>
      <c r="G1722" s="48"/>
      <c r="H1722" s="48"/>
      <c r="I1722" s="49"/>
      <c r="J1722" s="47"/>
      <c r="K1722" s="47"/>
      <c r="L1722" s="47"/>
      <c r="M1722" s="47"/>
      <c r="N1722" s="47"/>
      <c r="O1722" s="47"/>
      <c r="P1722" s="47"/>
      <c r="Q1722" s="47"/>
      <c r="R1722" s="47"/>
      <c r="S1722" s="50"/>
      <c r="T1722" s="47"/>
      <c r="U1722" s="47"/>
      <c r="V1722" s="47"/>
      <c r="W1722" s="51"/>
      <c r="X1722" s="51"/>
      <c r="Y1722" s="47"/>
      <c r="Z1722" s="47"/>
      <c r="AA1722" s="47"/>
      <c r="AB1722" s="47"/>
      <c r="AC1722" s="47"/>
      <c r="AD1722" s="47"/>
      <c r="AE1722" s="54"/>
      <c r="AF1722" s="54"/>
      <c r="AG1722" s="55"/>
      <c r="AH1722" s="54"/>
      <c r="AI1722" s="54"/>
      <c r="AJ1722" s="54"/>
      <c r="AK1722" s="54"/>
      <c r="AL1722" s="54"/>
      <c r="AM1722" s="54"/>
      <c r="AN1722" s="54"/>
      <c r="AO1722" s="54"/>
      <c r="AP1722" s="54"/>
      <c r="AQ1722" s="54"/>
      <c r="AR1722" s="54"/>
      <c r="AS1722" s="54"/>
      <c r="AT1722" s="54"/>
      <c r="AU1722" s="54"/>
      <c r="AV1722" s="54"/>
      <c r="AW1722" s="54"/>
      <c r="AX1722" s="54"/>
      <c r="AY1722" s="54"/>
      <c r="AZ1722" s="54"/>
      <c r="BA1722" s="54"/>
      <c r="BB1722" s="54"/>
      <c r="BC1722" s="56"/>
      <c r="BD1722" s="51"/>
      <c r="BE1722" s="54"/>
      <c r="BF1722" s="54"/>
      <c r="BG1722" s="47"/>
      <c r="BH1722" s="48"/>
      <c r="BI1722" s="48"/>
      <c r="BJ1722" s="48"/>
      <c r="BK1722" s="48"/>
      <c r="BL1722" s="48"/>
      <c r="BM1722" s="48"/>
      <c r="BN1722" s="48"/>
      <c r="BO1722" s="48"/>
      <c r="BP1722" s="48"/>
      <c r="BQ1722" s="48"/>
      <c r="BR1722" s="48"/>
      <c r="BS1722" s="48"/>
      <c r="BT1722" s="48"/>
      <c r="BU1722" s="48"/>
      <c r="BV1722" s="48"/>
      <c r="BW1722" s="48"/>
      <c r="BX1722" s="48"/>
      <c r="BY1722" s="48"/>
      <c r="BZ1722" s="48"/>
      <c r="CA1722" s="48"/>
      <c r="CB1722" s="48"/>
      <c r="CC1722" s="48"/>
      <c r="CD1722" s="48"/>
      <c r="CE1722" s="48"/>
      <c r="CF1722" s="52"/>
      <c r="CG1722" s="52"/>
      <c r="CH1722" s="48"/>
      <c r="CI1722" s="48"/>
      <c r="CJ1722" s="48"/>
      <c r="CK1722" s="48"/>
    </row>
    <row r="1723" spans="1:89" ht="15.75" customHeight="1" x14ac:dyDescent="0.3">
      <c r="A1723" s="47"/>
      <c r="B1723" s="48"/>
      <c r="C1723" s="47"/>
      <c r="D1723" s="48"/>
      <c r="E1723" s="48"/>
      <c r="F1723" s="48"/>
      <c r="G1723" s="48"/>
      <c r="H1723" s="48"/>
      <c r="I1723" s="49"/>
      <c r="J1723" s="47"/>
      <c r="K1723" s="47"/>
      <c r="L1723" s="47"/>
      <c r="M1723" s="47"/>
      <c r="N1723" s="47"/>
      <c r="O1723" s="47"/>
      <c r="P1723" s="47"/>
      <c r="Q1723" s="47"/>
      <c r="R1723" s="47"/>
      <c r="S1723" s="50"/>
      <c r="T1723" s="47"/>
      <c r="U1723" s="47"/>
      <c r="V1723" s="47"/>
      <c r="W1723" s="51"/>
      <c r="X1723" s="51"/>
      <c r="Y1723" s="47"/>
      <c r="Z1723" s="47"/>
      <c r="AA1723" s="47"/>
      <c r="AB1723" s="47"/>
      <c r="AC1723" s="47"/>
      <c r="AD1723" s="47"/>
      <c r="AE1723" s="54"/>
      <c r="AF1723" s="54"/>
      <c r="AG1723" s="55"/>
      <c r="AH1723" s="54"/>
      <c r="AI1723" s="54"/>
      <c r="AJ1723" s="54"/>
      <c r="AK1723" s="54"/>
      <c r="AL1723" s="54"/>
      <c r="AM1723" s="54"/>
      <c r="AN1723" s="54"/>
      <c r="AO1723" s="54"/>
      <c r="AP1723" s="54"/>
      <c r="AQ1723" s="54"/>
      <c r="AR1723" s="54"/>
      <c r="AS1723" s="54"/>
      <c r="AT1723" s="54"/>
      <c r="AU1723" s="54"/>
      <c r="AV1723" s="54"/>
      <c r="AW1723" s="54"/>
      <c r="AX1723" s="54"/>
      <c r="AY1723" s="54"/>
      <c r="AZ1723" s="54"/>
      <c r="BA1723" s="54"/>
      <c r="BB1723" s="54"/>
      <c r="BC1723" s="56"/>
      <c r="BD1723" s="51"/>
      <c r="BE1723" s="54"/>
      <c r="BF1723" s="54"/>
      <c r="BG1723" s="47"/>
      <c r="BH1723" s="48"/>
      <c r="BI1723" s="48"/>
      <c r="BJ1723" s="48"/>
      <c r="BK1723" s="48"/>
      <c r="BL1723" s="48"/>
      <c r="BM1723" s="48"/>
      <c r="BN1723" s="48"/>
      <c r="BO1723" s="48"/>
      <c r="BP1723" s="48"/>
      <c r="BQ1723" s="48"/>
      <c r="BR1723" s="48"/>
      <c r="BS1723" s="48"/>
      <c r="BT1723" s="48"/>
      <c r="BU1723" s="48"/>
      <c r="BV1723" s="48"/>
      <c r="BW1723" s="48"/>
      <c r="BX1723" s="48"/>
      <c r="BY1723" s="48"/>
      <c r="BZ1723" s="48"/>
      <c r="CA1723" s="48"/>
      <c r="CB1723" s="48"/>
      <c r="CC1723" s="48"/>
      <c r="CD1723" s="48"/>
      <c r="CE1723" s="48"/>
      <c r="CF1723" s="52"/>
      <c r="CG1723" s="52"/>
      <c r="CH1723" s="48"/>
      <c r="CI1723" s="48"/>
      <c r="CJ1723" s="48"/>
      <c r="CK1723" s="48"/>
    </row>
    <row r="1724" spans="1:89" ht="15.75" customHeight="1" x14ac:dyDescent="0.3">
      <c r="A1724" s="47"/>
      <c r="B1724" s="48"/>
      <c r="C1724" s="47"/>
      <c r="D1724" s="48"/>
      <c r="E1724" s="48"/>
      <c r="F1724" s="48"/>
      <c r="G1724" s="48"/>
      <c r="H1724" s="48"/>
      <c r="I1724" s="49"/>
      <c r="J1724" s="47"/>
      <c r="K1724" s="47"/>
      <c r="L1724" s="47"/>
      <c r="M1724" s="47"/>
      <c r="N1724" s="47"/>
      <c r="O1724" s="47"/>
      <c r="P1724" s="47"/>
      <c r="Q1724" s="47"/>
      <c r="R1724" s="47"/>
      <c r="S1724" s="50"/>
      <c r="T1724" s="47"/>
      <c r="U1724" s="47"/>
      <c r="V1724" s="47"/>
      <c r="W1724" s="51"/>
      <c r="X1724" s="51"/>
      <c r="Y1724" s="47"/>
      <c r="Z1724" s="47"/>
      <c r="AA1724" s="47"/>
      <c r="AB1724" s="47"/>
      <c r="AC1724" s="47"/>
      <c r="AD1724" s="47"/>
      <c r="AE1724" s="54"/>
      <c r="AF1724" s="54"/>
      <c r="AG1724" s="55"/>
      <c r="AH1724" s="54"/>
      <c r="AI1724" s="54"/>
      <c r="AJ1724" s="54"/>
      <c r="AK1724" s="54"/>
      <c r="AL1724" s="54"/>
      <c r="AM1724" s="54"/>
      <c r="AN1724" s="54"/>
      <c r="AO1724" s="54"/>
      <c r="AP1724" s="54"/>
      <c r="AQ1724" s="54"/>
      <c r="AR1724" s="54"/>
      <c r="AS1724" s="54"/>
      <c r="AT1724" s="54"/>
      <c r="AU1724" s="54"/>
      <c r="AV1724" s="54"/>
      <c r="AW1724" s="54"/>
      <c r="AX1724" s="54"/>
      <c r="AY1724" s="54"/>
      <c r="AZ1724" s="54"/>
      <c r="BA1724" s="54"/>
      <c r="BB1724" s="54"/>
      <c r="BC1724" s="56"/>
      <c r="BD1724" s="51"/>
      <c r="BE1724" s="54"/>
      <c r="BF1724" s="54"/>
      <c r="BG1724" s="47"/>
      <c r="BH1724" s="48"/>
      <c r="BI1724" s="48"/>
      <c r="BJ1724" s="48"/>
      <c r="BK1724" s="48"/>
      <c r="BL1724" s="48"/>
      <c r="BM1724" s="48"/>
      <c r="BN1724" s="48"/>
      <c r="BO1724" s="48"/>
      <c r="BP1724" s="48"/>
      <c r="BQ1724" s="48"/>
      <c r="BR1724" s="48"/>
      <c r="BS1724" s="48"/>
      <c r="BT1724" s="48"/>
      <c r="BU1724" s="48"/>
      <c r="BV1724" s="48"/>
      <c r="BW1724" s="48"/>
      <c r="BX1724" s="48"/>
      <c r="BY1724" s="48"/>
      <c r="BZ1724" s="48"/>
      <c r="CA1724" s="48"/>
      <c r="CB1724" s="48"/>
      <c r="CC1724" s="48"/>
      <c r="CD1724" s="48"/>
      <c r="CE1724" s="48"/>
      <c r="CF1724" s="52"/>
      <c r="CG1724" s="52"/>
      <c r="CH1724" s="48"/>
      <c r="CI1724" s="48"/>
      <c r="CJ1724" s="48"/>
      <c r="CK1724" s="48"/>
    </row>
    <row r="1725" spans="1:89" ht="15.75" customHeight="1" x14ac:dyDescent="0.3">
      <c r="A1725" s="47"/>
      <c r="B1725" s="48"/>
      <c r="C1725" s="47"/>
      <c r="D1725" s="48"/>
      <c r="E1725" s="48"/>
      <c r="F1725" s="48"/>
      <c r="G1725" s="48"/>
      <c r="H1725" s="48"/>
      <c r="I1725" s="49"/>
      <c r="J1725" s="47"/>
      <c r="K1725" s="47"/>
      <c r="L1725" s="47"/>
      <c r="M1725" s="47"/>
      <c r="N1725" s="47"/>
      <c r="O1725" s="47"/>
      <c r="P1725" s="47"/>
      <c r="Q1725" s="47"/>
      <c r="R1725" s="47"/>
      <c r="S1725" s="50"/>
      <c r="T1725" s="47"/>
      <c r="U1725" s="47"/>
      <c r="V1725" s="47"/>
      <c r="W1725" s="51"/>
      <c r="X1725" s="51"/>
      <c r="Y1725" s="47"/>
      <c r="Z1725" s="47"/>
      <c r="AA1725" s="47"/>
      <c r="AB1725" s="47"/>
      <c r="AC1725" s="47"/>
      <c r="AD1725" s="47"/>
      <c r="AE1725" s="54"/>
      <c r="AF1725" s="54"/>
      <c r="AG1725" s="55"/>
      <c r="AH1725" s="54"/>
      <c r="AI1725" s="54"/>
      <c r="AJ1725" s="54"/>
      <c r="AK1725" s="54"/>
      <c r="AL1725" s="54"/>
      <c r="AM1725" s="54"/>
      <c r="AN1725" s="54"/>
      <c r="AO1725" s="54"/>
      <c r="AP1725" s="54"/>
      <c r="AQ1725" s="54"/>
      <c r="AR1725" s="54"/>
      <c r="AS1725" s="54"/>
      <c r="AT1725" s="54"/>
      <c r="AU1725" s="54"/>
      <c r="AV1725" s="54"/>
      <c r="AW1725" s="54"/>
      <c r="AX1725" s="54"/>
      <c r="AY1725" s="54"/>
      <c r="AZ1725" s="54"/>
      <c r="BA1725" s="54"/>
      <c r="BB1725" s="54"/>
      <c r="BC1725" s="56"/>
      <c r="BD1725" s="51"/>
      <c r="BE1725" s="54"/>
      <c r="BF1725" s="54"/>
      <c r="BG1725" s="47"/>
      <c r="BH1725" s="48"/>
      <c r="BI1725" s="48"/>
      <c r="BJ1725" s="48"/>
      <c r="BK1725" s="48"/>
      <c r="BL1725" s="48"/>
      <c r="BM1725" s="48"/>
      <c r="BN1725" s="48"/>
      <c r="BO1725" s="48"/>
      <c r="BP1725" s="48"/>
      <c r="BQ1725" s="48"/>
      <c r="BR1725" s="48"/>
      <c r="BS1725" s="48"/>
      <c r="BT1725" s="48"/>
      <c r="BU1725" s="48"/>
      <c r="BV1725" s="48"/>
      <c r="BW1725" s="48"/>
      <c r="BX1725" s="48"/>
      <c r="BY1725" s="48"/>
      <c r="BZ1725" s="48"/>
      <c r="CA1725" s="48"/>
      <c r="CB1725" s="48"/>
      <c r="CC1725" s="48"/>
      <c r="CD1725" s="48"/>
      <c r="CE1725" s="48"/>
      <c r="CF1725" s="52"/>
      <c r="CG1725" s="52"/>
      <c r="CH1725" s="48"/>
      <c r="CI1725" s="48"/>
      <c r="CJ1725" s="48"/>
      <c r="CK1725" s="48"/>
    </row>
    <row r="1726" spans="1:89" ht="15.75" customHeight="1" x14ac:dyDescent="0.3">
      <c r="A1726" s="47"/>
      <c r="B1726" s="48"/>
      <c r="C1726" s="47"/>
      <c r="D1726" s="48"/>
      <c r="E1726" s="48"/>
      <c r="F1726" s="48"/>
      <c r="G1726" s="48"/>
      <c r="H1726" s="48"/>
      <c r="I1726" s="49"/>
      <c r="J1726" s="47"/>
      <c r="K1726" s="47"/>
      <c r="L1726" s="47"/>
      <c r="M1726" s="47"/>
      <c r="N1726" s="47"/>
      <c r="O1726" s="47"/>
      <c r="P1726" s="47"/>
      <c r="Q1726" s="47"/>
      <c r="R1726" s="47"/>
      <c r="S1726" s="50"/>
      <c r="T1726" s="47"/>
      <c r="U1726" s="47"/>
      <c r="V1726" s="47"/>
      <c r="W1726" s="51"/>
      <c r="X1726" s="51"/>
      <c r="Y1726" s="47"/>
      <c r="Z1726" s="47"/>
      <c r="AA1726" s="47"/>
      <c r="AB1726" s="47"/>
      <c r="AC1726" s="47"/>
      <c r="AD1726" s="47"/>
      <c r="AE1726" s="54"/>
      <c r="AF1726" s="54"/>
      <c r="AG1726" s="55"/>
      <c r="AH1726" s="54"/>
      <c r="AI1726" s="54"/>
      <c r="AJ1726" s="54"/>
      <c r="AK1726" s="54"/>
      <c r="AL1726" s="54"/>
      <c r="AM1726" s="54"/>
      <c r="AN1726" s="54"/>
      <c r="AO1726" s="54"/>
      <c r="AP1726" s="54"/>
      <c r="AQ1726" s="54"/>
      <c r="AR1726" s="54"/>
      <c r="AS1726" s="54"/>
      <c r="AT1726" s="54"/>
      <c r="AU1726" s="54"/>
      <c r="AV1726" s="54"/>
      <c r="AW1726" s="54"/>
      <c r="AX1726" s="54"/>
      <c r="AY1726" s="54"/>
      <c r="AZ1726" s="54"/>
      <c r="BA1726" s="54"/>
      <c r="BB1726" s="54"/>
      <c r="BC1726" s="56"/>
      <c r="BD1726" s="51"/>
      <c r="BE1726" s="54"/>
      <c r="BF1726" s="54"/>
      <c r="BG1726" s="47"/>
      <c r="BH1726" s="48"/>
      <c r="BI1726" s="48"/>
      <c r="BJ1726" s="48"/>
      <c r="BK1726" s="48"/>
      <c r="BL1726" s="48"/>
      <c r="BM1726" s="48"/>
      <c r="BN1726" s="48"/>
      <c r="BO1726" s="48"/>
      <c r="BP1726" s="48"/>
      <c r="BQ1726" s="48"/>
      <c r="BR1726" s="48"/>
      <c r="BS1726" s="48"/>
      <c r="BT1726" s="48"/>
      <c r="BU1726" s="48"/>
      <c r="BV1726" s="48"/>
      <c r="BW1726" s="48"/>
      <c r="BX1726" s="48"/>
      <c r="BY1726" s="48"/>
      <c r="BZ1726" s="48"/>
      <c r="CA1726" s="48"/>
      <c r="CB1726" s="48"/>
      <c r="CC1726" s="48"/>
      <c r="CD1726" s="48"/>
      <c r="CE1726" s="48"/>
      <c r="CF1726" s="52"/>
      <c r="CG1726" s="52"/>
      <c r="CH1726" s="48"/>
      <c r="CI1726" s="48"/>
      <c r="CJ1726" s="48"/>
      <c r="CK1726" s="48"/>
    </row>
    <row r="1727" spans="1:89" ht="15.75" customHeight="1" x14ac:dyDescent="0.3">
      <c r="A1727" s="47"/>
      <c r="B1727" s="48"/>
      <c r="C1727" s="47"/>
      <c r="D1727" s="48"/>
      <c r="E1727" s="48"/>
      <c r="F1727" s="48"/>
      <c r="G1727" s="48"/>
      <c r="H1727" s="48"/>
      <c r="I1727" s="49"/>
      <c r="J1727" s="47"/>
      <c r="K1727" s="47"/>
      <c r="L1727" s="47"/>
      <c r="M1727" s="47"/>
      <c r="N1727" s="47"/>
      <c r="O1727" s="47"/>
      <c r="P1727" s="47"/>
      <c r="Q1727" s="47"/>
      <c r="R1727" s="47"/>
      <c r="S1727" s="50"/>
      <c r="T1727" s="47"/>
      <c r="U1727" s="47"/>
      <c r="V1727" s="47"/>
      <c r="W1727" s="51"/>
      <c r="X1727" s="51"/>
      <c r="Y1727" s="47"/>
      <c r="Z1727" s="47"/>
      <c r="AA1727" s="47"/>
      <c r="AB1727" s="47"/>
      <c r="AC1727" s="47"/>
      <c r="AD1727" s="47"/>
      <c r="AE1727" s="54"/>
      <c r="AF1727" s="54"/>
      <c r="AG1727" s="55"/>
      <c r="AH1727" s="54"/>
      <c r="AI1727" s="54"/>
      <c r="AJ1727" s="54"/>
      <c r="AK1727" s="54"/>
      <c r="AL1727" s="54"/>
      <c r="AM1727" s="54"/>
      <c r="AN1727" s="54"/>
      <c r="AO1727" s="54"/>
      <c r="AP1727" s="54"/>
      <c r="AQ1727" s="54"/>
      <c r="AR1727" s="54"/>
      <c r="AS1727" s="54"/>
      <c r="AT1727" s="54"/>
      <c r="AU1727" s="54"/>
      <c r="AV1727" s="54"/>
      <c r="AW1727" s="54"/>
      <c r="AX1727" s="54"/>
      <c r="AY1727" s="54"/>
      <c r="AZ1727" s="54"/>
      <c r="BA1727" s="54"/>
      <c r="BB1727" s="54"/>
      <c r="BC1727" s="56"/>
      <c r="BD1727" s="51"/>
      <c r="BE1727" s="54"/>
      <c r="BF1727" s="54"/>
      <c r="BG1727" s="47"/>
      <c r="BH1727" s="48"/>
      <c r="BI1727" s="48"/>
      <c r="BJ1727" s="48"/>
      <c r="BK1727" s="48"/>
      <c r="BL1727" s="48"/>
      <c r="BM1727" s="48"/>
      <c r="BN1727" s="48"/>
      <c r="BO1727" s="48"/>
      <c r="BP1727" s="48"/>
      <c r="BQ1727" s="48"/>
      <c r="BR1727" s="48"/>
      <c r="BS1727" s="48"/>
      <c r="BT1727" s="48"/>
      <c r="BU1727" s="48"/>
      <c r="BV1727" s="48"/>
      <c r="BW1727" s="48"/>
      <c r="BX1727" s="48"/>
      <c r="BY1727" s="48"/>
      <c r="BZ1727" s="48"/>
      <c r="CA1727" s="48"/>
      <c r="CB1727" s="48"/>
      <c r="CC1727" s="48"/>
      <c r="CD1727" s="48"/>
      <c r="CE1727" s="48"/>
      <c r="CF1727" s="52"/>
      <c r="CG1727" s="52"/>
      <c r="CH1727" s="48"/>
      <c r="CI1727" s="48"/>
      <c r="CJ1727" s="48"/>
      <c r="CK1727" s="48"/>
    </row>
    <row r="1728" spans="1:89" ht="15.75" customHeight="1" x14ac:dyDescent="0.3">
      <c r="A1728" s="47"/>
      <c r="B1728" s="48"/>
      <c r="C1728" s="47"/>
      <c r="D1728" s="48"/>
      <c r="E1728" s="48"/>
      <c r="F1728" s="48"/>
      <c r="G1728" s="48"/>
      <c r="H1728" s="48"/>
      <c r="I1728" s="49"/>
      <c r="J1728" s="47"/>
      <c r="K1728" s="47"/>
      <c r="L1728" s="47"/>
      <c r="M1728" s="47"/>
      <c r="N1728" s="47"/>
      <c r="O1728" s="47"/>
      <c r="P1728" s="47"/>
      <c r="Q1728" s="47"/>
      <c r="R1728" s="47"/>
      <c r="S1728" s="50"/>
      <c r="T1728" s="47"/>
      <c r="U1728" s="47"/>
      <c r="V1728" s="47"/>
      <c r="W1728" s="51"/>
      <c r="X1728" s="51"/>
      <c r="Y1728" s="47"/>
      <c r="Z1728" s="47"/>
      <c r="AA1728" s="47"/>
      <c r="AB1728" s="47"/>
      <c r="AC1728" s="47"/>
      <c r="AD1728" s="47"/>
      <c r="AE1728" s="54"/>
      <c r="AF1728" s="54"/>
      <c r="AG1728" s="55"/>
      <c r="AH1728" s="54"/>
      <c r="AI1728" s="54"/>
      <c r="AJ1728" s="54"/>
      <c r="AK1728" s="54"/>
      <c r="AL1728" s="54"/>
      <c r="AM1728" s="54"/>
      <c r="AN1728" s="54"/>
      <c r="AO1728" s="54"/>
      <c r="AP1728" s="54"/>
      <c r="AQ1728" s="54"/>
      <c r="AR1728" s="54"/>
      <c r="AS1728" s="54"/>
      <c r="AT1728" s="54"/>
      <c r="AU1728" s="54"/>
      <c r="AV1728" s="54"/>
      <c r="AW1728" s="54"/>
      <c r="AX1728" s="54"/>
      <c r="AY1728" s="54"/>
      <c r="AZ1728" s="54"/>
      <c r="BA1728" s="54"/>
      <c r="BB1728" s="54"/>
      <c r="BC1728" s="56"/>
      <c r="BD1728" s="51"/>
      <c r="BE1728" s="54"/>
      <c r="BF1728" s="54"/>
      <c r="BG1728" s="47"/>
      <c r="BH1728" s="48"/>
      <c r="BI1728" s="48"/>
      <c r="BJ1728" s="48"/>
      <c r="BK1728" s="48"/>
      <c r="BL1728" s="48"/>
      <c r="BM1728" s="48"/>
      <c r="BN1728" s="48"/>
      <c r="BO1728" s="48"/>
      <c r="BP1728" s="48"/>
      <c r="BQ1728" s="48"/>
      <c r="BR1728" s="48"/>
      <c r="BS1728" s="48"/>
      <c r="BT1728" s="48"/>
      <c r="BU1728" s="48"/>
      <c r="BV1728" s="48"/>
      <c r="BW1728" s="48"/>
      <c r="BX1728" s="48"/>
      <c r="BY1728" s="48"/>
      <c r="BZ1728" s="48"/>
      <c r="CA1728" s="48"/>
      <c r="CB1728" s="48"/>
      <c r="CC1728" s="48"/>
      <c r="CD1728" s="48"/>
      <c r="CE1728" s="48"/>
      <c r="CF1728" s="52"/>
      <c r="CG1728" s="52"/>
      <c r="CH1728" s="48"/>
      <c r="CI1728" s="48"/>
      <c r="CJ1728" s="48"/>
      <c r="CK1728" s="48"/>
    </row>
    <row r="1729" spans="1:89" ht="15.75" customHeight="1" x14ac:dyDescent="0.3">
      <c r="A1729" s="47"/>
      <c r="B1729" s="48"/>
      <c r="C1729" s="47"/>
      <c r="D1729" s="48"/>
      <c r="E1729" s="48"/>
      <c r="F1729" s="48"/>
      <c r="G1729" s="48"/>
      <c r="H1729" s="48"/>
      <c r="I1729" s="49"/>
      <c r="J1729" s="47"/>
      <c r="K1729" s="47"/>
      <c r="L1729" s="47"/>
      <c r="M1729" s="47"/>
      <c r="N1729" s="47"/>
      <c r="O1729" s="47"/>
      <c r="P1729" s="47"/>
      <c r="Q1729" s="47"/>
      <c r="R1729" s="47"/>
      <c r="S1729" s="50"/>
      <c r="T1729" s="47"/>
      <c r="U1729" s="47"/>
      <c r="V1729" s="47"/>
      <c r="W1729" s="51"/>
      <c r="X1729" s="51"/>
      <c r="Y1729" s="47"/>
      <c r="Z1729" s="47"/>
      <c r="AA1729" s="47"/>
      <c r="AB1729" s="47"/>
      <c r="AC1729" s="47"/>
      <c r="AD1729" s="47"/>
      <c r="AE1729" s="54"/>
      <c r="AF1729" s="54"/>
      <c r="AG1729" s="55"/>
      <c r="AH1729" s="54"/>
      <c r="AI1729" s="54"/>
      <c r="AJ1729" s="54"/>
      <c r="AK1729" s="54"/>
      <c r="AL1729" s="54"/>
      <c r="AM1729" s="54"/>
      <c r="AN1729" s="54"/>
      <c r="AO1729" s="54"/>
      <c r="AP1729" s="54"/>
      <c r="AQ1729" s="54"/>
      <c r="AR1729" s="54"/>
      <c r="AS1729" s="54"/>
      <c r="AT1729" s="54"/>
      <c r="AU1729" s="54"/>
      <c r="AV1729" s="54"/>
      <c r="AW1729" s="54"/>
      <c r="AX1729" s="54"/>
      <c r="AY1729" s="54"/>
      <c r="AZ1729" s="54"/>
      <c r="BA1729" s="54"/>
      <c r="BB1729" s="54"/>
      <c r="BC1729" s="56"/>
      <c r="BD1729" s="51"/>
      <c r="BE1729" s="54"/>
      <c r="BF1729" s="54"/>
      <c r="BG1729" s="47"/>
      <c r="BH1729" s="48"/>
      <c r="BI1729" s="48"/>
      <c r="BJ1729" s="48"/>
      <c r="BK1729" s="48"/>
      <c r="BL1729" s="48"/>
      <c r="BM1729" s="48"/>
      <c r="BN1729" s="48"/>
      <c r="BO1729" s="48"/>
      <c r="BP1729" s="48"/>
      <c r="BQ1729" s="48"/>
      <c r="BR1729" s="48"/>
      <c r="BS1729" s="48"/>
      <c r="BT1729" s="48"/>
      <c r="BU1729" s="48"/>
      <c r="BV1729" s="48"/>
      <c r="BW1729" s="48"/>
      <c r="BX1729" s="48"/>
      <c r="BY1729" s="48"/>
      <c r="BZ1729" s="48"/>
      <c r="CA1729" s="48"/>
      <c r="CB1729" s="48"/>
      <c r="CC1729" s="48"/>
      <c r="CD1729" s="48"/>
      <c r="CE1729" s="48"/>
      <c r="CF1729" s="52"/>
      <c r="CG1729" s="52"/>
      <c r="CH1729" s="48"/>
      <c r="CI1729" s="48"/>
      <c r="CJ1729" s="48"/>
      <c r="CK1729" s="48"/>
    </row>
    <row r="1730" spans="1:89" ht="15.75" customHeight="1" x14ac:dyDescent="0.3">
      <c r="A1730" s="47"/>
      <c r="B1730" s="48"/>
      <c r="C1730" s="47"/>
      <c r="D1730" s="48"/>
      <c r="E1730" s="48"/>
      <c r="F1730" s="48"/>
      <c r="G1730" s="48"/>
      <c r="H1730" s="48"/>
      <c r="I1730" s="49"/>
      <c r="J1730" s="47"/>
      <c r="K1730" s="47"/>
      <c r="L1730" s="47"/>
      <c r="M1730" s="47"/>
      <c r="N1730" s="47"/>
      <c r="O1730" s="47"/>
      <c r="P1730" s="47"/>
      <c r="Q1730" s="47"/>
      <c r="R1730" s="47"/>
      <c r="S1730" s="50"/>
      <c r="T1730" s="47"/>
      <c r="U1730" s="47"/>
      <c r="V1730" s="47"/>
      <c r="W1730" s="51"/>
      <c r="X1730" s="51"/>
      <c r="Y1730" s="47"/>
      <c r="Z1730" s="47"/>
      <c r="AA1730" s="47"/>
      <c r="AB1730" s="47"/>
      <c r="AC1730" s="47"/>
      <c r="AD1730" s="47"/>
      <c r="AE1730" s="54"/>
      <c r="AF1730" s="54"/>
      <c r="AG1730" s="55"/>
      <c r="AH1730" s="54"/>
      <c r="AI1730" s="54"/>
      <c r="AJ1730" s="54"/>
      <c r="AK1730" s="54"/>
      <c r="AL1730" s="54"/>
      <c r="AM1730" s="54"/>
      <c r="AN1730" s="54"/>
      <c r="AO1730" s="54"/>
      <c r="AP1730" s="54"/>
      <c r="AQ1730" s="54"/>
      <c r="AR1730" s="54"/>
      <c r="AS1730" s="54"/>
      <c r="AT1730" s="54"/>
      <c r="AU1730" s="54"/>
      <c r="AV1730" s="54"/>
      <c r="AW1730" s="54"/>
      <c r="AX1730" s="54"/>
      <c r="AY1730" s="54"/>
      <c r="AZ1730" s="54"/>
      <c r="BA1730" s="54"/>
      <c r="BB1730" s="54"/>
      <c r="BC1730" s="56"/>
      <c r="BD1730" s="51"/>
      <c r="BE1730" s="54"/>
      <c r="BF1730" s="54"/>
      <c r="BG1730" s="47"/>
      <c r="BH1730" s="48"/>
      <c r="BI1730" s="48"/>
      <c r="BJ1730" s="48"/>
      <c r="BK1730" s="48"/>
      <c r="BL1730" s="48"/>
      <c r="BM1730" s="48"/>
      <c r="BN1730" s="48"/>
      <c r="BO1730" s="48"/>
      <c r="BP1730" s="48"/>
      <c r="BQ1730" s="48"/>
      <c r="BR1730" s="48"/>
      <c r="BS1730" s="48"/>
      <c r="BT1730" s="48"/>
      <c r="BU1730" s="48"/>
      <c r="BV1730" s="48"/>
      <c r="BW1730" s="48"/>
      <c r="BX1730" s="48"/>
      <c r="BY1730" s="48"/>
      <c r="BZ1730" s="48"/>
      <c r="CA1730" s="48"/>
      <c r="CB1730" s="48"/>
      <c r="CC1730" s="48"/>
      <c r="CD1730" s="48"/>
      <c r="CE1730" s="48"/>
      <c r="CF1730" s="52"/>
      <c r="CG1730" s="52"/>
      <c r="CH1730" s="48"/>
      <c r="CI1730" s="48"/>
      <c r="CJ1730" s="48"/>
      <c r="CK1730" s="48"/>
    </row>
    <row r="1731" spans="1:89" ht="15.75" customHeight="1" x14ac:dyDescent="0.3">
      <c r="A1731" s="47"/>
      <c r="B1731" s="48"/>
      <c r="C1731" s="47"/>
      <c r="D1731" s="48"/>
      <c r="E1731" s="48"/>
      <c r="F1731" s="48"/>
      <c r="G1731" s="48"/>
      <c r="H1731" s="48"/>
      <c r="I1731" s="49"/>
      <c r="J1731" s="47"/>
      <c r="K1731" s="47"/>
      <c r="L1731" s="47"/>
      <c r="M1731" s="47"/>
      <c r="N1731" s="47"/>
      <c r="O1731" s="47"/>
      <c r="P1731" s="47"/>
      <c r="Q1731" s="47"/>
      <c r="R1731" s="47"/>
      <c r="S1731" s="50"/>
      <c r="T1731" s="47"/>
      <c r="U1731" s="47"/>
      <c r="V1731" s="47"/>
      <c r="W1731" s="51"/>
      <c r="X1731" s="51"/>
      <c r="Y1731" s="47"/>
      <c r="Z1731" s="47"/>
      <c r="AA1731" s="47"/>
      <c r="AB1731" s="47"/>
      <c r="AC1731" s="47"/>
      <c r="AD1731" s="47"/>
      <c r="AE1731" s="54"/>
      <c r="AF1731" s="54"/>
      <c r="AG1731" s="55"/>
      <c r="AH1731" s="54"/>
      <c r="AI1731" s="54"/>
      <c r="AJ1731" s="54"/>
      <c r="AK1731" s="54"/>
      <c r="AL1731" s="54"/>
      <c r="AM1731" s="54"/>
      <c r="AN1731" s="54"/>
      <c r="AO1731" s="54"/>
      <c r="AP1731" s="54"/>
      <c r="AQ1731" s="54"/>
      <c r="AR1731" s="54"/>
      <c r="AS1731" s="54"/>
      <c r="AT1731" s="54"/>
      <c r="AU1731" s="54"/>
      <c r="AV1731" s="54"/>
      <c r="AW1731" s="54"/>
      <c r="AX1731" s="54"/>
      <c r="AY1731" s="54"/>
      <c r="AZ1731" s="54"/>
      <c r="BA1731" s="54"/>
      <c r="BB1731" s="54"/>
      <c r="BC1731" s="56"/>
      <c r="BD1731" s="51"/>
      <c r="BE1731" s="54"/>
      <c r="BF1731" s="54"/>
      <c r="BG1731" s="47"/>
      <c r="BH1731" s="48"/>
      <c r="BI1731" s="48"/>
      <c r="BJ1731" s="48"/>
      <c r="BK1731" s="48"/>
      <c r="BL1731" s="48"/>
      <c r="BM1731" s="48"/>
      <c r="BN1731" s="48"/>
      <c r="BO1731" s="48"/>
      <c r="BP1731" s="48"/>
      <c r="BQ1731" s="48"/>
      <c r="BR1731" s="48"/>
      <c r="BS1731" s="48"/>
      <c r="BT1731" s="48"/>
      <c r="BU1731" s="48"/>
      <c r="BV1731" s="48"/>
      <c r="BW1731" s="48"/>
      <c r="BX1731" s="48"/>
      <c r="BY1731" s="48"/>
      <c r="BZ1731" s="48"/>
      <c r="CA1731" s="48"/>
      <c r="CB1731" s="48"/>
      <c r="CC1731" s="48"/>
      <c r="CD1731" s="48"/>
      <c r="CE1731" s="48"/>
      <c r="CF1731" s="52"/>
      <c r="CG1731" s="52"/>
      <c r="CH1731" s="48"/>
      <c r="CI1731" s="48"/>
      <c r="CJ1731" s="48"/>
      <c r="CK1731" s="48"/>
    </row>
    <row r="1732" spans="1:89" ht="15.75" customHeight="1" x14ac:dyDescent="0.3">
      <c r="A1732" s="47"/>
      <c r="B1732" s="48"/>
      <c r="C1732" s="47"/>
      <c r="D1732" s="48"/>
      <c r="E1732" s="48"/>
      <c r="F1732" s="48"/>
      <c r="G1732" s="48"/>
      <c r="H1732" s="48"/>
      <c r="I1732" s="49"/>
      <c r="J1732" s="47"/>
      <c r="K1732" s="47"/>
      <c r="L1732" s="47"/>
      <c r="M1732" s="47"/>
      <c r="N1732" s="47"/>
      <c r="O1732" s="47"/>
      <c r="P1732" s="47"/>
      <c r="Q1732" s="47"/>
      <c r="R1732" s="47"/>
      <c r="S1732" s="50"/>
      <c r="T1732" s="47"/>
      <c r="U1732" s="47"/>
      <c r="V1732" s="47"/>
      <c r="W1732" s="51"/>
      <c r="X1732" s="51"/>
      <c r="Y1732" s="47"/>
      <c r="Z1732" s="47"/>
      <c r="AA1732" s="47"/>
      <c r="AB1732" s="47"/>
      <c r="AC1732" s="47"/>
      <c r="AD1732" s="47"/>
      <c r="AE1732" s="54"/>
      <c r="AF1732" s="54"/>
      <c r="AG1732" s="55"/>
      <c r="AH1732" s="54"/>
      <c r="AI1732" s="54"/>
      <c r="AJ1732" s="54"/>
      <c r="AK1732" s="54"/>
      <c r="AL1732" s="54"/>
      <c r="AM1732" s="54"/>
      <c r="AN1732" s="54"/>
      <c r="AO1732" s="54"/>
      <c r="AP1732" s="54"/>
      <c r="AQ1732" s="54"/>
      <c r="AR1732" s="54"/>
      <c r="AS1732" s="54"/>
      <c r="AT1732" s="54"/>
      <c r="AU1732" s="54"/>
      <c r="AV1732" s="54"/>
      <c r="AW1732" s="54"/>
      <c r="AX1732" s="54"/>
      <c r="AY1732" s="54"/>
      <c r="AZ1732" s="54"/>
      <c r="BA1732" s="54"/>
      <c r="BB1732" s="54"/>
      <c r="BC1732" s="56"/>
      <c r="BD1732" s="51"/>
      <c r="BE1732" s="54"/>
      <c r="BF1732" s="54"/>
      <c r="BG1732" s="47"/>
      <c r="BH1732" s="48"/>
      <c r="BI1732" s="48"/>
      <c r="BJ1732" s="48"/>
      <c r="BK1732" s="48"/>
      <c r="BL1732" s="48"/>
      <c r="BM1732" s="48"/>
      <c r="BN1732" s="48"/>
      <c r="BO1732" s="48"/>
      <c r="BP1732" s="48"/>
      <c r="BQ1732" s="48"/>
      <c r="BR1732" s="48"/>
      <c r="BS1732" s="48"/>
      <c r="BT1732" s="48"/>
      <c r="BU1732" s="48"/>
      <c r="BV1732" s="48"/>
      <c r="BW1732" s="48"/>
      <c r="BX1732" s="48"/>
      <c r="BY1732" s="48"/>
      <c r="BZ1732" s="48"/>
      <c r="CA1732" s="48"/>
      <c r="CB1732" s="48"/>
      <c r="CC1732" s="48"/>
      <c r="CD1732" s="48"/>
      <c r="CE1732" s="48"/>
      <c r="CF1732" s="52"/>
      <c r="CG1732" s="52"/>
      <c r="CH1732" s="48"/>
      <c r="CI1732" s="48"/>
      <c r="CJ1732" s="48"/>
      <c r="CK1732" s="48"/>
    </row>
    <row r="1733" spans="1:89" ht="15.75" customHeight="1" x14ac:dyDescent="0.3">
      <c r="A1733" s="47"/>
      <c r="B1733" s="48"/>
      <c r="C1733" s="47"/>
      <c r="D1733" s="48"/>
      <c r="E1733" s="48"/>
      <c r="F1733" s="48"/>
      <c r="G1733" s="48"/>
      <c r="H1733" s="48"/>
      <c r="I1733" s="49"/>
      <c r="J1733" s="47"/>
      <c r="K1733" s="47"/>
      <c r="L1733" s="47"/>
      <c r="M1733" s="47"/>
      <c r="N1733" s="47"/>
      <c r="O1733" s="47"/>
      <c r="P1733" s="47"/>
      <c r="Q1733" s="47"/>
      <c r="R1733" s="47"/>
      <c r="S1733" s="50"/>
      <c r="T1733" s="47"/>
      <c r="U1733" s="47"/>
      <c r="V1733" s="47"/>
      <c r="W1733" s="51"/>
      <c r="X1733" s="51"/>
      <c r="Y1733" s="47"/>
      <c r="Z1733" s="47"/>
      <c r="AA1733" s="47"/>
      <c r="AB1733" s="47"/>
      <c r="AC1733" s="47"/>
      <c r="AD1733" s="47"/>
      <c r="AE1733" s="54"/>
      <c r="AF1733" s="54"/>
      <c r="AG1733" s="55"/>
      <c r="AH1733" s="54"/>
      <c r="AI1733" s="54"/>
      <c r="AJ1733" s="54"/>
      <c r="AK1733" s="54"/>
      <c r="AL1733" s="54"/>
      <c r="AM1733" s="54"/>
      <c r="AN1733" s="54"/>
      <c r="AO1733" s="54"/>
      <c r="AP1733" s="54"/>
      <c r="AQ1733" s="54"/>
      <c r="AR1733" s="54"/>
      <c r="AS1733" s="54"/>
      <c r="AT1733" s="54"/>
      <c r="AU1733" s="54"/>
      <c r="AV1733" s="54"/>
      <c r="AW1733" s="54"/>
      <c r="AX1733" s="54"/>
      <c r="AY1733" s="54"/>
      <c r="AZ1733" s="54"/>
      <c r="BA1733" s="54"/>
      <c r="BB1733" s="54"/>
      <c r="BC1733" s="56"/>
      <c r="BD1733" s="51"/>
      <c r="BE1733" s="54"/>
      <c r="BF1733" s="54"/>
      <c r="BG1733" s="47"/>
      <c r="BH1733" s="48"/>
      <c r="BI1733" s="48"/>
      <c r="BJ1733" s="48"/>
      <c r="BK1733" s="48"/>
      <c r="BL1733" s="48"/>
      <c r="BM1733" s="48"/>
      <c r="BN1733" s="48"/>
      <c r="BO1733" s="48"/>
      <c r="BP1733" s="48"/>
      <c r="BQ1733" s="48"/>
      <c r="BR1733" s="48"/>
      <c r="BS1733" s="48"/>
      <c r="BT1733" s="48"/>
      <c r="BU1733" s="48"/>
      <c r="BV1733" s="48"/>
      <c r="BW1733" s="48"/>
      <c r="BX1733" s="48"/>
      <c r="BY1733" s="48"/>
      <c r="BZ1733" s="48"/>
      <c r="CA1733" s="48"/>
      <c r="CB1733" s="48"/>
      <c r="CC1733" s="48"/>
      <c r="CD1733" s="48"/>
      <c r="CE1733" s="48"/>
      <c r="CF1733" s="52"/>
      <c r="CG1733" s="52"/>
      <c r="CH1733" s="48"/>
      <c r="CI1733" s="48"/>
      <c r="CJ1733" s="48"/>
      <c r="CK1733" s="48"/>
    </row>
    <row r="1734" spans="1:89" ht="15.75" customHeight="1" x14ac:dyDescent="0.3">
      <c r="A1734" s="47"/>
      <c r="B1734" s="48"/>
      <c r="C1734" s="47"/>
      <c r="D1734" s="48"/>
      <c r="E1734" s="48"/>
      <c r="F1734" s="48"/>
      <c r="G1734" s="48"/>
      <c r="H1734" s="48"/>
      <c r="I1734" s="49"/>
      <c r="J1734" s="47"/>
      <c r="K1734" s="47"/>
      <c r="L1734" s="47"/>
      <c r="M1734" s="47"/>
      <c r="N1734" s="47"/>
      <c r="O1734" s="47"/>
      <c r="P1734" s="47"/>
      <c r="Q1734" s="47"/>
      <c r="R1734" s="47"/>
      <c r="S1734" s="50"/>
      <c r="T1734" s="47"/>
      <c r="U1734" s="47"/>
      <c r="V1734" s="47"/>
      <c r="W1734" s="51"/>
      <c r="X1734" s="51"/>
      <c r="Y1734" s="47"/>
      <c r="Z1734" s="47"/>
      <c r="AA1734" s="47"/>
      <c r="AB1734" s="47"/>
      <c r="AC1734" s="47"/>
      <c r="AD1734" s="47"/>
      <c r="AE1734" s="54"/>
      <c r="AF1734" s="54"/>
      <c r="AG1734" s="55"/>
      <c r="AH1734" s="54"/>
      <c r="AI1734" s="54"/>
      <c r="AJ1734" s="54"/>
      <c r="AK1734" s="54"/>
      <c r="AL1734" s="54"/>
      <c r="AM1734" s="54"/>
      <c r="AN1734" s="54"/>
      <c r="AO1734" s="54"/>
      <c r="AP1734" s="54"/>
      <c r="AQ1734" s="54"/>
      <c r="AR1734" s="54"/>
      <c r="AS1734" s="54"/>
      <c r="AT1734" s="54"/>
      <c r="AU1734" s="54"/>
      <c r="AV1734" s="54"/>
      <c r="AW1734" s="54"/>
      <c r="AX1734" s="54"/>
      <c r="AY1734" s="54"/>
      <c r="AZ1734" s="54"/>
      <c r="BA1734" s="54"/>
      <c r="BB1734" s="54"/>
      <c r="BC1734" s="56"/>
      <c r="BD1734" s="51"/>
      <c r="BE1734" s="54"/>
      <c r="BF1734" s="54"/>
      <c r="BG1734" s="47"/>
      <c r="BH1734" s="48"/>
      <c r="BI1734" s="48"/>
      <c r="BJ1734" s="48"/>
      <c r="BK1734" s="48"/>
      <c r="BL1734" s="48"/>
      <c r="BM1734" s="48"/>
      <c r="BN1734" s="48"/>
      <c r="BO1734" s="48"/>
      <c r="BP1734" s="48"/>
      <c r="BQ1734" s="48"/>
      <c r="BR1734" s="48"/>
      <c r="BS1734" s="48"/>
      <c r="BT1734" s="48"/>
      <c r="BU1734" s="48"/>
      <c r="BV1734" s="48"/>
      <c r="BW1734" s="48"/>
      <c r="BX1734" s="48"/>
      <c r="BY1734" s="48"/>
      <c r="BZ1734" s="48"/>
      <c r="CA1734" s="48"/>
      <c r="CB1734" s="48"/>
      <c r="CC1734" s="48"/>
      <c r="CD1734" s="48"/>
      <c r="CE1734" s="48"/>
      <c r="CF1734" s="52"/>
      <c r="CG1734" s="52"/>
      <c r="CH1734" s="48"/>
      <c r="CI1734" s="48"/>
      <c r="CJ1734" s="48"/>
      <c r="CK1734" s="48"/>
    </row>
    <row r="1735" spans="1:89" ht="15.75" customHeight="1" x14ac:dyDescent="0.3">
      <c r="A1735" s="47"/>
      <c r="B1735" s="48"/>
      <c r="C1735" s="47"/>
      <c r="D1735" s="48"/>
      <c r="E1735" s="48"/>
      <c r="F1735" s="48"/>
      <c r="G1735" s="48"/>
      <c r="H1735" s="48"/>
      <c r="I1735" s="49"/>
      <c r="J1735" s="47"/>
      <c r="K1735" s="47"/>
      <c r="L1735" s="47"/>
      <c r="M1735" s="47"/>
      <c r="N1735" s="47"/>
      <c r="O1735" s="47"/>
      <c r="P1735" s="47"/>
      <c r="Q1735" s="47"/>
      <c r="R1735" s="47"/>
      <c r="S1735" s="50"/>
      <c r="T1735" s="47"/>
      <c r="U1735" s="47"/>
      <c r="V1735" s="47"/>
      <c r="W1735" s="51"/>
      <c r="X1735" s="51"/>
      <c r="Y1735" s="47"/>
      <c r="Z1735" s="47"/>
      <c r="AA1735" s="47"/>
      <c r="AB1735" s="47"/>
      <c r="AC1735" s="47"/>
      <c r="AD1735" s="47"/>
      <c r="AE1735" s="54"/>
      <c r="AF1735" s="54"/>
      <c r="AG1735" s="55"/>
      <c r="AH1735" s="54"/>
      <c r="AI1735" s="54"/>
      <c r="AJ1735" s="54"/>
      <c r="AK1735" s="54"/>
      <c r="AL1735" s="54"/>
      <c r="AM1735" s="54"/>
      <c r="AN1735" s="54"/>
      <c r="AO1735" s="54"/>
      <c r="AP1735" s="54"/>
      <c r="AQ1735" s="54"/>
      <c r="AR1735" s="54"/>
      <c r="AS1735" s="54"/>
      <c r="AT1735" s="54"/>
      <c r="AU1735" s="54"/>
      <c r="AV1735" s="54"/>
      <c r="AW1735" s="54"/>
      <c r="AX1735" s="54"/>
      <c r="AY1735" s="54"/>
      <c r="AZ1735" s="54"/>
      <c r="BA1735" s="54"/>
      <c r="BB1735" s="54"/>
      <c r="BC1735" s="56"/>
      <c r="BD1735" s="51"/>
      <c r="BE1735" s="54"/>
      <c r="BF1735" s="54"/>
      <c r="BG1735" s="47"/>
      <c r="BH1735" s="48"/>
      <c r="BI1735" s="48"/>
      <c r="BJ1735" s="48"/>
      <c r="BK1735" s="48"/>
      <c r="BL1735" s="48"/>
      <c r="BM1735" s="48"/>
      <c r="BN1735" s="48"/>
      <c r="BO1735" s="48"/>
      <c r="BP1735" s="48"/>
      <c r="BQ1735" s="48"/>
      <c r="BR1735" s="48"/>
      <c r="BS1735" s="48"/>
      <c r="BT1735" s="48"/>
      <c r="BU1735" s="48"/>
      <c r="BV1735" s="48"/>
      <c r="BW1735" s="48"/>
      <c r="BX1735" s="48"/>
      <c r="BY1735" s="48"/>
      <c r="BZ1735" s="48"/>
      <c r="CA1735" s="48"/>
      <c r="CB1735" s="48"/>
      <c r="CC1735" s="48"/>
      <c r="CD1735" s="48"/>
      <c r="CE1735" s="48"/>
      <c r="CF1735" s="52"/>
      <c r="CG1735" s="52"/>
      <c r="CH1735" s="48"/>
      <c r="CI1735" s="48"/>
      <c r="CJ1735" s="48"/>
      <c r="CK1735" s="48"/>
    </row>
    <row r="1736" spans="1:89" ht="15.75" customHeight="1" x14ac:dyDescent="0.3">
      <c r="A1736" s="47"/>
      <c r="B1736" s="48"/>
      <c r="C1736" s="47"/>
      <c r="D1736" s="48"/>
      <c r="E1736" s="48"/>
      <c r="F1736" s="48"/>
      <c r="G1736" s="48"/>
      <c r="H1736" s="48"/>
      <c r="I1736" s="49"/>
      <c r="J1736" s="47"/>
      <c r="K1736" s="47"/>
      <c r="L1736" s="47"/>
      <c r="M1736" s="47"/>
      <c r="N1736" s="47"/>
      <c r="O1736" s="47"/>
      <c r="P1736" s="47"/>
      <c r="Q1736" s="47"/>
      <c r="R1736" s="47"/>
      <c r="S1736" s="50"/>
      <c r="T1736" s="47"/>
      <c r="U1736" s="47"/>
      <c r="V1736" s="47"/>
      <c r="W1736" s="51"/>
      <c r="X1736" s="51"/>
      <c r="Y1736" s="47"/>
      <c r="Z1736" s="47"/>
      <c r="AA1736" s="47"/>
      <c r="AB1736" s="47"/>
      <c r="AC1736" s="47"/>
      <c r="AD1736" s="47"/>
      <c r="AE1736" s="54"/>
      <c r="AF1736" s="54"/>
      <c r="AG1736" s="55"/>
      <c r="AH1736" s="54"/>
      <c r="AI1736" s="54"/>
      <c r="AJ1736" s="54"/>
      <c r="AK1736" s="54"/>
      <c r="AL1736" s="54"/>
      <c r="AM1736" s="54"/>
      <c r="AN1736" s="54"/>
      <c r="AO1736" s="54"/>
      <c r="AP1736" s="54"/>
      <c r="AQ1736" s="54"/>
      <c r="AR1736" s="54"/>
      <c r="AS1736" s="54"/>
      <c r="AT1736" s="54"/>
      <c r="AU1736" s="54"/>
      <c r="AV1736" s="54"/>
      <c r="AW1736" s="54"/>
      <c r="AX1736" s="54"/>
      <c r="AY1736" s="54"/>
      <c r="AZ1736" s="54"/>
      <c r="BA1736" s="54"/>
      <c r="BB1736" s="54"/>
      <c r="BC1736" s="56"/>
      <c r="BD1736" s="51"/>
      <c r="BE1736" s="54"/>
      <c r="BF1736" s="54"/>
      <c r="BG1736" s="47"/>
      <c r="BH1736" s="48"/>
      <c r="BI1736" s="48"/>
      <c r="BJ1736" s="48"/>
      <c r="BK1736" s="48"/>
      <c r="BL1736" s="48"/>
      <c r="BM1736" s="48"/>
      <c r="BN1736" s="48"/>
      <c r="BO1736" s="48"/>
      <c r="BP1736" s="48"/>
      <c r="BQ1736" s="48"/>
      <c r="BR1736" s="48"/>
      <c r="BS1736" s="48"/>
      <c r="BT1736" s="48"/>
      <c r="BU1736" s="48"/>
      <c r="BV1736" s="48"/>
      <c r="BW1736" s="48"/>
      <c r="BX1736" s="48"/>
      <c r="BY1736" s="48"/>
      <c r="BZ1736" s="48"/>
      <c r="CA1736" s="48"/>
      <c r="CB1736" s="48"/>
      <c r="CC1736" s="48"/>
      <c r="CD1736" s="48"/>
      <c r="CE1736" s="48"/>
      <c r="CF1736" s="52"/>
      <c r="CG1736" s="52"/>
      <c r="CH1736" s="48"/>
      <c r="CI1736" s="48"/>
      <c r="CJ1736" s="48"/>
      <c r="CK1736" s="48"/>
    </row>
    <row r="1737" spans="1:89" ht="15.75" customHeight="1" x14ac:dyDescent="0.3">
      <c r="A1737" s="47"/>
      <c r="B1737" s="48"/>
      <c r="C1737" s="47"/>
      <c r="D1737" s="48"/>
      <c r="E1737" s="48"/>
      <c r="F1737" s="48"/>
      <c r="G1737" s="48"/>
      <c r="H1737" s="48"/>
      <c r="I1737" s="49"/>
      <c r="J1737" s="47"/>
      <c r="K1737" s="47"/>
      <c r="L1737" s="47"/>
      <c r="M1737" s="47"/>
      <c r="N1737" s="47"/>
      <c r="O1737" s="47"/>
      <c r="P1737" s="47"/>
      <c r="Q1737" s="47"/>
      <c r="R1737" s="47"/>
      <c r="S1737" s="50"/>
      <c r="T1737" s="47"/>
      <c r="U1737" s="47"/>
      <c r="V1737" s="47"/>
      <c r="W1737" s="51"/>
      <c r="X1737" s="51"/>
      <c r="Y1737" s="47"/>
      <c r="Z1737" s="47"/>
      <c r="AA1737" s="47"/>
      <c r="AB1737" s="47"/>
      <c r="AC1737" s="47"/>
      <c r="AD1737" s="47"/>
      <c r="AE1737" s="54"/>
      <c r="AF1737" s="54"/>
      <c r="AG1737" s="55"/>
      <c r="AH1737" s="54"/>
      <c r="AI1737" s="54"/>
      <c r="AJ1737" s="54"/>
      <c r="AK1737" s="54"/>
      <c r="AL1737" s="54"/>
      <c r="AM1737" s="54"/>
      <c r="AN1737" s="54"/>
      <c r="AO1737" s="54"/>
      <c r="AP1737" s="54"/>
      <c r="AQ1737" s="54"/>
      <c r="AR1737" s="54"/>
      <c r="AS1737" s="54"/>
      <c r="AT1737" s="54"/>
      <c r="AU1737" s="54"/>
      <c r="AV1737" s="54"/>
      <c r="AW1737" s="54"/>
      <c r="AX1737" s="54"/>
      <c r="AY1737" s="54"/>
      <c r="AZ1737" s="54"/>
      <c r="BA1737" s="54"/>
      <c r="BB1737" s="54"/>
      <c r="BC1737" s="56"/>
      <c r="BD1737" s="51"/>
      <c r="BE1737" s="54"/>
      <c r="BF1737" s="54"/>
      <c r="BG1737" s="47"/>
      <c r="BH1737" s="48"/>
      <c r="BI1737" s="48"/>
      <c r="BJ1737" s="48"/>
      <c r="BK1737" s="48"/>
      <c r="BL1737" s="48"/>
      <c r="BM1737" s="48"/>
      <c r="BN1737" s="48"/>
      <c r="BO1737" s="48"/>
      <c r="BP1737" s="48"/>
      <c r="BQ1737" s="48"/>
      <c r="BR1737" s="48"/>
      <c r="BS1737" s="48"/>
      <c r="BT1737" s="48"/>
      <c r="BU1737" s="48"/>
      <c r="BV1737" s="48"/>
      <c r="BW1737" s="48"/>
      <c r="BX1737" s="48"/>
      <c r="BY1737" s="48"/>
      <c r="BZ1737" s="48"/>
      <c r="CA1737" s="48"/>
      <c r="CB1737" s="48"/>
      <c r="CC1737" s="48"/>
      <c r="CD1737" s="48"/>
      <c r="CE1737" s="48"/>
      <c r="CF1737" s="52"/>
      <c r="CG1737" s="52"/>
      <c r="CH1737" s="48"/>
      <c r="CI1737" s="48"/>
      <c r="CJ1737" s="48"/>
      <c r="CK1737" s="48"/>
    </row>
    <row r="1738" spans="1:89" ht="15.75" customHeight="1" x14ac:dyDescent="0.3">
      <c r="A1738" s="47"/>
      <c r="B1738" s="48"/>
      <c r="C1738" s="47"/>
      <c r="D1738" s="48"/>
      <c r="E1738" s="48"/>
      <c r="F1738" s="48"/>
      <c r="G1738" s="48"/>
      <c r="H1738" s="48"/>
      <c r="I1738" s="49"/>
      <c r="J1738" s="47"/>
      <c r="K1738" s="47"/>
      <c r="L1738" s="47"/>
      <c r="M1738" s="47"/>
      <c r="N1738" s="47"/>
      <c r="O1738" s="47"/>
      <c r="P1738" s="47"/>
      <c r="Q1738" s="47"/>
      <c r="R1738" s="47"/>
      <c r="S1738" s="50"/>
      <c r="T1738" s="47"/>
      <c r="U1738" s="47"/>
      <c r="V1738" s="47"/>
      <c r="W1738" s="51"/>
      <c r="X1738" s="51"/>
      <c r="Y1738" s="47"/>
      <c r="Z1738" s="47"/>
      <c r="AA1738" s="47"/>
      <c r="AB1738" s="47"/>
      <c r="AC1738" s="47"/>
      <c r="AD1738" s="47"/>
      <c r="AE1738" s="54"/>
      <c r="AF1738" s="54"/>
      <c r="AG1738" s="55"/>
      <c r="AH1738" s="54"/>
      <c r="AI1738" s="54"/>
      <c r="AJ1738" s="54"/>
      <c r="AK1738" s="54"/>
      <c r="AL1738" s="54"/>
      <c r="AM1738" s="54"/>
      <c r="AN1738" s="54"/>
      <c r="AO1738" s="54"/>
      <c r="AP1738" s="54"/>
      <c r="AQ1738" s="54"/>
      <c r="AR1738" s="54"/>
      <c r="AS1738" s="54"/>
      <c r="AT1738" s="54"/>
      <c r="AU1738" s="54"/>
      <c r="AV1738" s="54"/>
      <c r="AW1738" s="54"/>
      <c r="AX1738" s="54"/>
      <c r="AY1738" s="54"/>
      <c r="AZ1738" s="54"/>
      <c r="BA1738" s="54"/>
      <c r="BB1738" s="54"/>
      <c r="BC1738" s="56"/>
      <c r="BD1738" s="51"/>
      <c r="BE1738" s="54"/>
      <c r="BF1738" s="54"/>
      <c r="BG1738" s="47"/>
      <c r="BH1738" s="48"/>
      <c r="BI1738" s="48"/>
      <c r="BJ1738" s="48"/>
      <c r="BK1738" s="48"/>
      <c r="BL1738" s="48"/>
      <c r="BM1738" s="48"/>
      <c r="BN1738" s="48"/>
      <c r="BO1738" s="48"/>
      <c r="BP1738" s="48"/>
      <c r="BQ1738" s="48"/>
      <c r="BR1738" s="48"/>
      <c r="BS1738" s="48"/>
      <c r="BT1738" s="48"/>
      <c r="BU1738" s="48"/>
      <c r="BV1738" s="48"/>
      <c r="BW1738" s="48"/>
      <c r="BX1738" s="48"/>
      <c r="BY1738" s="48"/>
      <c r="BZ1738" s="48"/>
      <c r="CA1738" s="48"/>
      <c r="CB1738" s="48"/>
      <c r="CC1738" s="48"/>
      <c r="CD1738" s="48"/>
      <c r="CE1738" s="48"/>
      <c r="CF1738" s="52"/>
      <c r="CG1738" s="52"/>
      <c r="CH1738" s="48"/>
      <c r="CI1738" s="48"/>
      <c r="CJ1738" s="48"/>
      <c r="CK1738" s="48"/>
    </row>
    <row r="1739" spans="1:89" ht="15.75" customHeight="1" x14ac:dyDescent="0.3">
      <c r="A1739" s="47"/>
      <c r="B1739" s="48"/>
      <c r="C1739" s="47"/>
      <c r="D1739" s="48"/>
      <c r="E1739" s="48"/>
      <c r="F1739" s="48"/>
      <c r="G1739" s="48"/>
      <c r="H1739" s="48"/>
      <c r="I1739" s="49"/>
      <c r="J1739" s="47"/>
      <c r="K1739" s="47"/>
      <c r="L1739" s="47"/>
      <c r="M1739" s="47"/>
      <c r="N1739" s="47"/>
      <c r="O1739" s="47"/>
      <c r="P1739" s="47"/>
      <c r="Q1739" s="47"/>
      <c r="R1739" s="47"/>
      <c r="S1739" s="50"/>
      <c r="T1739" s="47"/>
      <c r="U1739" s="47"/>
      <c r="V1739" s="47"/>
      <c r="W1739" s="51"/>
      <c r="X1739" s="51"/>
      <c r="Y1739" s="47"/>
      <c r="Z1739" s="47"/>
      <c r="AA1739" s="47"/>
      <c r="AB1739" s="47"/>
      <c r="AC1739" s="47"/>
      <c r="AD1739" s="47"/>
      <c r="AE1739" s="54"/>
      <c r="AF1739" s="54"/>
      <c r="AG1739" s="55"/>
      <c r="AH1739" s="54"/>
      <c r="AI1739" s="54"/>
      <c r="AJ1739" s="54"/>
      <c r="AK1739" s="54"/>
      <c r="AL1739" s="54"/>
      <c r="AM1739" s="54"/>
      <c r="AN1739" s="54"/>
      <c r="AO1739" s="54"/>
      <c r="AP1739" s="54"/>
      <c r="AQ1739" s="54"/>
      <c r="AR1739" s="54"/>
      <c r="AS1739" s="54"/>
      <c r="AT1739" s="54"/>
      <c r="AU1739" s="54"/>
      <c r="AV1739" s="54"/>
      <c r="AW1739" s="54"/>
      <c r="AX1739" s="54"/>
      <c r="AY1739" s="54"/>
      <c r="AZ1739" s="54"/>
      <c r="BA1739" s="54"/>
      <c r="BB1739" s="54"/>
      <c r="BC1739" s="56"/>
      <c r="BD1739" s="51"/>
      <c r="BE1739" s="54"/>
      <c r="BF1739" s="54"/>
      <c r="BG1739" s="47"/>
      <c r="BH1739" s="48"/>
      <c r="BI1739" s="48"/>
      <c r="BJ1739" s="48"/>
      <c r="BK1739" s="48"/>
      <c r="BL1739" s="48"/>
      <c r="BM1739" s="48"/>
      <c r="BN1739" s="48"/>
      <c r="BO1739" s="48"/>
      <c r="BP1739" s="48"/>
      <c r="BQ1739" s="48"/>
      <c r="BR1739" s="48"/>
      <c r="BS1739" s="48"/>
      <c r="BT1739" s="48"/>
      <c r="BU1739" s="48"/>
      <c r="BV1739" s="48"/>
      <c r="BW1739" s="48"/>
      <c r="BX1739" s="48"/>
      <c r="BY1739" s="48"/>
      <c r="BZ1739" s="48"/>
      <c r="CA1739" s="48"/>
      <c r="CB1739" s="48"/>
      <c r="CC1739" s="48"/>
      <c r="CD1739" s="48"/>
      <c r="CE1739" s="48"/>
      <c r="CF1739" s="52"/>
      <c r="CG1739" s="52"/>
      <c r="CH1739" s="48"/>
      <c r="CI1739" s="48"/>
      <c r="CJ1739" s="48"/>
      <c r="CK1739" s="48"/>
    </row>
    <row r="1740" spans="1:89" ht="15.75" customHeight="1" x14ac:dyDescent="0.3">
      <c r="A1740" s="47"/>
      <c r="B1740" s="48"/>
      <c r="C1740" s="47"/>
      <c r="D1740" s="48"/>
      <c r="E1740" s="48"/>
      <c r="F1740" s="48"/>
      <c r="G1740" s="48"/>
      <c r="H1740" s="48"/>
      <c r="I1740" s="49"/>
      <c r="J1740" s="47"/>
      <c r="K1740" s="47"/>
      <c r="L1740" s="47"/>
      <c r="M1740" s="47"/>
      <c r="N1740" s="47"/>
      <c r="O1740" s="47"/>
      <c r="P1740" s="47"/>
      <c r="Q1740" s="47"/>
      <c r="R1740" s="47"/>
      <c r="S1740" s="50"/>
      <c r="T1740" s="47"/>
      <c r="U1740" s="47"/>
      <c r="V1740" s="47"/>
      <c r="W1740" s="51"/>
      <c r="X1740" s="51"/>
      <c r="Y1740" s="47"/>
      <c r="Z1740" s="47"/>
      <c r="AA1740" s="47"/>
      <c r="AB1740" s="47"/>
      <c r="AC1740" s="47"/>
      <c r="AD1740" s="47"/>
      <c r="AE1740" s="54"/>
      <c r="AF1740" s="54"/>
      <c r="AG1740" s="55"/>
      <c r="AH1740" s="54"/>
      <c r="AI1740" s="54"/>
      <c r="AJ1740" s="54"/>
      <c r="AK1740" s="54"/>
      <c r="AL1740" s="54"/>
      <c r="AM1740" s="54"/>
      <c r="AN1740" s="54"/>
      <c r="AO1740" s="54"/>
      <c r="AP1740" s="54"/>
      <c r="AQ1740" s="54"/>
      <c r="AR1740" s="54"/>
      <c r="AS1740" s="54"/>
      <c r="AT1740" s="54"/>
      <c r="AU1740" s="54"/>
      <c r="AV1740" s="54"/>
      <c r="AW1740" s="54"/>
      <c r="AX1740" s="54"/>
      <c r="AY1740" s="54"/>
      <c r="AZ1740" s="54"/>
      <c r="BA1740" s="54"/>
      <c r="BB1740" s="54"/>
      <c r="BC1740" s="56"/>
      <c r="BD1740" s="51"/>
      <c r="BE1740" s="54"/>
      <c r="BF1740" s="54"/>
      <c r="BG1740" s="47"/>
      <c r="BH1740" s="48"/>
      <c r="BI1740" s="48"/>
      <c r="BJ1740" s="48"/>
      <c r="BK1740" s="48"/>
      <c r="BL1740" s="48"/>
      <c r="BM1740" s="48"/>
      <c r="BN1740" s="48"/>
      <c r="BO1740" s="48"/>
      <c r="BP1740" s="48"/>
      <c r="BQ1740" s="48"/>
      <c r="BR1740" s="48"/>
      <c r="BS1740" s="48"/>
      <c r="BT1740" s="48"/>
      <c r="BU1740" s="48"/>
      <c r="BV1740" s="48"/>
      <c r="BW1740" s="48"/>
      <c r="BX1740" s="48"/>
      <c r="BY1740" s="48"/>
      <c r="BZ1740" s="48"/>
      <c r="CA1740" s="48"/>
      <c r="CB1740" s="48"/>
      <c r="CC1740" s="48"/>
      <c r="CD1740" s="48"/>
      <c r="CE1740" s="48"/>
      <c r="CF1740" s="52"/>
      <c r="CG1740" s="52"/>
      <c r="CH1740" s="48"/>
      <c r="CI1740" s="48"/>
      <c r="CJ1740" s="48"/>
      <c r="CK1740" s="48"/>
    </row>
    <row r="1741" spans="1:89" ht="15.75" customHeight="1" x14ac:dyDescent="0.3">
      <c r="A1741" s="47"/>
      <c r="B1741" s="48"/>
      <c r="C1741" s="47"/>
      <c r="D1741" s="48"/>
      <c r="E1741" s="48"/>
      <c r="F1741" s="48"/>
      <c r="G1741" s="48"/>
      <c r="H1741" s="48"/>
      <c r="I1741" s="49"/>
      <c r="J1741" s="47"/>
      <c r="K1741" s="47"/>
      <c r="L1741" s="47"/>
      <c r="M1741" s="47"/>
      <c r="N1741" s="47"/>
      <c r="O1741" s="47"/>
      <c r="P1741" s="47"/>
      <c r="Q1741" s="47"/>
      <c r="R1741" s="47"/>
      <c r="S1741" s="50"/>
      <c r="T1741" s="47"/>
      <c r="U1741" s="47"/>
      <c r="V1741" s="47"/>
      <c r="W1741" s="51"/>
      <c r="X1741" s="51"/>
      <c r="Y1741" s="47"/>
      <c r="Z1741" s="47"/>
      <c r="AA1741" s="47"/>
      <c r="AB1741" s="47"/>
      <c r="AC1741" s="47"/>
      <c r="AD1741" s="47"/>
      <c r="AE1741" s="54"/>
      <c r="AF1741" s="54"/>
      <c r="AG1741" s="55"/>
      <c r="AH1741" s="54"/>
      <c r="AI1741" s="54"/>
      <c r="AJ1741" s="54"/>
      <c r="AK1741" s="54"/>
      <c r="AL1741" s="54"/>
      <c r="AM1741" s="54"/>
      <c r="AN1741" s="54"/>
      <c r="AO1741" s="54"/>
      <c r="AP1741" s="54"/>
      <c r="AQ1741" s="54"/>
      <c r="AR1741" s="54"/>
      <c r="AS1741" s="54"/>
      <c r="AT1741" s="54"/>
      <c r="AU1741" s="54"/>
      <c r="AV1741" s="54"/>
      <c r="AW1741" s="54"/>
      <c r="AX1741" s="54"/>
      <c r="AY1741" s="54"/>
      <c r="AZ1741" s="54"/>
      <c r="BA1741" s="54"/>
      <c r="BB1741" s="54"/>
      <c r="BC1741" s="56"/>
      <c r="BD1741" s="51"/>
      <c r="BE1741" s="54"/>
      <c r="BF1741" s="54"/>
      <c r="BG1741" s="47"/>
      <c r="BH1741" s="48"/>
      <c r="BI1741" s="48"/>
      <c r="BJ1741" s="48"/>
      <c r="BK1741" s="48"/>
      <c r="BL1741" s="48"/>
      <c r="BM1741" s="48"/>
      <c r="BN1741" s="48"/>
      <c r="BO1741" s="48"/>
      <c r="BP1741" s="48"/>
      <c r="BQ1741" s="48"/>
      <c r="BR1741" s="48"/>
      <c r="BS1741" s="48"/>
      <c r="BT1741" s="48"/>
      <c r="BU1741" s="48"/>
      <c r="BV1741" s="48"/>
      <c r="BW1741" s="48"/>
      <c r="BX1741" s="48"/>
      <c r="BY1741" s="48"/>
      <c r="BZ1741" s="48"/>
      <c r="CA1741" s="48"/>
      <c r="CB1741" s="48"/>
      <c r="CC1741" s="48"/>
      <c r="CD1741" s="48"/>
      <c r="CE1741" s="48"/>
      <c r="CF1741" s="52"/>
      <c r="CG1741" s="52"/>
      <c r="CH1741" s="48"/>
      <c r="CI1741" s="48"/>
      <c r="CJ1741" s="48"/>
      <c r="CK1741" s="48"/>
    </row>
    <row r="1742" spans="1:89" ht="15.75" customHeight="1" x14ac:dyDescent="0.3">
      <c r="A1742" s="47"/>
      <c r="B1742" s="48"/>
      <c r="C1742" s="47"/>
      <c r="D1742" s="48"/>
      <c r="E1742" s="48"/>
      <c r="F1742" s="48"/>
      <c r="G1742" s="48"/>
      <c r="H1742" s="48"/>
      <c r="I1742" s="49"/>
      <c r="J1742" s="47"/>
      <c r="K1742" s="47"/>
      <c r="L1742" s="47"/>
      <c r="M1742" s="47"/>
      <c r="N1742" s="47"/>
      <c r="O1742" s="47"/>
      <c r="P1742" s="47"/>
      <c r="Q1742" s="47"/>
      <c r="R1742" s="47"/>
      <c r="S1742" s="50"/>
      <c r="T1742" s="47"/>
      <c r="U1742" s="47"/>
      <c r="V1742" s="47"/>
      <c r="W1742" s="51"/>
      <c r="X1742" s="51"/>
      <c r="Y1742" s="47"/>
      <c r="Z1742" s="47"/>
      <c r="AA1742" s="47"/>
      <c r="AB1742" s="47"/>
      <c r="AC1742" s="47"/>
      <c r="AD1742" s="47"/>
      <c r="AE1742" s="54"/>
      <c r="AF1742" s="54"/>
      <c r="AG1742" s="55"/>
      <c r="AH1742" s="54"/>
      <c r="AI1742" s="54"/>
      <c r="AJ1742" s="54"/>
      <c r="AK1742" s="54"/>
      <c r="AL1742" s="54"/>
      <c r="AM1742" s="54"/>
      <c r="AN1742" s="54"/>
      <c r="AO1742" s="54"/>
      <c r="AP1742" s="54"/>
      <c r="AQ1742" s="54"/>
      <c r="AR1742" s="54"/>
      <c r="AS1742" s="54"/>
      <c r="AT1742" s="54"/>
      <c r="AU1742" s="54"/>
      <c r="AV1742" s="54"/>
      <c r="AW1742" s="54"/>
      <c r="AX1742" s="54"/>
      <c r="AY1742" s="54"/>
      <c r="AZ1742" s="54"/>
      <c r="BA1742" s="54"/>
      <c r="BB1742" s="54"/>
      <c r="BC1742" s="56"/>
      <c r="BD1742" s="51"/>
      <c r="BE1742" s="54"/>
      <c r="BF1742" s="54"/>
      <c r="BG1742" s="47"/>
      <c r="BH1742" s="48"/>
      <c r="BI1742" s="48"/>
      <c r="BJ1742" s="48"/>
      <c r="BK1742" s="48"/>
      <c r="BL1742" s="48"/>
      <c r="BM1742" s="48"/>
      <c r="BN1742" s="48"/>
      <c r="BO1742" s="48"/>
      <c r="BP1742" s="48"/>
      <c r="BQ1742" s="48"/>
      <c r="BR1742" s="48"/>
      <c r="BS1742" s="48"/>
      <c r="BT1742" s="48"/>
      <c r="BU1742" s="48"/>
      <c r="BV1742" s="48"/>
      <c r="BW1742" s="48"/>
      <c r="BX1742" s="48"/>
      <c r="BY1742" s="48"/>
      <c r="BZ1742" s="48"/>
      <c r="CA1742" s="48"/>
      <c r="CB1742" s="48"/>
      <c r="CC1742" s="48"/>
      <c r="CD1742" s="48"/>
      <c r="CE1742" s="48"/>
      <c r="CF1742" s="52"/>
      <c r="CG1742" s="52"/>
      <c r="CH1742" s="48"/>
      <c r="CI1742" s="48"/>
      <c r="CJ1742" s="48"/>
      <c r="CK1742" s="48"/>
    </row>
    <row r="1743" spans="1:89" ht="15.75" customHeight="1" x14ac:dyDescent="0.3">
      <c r="A1743" s="47"/>
      <c r="B1743" s="48"/>
      <c r="C1743" s="47"/>
      <c r="D1743" s="48"/>
      <c r="E1743" s="48"/>
      <c r="F1743" s="48"/>
      <c r="G1743" s="48"/>
      <c r="H1743" s="48"/>
      <c r="I1743" s="49"/>
      <c r="J1743" s="47"/>
      <c r="K1743" s="47"/>
      <c r="L1743" s="47"/>
      <c r="M1743" s="47"/>
      <c r="N1743" s="47"/>
      <c r="O1743" s="47"/>
      <c r="P1743" s="47"/>
      <c r="Q1743" s="47"/>
      <c r="R1743" s="47"/>
      <c r="S1743" s="50"/>
      <c r="T1743" s="47"/>
      <c r="U1743" s="47"/>
      <c r="V1743" s="47"/>
      <c r="W1743" s="51"/>
      <c r="X1743" s="51"/>
      <c r="Y1743" s="47"/>
      <c r="Z1743" s="47"/>
      <c r="AA1743" s="47"/>
      <c r="AB1743" s="47"/>
      <c r="AC1743" s="47"/>
      <c r="AD1743" s="47"/>
      <c r="AE1743" s="54"/>
      <c r="AF1743" s="54"/>
      <c r="AG1743" s="55"/>
      <c r="AH1743" s="54"/>
      <c r="AI1743" s="54"/>
      <c r="AJ1743" s="54"/>
      <c r="AK1743" s="54"/>
      <c r="AL1743" s="54"/>
      <c r="AM1743" s="54"/>
      <c r="AN1743" s="54"/>
      <c r="AO1743" s="54"/>
      <c r="AP1743" s="54"/>
      <c r="AQ1743" s="54"/>
      <c r="AR1743" s="54"/>
      <c r="AS1743" s="54"/>
      <c r="AT1743" s="54"/>
      <c r="AU1743" s="54"/>
      <c r="AV1743" s="54"/>
      <c r="AW1743" s="54"/>
      <c r="AX1743" s="54"/>
      <c r="AY1743" s="54"/>
      <c r="AZ1743" s="54"/>
      <c r="BA1743" s="54"/>
      <c r="BB1743" s="54"/>
      <c r="BC1743" s="56"/>
      <c r="BD1743" s="51"/>
      <c r="BE1743" s="54"/>
      <c r="BF1743" s="54"/>
      <c r="BG1743" s="47"/>
      <c r="BH1743" s="48"/>
      <c r="BI1743" s="48"/>
      <c r="BJ1743" s="48"/>
      <c r="BK1743" s="48"/>
      <c r="BL1743" s="48"/>
      <c r="BM1743" s="48"/>
      <c r="BN1743" s="48"/>
      <c r="BO1743" s="48"/>
      <c r="BP1743" s="48"/>
      <c r="BQ1743" s="48"/>
      <c r="BR1743" s="48"/>
      <c r="BS1743" s="48"/>
      <c r="BT1743" s="48"/>
      <c r="BU1743" s="48"/>
      <c r="BV1743" s="48"/>
      <c r="BW1743" s="48"/>
      <c r="BX1743" s="48"/>
      <c r="BY1743" s="48"/>
      <c r="BZ1743" s="48"/>
      <c r="CA1743" s="48"/>
      <c r="CB1743" s="48"/>
      <c r="CC1743" s="48"/>
      <c r="CD1743" s="48"/>
      <c r="CE1743" s="48"/>
      <c r="CF1743" s="52"/>
      <c r="CG1743" s="52"/>
      <c r="CH1743" s="48"/>
      <c r="CI1743" s="48"/>
      <c r="CJ1743" s="48"/>
      <c r="CK1743" s="48"/>
    </row>
    <row r="1744" spans="1:89" ht="15.75" customHeight="1" x14ac:dyDescent="0.3">
      <c r="A1744" s="47"/>
      <c r="B1744" s="48"/>
      <c r="C1744" s="47"/>
      <c r="D1744" s="48"/>
      <c r="E1744" s="48"/>
      <c r="F1744" s="48"/>
      <c r="G1744" s="48"/>
      <c r="H1744" s="48"/>
      <c r="I1744" s="49"/>
      <c r="J1744" s="47"/>
      <c r="K1744" s="47"/>
      <c r="L1744" s="47"/>
      <c r="M1744" s="47"/>
      <c r="N1744" s="47"/>
      <c r="O1744" s="47"/>
      <c r="P1744" s="47"/>
      <c r="Q1744" s="47"/>
      <c r="R1744" s="47"/>
      <c r="S1744" s="50"/>
      <c r="T1744" s="47"/>
      <c r="U1744" s="47"/>
      <c r="V1744" s="47"/>
      <c r="W1744" s="51"/>
      <c r="X1744" s="51"/>
      <c r="Y1744" s="47"/>
      <c r="Z1744" s="47"/>
      <c r="AA1744" s="47"/>
      <c r="AB1744" s="47"/>
      <c r="AC1744" s="47"/>
      <c r="AD1744" s="47"/>
      <c r="AE1744" s="54"/>
      <c r="AF1744" s="54"/>
      <c r="AG1744" s="55"/>
      <c r="AH1744" s="54"/>
      <c r="AI1744" s="54"/>
      <c r="AJ1744" s="54"/>
      <c r="AK1744" s="54"/>
      <c r="AL1744" s="54"/>
      <c r="AM1744" s="54"/>
      <c r="AN1744" s="54"/>
      <c r="AO1744" s="54"/>
      <c r="AP1744" s="54"/>
      <c r="AQ1744" s="54"/>
      <c r="AR1744" s="54"/>
      <c r="AS1744" s="54"/>
      <c r="AT1744" s="54"/>
      <c r="AU1744" s="54"/>
      <c r="AV1744" s="54"/>
      <c r="AW1744" s="54"/>
      <c r="AX1744" s="54"/>
      <c r="AY1744" s="54"/>
      <c r="AZ1744" s="54"/>
      <c r="BA1744" s="54"/>
      <c r="BB1744" s="54"/>
      <c r="BC1744" s="56"/>
      <c r="BD1744" s="51"/>
      <c r="BE1744" s="54"/>
      <c r="BF1744" s="54"/>
      <c r="BG1744" s="47"/>
      <c r="BH1744" s="48"/>
      <c r="BI1744" s="48"/>
      <c r="BJ1744" s="48"/>
      <c r="BK1744" s="48"/>
      <c r="BL1744" s="48"/>
      <c r="BM1744" s="48"/>
      <c r="BN1744" s="48"/>
      <c r="BO1744" s="48"/>
      <c r="BP1744" s="48"/>
      <c r="BQ1744" s="48"/>
      <c r="BR1744" s="48"/>
      <c r="BS1744" s="48"/>
      <c r="BT1744" s="48"/>
      <c r="BU1744" s="48"/>
      <c r="BV1744" s="48"/>
      <c r="BW1744" s="48"/>
      <c r="BX1744" s="48"/>
      <c r="BY1744" s="48"/>
      <c r="BZ1744" s="48"/>
      <c r="CA1744" s="48"/>
      <c r="CB1744" s="48"/>
      <c r="CC1744" s="48"/>
      <c r="CD1744" s="48"/>
      <c r="CE1744" s="48"/>
      <c r="CF1744" s="52"/>
      <c r="CG1744" s="52"/>
      <c r="CH1744" s="48"/>
      <c r="CI1744" s="48"/>
      <c r="CJ1744" s="48"/>
      <c r="CK1744" s="48"/>
    </row>
    <row r="1745" spans="1:89" ht="15.75" customHeight="1" x14ac:dyDescent="0.3">
      <c r="A1745" s="47"/>
      <c r="B1745" s="48"/>
      <c r="C1745" s="47"/>
      <c r="D1745" s="48"/>
      <c r="E1745" s="48"/>
      <c r="F1745" s="48"/>
      <c r="G1745" s="48"/>
      <c r="H1745" s="48"/>
      <c r="I1745" s="49"/>
      <c r="J1745" s="47"/>
      <c r="K1745" s="47"/>
      <c r="L1745" s="47"/>
      <c r="M1745" s="47"/>
      <c r="N1745" s="47"/>
      <c r="O1745" s="47"/>
      <c r="P1745" s="47"/>
      <c r="Q1745" s="47"/>
      <c r="R1745" s="47"/>
      <c r="S1745" s="50"/>
      <c r="T1745" s="47"/>
      <c r="U1745" s="47"/>
      <c r="V1745" s="47"/>
      <c r="W1745" s="51"/>
      <c r="X1745" s="51"/>
      <c r="Y1745" s="47"/>
      <c r="Z1745" s="47"/>
      <c r="AA1745" s="47"/>
      <c r="AB1745" s="47"/>
      <c r="AC1745" s="47"/>
      <c r="AD1745" s="47"/>
      <c r="AE1745" s="54"/>
      <c r="AF1745" s="54"/>
      <c r="AG1745" s="55"/>
      <c r="AH1745" s="54"/>
      <c r="AI1745" s="54"/>
      <c r="AJ1745" s="54"/>
      <c r="AK1745" s="54"/>
      <c r="AL1745" s="54"/>
      <c r="AM1745" s="54"/>
      <c r="AN1745" s="54"/>
      <c r="AO1745" s="54"/>
      <c r="AP1745" s="54"/>
      <c r="AQ1745" s="54"/>
      <c r="AR1745" s="54"/>
      <c r="AS1745" s="54"/>
      <c r="AT1745" s="54"/>
      <c r="AU1745" s="54"/>
      <c r="AV1745" s="54"/>
      <c r="AW1745" s="54"/>
      <c r="AX1745" s="54"/>
      <c r="AY1745" s="54"/>
      <c r="AZ1745" s="54"/>
      <c r="BA1745" s="54"/>
      <c r="BB1745" s="54"/>
      <c r="BC1745" s="56"/>
      <c r="BD1745" s="51"/>
      <c r="BE1745" s="54"/>
      <c r="BF1745" s="54"/>
      <c r="BG1745" s="47"/>
      <c r="BH1745" s="48"/>
      <c r="BI1745" s="48"/>
      <c r="BJ1745" s="48"/>
      <c r="BK1745" s="48"/>
      <c r="BL1745" s="48"/>
      <c r="BM1745" s="48"/>
      <c r="BN1745" s="48"/>
      <c r="BO1745" s="48"/>
      <c r="BP1745" s="48"/>
      <c r="BQ1745" s="48"/>
      <c r="BR1745" s="48"/>
      <c r="BS1745" s="48"/>
      <c r="BT1745" s="48"/>
      <c r="BU1745" s="48"/>
      <c r="BV1745" s="48"/>
      <c r="BW1745" s="48"/>
      <c r="BX1745" s="48"/>
      <c r="BY1745" s="48"/>
      <c r="BZ1745" s="48"/>
      <c r="CA1745" s="48"/>
      <c r="CB1745" s="48"/>
      <c r="CC1745" s="48"/>
      <c r="CD1745" s="48"/>
      <c r="CE1745" s="48"/>
      <c r="CF1745" s="52"/>
      <c r="CG1745" s="52"/>
      <c r="CH1745" s="48"/>
      <c r="CI1745" s="48"/>
      <c r="CJ1745" s="48"/>
      <c r="CK1745" s="48"/>
    </row>
    <row r="1746" spans="1:89" ht="15.75" customHeight="1" x14ac:dyDescent="0.3">
      <c r="A1746" s="47"/>
      <c r="B1746" s="48"/>
      <c r="C1746" s="47"/>
      <c r="D1746" s="48"/>
      <c r="E1746" s="48"/>
      <c r="F1746" s="48"/>
      <c r="G1746" s="48"/>
      <c r="H1746" s="48"/>
      <c r="I1746" s="49"/>
      <c r="J1746" s="47"/>
      <c r="K1746" s="47"/>
      <c r="L1746" s="47"/>
      <c r="M1746" s="47"/>
      <c r="N1746" s="47"/>
      <c r="O1746" s="47"/>
      <c r="P1746" s="47"/>
      <c r="Q1746" s="47"/>
      <c r="R1746" s="47"/>
      <c r="S1746" s="50"/>
      <c r="T1746" s="47"/>
      <c r="U1746" s="47"/>
      <c r="V1746" s="47"/>
      <c r="W1746" s="51"/>
      <c r="X1746" s="51"/>
      <c r="Y1746" s="47"/>
      <c r="Z1746" s="47"/>
      <c r="AA1746" s="47"/>
      <c r="AB1746" s="47"/>
      <c r="AC1746" s="47"/>
      <c r="AD1746" s="47"/>
      <c r="AE1746" s="54"/>
      <c r="AF1746" s="54"/>
      <c r="AG1746" s="55"/>
      <c r="AH1746" s="54"/>
      <c r="AI1746" s="54"/>
      <c r="AJ1746" s="54"/>
      <c r="AK1746" s="54"/>
      <c r="AL1746" s="54"/>
      <c r="AM1746" s="54"/>
      <c r="AN1746" s="54"/>
      <c r="AO1746" s="54"/>
      <c r="AP1746" s="54"/>
      <c r="AQ1746" s="54"/>
      <c r="AR1746" s="54"/>
      <c r="AS1746" s="54"/>
      <c r="AT1746" s="54"/>
      <c r="AU1746" s="54"/>
      <c r="AV1746" s="54"/>
      <c r="AW1746" s="54"/>
      <c r="AX1746" s="54"/>
      <c r="AY1746" s="54"/>
      <c r="AZ1746" s="54"/>
      <c r="BA1746" s="54"/>
      <c r="BB1746" s="54"/>
      <c r="BC1746" s="56"/>
      <c r="BD1746" s="51"/>
      <c r="BE1746" s="54"/>
      <c r="BF1746" s="54"/>
      <c r="BG1746" s="47"/>
      <c r="BH1746" s="48"/>
      <c r="BI1746" s="48"/>
      <c r="BJ1746" s="48"/>
      <c r="BK1746" s="48"/>
      <c r="BL1746" s="48"/>
      <c r="BM1746" s="48"/>
      <c r="BN1746" s="48"/>
      <c r="BO1746" s="48"/>
      <c r="BP1746" s="48"/>
      <c r="BQ1746" s="48"/>
      <c r="BR1746" s="48"/>
      <c r="BS1746" s="48"/>
      <c r="BT1746" s="48"/>
      <c r="BU1746" s="48"/>
      <c r="BV1746" s="48"/>
      <c r="BW1746" s="48"/>
      <c r="BX1746" s="48"/>
      <c r="BY1746" s="48"/>
      <c r="BZ1746" s="48"/>
      <c r="CA1746" s="48"/>
      <c r="CB1746" s="48"/>
      <c r="CC1746" s="48"/>
      <c r="CD1746" s="48"/>
      <c r="CE1746" s="48"/>
      <c r="CF1746" s="52"/>
      <c r="CG1746" s="52"/>
      <c r="CH1746" s="48"/>
      <c r="CI1746" s="48"/>
      <c r="CJ1746" s="48"/>
      <c r="CK1746" s="48"/>
    </row>
    <row r="1747" spans="1:89" ht="15.75" customHeight="1" x14ac:dyDescent="0.3">
      <c r="A1747" s="47"/>
      <c r="B1747" s="48"/>
      <c r="C1747" s="47"/>
      <c r="D1747" s="48"/>
      <c r="E1747" s="48"/>
      <c r="F1747" s="48"/>
      <c r="G1747" s="48"/>
      <c r="H1747" s="48"/>
      <c r="I1747" s="49"/>
      <c r="J1747" s="47"/>
      <c r="K1747" s="47"/>
      <c r="L1747" s="47"/>
      <c r="M1747" s="47"/>
      <c r="N1747" s="47"/>
      <c r="O1747" s="47"/>
      <c r="P1747" s="47"/>
      <c r="Q1747" s="47"/>
      <c r="R1747" s="47"/>
      <c r="S1747" s="50"/>
      <c r="T1747" s="47"/>
      <c r="U1747" s="47"/>
      <c r="V1747" s="47"/>
      <c r="W1747" s="51"/>
      <c r="X1747" s="51"/>
      <c r="Y1747" s="47"/>
      <c r="Z1747" s="47"/>
      <c r="AA1747" s="47"/>
      <c r="AB1747" s="47"/>
      <c r="AC1747" s="47"/>
      <c r="AD1747" s="47"/>
      <c r="AE1747" s="54"/>
      <c r="AF1747" s="54"/>
      <c r="AG1747" s="55"/>
      <c r="AH1747" s="54"/>
      <c r="AI1747" s="54"/>
      <c r="AJ1747" s="54"/>
      <c r="AK1747" s="54"/>
      <c r="AL1747" s="54"/>
      <c r="AM1747" s="54"/>
      <c r="AN1747" s="54"/>
      <c r="AO1747" s="54"/>
      <c r="AP1747" s="54"/>
      <c r="AQ1747" s="54"/>
      <c r="AR1747" s="54"/>
      <c r="AS1747" s="54"/>
      <c r="AT1747" s="54"/>
      <c r="AU1747" s="54"/>
      <c r="AV1747" s="54"/>
      <c r="AW1747" s="54"/>
      <c r="AX1747" s="54"/>
      <c r="AY1747" s="54"/>
      <c r="AZ1747" s="54"/>
      <c r="BA1747" s="54"/>
      <c r="BB1747" s="54"/>
      <c r="BC1747" s="56"/>
      <c r="BD1747" s="51"/>
      <c r="BE1747" s="54"/>
      <c r="BF1747" s="54"/>
      <c r="BG1747" s="47"/>
      <c r="BH1747" s="48"/>
      <c r="BI1747" s="48"/>
      <c r="BJ1747" s="48"/>
      <c r="BK1747" s="48"/>
      <c r="BL1747" s="48"/>
      <c r="BM1747" s="48"/>
      <c r="BN1747" s="48"/>
      <c r="BO1747" s="48"/>
      <c r="BP1747" s="48"/>
      <c r="BQ1747" s="48"/>
      <c r="BR1747" s="48"/>
      <c r="BS1747" s="48"/>
      <c r="BT1747" s="48"/>
      <c r="BU1747" s="48"/>
      <c r="BV1747" s="48"/>
      <c r="BW1747" s="48"/>
      <c r="BX1747" s="48"/>
      <c r="BY1747" s="48"/>
      <c r="BZ1747" s="48"/>
      <c r="CA1747" s="48"/>
      <c r="CB1747" s="48"/>
      <c r="CC1747" s="48"/>
      <c r="CD1747" s="48"/>
      <c r="CE1747" s="48"/>
      <c r="CF1747" s="52"/>
      <c r="CG1747" s="52"/>
      <c r="CH1747" s="48"/>
      <c r="CI1747" s="48"/>
      <c r="CJ1747" s="48"/>
      <c r="CK1747" s="48"/>
    </row>
    <row r="1748" spans="1:89" ht="15.75" customHeight="1" x14ac:dyDescent="0.3">
      <c r="A1748" s="47"/>
      <c r="B1748" s="48"/>
      <c r="C1748" s="47"/>
      <c r="D1748" s="48"/>
      <c r="E1748" s="48"/>
      <c r="F1748" s="48"/>
      <c r="G1748" s="48"/>
      <c r="H1748" s="48"/>
      <c r="I1748" s="49"/>
      <c r="J1748" s="47"/>
      <c r="K1748" s="47"/>
      <c r="L1748" s="47"/>
      <c r="M1748" s="47"/>
      <c r="N1748" s="47"/>
      <c r="O1748" s="47"/>
      <c r="P1748" s="47"/>
      <c r="Q1748" s="47"/>
      <c r="R1748" s="47"/>
      <c r="S1748" s="50"/>
      <c r="T1748" s="47"/>
      <c r="U1748" s="47"/>
      <c r="V1748" s="47"/>
      <c r="W1748" s="51"/>
      <c r="X1748" s="51"/>
      <c r="Y1748" s="47"/>
      <c r="Z1748" s="47"/>
      <c r="AA1748" s="47"/>
      <c r="AB1748" s="47"/>
      <c r="AC1748" s="47"/>
      <c r="AD1748" s="47"/>
      <c r="AE1748" s="54"/>
      <c r="AF1748" s="54"/>
      <c r="AG1748" s="55"/>
      <c r="AH1748" s="54"/>
      <c r="AI1748" s="54"/>
      <c r="AJ1748" s="54"/>
      <c r="AK1748" s="54"/>
      <c r="AL1748" s="54"/>
      <c r="AM1748" s="54"/>
      <c r="AN1748" s="54"/>
      <c r="AO1748" s="54"/>
      <c r="AP1748" s="54"/>
      <c r="AQ1748" s="54"/>
      <c r="AR1748" s="54"/>
      <c r="AS1748" s="54"/>
      <c r="AT1748" s="54"/>
      <c r="AU1748" s="54"/>
      <c r="AV1748" s="54"/>
      <c r="AW1748" s="54"/>
      <c r="AX1748" s="54"/>
      <c r="AY1748" s="54"/>
      <c r="AZ1748" s="54"/>
      <c r="BA1748" s="54"/>
      <c r="BB1748" s="54"/>
      <c r="BC1748" s="56"/>
      <c r="BD1748" s="51"/>
      <c r="BE1748" s="54"/>
      <c r="BF1748" s="54"/>
      <c r="BG1748" s="47"/>
      <c r="BH1748" s="48"/>
      <c r="BI1748" s="48"/>
      <c r="BJ1748" s="48"/>
      <c r="BK1748" s="48"/>
      <c r="BL1748" s="48"/>
      <c r="BM1748" s="48"/>
      <c r="BN1748" s="48"/>
      <c r="BO1748" s="48"/>
      <c r="BP1748" s="48"/>
      <c r="BQ1748" s="48"/>
      <c r="BR1748" s="48"/>
      <c r="BS1748" s="48"/>
      <c r="BT1748" s="48"/>
      <c r="BU1748" s="48"/>
      <c r="BV1748" s="48"/>
      <c r="BW1748" s="48"/>
      <c r="BX1748" s="48"/>
      <c r="BY1748" s="48"/>
      <c r="BZ1748" s="48"/>
      <c r="CA1748" s="48"/>
      <c r="CB1748" s="48"/>
      <c r="CC1748" s="48"/>
      <c r="CD1748" s="48"/>
      <c r="CE1748" s="48"/>
      <c r="CF1748" s="52"/>
      <c r="CG1748" s="52"/>
      <c r="CH1748" s="48"/>
      <c r="CI1748" s="48"/>
      <c r="CJ1748" s="48"/>
      <c r="CK1748" s="48"/>
    </row>
    <row r="1749" spans="1:89" ht="15.75" customHeight="1" x14ac:dyDescent="0.3">
      <c r="A1749" s="47"/>
      <c r="B1749" s="48"/>
      <c r="C1749" s="47"/>
      <c r="D1749" s="48"/>
      <c r="E1749" s="48"/>
      <c r="F1749" s="48"/>
      <c r="G1749" s="48"/>
      <c r="H1749" s="48"/>
      <c r="I1749" s="49"/>
      <c r="J1749" s="47"/>
      <c r="K1749" s="47"/>
      <c r="L1749" s="47"/>
      <c r="M1749" s="47"/>
      <c r="N1749" s="47"/>
      <c r="O1749" s="47"/>
      <c r="P1749" s="47"/>
      <c r="Q1749" s="47"/>
      <c r="R1749" s="47"/>
      <c r="S1749" s="50"/>
      <c r="T1749" s="47"/>
      <c r="U1749" s="47"/>
      <c r="V1749" s="47"/>
      <c r="W1749" s="51"/>
      <c r="X1749" s="51"/>
      <c r="Y1749" s="47"/>
      <c r="Z1749" s="47"/>
      <c r="AA1749" s="47"/>
      <c r="AB1749" s="47"/>
      <c r="AC1749" s="47"/>
      <c r="AD1749" s="47"/>
      <c r="AE1749" s="54"/>
      <c r="AF1749" s="54"/>
      <c r="AG1749" s="55"/>
      <c r="AH1749" s="54"/>
      <c r="AI1749" s="54"/>
      <c r="AJ1749" s="54"/>
      <c r="AK1749" s="54"/>
      <c r="AL1749" s="54"/>
      <c r="AM1749" s="54"/>
      <c r="AN1749" s="54"/>
      <c r="AO1749" s="54"/>
      <c r="AP1749" s="54"/>
      <c r="AQ1749" s="54"/>
      <c r="AR1749" s="54"/>
      <c r="AS1749" s="54"/>
      <c r="AT1749" s="54"/>
      <c r="AU1749" s="54"/>
      <c r="AV1749" s="54"/>
      <c r="AW1749" s="54"/>
      <c r="AX1749" s="54"/>
      <c r="AY1749" s="54"/>
      <c r="AZ1749" s="54"/>
      <c r="BA1749" s="54"/>
      <c r="BB1749" s="54"/>
      <c r="BC1749" s="56"/>
      <c r="BD1749" s="51"/>
      <c r="BE1749" s="54"/>
      <c r="BF1749" s="54"/>
      <c r="BG1749" s="47"/>
      <c r="BH1749" s="48"/>
      <c r="BI1749" s="48"/>
      <c r="BJ1749" s="48"/>
      <c r="BK1749" s="48"/>
      <c r="BL1749" s="48"/>
      <c r="BM1749" s="48"/>
      <c r="BN1749" s="48"/>
      <c r="BO1749" s="48"/>
      <c r="BP1749" s="48"/>
      <c r="BQ1749" s="48"/>
      <c r="BR1749" s="48"/>
      <c r="BS1749" s="48"/>
      <c r="BT1749" s="48"/>
      <c r="BU1749" s="48"/>
      <c r="BV1749" s="48"/>
      <c r="BW1749" s="48"/>
      <c r="BX1749" s="48"/>
      <c r="BY1749" s="48"/>
      <c r="BZ1749" s="48"/>
      <c r="CA1749" s="48"/>
      <c r="CB1749" s="48"/>
      <c r="CC1749" s="48"/>
      <c r="CD1749" s="48"/>
      <c r="CE1749" s="48"/>
      <c r="CF1749" s="52"/>
      <c r="CG1749" s="52"/>
      <c r="CH1749" s="48"/>
      <c r="CI1749" s="48"/>
      <c r="CJ1749" s="48"/>
      <c r="CK1749" s="48"/>
    </row>
    <row r="1750" spans="1:89" ht="15.75" customHeight="1" x14ac:dyDescent="0.3">
      <c r="A1750" s="47"/>
      <c r="B1750" s="48"/>
      <c r="C1750" s="47"/>
      <c r="D1750" s="48"/>
      <c r="E1750" s="48"/>
      <c r="F1750" s="48"/>
      <c r="G1750" s="48"/>
      <c r="H1750" s="48"/>
      <c r="I1750" s="49"/>
      <c r="J1750" s="47"/>
      <c r="K1750" s="47"/>
      <c r="L1750" s="47"/>
      <c r="M1750" s="47"/>
      <c r="N1750" s="47"/>
      <c r="O1750" s="47"/>
      <c r="P1750" s="47"/>
      <c r="Q1750" s="47"/>
      <c r="R1750" s="47"/>
      <c r="S1750" s="50"/>
      <c r="T1750" s="47"/>
      <c r="U1750" s="47"/>
      <c r="V1750" s="47"/>
      <c r="W1750" s="51"/>
      <c r="X1750" s="51"/>
      <c r="Y1750" s="47"/>
      <c r="Z1750" s="47"/>
      <c r="AA1750" s="47"/>
      <c r="AB1750" s="47"/>
      <c r="AC1750" s="47"/>
      <c r="AD1750" s="47"/>
      <c r="AE1750" s="54"/>
      <c r="AF1750" s="54"/>
      <c r="AG1750" s="55"/>
      <c r="AH1750" s="54"/>
      <c r="AI1750" s="54"/>
      <c r="AJ1750" s="54"/>
      <c r="AK1750" s="54"/>
      <c r="AL1750" s="54"/>
      <c r="AM1750" s="54"/>
      <c r="AN1750" s="54"/>
      <c r="AO1750" s="54"/>
      <c r="AP1750" s="54"/>
      <c r="AQ1750" s="54"/>
      <c r="AR1750" s="54"/>
      <c r="AS1750" s="54"/>
      <c r="AT1750" s="54"/>
      <c r="AU1750" s="54"/>
      <c r="AV1750" s="54"/>
      <c r="AW1750" s="54"/>
      <c r="AX1750" s="54"/>
      <c r="AY1750" s="54"/>
      <c r="AZ1750" s="54"/>
      <c r="BA1750" s="54"/>
      <c r="BB1750" s="54"/>
      <c r="BC1750" s="56"/>
      <c r="BD1750" s="51"/>
      <c r="BE1750" s="54"/>
      <c r="BF1750" s="54"/>
      <c r="BG1750" s="47"/>
      <c r="BH1750" s="48"/>
      <c r="BI1750" s="48"/>
      <c r="BJ1750" s="48"/>
      <c r="BK1750" s="48"/>
      <c r="BL1750" s="48"/>
      <c r="BM1750" s="48"/>
      <c r="BN1750" s="48"/>
      <c r="BO1750" s="48"/>
      <c r="BP1750" s="48"/>
      <c r="BQ1750" s="48"/>
      <c r="BR1750" s="48"/>
      <c r="BS1750" s="48"/>
      <c r="BT1750" s="48"/>
      <c r="BU1750" s="48"/>
      <c r="BV1750" s="48"/>
      <c r="BW1750" s="48"/>
      <c r="BX1750" s="48"/>
      <c r="BY1750" s="48"/>
      <c r="BZ1750" s="48"/>
      <c r="CA1750" s="48"/>
      <c r="CB1750" s="48"/>
      <c r="CC1750" s="48"/>
      <c r="CD1750" s="48"/>
      <c r="CE1750" s="48"/>
      <c r="CF1750" s="52"/>
      <c r="CG1750" s="52"/>
      <c r="CH1750" s="48"/>
      <c r="CI1750" s="48"/>
      <c r="CJ1750" s="48"/>
      <c r="CK1750" s="48"/>
    </row>
    <row r="1751" spans="1:89" ht="15.75" customHeight="1" x14ac:dyDescent="0.3">
      <c r="A1751" s="47"/>
      <c r="B1751" s="48"/>
      <c r="C1751" s="47"/>
      <c r="D1751" s="48"/>
      <c r="E1751" s="48"/>
      <c r="F1751" s="48"/>
      <c r="G1751" s="48"/>
      <c r="H1751" s="48"/>
      <c r="I1751" s="49"/>
      <c r="J1751" s="47"/>
      <c r="K1751" s="47"/>
      <c r="L1751" s="47"/>
      <c r="M1751" s="47"/>
      <c r="N1751" s="47"/>
      <c r="O1751" s="47"/>
      <c r="P1751" s="47"/>
      <c r="Q1751" s="47"/>
      <c r="R1751" s="47"/>
      <c r="S1751" s="50"/>
      <c r="T1751" s="47"/>
      <c r="U1751" s="47"/>
      <c r="V1751" s="47"/>
      <c r="W1751" s="51"/>
      <c r="X1751" s="51"/>
      <c r="Y1751" s="47"/>
      <c r="Z1751" s="47"/>
      <c r="AA1751" s="47"/>
      <c r="AB1751" s="47"/>
      <c r="AC1751" s="47"/>
      <c r="AD1751" s="47"/>
      <c r="AE1751" s="54"/>
      <c r="AF1751" s="54"/>
      <c r="AG1751" s="55"/>
      <c r="AH1751" s="54"/>
      <c r="AI1751" s="54"/>
      <c r="AJ1751" s="54"/>
      <c r="AK1751" s="54"/>
      <c r="AL1751" s="54"/>
      <c r="AM1751" s="54"/>
      <c r="AN1751" s="54"/>
      <c r="AO1751" s="54"/>
      <c r="AP1751" s="54"/>
      <c r="AQ1751" s="54"/>
      <c r="AR1751" s="54"/>
      <c r="AS1751" s="54"/>
      <c r="AT1751" s="54"/>
      <c r="AU1751" s="54"/>
      <c r="AV1751" s="54"/>
      <c r="AW1751" s="54"/>
      <c r="AX1751" s="54"/>
      <c r="AY1751" s="54"/>
      <c r="AZ1751" s="54"/>
      <c r="BA1751" s="54"/>
      <c r="BB1751" s="54"/>
      <c r="BC1751" s="56"/>
      <c r="BD1751" s="51"/>
      <c r="BE1751" s="54"/>
      <c r="BF1751" s="54"/>
      <c r="BG1751" s="47"/>
      <c r="BH1751" s="48"/>
      <c r="BI1751" s="48"/>
      <c r="BJ1751" s="48"/>
      <c r="BK1751" s="48"/>
      <c r="BL1751" s="48"/>
      <c r="BM1751" s="48"/>
      <c r="BN1751" s="48"/>
      <c r="BO1751" s="48"/>
      <c r="BP1751" s="48"/>
      <c r="BQ1751" s="48"/>
      <c r="BR1751" s="48"/>
      <c r="BS1751" s="48"/>
      <c r="BT1751" s="48"/>
      <c r="BU1751" s="48"/>
      <c r="BV1751" s="48"/>
      <c r="BW1751" s="48"/>
      <c r="BX1751" s="48"/>
      <c r="BY1751" s="48"/>
      <c r="BZ1751" s="48"/>
      <c r="CA1751" s="48"/>
      <c r="CB1751" s="48"/>
      <c r="CC1751" s="48"/>
      <c r="CD1751" s="48"/>
      <c r="CE1751" s="48"/>
      <c r="CF1751" s="52"/>
      <c r="CG1751" s="52"/>
      <c r="CH1751" s="48"/>
      <c r="CI1751" s="48"/>
      <c r="CJ1751" s="48"/>
      <c r="CK1751" s="48"/>
    </row>
    <row r="1752" spans="1:89" ht="15.75" customHeight="1" x14ac:dyDescent="0.3">
      <c r="A1752" s="47"/>
      <c r="B1752" s="48"/>
      <c r="C1752" s="47"/>
      <c r="D1752" s="48"/>
      <c r="E1752" s="48"/>
      <c r="F1752" s="48"/>
      <c r="G1752" s="48"/>
      <c r="H1752" s="48"/>
      <c r="I1752" s="49"/>
      <c r="J1752" s="47"/>
      <c r="K1752" s="47"/>
      <c r="L1752" s="47"/>
      <c r="M1752" s="47"/>
      <c r="N1752" s="47"/>
      <c r="O1752" s="47"/>
      <c r="P1752" s="47"/>
      <c r="Q1752" s="47"/>
      <c r="R1752" s="47"/>
      <c r="S1752" s="50"/>
      <c r="T1752" s="47"/>
      <c r="U1752" s="47"/>
      <c r="V1752" s="47"/>
      <c r="W1752" s="51"/>
      <c r="X1752" s="51"/>
      <c r="Y1752" s="47"/>
      <c r="Z1752" s="47"/>
      <c r="AA1752" s="47"/>
      <c r="AB1752" s="47"/>
      <c r="AC1752" s="47"/>
      <c r="AD1752" s="47"/>
      <c r="AE1752" s="54"/>
      <c r="AF1752" s="54"/>
      <c r="AG1752" s="55"/>
      <c r="AH1752" s="54"/>
      <c r="AI1752" s="54"/>
      <c r="AJ1752" s="54"/>
      <c r="AK1752" s="54"/>
      <c r="AL1752" s="54"/>
      <c r="AM1752" s="54"/>
      <c r="AN1752" s="54"/>
      <c r="AO1752" s="54"/>
      <c r="AP1752" s="54"/>
      <c r="AQ1752" s="54"/>
      <c r="AR1752" s="54"/>
      <c r="AS1752" s="54"/>
      <c r="AT1752" s="54"/>
      <c r="AU1752" s="54"/>
      <c r="AV1752" s="54"/>
      <c r="AW1752" s="54"/>
      <c r="AX1752" s="54"/>
      <c r="AY1752" s="54"/>
      <c r="AZ1752" s="54"/>
      <c r="BA1752" s="54"/>
      <c r="BB1752" s="54"/>
      <c r="BC1752" s="56"/>
      <c r="BD1752" s="51"/>
      <c r="BE1752" s="54"/>
      <c r="BF1752" s="54"/>
      <c r="BG1752" s="47"/>
      <c r="BH1752" s="48"/>
      <c r="BI1752" s="48"/>
      <c r="BJ1752" s="48"/>
      <c r="BK1752" s="48"/>
      <c r="BL1752" s="48"/>
      <c r="BM1752" s="48"/>
      <c r="BN1752" s="48"/>
      <c r="BO1752" s="48"/>
      <c r="BP1752" s="48"/>
      <c r="BQ1752" s="48"/>
      <c r="BR1752" s="48"/>
      <c r="BS1752" s="48"/>
      <c r="BT1752" s="48"/>
      <c r="BU1752" s="48"/>
      <c r="BV1752" s="48"/>
      <c r="BW1752" s="48"/>
      <c r="BX1752" s="48"/>
      <c r="BY1752" s="48"/>
      <c r="BZ1752" s="48"/>
      <c r="CA1752" s="48"/>
      <c r="CB1752" s="48"/>
      <c r="CC1752" s="48"/>
      <c r="CD1752" s="48"/>
      <c r="CE1752" s="48"/>
      <c r="CF1752" s="52"/>
      <c r="CG1752" s="52"/>
      <c r="CH1752" s="48"/>
      <c r="CI1752" s="48"/>
      <c r="CJ1752" s="48"/>
      <c r="CK1752" s="48"/>
    </row>
    <row r="1753" spans="1:89" ht="15.75" customHeight="1" x14ac:dyDescent="0.3">
      <c r="A1753" s="47"/>
      <c r="B1753" s="48"/>
      <c r="C1753" s="47"/>
      <c r="D1753" s="48"/>
      <c r="E1753" s="48"/>
      <c r="F1753" s="48"/>
      <c r="G1753" s="48"/>
      <c r="H1753" s="48"/>
      <c r="I1753" s="49"/>
      <c r="J1753" s="47"/>
      <c r="K1753" s="47"/>
      <c r="L1753" s="47"/>
      <c r="M1753" s="47"/>
      <c r="N1753" s="47"/>
      <c r="O1753" s="47"/>
      <c r="P1753" s="47"/>
      <c r="Q1753" s="47"/>
      <c r="R1753" s="47"/>
      <c r="S1753" s="50"/>
      <c r="T1753" s="47"/>
      <c r="U1753" s="47"/>
      <c r="V1753" s="47"/>
      <c r="W1753" s="51"/>
      <c r="X1753" s="51"/>
      <c r="Y1753" s="47"/>
      <c r="Z1753" s="47"/>
      <c r="AA1753" s="47"/>
      <c r="AB1753" s="47"/>
      <c r="AC1753" s="47"/>
      <c r="AD1753" s="47"/>
      <c r="AE1753" s="54"/>
      <c r="AF1753" s="54"/>
      <c r="AG1753" s="55"/>
      <c r="AH1753" s="54"/>
      <c r="AI1753" s="54"/>
      <c r="AJ1753" s="54"/>
      <c r="AK1753" s="54"/>
      <c r="AL1753" s="54"/>
      <c r="AM1753" s="54"/>
      <c r="AN1753" s="54"/>
      <c r="AO1753" s="54"/>
      <c r="AP1753" s="54"/>
      <c r="AQ1753" s="54"/>
      <c r="AR1753" s="54"/>
      <c r="AS1753" s="54"/>
      <c r="AT1753" s="54"/>
      <c r="AU1753" s="54"/>
      <c r="AV1753" s="54"/>
      <c r="AW1753" s="54"/>
      <c r="AX1753" s="54"/>
      <c r="AY1753" s="54"/>
      <c r="AZ1753" s="54"/>
      <c r="BA1753" s="54"/>
      <c r="BB1753" s="54"/>
      <c r="BC1753" s="56"/>
      <c r="BD1753" s="51"/>
      <c r="BE1753" s="54"/>
      <c r="BF1753" s="54"/>
      <c r="BG1753" s="47"/>
      <c r="BH1753" s="48"/>
      <c r="BI1753" s="48"/>
      <c r="BJ1753" s="48"/>
      <c r="BK1753" s="48"/>
      <c r="BL1753" s="48"/>
      <c r="BM1753" s="48"/>
      <c r="BN1753" s="48"/>
      <c r="BO1753" s="48"/>
      <c r="BP1753" s="48"/>
      <c r="BQ1753" s="48"/>
      <c r="BR1753" s="48"/>
      <c r="BS1753" s="48"/>
      <c r="BT1753" s="48"/>
      <c r="BU1753" s="48"/>
      <c r="BV1753" s="48"/>
      <c r="BW1753" s="48"/>
      <c r="BX1753" s="48"/>
      <c r="BY1753" s="48"/>
      <c r="BZ1753" s="48"/>
      <c r="CA1753" s="48"/>
      <c r="CB1753" s="48"/>
      <c r="CC1753" s="48"/>
      <c r="CD1753" s="48"/>
      <c r="CE1753" s="48"/>
      <c r="CF1753" s="52"/>
      <c r="CG1753" s="52"/>
      <c r="CH1753" s="48"/>
      <c r="CI1753" s="48"/>
      <c r="CJ1753" s="48"/>
      <c r="CK1753" s="48"/>
    </row>
    <row r="1754" spans="1:89" ht="15.75" customHeight="1" x14ac:dyDescent="0.3">
      <c r="A1754" s="47"/>
      <c r="B1754" s="48"/>
      <c r="C1754" s="47"/>
      <c r="D1754" s="48"/>
      <c r="E1754" s="48"/>
      <c r="F1754" s="48"/>
      <c r="G1754" s="48"/>
      <c r="H1754" s="48"/>
      <c r="I1754" s="49"/>
      <c r="J1754" s="47"/>
      <c r="K1754" s="47"/>
      <c r="L1754" s="47"/>
      <c r="M1754" s="47"/>
      <c r="N1754" s="47"/>
      <c r="O1754" s="47"/>
      <c r="P1754" s="47"/>
      <c r="Q1754" s="47"/>
      <c r="R1754" s="47"/>
      <c r="S1754" s="50"/>
      <c r="T1754" s="47"/>
      <c r="U1754" s="47"/>
      <c r="V1754" s="47"/>
      <c r="W1754" s="51"/>
      <c r="X1754" s="51"/>
      <c r="Y1754" s="47"/>
      <c r="Z1754" s="47"/>
      <c r="AA1754" s="47"/>
      <c r="AB1754" s="47"/>
      <c r="AC1754" s="47"/>
      <c r="AD1754" s="47"/>
      <c r="AE1754" s="54"/>
      <c r="AF1754" s="54"/>
      <c r="AG1754" s="55"/>
      <c r="AH1754" s="54"/>
      <c r="AI1754" s="54"/>
      <c r="AJ1754" s="54"/>
      <c r="AK1754" s="54"/>
      <c r="AL1754" s="54"/>
      <c r="AM1754" s="54"/>
      <c r="AN1754" s="54"/>
      <c r="AO1754" s="54"/>
      <c r="AP1754" s="54"/>
      <c r="AQ1754" s="54"/>
      <c r="AR1754" s="54"/>
      <c r="AS1754" s="54"/>
      <c r="AT1754" s="54"/>
      <c r="AU1754" s="54"/>
      <c r="AV1754" s="54"/>
      <c r="AW1754" s="54"/>
      <c r="AX1754" s="54"/>
      <c r="AY1754" s="54"/>
      <c r="AZ1754" s="54"/>
      <c r="BA1754" s="54"/>
      <c r="BB1754" s="54"/>
      <c r="BC1754" s="56"/>
      <c r="BD1754" s="51"/>
      <c r="BE1754" s="54"/>
      <c r="BF1754" s="54"/>
      <c r="BG1754" s="47"/>
      <c r="BH1754" s="48"/>
      <c r="BI1754" s="48"/>
      <c r="BJ1754" s="48"/>
      <c r="BK1754" s="48"/>
      <c r="BL1754" s="48"/>
      <c r="BM1754" s="48"/>
      <c r="BN1754" s="48"/>
      <c r="BO1754" s="48"/>
      <c r="BP1754" s="48"/>
      <c r="BQ1754" s="48"/>
      <c r="BR1754" s="48"/>
      <c r="BS1754" s="48"/>
      <c r="BT1754" s="48"/>
      <c r="BU1754" s="48"/>
      <c r="BV1754" s="48"/>
      <c r="BW1754" s="48"/>
      <c r="BX1754" s="48"/>
      <c r="BY1754" s="48"/>
      <c r="BZ1754" s="48"/>
      <c r="CA1754" s="48"/>
      <c r="CB1754" s="48"/>
      <c r="CC1754" s="48"/>
      <c r="CD1754" s="48"/>
      <c r="CE1754" s="48"/>
      <c r="CF1754" s="52"/>
      <c r="CG1754" s="52"/>
      <c r="CH1754" s="48"/>
      <c r="CI1754" s="48"/>
      <c r="CJ1754" s="48"/>
      <c r="CK1754" s="48"/>
    </row>
    <row r="1755" spans="1:89" ht="15.75" customHeight="1" x14ac:dyDescent="0.3">
      <c r="A1755" s="47"/>
      <c r="B1755" s="48"/>
      <c r="C1755" s="47"/>
      <c r="D1755" s="48"/>
      <c r="E1755" s="48"/>
      <c r="F1755" s="48"/>
      <c r="G1755" s="48"/>
      <c r="H1755" s="48"/>
      <c r="I1755" s="49"/>
      <c r="J1755" s="47"/>
      <c r="K1755" s="47"/>
      <c r="L1755" s="47"/>
      <c r="M1755" s="47"/>
      <c r="N1755" s="47"/>
      <c r="O1755" s="47"/>
      <c r="P1755" s="47"/>
      <c r="Q1755" s="47"/>
      <c r="R1755" s="47"/>
      <c r="S1755" s="50"/>
      <c r="T1755" s="47"/>
      <c r="U1755" s="47"/>
      <c r="V1755" s="47"/>
      <c r="W1755" s="51"/>
      <c r="X1755" s="51"/>
      <c r="Y1755" s="47"/>
      <c r="Z1755" s="47"/>
      <c r="AA1755" s="47"/>
      <c r="AB1755" s="47"/>
      <c r="AC1755" s="47"/>
      <c r="AD1755" s="47"/>
      <c r="AE1755" s="54"/>
      <c r="AF1755" s="54"/>
      <c r="AG1755" s="55"/>
      <c r="AH1755" s="54"/>
      <c r="AI1755" s="54"/>
      <c r="AJ1755" s="54"/>
      <c r="AK1755" s="54"/>
      <c r="AL1755" s="54"/>
      <c r="AM1755" s="54"/>
      <c r="AN1755" s="54"/>
      <c r="AO1755" s="54"/>
      <c r="AP1755" s="54"/>
      <c r="AQ1755" s="54"/>
      <c r="AR1755" s="54"/>
      <c r="AS1755" s="54"/>
      <c r="AT1755" s="54"/>
      <c r="AU1755" s="54"/>
      <c r="AV1755" s="54"/>
      <c r="AW1755" s="54"/>
      <c r="AX1755" s="54"/>
      <c r="AY1755" s="54"/>
      <c r="AZ1755" s="54"/>
      <c r="BA1755" s="54"/>
      <c r="BB1755" s="54"/>
      <c r="BC1755" s="56"/>
      <c r="BD1755" s="51"/>
      <c r="BE1755" s="54"/>
      <c r="BF1755" s="54"/>
      <c r="BG1755" s="47"/>
      <c r="BH1755" s="48"/>
      <c r="BI1755" s="48"/>
      <c r="BJ1755" s="48"/>
      <c r="BK1755" s="48"/>
      <c r="BL1755" s="48"/>
      <c r="BM1755" s="48"/>
      <c r="BN1755" s="48"/>
      <c r="BO1755" s="48"/>
      <c r="BP1755" s="48"/>
      <c r="BQ1755" s="48"/>
      <c r="BR1755" s="48"/>
      <c r="BS1755" s="48"/>
      <c r="BT1755" s="48"/>
      <c r="BU1755" s="48"/>
      <c r="BV1755" s="48"/>
      <c r="BW1755" s="48"/>
      <c r="BX1755" s="48"/>
      <c r="BY1755" s="48"/>
      <c r="BZ1755" s="48"/>
      <c r="CA1755" s="48"/>
      <c r="CB1755" s="48"/>
      <c r="CC1755" s="48"/>
      <c r="CD1755" s="48"/>
      <c r="CE1755" s="48"/>
      <c r="CF1755" s="52"/>
      <c r="CG1755" s="52"/>
      <c r="CH1755" s="48"/>
      <c r="CI1755" s="48"/>
      <c r="CJ1755" s="48"/>
      <c r="CK1755" s="48"/>
    </row>
    <row r="1756" spans="1:89" ht="15.75" customHeight="1" x14ac:dyDescent="0.3">
      <c r="A1756" s="47"/>
      <c r="B1756" s="48"/>
      <c r="C1756" s="47"/>
      <c r="D1756" s="48"/>
      <c r="E1756" s="48"/>
      <c r="F1756" s="48"/>
      <c r="G1756" s="48"/>
      <c r="H1756" s="48"/>
      <c r="I1756" s="49"/>
      <c r="J1756" s="47"/>
      <c r="K1756" s="47"/>
      <c r="L1756" s="47"/>
      <c r="M1756" s="47"/>
      <c r="N1756" s="47"/>
      <c r="O1756" s="47"/>
      <c r="P1756" s="47"/>
      <c r="Q1756" s="47"/>
      <c r="R1756" s="47"/>
      <c r="S1756" s="50"/>
      <c r="T1756" s="47"/>
      <c r="U1756" s="47"/>
      <c r="V1756" s="47"/>
      <c r="W1756" s="51"/>
      <c r="X1756" s="51"/>
      <c r="Y1756" s="47"/>
      <c r="Z1756" s="47"/>
      <c r="AA1756" s="47"/>
      <c r="AB1756" s="47"/>
      <c r="AC1756" s="47"/>
      <c r="AD1756" s="47"/>
      <c r="AE1756" s="54"/>
      <c r="AF1756" s="54"/>
      <c r="AG1756" s="55"/>
      <c r="AH1756" s="54"/>
      <c r="AI1756" s="54"/>
      <c r="AJ1756" s="54"/>
      <c r="AK1756" s="54"/>
      <c r="AL1756" s="54"/>
      <c r="AM1756" s="54"/>
      <c r="AN1756" s="54"/>
      <c r="AO1756" s="54"/>
      <c r="AP1756" s="54"/>
      <c r="AQ1756" s="54"/>
      <c r="AR1756" s="54"/>
      <c r="AS1756" s="54"/>
      <c r="AT1756" s="54"/>
      <c r="AU1756" s="54"/>
      <c r="AV1756" s="54"/>
      <c r="AW1756" s="54"/>
      <c r="AX1756" s="54"/>
      <c r="AY1756" s="54"/>
      <c r="AZ1756" s="54"/>
      <c r="BA1756" s="54"/>
      <c r="BB1756" s="54"/>
      <c r="BC1756" s="56"/>
      <c r="BD1756" s="51"/>
      <c r="BE1756" s="54"/>
      <c r="BF1756" s="54"/>
      <c r="BG1756" s="47"/>
      <c r="BH1756" s="48"/>
      <c r="BI1756" s="48"/>
      <c r="BJ1756" s="48"/>
      <c r="BK1756" s="48"/>
      <c r="BL1756" s="48"/>
      <c r="BM1756" s="48"/>
      <c r="BN1756" s="48"/>
      <c r="BO1756" s="48"/>
      <c r="BP1756" s="48"/>
      <c r="BQ1756" s="48"/>
      <c r="BR1756" s="48"/>
      <c r="BS1756" s="48"/>
      <c r="BT1756" s="48"/>
      <c r="BU1756" s="48"/>
      <c r="BV1756" s="48"/>
      <c r="BW1756" s="48"/>
      <c r="BX1756" s="48"/>
      <c r="BY1756" s="48"/>
      <c r="BZ1756" s="48"/>
      <c r="CA1756" s="48"/>
      <c r="CB1756" s="48"/>
      <c r="CC1756" s="48"/>
      <c r="CD1756" s="48"/>
      <c r="CE1756" s="48"/>
      <c r="CF1756" s="52"/>
      <c r="CG1756" s="52"/>
      <c r="CH1756" s="48"/>
      <c r="CI1756" s="48"/>
      <c r="CJ1756" s="48"/>
      <c r="CK1756" s="48"/>
    </row>
    <row r="1757" spans="1:89" ht="15.75" customHeight="1" x14ac:dyDescent="0.3">
      <c r="A1757" s="47"/>
      <c r="B1757" s="48"/>
      <c r="C1757" s="47"/>
      <c r="D1757" s="48"/>
      <c r="E1757" s="48"/>
      <c r="F1757" s="48"/>
      <c r="G1757" s="48"/>
      <c r="H1757" s="48"/>
      <c r="I1757" s="49"/>
      <c r="J1757" s="47"/>
      <c r="K1757" s="47"/>
      <c r="L1757" s="47"/>
      <c r="M1757" s="47"/>
      <c r="N1757" s="47"/>
      <c r="O1757" s="47"/>
      <c r="P1757" s="47"/>
      <c r="Q1757" s="47"/>
      <c r="R1757" s="47"/>
      <c r="S1757" s="50"/>
      <c r="T1757" s="47"/>
      <c r="U1757" s="47"/>
      <c r="V1757" s="47"/>
      <c r="W1757" s="51"/>
      <c r="X1757" s="51"/>
      <c r="Y1757" s="47"/>
      <c r="Z1757" s="47"/>
      <c r="AA1757" s="47"/>
      <c r="AB1757" s="47"/>
      <c r="AC1757" s="47"/>
      <c r="AD1757" s="47"/>
      <c r="AE1757" s="54"/>
      <c r="AF1757" s="54"/>
      <c r="AG1757" s="55"/>
      <c r="AH1757" s="54"/>
      <c r="AI1757" s="54"/>
      <c r="AJ1757" s="54"/>
      <c r="AK1757" s="54"/>
      <c r="AL1757" s="54"/>
      <c r="AM1757" s="54"/>
      <c r="AN1757" s="54"/>
      <c r="AO1757" s="54"/>
      <c r="AP1757" s="54"/>
      <c r="AQ1757" s="54"/>
      <c r="AR1757" s="54"/>
      <c r="AS1757" s="54"/>
      <c r="AT1757" s="54"/>
      <c r="AU1757" s="54"/>
      <c r="AV1757" s="54"/>
      <c r="AW1757" s="54"/>
      <c r="AX1757" s="54"/>
      <c r="AY1757" s="54"/>
      <c r="AZ1757" s="54"/>
      <c r="BA1757" s="54"/>
      <c r="BB1757" s="54"/>
      <c r="BC1757" s="56"/>
      <c r="BD1757" s="51"/>
      <c r="BE1757" s="54"/>
      <c r="BF1757" s="54"/>
      <c r="BG1757" s="47"/>
      <c r="BH1757" s="48"/>
      <c r="BI1757" s="48"/>
      <c r="BJ1757" s="48"/>
      <c r="BK1757" s="48"/>
      <c r="BL1757" s="48"/>
      <c r="BM1757" s="48"/>
      <c r="BN1757" s="48"/>
      <c r="BO1757" s="48"/>
      <c r="BP1757" s="48"/>
      <c r="BQ1757" s="48"/>
      <c r="BR1757" s="48"/>
      <c r="BS1757" s="48"/>
      <c r="BT1757" s="48"/>
      <c r="BU1757" s="48"/>
      <c r="BV1757" s="48"/>
      <c r="BW1757" s="48"/>
      <c r="BX1757" s="48"/>
      <c r="BY1757" s="48"/>
      <c r="BZ1757" s="48"/>
      <c r="CA1757" s="48"/>
      <c r="CB1757" s="48"/>
      <c r="CC1757" s="48"/>
      <c r="CD1757" s="48"/>
      <c r="CE1757" s="48"/>
      <c r="CF1757" s="52"/>
      <c r="CG1757" s="52"/>
      <c r="CH1757" s="48"/>
      <c r="CI1757" s="48"/>
      <c r="CJ1757" s="48"/>
      <c r="CK1757" s="48"/>
    </row>
    <row r="1758" spans="1:89" ht="15.75" customHeight="1" x14ac:dyDescent="0.3">
      <c r="A1758" s="47"/>
      <c r="B1758" s="48"/>
      <c r="C1758" s="47"/>
      <c r="D1758" s="48"/>
      <c r="E1758" s="48"/>
      <c r="F1758" s="48"/>
      <c r="G1758" s="48"/>
      <c r="H1758" s="48"/>
      <c r="I1758" s="49"/>
      <c r="J1758" s="47"/>
      <c r="K1758" s="47"/>
      <c r="L1758" s="47"/>
      <c r="M1758" s="47"/>
      <c r="N1758" s="47"/>
      <c r="O1758" s="47"/>
      <c r="P1758" s="47"/>
      <c r="Q1758" s="47"/>
      <c r="R1758" s="47"/>
      <c r="S1758" s="50"/>
      <c r="T1758" s="47"/>
      <c r="U1758" s="47"/>
      <c r="V1758" s="47"/>
      <c r="W1758" s="51"/>
      <c r="X1758" s="51"/>
      <c r="Y1758" s="47"/>
      <c r="Z1758" s="47"/>
      <c r="AA1758" s="47"/>
      <c r="AB1758" s="47"/>
      <c r="AC1758" s="47"/>
      <c r="AD1758" s="47"/>
      <c r="AE1758" s="54"/>
      <c r="AF1758" s="54"/>
      <c r="AG1758" s="55"/>
      <c r="AH1758" s="54"/>
      <c r="AI1758" s="54"/>
      <c r="AJ1758" s="54"/>
      <c r="AK1758" s="54"/>
      <c r="AL1758" s="54"/>
      <c r="AM1758" s="54"/>
      <c r="AN1758" s="54"/>
      <c r="AO1758" s="54"/>
      <c r="AP1758" s="54"/>
      <c r="AQ1758" s="54"/>
      <c r="AR1758" s="54"/>
      <c r="AS1758" s="54"/>
      <c r="AT1758" s="54"/>
      <c r="AU1758" s="54"/>
      <c r="AV1758" s="54"/>
      <c r="AW1758" s="54"/>
      <c r="AX1758" s="54"/>
      <c r="AY1758" s="54"/>
      <c r="AZ1758" s="54"/>
      <c r="BA1758" s="54"/>
      <c r="BB1758" s="54"/>
      <c r="BC1758" s="56"/>
      <c r="BD1758" s="51"/>
      <c r="BE1758" s="54"/>
      <c r="BF1758" s="54"/>
      <c r="BG1758" s="47"/>
      <c r="BH1758" s="48"/>
      <c r="BI1758" s="48"/>
      <c r="BJ1758" s="48"/>
      <c r="BK1758" s="48"/>
      <c r="BL1758" s="48"/>
      <c r="BM1758" s="48"/>
      <c r="BN1758" s="48"/>
      <c r="BO1758" s="48"/>
      <c r="BP1758" s="48"/>
      <c r="BQ1758" s="48"/>
      <c r="BR1758" s="48"/>
      <c r="BS1758" s="48"/>
      <c r="BT1758" s="48"/>
      <c r="BU1758" s="48"/>
      <c r="BV1758" s="48"/>
      <c r="BW1758" s="48"/>
      <c r="BX1758" s="48"/>
      <c r="BY1758" s="48"/>
      <c r="BZ1758" s="48"/>
      <c r="CA1758" s="48"/>
      <c r="CB1758" s="48"/>
      <c r="CC1758" s="48"/>
      <c r="CD1758" s="48"/>
      <c r="CE1758" s="48"/>
      <c r="CF1758" s="52"/>
      <c r="CG1758" s="52"/>
      <c r="CH1758" s="48"/>
      <c r="CI1758" s="48"/>
      <c r="CJ1758" s="48"/>
      <c r="CK1758" s="48"/>
    </row>
    <row r="1759" spans="1:89" ht="15.75" customHeight="1" x14ac:dyDescent="0.3">
      <c r="A1759" s="47"/>
      <c r="B1759" s="48"/>
      <c r="C1759" s="47"/>
      <c r="D1759" s="48"/>
      <c r="E1759" s="48"/>
      <c r="F1759" s="48"/>
      <c r="G1759" s="48"/>
      <c r="H1759" s="48"/>
      <c r="I1759" s="49"/>
      <c r="J1759" s="47"/>
      <c r="K1759" s="47"/>
      <c r="L1759" s="47"/>
      <c r="M1759" s="47"/>
      <c r="N1759" s="47"/>
      <c r="O1759" s="47"/>
      <c r="P1759" s="47"/>
      <c r="Q1759" s="47"/>
      <c r="R1759" s="47"/>
      <c r="S1759" s="50"/>
      <c r="T1759" s="47"/>
      <c r="U1759" s="47"/>
      <c r="V1759" s="47"/>
      <c r="W1759" s="51"/>
      <c r="X1759" s="51"/>
      <c r="Y1759" s="47"/>
      <c r="Z1759" s="47"/>
      <c r="AA1759" s="47"/>
      <c r="AB1759" s="47"/>
      <c r="AC1759" s="47"/>
      <c r="AD1759" s="47"/>
      <c r="AE1759" s="54"/>
      <c r="AF1759" s="54"/>
      <c r="AG1759" s="55"/>
      <c r="AH1759" s="54"/>
      <c r="AI1759" s="54"/>
      <c r="AJ1759" s="54"/>
      <c r="AK1759" s="54"/>
      <c r="AL1759" s="54"/>
      <c r="AM1759" s="54"/>
      <c r="AN1759" s="54"/>
      <c r="AO1759" s="54"/>
      <c r="AP1759" s="54"/>
      <c r="AQ1759" s="54"/>
      <c r="AR1759" s="54"/>
      <c r="AS1759" s="54"/>
      <c r="AT1759" s="54"/>
      <c r="AU1759" s="54"/>
      <c r="AV1759" s="54"/>
      <c r="AW1759" s="54"/>
      <c r="AX1759" s="54"/>
      <c r="AY1759" s="54"/>
      <c r="AZ1759" s="54"/>
      <c r="BA1759" s="54"/>
      <c r="BB1759" s="54"/>
      <c r="BC1759" s="56"/>
      <c r="BD1759" s="51"/>
      <c r="BE1759" s="54"/>
      <c r="BF1759" s="54"/>
      <c r="BG1759" s="47"/>
      <c r="BH1759" s="48"/>
      <c r="BI1759" s="48"/>
      <c r="BJ1759" s="48"/>
      <c r="BK1759" s="48"/>
      <c r="BL1759" s="48"/>
      <c r="BM1759" s="48"/>
      <c r="BN1759" s="48"/>
      <c r="BO1759" s="48"/>
      <c r="BP1759" s="48"/>
      <c r="BQ1759" s="48"/>
      <c r="BR1759" s="48"/>
      <c r="BS1759" s="48"/>
      <c r="BT1759" s="48"/>
      <c r="BU1759" s="48"/>
      <c r="BV1759" s="48"/>
      <c r="BW1759" s="48"/>
      <c r="BX1759" s="48"/>
      <c r="BY1759" s="48"/>
      <c r="BZ1759" s="48"/>
      <c r="CA1759" s="48"/>
      <c r="CB1759" s="48"/>
      <c r="CC1759" s="48"/>
      <c r="CD1759" s="48"/>
      <c r="CE1759" s="48"/>
      <c r="CF1759" s="52"/>
      <c r="CG1759" s="52"/>
      <c r="CH1759" s="48"/>
      <c r="CI1759" s="48"/>
      <c r="CJ1759" s="48"/>
      <c r="CK1759" s="48"/>
    </row>
    <row r="1760" spans="1:89" ht="15.75" customHeight="1" x14ac:dyDescent="0.3">
      <c r="A1760" s="47"/>
      <c r="B1760" s="48"/>
      <c r="C1760" s="47"/>
      <c r="D1760" s="48"/>
      <c r="E1760" s="48"/>
      <c r="F1760" s="48"/>
      <c r="G1760" s="48"/>
      <c r="H1760" s="48"/>
      <c r="I1760" s="49"/>
      <c r="J1760" s="47"/>
      <c r="K1760" s="47"/>
      <c r="L1760" s="47"/>
      <c r="M1760" s="47"/>
      <c r="N1760" s="47"/>
      <c r="O1760" s="47"/>
      <c r="P1760" s="47"/>
      <c r="Q1760" s="47"/>
      <c r="R1760" s="47"/>
      <c r="S1760" s="50"/>
      <c r="T1760" s="47"/>
      <c r="U1760" s="47"/>
      <c r="V1760" s="47"/>
      <c r="W1760" s="51"/>
      <c r="X1760" s="51"/>
      <c r="Y1760" s="47"/>
      <c r="Z1760" s="47"/>
      <c r="AA1760" s="47"/>
      <c r="AB1760" s="47"/>
      <c r="AC1760" s="47"/>
      <c r="AD1760" s="47"/>
      <c r="AE1760" s="54"/>
      <c r="AF1760" s="54"/>
      <c r="AG1760" s="55"/>
      <c r="AH1760" s="54"/>
      <c r="AI1760" s="54"/>
      <c r="AJ1760" s="54"/>
      <c r="AK1760" s="54"/>
      <c r="AL1760" s="54"/>
      <c r="AM1760" s="54"/>
      <c r="AN1760" s="54"/>
      <c r="AO1760" s="54"/>
      <c r="AP1760" s="54"/>
      <c r="AQ1760" s="54"/>
      <c r="AR1760" s="54"/>
      <c r="AS1760" s="54"/>
      <c r="AT1760" s="54"/>
      <c r="AU1760" s="54"/>
      <c r="AV1760" s="54"/>
      <c r="AW1760" s="54"/>
      <c r="AX1760" s="54"/>
      <c r="AY1760" s="54"/>
      <c r="AZ1760" s="54"/>
      <c r="BA1760" s="54"/>
      <c r="BB1760" s="54"/>
      <c r="BC1760" s="56"/>
      <c r="BD1760" s="51"/>
      <c r="BE1760" s="54"/>
      <c r="BF1760" s="54"/>
      <c r="BG1760" s="47"/>
      <c r="BH1760" s="48"/>
      <c r="BI1760" s="48"/>
      <c r="BJ1760" s="48"/>
      <c r="BK1760" s="48"/>
      <c r="BL1760" s="48"/>
      <c r="BM1760" s="48"/>
      <c r="BN1760" s="48"/>
      <c r="BO1760" s="48"/>
      <c r="BP1760" s="48"/>
      <c r="BQ1760" s="48"/>
      <c r="BR1760" s="48"/>
      <c r="BS1760" s="48"/>
      <c r="BT1760" s="48"/>
      <c r="BU1760" s="48"/>
      <c r="BV1760" s="48"/>
      <c r="BW1760" s="48"/>
      <c r="BX1760" s="48"/>
      <c r="BY1760" s="48"/>
      <c r="BZ1760" s="48"/>
      <c r="CA1760" s="48"/>
      <c r="CB1760" s="48"/>
      <c r="CC1760" s="48"/>
      <c r="CD1760" s="48"/>
      <c r="CE1760" s="48"/>
      <c r="CF1760" s="52"/>
      <c r="CG1760" s="52"/>
      <c r="CH1760" s="48"/>
      <c r="CI1760" s="48"/>
      <c r="CJ1760" s="48"/>
      <c r="CK1760" s="48"/>
    </row>
    <row r="1761" spans="1:89" ht="15.75" customHeight="1" x14ac:dyDescent="0.3">
      <c r="A1761" s="47"/>
      <c r="B1761" s="48"/>
      <c r="C1761" s="47"/>
      <c r="D1761" s="48"/>
      <c r="E1761" s="48"/>
      <c r="F1761" s="48"/>
      <c r="G1761" s="48"/>
      <c r="H1761" s="48"/>
      <c r="I1761" s="49"/>
      <c r="J1761" s="47"/>
      <c r="K1761" s="47"/>
      <c r="L1761" s="47"/>
      <c r="M1761" s="47"/>
      <c r="N1761" s="47"/>
      <c r="O1761" s="47"/>
      <c r="P1761" s="47"/>
      <c r="Q1761" s="47"/>
      <c r="R1761" s="47"/>
      <c r="S1761" s="50"/>
      <c r="T1761" s="47"/>
      <c r="U1761" s="47"/>
      <c r="V1761" s="47"/>
      <c r="W1761" s="51"/>
      <c r="X1761" s="51"/>
      <c r="Y1761" s="47"/>
      <c r="Z1761" s="47"/>
      <c r="AA1761" s="47"/>
      <c r="AB1761" s="47"/>
      <c r="AC1761" s="47"/>
      <c r="AD1761" s="47"/>
      <c r="AE1761" s="54"/>
      <c r="AF1761" s="54"/>
      <c r="AG1761" s="55"/>
      <c r="AH1761" s="54"/>
      <c r="AI1761" s="54"/>
      <c r="AJ1761" s="54"/>
      <c r="AK1761" s="54"/>
      <c r="AL1761" s="54"/>
      <c r="AM1761" s="54"/>
      <c r="AN1761" s="54"/>
      <c r="AO1761" s="54"/>
      <c r="AP1761" s="54"/>
      <c r="AQ1761" s="54"/>
      <c r="AR1761" s="54"/>
      <c r="AS1761" s="54"/>
      <c r="AT1761" s="54"/>
      <c r="AU1761" s="54"/>
      <c r="AV1761" s="54"/>
      <c r="AW1761" s="54"/>
      <c r="AX1761" s="54"/>
      <c r="AY1761" s="54"/>
      <c r="AZ1761" s="54"/>
      <c r="BA1761" s="54"/>
      <c r="BB1761" s="54"/>
      <c r="BC1761" s="56"/>
      <c r="BD1761" s="51"/>
      <c r="BE1761" s="54"/>
      <c r="BF1761" s="54"/>
      <c r="BG1761" s="47"/>
      <c r="BH1761" s="48"/>
      <c r="BI1761" s="48"/>
      <c r="BJ1761" s="48"/>
      <c r="BK1761" s="48"/>
      <c r="BL1761" s="48"/>
      <c r="BM1761" s="48"/>
      <c r="BN1761" s="48"/>
      <c r="BO1761" s="48"/>
      <c r="BP1761" s="48"/>
      <c r="BQ1761" s="48"/>
      <c r="BR1761" s="48"/>
      <c r="BS1761" s="48"/>
      <c r="BT1761" s="48"/>
      <c r="BU1761" s="48"/>
      <c r="BV1761" s="48"/>
      <c r="BW1761" s="48"/>
      <c r="BX1761" s="48"/>
      <c r="BY1761" s="48"/>
      <c r="BZ1761" s="48"/>
      <c r="CA1761" s="48"/>
      <c r="CB1761" s="48"/>
      <c r="CC1761" s="48"/>
      <c r="CD1761" s="48"/>
      <c r="CE1761" s="48"/>
      <c r="CF1761" s="52"/>
      <c r="CG1761" s="52"/>
      <c r="CH1761" s="48"/>
      <c r="CI1761" s="48"/>
      <c r="CJ1761" s="48"/>
      <c r="CK1761" s="48"/>
    </row>
    <row r="1762" spans="1:89" ht="15.75" customHeight="1" x14ac:dyDescent="0.3">
      <c r="A1762" s="47"/>
      <c r="B1762" s="48"/>
      <c r="C1762" s="47"/>
      <c r="D1762" s="48"/>
      <c r="E1762" s="48"/>
      <c r="F1762" s="48"/>
      <c r="G1762" s="48"/>
      <c r="H1762" s="48"/>
      <c r="I1762" s="49"/>
      <c r="J1762" s="47"/>
      <c r="K1762" s="47"/>
      <c r="L1762" s="47"/>
      <c r="M1762" s="47"/>
      <c r="N1762" s="47"/>
      <c r="O1762" s="47"/>
      <c r="P1762" s="47"/>
      <c r="Q1762" s="47"/>
      <c r="R1762" s="47"/>
      <c r="S1762" s="50"/>
      <c r="T1762" s="47"/>
      <c r="U1762" s="47"/>
      <c r="V1762" s="47"/>
      <c r="W1762" s="51"/>
      <c r="X1762" s="51"/>
      <c r="Y1762" s="47"/>
      <c r="Z1762" s="47"/>
      <c r="AA1762" s="47"/>
      <c r="AB1762" s="47"/>
      <c r="AC1762" s="47"/>
      <c r="AD1762" s="47"/>
      <c r="AE1762" s="54"/>
      <c r="AF1762" s="54"/>
      <c r="AG1762" s="55"/>
      <c r="AH1762" s="54"/>
      <c r="AI1762" s="54"/>
      <c r="AJ1762" s="54"/>
      <c r="AK1762" s="54"/>
      <c r="AL1762" s="54"/>
      <c r="AM1762" s="54"/>
      <c r="AN1762" s="54"/>
      <c r="AO1762" s="54"/>
      <c r="AP1762" s="54"/>
      <c r="AQ1762" s="54"/>
      <c r="AR1762" s="54"/>
      <c r="AS1762" s="54"/>
      <c r="AT1762" s="54"/>
      <c r="AU1762" s="54"/>
      <c r="AV1762" s="54"/>
      <c r="AW1762" s="54"/>
      <c r="AX1762" s="54"/>
      <c r="AY1762" s="54"/>
      <c r="AZ1762" s="54"/>
      <c r="BA1762" s="54"/>
      <c r="BB1762" s="54"/>
      <c r="BC1762" s="56"/>
      <c r="BD1762" s="51"/>
      <c r="BE1762" s="54"/>
      <c r="BF1762" s="54"/>
      <c r="BG1762" s="47"/>
      <c r="BH1762" s="48"/>
      <c r="BI1762" s="48"/>
      <c r="BJ1762" s="48"/>
      <c r="BK1762" s="48"/>
      <c r="BL1762" s="48"/>
      <c r="BM1762" s="48"/>
      <c r="BN1762" s="48"/>
      <c r="BO1762" s="48"/>
      <c r="BP1762" s="48"/>
      <c r="BQ1762" s="48"/>
      <c r="BR1762" s="48"/>
      <c r="BS1762" s="48"/>
      <c r="BT1762" s="48"/>
      <c r="BU1762" s="48"/>
      <c r="BV1762" s="48"/>
      <c r="BW1762" s="48"/>
      <c r="BX1762" s="48"/>
      <c r="BY1762" s="48"/>
      <c r="BZ1762" s="48"/>
      <c r="CA1762" s="48"/>
      <c r="CB1762" s="48"/>
      <c r="CC1762" s="48"/>
      <c r="CD1762" s="48"/>
      <c r="CE1762" s="48"/>
      <c r="CF1762" s="52"/>
      <c r="CG1762" s="52"/>
      <c r="CH1762" s="48"/>
      <c r="CI1762" s="48"/>
      <c r="CJ1762" s="48"/>
      <c r="CK1762" s="48"/>
    </row>
    <row r="1763" spans="1:89" ht="15.75" customHeight="1" x14ac:dyDescent="0.3">
      <c r="A1763" s="47"/>
      <c r="B1763" s="48"/>
      <c r="C1763" s="47"/>
      <c r="D1763" s="48"/>
      <c r="E1763" s="48"/>
      <c r="F1763" s="48"/>
      <c r="G1763" s="48"/>
      <c r="H1763" s="48"/>
      <c r="I1763" s="49"/>
      <c r="J1763" s="47"/>
      <c r="K1763" s="47"/>
      <c r="L1763" s="47"/>
      <c r="M1763" s="47"/>
      <c r="N1763" s="47"/>
      <c r="O1763" s="47"/>
      <c r="P1763" s="47"/>
      <c r="Q1763" s="47"/>
      <c r="R1763" s="47"/>
      <c r="S1763" s="50"/>
      <c r="T1763" s="47"/>
      <c r="U1763" s="47"/>
      <c r="V1763" s="47"/>
      <c r="W1763" s="51"/>
      <c r="X1763" s="51"/>
      <c r="Y1763" s="47"/>
      <c r="Z1763" s="47"/>
      <c r="AA1763" s="47"/>
      <c r="AB1763" s="47"/>
      <c r="AC1763" s="47"/>
      <c r="AD1763" s="47"/>
      <c r="AE1763" s="54"/>
      <c r="AF1763" s="54"/>
      <c r="AG1763" s="55"/>
      <c r="AH1763" s="54"/>
      <c r="AI1763" s="54"/>
      <c r="AJ1763" s="54"/>
      <c r="AK1763" s="54"/>
      <c r="AL1763" s="54"/>
      <c r="AM1763" s="54"/>
      <c r="AN1763" s="54"/>
      <c r="AO1763" s="54"/>
      <c r="AP1763" s="54"/>
      <c r="AQ1763" s="54"/>
      <c r="AR1763" s="54"/>
      <c r="AS1763" s="54"/>
      <c r="AT1763" s="54"/>
      <c r="AU1763" s="54"/>
      <c r="AV1763" s="54"/>
      <c r="AW1763" s="54"/>
      <c r="AX1763" s="54"/>
      <c r="AY1763" s="54"/>
      <c r="AZ1763" s="54"/>
      <c r="BA1763" s="54"/>
      <c r="BB1763" s="54"/>
      <c r="BC1763" s="56"/>
      <c r="BD1763" s="51"/>
      <c r="BE1763" s="54"/>
      <c r="BF1763" s="54"/>
      <c r="BG1763" s="47"/>
      <c r="BH1763" s="48"/>
      <c r="BI1763" s="48"/>
      <c r="BJ1763" s="48"/>
      <c r="BK1763" s="48"/>
      <c r="BL1763" s="48"/>
      <c r="BM1763" s="48"/>
      <c r="BN1763" s="48"/>
      <c r="BO1763" s="48"/>
      <c r="BP1763" s="48"/>
      <c r="BQ1763" s="48"/>
      <c r="BR1763" s="48"/>
      <c r="BS1763" s="48"/>
      <c r="BT1763" s="48"/>
      <c r="BU1763" s="48"/>
      <c r="BV1763" s="48"/>
      <c r="BW1763" s="48"/>
      <c r="BX1763" s="48"/>
      <c r="BY1763" s="48"/>
      <c r="BZ1763" s="48"/>
      <c r="CA1763" s="48"/>
      <c r="CB1763" s="48"/>
      <c r="CC1763" s="48"/>
      <c r="CD1763" s="48"/>
      <c r="CE1763" s="48"/>
      <c r="CF1763" s="52"/>
      <c r="CG1763" s="52"/>
      <c r="CH1763" s="48"/>
      <c r="CI1763" s="48"/>
      <c r="CJ1763" s="48"/>
      <c r="CK1763" s="48"/>
    </row>
    <row r="1764" spans="1:89" ht="15.75" customHeight="1" x14ac:dyDescent="0.3">
      <c r="A1764" s="47"/>
      <c r="B1764" s="48"/>
      <c r="C1764" s="47"/>
      <c r="D1764" s="48"/>
      <c r="E1764" s="48"/>
      <c r="F1764" s="48"/>
      <c r="G1764" s="48"/>
      <c r="H1764" s="48"/>
      <c r="I1764" s="49"/>
      <c r="J1764" s="47"/>
      <c r="K1764" s="47"/>
      <c r="L1764" s="47"/>
      <c r="M1764" s="47"/>
      <c r="N1764" s="47"/>
      <c r="O1764" s="47"/>
      <c r="P1764" s="47"/>
      <c r="Q1764" s="47"/>
      <c r="R1764" s="47"/>
      <c r="S1764" s="50"/>
      <c r="T1764" s="47"/>
      <c r="U1764" s="47"/>
      <c r="V1764" s="47"/>
      <c r="W1764" s="51"/>
      <c r="X1764" s="51"/>
      <c r="Y1764" s="47"/>
      <c r="Z1764" s="47"/>
      <c r="AA1764" s="47"/>
      <c r="AB1764" s="47"/>
      <c r="AC1764" s="47"/>
      <c r="AD1764" s="47"/>
      <c r="AE1764" s="54"/>
      <c r="AF1764" s="54"/>
      <c r="AG1764" s="55"/>
      <c r="AH1764" s="54"/>
      <c r="AI1764" s="54"/>
      <c r="AJ1764" s="54"/>
      <c r="AK1764" s="54"/>
      <c r="AL1764" s="54"/>
      <c r="AM1764" s="54"/>
      <c r="AN1764" s="54"/>
      <c r="AO1764" s="54"/>
      <c r="AP1764" s="54"/>
      <c r="AQ1764" s="54"/>
      <c r="AR1764" s="54"/>
      <c r="AS1764" s="54"/>
      <c r="AT1764" s="54"/>
      <c r="AU1764" s="54"/>
      <c r="AV1764" s="54"/>
      <c r="AW1764" s="54"/>
      <c r="AX1764" s="54"/>
      <c r="AY1764" s="54"/>
      <c r="AZ1764" s="54"/>
      <c r="BA1764" s="54"/>
      <c r="BB1764" s="54"/>
      <c r="BC1764" s="56"/>
      <c r="BD1764" s="51"/>
      <c r="BE1764" s="54"/>
      <c r="BF1764" s="54"/>
      <c r="BG1764" s="47"/>
      <c r="BH1764" s="48"/>
      <c r="BI1764" s="48"/>
      <c r="BJ1764" s="48"/>
      <c r="BK1764" s="48"/>
      <c r="BL1764" s="48"/>
      <c r="BM1764" s="48"/>
      <c r="BN1764" s="48"/>
      <c r="BO1764" s="48"/>
      <c r="BP1764" s="48"/>
      <c r="BQ1764" s="48"/>
      <c r="BR1764" s="48"/>
      <c r="BS1764" s="48"/>
      <c r="BT1764" s="48"/>
      <c r="BU1764" s="48"/>
      <c r="BV1764" s="48"/>
      <c r="BW1764" s="48"/>
      <c r="BX1764" s="48"/>
      <c r="BY1764" s="48"/>
      <c r="BZ1764" s="48"/>
      <c r="CA1764" s="48"/>
      <c r="CB1764" s="48"/>
      <c r="CC1764" s="48"/>
      <c r="CD1764" s="48"/>
      <c r="CE1764" s="48"/>
      <c r="CF1764" s="52"/>
      <c r="CG1764" s="52"/>
      <c r="CH1764" s="48"/>
      <c r="CI1764" s="48"/>
      <c r="CJ1764" s="48"/>
      <c r="CK1764" s="48"/>
    </row>
    <row r="1765" spans="1:89" ht="15.75" customHeight="1" x14ac:dyDescent="0.3">
      <c r="A1765" s="47"/>
      <c r="B1765" s="48"/>
      <c r="C1765" s="47"/>
      <c r="D1765" s="48"/>
      <c r="E1765" s="48"/>
      <c r="F1765" s="48"/>
      <c r="G1765" s="48"/>
      <c r="H1765" s="48"/>
      <c r="I1765" s="49"/>
      <c r="J1765" s="47"/>
      <c r="K1765" s="47"/>
      <c r="L1765" s="47"/>
      <c r="M1765" s="47"/>
      <c r="N1765" s="47"/>
      <c r="O1765" s="47"/>
      <c r="P1765" s="47"/>
      <c r="Q1765" s="47"/>
      <c r="R1765" s="47"/>
      <c r="S1765" s="50"/>
      <c r="T1765" s="47"/>
      <c r="U1765" s="47"/>
      <c r="V1765" s="47"/>
      <c r="W1765" s="51"/>
      <c r="X1765" s="51"/>
      <c r="Y1765" s="47"/>
      <c r="Z1765" s="47"/>
      <c r="AA1765" s="47"/>
      <c r="AB1765" s="47"/>
      <c r="AC1765" s="47"/>
      <c r="AD1765" s="47"/>
      <c r="AE1765" s="54"/>
      <c r="AF1765" s="54"/>
      <c r="AG1765" s="55"/>
      <c r="AH1765" s="54"/>
      <c r="AI1765" s="54"/>
      <c r="AJ1765" s="54"/>
      <c r="AK1765" s="54"/>
      <c r="AL1765" s="54"/>
      <c r="AM1765" s="54"/>
      <c r="AN1765" s="54"/>
      <c r="AO1765" s="54"/>
      <c r="AP1765" s="54"/>
      <c r="AQ1765" s="54"/>
      <c r="AR1765" s="54"/>
      <c r="AS1765" s="54"/>
      <c r="AT1765" s="54"/>
      <c r="AU1765" s="54"/>
      <c r="AV1765" s="54"/>
      <c r="AW1765" s="54"/>
      <c r="AX1765" s="54"/>
      <c r="AY1765" s="54"/>
      <c r="AZ1765" s="54"/>
      <c r="BA1765" s="54"/>
      <c r="BB1765" s="54"/>
      <c r="BC1765" s="56"/>
      <c r="BD1765" s="51"/>
      <c r="BE1765" s="54"/>
      <c r="BF1765" s="54"/>
      <c r="BG1765" s="47"/>
      <c r="BH1765" s="48"/>
      <c r="BI1765" s="48"/>
      <c r="BJ1765" s="48"/>
      <c r="BK1765" s="48"/>
      <c r="BL1765" s="48"/>
      <c r="BM1765" s="48"/>
      <c r="BN1765" s="48"/>
      <c r="BO1765" s="48"/>
      <c r="BP1765" s="48"/>
      <c r="BQ1765" s="48"/>
      <c r="BR1765" s="48"/>
      <c r="BS1765" s="48"/>
      <c r="BT1765" s="48"/>
      <c r="BU1765" s="48"/>
      <c r="BV1765" s="48"/>
      <c r="BW1765" s="48"/>
      <c r="BX1765" s="48"/>
      <c r="BY1765" s="48"/>
      <c r="BZ1765" s="48"/>
      <c r="CA1765" s="48"/>
      <c r="CB1765" s="48"/>
      <c r="CC1765" s="48"/>
      <c r="CD1765" s="48"/>
      <c r="CE1765" s="48"/>
      <c r="CF1765" s="52"/>
      <c r="CG1765" s="52"/>
      <c r="CH1765" s="48"/>
      <c r="CI1765" s="48"/>
      <c r="CJ1765" s="48"/>
      <c r="CK1765" s="48"/>
    </row>
    <row r="1766" spans="1:89" ht="15.75" customHeight="1" x14ac:dyDescent="0.3">
      <c r="A1766" s="47"/>
      <c r="B1766" s="48"/>
      <c r="C1766" s="47"/>
      <c r="D1766" s="48"/>
      <c r="E1766" s="48"/>
      <c r="F1766" s="48"/>
      <c r="G1766" s="48"/>
      <c r="H1766" s="48"/>
      <c r="I1766" s="49"/>
      <c r="J1766" s="47"/>
      <c r="K1766" s="47"/>
      <c r="L1766" s="47"/>
      <c r="M1766" s="47"/>
      <c r="N1766" s="47"/>
      <c r="O1766" s="47"/>
      <c r="P1766" s="47"/>
      <c r="Q1766" s="47"/>
      <c r="R1766" s="47"/>
      <c r="S1766" s="50"/>
      <c r="T1766" s="47"/>
      <c r="U1766" s="47"/>
      <c r="V1766" s="47"/>
      <c r="W1766" s="51"/>
      <c r="X1766" s="51"/>
      <c r="Y1766" s="47"/>
      <c r="Z1766" s="47"/>
      <c r="AA1766" s="47"/>
      <c r="AB1766" s="47"/>
      <c r="AC1766" s="47"/>
      <c r="AD1766" s="47"/>
      <c r="AE1766" s="54"/>
      <c r="AF1766" s="54"/>
      <c r="AG1766" s="55"/>
      <c r="AH1766" s="54"/>
      <c r="AI1766" s="54"/>
      <c r="AJ1766" s="54"/>
      <c r="AK1766" s="54"/>
      <c r="AL1766" s="54"/>
      <c r="AM1766" s="54"/>
      <c r="AN1766" s="54"/>
      <c r="AO1766" s="54"/>
      <c r="AP1766" s="54"/>
      <c r="AQ1766" s="54"/>
      <c r="AR1766" s="54"/>
      <c r="AS1766" s="54"/>
      <c r="AT1766" s="54"/>
      <c r="AU1766" s="54"/>
      <c r="AV1766" s="54"/>
      <c r="AW1766" s="54"/>
      <c r="AX1766" s="54"/>
      <c r="AY1766" s="54"/>
      <c r="AZ1766" s="54"/>
      <c r="BA1766" s="54"/>
      <c r="BB1766" s="54"/>
      <c r="BC1766" s="56"/>
      <c r="BD1766" s="51"/>
      <c r="BE1766" s="54"/>
      <c r="BF1766" s="54"/>
      <c r="BG1766" s="47"/>
      <c r="BH1766" s="48"/>
      <c r="BI1766" s="48"/>
      <c r="BJ1766" s="48"/>
      <c r="BK1766" s="48"/>
      <c r="BL1766" s="48"/>
      <c r="BM1766" s="48"/>
      <c r="BN1766" s="48"/>
      <c r="BO1766" s="48"/>
      <c r="BP1766" s="48"/>
      <c r="BQ1766" s="48"/>
      <c r="BR1766" s="48"/>
      <c r="BS1766" s="48"/>
      <c r="BT1766" s="48"/>
      <c r="BU1766" s="48"/>
      <c r="BV1766" s="48"/>
      <c r="BW1766" s="48"/>
      <c r="BX1766" s="48"/>
      <c r="BY1766" s="48"/>
      <c r="BZ1766" s="48"/>
      <c r="CA1766" s="48"/>
      <c r="CB1766" s="48"/>
      <c r="CC1766" s="48"/>
      <c r="CD1766" s="48"/>
      <c r="CE1766" s="48"/>
      <c r="CF1766" s="52"/>
      <c r="CG1766" s="52"/>
      <c r="CH1766" s="48"/>
      <c r="CI1766" s="48"/>
      <c r="CJ1766" s="48"/>
      <c r="CK1766" s="48"/>
    </row>
    <row r="1767" spans="1:89" ht="15.75" customHeight="1" x14ac:dyDescent="0.3">
      <c r="A1767" s="47"/>
      <c r="B1767" s="48"/>
      <c r="C1767" s="47"/>
      <c r="D1767" s="48"/>
      <c r="E1767" s="48"/>
      <c r="F1767" s="48"/>
      <c r="G1767" s="48"/>
      <c r="H1767" s="48"/>
      <c r="I1767" s="49"/>
      <c r="J1767" s="47"/>
      <c r="K1767" s="47"/>
      <c r="L1767" s="47"/>
      <c r="M1767" s="47"/>
      <c r="N1767" s="47"/>
      <c r="O1767" s="47"/>
      <c r="P1767" s="47"/>
      <c r="Q1767" s="47"/>
      <c r="R1767" s="47"/>
      <c r="S1767" s="50"/>
      <c r="T1767" s="47"/>
      <c r="U1767" s="47"/>
      <c r="V1767" s="47"/>
      <c r="W1767" s="51"/>
      <c r="X1767" s="51"/>
      <c r="Y1767" s="47"/>
      <c r="Z1767" s="47"/>
      <c r="AA1767" s="47"/>
      <c r="AB1767" s="47"/>
      <c r="AC1767" s="47"/>
      <c r="AD1767" s="47"/>
      <c r="AE1767" s="54"/>
      <c r="AF1767" s="54"/>
      <c r="AG1767" s="55"/>
      <c r="AH1767" s="54"/>
      <c r="AI1767" s="54"/>
      <c r="AJ1767" s="54"/>
      <c r="AK1767" s="54"/>
      <c r="AL1767" s="54"/>
      <c r="AM1767" s="54"/>
      <c r="AN1767" s="54"/>
      <c r="AO1767" s="54"/>
      <c r="AP1767" s="54"/>
      <c r="AQ1767" s="54"/>
      <c r="AR1767" s="54"/>
      <c r="AS1767" s="54"/>
      <c r="AT1767" s="54"/>
      <c r="AU1767" s="54"/>
      <c r="AV1767" s="54"/>
      <c r="AW1767" s="54"/>
      <c r="AX1767" s="54"/>
      <c r="AY1767" s="54"/>
      <c r="AZ1767" s="54"/>
      <c r="BA1767" s="54"/>
      <c r="BB1767" s="54"/>
      <c r="BC1767" s="56"/>
      <c r="BD1767" s="51"/>
      <c r="BE1767" s="54"/>
      <c r="BF1767" s="54"/>
      <c r="BG1767" s="47"/>
      <c r="BH1767" s="48"/>
      <c r="BI1767" s="48"/>
      <c r="BJ1767" s="48"/>
      <c r="BK1767" s="48"/>
      <c r="BL1767" s="48"/>
      <c r="BM1767" s="48"/>
      <c r="BN1767" s="48"/>
      <c r="BO1767" s="48"/>
      <c r="BP1767" s="48"/>
      <c r="BQ1767" s="48"/>
      <c r="BR1767" s="48"/>
      <c r="BS1767" s="48"/>
      <c r="BT1767" s="48"/>
      <c r="BU1767" s="48"/>
      <c r="BV1767" s="48"/>
      <c r="BW1767" s="48"/>
      <c r="BX1767" s="48"/>
      <c r="BY1767" s="48"/>
      <c r="BZ1767" s="48"/>
      <c r="CA1767" s="48"/>
      <c r="CB1767" s="48"/>
      <c r="CC1767" s="48"/>
      <c r="CD1767" s="48"/>
      <c r="CE1767" s="48"/>
      <c r="CF1767" s="52"/>
      <c r="CG1767" s="52"/>
      <c r="CH1767" s="48"/>
      <c r="CI1767" s="48"/>
      <c r="CJ1767" s="48"/>
      <c r="CK1767" s="48"/>
    </row>
    <row r="1768" spans="1:89" ht="15.75" customHeight="1" x14ac:dyDescent="0.3">
      <c r="A1768" s="47"/>
      <c r="B1768" s="48"/>
      <c r="C1768" s="47"/>
      <c r="D1768" s="48"/>
      <c r="E1768" s="48"/>
      <c r="F1768" s="48"/>
      <c r="G1768" s="48"/>
      <c r="H1768" s="48"/>
      <c r="I1768" s="49"/>
      <c r="J1768" s="47"/>
      <c r="K1768" s="47"/>
      <c r="L1768" s="47"/>
      <c r="M1768" s="47"/>
      <c r="N1768" s="47"/>
      <c r="O1768" s="47"/>
      <c r="P1768" s="47"/>
      <c r="Q1768" s="47"/>
      <c r="R1768" s="47"/>
      <c r="S1768" s="50"/>
      <c r="T1768" s="47"/>
      <c r="U1768" s="47"/>
      <c r="V1768" s="47"/>
      <c r="W1768" s="51"/>
      <c r="X1768" s="51"/>
      <c r="Y1768" s="47"/>
      <c r="Z1768" s="47"/>
      <c r="AA1768" s="47"/>
      <c r="AB1768" s="47"/>
      <c r="AC1768" s="47"/>
      <c r="AD1768" s="47"/>
      <c r="AE1768" s="54"/>
      <c r="AF1768" s="54"/>
      <c r="AG1768" s="55"/>
      <c r="AH1768" s="54"/>
      <c r="AI1768" s="54"/>
      <c r="AJ1768" s="54"/>
      <c r="AK1768" s="54"/>
      <c r="AL1768" s="54"/>
      <c r="AM1768" s="54"/>
      <c r="AN1768" s="54"/>
      <c r="AO1768" s="54"/>
      <c r="AP1768" s="54"/>
      <c r="AQ1768" s="54"/>
      <c r="AR1768" s="54"/>
      <c r="AS1768" s="54"/>
      <c r="AT1768" s="54"/>
      <c r="AU1768" s="54"/>
      <c r="AV1768" s="54"/>
      <c r="AW1768" s="54"/>
      <c r="AX1768" s="54"/>
      <c r="AY1768" s="54"/>
      <c r="AZ1768" s="54"/>
      <c r="BA1768" s="54"/>
      <c r="BB1768" s="54"/>
      <c r="BC1768" s="56"/>
      <c r="BD1768" s="51"/>
      <c r="BE1768" s="54"/>
      <c r="BF1768" s="54"/>
      <c r="BG1768" s="47"/>
      <c r="BH1768" s="48"/>
      <c r="BI1768" s="48"/>
      <c r="BJ1768" s="48"/>
      <c r="BK1768" s="48"/>
      <c r="BL1768" s="48"/>
      <c r="BM1768" s="48"/>
      <c r="BN1768" s="48"/>
      <c r="BO1768" s="48"/>
      <c r="BP1768" s="48"/>
      <c r="BQ1768" s="48"/>
      <c r="BR1768" s="48"/>
      <c r="BS1768" s="48"/>
      <c r="BT1768" s="48"/>
      <c r="BU1768" s="48"/>
      <c r="BV1768" s="48"/>
      <c r="BW1768" s="48"/>
      <c r="BX1768" s="48"/>
      <c r="BY1768" s="48"/>
      <c r="BZ1768" s="48"/>
      <c r="CA1768" s="48"/>
      <c r="CB1768" s="48"/>
      <c r="CC1768" s="48"/>
      <c r="CD1768" s="48"/>
      <c r="CE1768" s="48"/>
      <c r="CF1768" s="52"/>
      <c r="CG1768" s="52"/>
      <c r="CH1768" s="48"/>
      <c r="CI1768" s="48"/>
      <c r="CJ1768" s="48"/>
      <c r="CK1768" s="48"/>
    </row>
    <row r="1769" spans="1:89" ht="15.75" customHeight="1" x14ac:dyDescent="0.3">
      <c r="A1769" s="47"/>
      <c r="B1769" s="48"/>
      <c r="C1769" s="47"/>
      <c r="D1769" s="48"/>
      <c r="E1769" s="48"/>
      <c r="F1769" s="48"/>
      <c r="G1769" s="48"/>
      <c r="H1769" s="48"/>
      <c r="I1769" s="49"/>
      <c r="J1769" s="47"/>
      <c r="K1769" s="47"/>
      <c r="L1769" s="47"/>
      <c r="M1769" s="47"/>
      <c r="N1769" s="47"/>
      <c r="O1769" s="47"/>
      <c r="P1769" s="47"/>
      <c r="Q1769" s="47"/>
      <c r="R1769" s="47"/>
      <c r="S1769" s="50"/>
      <c r="T1769" s="47"/>
      <c r="U1769" s="47"/>
      <c r="V1769" s="47"/>
      <c r="W1769" s="51"/>
      <c r="X1769" s="51"/>
      <c r="Y1769" s="47"/>
      <c r="Z1769" s="47"/>
      <c r="AA1769" s="47"/>
      <c r="AB1769" s="47"/>
      <c r="AC1769" s="47"/>
      <c r="AD1769" s="47"/>
      <c r="AE1769" s="54"/>
      <c r="AF1769" s="54"/>
      <c r="AG1769" s="55"/>
      <c r="AH1769" s="54"/>
      <c r="AI1769" s="54"/>
      <c r="AJ1769" s="54"/>
      <c r="AK1769" s="54"/>
      <c r="AL1769" s="54"/>
      <c r="AM1769" s="54"/>
      <c r="AN1769" s="54"/>
      <c r="AO1769" s="54"/>
      <c r="AP1769" s="54"/>
      <c r="AQ1769" s="54"/>
      <c r="AR1769" s="54"/>
      <c r="AS1769" s="54"/>
      <c r="AT1769" s="54"/>
      <c r="AU1769" s="54"/>
      <c r="AV1769" s="54"/>
      <c r="AW1769" s="54"/>
      <c r="AX1769" s="54"/>
      <c r="AY1769" s="54"/>
      <c r="AZ1769" s="54"/>
      <c r="BA1769" s="54"/>
      <c r="BB1769" s="54"/>
      <c r="BC1769" s="56"/>
      <c r="BD1769" s="51"/>
      <c r="BE1769" s="54"/>
      <c r="BF1769" s="54"/>
      <c r="BG1769" s="47"/>
      <c r="BH1769" s="48"/>
      <c r="BI1769" s="48"/>
      <c r="BJ1769" s="48"/>
      <c r="BK1769" s="48"/>
      <c r="BL1769" s="48"/>
      <c r="BM1769" s="48"/>
      <c r="BN1769" s="48"/>
      <c r="BO1769" s="48"/>
      <c r="BP1769" s="48"/>
      <c r="BQ1769" s="48"/>
      <c r="BR1769" s="48"/>
      <c r="BS1769" s="48"/>
      <c r="BT1769" s="48"/>
      <c r="BU1769" s="48"/>
      <c r="BV1769" s="48"/>
      <c r="BW1769" s="48"/>
      <c r="BX1769" s="48"/>
      <c r="BY1769" s="48"/>
      <c r="BZ1769" s="48"/>
      <c r="CA1769" s="48"/>
      <c r="CB1769" s="48"/>
      <c r="CC1769" s="48"/>
      <c r="CD1769" s="48"/>
      <c r="CE1769" s="48"/>
      <c r="CF1769" s="52"/>
      <c r="CG1769" s="52"/>
      <c r="CH1769" s="48"/>
      <c r="CI1769" s="48"/>
      <c r="CJ1769" s="48"/>
      <c r="CK1769" s="48"/>
    </row>
    <row r="1770" spans="1:89" ht="15.75" customHeight="1" x14ac:dyDescent="0.3">
      <c r="A1770" s="47"/>
      <c r="B1770" s="48"/>
      <c r="C1770" s="47"/>
      <c r="D1770" s="48"/>
      <c r="E1770" s="48"/>
      <c r="F1770" s="48"/>
      <c r="G1770" s="48"/>
      <c r="H1770" s="48"/>
      <c r="I1770" s="49"/>
      <c r="J1770" s="47"/>
      <c r="K1770" s="47"/>
      <c r="L1770" s="47"/>
      <c r="M1770" s="47"/>
      <c r="N1770" s="47"/>
      <c r="O1770" s="47"/>
      <c r="P1770" s="47"/>
      <c r="Q1770" s="47"/>
      <c r="R1770" s="47"/>
      <c r="S1770" s="50"/>
      <c r="T1770" s="47"/>
      <c r="U1770" s="47"/>
      <c r="V1770" s="47"/>
      <c r="W1770" s="51"/>
      <c r="X1770" s="51"/>
      <c r="Y1770" s="47"/>
      <c r="Z1770" s="47"/>
      <c r="AA1770" s="47"/>
      <c r="AB1770" s="47"/>
      <c r="AC1770" s="47"/>
      <c r="AD1770" s="47"/>
      <c r="AE1770" s="54"/>
      <c r="AF1770" s="54"/>
      <c r="AG1770" s="55"/>
      <c r="AH1770" s="54"/>
      <c r="AI1770" s="54"/>
      <c r="AJ1770" s="54"/>
      <c r="AK1770" s="54"/>
      <c r="AL1770" s="54"/>
      <c r="AM1770" s="54"/>
      <c r="AN1770" s="54"/>
      <c r="AO1770" s="54"/>
      <c r="AP1770" s="54"/>
      <c r="AQ1770" s="54"/>
      <c r="AR1770" s="54"/>
      <c r="AS1770" s="54"/>
      <c r="AT1770" s="54"/>
      <c r="AU1770" s="54"/>
      <c r="AV1770" s="54"/>
      <c r="AW1770" s="54"/>
      <c r="AX1770" s="54"/>
      <c r="AY1770" s="54"/>
      <c r="AZ1770" s="54"/>
      <c r="BA1770" s="54"/>
      <c r="BB1770" s="54"/>
      <c r="BC1770" s="56"/>
      <c r="BD1770" s="51"/>
      <c r="BE1770" s="54"/>
      <c r="BF1770" s="54"/>
      <c r="BG1770" s="47"/>
      <c r="BH1770" s="48"/>
      <c r="BI1770" s="48"/>
      <c r="BJ1770" s="48"/>
      <c r="BK1770" s="48"/>
      <c r="BL1770" s="48"/>
      <c r="BM1770" s="48"/>
      <c r="BN1770" s="48"/>
      <c r="BO1770" s="48"/>
      <c r="BP1770" s="48"/>
      <c r="BQ1770" s="48"/>
      <c r="BR1770" s="48"/>
      <c r="BS1770" s="48"/>
      <c r="BT1770" s="48"/>
      <c r="BU1770" s="48"/>
      <c r="BV1770" s="48"/>
      <c r="BW1770" s="48"/>
      <c r="BX1770" s="48"/>
      <c r="BY1770" s="48"/>
      <c r="BZ1770" s="48"/>
      <c r="CA1770" s="48"/>
      <c r="CB1770" s="48"/>
      <c r="CC1770" s="48"/>
      <c r="CD1770" s="48"/>
      <c r="CE1770" s="48"/>
      <c r="CF1770" s="52"/>
      <c r="CG1770" s="52"/>
      <c r="CH1770" s="48"/>
      <c r="CI1770" s="48"/>
      <c r="CJ1770" s="48"/>
      <c r="CK1770" s="48"/>
    </row>
    <row r="1771" spans="1:89" ht="15.75" customHeight="1" x14ac:dyDescent="0.3">
      <c r="A1771" s="47"/>
      <c r="B1771" s="48"/>
      <c r="C1771" s="47"/>
      <c r="D1771" s="48"/>
      <c r="E1771" s="48"/>
      <c r="F1771" s="48"/>
      <c r="G1771" s="48"/>
      <c r="H1771" s="48"/>
      <c r="I1771" s="49"/>
      <c r="J1771" s="47"/>
      <c r="K1771" s="47"/>
      <c r="L1771" s="47"/>
      <c r="M1771" s="47"/>
      <c r="N1771" s="47"/>
      <c r="O1771" s="47"/>
      <c r="P1771" s="47"/>
      <c r="Q1771" s="47"/>
      <c r="R1771" s="47"/>
      <c r="S1771" s="50"/>
      <c r="T1771" s="47"/>
      <c r="U1771" s="47"/>
      <c r="V1771" s="47"/>
      <c r="W1771" s="51"/>
      <c r="X1771" s="51"/>
      <c r="Y1771" s="47"/>
      <c r="Z1771" s="47"/>
      <c r="AA1771" s="47"/>
      <c r="AB1771" s="47"/>
      <c r="AC1771" s="47"/>
      <c r="AD1771" s="47"/>
      <c r="AE1771" s="54"/>
      <c r="AF1771" s="54"/>
      <c r="AG1771" s="55"/>
      <c r="AH1771" s="54"/>
      <c r="AI1771" s="54"/>
      <c r="AJ1771" s="54"/>
      <c r="AK1771" s="54"/>
      <c r="AL1771" s="54"/>
      <c r="AM1771" s="54"/>
      <c r="AN1771" s="54"/>
      <c r="AO1771" s="54"/>
      <c r="AP1771" s="54"/>
      <c r="AQ1771" s="54"/>
      <c r="AR1771" s="54"/>
      <c r="AS1771" s="54"/>
      <c r="AT1771" s="54"/>
      <c r="AU1771" s="54"/>
      <c r="AV1771" s="54"/>
      <c r="AW1771" s="54"/>
      <c r="AX1771" s="54"/>
      <c r="AY1771" s="54"/>
      <c r="AZ1771" s="54"/>
      <c r="BA1771" s="54"/>
      <c r="BB1771" s="54"/>
      <c r="BC1771" s="56"/>
      <c r="BD1771" s="51"/>
      <c r="BE1771" s="54"/>
      <c r="BF1771" s="54"/>
      <c r="BG1771" s="47"/>
      <c r="BH1771" s="48"/>
      <c r="BI1771" s="48"/>
      <c r="BJ1771" s="48"/>
      <c r="BK1771" s="48"/>
      <c r="BL1771" s="48"/>
      <c r="BM1771" s="48"/>
      <c r="BN1771" s="48"/>
      <c r="BO1771" s="48"/>
      <c r="BP1771" s="48"/>
      <c r="BQ1771" s="48"/>
      <c r="BR1771" s="48"/>
      <c r="BS1771" s="48"/>
      <c r="BT1771" s="48"/>
      <c r="BU1771" s="48"/>
      <c r="BV1771" s="48"/>
      <c r="BW1771" s="48"/>
      <c r="BX1771" s="48"/>
      <c r="BY1771" s="48"/>
      <c r="BZ1771" s="48"/>
      <c r="CA1771" s="48"/>
      <c r="CB1771" s="48"/>
      <c r="CC1771" s="48"/>
      <c r="CD1771" s="48"/>
      <c r="CE1771" s="48"/>
      <c r="CF1771" s="52"/>
      <c r="CG1771" s="52"/>
      <c r="CH1771" s="48"/>
      <c r="CI1771" s="48"/>
      <c r="CJ1771" s="48"/>
      <c r="CK1771" s="48"/>
    </row>
    <row r="1772" spans="1:89" ht="15.75" customHeight="1" x14ac:dyDescent="0.3">
      <c r="A1772" s="47"/>
      <c r="B1772" s="48"/>
      <c r="C1772" s="47"/>
      <c r="D1772" s="48"/>
      <c r="E1772" s="48"/>
      <c r="F1772" s="48"/>
      <c r="G1772" s="48"/>
      <c r="H1772" s="48"/>
      <c r="I1772" s="49"/>
      <c r="J1772" s="47"/>
      <c r="K1772" s="47"/>
      <c r="L1772" s="47"/>
      <c r="M1772" s="47"/>
      <c r="N1772" s="47"/>
      <c r="O1772" s="47"/>
      <c r="P1772" s="47"/>
      <c r="Q1772" s="47"/>
      <c r="R1772" s="47"/>
      <c r="S1772" s="50"/>
      <c r="T1772" s="47"/>
      <c r="U1772" s="47"/>
      <c r="V1772" s="47"/>
      <c r="W1772" s="51"/>
      <c r="X1772" s="51"/>
      <c r="Y1772" s="47"/>
      <c r="Z1772" s="47"/>
      <c r="AA1772" s="47"/>
      <c r="AB1772" s="47"/>
      <c r="AC1772" s="47"/>
      <c r="AD1772" s="47"/>
      <c r="AE1772" s="54"/>
      <c r="AF1772" s="54"/>
      <c r="AG1772" s="55"/>
      <c r="AH1772" s="54"/>
      <c r="AI1772" s="54"/>
      <c r="AJ1772" s="54"/>
      <c r="AK1772" s="54"/>
      <c r="AL1772" s="54"/>
      <c r="AM1772" s="54"/>
      <c r="AN1772" s="54"/>
      <c r="AO1772" s="54"/>
      <c r="AP1772" s="54"/>
      <c r="AQ1772" s="54"/>
      <c r="AR1772" s="54"/>
      <c r="AS1772" s="54"/>
      <c r="AT1772" s="54"/>
      <c r="AU1772" s="54"/>
      <c r="AV1772" s="54"/>
      <c r="AW1772" s="54"/>
      <c r="AX1772" s="54"/>
      <c r="AY1772" s="54"/>
      <c r="AZ1772" s="54"/>
      <c r="BA1772" s="54"/>
      <c r="BB1772" s="54"/>
      <c r="BC1772" s="56"/>
      <c r="BD1772" s="51"/>
      <c r="BE1772" s="54"/>
      <c r="BF1772" s="54"/>
      <c r="BG1772" s="47"/>
      <c r="BH1772" s="48"/>
      <c r="BI1772" s="48"/>
      <c r="BJ1772" s="48"/>
      <c r="BK1772" s="48"/>
      <c r="BL1772" s="48"/>
      <c r="BM1772" s="48"/>
      <c r="BN1772" s="48"/>
      <c r="BO1772" s="48"/>
      <c r="BP1772" s="48"/>
      <c r="BQ1772" s="48"/>
      <c r="BR1772" s="48"/>
      <c r="BS1772" s="48"/>
      <c r="BT1772" s="48"/>
      <c r="BU1772" s="48"/>
      <c r="BV1772" s="48"/>
      <c r="BW1772" s="48"/>
      <c r="BX1772" s="48"/>
      <c r="BY1772" s="48"/>
      <c r="BZ1772" s="48"/>
      <c r="CA1772" s="48"/>
      <c r="CB1772" s="48"/>
      <c r="CC1772" s="48"/>
      <c r="CD1772" s="48"/>
      <c r="CE1772" s="48"/>
      <c r="CF1772" s="52"/>
      <c r="CG1772" s="52"/>
      <c r="CH1772" s="48"/>
      <c r="CI1772" s="48"/>
      <c r="CJ1772" s="48"/>
      <c r="CK1772" s="48"/>
    </row>
    <row r="1773" spans="1:89" ht="15.75" customHeight="1" x14ac:dyDescent="0.3">
      <c r="A1773" s="47"/>
      <c r="B1773" s="48"/>
      <c r="C1773" s="47"/>
      <c r="D1773" s="48"/>
      <c r="E1773" s="48"/>
      <c r="F1773" s="48"/>
      <c r="G1773" s="48"/>
      <c r="H1773" s="48"/>
      <c r="I1773" s="49"/>
      <c r="J1773" s="47"/>
      <c r="K1773" s="47"/>
      <c r="L1773" s="47"/>
      <c r="M1773" s="47"/>
      <c r="N1773" s="47"/>
      <c r="O1773" s="47"/>
      <c r="P1773" s="47"/>
      <c r="Q1773" s="47"/>
      <c r="R1773" s="47"/>
      <c r="S1773" s="50"/>
      <c r="T1773" s="47"/>
      <c r="U1773" s="47"/>
      <c r="V1773" s="47"/>
      <c r="W1773" s="51"/>
      <c r="X1773" s="51"/>
      <c r="Y1773" s="47"/>
      <c r="Z1773" s="47"/>
      <c r="AA1773" s="47"/>
      <c r="AB1773" s="47"/>
      <c r="AC1773" s="47"/>
      <c r="AD1773" s="47"/>
      <c r="AE1773" s="54"/>
      <c r="AF1773" s="54"/>
      <c r="AG1773" s="55"/>
      <c r="AH1773" s="54"/>
      <c r="AI1773" s="54"/>
      <c r="AJ1773" s="54"/>
      <c r="AK1773" s="54"/>
      <c r="AL1773" s="54"/>
      <c r="AM1773" s="54"/>
      <c r="AN1773" s="54"/>
      <c r="AO1773" s="54"/>
      <c r="AP1773" s="54"/>
      <c r="AQ1773" s="54"/>
      <c r="AR1773" s="54"/>
      <c r="AS1773" s="54"/>
      <c r="AT1773" s="54"/>
      <c r="AU1773" s="54"/>
      <c r="AV1773" s="54"/>
      <c r="AW1773" s="54"/>
      <c r="AX1773" s="54"/>
      <c r="AY1773" s="54"/>
      <c r="AZ1773" s="54"/>
      <c r="BA1773" s="54"/>
      <c r="BB1773" s="54"/>
      <c r="BC1773" s="56"/>
      <c r="BD1773" s="51"/>
      <c r="BE1773" s="54"/>
      <c r="BF1773" s="54"/>
      <c r="BG1773" s="47"/>
      <c r="BH1773" s="48"/>
      <c r="BI1773" s="48"/>
      <c r="BJ1773" s="48"/>
      <c r="BK1773" s="48"/>
      <c r="BL1773" s="48"/>
      <c r="BM1773" s="48"/>
      <c r="BN1773" s="48"/>
      <c r="BO1773" s="48"/>
      <c r="BP1773" s="48"/>
      <c r="BQ1773" s="48"/>
      <c r="BR1773" s="48"/>
      <c r="BS1773" s="48"/>
      <c r="BT1773" s="48"/>
      <c r="BU1773" s="48"/>
      <c r="BV1773" s="48"/>
      <c r="BW1773" s="48"/>
      <c r="BX1773" s="48"/>
      <c r="BY1773" s="48"/>
      <c r="BZ1773" s="48"/>
      <c r="CA1773" s="48"/>
      <c r="CB1773" s="48"/>
      <c r="CC1773" s="48"/>
      <c r="CD1773" s="48"/>
      <c r="CE1773" s="48"/>
      <c r="CF1773" s="52"/>
      <c r="CG1773" s="52"/>
      <c r="CH1773" s="48"/>
      <c r="CI1773" s="48"/>
      <c r="CJ1773" s="48"/>
      <c r="CK1773" s="48"/>
    </row>
    <row r="1774" spans="1:89" ht="15.75" customHeight="1" x14ac:dyDescent="0.3">
      <c r="A1774" s="47"/>
      <c r="B1774" s="48"/>
      <c r="C1774" s="47"/>
      <c r="D1774" s="48"/>
      <c r="E1774" s="48"/>
      <c r="F1774" s="48"/>
      <c r="G1774" s="48"/>
      <c r="H1774" s="48"/>
      <c r="I1774" s="49"/>
      <c r="J1774" s="47"/>
      <c r="K1774" s="47"/>
      <c r="L1774" s="47"/>
      <c r="M1774" s="47"/>
      <c r="N1774" s="47"/>
      <c r="O1774" s="47"/>
      <c r="P1774" s="47"/>
      <c r="Q1774" s="47"/>
      <c r="R1774" s="47"/>
      <c r="S1774" s="50"/>
      <c r="T1774" s="47"/>
      <c r="U1774" s="47"/>
      <c r="V1774" s="47"/>
      <c r="W1774" s="51"/>
      <c r="X1774" s="51"/>
      <c r="Y1774" s="47"/>
      <c r="Z1774" s="47"/>
      <c r="AA1774" s="47"/>
      <c r="AB1774" s="47"/>
      <c r="AC1774" s="47"/>
      <c r="AD1774" s="47"/>
      <c r="AE1774" s="54"/>
      <c r="AF1774" s="54"/>
      <c r="AG1774" s="55"/>
      <c r="AH1774" s="54"/>
      <c r="AI1774" s="54"/>
      <c r="AJ1774" s="54"/>
      <c r="AK1774" s="54"/>
      <c r="AL1774" s="54"/>
      <c r="AM1774" s="54"/>
      <c r="AN1774" s="54"/>
      <c r="AO1774" s="54"/>
      <c r="AP1774" s="54"/>
      <c r="AQ1774" s="54"/>
      <c r="AR1774" s="54"/>
      <c r="AS1774" s="54"/>
      <c r="AT1774" s="54"/>
      <c r="AU1774" s="54"/>
      <c r="AV1774" s="54"/>
      <c r="AW1774" s="54"/>
      <c r="AX1774" s="54"/>
      <c r="AY1774" s="54"/>
      <c r="AZ1774" s="54"/>
      <c r="BA1774" s="54"/>
      <c r="BB1774" s="54"/>
      <c r="BC1774" s="56"/>
      <c r="BD1774" s="51"/>
      <c r="BE1774" s="54"/>
      <c r="BF1774" s="54"/>
      <c r="BG1774" s="47"/>
      <c r="BH1774" s="48"/>
      <c r="BI1774" s="48"/>
      <c r="BJ1774" s="48"/>
      <c r="BK1774" s="48"/>
      <c r="BL1774" s="48"/>
      <c r="BM1774" s="48"/>
      <c r="BN1774" s="48"/>
      <c r="BO1774" s="48"/>
      <c r="BP1774" s="48"/>
      <c r="BQ1774" s="48"/>
      <c r="BR1774" s="48"/>
      <c r="BS1774" s="48"/>
      <c r="BT1774" s="48"/>
      <c r="BU1774" s="48"/>
      <c r="BV1774" s="48"/>
      <c r="BW1774" s="48"/>
      <c r="BX1774" s="48"/>
      <c r="BY1774" s="48"/>
      <c r="BZ1774" s="48"/>
      <c r="CA1774" s="48"/>
      <c r="CB1774" s="48"/>
      <c r="CC1774" s="48"/>
      <c r="CD1774" s="48"/>
      <c r="CE1774" s="48"/>
      <c r="CF1774" s="52"/>
      <c r="CG1774" s="52"/>
      <c r="CH1774" s="48"/>
      <c r="CI1774" s="48"/>
      <c r="CJ1774" s="48"/>
      <c r="CK1774" s="48"/>
    </row>
    <row r="1775" spans="1:89" ht="15.75" customHeight="1" x14ac:dyDescent="0.3">
      <c r="A1775" s="47"/>
      <c r="B1775" s="48"/>
      <c r="C1775" s="47"/>
      <c r="D1775" s="48"/>
      <c r="E1775" s="48"/>
      <c r="F1775" s="48"/>
      <c r="G1775" s="48"/>
      <c r="H1775" s="48"/>
      <c r="I1775" s="49"/>
      <c r="J1775" s="47"/>
      <c r="K1775" s="47"/>
      <c r="L1775" s="47"/>
      <c r="M1775" s="47"/>
      <c r="N1775" s="47"/>
      <c r="O1775" s="47"/>
      <c r="P1775" s="47"/>
      <c r="Q1775" s="47"/>
      <c r="R1775" s="47"/>
      <c r="S1775" s="50"/>
      <c r="T1775" s="47"/>
      <c r="U1775" s="47"/>
      <c r="V1775" s="47"/>
      <c r="W1775" s="51"/>
      <c r="X1775" s="51"/>
      <c r="Y1775" s="47"/>
      <c r="Z1775" s="47"/>
      <c r="AA1775" s="47"/>
      <c r="AB1775" s="47"/>
      <c r="AC1775" s="47"/>
      <c r="AD1775" s="47"/>
      <c r="AE1775" s="54"/>
      <c r="AF1775" s="54"/>
      <c r="AG1775" s="55"/>
      <c r="AH1775" s="54"/>
      <c r="AI1775" s="54"/>
      <c r="AJ1775" s="54"/>
      <c r="AK1775" s="54"/>
      <c r="AL1775" s="54"/>
      <c r="AM1775" s="54"/>
      <c r="AN1775" s="54"/>
      <c r="AO1775" s="54"/>
      <c r="AP1775" s="54"/>
      <c r="AQ1775" s="54"/>
      <c r="AR1775" s="54"/>
      <c r="AS1775" s="54"/>
      <c r="AT1775" s="54"/>
      <c r="AU1775" s="54"/>
      <c r="AV1775" s="54"/>
      <c r="AW1775" s="54"/>
      <c r="AX1775" s="54"/>
      <c r="AY1775" s="54"/>
      <c r="AZ1775" s="54"/>
      <c r="BA1775" s="54"/>
      <c r="BB1775" s="54"/>
      <c r="BC1775" s="56"/>
      <c r="BD1775" s="51"/>
      <c r="BE1775" s="54"/>
      <c r="BF1775" s="54"/>
      <c r="BG1775" s="47"/>
      <c r="BH1775" s="48"/>
      <c r="BI1775" s="48"/>
      <c r="BJ1775" s="48"/>
      <c r="BK1775" s="48"/>
      <c r="BL1775" s="48"/>
      <c r="BM1775" s="48"/>
      <c r="BN1775" s="48"/>
      <c r="BO1775" s="48"/>
      <c r="BP1775" s="48"/>
      <c r="BQ1775" s="48"/>
      <c r="BR1775" s="48"/>
      <c r="BS1775" s="48"/>
      <c r="BT1775" s="48"/>
      <c r="BU1775" s="48"/>
      <c r="BV1775" s="48"/>
      <c r="BW1775" s="48"/>
      <c r="BX1775" s="48"/>
      <c r="BY1775" s="48"/>
      <c r="BZ1775" s="48"/>
      <c r="CA1775" s="48"/>
      <c r="CB1775" s="48"/>
      <c r="CC1775" s="48"/>
      <c r="CD1775" s="48"/>
      <c r="CE1775" s="48"/>
      <c r="CF1775" s="52"/>
      <c r="CG1775" s="52"/>
      <c r="CH1775" s="48"/>
      <c r="CI1775" s="48"/>
      <c r="CJ1775" s="48"/>
      <c r="CK1775" s="48"/>
    </row>
    <row r="1776" spans="1:89" ht="15.75" customHeight="1" x14ac:dyDescent="0.3">
      <c r="A1776" s="47"/>
      <c r="B1776" s="48"/>
      <c r="C1776" s="47"/>
      <c r="D1776" s="48"/>
      <c r="E1776" s="48"/>
      <c r="F1776" s="48"/>
      <c r="G1776" s="48"/>
      <c r="H1776" s="48"/>
      <c r="I1776" s="49"/>
      <c r="J1776" s="47"/>
      <c r="K1776" s="47"/>
      <c r="L1776" s="47"/>
      <c r="M1776" s="47"/>
      <c r="N1776" s="47"/>
      <c r="O1776" s="47"/>
      <c r="P1776" s="47"/>
      <c r="Q1776" s="47"/>
      <c r="R1776" s="47"/>
      <c r="S1776" s="50"/>
      <c r="T1776" s="47"/>
      <c r="U1776" s="47"/>
      <c r="V1776" s="47"/>
      <c r="W1776" s="51"/>
      <c r="X1776" s="51"/>
      <c r="Y1776" s="47"/>
      <c r="Z1776" s="47"/>
      <c r="AA1776" s="47"/>
      <c r="AB1776" s="47"/>
      <c r="AC1776" s="47"/>
      <c r="AD1776" s="47"/>
      <c r="AE1776" s="54"/>
      <c r="AF1776" s="54"/>
      <c r="AG1776" s="55"/>
      <c r="AH1776" s="54"/>
      <c r="AI1776" s="54"/>
      <c r="AJ1776" s="54"/>
      <c r="AK1776" s="54"/>
      <c r="AL1776" s="54"/>
      <c r="AM1776" s="54"/>
      <c r="AN1776" s="54"/>
      <c r="AO1776" s="54"/>
      <c r="AP1776" s="54"/>
      <c r="AQ1776" s="54"/>
      <c r="AR1776" s="54"/>
      <c r="AS1776" s="54"/>
      <c r="AT1776" s="54"/>
      <c r="AU1776" s="54"/>
      <c r="AV1776" s="54"/>
      <c r="AW1776" s="54"/>
      <c r="AX1776" s="54"/>
      <c r="AY1776" s="54"/>
      <c r="AZ1776" s="54"/>
      <c r="BA1776" s="54"/>
      <c r="BB1776" s="54"/>
      <c r="BC1776" s="56"/>
      <c r="BD1776" s="51"/>
      <c r="BE1776" s="54"/>
      <c r="BF1776" s="54"/>
      <c r="BG1776" s="47"/>
      <c r="BH1776" s="48"/>
      <c r="BI1776" s="48"/>
      <c r="BJ1776" s="48"/>
      <c r="BK1776" s="48"/>
      <c r="BL1776" s="48"/>
      <c r="BM1776" s="48"/>
      <c r="BN1776" s="48"/>
      <c r="BO1776" s="48"/>
      <c r="BP1776" s="48"/>
      <c r="BQ1776" s="48"/>
      <c r="BR1776" s="48"/>
      <c r="BS1776" s="48"/>
      <c r="BT1776" s="48"/>
      <c r="BU1776" s="48"/>
      <c r="BV1776" s="48"/>
      <c r="BW1776" s="48"/>
      <c r="BX1776" s="48"/>
      <c r="BY1776" s="48"/>
      <c r="BZ1776" s="48"/>
      <c r="CA1776" s="48"/>
      <c r="CB1776" s="48"/>
      <c r="CC1776" s="48"/>
      <c r="CD1776" s="48"/>
      <c r="CE1776" s="48"/>
      <c r="CF1776" s="52"/>
      <c r="CG1776" s="52"/>
      <c r="CH1776" s="48"/>
      <c r="CI1776" s="48"/>
      <c r="CJ1776" s="48"/>
      <c r="CK1776" s="48"/>
    </row>
    <row r="1777" spans="1:89" ht="15.75" customHeight="1" x14ac:dyDescent="0.3">
      <c r="A1777" s="47"/>
      <c r="B1777" s="48"/>
      <c r="C1777" s="47"/>
      <c r="D1777" s="48"/>
      <c r="E1777" s="48"/>
      <c r="F1777" s="48"/>
      <c r="G1777" s="48"/>
      <c r="H1777" s="48"/>
      <c r="I1777" s="49"/>
      <c r="J1777" s="47"/>
      <c r="K1777" s="47"/>
      <c r="L1777" s="47"/>
      <c r="M1777" s="47"/>
      <c r="N1777" s="47"/>
      <c r="O1777" s="47"/>
      <c r="P1777" s="47"/>
      <c r="Q1777" s="47"/>
      <c r="R1777" s="47"/>
      <c r="S1777" s="50"/>
      <c r="T1777" s="47"/>
      <c r="U1777" s="47"/>
      <c r="V1777" s="47"/>
      <c r="W1777" s="51"/>
      <c r="X1777" s="51"/>
      <c r="Y1777" s="47"/>
      <c r="Z1777" s="47"/>
      <c r="AA1777" s="47"/>
      <c r="AB1777" s="47"/>
      <c r="AC1777" s="47"/>
      <c r="AD1777" s="47"/>
      <c r="AE1777" s="54"/>
      <c r="AF1777" s="54"/>
      <c r="AG1777" s="55"/>
      <c r="AH1777" s="54"/>
      <c r="AI1777" s="54"/>
      <c r="AJ1777" s="54"/>
      <c r="AK1777" s="54"/>
      <c r="AL1777" s="54"/>
      <c r="AM1777" s="54"/>
      <c r="AN1777" s="54"/>
      <c r="AO1777" s="54"/>
      <c r="AP1777" s="54"/>
      <c r="AQ1777" s="54"/>
      <c r="AR1777" s="54"/>
      <c r="AS1777" s="54"/>
      <c r="AT1777" s="54"/>
      <c r="AU1777" s="54"/>
      <c r="AV1777" s="54"/>
      <c r="AW1777" s="54"/>
      <c r="AX1777" s="54"/>
      <c r="AY1777" s="54"/>
      <c r="AZ1777" s="54"/>
      <c r="BA1777" s="54"/>
      <c r="BB1777" s="54"/>
      <c r="BC1777" s="56"/>
      <c r="BD1777" s="51"/>
      <c r="BE1777" s="54"/>
      <c r="BF1777" s="54"/>
      <c r="BG1777" s="47"/>
      <c r="BH1777" s="48"/>
      <c r="BI1777" s="48"/>
      <c r="BJ1777" s="48"/>
      <c r="BK1777" s="48"/>
      <c r="BL1777" s="48"/>
      <c r="BM1777" s="48"/>
      <c r="BN1777" s="48"/>
      <c r="BO1777" s="48"/>
      <c r="BP1777" s="48"/>
      <c r="BQ1777" s="48"/>
      <c r="BR1777" s="48"/>
      <c r="BS1777" s="48"/>
      <c r="BT1777" s="48"/>
      <c r="BU1777" s="48"/>
      <c r="BV1777" s="48"/>
      <c r="BW1777" s="48"/>
      <c r="BX1777" s="48"/>
      <c r="BY1777" s="48"/>
      <c r="BZ1777" s="48"/>
      <c r="CA1777" s="48"/>
      <c r="CB1777" s="48"/>
      <c r="CC1777" s="48"/>
      <c r="CD1777" s="48"/>
      <c r="CE1777" s="48"/>
      <c r="CF1777" s="52"/>
      <c r="CG1777" s="52"/>
      <c r="CH1777" s="48"/>
      <c r="CI1777" s="48"/>
      <c r="CJ1777" s="48"/>
      <c r="CK1777" s="48"/>
    </row>
    <row r="1778" spans="1:89" ht="15.75" customHeight="1" x14ac:dyDescent="0.3">
      <c r="A1778" s="47"/>
      <c r="B1778" s="48"/>
      <c r="C1778" s="47"/>
      <c r="D1778" s="48"/>
      <c r="E1778" s="48"/>
      <c r="F1778" s="48"/>
      <c r="G1778" s="48"/>
      <c r="H1778" s="48"/>
      <c r="I1778" s="49"/>
      <c r="J1778" s="47"/>
      <c r="K1778" s="47"/>
      <c r="L1778" s="47"/>
      <c r="M1778" s="47"/>
      <c r="N1778" s="47"/>
      <c r="O1778" s="47"/>
      <c r="P1778" s="47"/>
      <c r="Q1778" s="47"/>
      <c r="R1778" s="47"/>
      <c r="S1778" s="50"/>
      <c r="T1778" s="47"/>
      <c r="U1778" s="47"/>
      <c r="V1778" s="47"/>
      <c r="W1778" s="51"/>
      <c r="X1778" s="51"/>
      <c r="Y1778" s="47"/>
      <c r="Z1778" s="47"/>
      <c r="AA1778" s="47"/>
      <c r="AB1778" s="47"/>
      <c r="AC1778" s="47"/>
      <c r="AD1778" s="47"/>
      <c r="AE1778" s="54"/>
      <c r="AF1778" s="54"/>
      <c r="AG1778" s="55"/>
      <c r="AH1778" s="54"/>
      <c r="AI1778" s="54"/>
      <c r="AJ1778" s="54"/>
      <c r="AK1778" s="54"/>
      <c r="AL1778" s="54"/>
      <c r="AM1778" s="54"/>
      <c r="AN1778" s="54"/>
      <c r="AO1778" s="54"/>
      <c r="AP1778" s="54"/>
      <c r="AQ1778" s="54"/>
      <c r="AR1778" s="54"/>
      <c r="AS1778" s="54"/>
      <c r="AT1778" s="54"/>
      <c r="AU1778" s="54"/>
      <c r="AV1778" s="54"/>
      <c r="AW1778" s="54"/>
      <c r="AX1778" s="54"/>
      <c r="AY1778" s="54"/>
      <c r="AZ1778" s="54"/>
      <c r="BA1778" s="54"/>
      <c r="BB1778" s="54"/>
      <c r="BC1778" s="56"/>
      <c r="BD1778" s="51"/>
      <c r="BE1778" s="54"/>
      <c r="BF1778" s="54"/>
      <c r="BG1778" s="47"/>
      <c r="BH1778" s="48"/>
      <c r="BI1778" s="48"/>
      <c r="BJ1778" s="48"/>
      <c r="BK1778" s="48"/>
      <c r="BL1778" s="48"/>
      <c r="BM1778" s="48"/>
      <c r="BN1778" s="48"/>
      <c r="BO1778" s="48"/>
      <c r="BP1778" s="48"/>
      <c r="BQ1778" s="48"/>
      <c r="BR1778" s="48"/>
      <c r="BS1778" s="48"/>
      <c r="BT1778" s="48"/>
      <c r="BU1778" s="48"/>
      <c r="BV1778" s="48"/>
      <c r="BW1778" s="48"/>
      <c r="BX1778" s="48"/>
      <c r="BY1778" s="48"/>
      <c r="BZ1778" s="48"/>
      <c r="CA1778" s="48"/>
      <c r="CB1778" s="48"/>
      <c r="CC1778" s="48"/>
      <c r="CD1778" s="48"/>
      <c r="CE1778" s="48"/>
      <c r="CF1778" s="52"/>
      <c r="CG1778" s="52"/>
      <c r="CH1778" s="48"/>
      <c r="CI1778" s="48"/>
      <c r="CJ1778" s="48"/>
      <c r="CK1778" s="48"/>
    </row>
    <row r="1779" spans="1:89" ht="15.75" customHeight="1" x14ac:dyDescent="0.3">
      <c r="A1779" s="47"/>
      <c r="B1779" s="48"/>
      <c r="C1779" s="47"/>
      <c r="D1779" s="48"/>
      <c r="E1779" s="48"/>
      <c r="F1779" s="48"/>
      <c r="G1779" s="48"/>
      <c r="H1779" s="48"/>
      <c r="I1779" s="49"/>
      <c r="J1779" s="47"/>
      <c r="K1779" s="47"/>
      <c r="L1779" s="47"/>
      <c r="M1779" s="47"/>
      <c r="N1779" s="47"/>
      <c r="O1779" s="47"/>
      <c r="P1779" s="47"/>
      <c r="Q1779" s="47"/>
      <c r="R1779" s="47"/>
      <c r="S1779" s="50"/>
      <c r="T1779" s="47"/>
      <c r="U1779" s="47"/>
      <c r="V1779" s="47"/>
      <c r="W1779" s="51"/>
      <c r="X1779" s="51"/>
      <c r="Y1779" s="47"/>
      <c r="Z1779" s="47"/>
      <c r="AA1779" s="47"/>
      <c r="AB1779" s="47"/>
      <c r="AC1779" s="47"/>
      <c r="AD1779" s="47"/>
      <c r="AE1779" s="54"/>
      <c r="AF1779" s="54"/>
      <c r="AG1779" s="55"/>
      <c r="AH1779" s="54"/>
      <c r="AI1779" s="54"/>
      <c r="AJ1779" s="54"/>
      <c r="AK1779" s="54"/>
      <c r="AL1779" s="54"/>
      <c r="AM1779" s="54"/>
      <c r="AN1779" s="54"/>
      <c r="AO1779" s="54"/>
      <c r="AP1779" s="54"/>
      <c r="AQ1779" s="54"/>
      <c r="AR1779" s="54"/>
      <c r="AS1779" s="54"/>
      <c r="AT1779" s="54"/>
      <c r="AU1779" s="54"/>
      <c r="AV1779" s="54"/>
      <c r="AW1779" s="54"/>
      <c r="AX1779" s="54"/>
      <c r="AY1779" s="54"/>
      <c r="AZ1779" s="54"/>
      <c r="BA1779" s="54"/>
      <c r="BB1779" s="54"/>
      <c r="BC1779" s="56"/>
      <c r="BD1779" s="51"/>
      <c r="BE1779" s="54"/>
      <c r="BF1779" s="54"/>
      <c r="BG1779" s="47"/>
      <c r="BH1779" s="48"/>
      <c r="BI1779" s="48"/>
      <c r="BJ1779" s="48"/>
      <c r="BK1779" s="48"/>
      <c r="BL1779" s="48"/>
      <c r="BM1779" s="48"/>
      <c r="BN1779" s="48"/>
      <c r="BO1779" s="48"/>
      <c r="BP1779" s="48"/>
      <c r="BQ1779" s="48"/>
      <c r="BR1779" s="48"/>
      <c r="BS1779" s="48"/>
      <c r="BT1779" s="48"/>
      <c r="BU1779" s="48"/>
      <c r="BV1779" s="48"/>
      <c r="BW1779" s="48"/>
      <c r="BX1779" s="48"/>
      <c r="BY1779" s="48"/>
      <c r="BZ1779" s="48"/>
      <c r="CA1779" s="48"/>
      <c r="CB1779" s="48"/>
      <c r="CC1779" s="48"/>
      <c r="CD1779" s="48"/>
      <c r="CE1779" s="48"/>
      <c r="CF1779" s="52"/>
      <c r="CG1779" s="52"/>
      <c r="CH1779" s="48"/>
      <c r="CI1779" s="48"/>
      <c r="CJ1779" s="48"/>
      <c r="CK1779" s="48"/>
    </row>
    <row r="1780" spans="1:89" ht="15.75" customHeight="1" x14ac:dyDescent="0.3">
      <c r="A1780" s="47"/>
      <c r="B1780" s="48"/>
      <c r="C1780" s="47"/>
      <c r="D1780" s="48"/>
      <c r="E1780" s="48"/>
      <c r="F1780" s="48"/>
      <c r="G1780" s="48"/>
      <c r="H1780" s="48"/>
      <c r="I1780" s="49"/>
      <c r="J1780" s="47"/>
      <c r="K1780" s="47"/>
      <c r="L1780" s="47"/>
      <c r="M1780" s="47"/>
      <c r="N1780" s="47"/>
      <c r="O1780" s="47"/>
      <c r="P1780" s="47"/>
      <c r="Q1780" s="47"/>
      <c r="R1780" s="47"/>
      <c r="S1780" s="50"/>
      <c r="T1780" s="47"/>
      <c r="U1780" s="47"/>
      <c r="V1780" s="47"/>
      <c r="W1780" s="51"/>
      <c r="X1780" s="51"/>
      <c r="Y1780" s="47"/>
      <c r="Z1780" s="47"/>
      <c r="AA1780" s="47"/>
      <c r="AB1780" s="47"/>
      <c r="AC1780" s="47"/>
      <c r="AD1780" s="47"/>
      <c r="AE1780" s="54"/>
      <c r="AF1780" s="54"/>
      <c r="AG1780" s="55"/>
      <c r="AH1780" s="54"/>
      <c r="AI1780" s="54"/>
      <c r="AJ1780" s="54"/>
      <c r="AK1780" s="54"/>
      <c r="AL1780" s="54"/>
      <c r="AM1780" s="54"/>
      <c r="AN1780" s="54"/>
      <c r="AO1780" s="54"/>
      <c r="AP1780" s="54"/>
      <c r="AQ1780" s="54"/>
      <c r="AR1780" s="54"/>
      <c r="AS1780" s="54"/>
      <c r="AT1780" s="54"/>
      <c r="AU1780" s="54"/>
      <c r="AV1780" s="54"/>
      <c r="AW1780" s="54"/>
      <c r="AX1780" s="54"/>
      <c r="AY1780" s="54"/>
      <c r="AZ1780" s="54"/>
      <c r="BA1780" s="54"/>
      <c r="BB1780" s="54"/>
      <c r="BC1780" s="56"/>
      <c r="BD1780" s="51"/>
      <c r="BE1780" s="54"/>
      <c r="BF1780" s="54"/>
      <c r="BG1780" s="47"/>
      <c r="BH1780" s="48"/>
      <c r="BI1780" s="48"/>
      <c r="BJ1780" s="48"/>
      <c r="BK1780" s="48"/>
      <c r="BL1780" s="48"/>
      <c r="BM1780" s="48"/>
      <c r="BN1780" s="48"/>
      <c r="BO1780" s="48"/>
      <c r="BP1780" s="48"/>
      <c r="BQ1780" s="48"/>
      <c r="BR1780" s="48"/>
      <c r="BS1780" s="48"/>
      <c r="BT1780" s="48"/>
      <c r="BU1780" s="48"/>
      <c r="BV1780" s="48"/>
      <c r="BW1780" s="48"/>
      <c r="BX1780" s="48"/>
      <c r="BY1780" s="48"/>
      <c r="BZ1780" s="48"/>
      <c r="CA1780" s="48"/>
      <c r="CB1780" s="48"/>
      <c r="CC1780" s="48"/>
      <c r="CD1780" s="48"/>
      <c r="CE1780" s="48"/>
      <c r="CF1780" s="52"/>
      <c r="CG1780" s="52"/>
      <c r="CH1780" s="48"/>
      <c r="CI1780" s="48"/>
      <c r="CJ1780" s="48"/>
      <c r="CK1780" s="48"/>
    </row>
    <row r="1781" spans="1:89" ht="15.75" customHeight="1" x14ac:dyDescent="0.3">
      <c r="A1781" s="47"/>
      <c r="B1781" s="48"/>
      <c r="C1781" s="47"/>
      <c r="D1781" s="48"/>
      <c r="E1781" s="48"/>
      <c r="F1781" s="48"/>
      <c r="G1781" s="48"/>
      <c r="H1781" s="48"/>
      <c r="I1781" s="49"/>
      <c r="J1781" s="47"/>
      <c r="K1781" s="47"/>
      <c r="L1781" s="47"/>
      <c r="M1781" s="47"/>
      <c r="N1781" s="47"/>
      <c r="O1781" s="47"/>
      <c r="P1781" s="47"/>
      <c r="Q1781" s="47"/>
      <c r="R1781" s="47"/>
      <c r="S1781" s="50"/>
      <c r="T1781" s="47"/>
      <c r="U1781" s="47"/>
      <c r="V1781" s="47"/>
      <c r="W1781" s="51"/>
      <c r="X1781" s="51"/>
      <c r="Y1781" s="47"/>
      <c r="Z1781" s="47"/>
      <c r="AA1781" s="47"/>
      <c r="AB1781" s="47"/>
      <c r="AC1781" s="47"/>
      <c r="AD1781" s="47"/>
      <c r="AE1781" s="54"/>
      <c r="AF1781" s="54"/>
      <c r="AG1781" s="55"/>
      <c r="AH1781" s="54"/>
      <c r="AI1781" s="54"/>
      <c r="AJ1781" s="54"/>
      <c r="AK1781" s="54"/>
      <c r="AL1781" s="54"/>
      <c r="AM1781" s="54"/>
      <c r="AN1781" s="54"/>
      <c r="AO1781" s="54"/>
      <c r="AP1781" s="54"/>
      <c r="AQ1781" s="54"/>
      <c r="AR1781" s="54"/>
      <c r="AS1781" s="54"/>
      <c r="AT1781" s="54"/>
      <c r="AU1781" s="54"/>
      <c r="AV1781" s="54"/>
      <c r="AW1781" s="54"/>
      <c r="AX1781" s="54"/>
      <c r="AY1781" s="54"/>
      <c r="AZ1781" s="54"/>
      <c r="BA1781" s="54"/>
      <c r="BB1781" s="54"/>
      <c r="BC1781" s="56"/>
      <c r="BD1781" s="51"/>
      <c r="BE1781" s="54"/>
      <c r="BF1781" s="54"/>
      <c r="BG1781" s="47"/>
      <c r="BH1781" s="48"/>
      <c r="BI1781" s="48"/>
      <c r="BJ1781" s="48"/>
      <c r="BK1781" s="48"/>
      <c r="BL1781" s="48"/>
      <c r="BM1781" s="48"/>
      <c r="BN1781" s="48"/>
      <c r="BO1781" s="48"/>
      <c r="BP1781" s="48"/>
      <c r="BQ1781" s="48"/>
      <c r="BR1781" s="48"/>
      <c r="BS1781" s="48"/>
      <c r="BT1781" s="48"/>
      <c r="BU1781" s="48"/>
      <c r="BV1781" s="48"/>
      <c r="BW1781" s="48"/>
      <c r="BX1781" s="48"/>
      <c r="BY1781" s="48"/>
      <c r="BZ1781" s="48"/>
      <c r="CA1781" s="48"/>
      <c r="CB1781" s="48"/>
      <c r="CC1781" s="48"/>
      <c r="CD1781" s="48"/>
      <c r="CE1781" s="48"/>
      <c r="CF1781" s="52"/>
      <c r="CG1781" s="52"/>
      <c r="CH1781" s="48"/>
      <c r="CI1781" s="48"/>
      <c r="CJ1781" s="48"/>
      <c r="CK1781" s="48"/>
    </row>
    <row r="1782" spans="1:89" ht="15.75" customHeight="1" x14ac:dyDescent="0.3">
      <c r="A1782" s="47"/>
      <c r="B1782" s="48"/>
      <c r="C1782" s="47"/>
      <c r="D1782" s="48"/>
      <c r="E1782" s="48"/>
      <c r="F1782" s="48"/>
      <c r="G1782" s="48"/>
      <c r="H1782" s="48"/>
      <c r="I1782" s="49"/>
      <c r="J1782" s="47"/>
      <c r="K1782" s="47"/>
      <c r="L1782" s="47"/>
      <c r="M1782" s="47"/>
      <c r="N1782" s="47"/>
      <c r="O1782" s="47"/>
      <c r="P1782" s="47"/>
      <c r="Q1782" s="47"/>
      <c r="R1782" s="47"/>
      <c r="S1782" s="50"/>
      <c r="T1782" s="47"/>
      <c r="U1782" s="47"/>
      <c r="V1782" s="47"/>
      <c r="W1782" s="51"/>
      <c r="X1782" s="51"/>
      <c r="Y1782" s="47"/>
      <c r="Z1782" s="47"/>
      <c r="AA1782" s="47"/>
      <c r="AB1782" s="47"/>
      <c r="AC1782" s="47"/>
      <c r="AD1782" s="47"/>
      <c r="AE1782" s="54"/>
      <c r="AF1782" s="54"/>
      <c r="AG1782" s="55"/>
      <c r="AH1782" s="54"/>
      <c r="AI1782" s="54"/>
      <c r="AJ1782" s="54"/>
      <c r="AK1782" s="54"/>
      <c r="AL1782" s="54"/>
      <c r="AM1782" s="54"/>
      <c r="AN1782" s="54"/>
      <c r="AO1782" s="54"/>
      <c r="AP1782" s="54"/>
      <c r="AQ1782" s="54"/>
      <c r="AR1782" s="54"/>
      <c r="AS1782" s="54"/>
      <c r="AT1782" s="54"/>
      <c r="AU1782" s="54"/>
      <c r="AV1782" s="54"/>
      <c r="AW1782" s="54"/>
      <c r="AX1782" s="54"/>
      <c r="AY1782" s="54"/>
      <c r="AZ1782" s="54"/>
      <c r="BA1782" s="54"/>
      <c r="BB1782" s="54"/>
      <c r="BC1782" s="56"/>
      <c r="BD1782" s="51"/>
      <c r="BE1782" s="54"/>
      <c r="BF1782" s="54"/>
      <c r="BG1782" s="47"/>
      <c r="BH1782" s="48"/>
      <c r="BI1782" s="48"/>
      <c r="BJ1782" s="48"/>
      <c r="BK1782" s="48"/>
      <c r="BL1782" s="48"/>
      <c r="BM1782" s="48"/>
      <c r="BN1782" s="48"/>
      <c r="BO1782" s="48"/>
      <c r="BP1782" s="48"/>
      <c r="BQ1782" s="48"/>
      <c r="BR1782" s="48"/>
      <c r="BS1782" s="48"/>
      <c r="BT1782" s="48"/>
      <c r="BU1782" s="48"/>
      <c r="BV1782" s="48"/>
      <c r="BW1782" s="48"/>
      <c r="BX1782" s="48"/>
      <c r="BY1782" s="48"/>
      <c r="BZ1782" s="48"/>
      <c r="CA1782" s="48"/>
      <c r="CB1782" s="48"/>
      <c r="CC1782" s="48"/>
      <c r="CD1782" s="48"/>
      <c r="CE1782" s="48"/>
      <c r="CF1782" s="52"/>
      <c r="CG1782" s="52"/>
      <c r="CH1782" s="48"/>
      <c r="CI1782" s="48"/>
      <c r="CJ1782" s="48"/>
      <c r="CK1782" s="48"/>
    </row>
    <row r="1783" spans="1:89" ht="15.75" customHeight="1" x14ac:dyDescent="0.3">
      <c r="A1783" s="47"/>
      <c r="B1783" s="48"/>
      <c r="C1783" s="47"/>
      <c r="D1783" s="48"/>
      <c r="E1783" s="48"/>
      <c r="F1783" s="48"/>
      <c r="G1783" s="48"/>
      <c r="H1783" s="48"/>
      <c r="I1783" s="49"/>
      <c r="J1783" s="47"/>
      <c r="K1783" s="47"/>
      <c r="L1783" s="47"/>
      <c r="M1783" s="47"/>
      <c r="N1783" s="47"/>
      <c r="O1783" s="47"/>
      <c r="P1783" s="47"/>
      <c r="Q1783" s="47"/>
      <c r="R1783" s="47"/>
      <c r="S1783" s="50"/>
      <c r="T1783" s="47"/>
      <c r="U1783" s="47"/>
      <c r="V1783" s="47"/>
      <c r="W1783" s="51"/>
      <c r="X1783" s="51"/>
      <c r="Y1783" s="47"/>
      <c r="Z1783" s="47"/>
      <c r="AA1783" s="47"/>
      <c r="AB1783" s="47"/>
      <c r="AC1783" s="47"/>
      <c r="AD1783" s="47"/>
      <c r="AE1783" s="54"/>
      <c r="AF1783" s="54"/>
      <c r="AG1783" s="55"/>
      <c r="AH1783" s="54"/>
      <c r="AI1783" s="54"/>
      <c r="AJ1783" s="54"/>
      <c r="AK1783" s="54"/>
      <c r="AL1783" s="54"/>
      <c r="AM1783" s="54"/>
      <c r="AN1783" s="54"/>
      <c r="AO1783" s="54"/>
      <c r="AP1783" s="54"/>
      <c r="AQ1783" s="54"/>
      <c r="AR1783" s="54"/>
      <c r="AS1783" s="54"/>
      <c r="AT1783" s="54"/>
      <c r="AU1783" s="54"/>
      <c r="AV1783" s="54"/>
      <c r="AW1783" s="54"/>
      <c r="AX1783" s="54"/>
      <c r="AY1783" s="54"/>
      <c r="AZ1783" s="54"/>
      <c r="BA1783" s="54"/>
      <c r="BB1783" s="54"/>
      <c r="BC1783" s="56"/>
      <c r="BD1783" s="51"/>
      <c r="BE1783" s="54"/>
      <c r="BF1783" s="54"/>
      <c r="BG1783" s="47"/>
      <c r="BH1783" s="48"/>
      <c r="BI1783" s="48"/>
      <c r="BJ1783" s="48"/>
      <c r="BK1783" s="48"/>
      <c r="BL1783" s="48"/>
      <c r="BM1783" s="48"/>
      <c r="BN1783" s="48"/>
      <c r="BO1783" s="48"/>
      <c r="BP1783" s="48"/>
      <c r="BQ1783" s="48"/>
      <c r="BR1783" s="48"/>
      <c r="BS1783" s="48"/>
      <c r="BT1783" s="48"/>
      <c r="BU1783" s="48"/>
      <c r="BV1783" s="48"/>
      <c r="BW1783" s="48"/>
      <c r="BX1783" s="48"/>
      <c r="BY1783" s="48"/>
      <c r="BZ1783" s="48"/>
      <c r="CA1783" s="48"/>
      <c r="CB1783" s="48"/>
      <c r="CC1783" s="48"/>
      <c r="CD1783" s="48"/>
      <c r="CE1783" s="48"/>
      <c r="CF1783" s="52"/>
      <c r="CG1783" s="52"/>
      <c r="CH1783" s="48"/>
      <c r="CI1783" s="48"/>
      <c r="CJ1783" s="48"/>
      <c r="CK1783" s="48"/>
    </row>
    <row r="1784" spans="1:89" ht="15.75" customHeight="1" x14ac:dyDescent="0.3">
      <c r="A1784" s="47"/>
      <c r="B1784" s="48"/>
      <c r="C1784" s="47"/>
      <c r="D1784" s="48"/>
      <c r="E1784" s="48"/>
      <c r="F1784" s="48"/>
      <c r="G1784" s="48"/>
      <c r="H1784" s="48"/>
      <c r="I1784" s="49"/>
      <c r="J1784" s="47"/>
      <c r="K1784" s="47"/>
      <c r="L1784" s="47"/>
      <c r="M1784" s="47"/>
      <c r="N1784" s="47"/>
      <c r="O1784" s="47"/>
      <c r="P1784" s="47"/>
      <c r="Q1784" s="47"/>
      <c r="R1784" s="47"/>
      <c r="S1784" s="50"/>
      <c r="T1784" s="47"/>
      <c r="U1784" s="47"/>
      <c r="V1784" s="47"/>
      <c r="W1784" s="51"/>
      <c r="X1784" s="51"/>
      <c r="Y1784" s="47"/>
      <c r="Z1784" s="47"/>
      <c r="AA1784" s="47"/>
      <c r="AB1784" s="47"/>
      <c r="AC1784" s="47"/>
      <c r="AD1784" s="47"/>
      <c r="AE1784" s="54"/>
      <c r="AF1784" s="54"/>
      <c r="AG1784" s="55"/>
      <c r="AH1784" s="54"/>
      <c r="AI1784" s="54"/>
      <c r="AJ1784" s="54"/>
      <c r="AK1784" s="54"/>
      <c r="AL1784" s="54"/>
      <c r="AM1784" s="54"/>
      <c r="AN1784" s="54"/>
      <c r="AO1784" s="54"/>
      <c r="AP1784" s="54"/>
      <c r="AQ1784" s="54"/>
      <c r="AR1784" s="54"/>
      <c r="AS1784" s="54"/>
      <c r="AT1784" s="54"/>
      <c r="AU1784" s="54"/>
      <c r="AV1784" s="54"/>
      <c r="AW1784" s="54"/>
      <c r="AX1784" s="54"/>
      <c r="AY1784" s="54"/>
      <c r="AZ1784" s="54"/>
      <c r="BA1784" s="54"/>
      <c r="BB1784" s="54"/>
      <c r="BC1784" s="56"/>
      <c r="BD1784" s="51"/>
      <c r="BE1784" s="54"/>
      <c r="BF1784" s="54"/>
      <c r="BG1784" s="47"/>
      <c r="BH1784" s="48"/>
      <c r="BI1784" s="48"/>
      <c r="BJ1784" s="48"/>
      <c r="BK1784" s="48"/>
      <c r="BL1784" s="48"/>
      <c r="BM1784" s="48"/>
      <c r="BN1784" s="48"/>
      <c r="BO1784" s="48"/>
      <c r="BP1784" s="48"/>
      <c r="BQ1784" s="48"/>
      <c r="BR1784" s="48"/>
      <c r="BS1784" s="48"/>
      <c r="BT1784" s="48"/>
      <c r="BU1784" s="48"/>
      <c r="BV1784" s="48"/>
      <c r="BW1784" s="48"/>
      <c r="BX1784" s="48"/>
      <c r="BY1784" s="48"/>
      <c r="BZ1784" s="48"/>
      <c r="CA1784" s="48"/>
      <c r="CB1784" s="48"/>
      <c r="CC1784" s="48"/>
      <c r="CD1784" s="48"/>
      <c r="CE1784" s="48"/>
      <c r="CF1784" s="52"/>
      <c r="CG1784" s="52"/>
      <c r="CH1784" s="48"/>
      <c r="CI1784" s="48"/>
      <c r="CJ1784" s="48"/>
      <c r="CK1784" s="48"/>
    </row>
    <row r="1785" spans="1:89" ht="15.75" customHeight="1" x14ac:dyDescent="0.3">
      <c r="A1785" s="47"/>
      <c r="B1785" s="48"/>
      <c r="C1785" s="47"/>
      <c r="D1785" s="48"/>
      <c r="E1785" s="48"/>
      <c r="F1785" s="48"/>
      <c r="G1785" s="48"/>
      <c r="H1785" s="48"/>
      <c r="I1785" s="49"/>
      <c r="J1785" s="47"/>
      <c r="K1785" s="47"/>
      <c r="L1785" s="47"/>
      <c r="M1785" s="47"/>
      <c r="N1785" s="47"/>
      <c r="O1785" s="47"/>
      <c r="P1785" s="47"/>
      <c r="Q1785" s="47"/>
      <c r="R1785" s="47"/>
      <c r="S1785" s="50"/>
      <c r="T1785" s="47"/>
      <c r="U1785" s="47"/>
      <c r="V1785" s="47"/>
      <c r="W1785" s="51"/>
      <c r="X1785" s="51"/>
      <c r="Y1785" s="47"/>
      <c r="Z1785" s="47"/>
      <c r="AA1785" s="47"/>
      <c r="AB1785" s="47"/>
      <c r="AC1785" s="47"/>
      <c r="AD1785" s="47"/>
      <c r="AE1785" s="54"/>
      <c r="AF1785" s="54"/>
      <c r="AG1785" s="55"/>
      <c r="AH1785" s="54"/>
      <c r="AI1785" s="54"/>
      <c r="AJ1785" s="54"/>
      <c r="AK1785" s="54"/>
      <c r="AL1785" s="54"/>
      <c r="AM1785" s="54"/>
      <c r="AN1785" s="54"/>
      <c r="AO1785" s="54"/>
      <c r="AP1785" s="54"/>
      <c r="AQ1785" s="54"/>
      <c r="AR1785" s="54"/>
      <c r="AS1785" s="54"/>
      <c r="AT1785" s="54"/>
      <c r="AU1785" s="54"/>
      <c r="AV1785" s="54"/>
      <c r="AW1785" s="54"/>
      <c r="AX1785" s="54"/>
      <c r="AY1785" s="54"/>
      <c r="AZ1785" s="54"/>
      <c r="BA1785" s="54"/>
      <c r="BB1785" s="54"/>
      <c r="BC1785" s="56"/>
      <c r="BD1785" s="51"/>
      <c r="BE1785" s="54"/>
      <c r="BF1785" s="54"/>
      <c r="BG1785" s="47"/>
      <c r="BH1785" s="48"/>
      <c r="BI1785" s="48"/>
      <c r="BJ1785" s="48"/>
      <c r="BK1785" s="48"/>
      <c r="BL1785" s="48"/>
      <c r="BM1785" s="48"/>
      <c r="BN1785" s="48"/>
      <c r="BO1785" s="48"/>
      <c r="BP1785" s="48"/>
      <c r="BQ1785" s="48"/>
      <c r="BR1785" s="48"/>
      <c r="BS1785" s="48"/>
      <c r="BT1785" s="48"/>
      <c r="BU1785" s="48"/>
      <c r="BV1785" s="48"/>
      <c r="BW1785" s="48"/>
      <c r="BX1785" s="48"/>
      <c r="BY1785" s="48"/>
      <c r="BZ1785" s="48"/>
      <c r="CA1785" s="48"/>
      <c r="CB1785" s="48"/>
      <c r="CC1785" s="48"/>
      <c r="CD1785" s="48"/>
      <c r="CE1785" s="48"/>
      <c r="CF1785" s="52"/>
      <c r="CG1785" s="52"/>
      <c r="CH1785" s="48"/>
      <c r="CI1785" s="48"/>
      <c r="CJ1785" s="48"/>
      <c r="CK1785" s="48"/>
    </row>
    <row r="1786" spans="1:89" ht="15.75" customHeight="1" x14ac:dyDescent="0.3">
      <c r="A1786" s="47"/>
      <c r="B1786" s="48"/>
      <c r="C1786" s="47"/>
      <c r="D1786" s="48"/>
      <c r="E1786" s="48"/>
      <c r="F1786" s="48"/>
      <c r="G1786" s="48"/>
      <c r="H1786" s="48"/>
      <c r="I1786" s="49"/>
      <c r="J1786" s="47"/>
      <c r="K1786" s="47"/>
      <c r="L1786" s="47"/>
      <c r="M1786" s="47"/>
      <c r="N1786" s="47"/>
      <c r="O1786" s="47"/>
      <c r="P1786" s="47"/>
      <c r="Q1786" s="47"/>
      <c r="R1786" s="47"/>
      <c r="S1786" s="50"/>
      <c r="T1786" s="47"/>
      <c r="U1786" s="47"/>
      <c r="V1786" s="47"/>
      <c r="W1786" s="51"/>
      <c r="X1786" s="51"/>
      <c r="Y1786" s="47"/>
      <c r="Z1786" s="47"/>
      <c r="AA1786" s="47"/>
      <c r="AB1786" s="47"/>
      <c r="AC1786" s="47"/>
      <c r="AD1786" s="47"/>
      <c r="AE1786" s="54"/>
      <c r="AF1786" s="54"/>
      <c r="AG1786" s="55"/>
      <c r="AH1786" s="54"/>
      <c r="AI1786" s="54"/>
      <c r="AJ1786" s="54"/>
      <c r="AK1786" s="54"/>
      <c r="AL1786" s="54"/>
      <c r="AM1786" s="54"/>
      <c r="AN1786" s="54"/>
      <c r="AO1786" s="54"/>
      <c r="AP1786" s="54"/>
      <c r="AQ1786" s="54"/>
      <c r="AR1786" s="54"/>
      <c r="AS1786" s="54"/>
      <c r="AT1786" s="54"/>
      <c r="AU1786" s="54"/>
      <c r="AV1786" s="54"/>
      <c r="AW1786" s="54"/>
      <c r="AX1786" s="54"/>
      <c r="AY1786" s="54"/>
      <c r="AZ1786" s="54"/>
      <c r="BA1786" s="54"/>
      <c r="BB1786" s="54"/>
      <c r="BC1786" s="56"/>
      <c r="BD1786" s="51"/>
      <c r="BE1786" s="54"/>
      <c r="BF1786" s="54"/>
      <c r="BG1786" s="47"/>
      <c r="BH1786" s="48"/>
      <c r="BI1786" s="48"/>
      <c r="BJ1786" s="48"/>
      <c r="BK1786" s="48"/>
      <c r="BL1786" s="48"/>
      <c r="BM1786" s="48"/>
      <c r="BN1786" s="48"/>
      <c r="BO1786" s="48"/>
      <c r="BP1786" s="48"/>
      <c r="BQ1786" s="48"/>
      <c r="BR1786" s="48"/>
      <c r="BS1786" s="48"/>
      <c r="BT1786" s="48"/>
      <c r="BU1786" s="48"/>
      <c r="BV1786" s="48"/>
      <c r="BW1786" s="48"/>
      <c r="BX1786" s="48"/>
      <c r="BY1786" s="48"/>
      <c r="BZ1786" s="48"/>
      <c r="CA1786" s="48"/>
      <c r="CB1786" s="48"/>
      <c r="CC1786" s="48"/>
      <c r="CD1786" s="48"/>
      <c r="CE1786" s="48"/>
      <c r="CF1786" s="52"/>
      <c r="CG1786" s="52"/>
      <c r="CH1786" s="48"/>
      <c r="CI1786" s="48"/>
      <c r="CJ1786" s="48"/>
      <c r="CK1786" s="48"/>
    </row>
    <row r="1787" spans="1:89" ht="15.75" customHeight="1" x14ac:dyDescent="0.3">
      <c r="A1787" s="47"/>
      <c r="B1787" s="48"/>
      <c r="C1787" s="47"/>
      <c r="D1787" s="48"/>
      <c r="E1787" s="48"/>
      <c r="F1787" s="48"/>
      <c r="G1787" s="48"/>
      <c r="H1787" s="48"/>
      <c r="I1787" s="49"/>
      <c r="J1787" s="47"/>
      <c r="K1787" s="47"/>
      <c r="L1787" s="47"/>
      <c r="M1787" s="47"/>
      <c r="N1787" s="47"/>
      <c r="O1787" s="47"/>
      <c r="P1787" s="47"/>
      <c r="Q1787" s="47"/>
      <c r="R1787" s="47"/>
      <c r="S1787" s="50"/>
      <c r="T1787" s="47"/>
      <c r="U1787" s="47"/>
      <c r="V1787" s="47"/>
      <c r="W1787" s="51"/>
      <c r="X1787" s="51"/>
      <c r="Y1787" s="47"/>
      <c r="Z1787" s="47"/>
      <c r="AA1787" s="47"/>
      <c r="AB1787" s="47"/>
      <c r="AC1787" s="47"/>
      <c r="AD1787" s="47"/>
      <c r="AE1787" s="54"/>
      <c r="AF1787" s="54"/>
      <c r="AG1787" s="55"/>
      <c r="AH1787" s="54"/>
      <c r="AI1787" s="54"/>
      <c r="AJ1787" s="54"/>
      <c r="AK1787" s="54"/>
      <c r="AL1787" s="54"/>
      <c r="AM1787" s="54"/>
      <c r="AN1787" s="54"/>
      <c r="AO1787" s="54"/>
      <c r="AP1787" s="54"/>
      <c r="AQ1787" s="54"/>
      <c r="AR1787" s="54"/>
      <c r="AS1787" s="54"/>
      <c r="AT1787" s="54"/>
      <c r="AU1787" s="54"/>
      <c r="AV1787" s="54"/>
      <c r="AW1787" s="54"/>
      <c r="AX1787" s="54"/>
      <c r="AY1787" s="54"/>
      <c r="AZ1787" s="54"/>
      <c r="BA1787" s="54"/>
      <c r="BB1787" s="54"/>
      <c r="BC1787" s="56"/>
      <c r="BD1787" s="51"/>
      <c r="BE1787" s="54"/>
      <c r="BF1787" s="54"/>
      <c r="BG1787" s="47"/>
      <c r="BH1787" s="48"/>
      <c r="BI1787" s="48"/>
      <c r="BJ1787" s="48"/>
      <c r="BK1787" s="48"/>
      <c r="BL1787" s="48"/>
      <c r="BM1787" s="48"/>
      <c r="BN1787" s="48"/>
      <c r="BO1787" s="48"/>
      <c r="BP1787" s="48"/>
      <c r="BQ1787" s="48"/>
      <c r="BR1787" s="48"/>
      <c r="BS1787" s="48"/>
      <c r="BT1787" s="48"/>
      <c r="BU1787" s="48"/>
      <c r="BV1787" s="48"/>
      <c r="BW1787" s="48"/>
      <c r="BX1787" s="48"/>
      <c r="BY1787" s="48"/>
      <c r="BZ1787" s="48"/>
      <c r="CA1787" s="48"/>
      <c r="CB1787" s="48"/>
      <c r="CC1787" s="48"/>
      <c r="CD1787" s="48"/>
      <c r="CE1787" s="48"/>
      <c r="CF1787" s="52"/>
      <c r="CG1787" s="52"/>
      <c r="CH1787" s="48"/>
      <c r="CI1787" s="48"/>
      <c r="CJ1787" s="48"/>
      <c r="CK1787" s="48"/>
    </row>
    <row r="1788" spans="1:89" ht="15.75" customHeight="1" x14ac:dyDescent="0.3">
      <c r="A1788" s="47"/>
      <c r="B1788" s="48"/>
      <c r="C1788" s="47"/>
      <c r="D1788" s="48"/>
      <c r="E1788" s="48"/>
      <c r="F1788" s="48"/>
      <c r="G1788" s="48"/>
      <c r="H1788" s="48"/>
      <c r="I1788" s="49"/>
      <c r="J1788" s="47"/>
      <c r="K1788" s="47"/>
      <c r="L1788" s="47"/>
      <c r="M1788" s="47"/>
      <c r="N1788" s="47"/>
      <c r="O1788" s="47"/>
      <c r="P1788" s="47"/>
      <c r="Q1788" s="47"/>
      <c r="R1788" s="47"/>
      <c r="S1788" s="50"/>
      <c r="T1788" s="47"/>
      <c r="U1788" s="47"/>
      <c r="V1788" s="47"/>
      <c r="W1788" s="51"/>
      <c r="X1788" s="51"/>
      <c r="Y1788" s="47"/>
      <c r="Z1788" s="47"/>
      <c r="AA1788" s="47"/>
      <c r="AB1788" s="47"/>
      <c r="AC1788" s="47"/>
      <c r="AD1788" s="47"/>
      <c r="AE1788" s="54"/>
      <c r="AF1788" s="54"/>
      <c r="AG1788" s="55"/>
      <c r="AH1788" s="54"/>
      <c r="AI1788" s="54"/>
      <c r="AJ1788" s="54"/>
      <c r="AK1788" s="54"/>
      <c r="AL1788" s="54"/>
      <c r="AM1788" s="54"/>
      <c r="AN1788" s="54"/>
      <c r="AO1788" s="54"/>
      <c r="AP1788" s="54"/>
      <c r="AQ1788" s="54"/>
      <c r="AR1788" s="54"/>
      <c r="AS1788" s="54"/>
      <c r="AT1788" s="54"/>
      <c r="AU1788" s="54"/>
      <c r="AV1788" s="54"/>
      <c r="AW1788" s="54"/>
      <c r="AX1788" s="54"/>
      <c r="AY1788" s="54"/>
      <c r="AZ1788" s="54"/>
      <c r="BA1788" s="54"/>
      <c r="BB1788" s="54"/>
      <c r="BC1788" s="56"/>
      <c r="BD1788" s="51"/>
      <c r="BE1788" s="54"/>
      <c r="BF1788" s="54"/>
      <c r="BG1788" s="47"/>
      <c r="BH1788" s="48"/>
      <c r="BI1788" s="48"/>
      <c r="BJ1788" s="48"/>
      <c r="BK1788" s="48"/>
      <c r="BL1788" s="48"/>
      <c r="BM1788" s="48"/>
      <c r="BN1788" s="48"/>
      <c r="BO1788" s="48"/>
      <c r="BP1788" s="48"/>
      <c r="BQ1788" s="48"/>
      <c r="BR1788" s="48"/>
      <c r="BS1788" s="48"/>
      <c r="BT1788" s="48"/>
      <c r="BU1788" s="48"/>
      <c r="BV1788" s="48"/>
      <c r="BW1788" s="48"/>
      <c r="BX1788" s="48"/>
      <c r="BY1788" s="48"/>
      <c r="BZ1788" s="48"/>
      <c r="CA1788" s="48"/>
      <c r="CB1788" s="48"/>
      <c r="CC1788" s="48"/>
      <c r="CD1788" s="48"/>
      <c r="CE1788" s="48"/>
      <c r="CF1788" s="52"/>
      <c r="CG1788" s="52"/>
      <c r="CH1788" s="48"/>
      <c r="CI1788" s="48"/>
      <c r="CJ1788" s="48"/>
      <c r="CK1788" s="48"/>
    </row>
    <row r="1789" spans="1:89" ht="15.75" customHeight="1" x14ac:dyDescent="0.3">
      <c r="A1789" s="47"/>
      <c r="B1789" s="48"/>
      <c r="C1789" s="47"/>
      <c r="D1789" s="48"/>
      <c r="E1789" s="48"/>
      <c r="F1789" s="48"/>
      <c r="G1789" s="48"/>
      <c r="H1789" s="48"/>
      <c r="I1789" s="49"/>
      <c r="J1789" s="47"/>
      <c r="K1789" s="47"/>
      <c r="L1789" s="47"/>
      <c r="M1789" s="47"/>
      <c r="N1789" s="47"/>
      <c r="O1789" s="47"/>
      <c r="P1789" s="47"/>
      <c r="Q1789" s="47"/>
      <c r="R1789" s="47"/>
      <c r="S1789" s="50"/>
      <c r="T1789" s="47"/>
      <c r="U1789" s="47"/>
      <c r="V1789" s="47"/>
      <c r="W1789" s="51"/>
      <c r="X1789" s="51"/>
      <c r="Y1789" s="47"/>
      <c r="Z1789" s="47"/>
      <c r="AA1789" s="47"/>
      <c r="AB1789" s="47"/>
      <c r="AC1789" s="47"/>
      <c r="AD1789" s="47"/>
      <c r="AE1789" s="54"/>
      <c r="AF1789" s="54"/>
      <c r="AG1789" s="55"/>
      <c r="AH1789" s="54"/>
      <c r="AI1789" s="54"/>
      <c r="AJ1789" s="54"/>
      <c r="AK1789" s="54"/>
      <c r="AL1789" s="54"/>
      <c r="AM1789" s="54"/>
      <c r="AN1789" s="54"/>
      <c r="AO1789" s="54"/>
      <c r="AP1789" s="54"/>
      <c r="AQ1789" s="54"/>
      <c r="AR1789" s="54"/>
      <c r="AS1789" s="54"/>
      <c r="AT1789" s="54"/>
      <c r="AU1789" s="54"/>
      <c r="AV1789" s="54"/>
      <c r="AW1789" s="54"/>
      <c r="AX1789" s="54"/>
      <c r="AY1789" s="54"/>
      <c r="AZ1789" s="54"/>
      <c r="BA1789" s="54"/>
      <c r="BB1789" s="54"/>
      <c r="BC1789" s="56"/>
      <c r="BD1789" s="51"/>
      <c r="BE1789" s="54"/>
      <c r="BF1789" s="54"/>
      <c r="BG1789" s="47"/>
      <c r="BH1789" s="48"/>
      <c r="BI1789" s="48"/>
      <c r="BJ1789" s="48"/>
      <c r="BK1789" s="48"/>
      <c r="BL1789" s="48"/>
      <c r="BM1789" s="48"/>
      <c r="BN1789" s="48"/>
      <c r="BO1789" s="48"/>
      <c r="BP1789" s="48"/>
      <c r="BQ1789" s="48"/>
      <c r="BR1789" s="48"/>
      <c r="BS1789" s="48"/>
      <c r="BT1789" s="48"/>
      <c r="BU1789" s="48"/>
      <c r="BV1789" s="48"/>
      <c r="BW1789" s="48"/>
      <c r="BX1789" s="48"/>
      <c r="BY1789" s="48"/>
      <c r="BZ1789" s="48"/>
      <c r="CA1789" s="48"/>
      <c r="CB1789" s="48"/>
      <c r="CC1789" s="48"/>
      <c r="CD1789" s="48"/>
      <c r="CE1789" s="48"/>
      <c r="CF1789" s="52"/>
      <c r="CG1789" s="52"/>
      <c r="CH1789" s="48"/>
      <c r="CI1789" s="48"/>
      <c r="CJ1789" s="48"/>
      <c r="CK1789" s="48"/>
    </row>
    <row r="1790" spans="1:89" ht="15.75" customHeight="1" x14ac:dyDescent="0.3">
      <c r="A1790" s="47"/>
      <c r="B1790" s="48"/>
      <c r="C1790" s="47"/>
      <c r="D1790" s="48"/>
      <c r="E1790" s="48"/>
      <c r="F1790" s="48"/>
      <c r="G1790" s="48"/>
      <c r="H1790" s="48"/>
      <c r="I1790" s="49"/>
      <c r="J1790" s="47"/>
      <c r="K1790" s="47"/>
      <c r="L1790" s="47"/>
      <c r="M1790" s="47"/>
      <c r="N1790" s="47"/>
      <c r="O1790" s="47"/>
      <c r="P1790" s="47"/>
      <c r="Q1790" s="47"/>
      <c r="R1790" s="47"/>
      <c r="S1790" s="50"/>
      <c r="T1790" s="47"/>
      <c r="U1790" s="47"/>
      <c r="V1790" s="47"/>
      <c r="W1790" s="51"/>
      <c r="X1790" s="51"/>
      <c r="Y1790" s="47"/>
      <c r="Z1790" s="47"/>
      <c r="AA1790" s="47"/>
      <c r="AB1790" s="47"/>
      <c r="AC1790" s="47"/>
      <c r="AD1790" s="47"/>
      <c r="AE1790" s="54"/>
      <c r="AF1790" s="54"/>
      <c r="AG1790" s="55"/>
      <c r="AH1790" s="54"/>
      <c r="AI1790" s="54"/>
      <c r="AJ1790" s="54"/>
      <c r="AK1790" s="54"/>
      <c r="AL1790" s="54"/>
      <c r="AM1790" s="54"/>
      <c r="AN1790" s="54"/>
      <c r="AO1790" s="54"/>
      <c r="AP1790" s="54"/>
      <c r="AQ1790" s="54"/>
      <c r="AR1790" s="54"/>
      <c r="AS1790" s="54"/>
      <c r="AT1790" s="54"/>
      <c r="AU1790" s="54"/>
      <c r="AV1790" s="54"/>
      <c r="AW1790" s="54"/>
      <c r="AX1790" s="54"/>
      <c r="AY1790" s="54"/>
      <c r="AZ1790" s="54"/>
      <c r="BA1790" s="54"/>
      <c r="BB1790" s="54"/>
      <c r="BC1790" s="56"/>
      <c r="BD1790" s="51"/>
      <c r="BE1790" s="54"/>
      <c r="BF1790" s="54"/>
      <c r="BG1790" s="47"/>
      <c r="BH1790" s="48"/>
      <c r="BI1790" s="48"/>
      <c r="BJ1790" s="48"/>
      <c r="BK1790" s="48"/>
      <c r="BL1790" s="48"/>
      <c r="BM1790" s="48"/>
      <c r="BN1790" s="48"/>
      <c r="BO1790" s="48"/>
      <c r="BP1790" s="48"/>
      <c r="BQ1790" s="48"/>
      <c r="BR1790" s="48"/>
      <c r="BS1790" s="48"/>
      <c r="BT1790" s="48"/>
      <c r="BU1790" s="48"/>
      <c r="BV1790" s="48"/>
      <c r="BW1790" s="48"/>
      <c r="BX1790" s="48"/>
      <c r="BY1790" s="48"/>
      <c r="BZ1790" s="48"/>
      <c r="CA1790" s="48"/>
      <c r="CB1790" s="48"/>
      <c r="CC1790" s="48"/>
      <c r="CD1790" s="48"/>
      <c r="CE1790" s="48"/>
      <c r="CF1790" s="52"/>
      <c r="CG1790" s="52"/>
      <c r="CH1790" s="48"/>
      <c r="CI1790" s="48"/>
      <c r="CJ1790" s="48"/>
      <c r="CK1790" s="48"/>
    </row>
    <row r="1791" spans="1:89" ht="15.75" customHeight="1" x14ac:dyDescent="0.3">
      <c r="A1791" s="47"/>
      <c r="B1791" s="48"/>
      <c r="C1791" s="47"/>
      <c r="D1791" s="48"/>
      <c r="E1791" s="48"/>
      <c r="F1791" s="48"/>
      <c r="G1791" s="48"/>
      <c r="H1791" s="48"/>
      <c r="I1791" s="49"/>
      <c r="J1791" s="47"/>
      <c r="K1791" s="47"/>
      <c r="L1791" s="47"/>
      <c r="M1791" s="47"/>
      <c r="N1791" s="47"/>
      <c r="O1791" s="47"/>
      <c r="P1791" s="47"/>
      <c r="Q1791" s="47"/>
      <c r="R1791" s="47"/>
      <c r="S1791" s="50"/>
      <c r="T1791" s="47"/>
      <c r="U1791" s="47"/>
      <c r="V1791" s="47"/>
      <c r="W1791" s="51"/>
      <c r="X1791" s="51"/>
      <c r="Y1791" s="47"/>
      <c r="Z1791" s="47"/>
      <c r="AA1791" s="47"/>
      <c r="AB1791" s="47"/>
      <c r="AC1791" s="47"/>
      <c r="AD1791" s="47"/>
      <c r="AE1791" s="54"/>
      <c r="AF1791" s="54"/>
      <c r="AG1791" s="55"/>
      <c r="AH1791" s="54"/>
      <c r="AI1791" s="54"/>
      <c r="AJ1791" s="54"/>
      <c r="AK1791" s="54"/>
      <c r="AL1791" s="54"/>
      <c r="AM1791" s="54"/>
      <c r="AN1791" s="54"/>
      <c r="AO1791" s="54"/>
      <c r="AP1791" s="54"/>
      <c r="AQ1791" s="54"/>
      <c r="AR1791" s="54"/>
      <c r="AS1791" s="54"/>
      <c r="AT1791" s="54"/>
      <c r="AU1791" s="54"/>
      <c r="AV1791" s="54"/>
      <c r="AW1791" s="54"/>
      <c r="AX1791" s="54"/>
      <c r="AY1791" s="54"/>
      <c r="AZ1791" s="54"/>
      <c r="BA1791" s="54"/>
      <c r="BB1791" s="54"/>
      <c r="BC1791" s="56"/>
      <c r="BD1791" s="51"/>
      <c r="BE1791" s="54"/>
      <c r="BF1791" s="54"/>
      <c r="BG1791" s="47"/>
      <c r="BH1791" s="48"/>
      <c r="BI1791" s="48"/>
      <c r="BJ1791" s="48"/>
      <c r="BK1791" s="48"/>
      <c r="BL1791" s="48"/>
      <c r="BM1791" s="48"/>
      <c r="BN1791" s="48"/>
      <c r="BO1791" s="48"/>
      <c r="BP1791" s="48"/>
      <c r="BQ1791" s="48"/>
      <c r="BR1791" s="48"/>
      <c r="BS1791" s="48"/>
      <c r="BT1791" s="48"/>
      <c r="BU1791" s="48"/>
      <c r="BV1791" s="48"/>
      <c r="BW1791" s="48"/>
      <c r="BX1791" s="48"/>
      <c r="BY1791" s="48"/>
      <c r="BZ1791" s="48"/>
      <c r="CA1791" s="48"/>
      <c r="CB1791" s="48"/>
      <c r="CC1791" s="48"/>
      <c r="CD1791" s="48"/>
      <c r="CE1791" s="48"/>
      <c r="CF1791" s="52"/>
      <c r="CG1791" s="52"/>
      <c r="CH1791" s="48"/>
      <c r="CI1791" s="48"/>
      <c r="CJ1791" s="48"/>
      <c r="CK1791" s="48"/>
    </row>
    <row r="1792" spans="1:89" ht="15.75" customHeight="1" x14ac:dyDescent="0.3">
      <c r="A1792" s="47"/>
      <c r="B1792" s="48"/>
      <c r="C1792" s="47"/>
      <c r="D1792" s="48"/>
      <c r="E1792" s="48"/>
      <c r="F1792" s="48"/>
      <c r="G1792" s="48"/>
      <c r="H1792" s="48"/>
      <c r="I1792" s="49"/>
      <c r="J1792" s="47"/>
      <c r="K1792" s="47"/>
      <c r="L1792" s="47"/>
      <c r="M1792" s="47"/>
      <c r="N1792" s="47"/>
      <c r="O1792" s="47"/>
      <c r="P1792" s="47"/>
      <c r="Q1792" s="47"/>
      <c r="R1792" s="47"/>
      <c r="S1792" s="50"/>
      <c r="T1792" s="47"/>
      <c r="U1792" s="47"/>
      <c r="V1792" s="47"/>
      <c r="W1792" s="51"/>
      <c r="X1792" s="51"/>
      <c r="Y1792" s="47"/>
      <c r="Z1792" s="47"/>
      <c r="AA1792" s="47"/>
      <c r="AB1792" s="47"/>
      <c r="AC1792" s="47"/>
      <c r="AD1792" s="47"/>
      <c r="AE1792" s="54"/>
      <c r="AF1792" s="54"/>
      <c r="AG1792" s="55"/>
      <c r="AH1792" s="54"/>
      <c r="AI1792" s="54"/>
      <c r="AJ1792" s="54"/>
      <c r="AK1792" s="54"/>
      <c r="AL1792" s="54"/>
      <c r="AM1792" s="54"/>
      <c r="AN1792" s="54"/>
      <c r="AO1792" s="54"/>
      <c r="AP1792" s="54"/>
      <c r="AQ1792" s="54"/>
      <c r="AR1792" s="54"/>
      <c r="AS1792" s="54"/>
      <c r="AT1792" s="54"/>
      <c r="AU1792" s="54"/>
      <c r="AV1792" s="54"/>
      <c r="AW1792" s="54"/>
      <c r="AX1792" s="54"/>
      <c r="AY1792" s="54"/>
      <c r="AZ1792" s="54"/>
      <c r="BA1792" s="54"/>
      <c r="BB1792" s="54"/>
      <c r="BC1792" s="56"/>
      <c r="BD1792" s="51"/>
      <c r="BE1792" s="54"/>
      <c r="BF1792" s="54"/>
      <c r="BG1792" s="47"/>
      <c r="BH1792" s="48"/>
      <c r="BI1792" s="48"/>
      <c r="BJ1792" s="48"/>
      <c r="BK1792" s="48"/>
      <c r="BL1792" s="48"/>
      <c r="BM1792" s="48"/>
      <c r="BN1792" s="48"/>
      <c r="BO1792" s="48"/>
      <c r="BP1792" s="48"/>
      <c r="BQ1792" s="48"/>
      <c r="BR1792" s="48"/>
      <c r="BS1792" s="48"/>
      <c r="BT1792" s="48"/>
      <c r="BU1792" s="48"/>
      <c r="BV1792" s="48"/>
      <c r="BW1792" s="48"/>
      <c r="BX1792" s="48"/>
      <c r="BY1792" s="48"/>
      <c r="BZ1792" s="48"/>
      <c r="CA1792" s="48"/>
      <c r="CB1792" s="48"/>
      <c r="CC1792" s="48"/>
      <c r="CD1792" s="48"/>
      <c r="CE1792" s="48"/>
      <c r="CF1792" s="52"/>
      <c r="CG1792" s="52"/>
      <c r="CH1792" s="48"/>
      <c r="CI1792" s="48"/>
      <c r="CJ1792" s="48"/>
      <c r="CK1792" s="48"/>
    </row>
    <row r="1793" spans="1:89" ht="15.75" customHeight="1" x14ac:dyDescent="0.3">
      <c r="A1793" s="47"/>
      <c r="B1793" s="48"/>
      <c r="C1793" s="47"/>
      <c r="D1793" s="48"/>
      <c r="E1793" s="48"/>
      <c r="F1793" s="48"/>
      <c r="G1793" s="48"/>
      <c r="H1793" s="48"/>
      <c r="I1793" s="49"/>
      <c r="J1793" s="47"/>
      <c r="K1793" s="47"/>
      <c r="L1793" s="47"/>
      <c r="M1793" s="47"/>
      <c r="N1793" s="47"/>
      <c r="O1793" s="47"/>
      <c r="P1793" s="47"/>
      <c r="Q1793" s="47"/>
      <c r="R1793" s="47"/>
      <c r="S1793" s="50"/>
      <c r="T1793" s="47"/>
      <c r="U1793" s="47"/>
      <c r="V1793" s="47"/>
      <c r="W1793" s="51"/>
      <c r="X1793" s="51"/>
      <c r="Y1793" s="47"/>
      <c r="Z1793" s="47"/>
      <c r="AA1793" s="47"/>
      <c r="AB1793" s="47"/>
      <c r="AC1793" s="47"/>
      <c r="AD1793" s="47"/>
      <c r="AE1793" s="54"/>
      <c r="AF1793" s="54"/>
      <c r="AG1793" s="55"/>
      <c r="AH1793" s="54"/>
      <c r="AI1793" s="54"/>
      <c r="AJ1793" s="54"/>
      <c r="AK1793" s="54"/>
      <c r="AL1793" s="54"/>
      <c r="AM1793" s="54"/>
      <c r="AN1793" s="54"/>
      <c r="AO1793" s="54"/>
      <c r="AP1793" s="54"/>
      <c r="AQ1793" s="54"/>
      <c r="AR1793" s="54"/>
      <c r="AS1793" s="54"/>
      <c r="AT1793" s="54"/>
      <c r="AU1793" s="54"/>
      <c r="AV1793" s="54"/>
      <c r="AW1793" s="54"/>
      <c r="AX1793" s="54"/>
      <c r="AY1793" s="54"/>
      <c r="AZ1793" s="54"/>
      <c r="BA1793" s="54"/>
      <c r="BB1793" s="54"/>
      <c r="BC1793" s="56"/>
      <c r="BD1793" s="51"/>
      <c r="BE1793" s="54"/>
      <c r="BF1793" s="54"/>
      <c r="BG1793" s="47"/>
      <c r="BH1793" s="48"/>
      <c r="BI1793" s="48"/>
      <c r="BJ1793" s="48"/>
      <c r="BK1793" s="48"/>
      <c r="BL1793" s="48"/>
      <c r="BM1793" s="48"/>
      <c r="BN1793" s="48"/>
      <c r="BO1793" s="48"/>
      <c r="BP1793" s="48"/>
      <c r="BQ1793" s="48"/>
      <c r="BR1793" s="48"/>
      <c r="BS1793" s="48"/>
      <c r="BT1793" s="48"/>
      <c r="BU1793" s="48"/>
      <c r="BV1793" s="48"/>
      <c r="BW1793" s="48"/>
      <c r="BX1793" s="48"/>
      <c r="BY1793" s="48"/>
      <c r="BZ1793" s="48"/>
      <c r="CA1793" s="48"/>
      <c r="CB1793" s="48"/>
      <c r="CC1793" s="48"/>
      <c r="CD1793" s="48"/>
      <c r="CE1793" s="48"/>
      <c r="CF1793" s="52"/>
      <c r="CG1793" s="52"/>
      <c r="CH1793" s="48"/>
      <c r="CI1793" s="48"/>
      <c r="CJ1793" s="48"/>
      <c r="CK1793" s="48"/>
    </row>
    <row r="1794" spans="1:89" ht="15.75" customHeight="1" x14ac:dyDescent="0.3">
      <c r="A1794" s="47"/>
      <c r="B1794" s="48"/>
      <c r="C1794" s="47"/>
      <c r="D1794" s="48"/>
      <c r="E1794" s="48"/>
      <c r="F1794" s="48"/>
      <c r="G1794" s="48"/>
      <c r="H1794" s="48"/>
      <c r="I1794" s="49"/>
      <c r="J1794" s="47"/>
      <c r="K1794" s="47"/>
      <c r="L1794" s="47"/>
      <c r="M1794" s="47"/>
      <c r="N1794" s="47"/>
      <c r="O1794" s="47"/>
      <c r="P1794" s="47"/>
      <c r="Q1794" s="47"/>
      <c r="R1794" s="47"/>
      <c r="S1794" s="50"/>
      <c r="T1794" s="47"/>
      <c r="U1794" s="47"/>
      <c r="V1794" s="47"/>
      <c r="W1794" s="51"/>
      <c r="X1794" s="51"/>
      <c r="Y1794" s="47"/>
      <c r="Z1794" s="47"/>
      <c r="AA1794" s="47"/>
      <c r="AB1794" s="47"/>
      <c r="AC1794" s="47"/>
      <c r="AD1794" s="47"/>
      <c r="AE1794" s="54"/>
      <c r="AF1794" s="54"/>
      <c r="AG1794" s="55"/>
      <c r="AH1794" s="54"/>
      <c r="AI1794" s="54"/>
      <c r="AJ1794" s="54"/>
      <c r="AK1794" s="54"/>
      <c r="AL1794" s="54"/>
      <c r="AM1794" s="54"/>
      <c r="AN1794" s="54"/>
      <c r="AO1794" s="54"/>
      <c r="AP1794" s="54"/>
      <c r="AQ1794" s="54"/>
      <c r="AR1794" s="54"/>
      <c r="AS1794" s="54"/>
      <c r="AT1794" s="54"/>
      <c r="AU1794" s="54"/>
      <c r="AV1794" s="54"/>
      <c r="AW1794" s="54"/>
      <c r="AX1794" s="54"/>
      <c r="AY1794" s="54"/>
      <c r="AZ1794" s="54"/>
      <c r="BA1794" s="54"/>
      <c r="BB1794" s="54"/>
      <c r="BC1794" s="56"/>
      <c r="BD1794" s="51"/>
      <c r="BE1794" s="54"/>
      <c r="BF1794" s="54"/>
      <c r="BG1794" s="47"/>
      <c r="BH1794" s="48"/>
      <c r="BI1794" s="48"/>
      <c r="BJ1794" s="48"/>
      <c r="BK1794" s="48"/>
      <c r="BL1794" s="48"/>
      <c r="BM1794" s="48"/>
      <c r="BN1794" s="48"/>
      <c r="BO1794" s="48"/>
      <c r="BP1794" s="48"/>
      <c r="BQ1794" s="48"/>
      <c r="BR1794" s="48"/>
      <c r="BS1794" s="48"/>
      <c r="BT1794" s="48"/>
      <c r="BU1794" s="48"/>
      <c r="BV1794" s="48"/>
      <c r="BW1794" s="48"/>
      <c r="BX1794" s="48"/>
      <c r="BY1794" s="48"/>
      <c r="BZ1794" s="48"/>
      <c r="CA1794" s="48"/>
      <c r="CB1794" s="48"/>
      <c r="CC1794" s="48"/>
      <c r="CD1794" s="48"/>
      <c r="CE1794" s="48"/>
      <c r="CF1794" s="52"/>
      <c r="CG1794" s="52"/>
      <c r="CH1794" s="48"/>
      <c r="CI1794" s="48"/>
      <c r="CJ1794" s="48"/>
      <c r="CK1794" s="48"/>
    </row>
    <row r="1795" spans="1:89" ht="15.75" customHeight="1" x14ac:dyDescent="0.3">
      <c r="A1795" s="47"/>
      <c r="B1795" s="48"/>
      <c r="C1795" s="47"/>
      <c r="D1795" s="48"/>
      <c r="E1795" s="48"/>
      <c r="F1795" s="48"/>
      <c r="G1795" s="48"/>
      <c r="H1795" s="48"/>
      <c r="I1795" s="49"/>
      <c r="J1795" s="47"/>
      <c r="K1795" s="47"/>
      <c r="L1795" s="47"/>
      <c r="M1795" s="47"/>
      <c r="N1795" s="47"/>
      <c r="O1795" s="47"/>
      <c r="P1795" s="47"/>
      <c r="Q1795" s="47"/>
      <c r="R1795" s="47"/>
      <c r="S1795" s="50"/>
      <c r="T1795" s="47"/>
      <c r="U1795" s="47"/>
      <c r="V1795" s="47"/>
      <c r="W1795" s="51"/>
      <c r="X1795" s="51"/>
      <c r="Y1795" s="47"/>
      <c r="Z1795" s="47"/>
      <c r="AA1795" s="47"/>
      <c r="AB1795" s="47"/>
      <c r="AC1795" s="47"/>
      <c r="AD1795" s="47"/>
      <c r="AE1795" s="54"/>
      <c r="AF1795" s="54"/>
      <c r="AG1795" s="55"/>
      <c r="AH1795" s="54"/>
      <c r="AI1795" s="54"/>
      <c r="AJ1795" s="54"/>
      <c r="AK1795" s="54"/>
      <c r="AL1795" s="54"/>
      <c r="AM1795" s="54"/>
      <c r="AN1795" s="54"/>
      <c r="AO1795" s="54"/>
      <c r="AP1795" s="54"/>
      <c r="AQ1795" s="54"/>
      <c r="AR1795" s="54"/>
      <c r="AS1795" s="54"/>
      <c r="AT1795" s="54"/>
      <c r="AU1795" s="54"/>
      <c r="AV1795" s="54"/>
      <c r="AW1795" s="54"/>
      <c r="AX1795" s="54"/>
      <c r="AY1795" s="54"/>
      <c r="AZ1795" s="54"/>
      <c r="BA1795" s="54"/>
      <c r="BB1795" s="54"/>
      <c r="BC1795" s="56"/>
      <c r="BD1795" s="51"/>
      <c r="BE1795" s="54"/>
      <c r="BF1795" s="54"/>
      <c r="BG1795" s="47"/>
      <c r="BH1795" s="48"/>
      <c r="BI1795" s="48"/>
      <c r="BJ1795" s="48"/>
      <c r="BK1795" s="48"/>
      <c r="BL1795" s="48"/>
      <c r="BM1795" s="48"/>
      <c r="BN1795" s="48"/>
      <c r="BO1795" s="48"/>
      <c r="BP1795" s="48"/>
      <c r="BQ1795" s="48"/>
      <c r="BR1795" s="48"/>
      <c r="BS1795" s="48"/>
      <c r="BT1795" s="48"/>
      <c r="BU1795" s="48"/>
      <c r="BV1795" s="48"/>
      <c r="BW1795" s="48"/>
      <c r="BX1795" s="48"/>
      <c r="BY1795" s="48"/>
      <c r="BZ1795" s="48"/>
      <c r="CA1795" s="48"/>
      <c r="CB1795" s="48"/>
      <c r="CC1795" s="48"/>
      <c r="CD1795" s="48"/>
      <c r="CE1795" s="48"/>
      <c r="CF1795" s="52"/>
      <c r="CG1795" s="52"/>
      <c r="CH1795" s="48"/>
      <c r="CI1795" s="48"/>
      <c r="CJ1795" s="48"/>
      <c r="CK1795" s="48"/>
    </row>
    <row r="1796" spans="1:89" ht="15.75" customHeight="1" x14ac:dyDescent="0.3">
      <c r="A1796" s="47"/>
      <c r="B1796" s="48"/>
      <c r="C1796" s="47"/>
      <c r="D1796" s="48"/>
      <c r="E1796" s="48"/>
      <c r="F1796" s="48"/>
      <c r="G1796" s="48"/>
      <c r="H1796" s="48"/>
      <c r="I1796" s="49"/>
      <c r="J1796" s="47"/>
      <c r="K1796" s="47"/>
      <c r="L1796" s="47"/>
      <c r="M1796" s="47"/>
      <c r="N1796" s="47"/>
      <c r="O1796" s="47"/>
      <c r="P1796" s="47"/>
      <c r="Q1796" s="47"/>
      <c r="R1796" s="47"/>
      <c r="S1796" s="50"/>
      <c r="T1796" s="47"/>
      <c r="U1796" s="47"/>
      <c r="V1796" s="47"/>
      <c r="W1796" s="51"/>
      <c r="X1796" s="51"/>
      <c r="Y1796" s="47"/>
      <c r="Z1796" s="47"/>
      <c r="AA1796" s="47"/>
      <c r="AB1796" s="47"/>
      <c r="AC1796" s="47"/>
      <c r="AD1796" s="47"/>
      <c r="AE1796" s="54"/>
      <c r="AF1796" s="54"/>
      <c r="AG1796" s="55"/>
      <c r="AH1796" s="54"/>
      <c r="AI1796" s="54"/>
      <c r="AJ1796" s="54"/>
      <c r="AK1796" s="54"/>
      <c r="AL1796" s="54"/>
      <c r="AM1796" s="54"/>
      <c r="AN1796" s="54"/>
      <c r="AO1796" s="54"/>
      <c r="AP1796" s="54"/>
      <c r="AQ1796" s="54"/>
      <c r="AR1796" s="54"/>
      <c r="AS1796" s="54"/>
      <c r="AT1796" s="54"/>
      <c r="AU1796" s="54"/>
      <c r="AV1796" s="54"/>
      <c r="AW1796" s="54"/>
      <c r="AX1796" s="54"/>
      <c r="AY1796" s="54"/>
      <c r="AZ1796" s="54"/>
      <c r="BA1796" s="54"/>
      <c r="BB1796" s="54"/>
      <c r="BC1796" s="56"/>
      <c r="BD1796" s="51"/>
      <c r="BE1796" s="54"/>
      <c r="BF1796" s="54"/>
      <c r="BG1796" s="47"/>
      <c r="BH1796" s="48"/>
      <c r="BI1796" s="48"/>
      <c r="BJ1796" s="48"/>
      <c r="BK1796" s="48"/>
      <c r="BL1796" s="48"/>
      <c r="BM1796" s="48"/>
      <c r="BN1796" s="48"/>
      <c r="BO1796" s="48"/>
      <c r="BP1796" s="48"/>
      <c r="BQ1796" s="48"/>
      <c r="BR1796" s="48"/>
      <c r="BS1796" s="48"/>
      <c r="BT1796" s="48"/>
      <c r="BU1796" s="48"/>
      <c r="BV1796" s="48"/>
      <c r="BW1796" s="48"/>
      <c r="BX1796" s="48"/>
      <c r="BY1796" s="48"/>
      <c r="BZ1796" s="48"/>
      <c r="CA1796" s="48"/>
      <c r="CB1796" s="48"/>
      <c r="CC1796" s="48"/>
      <c r="CD1796" s="48"/>
      <c r="CE1796" s="48"/>
      <c r="CF1796" s="52"/>
      <c r="CG1796" s="52"/>
      <c r="CH1796" s="48"/>
      <c r="CI1796" s="48"/>
      <c r="CJ1796" s="48"/>
      <c r="CK1796" s="48"/>
    </row>
    <row r="1797" spans="1:89" ht="15.75" customHeight="1" x14ac:dyDescent="0.3">
      <c r="A1797" s="47"/>
      <c r="B1797" s="48"/>
      <c r="C1797" s="47"/>
      <c r="D1797" s="48"/>
      <c r="E1797" s="48"/>
      <c r="F1797" s="48"/>
      <c r="G1797" s="48"/>
      <c r="H1797" s="48"/>
      <c r="I1797" s="49"/>
      <c r="J1797" s="47"/>
      <c r="K1797" s="47"/>
      <c r="L1797" s="47"/>
      <c r="M1797" s="47"/>
      <c r="N1797" s="47"/>
      <c r="O1797" s="47"/>
      <c r="P1797" s="47"/>
      <c r="Q1797" s="47"/>
      <c r="R1797" s="47"/>
      <c r="S1797" s="50"/>
      <c r="T1797" s="47"/>
      <c r="U1797" s="47"/>
      <c r="V1797" s="47"/>
      <c r="W1797" s="51"/>
      <c r="X1797" s="51"/>
      <c r="Y1797" s="47"/>
      <c r="Z1797" s="47"/>
      <c r="AA1797" s="47"/>
      <c r="AB1797" s="47"/>
      <c r="AC1797" s="47"/>
      <c r="AD1797" s="47"/>
      <c r="AE1797" s="54"/>
      <c r="AF1797" s="54"/>
      <c r="AG1797" s="55"/>
      <c r="AH1797" s="54"/>
      <c r="AI1797" s="54"/>
      <c r="AJ1797" s="54"/>
      <c r="AK1797" s="54"/>
      <c r="AL1797" s="54"/>
      <c r="AM1797" s="54"/>
      <c r="AN1797" s="54"/>
      <c r="AO1797" s="54"/>
      <c r="AP1797" s="54"/>
      <c r="AQ1797" s="54"/>
      <c r="AR1797" s="54"/>
      <c r="AS1797" s="54"/>
      <c r="AT1797" s="54"/>
      <c r="AU1797" s="54"/>
      <c r="AV1797" s="54"/>
      <c r="AW1797" s="54"/>
      <c r="AX1797" s="54"/>
      <c r="AY1797" s="54"/>
      <c r="AZ1797" s="54"/>
      <c r="BA1797" s="54"/>
      <c r="BB1797" s="54"/>
      <c r="BC1797" s="56"/>
      <c r="BD1797" s="51"/>
      <c r="BE1797" s="54"/>
      <c r="BF1797" s="54"/>
      <c r="BG1797" s="47"/>
      <c r="BH1797" s="48"/>
      <c r="BI1797" s="48"/>
      <c r="BJ1797" s="48"/>
      <c r="BK1797" s="48"/>
      <c r="BL1797" s="48"/>
      <c r="BM1797" s="48"/>
      <c r="BN1797" s="48"/>
      <c r="BO1797" s="48"/>
      <c r="BP1797" s="48"/>
      <c r="BQ1797" s="48"/>
      <c r="BR1797" s="48"/>
      <c r="BS1797" s="48"/>
      <c r="BT1797" s="48"/>
      <c r="BU1797" s="48"/>
      <c r="BV1797" s="48"/>
      <c r="BW1797" s="48"/>
      <c r="BX1797" s="48"/>
      <c r="BY1797" s="48"/>
      <c r="BZ1797" s="48"/>
      <c r="CA1797" s="48"/>
      <c r="CB1797" s="48"/>
      <c r="CC1797" s="48"/>
      <c r="CD1797" s="48"/>
      <c r="CE1797" s="48"/>
      <c r="CF1797" s="52"/>
      <c r="CG1797" s="52"/>
      <c r="CH1797" s="48"/>
      <c r="CI1797" s="48"/>
      <c r="CJ1797" s="48"/>
      <c r="CK1797" s="48"/>
    </row>
    <row r="1798" spans="1:89" ht="15.75" customHeight="1" x14ac:dyDescent="0.3">
      <c r="A1798" s="47"/>
      <c r="B1798" s="48"/>
      <c r="C1798" s="47"/>
      <c r="D1798" s="48"/>
      <c r="E1798" s="48"/>
      <c r="F1798" s="48"/>
      <c r="G1798" s="48"/>
      <c r="H1798" s="48"/>
      <c r="I1798" s="49"/>
      <c r="J1798" s="47"/>
      <c r="K1798" s="47"/>
      <c r="L1798" s="47"/>
      <c r="M1798" s="47"/>
      <c r="N1798" s="47"/>
      <c r="O1798" s="47"/>
      <c r="P1798" s="47"/>
      <c r="Q1798" s="47"/>
      <c r="R1798" s="47"/>
      <c r="S1798" s="50"/>
      <c r="T1798" s="47"/>
      <c r="U1798" s="47"/>
      <c r="V1798" s="47"/>
      <c r="W1798" s="51"/>
      <c r="X1798" s="51"/>
      <c r="Y1798" s="47"/>
      <c r="Z1798" s="47"/>
      <c r="AA1798" s="47"/>
      <c r="AB1798" s="47"/>
      <c r="AC1798" s="47"/>
      <c r="AD1798" s="47"/>
      <c r="AE1798" s="54"/>
      <c r="AF1798" s="54"/>
      <c r="AG1798" s="55"/>
      <c r="AH1798" s="54"/>
      <c r="AI1798" s="54"/>
      <c r="AJ1798" s="54"/>
      <c r="AK1798" s="54"/>
      <c r="AL1798" s="54"/>
      <c r="AM1798" s="54"/>
      <c r="AN1798" s="54"/>
      <c r="AO1798" s="54"/>
      <c r="AP1798" s="54"/>
      <c r="AQ1798" s="54"/>
      <c r="AR1798" s="54"/>
      <c r="AS1798" s="54"/>
      <c r="AT1798" s="54"/>
      <c r="AU1798" s="54"/>
      <c r="AV1798" s="54"/>
      <c r="AW1798" s="54"/>
      <c r="AX1798" s="54"/>
      <c r="AY1798" s="54"/>
      <c r="AZ1798" s="54"/>
      <c r="BA1798" s="54"/>
      <c r="BB1798" s="54"/>
      <c r="BC1798" s="56"/>
      <c r="BD1798" s="51"/>
      <c r="BE1798" s="54"/>
      <c r="BF1798" s="54"/>
      <c r="BG1798" s="47"/>
      <c r="BH1798" s="48"/>
      <c r="BI1798" s="48"/>
      <c r="BJ1798" s="48"/>
      <c r="BK1798" s="48"/>
      <c r="BL1798" s="48"/>
      <c r="BM1798" s="48"/>
      <c r="BN1798" s="48"/>
      <c r="BO1798" s="48"/>
      <c r="BP1798" s="48"/>
      <c r="BQ1798" s="48"/>
      <c r="BR1798" s="48"/>
      <c r="BS1798" s="48"/>
      <c r="BT1798" s="48"/>
      <c r="BU1798" s="48"/>
      <c r="BV1798" s="48"/>
      <c r="BW1798" s="48"/>
      <c r="BX1798" s="48"/>
      <c r="BY1798" s="48"/>
      <c r="BZ1798" s="48"/>
      <c r="CA1798" s="48"/>
      <c r="CB1798" s="48"/>
      <c r="CC1798" s="48"/>
      <c r="CD1798" s="48"/>
      <c r="CE1798" s="48"/>
      <c r="CF1798" s="52"/>
      <c r="CG1798" s="52"/>
      <c r="CH1798" s="48"/>
      <c r="CI1798" s="48"/>
      <c r="CJ1798" s="48"/>
      <c r="CK1798" s="48"/>
    </row>
    <row r="1799" spans="1:89" ht="15.75" customHeight="1" x14ac:dyDescent="0.3">
      <c r="A1799" s="47"/>
      <c r="B1799" s="48"/>
      <c r="C1799" s="47"/>
      <c r="D1799" s="48"/>
      <c r="E1799" s="48"/>
      <c r="F1799" s="48"/>
      <c r="G1799" s="48"/>
      <c r="H1799" s="48"/>
      <c r="I1799" s="49"/>
      <c r="J1799" s="47"/>
      <c r="K1799" s="47"/>
      <c r="L1799" s="47"/>
      <c r="M1799" s="47"/>
      <c r="N1799" s="47"/>
      <c r="O1799" s="47"/>
      <c r="P1799" s="47"/>
      <c r="Q1799" s="47"/>
      <c r="R1799" s="47"/>
      <c r="S1799" s="50"/>
      <c r="T1799" s="47"/>
      <c r="U1799" s="47"/>
      <c r="V1799" s="47"/>
      <c r="W1799" s="51"/>
      <c r="X1799" s="51"/>
      <c r="Y1799" s="47"/>
      <c r="Z1799" s="47"/>
      <c r="AA1799" s="47"/>
      <c r="AB1799" s="47"/>
      <c r="AC1799" s="47"/>
      <c r="AD1799" s="47"/>
      <c r="AE1799" s="54"/>
      <c r="AF1799" s="54"/>
      <c r="AG1799" s="55"/>
      <c r="AH1799" s="54"/>
      <c r="AI1799" s="54"/>
      <c r="AJ1799" s="54"/>
      <c r="AK1799" s="54"/>
      <c r="AL1799" s="54"/>
      <c r="AM1799" s="54"/>
      <c r="AN1799" s="54"/>
      <c r="AO1799" s="54"/>
      <c r="AP1799" s="54"/>
      <c r="AQ1799" s="54"/>
      <c r="AR1799" s="54"/>
      <c r="AS1799" s="54"/>
      <c r="AT1799" s="54"/>
      <c r="AU1799" s="54"/>
      <c r="AV1799" s="54"/>
      <c r="AW1799" s="54"/>
      <c r="AX1799" s="54"/>
      <c r="AY1799" s="54"/>
      <c r="AZ1799" s="54"/>
      <c r="BA1799" s="54"/>
      <c r="BB1799" s="54"/>
      <c r="BC1799" s="56"/>
      <c r="BD1799" s="51"/>
      <c r="BE1799" s="54"/>
      <c r="BF1799" s="54"/>
      <c r="BG1799" s="47"/>
      <c r="BH1799" s="48"/>
      <c r="BI1799" s="48"/>
      <c r="BJ1799" s="48"/>
      <c r="BK1799" s="48"/>
      <c r="BL1799" s="48"/>
      <c r="BM1799" s="48"/>
      <c r="BN1799" s="48"/>
      <c r="BO1799" s="48"/>
      <c r="BP1799" s="48"/>
      <c r="BQ1799" s="48"/>
      <c r="BR1799" s="48"/>
      <c r="BS1799" s="48"/>
      <c r="BT1799" s="48"/>
      <c r="BU1799" s="48"/>
      <c r="BV1799" s="48"/>
      <c r="BW1799" s="48"/>
      <c r="BX1799" s="48"/>
      <c r="BY1799" s="48"/>
      <c r="BZ1799" s="48"/>
      <c r="CA1799" s="48"/>
      <c r="CB1799" s="48"/>
      <c r="CC1799" s="48"/>
      <c r="CD1799" s="48"/>
      <c r="CE1799" s="48"/>
      <c r="CF1799" s="52"/>
      <c r="CG1799" s="52"/>
      <c r="CH1799" s="48"/>
      <c r="CI1799" s="48"/>
      <c r="CJ1799" s="48"/>
      <c r="CK1799" s="48"/>
    </row>
    <row r="1800" spans="1:89" ht="15.75" customHeight="1" x14ac:dyDescent="0.3">
      <c r="A1800" s="47"/>
      <c r="B1800" s="48"/>
      <c r="C1800" s="47"/>
      <c r="D1800" s="48"/>
      <c r="E1800" s="48"/>
      <c r="F1800" s="48"/>
      <c r="G1800" s="48"/>
      <c r="H1800" s="48"/>
      <c r="I1800" s="49"/>
      <c r="J1800" s="47"/>
      <c r="K1800" s="47"/>
      <c r="L1800" s="47"/>
      <c r="M1800" s="47"/>
      <c r="N1800" s="47"/>
      <c r="O1800" s="47"/>
      <c r="P1800" s="47"/>
      <c r="Q1800" s="47"/>
      <c r="R1800" s="47"/>
      <c r="S1800" s="50"/>
      <c r="T1800" s="47"/>
      <c r="U1800" s="47"/>
      <c r="V1800" s="47"/>
      <c r="W1800" s="51"/>
      <c r="X1800" s="51"/>
      <c r="Y1800" s="47"/>
      <c r="Z1800" s="47"/>
      <c r="AA1800" s="47"/>
      <c r="AB1800" s="47"/>
      <c r="AC1800" s="47"/>
      <c r="AD1800" s="47"/>
      <c r="AE1800" s="54"/>
      <c r="AF1800" s="54"/>
      <c r="AG1800" s="55"/>
      <c r="AH1800" s="54"/>
      <c r="AI1800" s="54"/>
      <c r="AJ1800" s="54"/>
      <c r="AK1800" s="54"/>
      <c r="AL1800" s="54"/>
      <c r="AM1800" s="54"/>
      <c r="AN1800" s="54"/>
      <c r="AO1800" s="54"/>
      <c r="AP1800" s="54"/>
      <c r="AQ1800" s="54"/>
      <c r="AR1800" s="54"/>
      <c r="AS1800" s="54"/>
      <c r="AT1800" s="54"/>
      <c r="AU1800" s="54"/>
      <c r="AV1800" s="54"/>
      <c r="AW1800" s="54"/>
      <c r="AX1800" s="54"/>
      <c r="AY1800" s="54"/>
      <c r="AZ1800" s="54"/>
      <c r="BA1800" s="54"/>
      <c r="BB1800" s="54"/>
      <c r="BC1800" s="56"/>
      <c r="BD1800" s="51"/>
      <c r="BE1800" s="54"/>
      <c r="BF1800" s="54"/>
      <c r="BG1800" s="47"/>
      <c r="BH1800" s="48"/>
      <c r="BI1800" s="48"/>
      <c r="BJ1800" s="48"/>
      <c r="BK1800" s="48"/>
      <c r="BL1800" s="48"/>
      <c r="BM1800" s="48"/>
      <c r="BN1800" s="48"/>
      <c r="BO1800" s="48"/>
      <c r="BP1800" s="48"/>
      <c r="BQ1800" s="48"/>
      <c r="BR1800" s="48"/>
      <c r="BS1800" s="48"/>
      <c r="BT1800" s="48"/>
      <c r="BU1800" s="48"/>
      <c r="BV1800" s="48"/>
      <c r="BW1800" s="48"/>
      <c r="BX1800" s="48"/>
      <c r="BY1800" s="48"/>
      <c r="BZ1800" s="48"/>
      <c r="CA1800" s="48"/>
      <c r="CB1800" s="48"/>
      <c r="CC1800" s="48"/>
      <c r="CD1800" s="48"/>
      <c r="CE1800" s="48"/>
      <c r="CF1800" s="52"/>
      <c r="CG1800" s="52"/>
      <c r="CH1800" s="48"/>
      <c r="CI1800" s="48"/>
      <c r="CJ1800" s="48"/>
      <c r="CK1800" s="48"/>
    </row>
    <row r="1801" spans="1:89" ht="15.75" customHeight="1" x14ac:dyDescent="0.3">
      <c r="A1801" s="47"/>
      <c r="B1801" s="48"/>
      <c r="C1801" s="47"/>
      <c r="D1801" s="48"/>
      <c r="E1801" s="48"/>
      <c r="F1801" s="48"/>
      <c r="G1801" s="48"/>
      <c r="H1801" s="48"/>
      <c r="I1801" s="49"/>
      <c r="J1801" s="47"/>
      <c r="K1801" s="47"/>
      <c r="L1801" s="47"/>
      <c r="M1801" s="47"/>
      <c r="N1801" s="47"/>
      <c r="O1801" s="47"/>
      <c r="P1801" s="47"/>
      <c r="Q1801" s="47"/>
      <c r="R1801" s="47"/>
      <c r="S1801" s="50"/>
      <c r="T1801" s="47"/>
      <c r="U1801" s="47"/>
      <c r="V1801" s="47"/>
      <c r="W1801" s="51"/>
      <c r="X1801" s="51"/>
      <c r="Y1801" s="47"/>
      <c r="Z1801" s="47"/>
      <c r="AA1801" s="47"/>
      <c r="AB1801" s="47"/>
      <c r="AC1801" s="47"/>
      <c r="AD1801" s="47"/>
      <c r="AE1801" s="54"/>
      <c r="AF1801" s="54"/>
      <c r="AG1801" s="55"/>
      <c r="AH1801" s="54"/>
      <c r="AI1801" s="54"/>
      <c r="AJ1801" s="54"/>
      <c r="AK1801" s="54"/>
      <c r="AL1801" s="54"/>
      <c r="AM1801" s="54"/>
      <c r="AN1801" s="54"/>
      <c r="AO1801" s="54"/>
      <c r="AP1801" s="54"/>
      <c r="AQ1801" s="54"/>
      <c r="AR1801" s="54"/>
      <c r="AS1801" s="54"/>
      <c r="AT1801" s="54"/>
      <c r="AU1801" s="54"/>
      <c r="AV1801" s="54"/>
      <c r="AW1801" s="54"/>
      <c r="AX1801" s="54"/>
      <c r="AY1801" s="54"/>
      <c r="AZ1801" s="54"/>
      <c r="BA1801" s="54"/>
      <c r="BB1801" s="54"/>
      <c r="BC1801" s="56"/>
      <c r="BD1801" s="51"/>
      <c r="BE1801" s="54"/>
      <c r="BF1801" s="54"/>
      <c r="BG1801" s="47"/>
      <c r="BH1801" s="48"/>
      <c r="BI1801" s="48"/>
      <c r="BJ1801" s="48"/>
      <c r="BK1801" s="48"/>
      <c r="BL1801" s="48"/>
      <c r="BM1801" s="48"/>
      <c r="BN1801" s="48"/>
      <c r="BO1801" s="48"/>
      <c r="BP1801" s="48"/>
      <c r="BQ1801" s="48"/>
      <c r="BR1801" s="48"/>
      <c r="BS1801" s="48"/>
      <c r="BT1801" s="48"/>
      <c r="BU1801" s="48"/>
      <c r="BV1801" s="48"/>
      <c r="BW1801" s="48"/>
      <c r="BX1801" s="48"/>
      <c r="BY1801" s="48"/>
      <c r="BZ1801" s="48"/>
      <c r="CA1801" s="48"/>
      <c r="CB1801" s="48"/>
      <c r="CC1801" s="48"/>
      <c r="CD1801" s="48"/>
      <c r="CE1801" s="48"/>
      <c r="CF1801" s="52"/>
      <c r="CG1801" s="52"/>
      <c r="CH1801" s="48"/>
      <c r="CI1801" s="48"/>
      <c r="CJ1801" s="48"/>
      <c r="CK1801" s="48"/>
    </row>
    <row r="1802" spans="1:89" ht="15.75" customHeight="1" x14ac:dyDescent="0.3">
      <c r="A1802" s="47"/>
      <c r="B1802" s="48"/>
      <c r="C1802" s="47"/>
      <c r="D1802" s="48"/>
      <c r="E1802" s="48"/>
      <c r="F1802" s="48"/>
      <c r="G1802" s="48"/>
      <c r="H1802" s="48"/>
      <c r="I1802" s="49"/>
      <c r="J1802" s="47"/>
      <c r="K1802" s="47"/>
      <c r="L1802" s="47"/>
      <c r="M1802" s="47"/>
      <c r="N1802" s="47"/>
      <c r="O1802" s="47"/>
      <c r="P1802" s="47"/>
      <c r="Q1802" s="47"/>
      <c r="R1802" s="47"/>
      <c r="S1802" s="50"/>
      <c r="T1802" s="47"/>
      <c r="U1802" s="47"/>
      <c r="V1802" s="47"/>
      <c r="W1802" s="51"/>
      <c r="X1802" s="51"/>
      <c r="Y1802" s="47"/>
      <c r="Z1802" s="47"/>
      <c r="AA1802" s="47"/>
      <c r="AB1802" s="47"/>
      <c r="AC1802" s="47"/>
      <c r="AD1802" s="47"/>
      <c r="AE1802" s="54"/>
      <c r="AF1802" s="54"/>
      <c r="AG1802" s="55"/>
      <c r="AH1802" s="54"/>
      <c r="AI1802" s="54"/>
      <c r="AJ1802" s="54"/>
      <c r="AK1802" s="54"/>
      <c r="AL1802" s="54"/>
      <c r="AM1802" s="54"/>
      <c r="AN1802" s="54"/>
      <c r="AO1802" s="54"/>
      <c r="AP1802" s="54"/>
      <c r="AQ1802" s="54"/>
      <c r="AR1802" s="54"/>
      <c r="AS1802" s="54"/>
      <c r="AT1802" s="54"/>
      <c r="AU1802" s="54"/>
      <c r="AV1802" s="54"/>
      <c r="AW1802" s="54"/>
      <c r="AX1802" s="54"/>
      <c r="AY1802" s="54"/>
      <c r="AZ1802" s="54"/>
      <c r="BA1802" s="54"/>
      <c r="BB1802" s="54"/>
      <c r="BC1802" s="56"/>
      <c r="BD1802" s="51"/>
      <c r="BE1802" s="54"/>
      <c r="BF1802" s="54"/>
      <c r="BG1802" s="47"/>
      <c r="BH1802" s="48"/>
      <c r="BI1802" s="48"/>
      <c r="BJ1802" s="48"/>
      <c r="BK1802" s="48"/>
      <c r="BL1802" s="48"/>
      <c r="BM1802" s="48"/>
      <c r="BN1802" s="48"/>
      <c r="BO1802" s="48"/>
      <c r="BP1802" s="48"/>
      <c r="BQ1802" s="48"/>
      <c r="BR1802" s="48"/>
      <c r="BS1802" s="48"/>
      <c r="BT1802" s="48"/>
      <c r="BU1802" s="48"/>
      <c r="BV1802" s="48"/>
      <c r="BW1802" s="48"/>
      <c r="BX1802" s="48"/>
      <c r="BY1802" s="48"/>
      <c r="BZ1802" s="48"/>
      <c r="CA1802" s="48"/>
      <c r="CB1802" s="48"/>
      <c r="CC1802" s="48"/>
      <c r="CD1802" s="48"/>
      <c r="CE1802" s="48"/>
      <c r="CF1802" s="52"/>
      <c r="CG1802" s="52"/>
      <c r="CH1802" s="48"/>
      <c r="CI1802" s="48"/>
      <c r="CJ1802" s="48"/>
      <c r="CK1802" s="48"/>
    </row>
    <row r="1803" spans="1:89" ht="15.75" customHeight="1" x14ac:dyDescent="0.3">
      <c r="A1803" s="47"/>
      <c r="B1803" s="48"/>
      <c r="C1803" s="47"/>
      <c r="D1803" s="48"/>
      <c r="E1803" s="48"/>
      <c r="F1803" s="48"/>
      <c r="G1803" s="48"/>
      <c r="H1803" s="48"/>
      <c r="I1803" s="49"/>
      <c r="J1803" s="47"/>
      <c r="K1803" s="47"/>
      <c r="L1803" s="47"/>
      <c r="M1803" s="47"/>
      <c r="N1803" s="47"/>
      <c r="O1803" s="47"/>
      <c r="P1803" s="47"/>
      <c r="Q1803" s="47"/>
      <c r="R1803" s="47"/>
      <c r="S1803" s="50"/>
      <c r="T1803" s="47"/>
      <c r="U1803" s="47"/>
      <c r="V1803" s="47"/>
      <c r="W1803" s="51"/>
      <c r="X1803" s="51"/>
      <c r="Y1803" s="47"/>
      <c r="Z1803" s="47"/>
      <c r="AA1803" s="47"/>
      <c r="AB1803" s="47"/>
      <c r="AC1803" s="47"/>
      <c r="AD1803" s="47"/>
      <c r="AE1803" s="54"/>
      <c r="AF1803" s="54"/>
      <c r="AG1803" s="55"/>
      <c r="AH1803" s="54"/>
      <c r="AI1803" s="54"/>
      <c r="AJ1803" s="54"/>
      <c r="AK1803" s="54"/>
      <c r="AL1803" s="54"/>
      <c r="AM1803" s="54"/>
      <c r="AN1803" s="54"/>
      <c r="AO1803" s="54"/>
      <c r="AP1803" s="54"/>
      <c r="AQ1803" s="54"/>
      <c r="AR1803" s="54"/>
      <c r="AS1803" s="54"/>
      <c r="AT1803" s="54"/>
      <c r="AU1803" s="54"/>
      <c r="AV1803" s="54"/>
      <c r="AW1803" s="54"/>
      <c r="AX1803" s="54"/>
      <c r="AY1803" s="54"/>
      <c r="AZ1803" s="54"/>
      <c r="BA1803" s="54"/>
      <c r="BB1803" s="54"/>
      <c r="BC1803" s="56"/>
      <c r="BD1803" s="51"/>
      <c r="BE1803" s="54"/>
      <c r="BF1803" s="54"/>
      <c r="BG1803" s="47"/>
      <c r="BH1803" s="48"/>
      <c r="BI1803" s="48"/>
      <c r="BJ1803" s="48"/>
      <c r="BK1803" s="48"/>
      <c r="BL1803" s="48"/>
      <c r="BM1803" s="48"/>
      <c r="BN1803" s="48"/>
      <c r="BO1803" s="48"/>
      <c r="BP1803" s="48"/>
      <c r="BQ1803" s="48"/>
      <c r="BR1803" s="48"/>
      <c r="BS1803" s="48"/>
      <c r="BT1803" s="48"/>
      <c r="BU1803" s="48"/>
      <c r="BV1803" s="48"/>
      <c r="BW1803" s="48"/>
      <c r="BX1803" s="48"/>
      <c r="BY1803" s="48"/>
      <c r="BZ1803" s="48"/>
      <c r="CA1803" s="48"/>
      <c r="CB1803" s="48"/>
      <c r="CC1803" s="48"/>
      <c r="CD1803" s="48"/>
      <c r="CE1803" s="48"/>
      <c r="CF1803" s="52"/>
      <c r="CG1803" s="52"/>
      <c r="CH1803" s="48"/>
      <c r="CI1803" s="48"/>
      <c r="CJ1803" s="48"/>
      <c r="CK1803" s="48"/>
    </row>
    <row r="1804" spans="1:89" ht="15.75" customHeight="1" x14ac:dyDescent="0.3">
      <c r="A1804" s="47"/>
      <c r="B1804" s="48"/>
      <c r="C1804" s="47"/>
      <c r="D1804" s="48"/>
      <c r="E1804" s="48"/>
      <c r="F1804" s="48"/>
      <c r="G1804" s="48"/>
      <c r="H1804" s="48"/>
      <c r="I1804" s="49"/>
      <c r="J1804" s="47"/>
      <c r="K1804" s="47"/>
      <c r="L1804" s="47"/>
      <c r="M1804" s="47"/>
      <c r="N1804" s="47"/>
      <c r="O1804" s="47"/>
      <c r="P1804" s="47"/>
      <c r="Q1804" s="47"/>
      <c r="R1804" s="47"/>
      <c r="S1804" s="50"/>
      <c r="T1804" s="47"/>
      <c r="U1804" s="47"/>
      <c r="V1804" s="47"/>
      <c r="W1804" s="51"/>
      <c r="X1804" s="51"/>
      <c r="Y1804" s="47"/>
      <c r="Z1804" s="47"/>
      <c r="AA1804" s="47"/>
      <c r="AB1804" s="47"/>
      <c r="AC1804" s="47"/>
      <c r="AD1804" s="47"/>
      <c r="AE1804" s="54"/>
      <c r="AF1804" s="54"/>
      <c r="AG1804" s="55"/>
      <c r="AH1804" s="54"/>
      <c r="AI1804" s="54"/>
      <c r="AJ1804" s="54"/>
      <c r="AK1804" s="54"/>
      <c r="AL1804" s="54"/>
      <c r="AM1804" s="54"/>
      <c r="AN1804" s="54"/>
      <c r="AO1804" s="54"/>
      <c r="AP1804" s="54"/>
      <c r="AQ1804" s="54"/>
      <c r="AR1804" s="54"/>
      <c r="AS1804" s="54"/>
      <c r="AT1804" s="54"/>
      <c r="AU1804" s="54"/>
      <c r="AV1804" s="54"/>
      <c r="AW1804" s="54"/>
      <c r="AX1804" s="54"/>
      <c r="AY1804" s="54"/>
      <c r="AZ1804" s="54"/>
      <c r="BA1804" s="54"/>
      <c r="BB1804" s="54"/>
      <c r="BC1804" s="56"/>
      <c r="BD1804" s="51"/>
      <c r="BE1804" s="54"/>
      <c r="BF1804" s="54"/>
      <c r="BG1804" s="47"/>
      <c r="BH1804" s="48"/>
      <c r="BI1804" s="48"/>
      <c r="BJ1804" s="48"/>
      <c r="BK1804" s="48"/>
      <c r="BL1804" s="48"/>
      <c r="BM1804" s="48"/>
      <c r="BN1804" s="48"/>
      <c r="BO1804" s="48"/>
      <c r="BP1804" s="48"/>
      <c r="BQ1804" s="48"/>
      <c r="BR1804" s="48"/>
      <c r="BS1804" s="48"/>
      <c r="BT1804" s="48"/>
      <c r="BU1804" s="48"/>
      <c r="BV1804" s="48"/>
      <c r="BW1804" s="48"/>
      <c r="BX1804" s="48"/>
      <c r="BY1804" s="48"/>
      <c r="BZ1804" s="48"/>
      <c r="CA1804" s="48"/>
      <c r="CB1804" s="48"/>
      <c r="CC1804" s="48"/>
      <c r="CD1804" s="48"/>
      <c r="CE1804" s="48"/>
      <c r="CF1804" s="52"/>
      <c r="CG1804" s="52"/>
      <c r="CH1804" s="48"/>
      <c r="CI1804" s="48"/>
      <c r="CJ1804" s="48"/>
      <c r="CK1804" s="48"/>
    </row>
    <row r="1805" spans="1:89" ht="15.75" customHeight="1" x14ac:dyDescent="0.3">
      <c r="A1805" s="47"/>
      <c r="B1805" s="48"/>
      <c r="C1805" s="47"/>
      <c r="D1805" s="48"/>
      <c r="E1805" s="48"/>
      <c r="F1805" s="48"/>
      <c r="G1805" s="48"/>
      <c r="H1805" s="48"/>
      <c r="I1805" s="49"/>
      <c r="J1805" s="47"/>
      <c r="K1805" s="47"/>
      <c r="L1805" s="47"/>
      <c r="M1805" s="47"/>
      <c r="N1805" s="47"/>
      <c r="O1805" s="47"/>
      <c r="P1805" s="47"/>
      <c r="Q1805" s="47"/>
      <c r="R1805" s="47"/>
      <c r="S1805" s="50"/>
      <c r="T1805" s="47"/>
      <c r="U1805" s="47"/>
      <c r="V1805" s="47"/>
      <c r="W1805" s="51"/>
      <c r="X1805" s="51"/>
      <c r="Y1805" s="47"/>
      <c r="Z1805" s="47"/>
      <c r="AA1805" s="47"/>
      <c r="AB1805" s="47"/>
      <c r="AC1805" s="47"/>
      <c r="AD1805" s="47"/>
      <c r="AE1805" s="54"/>
      <c r="AF1805" s="54"/>
      <c r="AG1805" s="55"/>
      <c r="AH1805" s="54"/>
      <c r="AI1805" s="54"/>
      <c r="AJ1805" s="54"/>
      <c r="AK1805" s="54"/>
      <c r="AL1805" s="54"/>
      <c r="AM1805" s="54"/>
      <c r="AN1805" s="54"/>
      <c r="AO1805" s="54"/>
      <c r="AP1805" s="54"/>
      <c r="AQ1805" s="54"/>
      <c r="AR1805" s="54"/>
      <c r="AS1805" s="54"/>
      <c r="AT1805" s="54"/>
      <c r="AU1805" s="54"/>
      <c r="AV1805" s="54"/>
      <c r="AW1805" s="54"/>
      <c r="AX1805" s="54"/>
      <c r="AY1805" s="54"/>
      <c r="AZ1805" s="54"/>
      <c r="BA1805" s="54"/>
      <c r="BB1805" s="54"/>
      <c r="BC1805" s="56"/>
      <c r="BD1805" s="51"/>
      <c r="BE1805" s="54"/>
      <c r="BF1805" s="54"/>
      <c r="BG1805" s="47"/>
      <c r="BH1805" s="48"/>
      <c r="BI1805" s="48"/>
      <c r="BJ1805" s="48"/>
      <c r="BK1805" s="48"/>
      <c r="BL1805" s="48"/>
      <c r="BM1805" s="48"/>
      <c r="BN1805" s="48"/>
      <c r="BO1805" s="48"/>
      <c r="BP1805" s="48"/>
      <c r="BQ1805" s="48"/>
      <c r="BR1805" s="48"/>
      <c r="BS1805" s="48"/>
      <c r="BT1805" s="48"/>
      <c r="BU1805" s="48"/>
      <c r="BV1805" s="48"/>
      <c r="BW1805" s="48"/>
      <c r="BX1805" s="48"/>
      <c r="BY1805" s="48"/>
      <c r="BZ1805" s="48"/>
      <c r="CA1805" s="48"/>
      <c r="CB1805" s="48"/>
      <c r="CC1805" s="48"/>
      <c r="CD1805" s="48"/>
      <c r="CE1805" s="48"/>
      <c r="CF1805" s="52"/>
      <c r="CG1805" s="52"/>
      <c r="CH1805" s="48"/>
      <c r="CI1805" s="48"/>
      <c r="CJ1805" s="48"/>
      <c r="CK1805" s="48"/>
    </row>
    <row r="1806" spans="1:89" ht="15.75" customHeight="1" x14ac:dyDescent="0.3">
      <c r="A1806" s="47"/>
      <c r="B1806" s="48"/>
      <c r="C1806" s="47"/>
      <c r="D1806" s="48"/>
      <c r="E1806" s="48"/>
      <c r="F1806" s="48"/>
      <c r="G1806" s="48"/>
      <c r="H1806" s="48"/>
      <c r="I1806" s="49"/>
      <c r="J1806" s="47"/>
      <c r="K1806" s="47"/>
      <c r="L1806" s="47"/>
      <c r="M1806" s="47"/>
      <c r="N1806" s="47"/>
      <c r="O1806" s="47"/>
      <c r="P1806" s="47"/>
      <c r="Q1806" s="47"/>
      <c r="R1806" s="47"/>
      <c r="S1806" s="50"/>
      <c r="T1806" s="47"/>
      <c r="U1806" s="47"/>
      <c r="V1806" s="47"/>
      <c r="W1806" s="51"/>
      <c r="X1806" s="51"/>
      <c r="Y1806" s="47"/>
      <c r="Z1806" s="47"/>
      <c r="AA1806" s="47"/>
      <c r="AB1806" s="47"/>
      <c r="AC1806" s="47"/>
      <c r="AD1806" s="47"/>
      <c r="AE1806" s="54"/>
      <c r="AF1806" s="54"/>
      <c r="AG1806" s="55"/>
      <c r="AH1806" s="54"/>
      <c r="AI1806" s="54"/>
      <c r="AJ1806" s="54"/>
      <c r="AK1806" s="54"/>
      <c r="AL1806" s="54"/>
      <c r="AM1806" s="54"/>
      <c r="AN1806" s="54"/>
      <c r="AO1806" s="54"/>
      <c r="AP1806" s="54"/>
      <c r="AQ1806" s="54"/>
      <c r="AR1806" s="54"/>
      <c r="AS1806" s="54"/>
      <c r="AT1806" s="54"/>
      <c r="AU1806" s="54"/>
      <c r="AV1806" s="54"/>
      <c r="AW1806" s="54"/>
      <c r="AX1806" s="54"/>
      <c r="AY1806" s="54"/>
      <c r="AZ1806" s="54"/>
      <c r="BA1806" s="54"/>
      <c r="BB1806" s="54"/>
      <c r="BC1806" s="56"/>
      <c r="BD1806" s="51"/>
      <c r="BE1806" s="54"/>
      <c r="BF1806" s="54"/>
      <c r="BG1806" s="47"/>
      <c r="BH1806" s="48"/>
      <c r="BI1806" s="48"/>
      <c r="BJ1806" s="48"/>
      <c r="BK1806" s="48"/>
      <c r="BL1806" s="48"/>
      <c r="BM1806" s="48"/>
      <c r="BN1806" s="48"/>
      <c r="BO1806" s="48"/>
      <c r="BP1806" s="48"/>
      <c r="BQ1806" s="48"/>
      <c r="BR1806" s="48"/>
      <c r="BS1806" s="48"/>
      <c r="BT1806" s="48"/>
      <c r="BU1806" s="48"/>
      <c r="BV1806" s="48"/>
      <c r="BW1806" s="48"/>
      <c r="BX1806" s="48"/>
      <c r="BY1806" s="48"/>
      <c r="BZ1806" s="48"/>
      <c r="CA1806" s="48"/>
      <c r="CB1806" s="48"/>
      <c r="CC1806" s="48"/>
      <c r="CD1806" s="48"/>
      <c r="CE1806" s="48"/>
      <c r="CF1806" s="52"/>
      <c r="CG1806" s="52"/>
      <c r="CH1806" s="48"/>
      <c r="CI1806" s="48"/>
      <c r="CJ1806" s="48"/>
      <c r="CK1806" s="48"/>
    </row>
    <row r="1807" spans="1:89" ht="15.75" customHeight="1" x14ac:dyDescent="0.3">
      <c r="A1807" s="47"/>
      <c r="B1807" s="48"/>
      <c r="C1807" s="47"/>
      <c r="D1807" s="48"/>
      <c r="E1807" s="48"/>
      <c r="F1807" s="48"/>
      <c r="G1807" s="48"/>
      <c r="H1807" s="48"/>
      <c r="I1807" s="49"/>
      <c r="J1807" s="47"/>
      <c r="K1807" s="47"/>
      <c r="L1807" s="47"/>
      <c r="M1807" s="47"/>
      <c r="N1807" s="47"/>
      <c r="O1807" s="47"/>
      <c r="P1807" s="47"/>
      <c r="Q1807" s="47"/>
      <c r="R1807" s="47"/>
      <c r="S1807" s="50"/>
      <c r="T1807" s="47"/>
      <c r="U1807" s="47"/>
      <c r="V1807" s="47"/>
      <c r="W1807" s="51"/>
      <c r="X1807" s="51"/>
      <c r="Y1807" s="47"/>
      <c r="Z1807" s="47"/>
      <c r="AA1807" s="47"/>
      <c r="AB1807" s="47"/>
      <c r="AC1807" s="47"/>
      <c r="AD1807" s="47"/>
      <c r="AE1807" s="54"/>
      <c r="AF1807" s="54"/>
      <c r="AG1807" s="55"/>
      <c r="AH1807" s="54"/>
      <c r="AI1807" s="54"/>
      <c r="AJ1807" s="54"/>
      <c r="AK1807" s="54"/>
      <c r="AL1807" s="54"/>
      <c r="AM1807" s="54"/>
      <c r="AN1807" s="54"/>
      <c r="AO1807" s="54"/>
      <c r="AP1807" s="54"/>
      <c r="AQ1807" s="54"/>
      <c r="AR1807" s="54"/>
      <c r="AS1807" s="54"/>
      <c r="AT1807" s="54"/>
      <c r="AU1807" s="54"/>
      <c r="AV1807" s="54"/>
      <c r="AW1807" s="54"/>
      <c r="AX1807" s="54"/>
      <c r="AY1807" s="54"/>
      <c r="AZ1807" s="54"/>
      <c r="BA1807" s="54"/>
      <c r="BB1807" s="54"/>
      <c r="BC1807" s="56"/>
      <c r="BD1807" s="51"/>
      <c r="BE1807" s="54"/>
      <c r="BF1807" s="54"/>
      <c r="BG1807" s="47"/>
      <c r="BH1807" s="48"/>
      <c r="BI1807" s="48"/>
      <c r="BJ1807" s="48"/>
      <c r="BK1807" s="48"/>
      <c r="BL1807" s="48"/>
      <c r="BM1807" s="48"/>
      <c r="BN1807" s="48"/>
      <c r="BO1807" s="48"/>
      <c r="BP1807" s="48"/>
      <c r="BQ1807" s="48"/>
      <c r="BR1807" s="48"/>
      <c r="BS1807" s="48"/>
      <c r="BT1807" s="48"/>
      <c r="BU1807" s="48"/>
      <c r="BV1807" s="48"/>
      <c r="BW1807" s="48"/>
      <c r="BX1807" s="48"/>
      <c r="BY1807" s="48"/>
      <c r="BZ1807" s="48"/>
      <c r="CA1807" s="48"/>
      <c r="CB1807" s="48"/>
      <c r="CC1807" s="48"/>
      <c r="CD1807" s="48"/>
      <c r="CE1807" s="48"/>
      <c r="CF1807" s="52"/>
      <c r="CG1807" s="52"/>
      <c r="CH1807" s="48"/>
      <c r="CI1807" s="48"/>
      <c r="CJ1807" s="48"/>
      <c r="CK1807" s="48"/>
    </row>
    <row r="1808" spans="1:89" ht="15.75" customHeight="1" x14ac:dyDescent="0.3">
      <c r="A1808" s="47"/>
      <c r="B1808" s="48"/>
      <c r="C1808" s="47"/>
      <c r="D1808" s="48"/>
      <c r="E1808" s="48"/>
      <c r="F1808" s="48"/>
      <c r="G1808" s="48"/>
      <c r="H1808" s="48"/>
      <c r="I1808" s="49"/>
      <c r="J1808" s="47"/>
      <c r="K1808" s="47"/>
      <c r="L1808" s="47"/>
      <c r="M1808" s="47"/>
      <c r="N1808" s="47"/>
      <c r="O1808" s="47"/>
      <c r="P1808" s="47"/>
      <c r="Q1808" s="47"/>
      <c r="R1808" s="47"/>
      <c r="S1808" s="50"/>
      <c r="T1808" s="47"/>
      <c r="U1808" s="47"/>
      <c r="V1808" s="47"/>
      <c r="W1808" s="51"/>
      <c r="X1808" s="51"/>
      <c r="Y1808" s="47"/>
      <c r="Z1808" s="47"/>
      <c r="AA1808" s="47"/>
      <c r="AB1808" s="47"/>
      <c r="AC1808" s="47"/>
      <c r="AD1808" s="47"/>
      <c r="AE1808" s="54"/>
      <c r="AF1808" s="54"/>
      <c r="AG1808" s="55"/>
      <c r="AH1808" s="54"/>
      <c r="AI1808" s="54"/>
      <c r="AJ1808" s="54"/>
      <c r="AK1808" s="54"/>
      <c r="AL1808" s="54"/>
      <c r="AM1808" s="54"/>
      <c r="AN1808" s="54"/>
      <c r="AO1808" s="54"/>
      <c r="AP1808" s="54"/>
      <c r="AQ1808" s="54"/>
      <c r="AR1808" s="54"/>
      <c r="AS1808" s="54"/>
      <c r="AT1808" s="54"/>
      <c r="AU1808" s="54"/>
      <c r="AV1808" s="54"/>
      <c r="AW1808" s="54"/>
      <c r="AX1808" s="54"/>
      <c r="AY1808" s="54"/>
      <c r="AZ1808" s="54"/>
      <c r="BA1808" s="54"/>
      <c r="BB1808" s="54"/>
      <c r="BC1808" s="56"/>
      <c r="BD1808" s="51"/>
      <c r="BE1808" s="54"/>
      <c r="BF1808" s="54"/>
      <c r="BG1808" s="47"/>
      <c r="BH1808" s="48"/>
      <c r="BI1808" s="48"/>
      <c r="BJ1808" s="48"/>
      <c r="BK1808" s="48"/>
      <c r="BL1808" s="48"/>
      <c r="BM1808" s="48"/>
      <c r="BN1808" s="48"/>
      <c r="BO1808" s="48"/>
      <c r="BP1808" s="48"/>
      <c r="BQ1808" s="48"/>
      <c r="BR1808" s="48"/>
      <c r="BS1808" s="48"/>
      <c r="BT1808" s="48"/>
      <c r="BU1808" s="48"/>
      <c r="BV1808" s="48"/>
      <c r="BW1808" s="48"/>
      <c r="BX1808" s="48"/>
      <c r="BY1808" s="48"/>
      <c r="BZ1808" s="48"/>
      <c r="CA1808" s="48"/>
      <c r="CB1808" s="48"/>
      <c r="CC1808" s="48"/>
      <c r="CD1808" s="48"/>
      <c r="CE1808" s="48"/>
      <c r="CF1808" s="52"/>
      <c r="CG1808" s="52"/>
      <c r="CH1808" s="48"/>
      <c r="CI1808" s="48"/>
      <c r="CJ1808" s="48"/>
      <c r="CK1808" s="48"/>
    </row>
    <row r="1809" spans="1:89" ht="15.75" customHeight="1" x14ac:dyDescent="0.3">
      <c r="A1809" s="47"/>
      <c r="B1809" s="48"/>
      <c r="C1809" s="47"/>
      <c r="D1809" s="48"/>
      <c r="E1809" s="48"/>
      <c r="F1809" s="48"/>
      <c r="G1809" s="48"/>
      <c r="H1809" s="48"/>
      <c r="I1809" s="49"/>
      <c r="J1809" s="47"/>
      <c r="K1809" s="47"/>
      <c r="L1809" s="47"/>
      <c r="M1809" s="47"/>
      <c r="N1809" s="47"/>
      <c r="O1809" s="47"/>
      <c r="P1809" s="47"/>
      <c r="Q1809" s="47"/>
      <c r="R1809" s="47"/>
      <c r="S1809" s="50"/>
      <c r="T1809" s="47"/>
      <c r="U1809" s="47"/>
      <c r="V1809" s="47"/>
      <c r="W1809" s="51"/>
      <c r="X1809" s="51"/>
      <c r="Y1809" s="47"/>
      <c r="Z1809" s="47"/>
      <c r="AA1809" s="47"/>
      <c r="AB1809" s="47"/>
      <c r="AC1809" s="47"/>
      <c r="AD1809" s="47"/>
      <c r="AE1809" s="54"/>
      <c r="AF1809" s="54"/>
      <c r="AG1809" s="55"/>
      <c r="AH1809" s="54"/>
      <c r="AI1809" s="54"/>
      <c r="AJ1809" s="54"/>
      <c r="AK1809" s="54"/>
      <c r="AL1809" s="54"/>
      <c r="AM1809" s="54"/>
      <c r="AN1809" s="54"/>
      <c r="AO1809" s="54"/>
      <c r="AP1809" s="54"/>
      <c r="AQ1809" s="54"/>
      <c r="AR1809" s="54"/>
      <c r="AS1809" s="54"/>
      <c r="AT1809" s="54"/>
      <c r="AU1809" s="54"/>
      <c r="AV1809" s="54"/>
      <c r="AW1809" s="54"/>
      <c r="AX1809" s="54"/>
      <c r="AY1809" s="54"/>
      <c r="AZ1809" s="54"/>
      <c r="BA1809" s="54"/>
      <c r="BB1809" s="54"/>
      <c r="BC1809" s="56"/>
      <c r="BD1809" s="51"/>
      <c r="BE1809" s="54"/>
      <c r="BF1809" s="54"/>
      <c r="BG1809" s="47"/>
      <c r="BH1809" s="48"/>
      <c r="BI1809" s="48"/>
      <c r="BJ1809" s="48"/>
      <c r="BK1809" s="48"/>
      <c r="BL1809" s="48"/>
      <c r="BM1809" s="48"/>
      <c r="BN1809" s="48"/>
      <c r="BO1809" s="48"/>
      <c r="BP1809" s="48"/>
      <c r="BQ1809" s="48"/>
      <c r="BR1809" s="48"/>
      <c r="BS1809" s="48"/>
      <c r="BT1809" s="48"/>
      <c r="BU1809" s="48"/>
      <c r="BV1809" s="48"/>
      <c r="BW1809" s="48"/>
      <c r="BX1809" s="48"/>
      <c r="BY1809" s="48"/>
      <c r="BZ1809" s="48"/>
      <c r="CA1809" s="48"/>
      <c r="CB1809" s="48"/>
      <c r="CC1809" s="48"/>
      <c r="CD1809" s="48"/>
      <c r="CE1809" s="48"/>
      <c r="CF1809" s="52"/>
      <c r="CG1809" s="52"/>
      <c r="CH1809" s="48"/>
      <c r="CI1809" s="48"/>
      <c r="CJ1809" s="48"/>
      <c r="CK1809" s="48"/>
    </row>
    <row r="1810" spans="1:89" ht="15.75" customHeight="1" x14ac:dyDescent="0.3">
      <c r="A1810" s="47"/>
      <c r="B1810" s="48"/>
      <c r="C1810" s="47"/>
      <c r="D1810" s="48"/>
      <c r="E1810" s="48"/>
      <c r="F1810" s="48"/>
      <c r="G1810" s="48"/>
      <c r="H1810" s="48"/>
      <c r="I1810" s="49"/>
      <c r="J1810" s="47"/>
      <c r="K1810" s="47"/>
      <c r="L1810" s="47"/>
      <c r="M1810" s="47"/>
      <c r="N1810" s="47"/>
      <c r="O1810" s="47"/>
      <c r="P1810" s="47"/>
      <c r="Q1810" s="47"/>
      <c r="R1810" s="47"/>
      <c r="S1810" s="50"/>
      <c r="T1810" s="47"/>
      <c r="U1810" s="47"/>
      <c r="V1810" s="47"/>
      <c r="W1810" s="51"/>
      <c r="X1810" s="51"/>
      <c r="Y1810" s="47"/>
      <c r="Z1810" s="47"/>
      <c r="AA1810" s="47"/>
      <c r="AB1810" s="47"/>
      <c r="AC1810" s="47"/>
      <c r="AD1810" s="47"/>
      <c r="AE1810" s="54"/>
      <c r="AF1810" s="54"/>
      <c r="AG1810" s="55"/>
      <c r="AH1810" s="54"/>
      <c r="AI1810" s="54"/>
      <c r="AJ1810" s="54"/>
      <c r="AK1810" s="54"/>
      <c r="AL1810" s="54"/>
      <c r="AM1810" s="54"/>
      <c r="AN1810" s="54"/>
      <c r="AO1810" s="54"/>
      <c r="AP1810" s="54"/>
      <c r="AQ1810" s="54"/>
      <c r="AR1810" s="54"/>
      <c r="AS1810" s="54"/>
      <c r="AT1810" s="54"/>
      <c r="AU1810" s="54"/>
      <c r="AV1810" s="54"/>
      <c r="AW1810" s="54"/>
      <c r="AX1810" s="54"/>
      <c r="AY1810" s="54"/>
      <c r="AZ1810" s="54"/>
      <c r="BA1810" s="54"/>
      <c r="BB1810" s="54"/>
      <c r="BC1810" s="56"/>
      <c r="BD1810" s="51"/>
      <c r="BE1810" s="54"/>
      <c r="BF1810" s="54"/>
      <c r="BG1810" s="47"/>
      <c r="BH1810" s="48"/>
      <c r="BI1810" s="48"/>
      <c r="BJ1810" s="48"/>
      <c r="BK1810" s="48"/>
      <c r="BL1810" s="48"/>
      <c r="BM1810" s="48"/>
      <c r="BN1810" s="48"/>
      <c r="BO1810" s="48"/>
      <c r="BP1810" s="48"/>
      <c r="BQ1810" s="48"/>
      <c r="BR1810" s="48"/>
      <c r="BS1810" s="48"/>
      <c r="BT1810" s="48"/>
      <c r="BU1810" s="48"/>
      <c r="BV1810" s="48"/>
      <c r="BW1810" s="48"/>
      <c r="BX1810" s="48"/>
      <c r="BY1810" s="48"/>
      <c r="BZ1810" s="48"/>
      <c r="CA1810" s="48"/>
      <c r="CB1810" s="48"/>
      <c r="CC1810" s="48"/>
      <c r="CD1810" s="48"/>
      <c r="CE1810" s="48"/>
      <c r="CF1810" s="52"/>
      <c r="CG1810" s="52"/>
      <c r="CH1810" s="48"/>
      <c r="CI1810" s="48"/>
      <c r="CJ1810" s="48"/>
      <c r="CK1810" s="48"/>
    </row>
    <row r="1811" spans="1:89" ht="15.75" customHeight="1" x14ac:dyDescent="0.3">
      <c r="A1811" s="47"/>
      <c r="B1811" s="48"/>
      <c r="C1811" s="47"/>
      <c r="D1811" s="48"/>
      <c r="E1811" s="48"/>
      <c r="F1811" s="48"/>
      <c r="G1811" s="48"/>
      <c r="H1811" s="48"/>
      <c r="I1811" s="49"/>
      <c r="J1811" s="47"/>
      <c r="K1811" s="47"/>
      <c r="L1811" s="47"/>
      <c r="M1811" s="47"/>
      <c r="N1811" s="47"/>
      <c r="O1811" s="47"/>
      <c r="P1811" s="47"/>
      <c r="Q1811" s="47"/>
      <c r="R1811" s="47"/>
      <c r="S1811" s="50"/>
      <c r="T1811" s="47"/>
      <c r="U1811" s="47"/>
      <c r="V1811" s="47"/>
      <c r="W1811" s="51"/>
      <c r="X1811" s="51"/>
      <c r="Y1811" s="47"/>
      <c r="Z1811" s="47"/>
      <c r="AA1811" s="47"/>
      <c r="AB1811" s="47"/>
      <c r="AC1811" s="47"/>
      <c r="AD1811" s="47"/>
      <c r="AE1811" s="54"/>
      <c r="AF1811" s="54"/>
      <c r="AG1811" s="55"/>
      <c r="AH1811" s="54"/>
      <c r="AI1811" s="54"/>
      <c r="AJ1811" s="54"/>
      <c r="AK1811" s="54"/>
      <c r="AL1811" s="54"/>
      <c r="AM1811" s="54"/>
      <c r="AN1811" s="54"/>
      <c r="AO1811" s="54"/>
      <c r="AP1811" s="54"/>
      <c r="AQ1811" s="54"/>
      <c r="AR1811" s="54"/>
      <c r="AS1811" s="54"/>
      <c r="AT1811" s="54"/>
      <c r="AU1811" s="54"/>
      <c r="AV1811" s="54"/>
      <c r="AW1811" s="54"/>
      <c r="AX1811" s="54"/>
      <c r="AY1811" s="54"/>
      <c r="AZ1811" s="54"/>
      <c r="BA1811" s="54"/>
      <c r="BB1811" s="54"/>
      <c r="BC1811" s="56"/>
      <c r="BD1811" s="51"/>
      <c r="BE1811" s="54"/>
      <c r="BF1811" s="54"/>
      <c r="BG1811" s="47"/>
      <c r="BH1811" s="48"/>
      <c r="BI1811" s="48"/>
      <c r="BJ1811" s="48"/>
      <c r="BK1811" s="48"/>
      <c r="BL1811" s="48"/>
      <c r="BM1811" s="48"/>
      <c r="BN1811" s="48"/>
      <c r="BO1811" s="48"/>
      <c r="BP1811" s="48"/>
      <c r="BQ1811" s="48"/>
      <c r="BR1811" s="48"/>
      <c r="BS1811" s="48"/>
      <c r="BT1811" s="48"/>
      <c r="BU1811" s="48"/>
      <c r="BV1811" s="48"/>
      <c r="BW1811" s="48"/>
      <c r="BX1811" s="48"/>
      <c r="BY1811" s="48"/>
      <c r="BZ1811" s="48"/>
      <c r="CA1811" s="48"/>
      <c r="CB1811" s="48"/>
      <c r="CC1811" s="48"/>
      <c r="CD1811" s="48"/>
      <c r="CE1811" s="48"/>
      <c r="CF1811" s="52"/>
      <c r="CG1811" s="52"/>
      <c r="CH1811" s="48"/>
      <c r="CI1811" s="48"/>
      <c r="CJ1811" s="48"/>
      <c r="CK1811" s="48"/>
    </row>
    <row r="1812" spans="1:89" ht="15.75" customHeight="1" x14ac:dyDescent="0.3">
      <c r="A1812" s="47"/>
      <c r="B1812" s="48"/>
      <c r="C1812" s="47"/>
      <c r="D1812" s="48"/>
      <c r="E1812" s="48"/>
      <c r="F1812" s="48"/>
      <c r="G1812" s="48"/>
      <c r="H1812" s="48"/>
      <c r="I1812" s="49"/>
      <c r="J1812" s="47"/>
      <c r="K1812" s="47"/>
      <c r="L1812" s="47"/>
      <c r="M1812" s="47"/>
      <c r="N1812" s="47"/>
      <c r="O1812" s="47"/>
      <c r="P1812" s="47"/>
      <c r="Q1812" s="47"/>
      <c r="R1812" s="47"/>
      <c r="S1812" s="50"/>
      <c r="T1812" s="47"/>
      <c r="U1812" s="47"/>
      <c r="V1812" s="47"/>
      <c r="W1812" s="51"/>
      <c r="X1812" s="51"/>
      <c r="Y1812" s="47"/>
      <c r="Z1812" s="47"/>
      <c r="AA1812" s="47"/>
      <c r="AB1812" s="47"/>
      <c r="AC1812" s="47"/>
      <c r="AD1812" s="47"/>
      <c r="AE1812" s="54"/>
      <c r="AF1812" s="54"/>
      <c r="AG1812" s="55"/>
      <c r="AH1812" s="54"/>
      <c r="AI1812" s="54"/>
      <c r="AJ1812" s="54"/>
      <c r="AK1812" s="54"/>
      <c r="AL1812" s="54"/>
      <c r="AM1812" s="54"/>
      <c r="AN1812" s="54"/>
      <c r="AO1812" s="54"/>
      <c r="AP1812" s="54"/>
      <c r="AQ1812" s="54"/>
      <c r="AR1812" s="54"/>
      <c r="AS1812" s="54"/>
      <c r="AT1812" s="54"/>
      <c r="AU1812" s="54"/>
      <c r="AV1812" s="54"/>
      <c r="AW1812" s="54"/>
      <c r="AX1812" s="54"/>
      <c r="AY1812" s="54"/>
      <c r="AZ1812" s="54"/>
      <c r="BA1812" s="54"/>
      <c r="BB1812" s="54"/>
      <c r="BC1812" s="56"/>
      <c r="BD1812" s="51"/>
      <c r="BE1812" s="54"/>
      <c r="BF1812" s="54"/>
      <c r="BG1812" s="47"/>
      <c r="BH1812" s="48"/>
      <c r="BI1812" s="48"/>
      <c r="BJ1812" s="48"/>
      <c r="BK1812" s="48"/>
      <c r="BL1812" s="48"/>
      <c r="BM1812" s="48"/>
      <c r="BN1812" s="48"/>
      <c r="BO1812" s="48"/>
      <c r="BP1812" s="48"/>
      <c r="BQ1812" s="48"/>
      <c r="BR1812" s="48"/>
      <c r="BS1812" s="48"/>
      <c r="BT1812" s="48"/>
      <c r="BU1812" s="48"/>
      <c r="BV1812" s="48"/>
      <c r="BW1812" s="48"/>
      <c r="BX1812" s="48"/>
      <c r="BY1812" s="48"/>
      <c r="BZ1812" s="48"/>
      <c r="CA1812" s="48"/>
      <c r="CB1812" s="48"/>
      <c r="CC1812" s="48"/>
      <c r="CD1812" s="48"/>
      <c r="CE1812" s="48"/>
      <c r="CF1812" s="52"/>
      <c r="CG1812" s="52"/>
      <c r="CH1812" s="48"/>
      <c r="CI1812" s="48"/>
      <c r="CJ1812" s="48"/>
      <c r="CK1812" s="48"/>
    </row>
    <row r="1813" spans="1:89" ht="15.75" customHeight="1" x14ac:dyDescent="0.3">
      <c r="A1813" s="47"/>
      <c r="B1813" s="48"/>
      <c r="C1813" s="47"/>
      <c r="D1813" s="48"/>
      <c r="E1813" s="48"/>
      <c r="F1813" s="48"/>
      <c r="G1813" s="48"/>
      <c r="H1813" s="48"/>
      <c r="I1813" s="49"/>
      <c r="J1813" s="47"/>
      <c r="K1813" s="47"/>
      <c r="L1813" s="47"/>
      <c r="M1813" s="47"/>
      <c r="N1813" s="47"/>
      <c r="O1813" s="47"/>
      <c r="P1813" s="47"/>
      <c r="Q1813" s="47"/>
      <c r="R1813" s="47"/>
      <c r="S1813" s="50"/>
      <c r="T1813" s="47"/>
      <c r="U1813" s="47"/>
      <c r="V1813" s="47"/>
      <c r="W1813" s="51"/>
      <c r="X1813" s="51"/>
      <c r="Y1813" s="47"/>
      <c r="Z1813" s="47"/>
      <c r="AA1813" s="47"/>
      <c r="AB1813" s="47"/>
      <c r="AC1813" s="47"/>
      <c r="AD1813" s="47"/>
      <c r="AE1813" s="54"/>
      <c r="AF1813" s="54"/>
      <c r="AG1813" s="55"/>
      <c r="AH1813" s="54"/>
      <c r="AI1813" s="54"/>
      <c r="AJ1813" s="54"/>
      <c r="AK1813" s="54"/>
      <c r="AL1813" s="54"/>
      <c r="AM1813" s="54"/>
      <c r="AN1813" s="54"/>
      <c r="AO1813" s="54"/>
      <c r="AP1813" s="54"/>
      <c r="AQ1813" s="54"/>
      <c r="AR1813" s="54"/>
      <c r="AS1813" s="54"/>
      <c r="AT1813" s="54"/>
      <c r="AU1813" s="54"/>
      <c r="AV1813" s="54"/>
      <c r="AW1813" s="54"/>
      <c r="AX1813" s="54"/>
      <c r="AY1813" s="54"/>
      <c r="AZ1813" s="54"/>
      <c r="BA1813" s="54"/>
      <c r="BB1813" s="54"/>
      <c r="BC1813" s="56"/>
      <c r="BD1813" s="51"/>
      <c r="BE1813" s="54"/>
      <c r="BF1813" s="54"/>
      <c r="BG1813" s="47"/>
      <c r="BH1813" s="48"/>
      <c r="BI1813" s="48"/>
      <c r="BJ1813" s="48"/>
      <c r="BK1813" s="48"/>
      <c r="BL1813" s="48"/>
      <c r="BM1813" s="48"/>
      <c r="BN1813" s="48"/>
      <c r="BO1813" s="48"/>
      <c r="BP1813" s="48"/>
      <c r="BQ1813" s="48"/>
      <c r="BR1813" s="48"/>
      <c r="BS1813" s="48"/>
      <c r="BT1813" s="48"/>
      <c r="BU1813" s="48"/>
      <c r="BV1813" s="48"/>
      <c r="BW1813" s="48"/>
      <c r="BX1813" s="48"/>
      <c r="BY1813" s="48"/>
      <c r="BZ1813" s="48"/>
      <c r="CA1813" s="48"/>
      <c r="CB1813" s="48"/>
      <c r="CC1813" s="48"/>
      <c r="CD1813" s="48"/>
      <c r="CE1813" s="48"/>
      <c r="CF1813" s="52"/>
      <c r="CG1813" s="52"/>
      <c r="CH1813" s="48"/>
      <c r="CI1813" s="48"/>
      <c r="CJ1813" s="48"/>
      <c r="CK1813" s="48"/>
    </row>
    <row r="1814" spans="1:89" ht="15.75" customHeight="1" x14ac:dyDescent="0.3">
      <c r="A1814" s="47"/>
      <c r="B1814" s="48"/>
      <c r="C1814" s="47"/>
      <c r="D1814" s="48"/>
      <c r="E1814" s="48"/>
      <c r="F1814" s="48"/>
      <c r="G1814" s="48"/>
      <c r="H1814" s="48"/>
      <c r="I1814" s="49"/>
      <c r="J1814" s="47"/>
      <c r="K1814" s="47"/>
      <c r="L1814" s="47"/>
      <c r="M1814" s="47"/>
      <c r="N1814" s="47"/>
      <c r="O1814" s="47"/>
      <c r="P1814" s="47"/>
      <c r="Q1814" s="47"/>
      <c r="R1814" s="47"/>
      <c r="S1814" s="50"/>
      <c r="T1814" s="47"/>
      <c r="U1814" s="47"/>
      <c r="V1814" s="47"/>
      <c r="W1814" s="51"/>
      <c r="X1814" s="51"/>
      <c r="Y1814" s="47"/>
      <c r="Z1814" s="47"/>
      <c r="AA1814" s="47"/>
      <c r="AB1814" s="47"/>
      <c r="AC1814" s="47"/>
      <c r="AD1814" s="47"/>
      <c r="AE1814" s="54"/>
      <c r="AF1814" s="54"/>
      <c r="AG1814" s="55"/>
      <c r="AH1814" s="54"/>
      <c r="AI1814" s="54"/>
      <c r="AJ1814" s="54"/>
      <c r="AK1814" s="54"/>
      <c r="AL1814" s="54"/>
      <c r="AM1814" s="54"/>
      <c r="AN1814" s="54"/>
      <c r="AO1814" s="54"/>
      <c r="AP1814" s="54"/>
      <c r="AQ1814" s="54"/>
      <c r="AR1814" s="54"/>
      <c r="AS1814" s="54"/>
      <c r="AT1814" s="54"/>
      <c r="AU1814" s="54"/>
      <c r="AV1814" s="54"/>
      <c r="AW1814" s="54"/>
      <c r="AX1814" s="54"/>
      <c r="AY1814" s="54"/>
      <c r="AZ1814" s="54"/>
      <c r="BA1814" s="54"/>
      <c r="BB1814" s="54"/>
      <c r="BC1814" s="56"/>
      <c r="BD1814" s="51"/>
      <c r="BE1814" s="54"/>
      <c r="BF1814" s="54"/>
      <c r="BG1814" s="47"/>
      <c r="BH1814" s="48"/>
      <c r="BI1814" s="48"/>
      <c r="BJ1814" s="48"/>
      <c r="BK1814" s="48"/>
      <c r="BL1814" s="48"/>
      <c r="BM1814" s="48"/>
      <c r="BN1814" s="48"/>
      <c r="BO1814" s="48"/>
      <c r="BP1814" s="48"/>
      <c r="BQ1814" s="48"/>
      <c r="BR1814" s="48"/>
      <c r="BS1814" s="48"/>
      <c r="BT1814" s="48"/>
      <c r="BU1814" s="48"/>
      <c r="BV1814" s="48"/>
      <c r="BW1814" s="48"/>
      <c r="BX1814" s="48"/>
      <c r="BY1814" s="48"/>
      <c r="BZ1814" s="48"/>
      <c r="CA1814" s="48"/>
      <c r="CB1814" s="48"/>
      <c r="CC1814" s="48"/>
      <c r="CD1814" s="48"/>
      <c r="CE1814" s="48"/>
      <c r="CF1814" s="52"/>
      <c r="CG1814" s="52"/>
      <c r="CH1814" s="48"/>
      <c r="CI1814" s="48"/>
      <c r="CJ1814" s="48"/>
      <c r="CK1814" s="48"/>
    </row>
    <row r="1815" spans="1:89" ht="15.75" customHeight="1" x14ac:dyDescent="0.3">
      <c r="A1815" s="47"/>
      <c r="B1815" s="48"/>
      <c r="C1815" s="47"/>
      <c r="D1815" s="48"/>
      <c r="E1815" s="48"/>
      <c r="F1815" s="48"/>
      <c r="G1815" s="48"/>
      <c r="H1815" s="48"/>
      <c r="I1815" s="49"/>
      <c r="J1815" s="47"/>
      <c r="K1815" s="47"/>
      <c r="L1815" s="47"/>
      <c r="M1815" s="47"/>
      <c r="N1815" s="47"/>
      <c r="O1815" s="47"/>
      <c r="P1815" s="47"/>
      <c r="Q1815" s="47"/>
      <c r="R1815" s="47"/>
      <c r="S1815" s="50"/>
      <c r="T1815" s="47"/>
      <c r="U1815" s="47"/>
      <c r="V1815" s="47"/>
      <c r="W1815" s="51"/>
      <c r="X1815" s="51"/>
      <c r="Y1815" s="47"/>
      <c r="Z1815" s="47"/>
      <c r="AA1815" s="47"/>
      <c r="AB1815" s="47"/>
      <c r="AC1815" s="47"/>
      <c r="AD1815" s="47"/>
      <c r="AE1815" s="54"/>
      <c r="AF1815" s="54"/>
      <c r="AG1815" s="55"/>
      <c r="AH1815" s="54"/>
      <c r="AI1815" s="54"/>
      <c r="AJ1815" s="54"/>
      <c r="AK1815" s="54"/>
      <c r="AL1815" s="54"/>
      <c r="AM1815" s="54"/>
      <c r="AN1815" s="54"/>
      <c r="AO1815" s="54"/>
      <c r="AP1815" s="54"/>
      <c r="AQ1815" s="54"/>
      <c r="AR1815" s="54"/>
      <c r="AS1815" s="54"/>
      <c r="AT1815" s="54"/>
      <c r="AU1815" s="54"/>
      <c r="AV1815" s="54"/>
      <c r="AW1815" s="54"/>
      <c r="AX1815" s="54"/>
      <c r="AY1815" s="54"/>
      <c r="AZ1815" s="54"/>
      <c r="BA1815" s="54"/>
      <c r="BB1815" s="54"/>
      <c r="BC1815" s="56"/>
      <c r="BD1815" s="51"/>
      <c r="BE1815" s="54"/>
      <c r="BF1815" s="54"/>
      <c r="BG1815" s="47"/>
      <c r="BH1815" s="48"/>
      <c r="BI1815" s="48"/>
      <c r="BJ1815" s="48"/>
      <c r="BK1815" s="48"/>
      <c r="BL1815" s="48"/>
      <c r="BM1815" s="48"/>
      <c r="BN1815" s="48"/>
      <c r="BO1815" s="48"/>
      <c r="BP1815" s="48"/>
      <c r="BQ1815" s="48"/>
      <c r="BR1815" s="48"/>
      <c r="BS1815" s="48"/>
      <c r="BT1815" s="48"/>
      <c r="BU1815" s="48"/>
      <c r="BV1815" s="48"/>
      <c r="BW1815" s="48"/>
      <c r="BX1815" s="48"/>
      <c r="BY1815" s="48"/>
      <c r="BZ1815" s="48"/>
      <c r="CA1815" s="48"/>
      <c r="CB1815" s="48"/>
      <c r="CC1815" s="48"/>
      <c r="CD1815" s="48"/>
      <c r="CE1815" s="48"/>
      <c r="CF1815" s="52"/>
      <c r="CG1815" s="52"/>
      <c r="CH1815" s="48"/>
      <c r="CI1815" s="48"/>
      <c r="CJ1815" s="48"/>
      <c r="CK1815" s="48"/>
    </row>
    <row r="1816" spans="1:89" ht="15.75" customHeight="1" x14ac:dyDescent="0.3">
      <c r="A1816" s="47"/>
      <c r="B1816" s="48"/>
      <c r="C1816" s="47"/>
      <c r="D1816" s="48"/>
      <c r="E1816" s="48"/>
      <c r="F1816" s="48"/>
      <c r="G1816" s="48"/>
      <c r="H1816" s="48"/>
      <c r="I1816" s="49"/>
      <c r="J1816" s="47"/>
      <c r="K1816" s="47"/>
      <c r="L1816" s="47"/>
      <c r="M1816" s="47"/>
      <c r="N1816" s="47"/>
      <c r="O1816" s="47"/>
      <c r="P1816" s="47"/>
      <c r="Q1816" s="47"/>
      <c r="R1816" s="47"/>
      <c r="S1816" s="50"/>
      <c r="T1816" s="47"/>
      <c r="U1816" s="47"/>
      <c r="V1816" s="47"/>
      <c r="W1816" s="51"/>
      <c r="X1816" s="51"/>
      <c r="Y1816" s="47"/>
      <c r="Z1816" s="47"/>
      <c r="AA1816" s="47"/>
      <c r="AB1816" s="47"/>
      <c r="AC1816" s="47"/>
      <c r="AD1816" s="47"/>
      <c r="AE1816" s="54"/>
      <c r="AF1816" s="54"/>
      <c r="AG1816" s="55"/>
      <c r="AH1816" s="54"/>
      <c r="AI1816" s="54"/>
      <c r="AJ1816" s="54"/>
      <c r="AK1816" s="54"/>
      <c r="AL1816" s="54"/>
      <c r="AM1816" s="54"/>
      <c r="AN1816" s="54"/>
      <c r="AO1816" s="54"/>
      <c r="AP1816" s="54"/>
      <c r="AQ1816" s="54"/>
      <c r="AR1816" s="54"/>
      <c r="AS1816" s="54"/>
      <c r="AT1816" s="54"/>
      <c r="AU1816" s="54"/>
      <c r="AV1816" s="54"/>
      <c r="AW1816" s="54"/>
      <c r="AX1816" s="54"/>
      <c r="AY1816" s="54"/>
      <c r="AZ1816" s="54"/>
      <c r="BA1816" s="54"/>
      <c r="BB1816" s="54"/>
      <c r="BC1816" s="56"/>
      <c r="BD1816" s="51"/>
      <c r="BE1816" s="54"/>
      <c r="BF1816" s="54"/>
      <c r="BG1816" s="47"/>
      <c r="BH1816" s="48"/>
      <c r="BI1816" s="48"/>
      <c r="BJ1816" s="48"/>
      <c r="BK1816" s="48"/>
      <c r="BL1816" s="48"/>
      <c r="BM1816" s="48"/>
      <c r="BN1816" s="48"/>
      <c r="BO1816" s="48"/>
      <c r="BP1816" s="48"/>
      <c r="BQ1816" s="48"/>
      <c r="BR1816" s="48"/>
      <c r="BS1816" s="48"/>
      <c r="BT1816" s="48"/>
      <c r="BU1816" s="48"/>
      <c r="BV1816" s="48"/>
      <c r="BW1816" s="48"/>
      <c r="BX1816" s="48"/>
      <c r="BY1816" s="48"/>
      <c r="BZ1816" s="48"/>
      <c r="CA1816" s="48"/>
      <c r="CB1816" s="48"/>
      <c r="CC1816" s="48"/>
      <c r="CD1816" s="48"/>
      <c r="CE1816" s="48"/>
      <c r="CF1816" s="52"/>
      <c r="CG1816" s="52"/>
      <c r="CH1816" s="48"/>
      <c r="CI1816" s="48"/>
      <c r="CJ1816" s="48"/>
      <c r="CK1816" s="48"/>
    </row>
    <row r="1817" spans="1:89" ht="15.75" customHeight="1" x14ac:dyDescent="0.3">
      <c r="A1817" s="47"/>
      <c r="B1817" s="48"/>
      <c r="C1817" s="47"/>
      <c r="D1817" s="48"/>
      <c r="E1817" s="48"/>
      <c r="F1817" s="48"/>
      <c r="G1817" s="48"/>
      <c r="H1817" s="48"/>
      <c r="I1817" s="49"/>
      <c r="J1817" s="47"/>
      <c r="K1817" s="47"/>
      <c r="L1817" s="47"/>
      <c r="M1817" s="47"/>
      <c r="N1817" s="47"/>
      <c r="O1817" s="47"/>
      <c r="P1817" s="47"/>
      <c r="Q1817" s="47"/>
      <c r="R1817" s="47"/>
      <c r="S1817" s="50"/>
      <c r="T1817" s="47"/>
      <c r="U1817" s="47"/>
      <c r="V1817" s="47"/>
      <c r="W1817" s="51"/>
      <c r="X1817" s="51"/>
      <c r="Y1817" s="47"/>
      <c r="Z1817" s="47"/>
      <c r="AA1817" s="47"/>
      <c r="AB1817" s="47"/>
      <c r="AC1817" s="47"/>
      <c r="AD1817" s="47"/>
      <c r="AE1817" s="54"/>
      <c r="AF1817" s="54"/>
      <c r="AG1817" s="55"/>
      <c r="AH1817" s="54"/>
      <c r="AI1817" s="54"/>
      <c r="AJ1817" s="54"/>
      <c r="AK1817" s="54"/>
      <c r="AL1817" s="54"/>
      <c r="AM1817" s="54"/>
      <c r="AN1817" s="54"/>
      <c r="AO1817" s="54"/>
      <c r="AP1817" s="54"/>
      <c r="AQ1817" s="54"/>
      <c r="AR1817" s="54"/>
      <c r="AS1817" s="54"/>
      <c r="AT1817" s="54"/>
      <c r="AU1817" s="54"/>
      <c r="AV1817" s="54"/>
      <c r="AW1817" s="54"/>
      <c r="AX1817" s="54"/>
      <c r="AY1817" s="54"/>
      <c r="AZ1817" s="54"/>
      <c r="BA1817" s="54"/>
      <c r="BB1817" s="54"/>
      <c r="BC1817" s="56"/>
      <c r="BD1817" s="51"/>
      <c r="BE1817" s="54"/>
      <c r="BF1817" s="54"/>
      <c r="BG1817" s="47"/>
      <c r="BH1817" s="48"/>
      <c r="BI1817" s="48"/>
      <c r="BJ1817" s="48"/>
      <c r="BK1817" s="48"/>
      <c r="BL1817" s="48"/>
      <c r="BM1817" s="48"/>
      <c r="BN1817" s="48"/>
      <c r="BO1817" s="48"/>
      <c r="BP1817" s="48"/>
      <c r="BQ1817" s="48"/>
      <c r="BR1817" s="48"/>
      <c r="BS1817" s="48"/>
      <c r="BT1817" s="48"/>
      <c r="BU1817" s="48"/>
      <c r="BV1817" s="48"/>
      <c r="BW1817" s="48"/>
      <c r="BX1817" s="48"/>
      <c r="BY1817" s="48"/>
      <c r="BZ1817" s="48"/>
      <c r="CA1817" s="48"/>
      <c r="CB1817" s="48"/>
      <c r="CC1817" s="48"/>
      <c r="CD1817" s="48"/>
      <c r="CE1817" s="48"/>
      <c r="CF1817" s="52"/>
      <c r="CG1817" s="52"/>
      <c r="CH1817" s="48"/>
      <c r="CI1817" s="48"/>
      <c r="CJ1817" s="48"/>
      <c r="CK1817" s="48"/>
    </row>
    <row r="1818" spans="1:89" ht="15.75" customHeight="1" x14ac:dyDescent="0.3">
      <c r="A1818" s="47"/>
      <c r="B1818" s="48"/>
      <c r="C1818" s="47"/>
      <c r="D1818" s="48"/>
      <c r="E1818" s="48"/>
      <c r="F1818" s="48"/>
      <c r="G1818" s="48"/>
      <c r="H1818" s="48"/>
      <c r="I1818" s="49"/>
      <c r="J1818" s="47"/>
      <c r="K1818" s="47"/>
      <c r="L1818" s="47"/>
      <c r="M1818" s="47"/>
      <c r="N1818" s="47"/>
      <c r="O1818" s="47"/>
      <c r="P1818" s="47"/>
      <c r="Q1818" s="47"/>
      <c r="R1818" s="47"/>
      <c r="S1818" s="50"/>
      <c r="T1818" s="47"/>
      <c r="U1818" s="47"/>
      <c r="V1818" s="47"/>
      <c r="W1818" s="51"/>
      <c r="X1818" s="51"/>
      <c r="Y1818" s="47"/>
      <c r="Z1818" s="47"/>
      <c r="AA1818" s="47"/>
      <c r="AB1818" s="47"/>
      <c r="AC1818" s="47"/>
      <c r="AD1818" s="47"/>
      <c r="AE1818" s="54"/>
      <c r="AF1818" s="54"/>
      <c r="AG1818" s="55"/>
      <c r="AH1818" s="54"/>
      <c r="AI1818" s="54"/>
      <c r="AJ1818" s="54"/>
      <c r="AK1818" s="54"/>
      <c r="AL1818" s="54"/>
      <c r="AM1818" s="54"/>
      <c r="AN1818" s="54"/>
      <c r="AO1818" s="54"/>
      <c r="AP1818" s="54"/>
      <c r="AQ1818" s="54"/>
      <c r="AR1818" s="54"/>
      <c r="AS1818" s="54"/>
      <c r="AT1818" s="54"/>
      <c r="AU1818" s="54"/>
      <c r="AV1818" s="54"/>
      <c r="AW1818" s="54"/>
      <c r="AX1818" s="54"/>
      <c r="AY1818" s="54"/>
      <c r="AZ1818" s="54"/>
      <c r="BA1818" s="54"/>
      <c r="BB1818" s="54"/>
      <c r="BC1818" s="56"/>
      <c r="BD1818" s="51"/>
      <c r="BE1818" s="54"/>
      <c r="BF1818" s="54"/>
      <c r="BG1818" s="47"/>
      <c r="BH1818" s="48"/>
      <c r="BI1818" s="48"/>
      <c r="BJ1818" s="48"/>
      <c r="BK1818" s="48"/>
      <c r="BL1818" s="48"/>
      <c r="BM1818" s="48"/>
      <c r="BN1818" s="48"/>
      <c r="BO1818" s="48"/>
      <c r="BP1818" s="48"/>
      <c r="BQ1818" s="48"/>
      <c r="BR1818" s="48"/>
      <c r="BS1818" s="48"/>
      <c r="BT1818" s="48"/>
      <c r="BU1818" s="48"/>
      <c r="BV1818" s="48"/>
      <c r="BW1818" s="48"/>
      <c r="BX1818" s="48"/>
      <c r="BY1818" s="48"/>
      <c r="BZ1818" s="48"/>
      <c r="CA1818" s="48"/>
      <c r="CB1818" s="48"/>
      <c r="CC1818" s="48"/>
      <c r="CD1818" s="48"/>
      <c r="CE1818" s="48"/>
      <c r="CF1818" s="52"/>
      <c r="CG1818" s="52"/>
      <c r="CH1818" s="48"/>
      <c r="CI1818" s="48"/>
      <c r="CJ1818" s="48"/>
      <c r="CK1818" s="48"/>
    </row>
    <row r="1819" spans="1:89" ht="15.75" customHeight="1" x14ac:dyDescent="0.3">
      <c r="A1819" s="47"/>
      <c r="B1819" s="48"/>
      <c r="C1819" s="47"/>
      <c r="D1819" s="48"/>
      <c r="E1819" s="48"/>
      <c r="F1819" s="48"/>
      <c r="G1819" s="48"/>
      <c r="H1819" s="48"/>
      <c r="I1819" s="49"/>
      <c r="J1819" s="47"/>
      <c r="K1819" s="47"/>
      <c r="L1819" s="47"/>
      <c r="M1819" s="47"/>
      <c r="N1819" s="47"/>
      <c r="O1819" s="47"/>
      <c r="P1819" s="47"/>
      <c r="Q1819" s="47"/>
      <c r="R1819" s="47"/>
      <c r="S1819" s="50"/>
      <c r="T1819" s="47"/>
      <c r="U1819" s="47"/>
      <c r="V1819" s="47"/>
      <c r="W1819" s="51"/>
      <c r="X1819" s="51"/>
      <c r="Y1819" s="47"/>
      <c r="Z1819" s="47"/>
      <c r="AA1819" s="47"/>
      <c r="AB1819" s="47"/>
      <c r="AC1819" s="47"/>
      <c r="AD1819" s="47"/>
      <c r="AE1819" s="54"/>
      <c r="AF1819" s="54"/>
      <c r="AG1819" s="55"/>
      <c r="AH1819" s="54"/>
      <c r="AI1819" s="54"/>
      <c r="AJ1819" s="54"/>
      <c r="AK1819" s="54"/>
      <c r="AL1819" s="54"/>
      <c r="AM1819" s="54"/>
      <c r="AN1819" s="54"/>
      <c r="AO1819" s="54"/>
      <c r="AP1819" s="54"/>
      <c r="AQ1819" s="54"/>
      <c r="AR1819" s="54"/>
      <c r="AS1819" s="54"/>
      <c r="AT1819" s="54"/>
      <c r="AU1819" s="54"/>
      <c r="AV1819" s="54"/>
      <c r="AW1819" s="54"/>
      <c r="AX1819" s="54"/>
      <c r="AY1819" s="54"/>
      <c r="AZ1819" s="54"/>
      <c r="BA1819" s="54"/>
      <c r="BB1819" s="54"/>
      <c r="BC1819" s="56"/>
      <c r="BD1819" s="51"/>
      <c r="BE1819" s="54"/>
      <c r="BF1819" s="54"/>
      <c r="BG1819" s="47"/>
      <c r="BH1819" s="48"/>
      <c r="BI1819" s="48"/>
      <c r="BJ1819" s="48"/>
      <c r="BK1819" s="48"/>
      <c r="BL1819" s="48"/>
      <c r="BM1819" s="48"/>
      <c r="BN1819" s="48"/>
      <c r="BO1819" s="48"/>
      <c r="BP1819" s="48"/>
      <c r="BQ1819" s="48"/>
      <c r="BR1819" s="48"/>
      <c r="BS1819" s="48"/>
      <c r="BT1819" s="48"/>
      <c r="BU1819" s="48"/>
      <c r="BV1819" s="48"/>
      <c r="BW1819" s="48"/>
      <c r="BX1819" s="48"/>
      <c r="BY1819" s="48"/>
      <c r="BZ1819" s="48"/>
      <c r="CA1819" s="48"/>
      <c r="CB1819" s="48"/>
      <c r="CC1819" s="48"/>
      <c r="CD1819" s="48"/>
      <c r="CE1819" s="48"/>
      <c r="CF1819" s="52"/>
      <c r="CG1819" s="52"/>
      <c r="CH1819" s="48"/>
      <c r="CI1819" s="48"/>
      <c r="CJ1819" s="48"/>
      <c r="CK1819" s="48"/>
    </row>
    <row r="1820" spans="1:89" ht="15.75" customHeight="1" x14ac:dyDescent="0.3">
      <c r="A1820" s="47"/>
      <c r="B1820" s="48"/>
      <c r="C1820" s="47"/>
      <c r="D1820" s="48"/>
      <c r="E1820" s="48"/>
      <c r="F1820" s="48"/>
      <c r="G1820" s="48"/>
      <c r="H1820" s="48"/>
      <c r="I1820" s="49"/>
      <c r="J1820" s="47"/>
      <c r="K1820" s="47"/>
      <c r="L1820" s="47"/>
      <c r="M1820" s="47"/>
      <c r="N1820" s="47"/>
      <c r="O1820" s="47"/>
      <c r="P1820" s="47"/>
      <c r="Q1820" s="47"/>
      <c r="R1820" s="47"/>
      <c r="S1820" s="50"/>
      <c r="T1820" s="47"/>
      <c r="U1820" s="47"/>
      <c r="V1820" s="47"/>
      <c r="W1820" s="51"/>
      <c r="X1820" s="51"/>
      <c r="Y1820" s="47"/>
      <c r="Z1820" s="47"/>
      <c r="AA1820" s="47"/>
      <c r="AB1820" s="47"/>
      <c r="AC1820" s="47"/>
      <c r="AD1820" s="47"/>
      <c r="AE1820" s="54"/>
      <c r="AF1820" s="54"/>
      <c r="AG1820" s="55"/>
      <c r="AH1820" s="54"/>
      <c r="AI1820" s="54"/>
      <c r="AJ1820" s="54"/>
      <c r="AK1820" s="54"/>
      <c r="AL1820" s="54"/>
      <c r="AM1820" s="54"/>
      <c r="AN1820" s="54"/>
      <c r="AO1820" s="54"/>
      <c r="AP1820" s="54"/>
      <c r="AQ1820" s="54"/>
      <c r="AR1820" s="54"/>
      <c r="AS1820" s="54"/>
      <c r="AT1820" s="54"/>
      <c r="AU1820" s="54"/>
      <c r="AV1820" s="54"/>
      <c r="AW1820" s="54"/>
      <c r="AX1820" s="54"/>
      <c r="AY1820" s="54"/>
      <c r="AZ1820" s="54"/>
      <c r="BA1820" s="54"/>
      <c r="BB1820" s="54"/>
      <c r="BC1820" s="56"/>
      <c r="BD1820" s="51"/>
      <c r="BE1820" s="54"/>
      <c r="BF1820" s="54"/>
      <c r="BG1820" s="47"/>
      <c r="BH1820" s="48"/>
      <c r="BI1820" s="48"/>
      <c r="BJ1820" s="48"/>
      <c r="BK1820" s="48"/>
      <c r="BL1820" s="48"/>
      <c r="BM1820" s="48"/>
      <c r="BN1820" s="48"/>
      <c r="BO1820" s="48"/>
      <c r="BP1820" s="48"/>
      <c r="BQ1820" s="48"/>
      <c r="BR1820" s="48"/>
      <c r="BS1820" s="48"/>
      <c r="BT1820" s="48"/>
      <c r="BU1820" s="48"/>
      <c r="BV1820" s="48"/>
      <c r="BW1820" s="48"/>
      <c r="BX1820" s="48"/>
      <c r="BY1820" s="48"/>
      <c r="BZ1820" s="48"/>
      <c r="CA1820" s="48"/>
      <c r="CB1820" s="48"/>
      <c r="CC1820" s="48"/>
      <c r="CD1820" s="48"/>
      <c r="CE1820" s="48"/>
      <c r="CF1820" s="52"/>
      <c r="CG1820" s="52"/>
      <c r="CH1820" s="48"/>
      <c r="CI1820" s="48"/>
      <c r="CJ1820" s="48"/>
      <c r="CK1820" s="48"/>
    </row>
    <row r="1821" spans="1:89" ht="15.75" customHeight="1" x14ac:dyDescent="0.3">
      <c r="A1821" s="47"/>
      <c r="B1821" s="48"/>
      <c r="C1821" s="47"/>
      <c r="D1821" s="48"/>
      <c r="E1821" s="48"/>
      <c r="F1821" s="48"/>
      <c r="G1821" s="48"/>
      <c r="H1821" s="48"/>
      <c r="I1821" s="49"/>
      <c r="J1821" s="47"/>
      <c r="K1821" s="47"/>
      <c r="L1821" s="47"/>
      <c r="M1821" s="47"/>
      <c r="N1821" s="47"/>
      <c r="O1821" s="47"/>
      <c r="P1821" s="47"/>
      <c r="Q1821" s="47"/>
      <c r="R1821" s="47"/>
      <c r="S1821" s="50"/>
      <c r="T1821" s="47"/>
      <c r="U1821" s="47"/>
      <c r="V1821" s="47"/>
      <c r="W1821" s="51"/>
      <c r="X1821" s="51"/>
      <c r="Y1821" s="47"/>
      <c r="Z1821" s="47"/>
      <c r="AA1821" s="47"/>
      <c r="AB1821" s="47"/>
      <c r="AC1821" s="47"/>
      <c r="AD1821" s="47"/>
      <c r="AE1821" s="54"/>
      <c r="AF1821" s="54"/>
      <c r="AG1821" s="55"/>
      <c r="AH1821" s="54"/>
      <c r="AI1821" s="54"/>
      <c r="AJ1821" s="54"/>
      <c r="AK1821" s="54"/>
      <c r="AL1821" s="54"/>
      <c r="AM1821" s="54"/>
      <c r="AN1821" s="54"/>
      <c r="AO1821" s="54"/>
      <c r="AP1821" s="54"/>
      <c r="AQ1821" s="54"/>
      <c r="AR1821" s="54"/>
      <c r="AS1821" s="54"/>
      <c r="AT1821" s="54"/>
      <c r="AU1821" s="54"/>
      <c r="AV1821" s="54"/>
      <c r="AW1821" s="54"/>
      <c r="AX1821" s="54"/>
      <c r="AY1821" s="54"/>
      <c r="AZ1821" s="54"/>
      <c r="BA1821" s="54"/>
      <c r="BB1821" s="54"/>
      <c r="BC1821" s="56"/>
      <c r="BD1821" s="51"/>
      <c r="BE1821" s="54"/>
      <c r="BF1821" s="54"/>
      <c r="BG1821" s="47"/>
      <c r="BH1821" s="48"/>
      <c r="BI1821" s="48"/>
      <c r="BJ1821" s="48"/>
      <c r="BK1821" s="48"/>
      <c r="BL1821" s="48"/>
      <c r="BM1821" s="48"/>
      <c r="BN1821" s="48"/>
      <c r="BO1821" s="48"/>
      <c r="BP1821" s="48"/>
      <c r="BQ1821" s="48"/>
      <c r="BR1821" s="48"/>
      <c r="BS1821" s="48"/>
      <c r="BT1821" s="48"/>
      <c r="BU1821" s="48"/>
      <c r="BV1821" s="48"/>
      <c r="BW1821" s="48"/>
      <c r="BX1821" s="48"/>
      <c r="BY1821" s="48"/>
      <c r="BZ1821" s="48"/>
      <c r="CA1821" s="48"/>
      <c r="CB1821" s="48"/>
      <c r="CC1821" s="48"/>
      <c r="CD1821" s="48"/>
      <c r="CE1821" s="48"/>
      <c r="CF1821" s="52"/>
      <c r="CG1821" s="52"/>
      <c r="CH1821" s="48"/>
      <c r="CI1821" s="48"/>
      <c r="CJ1821" s="48"/>
      <c r="CK1821" s="48"/>
    </row>
    <row r="1822" spans="1:89" ht="15.75" customHeight="1" x14ac:dyDescent="0.3">
      <c r="A1822" s="47"/>
      <c r="B1822" s="48"/>
      <c r="C1822" s="47"/>
      <c r="D1822" s="48"/>
      <c r="E1822" s="48"/>
      <c r="F1822" s="48"/>
      <c r="G1822" s="48"/>
      <c r="H1822" s="48"/>
      <c r="I1822" s="49"/>
      <c r="J1822" s="47"/>
      <c r="K1822" s="47"/>
      <c r="L1822" s="47"/>
      <c r="M1822" s="47"/>
      <c r="N1822" s="47"/>
      <c r="O1822" s="47"/>
      <c r="P1822" s="47"/>
      <c r="Q1822" s="47"/>
      <c r="R1822" s="47"/>
      <c r="S1822" s="50"/>
      <c r="T1822" s="47"/>
      <c r="U1822" s="47"/>
      <c r="V1822" s="47"/>
      <c r="W1822" s="51"/>
      <c r="X1822" s="51"/>
      <c r="Y1822" s="47"/>
      <c r="Z1822" s="47"/>
      <c r="AA1822" s="47"/>
      <c r="AB1822" s="47"/>
      <c r="AC1822" s="47"/>
      <c r="AD1822" s="47"/>
      <c r="AE1822" s="54"/>
      <c r="AF1822" s="54"/>
      <c r="AG1822" s="55"/>
      <c r="AH1822" s="54"/>
      <c r="AI1822" s="54"/>
      <c r="AJ1822" s="54"/>
      <c r="AK1822" s="54"/>
      <c r="AL1822" s="54"/>
      <c r="AM1822" s="54"/>
      <c r="AN1822" s="54"/>
      <c r="AO1822" s="54"/>
      <c r="AP1822" s="54"/>
      <c r="AQ1822" s="54"/>
      <c r="AR1822" s="54"/>
      <c r="AS1822" s="54"/>
      <c r="AT1822" s="54"/>
      <c r="AU1822" s="54"/>
      <c r="AV1822" s="54"/>
      <c r="AW1822" s="54"/>
      <c r="AX1822" s="54"/>
      <c r="AY1822" s="54"/>
      <c r="AZ1822" s="54"/>
      <c r="BA1822" s="54"/>
      <c r="BB1822" s="54"/>
      <c r="BC1822" s="56"/>
      <c r="BD1822" s="51"/>
      <c r="BE1822" s="54"/>
      <c r="BF1822" s="54"/>
      <c r="BG1822" s="47"/>
      <c r="BH1822" s="48"/>
      <c r="BI1822" s="48"/>
      <c r="BJ1822" s="48"/>
      <c r="BK1822" s="48"/>
      <c r="BL1822" s="48"/>
      <c r="BM1822" s="48"/>
      <c r="BN1822" s="48"/>
      <c r="BO1822" s="48"/>
      <c r="BP1822" s="48"/>
      <c r="BQ1822" s="48"/>
      <c r="BR1822" s="48"/>
      <c r="BS1822" s="48"/>
      <c r="BT1822" s="48"/>
      <c r="BU1822" s="48"/>
      <c r="BV1822" s="48"/>
      <c r="BW1822" s="48"/>
      <c r="BX1822" s="48"/>
      <c r="BY1822" s="48"/>
      <c r="BZ1822" s="48"/>
      <c r="CA1822" s="48"/>
      <c r="CB1822" s="48"/>
      <c r="CC1822" s="48"/>
      <c r="CD1822" s="48"/>
      <c r="CE1822" s="48"/>
      <c r="CF1822" s="52"/>
      <c r="CG1822" s="52"/>
      <c r="CH1822" s="48"/>
      <c r="CI1822" s="48"/>
      <c r="CJ1822" s="48"/>
      <c r="CK1822" s="48"/>
    </row>
    <row r="1823" spans="1:89" ht="15.75" customHeight="1" x14ac:dyDescent="0.3">
      <c r="A1823" s="47"/>
      <c r="B1823" s="48"/>
      <c r="C1823" s="47"/>
      <c r="D1823" s="48"/>
      <c r="E1823" s="48"/>
      <c r="F1823" s="48"/>
      <c r="G1823" s="48"/>
      <c r="H1823" s="48"/>
      <c r="I1823" s="49"/>
      <c r="J1823" s="47"/>
      <c r="K1823" s="47"/>
      <c r="L1823" s="47"/>
      <c r="M1823" s="47"/>
      <c r="N1823" s="47"/>
      <c r="O1823" s="47"/>
      <c r="P1823" s="47"/>
      <c r="Q1823" s="47"/>
      <c r="R1823" s="47"/>
      <c r="S1823" s="50"/>
      <c r="T1823" s="47"/>
      <c r="U1823" s="47"/>
      <c r="V1823" s="47"/>
      <c r="W1823" s="51"/>
      <c r="X1823" s="51"/>
      <c r="Y1823" s="47"/>
      <c r="Z1823" s="47"/>
      <c r="AA1823" s="47"/>
      <c r="AB1823" s="47"/>
      <c r="AC1823" s="47"/>
      <c r="AD1823" s="47"/>
      <c r="AE1823" s="54"/>
      <c r="AF1823" s="54"/>
      <c r="AG1823" s="55"/>
      <c r="AH1823" s="54"/>
      <c r="AI1823" s="54"/>
      <c r="AJ1823" s="54"/>
      <c r="AK1823" s="54"/>
      <c r="AL1823" s="54"/>
      <c r="AM1823" s="54"/>
      <c r="AN1823" s="54"/>
      <c r="AO1823" s="54"/>
      <c r="AP1823" s="54"/>
      <c r="AQ1823" s="54"/>
      <c r="AR1823" s="54"/>
      <c r="AS1823" s="54"/>
      <c r="AT1823" s="54"/>
      <c r="AU1823" s="54"/>
      <c r="AV1823" s="54"/>
      <c r="AW1823" s="54"/>
      <c r="AX1823" s="54"/>
      <c r="AY1823" s="54"/>
      <c r="AZ1823" s="54"/>
      <c r="BA1823" s="54"/>
      <c r="BB1823" s="54"/>
      <c r="BC1823" s="56"/>
      <c r="BD1823" s="51"/>
      <c r="BE1823" s="54"/>
      <c r="BF1823" s="54"/>
      <c r="BG1823" s="47"/>
      <c r="BH1823" s="48"/>
      <c r="BI1823" s="48"/>
      <c r="BJ1823" s="48"/>
      <c r="BK1823" s="48"/>
      <c r="BL1823" s="48"/>
      <c r="BM1823" s="48"/>
      <c r="BN1823" s="48"/>
      <c r="BO1823" s="48"/>
      <c r="BP1823" s="48"/>
      <c r="BQ1823" s="48"/>
      <c r="BR1823" s="48"/>
      <c r="BS1823" s="48"/>
      <c r="BT1823" s="48"/>
      <c r="BU1823" s="48"/>
      <c r="BV1823" s="48"/>
      <c r="BW1823" s="48"/>
      <c r="BX1823" s="48"/>
      <c r="BY1823" s="48"/>
      <c r="BZ1823" s="48"/>
      <c r="CA1823" s="48"/>
      <c r="CB1823" s="48"/>
      <c r="CC1823" s="48"/>
      <c r="CD1823" s="48"/>
      <c r="CE1823" s="48"/>
      <c r="CF1823" s="52"/>
      <c r="CG1823" s="52"/>
      <c r="CH1823" s="48"/>
      <c r="CI1823" s="48"/>
      <c r="CJ1823" s="48"/>
      <c r="CK1823" s="48"/>
    </row>
    <row r="1824" spans="1:89" ht="15.75" customHeight="1" x14ac:dyDescent="0.3">
      <c r="A1824" s="47"/>
      <c r="B1824" s="48"/>
      <c r="C1824" s="47"/>
      <c r="D1824" s="48"/>
      <c r="E1824" s="48"/>
      <c r="F1824" s="48"/>
      <c r="G1824" s="48"/>
      <c r="H1824" s="48"/>
      <c r="I1824" s="49"/>
      <c r="J1824" s="47"/>
      <c r="K1824" s="47"/>
      <c r="L1824" s="47"/>
      <c r="M1824" s="47"/>
      <c r="N1824" s="47"/>
      <c r="O1824" s="47"/>
      <c r="P1824" s="47"/>
      <c r="Q1824" s="47"/>
      <c r="R1824" s="47"/>
      <c r="S1824" s="50"/>
      <c r="T1824" s="47"/>
      <c r="U1824" s="47"/>
      <c r="V1824" s="47"/>
      <c r="W1824" s="51"/>
      <c r="X1824" s="51"/>
      <c r="Y1824" s="47"/>
      <c r="Z1824" s="47"/>
      <c r="AA1824" s="47"/>
      <c r="AB1824" s="47"/>
      <c r="AC1824" s="47"/>
      <c r="AD1824" s="47"/>
      <c r="AE1824" s="54"/>
      <c r="AF1824" s="54"/>
      <c r="AG1824" s="55"/>
      <c r="AH1824" s="54"/>
      <c r="AI1824" s="54"/>
      <c r="AJ1824" s="54"/>
      <c r="AK1824" s="54"/>
      <c r="AL1824" s="54"/>
      <c r="AM1824" s="54"/>
      <c r="AN1824" s="54"/>
      <c r="AO1824" s="54"/>
      <c r="AP1824" s="54"/>
      <c r="AQ1824" s="54"/>
      <c r="AR1824" s="54"/>
      <c r="AS1824" s="54"/>
      <c r="AT1824" s="54"/>
      <c r="AU1824" s="54"/>
      <c r="AV1824" s="54"/>
      <c r="AW1824" s="54"/>
      <c r="AX1824" s="54"/>
      <c r="AY1824" s="54"/>
      <c r="AZ1824" s="54"/>
      <c r="BA1824" s="54"/>
      <c r="BB1824" s="54"/>
      <c r="BC1824" s="56"/>
      <c r="BD1824" s="51"/>
      <c r="BE1824" s="54"/>
      <c r="BF1824" s="54"/>
      <c r="BG1824" s="47"/>
      <c r="BH1824" s="48"/>
      <c r="BI1824" s="48"/>
      <c r="BJ1824" s="48"/>
      <c r="BK1824" s="48"/>
      <c r="BL1824" s="48"/>
      <c r="BM1824" s="48"/>
      <c r="BN1824" s="48"/>
      <c r="BO1824" s="48"/>
      <c r="BP1824" s="48"/>
      <c r="BQ1824" s="48"/>
      <c r="BR1824" s="48"/>
      <c r="BS1824" s="48"/>
      <c r="BT1824" s="48"/>
      <c r="BU1824" s="48"/>
      <c r="BV1824" s="48"/>
      <c r="BW1824" s="48"/>
      <c r="BX1824" s="48"/>
      <c r="BY1824" s="48"/>
      <c r="BZ1824" s="48"/>
      <c r="CA1824" s="48"/>
      <c r="CB1824" s="48"/>
      <c r="CC1824" s="48"/>
      <c r="CD1824" s="48"/>
      <c r="CE1824" s="48"/>
      <c r="CF1824" s="52"/>
      <c r="CG1824" s="52"/>
      <c r="CH1824" s="48"/>
      <c r="CI1824" s="48"/>
      <c r="CJ1824" s="48"/>
      <c r="CK1824" s="48"/>
    </row>
    <row r="1825" spans="1:89" ht="15.75" customHeight="1" x14ac:dyDescent="0.3">
      <c r="A1825" s="47"/>
      <c r="B1825" s="48"/>
      <c r="C1825" s="47"/>
      <c r="D1825" s="48"/>
      <c r="E1825" s="48"/>
      <c r="F1825" s="48"/>
      <c r="G1825" s="48"/>
      <c r="H1825" s="48"/>
      <c r="I1825" s="49"/>
      <c r="J1825" s="47"/>
      <c r="K1825" s="47"/>
      <c r="L1825" s="47"/>
      <c r="M1825" s="47"/>
      <c r="N1825" s="47"/>
      <c r="O1825" s="47"/>
      <c r="P1825" s="47"/>
      <c r="Q1825" s="47"/>
      <c r="R1825" s="47"/>
      <c r="S1825" s="50"/>
      <c r="T1825" s="47"/>
      <c r="U1825" s="47"/>
      <c r="V1825" s="47"/>
      <c r="W1825" s="51"/>
      <c r="X1825" s="51"/>
      <c r="Y1825" s="47"/>
      <c r="Z1825" s="47"/>
      <c r="AA1825" s="47"/>
      <c r="AB1825" s="47"/>
      <c r="AC1825" s="47"/>
      <c r="AD1825" s="47"/>
      <c r="AE1825" s="54"/>
      <c r="AF1825" s="54"/>
      <c r="AG1825" s="55"/>
      <c r="AH1825" s="54"/>
      <c r="AI1825" s="54"/>
      <c r="AJ1825" s="54"/>
      <c r="AK1825" s="54"/>
      <c r="AL1825" s="54"/>
      <c r="AM1825" s="54"/>
      <c r="AN1825" s="54"/>
      <c r="AO1825" s="54"/>
      <c r="AP1825" s="54"/>
      <c r="AQ1825" s="54"/>
      <c r="AR1825" s="54"/>
      <c r="AS1825" s="54"/>
      <c r="AT1825" s="54"/>
      <c r="AU1825" s="54"/>
      <c r="AV1825" s="54"/>
      <c r="AW1825" s="54"/>
      <c r="AX1825" s="54"/>
      <c r="AY1825" s="54"/>
      <c r="AZ1825" s="54"/>
      <c r="BA1825" s="54"/>
      <c r="BB1825" s="54"/>
      <c r="BC1825" s="56"/>
      <c r="BD1825" s="51"/>
      <c r="BE1825" s="54"/>
      <c r="BF1825" s="54"/>
      <c r="BG1825" s="47"/>
      <c r="BH1825" s="48"/>
      <c r="BI1825" s="48"/>
      <c r="BJ1825" s="48"/>
      <c r="BK1825" s="48"/>
      <c r="BL1825" s="48"/>
      <c r="BM1825" s="48"/>
      <c r="BN1825" s="48"/>
      <c r="BO1825" s="48"/>
      <c r="BP1825" s="48"/>
      <c r="BQ1825" s="48"/>
      <c r="BR1825" s="48"/>
      <c r="BS1825" s="48"/>
      <c r="BT1825" s="48"/>
      <c r="BU1825" s="48"/>
      <c r="BV1825" s="48"/>
      <c r="BW1825" s="48"/>
      <c r="BX1825" s="48"/>
      <c r="BY1825" s="48"/>
      <c r="BZ1825" s="48"/>
      <c r="CA1825" s="48"/>
      <c r="CB1825" s="48"/>
      <c r="CC1825" s="48"/>
      <c r="CD1825" s="48"/>
      <c r="CE1825" s="48"/>
      <c r="CF1825" s="52"/>
      <c r="CG1825" s="52"/>
      <c r="CH1825" s="48"/>
      <c r="CI1825" s="48"/>
      <c r="CJ1825" s="48"/>
      <c r="CK1825" s="48"/>
    </row>
    <row r="1826" spans="1:89" ht="15.75" customHeight="1" x14ac:dyDescent="0.3">
      <c r="A1826" s="47"/>
      <c r="B1826" s="48"/>
      <c r="C1826" s="47"/>
      <c r="D1826" s="48"/>
      <c r="E1826" s="48"/>
      <c r="F1826" s="48"/>
      <c r="G1826" s="48"/>
      <c r="H1826" s="48"/>
      <c r="I1826" s="49"/>
      <c r="J1826" s="47"/>
      <c r="K1826" s="47"/>
      <c r="L1826" s="47"/>
      <c r="M1826" s="47"/>
      <c r="N1826" s="47"/>
      <c r="O1826" s="47"/>
      <c r="P1826" s="47"/>
      <c r="Q1826" s="47"/>
      <c r="R1826" s="47"/>
      <c r="S1826" s="50"/>
      <c r="T1826" s="47"/>
      <c r="U1826" s="47"/>
      <c r="V1826" s="47"/>
      <c r="W1826" s="51"/>
      <c r="X1826" s="51"/>
      <c r="Y1826" s="47"/>
      <c r="Z1826" s="47"/>
      <c r="AA1826" s="47"/>
      <c r="AB1826" s="47"/>
      <c r="AC1826" s="47"/>
      <c r="AD1826" s="47"/>
      <c r="AE1826" s="54"/>
      <c r="AF1826" s="54"/>
      <c r="AG1826" s="55"/>
      <c r="AH1826" s="54"/>
      <c r="AI1826" s="54"/>
      <c r="AJ1826" s="54"/>
      <c r="AK1826" s="54"/>
      <c r="AL1826" s="54"/>
      <c r="AM1826" s="54"/>
      <c r="AN1826" s="54"/>
      <c r="AO1826" s="54"/>
      <c r="AP1826" s="54"/>
      <c r="AQ1826" s="54"/>
      <c r="AR1826" s="54"/>
      <c r="AS1826" s="54"/>
      <c r="AT1826" s="54"/>
      <c r="AU1826" s="54"/>
      <c r="AV1826" s="54"/>
      <c r="AW1826" s="54"/>
      <c r="AX1826" s="54"/>
      <c r="AY1826" s="54"/>
      <c r="AZ1826" s="54"/>
      <c r="BA1826" s="54"/>
      <c r="BB1826" s="54"/>
      <c r="BC1826" s="56"/>
      <c r="BD1826" s="51"/>
      <c r="BE1826" s="54"/>
      <c r="BF1826" s="54"/>
      <c r="BG1826" s="47"/>
      <c r="BH1826" s="48"/>
      <c r="BI1826" s="48"/>
      <c r="BJ1826" s="48"/>
      <c r="BK1826" s="48"/>
      <c r="BL1826" s="48"/>
      <c r="BM1826" s="48"/>
      <c r="BN1826" s="48"/>
      <c r="BO1826" s="48"/>
      <c r="BP1826" s="48"/>
      <c r="BQ1826" s="48"/>
      <c r="BR1826" s="48"/>
      <c r="BS1826" s="48"/>
      <c r="BT1826" s="48"/>
      <c r="BU1826" s="48"/>
      <c r="BV1826" s="48"/>
      <c r="BW1826" s="48"/>
      <c r="BX1826" s="48"/>
      <c r="BY1826" s="48"/>
      <c r="BZ1826" s="48"/>
      <c r="CA1826" s="48"/>
      <c r="CB1826" s="48"/>
      <c r="CC1826" s="48"/>
      <c r="CD1826" s="48"/>
      <c r="CE1826" s="48"/>
      <c r="CF1826" s="52"/>
      <c r="CG1826" s="52"/>
      <c r="CH1826" s="48"/>
      <c r="CI1826" s="48"/>
      <c r="CJ1826" s="48"/>
      <c r="CK1826" s="48"/>
    </row>
    <row r="1827" spans="1:89" ht="15.75" customHeight="1" x14ac:dyDescent="0.3">
      <c r="A1827" s="47"/>
      <c r="B1827" s="48"/>
      <c r="C1827" s="47"/>
      <c r="D1827" s="48"/>
      <c r="E1827" s="48"/>
      <c r="F1827" s="48"/>
      <c r="G1827" s="48"/>
      <c r="H1827" s="48"/>
      <c r="I1827" s="49"/>
      <c r="J1827" s="47"/>
      <c r="K1827" s="47"/>
      <c r="L1827" s="47"/>
      <c r="M1827" s="47"/>
      <c r="N1827" s="47"/>
      <c r="O1827" s="47"/>
      <c r="P1827" s="47"/>
      <c r="Q1827" s="47"/>
      <c r="R1827" s="47"/>
      <c r="S1827" s="50"/>
      <c r="T1827" s="47"/>
      <c r="U1827" s="47"/>
      <c r="V1827" s="47"/>
      <c r="W1827" s="51"/>
      <c r="X1827" s="51"/>
      <c r="Y1827" s="47"/>
      <c r="Z1827" s="47"/>
      <c r="AA1827" s="47"/>
      <c r="AB1827" s="47"/>
      <c r="AC1827" s="47"/>
      <c r="AD1827" s="47"/>
      <c r="AE1827" s="54"/>
      <c r="AF1827" s="54"/>
      <c r="AG1827" s="55"/>
      <c r="AH1827" s="54"/>
      <c r="AI1827" s="54"/>
      <c r="AJ1827" s="54"/>
      <c r="AK1827" s="54"/>
      <c r="AL1827" s="54"/>
      <c r="AM1827" s="54"/>
      <c r="AN1827" s="54"/>
      <c r="AO1827" s="54"/>
      <c r="AP1827" s="54"/>
      <c r="AQ1827" s="54"/>
      <c r="AR1827" s="54"/>
      <c r="AS1827" s="54"/>
      <c r="AT1827" s="54"/>
      <c r="AU1827" s="54"/>
      <c r="AV1827" s="54"/>
      <c r="AW1827" s="54"/>
      <c r="AX1827" s="54"/>
      <c r="AY1827" s="54"/>
      <c r="AZ1827" s="54"/>
      <c r="BA1827" s="54"/>
      <c r="BB1827" s="54"/>
      <c r="BC1827" s="56"/>
      <c r="BD1827" s="51"/>
      <c r="BE1827" s="54"/>
      <c r="BF1827" s="54"/>
      <c r="BG1827" s="47"/>
      <c r="BH1827" s="48"/>
      <c r="BI1827" s="48"/>
      <c r="BJ1827" s="48"/>
      <c r="BK1827" s="48"/>
      <c r="BL1827" s="48"/>
      <c r="BM1827" s="48"/>
      <c r="BN1827" s="48"/>
      <c r="BO1827" s="48"/>
      <c r="BP1827" s="48"/>
      <c r="BQ1827" s="48"/>
      <c r="BR1827" s="48"/>
      <c r="BS1827" s="48"/>
      <c r="BT1827" s="48"/>
      <c r="BU1827" s="48"/>
      <c r="BV1827" s="48"/>
      <c r="BW1827" s="48"/>
      <c r="BX1827" s="48"/>
      <c r="BY1827" s="48"/>
      <c r="BZ1827" s="48"/>
      <c r="CA1827" s="48"/>
      <c r="CB1827" s="48"/>
      <c r="CC1827" s="48"/>
      <c r="CD1827" s="48"/>
      <c r="CE1827" s="48"/>
      <c r="CF1827" s="52"/>
      <c r="CG1827" s="52"/>
      <c r="CH1827" s="48"/>
      <c r="CI1827" s="48"/>
      <c r="CJ1827" s="48"/>
      <c r="CK1827" s="48"/>
    </row>
    <row r="1828" spans="1:89" ht="15.75" customHeight="1" x14ac:dyDescent="0.3">
      <c r="A1828" s="47"/>
      <c r="B1828" s="48"/>
      <c r="C1828" s="47"/>
      <c r="D1828" s="48"/>
      <c r="E1828" s="48"/>
      <c r="F1828" s="48"/>
      <c r="G1828" s="48"/>
      <c r="H1828" s="48"/>
      <c r="I1828" s="49"/>
      <c r="J1828" s="47"/>
      <c r="K1828" s="47"/>
      <c r="L1828" s="47"/>
      <c r="M1828" s="47"/>
      <c r="N1828" s="47"/>
      <c r="O1828" s="47"/>
      <c r="P1828" s="47"/>
      <c r="Q1828" s="47"/>
      <c r="R1828" s="47"/>
      <c r="S1828" s="50"/>
      <c r="T1828" s="47"/>
      <c r="U1828" s="47"/>
      <c r="V1828" s="47"/>
      <c r="W1828" s="51"/>
      <c r="X1828" s="51"/>
      <c r="Y1828" s="47"/>
      <c r="Z1828" s="47"/>
      <c r="AA1828" s="47"/>
      <c r="AB1828" s="47"/>
      <c r="AC1828" s="47"/>
      <c r="AD1828" s="47"/>
      <c r="AE1828" s="54"/>
      <c r="AF1828" s="54"/>
      <c r="AG1828" s="55"/>
      <c r="AH1828" s="54"/>
      <c r="AI1828" s="54"/>
      <c r="AJ1828" s="54"/>
      <c r="AK1828" s="54"/>
      <c r="AL1828" s="54"/>
      <c r="AM1828" s="54"/>
      <c r="AN1828" s="54"/>
      <c r="AO1828" s="54"/>
      <c r="AP1828" s="54"/>
      <c r="AQ1828" s="54"/>
      <c r="AR1828" s="54"/>
      <c r="AS1828" s="54"/>
      <c r="AT1828" s="54"/>
      <c r="AU1828" s="54"/>
      <c r="AV1828" s="54"/>
      <c r="AW1828" s="54"/>
      <c r="AX1828" s="54"/>
      <c r="AY1828" s="54"/>
      <c r="AZ1828" s="54"/>
      <c r="BA1828" s="54"/>
      <c r="BB1828" s="54"/>
      <c r="BC1828" s="56"/>
      <c r="BD1828" s="51"/>
      <c r="BE1828" s="54"/>
      <c r="BF1828" s="54"/>
      <c r="BG1828" s="47"/>
      <c r="BH1828" s="48"/>
      <c r="BI1828" s="48"/>
      <c r="BJ1828" s="48"/>
      <c r="BK1828" s="48"/>
      <c r="BL1828" s="48"/>
      <c r="BM1828" s="48"/>
      <c r="BN1828" s="48"/>
      <c r="BO1828" s="48"/>
      <c r="BP1828" s="48"/>
      <c r="BQ1828" s="48"/>
      <c r="BR1828" s="48"/>
      <c r="BS1828" s="48"/>
      <c r="BT1828" s="48"/>
      <c r="BU1828" s="48"/>
      <c r="BV1828" s="48"/>
      <c r="BW1828" s="48"/>
      <c r="BX1828" s="48"/>
      <c r="BY1828" s="48"/>
      <c r="BZ1828" s="48"/>
      <c r="CA1828" s="48"/>
      <c r="CB1828" s="48"/>
      <c r="CC1828" s="48"/>
      <c r="CD1828" s="48"/>
      <c r="CE1828" s="48"/>
      <c r="CF1828" s="52"/>
      <c r="CG1828" s="52"/>
      <c r="CH1828" s="48"/>
      <c r="CI1828" s="48"/>
      <c r="CJ1828" s="48"/>
      <c r="CK1828" s="48"/>
    </row>
    <row r="1829" spans="1:89" ht="15.75" customHeight="1" x14ac:dyDescent="0.3">
      <c r="A1829" s="47"/>
      <c r="B1829" s="48"/>
      <c r="C1829" s="47"/>
      <c r="D1829" s="48"/>
      <c r="E1829" s="48"/>
      <c r="F1829" s="48"/>
      <c r="G1829" s="48"/>
      <c r="H1829" s="48"/>
      <c r="I1829" s="49"/>
      <c r="J1829" s="47"/>
      <c r="K1829" s="47"/>
      <c r="L1829" s="47"/>
      <c r="M1829" s="47"/>
      <c r="N1829" s="47"/>
      <c r="O1829" s="47"/>
      <c r="P1829" s="47"/>
      <c r="Q1829" s="47"/>
      <c r="R1829" s="47"/>
      <c r="S1829" s="50"/>
      <c r="T1829" s="47"/>
      <c r="U1829" s="47"/>
      <c r="V1829" s="47"/>
      <c r="W1829" s="51"/>
      <c r="X1829" s="51"/>
      <c r="Y1829" s="47"/>
      <c r="Z1829" s="47"/>
      <c r="AA1829" s="47"/>
      <c r="AB1829" s="47"/>
      <c r="AC1829" s="47"/>
      <c r="AD1829" s="47"/>
      <c r="AE1829" s="54"/>
      <c r="AF1829" s="54"/>
      <c r="AG1829" s="55"/>
      <c r="AH1829" s="54"/>
      <c r="AI1829" s="54"/>
      <c r="AJ1829" s="54"/>
      <c r="AK1829" s="54"/>
      <c r="AL1829" s="54"/>
      <c r="AM1829" s="54"/>
      <c r="AN1829" s="54"/>
      <c r="AO1829" s="54"/>
      <c r="AP1829" s="54"/>
      <c r="AQ1829" s="54"/>
      <c r="AR1829" s="54"/>
      <c r="AS1829" s="54"/>
      <c r="AT1829" s="54"/>
      <c r="AU1829" s="54"/>
      <c r="AV1829" s="54"/>
      <c r="AW1829" s="54"/>
      <c r="AX1829" s="54"/>
      <c r="AY1829" s="54"/>
      <c r="AZ1829" s="54"/>
      <c r="BA1829" s="54"/>
      <c r="BB1829" s="54"/>
      <c r="BC1829" s="56"/>
      <c r="BD1829" s="51"/>
      <c r="BE1829" s="54"/>
      <c r="BF1829" s="54"/>
      <c r="BG1829" s="47"/>
      <c r="BH1829" s="48"/>
      <c r="BI1829" s="48"/>
      <c r="BJ1829" s="48"/>
      <c r="BK1829" s="48"/>
      <c r="BL1829" s="48"/>
      <c r="BM1829" s="48"/>
      <c r="BN1829" s="48"/>
      <c r="BO1829" s="48"/>
      <c r="BP1829" s="48"/>
      <c r="BQ1829" s="48"/>
      <c r="BR1829" s="48"/>
      <c r="BS1829" s="48"/>
      <c r="BT1829" s="48"/>
      <c r="BU1829" s="48"/>
      <c r="BV1829" s="48"/>
      <c r="BW1829" s="48"/>
      <c r="BX1829" s="48"/>
      <c r="BY1829" s="48"/>
      <c r="BZ1829" s="48"/>
      <c r="CA1829" s="48"/>
      <c r="CB1829" s="48"/>
      <c r="CC1829" s="48"/>
      <c r="CD1829" s="48"/>
      <c r="CE1829" s="48"/>
      <c r="CF1829" s="52"/>
      <c r="CG1829" s="52"/>
      <c r="CH1829" s="48"/>
      <c r="CI1829" s="48"/>
      <c r="CJ1829" s="48"/>
      <c r="CK1829" s="48"/>
    </row>
    <row r="1830" spans="1:89" ht="15.75" customHeight="1" x14ac:dyDescent="0.3">
      <c r="A1830" s="47"/>
      <c r="B1830" s="48"/>
      <c r="C1830" s="47"/>
      <c r="D1830" s="48"/>
      <c r="E1830" s="48"/>
      <c r="F1830" s="48"/>
      <c r="G1830" s="48"/>
      <c r="H1830" s="48"/>
      <c r="I1830" s="49"/>
      <c r="J1830" s="47"/>
      <c r="K1830" s="47"/>
      <c r="L1830" s="47"/>
      <c r="M1830" s="47"/>
      <c r="N1830" s="47"/>
      <c r="O1830" s="47"/>
      <c r="P1830" s="47"/>
      <c r="Q1830" s="47"/>
      <c r="R1830" s="47"/>
      <c r="S1830" s="50"/>
      <c r="T1830" s="47"/>
      <c r="U1830" s="47"/>
      <c r="V1830" s="47"/>
      <c r="W1830" s="51"/>
      <c r="X1830" s="51"/>
      <c r="Y1830" s="47"/>
      <c r="Z1830" s="47"/>
      <c r="AA1830" s="47"/>
      <c r="AB1830" s="47"/>
      <c r="AC1830" s="47"/>
      <c r="AD1830" s="47"/>
      <c r="AE1830" s="54"/>
      <c r="AF1830" s="54"/>
      <c r="AG1830" s="55"/>
      <c r="AH1830" s="54"/>
      <c r="AI1830" s="54"/>
      <c r="AJ1830" s="54"/>
      <c r="AK1830" s="54"/>
      <c r="AL1830" s="54"/>
      <c r="AM1830" s="54"/>
      <c r="AN1830" s="54"/>
      <c r="AO1830" s="54"/>
      <c r="AP1830" s="54"/>
      <c r="AQ1830" s="54"/>
      <c r="AR1830" s="54"/>
      <c r="AS1830" s="54"/>
      <c r="AT1830" s="54"/>
      <c r="AU1830" s="54"/>
      <c r="AV1830" s="54"/>
      <c r="AW1830" s="54"/>
      <c r="AX1830" s="54"/>
      <c r="AY1830" s="54"/>
      <c r="AZ1830" s="54"/>
      <c r="BA1830" s="54"/>
      <c r="BB1830" s="54"/>
      <c r="BC1830" s="56"/>
      <c r="BD1830" s="51"/>
      <c r="BE1830" s="54"/>
      <c r="BF1830" s="54"/>
      <c r="BG1830" s="47"/>
      <c r="BH1830" s="48"/>
      <c r="BI1830" s="48"/>
      <c r="BJ1830" s="48"/>
      <c r="BK1830" s="48"/>
      <c r="BL1830" s="48"/>
      <c r="BM1830" s="48"/>
      <c r="BN1830" s="48"/>
      <c r="BO1830" s="48"/>
      <c r="BP1830" s="48"/>
      <c r="BQ1830" s="48"/>
      <c r="BR1830" s="48"/>
      <c r="BS1830" s="48"/>
      <c r="BT1830" s="48"/>
      <c r="BU1830" s="48"/>
      <c r="BV1830" s="48"/>
      <c r="BW1830" s="48"/>
      <c r="BX1830" s="48"/>
      <c r="BY1830" s="48"/>
      <c r="BZ1830" s="48"/>
      <c r="CA1830" s="48"/>
      <c r="CB1830" s="48"/>
      <c r="CC1830" s="48"/>
      <c r="CD1830" s="48"/>
      <c r="CE1830" s="48"/>
      <c r="CF1830" s="52"/>
      <c r="CG1830" s="52"/>
      <c r="CH1830" s="48"/>
      <c r="CI1830" s="48"/>
      <c r="CJ1830" s="48"/>
      <c r="CK1830" s="48"/>
    </row>
    <row r="1831" spans="1:89" ht="15.75" customHeight="1" x14ac:dyDescent="0.3">
      <c r="A1831" s="47"/>
      <c r="B1831" s="48"/>
      <c r="C1831" s="47"/>
      <c r="D1831" s="48"/>
      <c r="E1831" s="48"/>
      <c r="F1831" s="48"/>
      <c r="G1831" s="48"/>
      <c r="H1831" s="48"/>
      <c r="I1831" s="49"/>
      <c r="J1831" s="47"/>
      <c r="K1831" s="47"/>
      <c r="L1831" s="47"/>
      <c r="M1831" s="47"/>
      <c r="N1831" s="47"/>
      <c r="O1831" s="47"/>
      <c r="P1831" s="47"/>
      <c r="Q1831" s="47"/>
      <c r="R1831" s="47"/>
      <c r="S1831" s="50"/>
      <c r="T1831" s="47"/>
      <c r="U1831" s="47"/>
      <c r="V1831" s="47"/>
      <c r="W1831" s="51"/>
      <c r="X1831" s="51"/>
      <c r="Y1831" s="47"/>
      <c r="Z1831" s="47"/>
      <c r="AA1831" s="47"/>
      <c r="AB1831" s="47"/>
      <c r="AC1831" s="47"/>
      <c r="AD1831" s="47"/>
      <c r="AE1831" s="54"/>
      <c r="AF1831" s="54"/>
      <c r="AG1831" s="55"/>
      <c r="AH1831" s="54"/>
      <c r="AI1831" s="54"/>
      <c r="AJ1831" s="54"/>
      <c r="AK1831" s="54"/>
      <c r="AL1831" s="54"/>
      <c r="AM1831" s="54"/>
      <c r="AN1831" s="54"/>
      <c r="AO1831" s="54"/>
      <c r="AP1831" s="54"/>
      <c r="AQ1831" s="54"/>
      <c r="AR1831" s="54"/>
      <c r="AS1831" s="54"/>
      <c r="AT1831" s="54"/>
      <c r="AU1831" s="54"/>
      <c r="AV1831" s="54"/>
      <c r="AW1831" s="54"/>
      <c r="AX1831" s="54"/>
      <c r="AY1831" s="54"/>
      <c r="AZ1831" s="54"/>
      <c r="BA1831" s="54"/>
      <c r="BB1831" s="54"/>
      <c r="BC1831" s="56"/>
      <c r="BD1831" s="51"/>
      <c r="BE1831" s="54"/>
      <c r="BF1831" s="54"/>
      <c r="BG1831" s="47"/>
      <c r="BH1831" s="48"/>
      <c r="BI1831" s="48"/>
      <c r="BJ1831" s="48"/>
      <c r="BK1831" s="48"/>
      <c r="BL1831" s="48"/>
      <c r="BM1831" s="48"/>
      <c r="BN1831" s="48"/>
      <c r="BO1831" s="48"/>
      <c r="BP1831" s="48"/>
      <c r="BQ1831" s="48"/>
      <c r="BR1831" s="48"/>
      <c r="BS1831" s="48"/>
      <c r="BT1831" s="48"/>
      <c r="BU1831" s="48"/>
      <c r="BV1831" s="48"/>
      <c r="BW1831" s="48"/>
      <c r="BX1831" s="48"/>
      <c r="BY1831" s="48"/>
      <c r="BZ1831" s="48"/>
      <c r="CA1831" s="48"/>
      <c r="CB1831" s="48"/>
      <c r="CC1831" s="48"/>
      <c r="CD1831" s="48"/>
      <c r="CE1831" s="48"/>
      <c r="CF1831" s="52"/>
      <c r="CG1831" s="52"/>
      <c r="CH1831" s="48"/>
      <c r="CI1831" s="48"/>
      <c r="CJ1831" s="48"/>
      <c r="CK1831" s="48"/>
    </row>
    <row r="1832" spans="1:89" ht="15.75" customHeight="1" x14ac:dyDescent="0.3">
      <c r="A1832" s="47"/>
      <c r="B1832" s="48"/>
      <c r="C1832" s="47"/>
      <c r="D1832" s="48"/>
      <c r="E1832" s="48"/>
      <c r="F1832" s="48"/>
      <c r="G1832" s="48"/>
      <c r="H1832" s="48"/>
      <c r="I1832" s="49"/>
      <c r="J1832" s="47"/>
      <c r="K1832" s="47"/>
      <c r="L1832" s="47"/>
      <c r="M1832" s="47"/>
      <c r="N1832" s="47"/>
      <c r="O1832" s="47"/>
      <c r="P1832" s="47"/>
      <c r="Q1832" s="47"/>
      <c r="R1832" s="47"/>
      <c r="S1832" s="50"/>
      <c r="T1832" s="47"/>
      <c r="U1832" s="47"/>
      <c r="V1832" s="47"/>
      <c r="W1832" s="51"/>
      <c r="X1832" s="51"/>
      <c r="Y1832" s="47"/>
      <c r="Z1832" s="47"/>
      <c r="AA1832" s="47"/>
      <c r="AB1832" s="47"/>
      <c r="AC1832" s="47"/>
      <c r="AD1832" s="47"/>
      <c r="AE1832" s="54"/>
      <c r="AF1832" s="54"/>
      <c r="AG1832" s="55"/>
      <c r="AH1832" s="54"/>
      <c r="AI1832" s="54"/>
      <c r="AJ1832" s="54"/>
      <c r="AK1832" s="54"/>
      <c r="AL1832" s="54"/>
      <c r="AM1832" s="54"/>
      <c r="AN1832" s="54"/>
      <c r="AO1832" s="54"/>
      <c r="AP1832" s="54"/>
      <c r="AQ1832" s="54"/>
      <c r="AR1832" s="54"/>
      <c r="AS1832" s="54"/>
      <c r="AT1832" s="54"/>
      <c r="AU1832" s="54"/>
      <c r="AV1832" s="54"/>
      <c r="AW1832" s="54"/>
      <c r="AX1832" s="54"/>
      <c r="AY1832" s="54"/>
      <c r="AZ1832" s="54"/>
      <c r="BA1832" s="54"/>
      <c r="BB1832" s="54"/>
      <c r="BC1832" s="56"/>
      <c r="BD1832" s="51"/>
      <c r="BE1832" s="54"/>
      <c r="BF1832" s="54"/>
      <c r="BG1832" s="47"/>
      <c r="BH1832" s="48"/>
      <c r="BI1832" s="48"/>
      <c r="BJ1832" s="48"/>
      <c r="BK1832" s="48"/>
      <c r="BL1832" s="48"/>
      <c r="BM1832" s="48"/>
      <c r="BN1832" s="48"/>
      <c r="BO1832" s="48"/>
      <c r="BP1832" s="48"/>
      <c r="BQ1832" s="48"/>
      <c r="BR1832" s="48"/>
      <c r="BS1832" s="48"/>
      <c r="BT1832" s="48"/>
      <c r="BU1832" s="48"/>
      <c r="BV1832" s="48"/>
      <c r="BW1832" s="48"/>
      <c r="BX1832" s="48"/>
      <c r="BY1832" s="48"/>
      <c r="BZ1832" s="48"/>
      <c r="CA1832" s="48"/>
      <c r="CB1832" s="48"/>
      <c r="CC1832" s="48"/>
      <c r="CD1832" s="48"/>
      <c r="CE1832" s="48"/>
      <c r="CF1832" s="52"/>
      <c r="CG1832" s="52"/>
      <c r="CH1832" s="48"/>
      <c r="CI1832" s="48"/>
      <c r="CJ1832" s="48"/>
      <c r="CK1832" s="48"/>
    </row>
    <row r="1833" spans="1:89" ht="15.75" customHeight="1" x14ac:dyDescent="0.3">
      <c r="A1833" s="47"/>
      <c r="B1833" s="48"/>
      <c r="C1833" s="47"/>
      <c r="D1833" s="48"/>
      <c r="E1833" s="48"/>
      <c r="F1833" s="48"/>
      <c r="G1833" s="48"/>
      <c r="H1833" s="48"/>
      <c r="I1833" s="49"/>
      <c r="J1833" s="47"/>
      <c r="K1833" s="47"/>
      <c r="L1833" s="47"/>
      <c r="M1833" s="47"/>
      <c r="N1833" s="47"/>
      <c r="O1833" s="47"/>
      <c r="P1833" s="47"/>
      <c r="Q1833" s="47"/>
      <c r="R1833" s="47"/>
      <c r="S1833" s="50"/>
      <c r="T1833" s="47"/>
      <c r="U1833" s="47"/>
      <c r="V1833" s="47"/>
      <c r="W1833" s="51"/>
      <c r="X1833" s="51"/>
      <c r="Y1833" s="47"/>
      <c r="Z1833" s="47"/>
      <c r="AA1833" s="47"/>
      <c r="AB1833" s="47"/>
      <c r="AC1833" s="47"/>
      <c r="AD1833" s="47"/>
      <c r="AE1833" s="54"/>
      <c r="AF1833" s="54"/>
      <c r="AG1833" s="55"/>
      <c r="AH1833" s="54"/>
      <c r="AI1833" s="54"/>
      <c r="AJ1833" s="54"/>
      <c r="AK1833" s="54"/>
      <c r="AL1833" s="54"/>
      <c r="AM1833" s="54"/>
      <c r="AN1833" s="54"/>
      <c r="AO1833" s="54"/>
      <c r="AP1833" s="54"/>
      <c r="AQ1833" s="54"/>
      <c r="AR1833" s="54"/>
      <c r="AS1833" s="54"/>
      <c r="AT1833" s="54"/>
      <c r="AU1833" s="54"/>
      <c r="AV1833" s="54"/>
      <c r="AW1833" s="54"/>
      <c r="AX1833" s="54"/>
      <c r="AY1833" s="54"/>
      <c r="AZ1833" s="54"/>
      <c r="BA1833" s="54"/>
      <c r="BB1833" s="54"/>
      <c r="BC1833" s="56"/>
      <c r="BD1833" s="51"/>
      <c r="BE1833" s="54"/>
      <c r="BF1833" s="54"/>
      <c r="BG1833" s="47"/>
      <c r="BH1833" s="48"/>
      <c r="BI1833" s="48"/>
      <c r="BJ1833" s="48"/>
      <c r="BK1833" s="48"/>
      <c r="BL1833" s="48"/>
      <c r="BM1833" s="48"/>
      <c r="BN1833" s="48"/>
      <c r="BO1833" s="48"/>
      <c r="BP1833" s="48"/>
      <c r="BQ1833" s="48"/>
      <c r="BR1833" s="48"/>
      <c r="BS1833" s="48"/>
      <c r="BT1833" s="48"/>
      <c r="BU1833" s="48"/>
      <c r="BV1833" s="48"/>
      <c r="BW1833" s="48"/>
      <c r="BX1833" s="48"/>
      <c r="BY1833" s="48"/>
      <c r="BZ1833" s="48"/>
      <c r="CA1833" s="48"/>
      <c r="CB1833" s="48"/>
      <c r="CC1833" s="48"/>
      <c r="CD1833" s="48"/>
      <c r="CE1833" s="48"/>
      <c r="CF1833" s="52"/>
      <c r="CG1833" s="52"/>
      <c r="CH1833" s="48"/>
      <c r="CI1833" s="48"/>
      <c r="CJ1833" s="48"/>
      <c r="CK1833" s="48"/>
    </row>
    <row r="1834" spans="1:89" ht="15.75" customHeight="1" x14ac:dyDescent="0.3">
      <c r="A1834" s="47"/>
      <c r="B1834" s="48"/>
      <c r="C1834" s="47"/>
      <c r="D1834" s="48"/>
      <c r="E1834" s="48"/>
      <c r="F1834" s="48"/>
      <c r="G1834" s="48"/>
      <c r="H1834" s="48"/>
      <c r="I1834" s="49"/>
      <c r="J1834" s="47"/>
      <c r="K1834" s="47"/>
      <c r="L1834" s="47"/>
      <c r="M1834" s="47"/>
      <c r="N1834" s="47"/>
      <c r="O1834" s="47"/>
      <c r="P1834" s="47"/>
      <c r="Q1834" s="47"/>
      <c r="R1834" s="47"/>
      <c r="S1834" s="50"/>
      <c r="T1834" s="47"/>
      <c r="U1834" s="47"/>
      <c r="V1834" s="47"/>
      <c r="W1834" s="51"/>
      <c r="X1834" s="51"/>
      <c r="Y1834" s="47"/>
      <c r="Z1834" s="47"/>
      <c r="AA1834" s="47"/>
      <c r="AB1834" s="47"/>
      <c r="AC1834" s="47"/>
      <c r="AD1834" s="47"/>
      <c r="AE1834" s="54"/>
      <c r="AF1834" s="54"/>
      <c r="AG1834" s="55"/>
      <c r="AH1834" s="54"/>
      <c r="AI1834" s="54"/>
      <c r="AJ1834" s="54"/>
      <c r="AK1834" s="54"/>
      <c r="AL1834" s="54"/>
      <c r="AM1834" s="54"/>
      <c r="AN1834" s="54"/>
      <c r="AO1834" s="54"/>
      <c r="AP1834" s="54"/>
      <c r="AQ1834" s="54"/>
      <c r="AR1834" s="54"/>
      <c r="AS1834" s="54"/>
      <c r="AT1834" s="54"/>
      <c r="AU1834" s="54"/>
      <c r="AV1834" s="54"/>
      <c r="AW1834" s="54"/>
      <c r="AX1834" s="54"/>
      <c r="AY1834" s="54"/>
      <c r="AZ1834" s="54"/>
      <c r="BA1834" s="54"/>
      <c r="BB1834" s="54"/>
      <c r="BC1834" s="56"/>
      <c r="BD1834" s="51"/>
      <c r="BE1834" s="54"/>
      <c r="BF1834" s="54"/>
      <c r="BG1834" s="47"/>
      <c r="BH1834" s="48"/>
      <c r="BI1834" s="48"/>
      <c r="BJ1834" s="48"/>
      <c r="BK1834" s="48"/>
      <c r="BL1834" s="48"/>
      <c r="BM1834" s="48"/>
      <c r="BN1834" s="48"/>
      <c r="BO1834" s="48"/>
      <c r="BP1834" s="48"/>
      <c r="BQ1834" s="48"/>
      <c r="BR1834" s="48"/>
      <c r="BS1834" s="48"/>
      <c r="BT1834" s="48"/>
      <c r="BU1834" s="48"/>
      <c r="BV1834" s="48"/>
      <c r="BW1834" s="48"/>
      <c r="BX1834" s="48"/>
      <c r="BY1834" s="48"/>
      <c r="BZ1834" s="48"/>
      <c r="CA1834" s="48"/>
      <c r="CB1834" s="48"/>
      <c r="CC1834" s="48"/>
      <c r="CD1834" s="48"/>
      <c r="CE1834" s="48"/>
      <c r="CF1834" s="52"/>
      <c r="CG1834" s="52"/>
      <c r="CH1834" s="48"/>
      <c r="CI1834" s="48"/>
      <c r="CJ1834" s="48"/>
      <c r="CK1834" s="48"/>
    </row>
    <row r="1835" spans="1:89" ht="15.75" customHeight="1" x14ac:dyDescent="0.3">
      <c r="A1835" s="47"/>
      <c r="B1835" s="48"/>
      <c r="C1835" s="47"/>
      <c r="D1835" s="48"/>
      <c r="E1835" s="48"/>
      <c r="F1835" s="48"/>
      <c r="G1835" s="48"/>
      <c r="H1835" s="48"/>
      <c r="I1835" s="49"/>
      <c r="J1835" s="47"/>
      <c r="K1835" s="47"/>
      <c r="L1835" s="47"/>
      <c r="M1835" s="47"/>
      <c r="N1835" s="47"/>
      <c r="O1835" s="47"/>
      <c r="P1835" s="47"/>
      <c r="Q1835" s="47"/>
      <c r="R1835" s="47"/>
      <c r="S1835" s="50"/>
      <c r="T1835" s="47"/>
      <c r="U1835" s="47"/>
      <c r="V1835" s="47"/>
      <c r="W1835" s="51"/>
      <c r="X1835" s="51"/>
      <c r="Y1835" s="47"/>
      <c r="Z1835" s="47"/>
      <c r="AA1835" s="47"/>
      <c r="AB1835" s="47"/>
      <c r="AC1835" s="47"/>
      <c r="AD1835" s="47"/>
      <c r="AE1835" s="54"/>
      <c r="AF1835" s="54"/>
      <c r="AG1835" s="55"/>
      <c r="AH1835" s="54"/>
      <c r="AI1835" s="54"/>
      <c r="AJ1835" s="54"/>
      <c r="AK1835" s="54"/>
      <c r="AL1835" s="54"/>
      <c r="AM1835" s="54"/>
      <c r="AN1835" s="54"/>
      <c r="AO1835" s="54"/>
      <c r="AP1835" s="54"/>
      <c r="AQ1835" s="54"/>
      <c r="AR1835" s="54"/>
      <c r="AS1835" s="54"/>
      <c r="AT1835" s="54"/>
      <c r="AU1835" s="54"/>
      <c r="AV1835" s="54"/>
      <c r="AW1835" s="54"/>
      <c r="AX1835" s="54"/>
      <c r="AY1835" s="54"/>
      <c r="AZ1835" s="54"/>
      <c r="BA1835" s="54"/>
      <c r="BB1835" s="54"/>
      <c r="BC1835" s="56"/>
      <c r="BD1835" s="51"/>
      <c r="BE1835" s="54"/>
      <c r="BF1835" s="54"/>
      <c r="BG1835" s="47"/>
      <c r="BH1835" s="48"/>
      <c r="BI1835" s="48"/>
      <c r="BJ1835" s="48"/>
      <c r="BK1835" s="48"/>
      <c r="BL1835" s="48"/>
      <c r="BM1835" s="48"/>
      <c r="BN1835" s="48"/>
      <c r="BO1835" s="48"/>
      <c r="BP1835" s="48"/>
      <c r="BQ1835" s="48"/>
      <c r="BR1835" s="48"/>
      <c r="BS1835" s="48"/>
      <c r="BT1835" s="48"/>
      <c r="BU1835" s="48"/>
      <c r="BV1835" s="48"/>
      <c r="BW1835" s="48"/>
      <c r="BX1835" s="48"/>
      <c r="BY1835" s="48"/>
      <c r="BZ1835" s="48"/>
      <c r="CA1835" s="48"/>
      <c r="CB1835" s="48"/>
      <c r="CC1835" s="48"/>
      <c r="CD1835" s="48"/>
      <c r="CE1835" s="48"/>
      <c r="CF1835" s="52"/>
      <c r="CG1835" s="52"/>
      <c r="CH1835" s="48"/>
      <c r="CI1835" s="48"/>
      <c r="CJ1835" s="48"/>
      <c r="CK1835" s="48"/>
    </row>
    <row r="1836" spans="1:89" ht="15.75" customHeight="1" x14ac:dyDescent="0.3">
      <c r="A1836" s="47"/>
      <c r="B1836" s="48"/>
      <c r="C1836" s="47"/>
      <c r="D1836" s="48"/>
      <c r="E1836" s="48"/>
      <c r="F1836" s="48"/>
      <c r="G1836" s="48"/>
      <c r="H1836" s="48"/>
      <c r="I1836" s="49"/>
      <c r="J1836" s="47"/>
      <c r="K1836" s="47"/>
      <c r="L1836" s="47"/>
      <c r="M1836" s="47"/>
      <c r="N1836" s="47"/>
      <c r="O1836" s="47"/>
      <c r="P1836" s="47"/>
      <c r="Q1836" s="47"/>
      <c r="R1836" s="47"/>
      <c r="S1836" s="50"/>
      <c r="T1836" s="47"/>
      <c r="U1836" s="47"/>
      <c r="V1836" s="47"/>
      <c r="W1836" s="51"/>
      <c r="X1836" s="51"/>
      <c r="Y1836" s="47"/>
      <c r="Z1836" s="47"/>
      <c r="AA1836" s="47"/>
      <c r="AB1836" s="47"/>
      <c r="AC1836" s="47"/>
      <c r="AD1836" s="47"/>
      <c r="AE1836" s="54"/>
      <c r="AF1836" s="54"/>
      <c r="AG1836" s="55"/>
      <c r="AH1836" s="54"/>
      <c r="AI1836" s="54"/>
      <c r="AJ1836" s="54"/>
      <c r="AK1836" s="54"/>
      <c r="AL1836" s="54"/>
      <c r="AM1836" s="54"/>
      <c r="AN1836" s="54"/>
      <c r="AO1836" s="54"/>
      <c r="AP1836" s="54"/>
      <c r="AQ1836" s="54"/>
      <c r="AR1836" s="54"/>
      <c r="AS1836" s="54"/>
      <c r="AT1836" s="54"/>
      <c r="AU1836" s="54"/>
      <c r="AV1836" s="54"/>
      <c r="AW1836" s="54"/>
      <c r="AX1836" s="54"/>
      <c r="AY1836" s="54"/>
      <c r="AZ1836" s="54"/>
      <c r="BA1836" s="54"/>
      <c r="BB1836" s="54"/>
      <c r="BC1836" s="56"/>
      <c r="BD1836" s="51"/>
      <c r="BE1836" s="54"/>
      <c r="BF1836" s="54"/>
      <c r="BG1836" s="47"/>
      <c r="BH1836" s="48"/>
      <c r="BI1836" s="48"/>
      <c r="BJ1836" s="48"/>
      <c r="BK1836" s="48"/>
      <c r="BL1836" s="48"/>
      <c r="BM1836" s="48"/>
      <c r="BN1836" s="48"/>
      <c r="BO1836" s="48"/>
      <c r="BP1836" s="48"/>
      <c r="BQ1836" s="48"/>
      <c r="BR1836" s="48"/>
      <c r="BS1836" s="48"/>
      <c r="BT1836" s="48"/>
      <c r="BU1836" s="48"/>
      <c r="BV1836" s="48"/>
      <c r="BW1836" s="48"/>
      <c r="BX1836" s="48"/>
      <c r="BY1836" s="48"/>
      <c r="BZ1836" s="48"/>
      <c r="CA1836" s="48"/>
      <c r="CB1836" s="48"/>
      <c r="CC1836" s="48"/>
      <c r="CD1836" s="48"/>
      <c r="CE1836" s="48"/>
      <c r="CF1836" s="52"/>
      <c r="CG1836" s="52"/>
      <c r="CH1836" s="48"/>
      <c r="CI1836" s="48"/>
      <c r="CJ1836" s="48"/>
      <c r="CK1836" s="48"/>
    </row>
    <row r="1837" spans="1:89" ht="15.75" customHeight="1" x14ac:dyDescent="0.3">
      <c r="A1837" s="47"/>
      <c r="B1837" s="48"/>
      <c r="C1837" s="47"/>
      <c r="D1837" s="48"/>
      <c r="E1837" s="48"/>
      <c r="F1837" s="48"/>
      <c r="G1837" s="48"/>
      <c r="H1837" s="48"/>
      <c r="I1837" s="49"/>
      <c r="J1837" s="47"/>
      <c r="K1837" s="47"/>
      <c r="L1837" s="47"/>
      <c r="M1837" s="47"/>
      <c r="N1837" s="47"/>
      <c r="O1837" s="47"/>
      <c r="P1837" s="47"/>
      <c r="Q1837" s="47"/>
      <c r="R1837" s="47"/>
      <c r="S1837" s="50"/>
      <c r="T1837" s="47"/>
      <c r="U1837" s="47"/>
      <c r="V1837" s="47"/>
      <c r="W1837" s="51"/>
      <c r="X1837" s="51"/>
      <c r="Y1837" s="47"/>
      <c r="Z1837" s="47"/>
      <c r="AA1837" s="47"/>
      <c r="AB1837" s="47"/>
      <c r="AC1837" s="47"/>
      <c r="AD1837" s="47"/>
      <c r="AE1837" s="54"/>
      <c r="AF1837" s="54"/>
      <c r="AG1837" s="55"/>
      <c r="AH1837" s="54"/>
      <c r="AI1837" s="54"/>
      <c r="AJ1837" s="54"/>
      <c r="AK1837" s="54"/>
      <c r="AL1837" s="54"/>
      <c r="AM1837" s="54"/>
      <c r="AN1837" s="54"/>
      <c r="AO1837" s="54"/>
      <c r="AP1837" s="54"/>
      <c r="AQ1837" s="54"/>
      <c r="AR1837" s="54"/>
      <c r="AS1837" s="54"/>
      <c r="AT1837" s="54"/>
      <c r="AU1837" s="54"/>
      <c r="AV1837" s="54"/>
      <c r="AW1837" s="54"/>
      <c r="AX1837" s="54"/>
      <c r="AY1837" s="54"/>
      <c r="AZ1837" s="54"/>
      <c r="BA1837" s="54"/>
      <c r="BB1837" s="54"/>
      <c r="BC1837" s="56"/>
      <c r="BD1837" s="51"/>
      <c r="BE1837" s="54"/>
      <c r="BF1837" s="54"/>
      <c r="BG1837" s="47"/>
      <c r="BH1837" s="48"/>
      <c r="BI1837" s="48"/>
      <c r="BJ1837" s="48"/>
      <c r="BK1837" s="48"/>
      <c r="BL1837" s="48"/>
      <c r="BM1837" s="48"/>
      <c r="BN1837" s="48"/>
      <c r="BO1837" s="48"/>
      <c r="BP1837" s="48"/>
      <c r="BQ1837" s="48"/>
      <c r="BR1837" s="48"/>
      <c r="BS1837" s="48"/>
      <c r="BT1837" s="48"/>
      <c r="BU1837" s="48"/>
      <c r="BV1837" s="48"/>
      <c r="BW1837" s="48"/>
      <c r="BX1837" s="48"/>
      <c r="BY1837" s="48"/>
      <c r="BZ1837" s="48"/>
      <c r="CA1837" s="48"/>
      <c r="CB1837" s="48"/>
      <c r="CC1837" s="48"/>
      <c r="CD1837" s="48"/>
      <c r="CE1837" s="48"/>
      <c r="CF1837" s="52"/>
      <c r="CG1837" s="52"/>
      <c r="CH1837" s="48"/>
      <c r="CI1837" s="48"/>
      <c r="CJ1837" s="48"/>
      <c r="CK1837" s="48"/>
    </row>
    <row r="1838" spans="1:89" ht="15.75" customHeight="1" x14ac:dyDescent="0.3">
      <c r="A1838" s="47"/>
      <c r="B1838" s="48"/>
      <c r="C1838" s="47"/>
      <c r="D1838" s="48"/>
      <c r="E1838" s="48"/>
      <c r="F1838" s="48"/>
      <c r="G1838" s="48"/>
      <c r="H1838" s="48"/>
      <c r="I1838" s="49"/>
      <c r="J1838" s="47"/>
      <c r="K1838" s="47"/>
      <c r="L1838" s="47"/>
      <c r="M1838" s="47"/>
      <c r="N1838" s="47"/>
      <c r="O1838" s="47"/>
      <c r="P1838" s="47"/>
      <c r="Q1838" s="47"/>
      <c r="R1838" s="47"/>
      <c r="S1838" s="50"/>
      <c r="T1838" s="47"/>
      <c r="U1838" s="47"/>
      <c r="V1838" s="47"/>
      <c r="W1838" s="51"/>
      <c r="X1838" s="51"/>
      <c r="Y1838" s="47"/>
      <c r="Z1838" s="47"/>
      <c r="AA1838" s="47"/>
      <c r="AB1838" s="47"/>
      <c r="AC1838" s="47"/>
      <c r="AD1838" s="47"/>
      <c r="AE1838" s="54"/>
      <c r="AF1838" s="54"/>
      <c r="AG1838" s="55"/>
      <c r="AH1838" s="54"/>
      <c r="AI1838" s="54"/>
      <c r="AJ1838" s="54"/>
      <c r="AK1838" s="54"/>
      <c r="AL1838" s="54"/>
      <c r="AM1838" s="54"/>
      <c r="AN1838" s="54"/>
      <c r="AO1838" s="54"/>
      <c r="AP1838" s="54"/>
      <c r="AQ1838" s="54"/>
      <c r="AR1838" s="54"/>
      <c r="AS1838" s="54"/>
      <c r="AT1838" s="54"/>
      <c r="AU1838" s="54"/>
      <c r="AV1838" s="54"/>
      <c r="AW1838" s="54"/>
      <c r="AX1838" s="54"/>
      <c r="AY1838" s="54"/>
      <c r="AZ1838" s="54"/>
      <c r="BA1838" s="54"/>
      <c r="BB1838" s="54"/>
      <c r="BC1838" s="56"/>
      <c r="BD1838" s="51"/>
      <c r="BE1838" s="54"/>
      <c r="BF1838" s="54"/>
      <c r="BG1838" s="47"/>
      <c r="BH1838" s="48"/>
      <c r="BI1838" s="48"/>
      <c r="BJ1838" s="48"/>
      <c r="BK1838" s="48"/>
      <c r="BL1838" s="48"/>
      <c r="BM1838" s="48"/>
      <c r="BN1838" s="48"/>
      <c r="BO1838" s="48"/>
      <c r="BP1838" s="48"/>
      <c r="BQ1838" s="48"/>
      <c r="BR1838" s="48"/>
      <c r="BS1838" s="48"/>
      <c r="BT1838" s="48"/>
      <c r="BU1838" s="48"/>
      <c r="BV1838" s="48"/>
      <c r="BW1838" s="48"/>
      <c r="BX1838" s="48"/>
      <c r="BY1838" s="48"/>
      <c r="BZ1838" s="48"/>
      <c r="CA1838" s="48"/>
      <c r="CB1838" s="48"/>
      <c r="CC1838" s="48"/>
      <c r="CD1838" s="48"/>
      <c r="CE1838" s="48"/>
      <c r="CF1838" s="52"/>
      <c r="CG1838" s="52"/>
      <c r="CH1838" s="48"/>
      <c r="CI1838" s="48"/>
      <c r="CJ1838" s="48"/>
      <c r="CK1838" s="48"/>
    </row>
    <row r="1839" spans="1:89" ht="15.75" customHeight="1" x14ac:dyDescent="0.3">
      <c r="A1839" s="47"/>
      <c r="B1839" s="48"/>
      <c r="C1839" s="47"/>
      <c r="D1839" s="48"/>
      <c r="E1839" s="48"/>
      <c r="F1839" s="48"/>
      <c r="G1839" s="48"/>
      <c r="H1839" s="48"/>
      <c r="I1839" s="49"/>
      <c r="J1839" s="47"/>
      <c r="K1839" s="47"/>
      <c r="L1839" s="47"/>
      <c r="M1839" s="47"/>
      <c r="N1839" s="47"/>
      <c r="O1839" s="47"/>
      <c r="P1839" s="47"/>
      <c r="Q1839" s="47"/>
      <c r="R1839" s="47"/>
      <c r="S1839" s="50"/>
      <c r="T1839" s="47"/>
      <c r="U1839" s="47"/>
      <c r="V1839" s="47"/>
      <c r="W1839" s="51"/>
      <c r="X1839" s="51"/>
      <c r="Y1839" s="47"/>
      <c r="Z1839" s="47"/>
      <c r="AA1839" s="47"/>
      <c r="AB1839" s="47"/>
      <c r="AC1839" s="47"/>
      <c r="AD1839" s="47"/>
      <c r="AE1839" s="54"/>
      <c r="AF1839" s="54"/>
      <c r="AG1839" s="55"/>
      <c r="AH1839" s="54"/>
      <c r="AI1839" s="54"/>
      <c r="AJ1839" s="54"/>
      <c r="AK1839" s="54"/>
      <c r="AL1839" s="54"/>
      <c r="AM1839" s="54"/>
      <c r="AN1839" s="54"/>
      <c r="AO1839" s="54"/>
      <c r="AP1839" s="54"/>
      <c r="AQ1839" s="54"/>
      <c r="AR1839" s="54"/>
      <c r="AS1839" s="54"/>
      <c r="AT1839" s="54"/>
      <c r="AU1839" s="54"/>
      <c r="AV1839" s="54"/>
      <c r="AW1839" s="54"/>
      <c r="AX1839" s="54"/>
      <c r="AY1839" s="54"/>
      <c r="AZ1839" s="54"/>
      <c r="BA1839" s="54"/>
      <c r="BB1839" s="54"/>
      <c r="BC1839" s="56"/>
      <c r="BD1839" s="51"/>
      <c r="BE1839" s="54"/>
      <c r="BF1839" s="54"/>
      <c r="BG1839" s="47"/>
      <c r="BH1839" s="48"/>
      <c r="BI1839" s="48"/>
      <c r="BJ1839" s="48"/>
      <c r="BK1839" s="48"/>
      <c r="BL1839" s="48"/>
      <c r="BM1839" s="48"/>
      <c r="BN1839" s="48"/>
      <c r="BO1839" s="48"/>
      <c r="BP1839" s="48"/>
      <c r="BQ1839" s="48"/>
      <c r="BR1839" s="48"/>
      <c r="BS1839" s="48"/>
      <c r="BT1839" s="48"/>
      <c r="BU1839" s="48"/>
      <c r="BV1839" s="48"/>
      <c r="BW1839" s="48"/>
      <c r="BX1839" s="48"/>
      <c r="BY1839" s="48"/>
      <c r="BZ1839" s="48"/>
      <c r="CA1839" s="48"/>
      <c r="CB1839" s="48"/>
      <c r="CC1839" s="48"/>
      <c r="CD1839" s="48"/>
      <c r="CE1839" s="48"/>
      <c r="CF1839" s="52"/>
      <c r="CG1839" s="52"/>
      <c r="CH1839" s="48"/>
      <c r="CI1839" s="48"/>
      <c r="CJ1839" s="48"/>
      <c r="CK1839" s="48"/>
    </row>
    <row r="1840" spans="1:89" ht="15.75" customHeight="1" x14ac:dyDescent="0.3">
      <c r="A1840" s="47"/>
      <c r="B1840" s="48"/>
      <c r="C1840" s="47"/>
      <c r="D1840" s="48"/>
      <c r="E1840" s="48"/>
      <c r="F1840" s="48"/>
      <c r="G1840" s="48"/>
      <c r="H1840" s="48"/>
      <c r="I1840" s="49"/>
      <c r="J1840" s="47"/>
      <c r="K1840" s="47"/>
      <c r="L1840" s="47"/>
      <c r="M1840" s="47"/>
      <c r="N1840" s="47"/>
      <c r="O1840" s="47"/>
      <c r="P1840" s="47"/>
      <c r="Q1840" s="47"/>
      <c r="R1840" s="47"/>
      <c r="S1840" s="50"/>
      <c r="T1840" s="47"/>
      <c r="U1840" s="47"/>
      <c r="V1840" s="47"/>
      <c r="W1840" s="51"/>
      <c r="X1840" s="51"/>
      <c r="Y1840" s="47"/>
      <c r="Z1840" s="47"/>
      <c r="AA1840" s="47"/>
      <c r="AB1840" s="47"/>
      <c r="AC1840" s="47"/>
      <c r="AD1840" s="47"/>
      <c r="AE1840" s="54"/>
      <c r="AF1840" s="54"/>
      <c r="AG1840" s="55"/>
      <c r="AH1840" s="54"/>
      <c r="AI1840" s="54"/>
      <c r="AJ1840" s="54"/>
      <c r="AK1840" s="54"/>
      <c r="AL1840" s="54"/>
      <c r="AM1840" s="54"/>
      <c r="AN1840" s="54"/>
      <c r="AO1840" s="54"/>
      <c r="AP1840" s="54"/>
      <c r="AQ1840" s="54"/>
      <c r="AR1840" s="54"/>
      <c r="AS1840" s="54"/>
      <c r="AT1840" s="54"/>
      <c r="AU1840" s="54"/>
      <c r="AV1840" s="54"/>
      <c r="AW1840" s="54"/>
      <c r="AX1840" s="54"/>
      <c r="AY1840" s="54"/>
      <c r="AZ1840" s="54"/>
      <c r="BA1840" s="54"/>
      <c r="BB1840" s="54"/>
      <c r="BC1840" s="56"/>
      <c r="BD1840" s="51"/>
      <c r="BE1840" s="54"/>
      <c r="BF1840" s="54"/>
      <c r="BG1840" s="47"/>
      <c r="BH1840" s="48"/>
      <c r="BI1840" s="48"/>
      <c r="BJ1840" s="48"/>
      <c r="BK1840" s="48"/>
      <c r="BL1840" s="48"/>
      <c r="BM1840" s="48"/>
      <c r="BN1840" s="48"/>
      <c r="BO1840" s="48"/>
      <c r="BP1840" s="48"/>
      <c r="BQ1840" s="48"/>
      <c r="BR1840" s="48"/>
      <c r="BS1840" s="48"/>
      <c r="BT1840" s="48"/>
      <c r="BU1840" s="48"/>
      <c r="BV1840" s="48"/>
      <c r="BW1840" s="48"/>
      <c r="BX1840" s="48"/>
      <c r="BY1840" s="48"/>
      <c r="BZ1840" s="48"/>
      <c r="CA1840" s="48"/>
      <c r="CB1840" s="48"/>
      <c r="CC1840" s="48"/>
      <c r="CD1840" s="48"/>
      <c r="CE1840" s="48"/>
      <c r="CF1840" s="52"/>
      <c r="CG1840" s="52"/>
      <c r="CH1840" s="48"/>
      <c r="CI1840" s="48"/>
      <c r="CJ1840" s="48"/>
      <c r="CK1840" s="48"/>
    </row>
    <row r="1841" spans="1:89" ht="15.75" customHeight="1" x14ac:dyDescent="0.3">
      <c r="A1841" s="47"/>
      <c r="B1841" s="48"/>
      <c r="C1841" s="47"/>
      <c r="D1841" s="48"/>
      <c r="E1841" s="48"/>
      <c r="F1841" s="48"/>
      <c r="G1841" s="48"/>
      <c r="H1841" s="48"/>
      <c r="I1841" s="49"/>
      <c r="J1841" s="47"/>
      <c r="K1841" s="47"/>
      <c r="L1841" s="47"/>
      <c r="M1841" s="47"/>
      <c r="N1841" s="47"/>
      <c r="O1841" s="47"/>
      <c r="P1841" s="47"/>
      <c r="Q1841" s="47"/>
      <c r="R1841" s="47"/>
      <c r="S1841" s="50"/>
      <c r="T1841" s="47"/>
      <c r="U1841" s="47"/>
      <c r="V1841" s="47"/>
      <c r="W1841" s="51"/>
      <c r="X1841" s="51"/>
      <c r="Y1841" s="47"/>
      <c r="Z1841" s="47"/>
      <c r="AA1841" s="47"/>
      <c r="AB1841" s="47"/>
      <c r="AC1841" s="47"/>
      <c r="AD1841" s="47"/>
      <c r="AE1841" s="54"/>
      <c r="AF1841" s="54"/>
      <c r="AG1841" s="55"/>
      <c r="AH1841" s="54"/>
      <c r="AI1841" s="54"/>
      <c r="AJ1841" s="54"/>
      <c r="AK1841" s="54"/>
      <c r="AL1841" s="54"/>
      <c r="AM1841" s="54"/>
      <c r="AN1841" s="54"/>
      <c r="AO1841" s="54"/>
      <c r="AP1841" s="54"/>
      <c r="AQ1841" s="54"/>
      <c r="AR1841" s="54"/>
      <c r="AS1841" s="54"/>
      <c r="AT1841" s="54"/>
      <c r="AU1841" s="54"/>
      <c r="AV1841" s="54"/>
      <c r="AW1841" s="54"/>
      <c r="AX1841" s="54"/>
      <c r="AY1841" s="54"/>
      <c r="AZ1841" s="54"/>
      <c r="BA1841" s="54"/>
      <c r="BB1841" s="54"/>
      <c r="BC1841" s="56"/>
      <c r="BD1841" s="51"/>
      <c r="BE1841" s="54"/>
      <c r="BF1841" s="54"/>
      <c r="BG1841" s="47"/>
      <c r="BH1841" s="48"/>
      <c r="BI1841" s="48"/>
      <c r="BJ1841" s="48"/>
      <c r="BK1841" s="48"/>
      <c r="BL1841" s="48"/>
      <c r="BM1841" s="48"/>
      <c r="BN1841" s="48"/>
      <c r="BO1841" s="48"/>
      <c r="BP1841" s="48"/>
      <c r="BQ1841" s="48"/>
      <c r="BR1841" s="48"/>
      <c r="BS1841" s="48"/>
      <c r="BT1841" s="48"/>
      <c r="BU1841" s="48"/>
      <c r="BV1841" s="48"/>
      <c r="BW1841" s="48"/>
      <c r="BX1841" s="48"/>
      <c r="BY1841" s="48"/>
      <c r="BZ1841" s="48"/>
      <c r="CA1841" s="48"/>
      <c r="CB1841" s="48"/>
      <c r="CC1841" s="48"/>
      <c r="CD1841" s="48"/>
      <c r="CE1841" s="48"/>
      <c r="CF1841" s="52"/>
      <c r="CG1841" s="52"/>
      <c r="CH1841" s="48"/>
      <c r="CI1841" s="48"/>
      <c r="CJ1841" s="48"/>
      <c r="CK1841" s="48"/>
    </row>
    <row r="1842" spans="1:89" ht="15.75" customHeight="1" x14ac:dyDescent="0.3">
      <c r="A1842" s="47"/>
      <c r="B1842" s="48"/>
      <c r="C1842" s="47"/>
      <c r="D1842" s="48"/>
      <c r="E1842" s="48"/>
      <c r="F1842" s="48"/>
      <c r="G1842" s="48"/>
      <c r="H1842" s="48"/>
      <c r="I1842" s="49"/>
      <c r="J1842" s="47"/>
      <c r="K1842" s="47"/>
      <c r="L1842" s="47"/>
      <c r="M1842" s="47"/>
      <c r="N1842" s="47"/>
      <c r="O1842" s="47"/>
      <c r="P1842" s="47"/>
      <c r="Q1842" s="47"/>
      <c r="R1842" s="47"/>
      <c r="S1842" s="50"/>
      <c r="T1842" s="47"/>
      <c r="U1842" s="47"/>
      <c r="V1842" s="47"/>
      <c r="W1842" s="51"/>
      <c r="X1842" s="51"/>
      <c r="Y1842" s="47"/>
      <c r="Z1842" s="47"/>
      <c r="AA1842" s="47"/>
      <c r="AB1842" s="47"/>
      <c r="AC1842" s="47"/>
      <c r="AD1842" s="47"/>
      <c r="AE1842" s="54"/>
      <c r="AF1842" s="54"/>
      <c r="AG1842" s="55"/>
      <c r="AH1842" s="54"/>
      <c r="AI1842" s="54"/>
      <c r="AJ1842" s="54"/>
      <c r="AK1842" s="54"/>
      <c r="AL1842" s="54"/>
      <c r="AM1842" s="54"/>
      <c r="AN1842" s="54"/>
      <c r="AO1842" s="54"/>
      <c r="AP1842" s="54"/>
      <c r="AQ1842" s="54"/>
      <c r="AR1842" s="54"/>
      <c r="AS1842" s="54"/>
      <c r="AT1842" s="54"/>
      <c r="AU1842" s="54"/>
      <c r="AV1842" s="54"/>
      <c r="AW1842" s="54"/>
      <c r="AX1842" s="54"/>
      <c r="AY1842" s="54"/>
      <c r="AZ1842" s="54"/>
      <c r="BA1842" s="54"/>
      <c r="BB1842" s="54"/>
      <c r="BC1842" s="56"/>
      <c r="BD1842" s="51"/>
      <c r="BE1842" s="54"/>
      <c r="BF1842" s="54"/>
      <c r="BG1842" s="47"/>
      <c r="BH1842" s="48"/>
      <c r="BI1842" s="48"/>
      <c r="BJ1842" s="48"/>
      <c r="BK1842" s="48"/>
      <c r="BL1842" s="48"/>
      <c r="BM1842" s="48"/>
      <c r="BN1842" s="48"/>
      <c r="BO1842" s="48"/>
      <c r="BP1842" s="48"/>
      <c r="BQ1842" s="48"/>
      <c r="BR1842" s="48"/>
      <c r="BS1842" s="48"/>
      <c r="BT1842" s="48"/>
      <c r="BU1842" s="48"/>
      <c r="BV1842" s="48"/>
      <c r="BW1842" s="48"/>
      <c r="BX1842" s="48"/>
      <c r="BY1842" s="48"/>
      <c r="BZ1842" s="48"/>
      <c r="CA1842" s="48"/>
      <c r="CB1842" s="48"/>
      <c r="CC1842" s="48"/>
      <c r="CD1842" s="48"/>
      <c r="CE1842" s="48"/>
      <c r="CF1842" s="52"/>
      <c r="CG1842" s="52"/>
      <c r="CH1842" s="48"/>
      <c r="CI1842" s="48"/>
      <c r="CJ1842" s="48"/>
      <c r="CK1842" s="48"/>
    </row>
    <row r="1843" spans="1:89" ht="15.75" customHeight="1" x14ac:dyDescent="0.3">
      <c r="A1843" s="47"/>
      <c r="B1843" s="48"/>
      <c r="C1843" s="47"/>
      <c r="D1843" s="48"/>
      <c r="E1843" s="48"/>
      <c r="F1843" s="48"/>
      <c r="G1843" s="48"/>
      <c r="H1843" s="48"/>
      <c r="I1843" s="49"/>
      <c r="J1843" s="47"/>
      <c r="K1843" s="47"/>
      <c r="L1843" s="47"/>
      <c r="M1843" s="47"/>
      <c r="N1843" s="47"/>
      <c r="O1843" s="47"/>
      <c r="P1843" s="47"/>
      <c r="Q1843" s="47"/>
      <c r="R1843" s="47"/>
      <c r="S1843" s="50"/>
      <c r="T1843" s="47"/>
      <c r="U1843" s="47"/>
      <c r="V1843" s="47"/>
      <c r="W1843" s="51"/>
      <c r="X1843" s="51"/>
      <c r="Y1843" s="47"/>
      <c r="Z1843" s="47"/>
      <c r="AA1843" s="47"/>
      <c r="AB1843" s="47"/>
      <c r="AC1843" s="47"/>
      <c r="AD1843" s="47"/>
      <c r="AE1843" s="54"/>
      <c r="AF1843" s="54"/>
      <c r="AG1843" s="55"/>
      <c r="AH1843" s="54"/>
      <c r="AI1843" s="54"/>
      <c r="AJ1843" s="54"/>
      <c r="AK1843" s="54"/>
      <c r="AL1843" s="54"/>
      <c r="AM1843" s="54"/>
      <c r="AN1843" s="54"/>
      <c r="AO1843" s="54"/>
      <c r="AP1843" s="54"/>
      <c r="AQ1843" s="54"/>
      <c r="AR1843" s="54"/>
      <c r="AS1843" s="54"/>
      <c r="AT1843" s="54"/>
      <c r="AU1843" s="54"/>
      <c r="AV1843" s="54"/>
      <c r="AW1843" s="54"/>
      <c r="AX1843" s="54"/>
      <c r="AY1843" s="54"/>
      <c r="AZ1843" s="54"/>
      <c r="BA1843" s="54"/>
      <c r="BB1843" s="54"/>
      <c r="BC1843" s="56"/>
      <c r="BD1843" s="51"/>
      <c r="BE1843" s="54"/>
      <c r="BF1843" s="54"/>
      <c r="BG1843" s="47"/>
      <c r="BH1843" s="48"/>
      <c r="BI1843" s="48"/>
      <c r="BJ1843" s="48"/>
      <c r="BK1843" s="48"/>
      <c r="BL1843" s="48"/>
      <c r="BM1843" s="48"/>
      <c r="BN1843" s="48"/>
      <c r="BO1843" s="48"/>
      <c r="BP1843" s="48"/>
      <c r="BQ1843" s="48"/>
      <c r="BR1843" s="48"/>
      <c r="BS1843" s="48"/>
      <c r="BT1843" s="48"/>
      <c r="BU1843" s="48"/>
      <c r="BV1843" s="48"/>
      <c r="BW1843" s="48"/>
      <c r="BX1843" s="48"/>
      <c r="BY1843" s="48"/>
      <c r="BZ1843" s="48"/>
      <c r="CA1843" s="48"/>
      <c r="CB1843" s="48"/>
      <c r="CC1843" s="48"/>
      <c r="CD1843" s="48"/>
      <c r="CE1843" s="48"/>
      <c r="CF1843" s="52"/>
      <c r="CG1843" s="52"/>
      <c r="CH1843" s="48"/>
      <c r="CI1843" s="48"/>
      <c r="CJ1843" s="48"/>
      <c r="CK1843" s="48"/>
    </row>
    <row r="1844" spans="1:89" ht="15.75" customHeight="1" x14ac:dyDescent="0.3">
      <c r="A1844" s="47"/>
      <c r="B1844" s="48"/>
      <c r="C1844" s="47"/>
      <c r="D1844" s="48"/>
      <c r="E1844" s="48"/>
      <c r="F1844" s="48"/>
      <c r="G1844" s="48"/>
      <c r="H1844" s="48"/>
      <c r="I1844" s="49"/>
      <c r="J1844" s="47"/>
      <c r="K1844" s="47"/>
      <c r="L1844" s="47"/>
      <c r="M1844" s="47"/>
      <c r="N1844" s="47"/>
      <c r="O1844" s="47"/>
      <c r="P1844" s="47"/>
      <c r="Q1844" s="47"/>
      <c r="R1844" s="47"/>
      <c r="S1844" s="50"/>
      <c r="T1844" s="47"/>
      <c r="U1844" s="47"/>
      <c r="V1844" s="47"/>
      <c r="W1844" s="51"/>
      <c r="X1844" s="51"/>
      <c r="Y1844" s="47"/>
      <c r="Z1844" s="47"/>
      <c r="AA1844" s="47"/>
      <c r="AB1844" s="47"/>
      <c r="AC1844" s="47"/>
      <c r="AD1844" s="47"/>
      <c r="AE1844" s="54"/>
      <c r="AF1844" s="54"/>
      <c r="AG1844" s="55"/>
      <c r="AH1844" s="54"/>
      <c r="AI1844" s="54"/>
      <c r="AJ1844" s="54"/>
      <c r="AK1844" s="54"/>
      <c r="AL1844" s="54"/>
      <c r="AM1844" s="54"/>
      <c r="AN1844" s="54"/>
      <c r="AO1844" s="54"/>
      <c r="AP1844" s="54"/>
      <c r="AQ1844" s="54"/>
      <c r="AR1844" s="54"/>
      <c r="AS1844" s="54"/>
      <c r="AT1844" s="54"/>
      <c r="AU1844" s="54"/>
      <c r="AV1844" s="54"/>
      <c r="AW1844" s="54"/>
      <c r="AX1844" s="54"/>
      <c r="AY1844" s="54"/>
      <c r="AZ1844" s="54"/>
      <c r="BA1844" s="54"/>
      <c r="BB1844" s="54"/>
      <c r="BC1844" s="56"/>
      <c r="BD1844" s="51"/>
      <c r="BE1844" s="54"/>
      <c r="BF1844" s="54"/>
      <c r="BG1844" s="47"/>
      <c r="BH1844" s="48"/>
      <c r="BI1844" s="48"/>
      <c r="BJ1844" s="48"/>
      <c r="BK1844" s="48"/>
      <c r="BL1844" s="48"/>
      <c r="BM1844" s="48"/>
      <c r="BN1844" s="48"/>
      <c r="BO1844" s="48"/>
      <c r="BP1844" s="48"/>
      <c r="BQ1844" s="48"/>
      <c r="BR1844" s="48"/>
      <c r="BS1844" s="48"/>
      <c r="BT1844" s="48"/>
      <c r="BU1844" s="48"/>
      <c r="BV1844" s="48"/>
      <c r="BW1844" s="48"/>
      <c r="BX1844" s="48"/>
      <c r="BY1844" s="48"/>
      <c r="BZ1844" s="48"/>
      <c r="CA1844" s="48"/>
      <c r="CB1844" s="48"/>
      <c r="CC1844" s="48"/>
      <c r="CD1844" s="48"/>
      <c r="CE1844" s="48"/>
      <c r="CF1844" s="52"/>
      <c r="CG1844" s="52"/>
      <c r="CH1844" s="48"/>
      <c r="CI1844" s="48"/>
      <c r="CJ1844" s="48"/>
      <c r="CK1844" s="48"/>
    </row>
    <row r="1845" spans="1:89" ht="15.75" customHeight="1" x14ac:dyDescent="0.3">
      <c r="A1845" s="47"/>
      <c r="B1845" s="48"/>
      <c r="C1845" s="47"/>
      <c r="D1845" s="48"/>
      <c r="E1845" s="48"/>
      <c r="F1845" s="48"/>
      <c r="G1845" s="48"/>
      <c r="H1845" s="48"/>
      <c r="I1845" s="49"/>
      <c r="J1845" s="47"/>
      <c r="K1845" s="47"/>
      <c r="L1845" s="47"/>
      <c r="M1845" s="47"/>
      <c r="N1845" s="47"/>
      <c r="O1845" s="47"/>
      <c r="P1845" s="47"/>
      <c r="Q1845" s="47"/>
      <c r="R1845" s="47"/>
      <c r="S1845" s="50"/>
      <c r="T1845" s="47"/>
      <c r="U1845" s="47"/>
      <c r="V1845" s="47"/>
      <c r="W1845" s="51"/>
      <c r="X1845" s="51"/>
      <c r="Y1845" s="47"/>
      <c r="Z1845" s="47"/>
      <c r="AA1845" s="47"/>
      <c r="AB1845" s="47"/>
      <c r="AC1845" s="47"/>
      <c r="AD1845" s="47"/>
      <c r="AE1845" s="54"/>
      <c r="AF1845" s="54"/>
      <c r="AG1845" s="55"/>
      <c r="AH1845" s="54"/>
      <c r="AI1845" s="54"/>
      <c r="AJ1845" s="54"/>
      <c r="AK1845" s="54"/>
      <c r="AL1845" s="54"/>
      <c r="AM1845" s="54"/>
      <c r="AN1845" s="54"/>
      <c r="AO1845" s="54"/>
      <c r="AP1845" s="54"/>
      <c r="AQ1845" s="54"/>
      <c r="AR1845" s="54"/>
      <c r="AS1845" s="54"/>
      <c r="AT1845" s="54"/>
      <c r="AU1845" s="54"/>
      <c r="AV1845" s="54"/>
      <c r="AW1845" s="54"/>
      <c r="AX1845" s="54"/>
      <c r="AY1845" s="54"/>
      <c r="AZ1845" s="54"/>
      <c r="BA1845" s="54"/>
      <c r="BB1845" s="54"/>
      <c r="BC1845" s="56"/>
      <c r="BD1845" s="51"/>
      <c r="BE1845" s="54"/>
      <c r="BF1845" s="54"/>
      <c r="BG1845" s="47"/>
      <c r="BH1845" s="48"/>
      <c r="BI1845" s="48"/>
      <c r="BJ1845" s="48"/>
      <c r="BK1845" s="48"/>
      <c r="BL1845" s="48"/>
      <c r="BM1845" s="48"/>
      <c r="BN1845" s="48"/>
      <c r="BO1845" s="48"/>
      <c r="BP1845" s="48"/>
      <c r="BQ1845" s="48"/>
      <c r="BR1845" s="48"/>
      <c r="BS1845" s="48"/>
      <c r="BT1845" s="48"/>
      <c r="BU1845" s="48"/>
      <c r="BV1845" s="48"/>
      <c r="BW1845" s="48"/>
      <c r="BX1845" s="48"/>
      <c r="BY1845" s="48"/>
      <c r="BZ1845" s="48"/>
      <c r="CA1845" s="48"/>
      <c r="CB1845" s="48"/>
      <c r="CC1845" s="48"/>
      <c r="CD1845" s="48"/>
      <c r="CE1845" s="48"/>
      <c r="CF1845" s="52"/>
      <c r="CG1845" s="52"/>
      <c r="CH1845" s="48"/>
      <c r="CI1845" s="48"/>
      <c r="CJ1845" s="48"/>
      <c r="CK1845" s="48"/>
    </row>
    <row r="1846" spans="1:89" ht="15.75" customHeight="1" x14ac:dyDescent="0.3">
      <c r="A1846" s="47"/>
      <c r="B1846" s="48"/>
      <c r="C1846" s="47"/>
      <c r="D1846" s="48"/>
      <c r="E1846" s="48"/>
      <c r="F1846" s="48"/>
      <c r="G1846" s="48"/>
      <c r="H1846" s="48"/>
      <c r="I1846" s="49"/>
      <c r="J1846" s="47"/>
      <c r="K1846" s="47"/>
      <c r="L1846" s="47"/>
      <c r="M1846" s="47"/>
      <c r="N1846" s="47"/>
      <c r="O1846" s="47"/>
      <c r="P1846" s="47"/>
      <c r="Q1846" s="47"/>
      <c r="R1846" s="47"/>
      <c r="S1846" s="50"/>
      <c r="T1846" s="47"/>
      <c r="U1846" s="47"/>
      <c r="V1846" s="47"/>
      <c r="W1846" s="51"/>
      <c r="X1846" s="51"/>
      <c r="Y1846" s="47"/>
      <c r="Z1846" s="47"/>
      <c r="AA1846" s="47"/>
      <c r="AB1846" s="47"/>
      <c r="AC1846" s="47"/>
      <c r="AD1846" s="47"/>
      <c r="AE1846" s="54"/>
      <c r="AF1846" s="54"/>
      <c r="AG1846" s="55"/>
      <c r="AH1846" s="54"/>
      <c r="AI1846" s="54"/>
      <c r="AJ1846" s="54"/>
      <c r="AK1846" s="54"/>
      <c r="AL1846" s="54"/>
      <c r="AM1846" s="54"/>
      <c r="AN1846" s="54"/>
      <c r="AO1846" s="54"/>
      <c r="AP1846" s="54"/>
      <c r="AQ1846" s="54"/>
      <c r="AR1846" s="54"/>
      <c r="AS1846" s="54"/>
      <c r="AT1846" s="54"/>
      <c r="AU1846" s="54"/>
      <c r="AV1846" s="54"/>
      <c r="AW1846" s="54"/>
      <c r="AX1846" s="54"/>
      <c r="AY1846" s="54"/>
      <c r="AZ1846" s="54"/>
      <c r="BA1846" s="54"/>
      <c r="BB1846" s="54"/>
      <c r="BC1846" s="56"/>
      <c r="BD1846" s="51"/>
      <c r="BE1846" s="54"/>
      <c r="BF1846" s="54"/>
      <c r="BG1846" s="47"/>
      <c r="BH1846" s="48"/>
      <c r="BI1846" s="48"/>
      <c r="BJ1846" s="48"/>
      <c r="BK1846" s="48"/>
      <c r="BL1846" s="48"/>
      <c r="BM1846" s="48"/>
      <c r="BN1846" s="48"/>
      <c r="BO1846" s="48"/>
      <c r="BP1846" s="48"/>
      <c r="BQ1846" s="48"/>
      <c r="BR1846" s="48"/>
      <c r="BS1846" s="48"/>
      <c r="BT1846" s="48"/>
      <c r="BU1846" s="48"/>
      <c r="BV1846" s="48"/>
      <c r="BW1846" s="48"/>
      <c r="BX1846" s="48"/>
      <c r="BY1846" s="48"/>
      <c r="BZ1846" s="48"/>
      <c r="CA1846" s="48"/>
      <c r="CB1846" s="48"/>
      <c r="CC1846" s="48"/>
      <c r="CD1846" s="48"/>
      <c r="CE1846" s="48"/>
      <c r="CF1846" s="52"/>
      <c r="CG1846" s="52"/>
      <c r="CH1846" s="48"/>
      <c r="CI1846" s="48"/>
      <c r="CJ1846" s="48"/>
      <c r="CK1846" s="48"/>
    </row>
    <row r="1847" spans="1:89" ht="15.75" customHeight="1" x14ac:dyDescent="0.3">
      <c r="A1847" s="47"/>
      <c r="B1847" s="48"/>
      <c r="C1847" s="47"/>
      <c r="D1847" s="48"/>
      <c r="E1847" s="48"/>
      <c r="F1847" s="48"/>
      <c r="G1847" s="48"/>
      <c r="H1847" s="48"/>
      <c r="I1847" s="49"/>
      <c r="J1847" s="47"/>
      <c r="K1847" s="47"/>
      <c r="L1847" s="47"/>
      <c r="M1847" s="47"/>
      <c r="N1847" s="47"/>
      <c r="O1847" s="47"/>
      <c r="P1847" s="47"/>
      <c r="Q1847" s="47"/>
      <c r="R1847" s="47"/>
      <c r="S1847" s="50"/>
      <c r="T1847" s="47"/>
      <c r="U1847" s="47"/>
      <c r="V1847" s="47"/>
      <c r="W1847" s="51"/>
      <c r="X1847" s="51"/>
      <c r="Y1847" s="47"/>
      <c r="Z1847" s="47"/>
      <c r="AA1847" s="47"/>
      <c r="AB1847" s="47"/>
      <c r="AC1847" s="47"/>
      <c r="AD1847" s="47"/>
      <c r="AE1847" s="54"/>
      <c r="AF1847" s="54"/>
      <c r="AG1847" s="55"/>
      <c r="AH1847" s="54"/>
      <c r="AI1847" s="54"/>
      <c r="AJ1847" s="54"/>
      <c r="AK1847" s="54"/>
      <c r="AL1847" s="54"/>
      <c r="AM1847" s="54"/>
      <c r="AN1847" s="54"/>
      <c r="AO1847" s="54"/>
      <c r="AP1847" s="54"/>
      <c r="AQ1847" s="54"/>
      <c r="AR1847" s="54"/>
      <c r="AS1847" s="54"/>
      <c r="AT1847" s="54"/>
      <c r="AU1847" s="54"/>
      <c r="AV1847" s="54"/>
      <c r="AW1847" s="54"/>
      <c r="AX1847" s="54"/>
      <c r="AY1847" s="54"/>
      <c r="AZ1847" s="54"/>
      <c r="BA1847" s="54"/>
      <c r="BB1847" s="54"/>
      <c r="BC1847" s="56"/>
      <c r="BD1847" s="51"/>
      <c r="BE1847" s="54"/>
      <c r="BF1847" s="54"/>
      <c r="BG1847" s="47"/>
      <c r="BH1847" s="48"/>
      <c r="BI1847" s="48"/>
      <c r="BJ1847" s="48"/>
      <c r="BK1847" s="48"/>
      <c r="BL1847" s="48"/>
      <c r="BM1847" s="48"/>
      <c r="BN1847" s="48"/>
      <c r="BO1847" s="48"/>
      <c r="BP1847" s="48"/>
      <c r="BQ1847" s="48"/>
      <c r="BR1847" s="48"/>
      <c r="BS1847" s="48"/>
      <c r="BT1847" s="48"/>
      <c r="BU1847" s="48"/>
      <c r="BV1847" s="48"/>
      <c r="BW1847" s="48"/>
      <c r="BX1847" s="48"/>
      <c r="BY1847" s="48"/>
      <c r="BZ1847" s="48"/>
      <c r="CA1847" s="48"/>
      <c r="CB1847" s="48"/>
      <c r="CC1847" s="48"/>
      <c r="CD1847" s="48"/>
      <c r="CE1847" s="48"/>
      <c r="CF1847" s="52"/>
      <c r="CG1847" s="52"/>
      <c r="CH1847" s="48"/>
      <c r="CI1847" s="48"/>
      <c r="CJ1847" s="48"/>
      <c r="CK1847" s="48"/>
    </row>
    <row r="1848" spans="1:89" ht="15.75" customHeight="1" x14ac:dyDescent="0.3">
      <c r="A1848" s="47"/>
      <c r="B1848" s="48"/>
      <c r="C1848" s="47"/>
      <c r="D1848" s="48"/>
      <c r="E1848" s="48"/>
      <c r="F1848" s="48"/>
      <c r="G1848" s="48"/>
      <c r="H1848" s="48"/>
      <c r="I1848" s="49"/>
      <c r="J1848" s="47"/>
      <c r="K1848" s="47"/>
      <c r="L1848" s="47"/>
      <c r="M1848" s="47"/>
      <c r="N1848" s="47"/>
      <c r="O1848" s="47"/>
      <c r="P1848" s="47"/>
      <c r="Q1848" s="47"/>
      <c r="R1848" s="47"/>
      <c r="S1848" s="50"/>
      <c r="T1848" s="47"/>
      <c r="U1848" s="47"/>
      <c r="V1848" s="47"/>
      <c r="W1848" s="51"/>
      <c r="X1848" s="51"/>
      <c r="Y1848" s="47"/>
      <c r="Z1848" s="47"/>
      <c r="AA1848" s="47"/>
      <c r="AB1848" s="47"/>
      <c r="AC1848" s="47"/>
      <c r="AD1848" s="47"/>
      <c r="AE1848" s="54"/>
      <c r="AF1848" s="54"/>
      <c r="AG1848" s="55"/>
      <c r="AH1848" s="54"/>
      <c r="AI1848" s="54"/>
      <c r="AJ1848" s="54"/>
      <c r="AK1848" s="54"/>
      <c r="AL1848" s="54"/>
      <c r="AM1848" s="54"/>
      <c r="AN1848" s="54"/>
      <c r="AO1848" s="54"/>
      <c r="AP1848" s="54"/>
      <c r="AQ1848" s="54"/>
      <c r="AR1848" s="54"/>
      <c r="AS1848" s="54"/>
      <c r="AT1848" s="54"/>
      <c r="AU1848" s="54"/>
      <c r="AV1848" s="54"/>
      <c r="AW1848" s="54"/>
      <c r="AX1848" s="54"/>
      <c r="AY1848" s="54"/>
      <c r="AZ1848" s="54"/>
      <c r="BA1848" s="54"/>
      <c r="BB1848" s="54"/>
      <c r="BC1848" s="56"/>
      <c r="BD1848" s="51"/>
      <c r="BE1848" s="54"/>
      <c r="BF1848" s="54"/>
      <c r="BG1848" s="47"/>
      <c r="BH1848" s="48"/>
      <c r="BI1848" s="48"/>
      <c r="BJ1848" s="48"/>
      <c r="BK1848" s="48"/>
      <c r="BL1848" s="48"/>
      <c r="BM1848" s="48"/>
      <c r="BN1848" s="48"/>
      <c r="BO1848" s="48"/>
      <c r="BP1848" s="48"/>
      <c r="BQ1848" s="48"/>
      <c r="BR1848" s="48"/>
      <c r="BS1848" s="48"/>
      <c r="BT1848" s="48"/>
      <c r="BU1848" s="48"/>
      <c r="BV1848" s="48"/>
      <c r="BW1848" s="48"/>
      <c r="BX1848" s="48"/>
      <c r="BY1848" s="48"/>
      <c r="BZ1848" s="48"/>
      <c r="CA1848" s="48"/>
      <c r="CB1848" s="48"/>
      <c r="CC1848" s="48"/>
      <c r="CD1848" s="48"/>
      <c r="CE1848" s="48"/>
      <c r="CF1848" s="52"/>
      <c r="CG1848" s="52"/>
      <c r="CH1848" s="48"/>
      <c r="CI1848" s="48"/>
      <c r="CJ1848" s="48"/>
      <c r="CK1848" s="48"/>
    </row>
    <row r="1849" spans="1:89" ht="15.75" customHeight="1" x14ac:dyDescent="0.3">
      <c r="A1849" s="47"/>
      <c r="B1849" s="48"/>
      <c r="C1849" s="47"/>
      <c r="D1849" s="48"/>
      <c r="E1849" s="48"/>
      <c r="F1849" s="48"/>
      <c r="G1849" s="48"/>
      <c r="H1849" s="48"/>
      <c r="I1849" s="49"/>
      <c r="J1849" s="47"/>
      <c r="K1849" s="47"/>
      <c r="L1849" s="47"/>
      <c r="M1849" s="47"/>
      <c r="N1849" s="47"/>
      <c r="O1849" s="47"/>
      <c r="P1849" s="47"/>
      <c r="Q1849" s="47"/>
      <c r="R1849" s="47"/>
      <c r="S1849" s="50"/>
      <c r="T1849" s="47"/>
      <c r="U1849" s="47"/>
      <c r="V1849" s="47"/>
      <c r="W1849" s="51"/>
      <c r="X1849" s="51"/>
      <c r="Y1849" s="47"/>
      <c r="Z1849" s="47"/>
      <c r="AA1849" s="47"/>
      <c r="AB1849" s="47"/>
      <c r="AC1849" s="47"/>
      <c r="AD1849" s="47"/>
      <c r="AE1849" s="54"/>
      <c r="AF1849" s="54"/>
      <c r="AG1849" s="55"/>
      <c r="AH1849" s="54"/>
      <c r="AI1849" s="54"/>
      <c r="AJ1849" s="54"/>
      <c r="AK1849" s="54"/>
      <c r="AL1849" s="54"/>
      <c r="AM1849" s="54"/>
      <c r="AN1849" s="54"/>
      <c r="AO1849" s="54"/>
      <c r="AP1849" s="54"/>
      <c r="AQ1849" s="54"/>
      <c r="AR1849" s="54"/>
      <c r="AS1849" s="54"/>
      <c r="AT1849" s="54"/>
      <c r="AU1849" s="54"/>
      <c r="AV1849" s="54"/>
      <c r="AW1849" s="54"/>
      <c r="AX1849" s="54"/>
      <c r="AY1849" s="54"/>
      <c r="AZ1849" s="54"/>
      <c r="BA1849" s="54"/>
      <c r="BB1849" s="54"/>
      <c r="BC1849" s="56"/>
      <c r="BD1849" s="51"/>
      <c r="BE1849" s="54"/>
      <c r="BF1849" s="54"/>
      <c r="BG1849" s="47"/>
      <c r="BH1849" s="48"/>
      <c r="BI1849" s="48"/>
      <c r="BJ1849" s="48"/>
      <c r="BK1849" s="48"/>
      <c r="BL1849" s="48"/>
      <c r="BM1849" s="48"/>
      <c r="BN1849" s="48"/>
      <c r="BO1849" s="48"/>
      <c r="BP1849" s="48"/>
      <c r="BQ1849" s="48"/>
      <c r="BR1849" s="48"/>
      <c r="BS1849" s="48"/>
      <c r="BT1849" s="48"/>
      <c r="BU1849" s="48"/>
      <c r="BV1849" s="48"/>
      <c r="BW1849" s="48"/>
      <c r="BX1849" s="48"/>
      <c r="BY1849" s="48"/>
      <c r="BZ1849" s="48"/>
      <c r="CA1849" s="48"/>
      <c r="CB1849" s="48"/>
      <c r="CC1849" s="48"/>
      <c r="CD1849" s="48"/>
      <c r="CE1849" s="48"/>
      <c r="CF1849" s="52"/>
      <c r="CG1849" s="52"/>
      <c r="CH1849" s="48"/>
      <c r="CI1849" s="48"/>
      <c r="CJ1849" s="48"/>
      <c r="CK1849" s="48"/>
    </row>
    <row r="1850" spans="1:89" ht="15.75" customHeight="1" x14ac:dyDescent="0.3">
      <c r="A1850" s="47"/>
      <c r="B1850" s="48"/>
      <c r="C1850" s="47"/>
      <c r="D1850" s="48"/>
      <c r="E1850" s="48"/>
      <c r="F1850" s="48"/>
      <c r="G1850" s="48"/>
      <c r="H1850" s="48"/>
      <c r="I1850" s="49"/>
      <c r="J1850" s="47"/>
      <c r="K1850" s="47"/>
      <c r="L1850" s="47"/>
      <c r="M1850" s="47"/>
      <c r="N1850" s="47"/>
      <c r="O1850" s="47"/>
      <c r="P1850" s="47"/>
      <c r="Q1850" s="47"/>
      <c r="R1850" s="47"/>
      <c r="S1850" s="50"/>
      <c r="T1850" s="47"/>
      <c r="U1850" s="47"/>
      <c r="V1850" s="47"/>
      <c r="W1850" s="51"/>
      <c r="X1850" s="51"/>
      <c r="Y1850" s="47"/>
      <c r="Z1850" s="47"/>
      <c r="AA1850" s="47"/>
      <c r="AB1850" s="47"/>
      <c r="AC1850" s="47"/>
      <c r="AD1850" s="47"/>
      <c r="AE1850" s="54"/>
      <c r="AF1850" s="54"/>
      <c r="AG1850" s="55"/>
      <c r="AH1850" s="54"/>
      <c r="AI1850" s="54"/>
      <c r="AJ1850" s="54"/>
      <c r="AK1850" s="54"/>
      <c r="AL1850" s="54"/>
      <c r="AM1850" s="54"/>
      <c r="AN1850" s="54"/>
      <c r="AO1850" s="54"/>
      <c r="AP1850" s="54"/>
      <c r="AQ1850" s="54"/>
      <c r="AR1850" s="54"/>
      <c r="AS1850" s="54"/>
      <c r="AT1850" s="54"/>
      <c r="AU1850" s="54"/>
      <c r="AV1850" s="54"/>
      <c r="AW1850" s="54"/>
      <c r="AX1850" s="54"/>
      <c r="AY1850" s="54"/>
      <c r="AZ1850" s="54"/>
      <c r="BA1850" s="54"/>
      <c r="BB1850" s="54"/>
      <c r="BC1850" s="56"/>
      <c r="BD1850" s="51"/>
      <c r="BE1850" s="54"/>
      <c r="BF1850" s="54"/>
      <c r="BG1850" s="47"/>
      <c r="BH1850" s="48"/>
      <c r="BI1850" s="48"/>
      <c r="BJ1850" s="48"/>
      <c r="BK1850" s="48"/>
      <c r="BL1850" s="48"/>
      <c r="BM1850" s="48"/>
      <c r="BN1850" s="48"/>
      <c r="BO1850" s="48"/>
      <c r="BP1850" s="48"/>
      <c r="BQ1850" s="48"/>
      <c r="BR1850" s="48"/>
      <c r="BS1850" s="48"/>
      <c r="BT1850" s="48"/>
      <c r="BU1850" s="48"/>
      <c r="BV1850" s="48"/>
      <c r="BW1850" s="48"/>
      <c r="BX1850" s="48"/>
      <c r="BY1850" s="48"/>
      <c r="BZ1850" s="48"/>
      <c r="CA1850" s="48"/>
      <c r="CB1850" s="48"/>
      <c r="CC1850" s="48"/>
      <c r="CD1850" s="48"/>
      <c r="CE1850" s="48"/>
      <c r="CF1850" s="52"/>
      <c r="CG1850" s="52"/>
      <c r="CH1850" s="48"/>
      <c r="CI1850" s="48"/>
      <c r="CJ1850" s="48"/>
      <c r="CK1850" s="48"/>
    </row>
    <row r="1851" spans="1:89" ht="15.75" customHeight="1" x14ac:dyDescent="0.3">
      <c r="A1851" s="47"/>
      <c r="B1851" s="48"/>
      <c r="C1851" s="47"/>
      <c r="D1851" s="48"/>
      <c r="E1851" s="48"/>
      <c r="F1851" s="48"/>
      <c r="G1851" s="48"/>
      <c r="H1851" s="48"/>
      <c r="I1851" s="49"/>
      <c r="J1851" s="47"/>
      <c r="K1851" s="47"/>
      <c r="L1851" s="47"/>
      <c r="M1851" s="47"/>
      <c r="N1851" s="47"/>
      <c r="O1851" s="47"/>
      <c r="P1851" s="47"/>
      <c r="Q1851" s="47"/>
      <c r="R1851" s="47"/>
      <c r="S1851" s="50"/>
      <c r="T1851" s="47"/>
      <c r="U1851" s="47"/>
      <c r="V1851" s="47"/>
      <c r="W1851" s="51"/>
      <c r="X1851" s="51"/>
      <c r="Y1851" s="47"/>
      <c r="Z1851" s="47"/>
      <c r="AA1851" s="47"/>
      <c r="AB1851" s="47"/>
      <c r="AC1851" s="47"/>
      <c r="AD1851" s="47"/>
      <c r="AE1851" s="54"/>
      <c r="AF1851" s="54"/>
      <c r="AG1851" s="55"/>
      <c r="AH1851" s="54"/>
      <c r="AI1851" s="54"/>
      <c r="AJ1851" s="54"/>
      <c r="AK1851" s="54"/>
      <c r="AL1851" s="54"/>
      <c r="AM1851" s="54"/>
      <c r="AN1851" s="54"/>
      <c r="AO1851" s="54"/>
      <c r="AP1851" s="54"/>
      <c r="AQ1851" s="54"/>
      <c r="AR1851" s="54"/>
      <c r="AS1851" s="54"/>
      <c r="AT1851" s="54"/>
      <c r="AU1851" s="54"/>
      <c r="AV1851" s="54"/>
      <c r="AW1851" s="54"/>
      <c r="AX1851" s="54"/>
      <c r="AY1851" s="54"/>
      <c r="AZ1851" s="54"/>
      <c r="BA1851" s="54"/>
      <c r="BB1851" s="54"/>
      <c r="BC1851" s="56"/>
      <c r="BD1851" s="51"/>
      <c r="BE1851" s="54"/>
      <c r="BF1851" s="54"/>
      <c r="BG1851" s="47"/>
      <c r="BH1851" s="48"/>
      <c r="BI1851" s="48"/>
      <c r="BJ1851" s="48"/>
      <c r="BK1851" s="48"/>
      <c r="BL1851" s="48"/>
      <c r="BM1851" s="48"/>
      <c r="BN1851" s="48"/>
      <c r="BO1851" s="48"/>
      <c r="BP1851" s="48"/>
      <c r="BQ1851" s="48"/>
      <c r="BR1851" s="48"/>
      <c r="BS1851" s="48"/>
      <c r="BT1851" s="48"/>
      <c r="BU1851" s="48"/>
      <c r="BV1851" s="48"/>
      <c r="BW1851" s="48"/>
      <c r="BX1851" s="48"/>
      <c r="BY1851" s="48"/>
      <c r="BZ1851" s="48"/>
      <c r="CA1851" s="48"/>
      <c r="CB1851" s="48"/>
      <c r="CC1851" s="48"/>
      <c r="CD1851" s="48"/>
      <c r="CE1851" s="48"/>
      <c r="CF1851" s="52"/>
      <c r="CG1851" s="52"/>
      <c r="CH1851" s="48"/>
      <c r="CI1851" s="48"/>
      <c r="CJ1851" s="48"/>
      <c r="CK1851" s="48"/>
    </row>
    <row r="1852" spans="1:89" ht="15.75" customHeight="1" x14ac:dyDescent="0.3">
      <c r="A1852" s="47"/>
      <c r="B1852" s="48"/>
      <c r="C1852" s="47"/>
      <c r="D1852" s="48"/>
      <c r="E1852" s="48"/>
      <c r="F1852" s="48"/>
      <c r="G1852" s="48"/>
      <c r="H1852" s="48"/>
      <c r="I1852" s="49"/>
      <c r="J1852" s="47"/>
      <c r="K1852" s="47"/>
      <c r="L1852" s="47"/>
      <c r="M1852" s="47"/>
      <c r="N1852" s="47"/>
      <c r="O1852" s="47"/>
      <c r="P1852" s="47"/>
      <c r="Q1852" s="47"/>
      <c r="R1852" s="47"/>
      <c r="S1852" s="50"/>
      <c r="T1852" s="47"/>
      <c r="U1852" s="47"/>
      <c r="V1852" s="47"/>
      <c r="W1852" s="51"/>
      <c r="X1852" s="51"/>
      <c r="Y1852" s="47"/>
      <c r="Z1852" s="47"/>
      <c r="AA1852" s="47"/>
      <c r="AB1852" s="47"/>
      <c r="AC1852" s="47"/>
      <c r="AD1852" s="47"/>
      <c r="AE1852" s="54"/>
      <c r="AF1852" s="54"/>
      <c r="AG1852" s="55"/>
      <c r="AH1852" s="54"/>
      <c r="AI1852" s="54"/>
      <c r="AJ1852" s="54"/>
      <c r="AK1852" s="54"/>
      <c r="AL1852" s="54"/>
      <c r="AM1852" s="54"/>
      <c r="AN1852" s="54"/>
      <c r="AO1852" s="54"/>
      <c r="AP1852" s="54"/>
      <c r="AQ1852" s="54"/>
      <c r="AR1852" s="54"/>
      <c r="AS1852" s="54"/>
      <c r="AT1852" s="54"/>
      <c r="AU1852" s="54"/>
      <c r="AV1852" s="54"/>
      <c r="AW1852" s="54"/>
      <c r="AX1852" s="54"/>
      <c r="AY1852" s="54"/>
      <c r="AZ1852" s="54"/>
      <c r="BA1852" s="54"/>
      <c r="BB1852" s="54"/>
      <c r="BC1852" s="56"/>
      <c r="BD1852" s="51"/>
      <c r="BE1852" s="54"/>
      <c r="BF1852" s="54"/>
      <c r="BG1852" s="47"/>
      <c r="BH1852" s="48"/>
      <c r="BI1852" s="48"/>
      <c r="BJ1852" s="48"/>
      <c r="BK1852" s="48"/>
      <c r="BL1852" s="48"/>
      <c r="BM1852" s="48"/>
      <c r="BN1852" s="48"/>
      <c r="BO1852" s="48"/>
      <c r="BP1852" s="48"/>
      <c r="BQ1852" s="48"/>
      <c r="BR1852" s="48"/>
      <c r="BS1852" s="48"/>
      <c r="BT1852" s="48"/>
      <c r="BU1852" s="48"/>
      <c r="BV1852" s="48"/>
      <c r="BW1852" s="48"/>
      <c r="BX1852" s="48"/>
      <c r="BY1852" s="48"/>
      <c r="BZ1852" s="48"/>
      <c r="CA1852" s="48"/>
      <c r="CB1852" s="48"/>
      <c r="CC1852" s="48"/>
      <c r="CD1852" s="48"/>
      <c r="CE1852" s="48"/>
      <c r="CF1852" s="52"/>
      <c r="CG1852" s="52"/>
      <c r="CH1852" s="48"/>
      <c r="CI1852" s="48"/>
      <c r="CJ1852" s="48"/>
      <c r="CK1852" s="48"/>
    </row>
    <row r="1853" spans="1:89" ht="15.75" customHeight="1" x14ac:dyDescent="0.3">
      <c r="A1853" s="47"/>
      <c r="B1853" s="48"/>
      <c r="C1853" s="47"/>
      <c r="D1853" s="48"/>
      <c r="E1853" s="48"/>
      <c r="F1853" s="48"/>
      <c r="G1853" s="48"/>
      <c r="H1853" s="48"/>
      <c r="I1853" s="49"/>
      <c r="J1853" s="47"/>
      <c r="K1853" s="47"/>
      <c r="L1853" s="47"/>
      <c r="M1853" s="47"/>
      <c r="N1853" s="47"/>
      <c r="O1853" s="47"/>
      <c r="P1853" s="47"/>
      <c r="Q1853" s="47"/>
      <c r="R1853" s="47"/>
      <c r="S1853" s="50"/>
      <c r="T1853" s="47"/>
      <c r="U1853" s="47"/>
      <c r="V1853" s="47"/>
      <c r="W1853" s="51"/>
      <c r="X1853" s="51"/>
      <c r="Y1853" s="47"/>
      <c r="Z1853" s="47"/>
      <c r="AA1853" s="47"/>
      <c r="AB1853" s="47"/>
      <c r="AC1853" s="47"/>
      <c r="AD1853" s="47"/>
      <c r="AE1853" s="54"/>
      <c r="AF1853" s="54"/>
      <c r="AG1853" s="55"/>
      <c r="AH1853" s="54"/>
      <c r="AI1853" s="54"/>
      <c r="AJ1853" s="54"/>
      <c r="AK1853" s="54"/>
      <c r="AL1853" s="54"/>
      <c r="AM1853" s="54"/>
      <c r="AN1853" s="54"/>
      <c r="AO1853" s="54"/>
      <c r="AP1853" s="54"/>
      <c r="AQ1853" s="54"/>
      <c r="AR1853" s="54"/>
      <c r="AS1853" s="54"/>
      <c r="AT1853" s="54"/>
      <c r="AU1853" s="54"/>
      <c r="AV1853" s="54"/>
      <c r="AW1853" s="54"/>
      <c r="AX1853" s="54"/>
      <c r="AY1853" s="54"/>
      <c r="AZ1853" s="54"/>
      <c r="BA1853" s="54"/>
      <c r="BB1853" s="54"/>
      <c r="BC1853" s="56"/>
      <c r="BD1853" s="51"/>
      <c r="BE1853" s="54"/>
      <c r="BF1853" s="54"/>
      <c r="BG1853" s="47"/>
      <c r="BH1853" s="48"/>
      <c r="BI1853" s="48"/>
      <c r="BJ1853" s="48"/>
      <c r="BK1853" s="48"/>
      <c r="BL1853" s="48"/>
      <c r="BM1853" s="48"/>
      <c r="BN1853" s="48"/>
      <c r="BO1853" s="48"/>
      <c r="BP1853" s="48"/>
      <c r="BQ1853" s="48"/>
      <c r="BR1853" s="48"/>
      <c r="BS1853" s="48"/>
      <c r="BT1853" s="48"/>
      <c r="BU1853" s="48"/>
      <c r="BV1853" s="48"/>
      <c r="BW1853" s="48"/>
      <c r="BX1853" s="48"/>
      <c r="BY1853" s="48"/>
      <c r="BZ1853" s="48"/>
      <c r="CA1853" s="48"/>
      <c r="CB1853" s="48"/>
      <c r="CC1853" s="48"/>
      <c r="CD1853" s="48"/>
      <c r="CE1853" s="48"/>
      <c r="CF1853" s="52"/>
      <c r="CG1853" s="52"/>
      <c r="CH1853" s="48"/>
      <c r="CI1853" s="48"/>
      <c r="CJ1853" s="48"/>
      <c r="CK1853" s="48"/>
    </row>
    <row r="1854" spans="1:89" ht="15.75" customHeight="1" x14ac:dyDescent="0.3">
      <c r="A1854" s="47"/>
      <c r="B1854" s="48"/>
      <c r="C1854" s="47"/>
      <c r="D1854" s="48"/>
      <c r="E1854" s="48"/>
      <c r="F1854" s="48"/>
      <c r="G1854" s="48"/>
      <c r="H1854" s="48"/>
      <c r="I1854" s="49"/>
      <c r="J1854" s="47"/>
      <c r="K1854" s="47"/>
      <c r="L1854" s="47"/>
      <c r="M1854" s="47"/>
      <c r="N1854" s="47"/>
      <c r="O1854" s="47"/>
      <c r="P1854" s="47"/>
      <c r="Q1854" s="47"/>
      <c r="R1854" s="47"/>
      <c r="S1854" s="50"/>
      <c r="T1854" s="47"/>
      <c r="U1854" s="47"/>
      <c r="V1854" s="47"/>
      <c r="W1854" s="51"/>
      <c r="X1854" s="51"/>
      <c r="Y1854" s="47"/>
      <c r="Z1854" s="47"/>
      <c r="AA1854" s="47"/>
      <c r="AB1854" s="47"/>
      <c r="AC1854" s="47"/>
      <c r="AD1854" s="47"/>
      <c r="AE1854" s="54"/>
      <c r="AF1854" s="54"/>
      <c r="AG1854" s="55"/>
      <c r="AH1854" s="54"/>
      <c r="AI1854" s="54"/>
      <c r="AJ1854" s="54"/>
      <c r="AK1854" s="54"/>
      <c r="AL1854" s="54"/>
      <c r="AM1854" s="54"/>
      <c r="AN1854" s="54"/>
      <c r="AO1854" s="54"/>
      <c r="AP1854" s="54"/>
      <c r="AQ1854" s="54"/>
      <c r="AR1854" s="54"/>
      <c r="AS1854" s="54"/>
      <c r="AT1854" s="54"/>
      <c r="AU1854" s="54"/>
      <c r="AV1854" s="54"/>
      <c r="AW1854" s="54"/>
      <c r="AX1854" s="54"/>
      <c r="AY1854" s="54"/>
      <c r="AZ1854" s="54"/>
      <c r="BA1854" s="54"/>
      <c r="BB1854" s="54"/>
      <c r="BC1854" s="56"/>
      <c r="BD1854" s="51"/>
      <c r="BE1854" s="54"/>
      <c r="BF1854" s="54"/>
      <c r="BG1854" s="47"/>
      <c r="BH1854" s="48"/>
      <c r="BI1854" s="48"/>
      <c r="BJ1854" s="48"/>
      <c r="BK1854" s="48"/>
      <c r="BL1854" s="48"/>
      <c r="BM1854" s="48"/>
      <c r="BN1854" s="48"/>
      <c r="BO1854" s="48"/>
      <c r="BP1854" s="48"/>
      <c r="BQ1854" s="48"/>
      <c r="BR1854" s="48"/>
      <c r="BS1854" s="48"/>
      <c r="BT1854" s="48"/>
      <c r="BU1854" s="48"/>
      <c r="BV1854" s="48"/>
      <c r="BW1854" s="48"/>
      <c r="BX1854" s="48"/>
      <c r="BY1854" s="48"/>
      <c r="BZ1854" s="48"/>
      <c r="CA1854" s="48"/>
      <c r="CB1854" s="48"/>
      <c r="CC1854" s="48"/>
      <c r="CD1854" s="48"/>
      <c r="CE1854" s="48"/>
      <c r="CF1854" s="52"/>
      <c r="CG1854" s="52"/>
      <c r="CH1854" s="48"/>
      <c r="CI1854" s="48"/>
      <c r="CJ1854" s="48"/>
      <c r="CK1854" s="48"/>
    </row>
    <row r="1855" spans="1:89" ht="15.75" customHeight="1" x14ac:dyDescent="0.3">
      <c r="A1855" s="47"/>
      <c r="B1855" s="48"/>
      <c r="C1855" s="47"/>
      <c r="D1855" s="48"/>
      <c r="E1855" s="48"/>
      <c r="F1855" s="48"/>
      <c r="G1855" s="48"/>
      <c r="H1855" s="48"/>
      <c r="I1855" s="49"/>
      <c r="J1855" s="47"/>
      <c r="K1855" s="47"/>
      <c r="L1855" s="47"/>
      <c r="M1855" s="47"/>
      <c r="N1855" s="47"/>
      <c r="O1855" s="47"/>
      <c r="P1855" s="47"/>
      <c r="Q1855" s="47"/>
      <c r="R1855" s="47"/>
      <c r="S1855" s="50"/>
      <c r="T1855" s="47"/>
      <c r="U1855" s="47"/>
      <c r="V1855" s="47"/>
      <c r="W1855" s="51"/>
      <c r="X1855" s="51"/>
      <c r="Y1855" s="47"/>
      <c r="Z1855" s="47"/>
      <c r="AA1855" s="47"/>
      <c r="AB1855" s="47"/>
      <c r="AC1855" s="47"/>
      <c r="AD1855" s="47"/>
      <c r="AE1855" s="54"/>
      <c r="AF1855" s="54"/>
      <c r="AG1855" s="55"/>
      <c r="AH1855" s="54"/>
      <c r="AI1855" s="54"/>
      <c r="AJ1855" s="54"/>
      <c r="AK1855" s="54"/>
      <c r="AL1855" s="54"/>
      <c r="AM1855" s="54"/>
      <c r="AN1855" s="54"/>
      <c r="AO1855" s="54"/>
      <c r="AP1855" s="54"/>
      <c r="AQ1855" s="54"/>
      <c r="AR1855" s="54"/>
      <c r="AS1855" s="54"/>
      <c r="AT1855" s="54"/>
      <c r="AU1855" s="54"/>
      <c r="AV1855" s="54"/>
      <c r="AW1855" s="54"/>
      <c r="AX1855" s="54"/>
      <c r="AY1855" s="54"/>
      <c r="AZ1855" s="54"/>
      <c r="BA1855" s="54"/>
      <c r="BB1855" s="54"/>
      <c r="BC1855" s="56"/>
      <c r="BD1855" s="51"/>
      <c r="BE1855" s="54"/>
      <c r="BF1855" s="54"/>
      <c r="BG1855" s="47"/>
      <c r="BH1855" s="48"/>
      <c r="BI1855" s="48"/>
      <c r="BJ1855" s="48"/>
      <c r="BK1855" s="48"/>
      <c r="BL1855" s="48"/>
      <c r="BM1855" s="48"/>
      <c r="BN1855" s="48"/>
      <c r="BO1855" s="48"/>
      <c r="BP1855" s="48"/>
      <c r="BQ1855" s="48"/>
      <c r="BR1855" s="48"/>
      <c r="BS1855" s="48"/>
      <c r="BT1855" s="48"/>
      <c r="BU1855" s="48"/>
      <c r="BV1855" s="48"/>
      <c r="BW1855" s="48"/>
      <c r="BX1855" s="48"/>
      <c r="BY1855" s="48"/>
      <c r="BZ1855" s="48"/>
      <c r="CA1855" s="48"/>
      <c r="CB1855" s="48"/>
      <c r="CC1855" s="48"/>
      <c r="CD1855" s="48"/>
      <c r="CE1855" s="48"/>
      <c r="CF1855" s="52"/>
      <c r="CG1855" s="52"/>
      <c r="CH1855" s="48"/>
      <c r="CI1855" s="48"/>
      <c r="CJ1855" s="48"/>
      <c r="CK1855" s="48"/>
    </row>
    <row r="1856" spans="1:89" ht="15.75" customHeight="1" x14ac:dyDescent="0.3">
      <c r="A1856" s="47"/>
      <c r="B1856" s="48"/>
      <c r="C1856" s="47"/>
      <c r="D1856" s="48"/>
      <c r="E1856" s="48"/>
      <c r="F1856" s="48"/>
      <c r="G1856" s="48"/>
      <c r="H1856" s="48"/>
      <c r="I1856" s="49"/>
      <c r="J1856" s="47"/>
      <c r="K1856" s="47"/>
      <c r="L1856" s="47"/>
      <c r="M1856" s="47"/>
      <c r="N1856" s="47"/>
      <c r="O1856" s="47"/>
      <c r="P1856" s="47"/>
      <c r="Q1856" s="47"/>
      <c r="R1856" s="47"/>
      <c r="S1856" s="50"/>
      <c r="T1856" s="47"/>
      <c r="U1856" s="47"/>
      <c r="V1856" s="47"/>
      <c r="W1856" s="51"/>
      <c r="X1856" s="51"/>
      <c r="Y1856" s="47"/>
      <c r="Z1856" s="47"/>
      <c r="AA1856" s="47"/>
      <c r="AB1856" s="47"/>
      <c r="AC1856" s="47"/>
      <c r="AD1856" s="47"/>
      <c r="AE1856" s="54"/>
      <c r="AF1856" s="54"/>
      <c r="AG1856" s="55"/>
      <c r="AH1856" s="54"/>
      <c r="AI1856" s="54"/>
      <c r="AJ1856" s="54"/>
      <c r="AK1856" s="54"/>
      <c r="AL1856" s="54"/>
      <c r="AM1856" s="54"/>
      <c r="AN1856" s="54"/>
      <c r="AO1856" s="54"/>
      <c r="AP1856" s="54"/>
      <c r="AQ1856" s="54"/>
      <c r="AR1856" s="54"/>
      <c r="AS1856" s="54"/>
      <c r="AT1856" s="54"/>
      <c r="AU1856" s="54"/>
      <c r="AV1856" s="54"/>
      <c r="AW1856" s="54"/>
      <c r="AX1856" s="54"/>
      <c r="AY1856" s="54"/>
      <c r="AZ1856" s="54"/>
      <c r="BA1856" s="54"/>
      <c r="BB1856" s="54"/>
      <c r="BC1856" s="56"/>
      <c r="BD1856" s="51"/>
      <c r="BE1856" s="54"/>
      <c r="BF1856" s="54"/>
      <c r="BG1856" s="47"/>
      <c r="BH1856" s="48"/>
      <c r="BI1856" s="48"/>
      <c r="BJ1856" s="48"/>
      <c r="BK1856" s="48"/>
      <c r="BL1856" s="48"/>
      <c r="BM1856" s="48"/>
      <c r="BN1856" s="48"/>
      <c r="BO1856" s="48"/>
      <c r="BP1856" s="48"/>
      <c r="BQ1856" s="48"/>
      <c r="BR1856" s="48"/>
      <c r="BS1856" s="48"/>
      <c r="BT1856" s="48"/>
      <c r="BU1856" s="48"/>
      <c r="BV1856" s="48"/>
      <c r="BW1856" s="48"/>
      <c r="BX1856" s="48"/>
      <c r="BY1856" s="48"/>
      <c r="BZ1856" s="48"/>
      <c r="CA1856" s="48"/>
      <c r="CB1856" s="48"/>
      <c r="CC1856" s="48"/>
      <c r="CD1856" s="48"/>
      <c r="CE1856" s="48"/>
      <c r="CF1856" s="52"/>
      <c r="CG1856" s="52"/>
      <c r="CH1856" s="48"/>
      <c r="CI1856" s="48"/>
      <c r="CJ1856" s="48"/>
      <c r="CK1856" s="48"/>
    </row>
    <row r="1857" spans="1:89" ht="15.75" customHeight="1" x14ac:dyDescent="0.3">
      <c r="A1857" s="47"/>
      <c r="B1857" s="48"/>
      <c r="C1857" s="47"/>
      <c r="D1857" s="48"/>
      <c r="E1857" s="48"/>
      <c r="F1857" s="48"/>
      <c r="G1857" s="48"/>
      <c r="H1857" s="48"/>
      <c r="I1857" s="49"/>
      <c r="J1857" s="47"/>
      <c r="K1857" s="47"/>
      <c r="L1857" s="47"/>
      <c r="M1857" s="47"/>
      <c r="N1857" s="47"/>
      <c r="O1857" s="47"/>
      <c r="P1857" s="47"/>
      <c r="Q1857" s="47"/>
      <c r="R1857" s="47"/>
      <c r="S1857" s="50"/>
      <c r="T1857" s="47"/>
      <c r="U1857" s="47"/>
      <c r="V1857" s="47"/>
      <c r="W1857" s="51"/>
      <c r="X1857" s="51"/>
      <c r="Y1857" s="47"/>
      <c r="Z1857" s="47"/>
      <c r="AA1857" s="47"/>
      <c r="AB1857" s="47"/>
      <c r="AC1857" s="47"/>
      <c r="AD1857" s="47"/>
      <c r="AE1857" s="54"/>
      <c r="AF1857" s="54"/>
      <c r="AG1857" s="55"/>
      <c r="AH1857" s="54"/>
      <c r="AI1857" s="54"/>
      <c r="AJ1857" s="54"/>
      <c r="AK1857" s="54"/>
      <c r="AL1857" s="54"/>
      <c r="AM1857" s="54"/>
      <c r="AN1857" s="54"/>
      <c r="AO1857" s="54"/>
      <c r="AP1857" s="54"/>
      <c r="AQ1857" s="54"/>
      <c r="AR1857" s="54"/>
      <c r="AS1857" s="54"/>
      <c r="AT1857" s="54"/>
      <c r="AU1857" s="54"/>
      <c r="AV1857" s="54"/>
      <c r="AW1857" s="54"/>
      <c r="AX1857" s="54"/>
      <c r="AY1857" s="54"/>
      <c r="AZ1857" s="54"/>
      <c r="BA1857" s="54"/>
      <c r="BB1857" s="54"/>
      <c r="BC1857" s="56"/>
      <c r="BD1857" s="51"/>
      <c r="BE1857" s="54"/>
      <c r="BF1857" s="54"/>
      <c r="BG1857" s="47"/>
      <c r="BH1857" s="48"/>
      <c r="BI1857" s="48"/>
      <c r="BJ1857" s="48"/>
      <c r="BK1857" s="48"/>
      <c r="BL1857" s="48"/>
      <c r="BM1857" s="48"/>
      <c r="BN1857" s="48"/>
      <c r="BO1857" s="48"/>
      <c r="BP1857" s="48"/>
      <c r="BQ1857" s="48"/>
      <c r="BR1857" s="48"/>
      <c r="BS1857" s="48"/>
      <c r="BT1857" s="48"/>
      <c r="BU1857" s="48"/>
      <c r="BV1857" s="48"/>
      <c r="BW1857" s="48"/>
      <c r="BX1857" s="48"/>
      <c r="BY1857" s="48"/>
      <c r="BZ1857" s="48"/>
      <c r="CA1857" s="48"/>
      <c r="CB1857" s="48"/>
      <c r="CC1857" s="48"/>
      <c r="CD1857" s="48"/>
      <c r="CE1857" s="48"/>
      <c r="CF1857" s="52"/>
      <c r="CG1857" s="52"/>
      <c r="CH1857" s="48"/>
      <c r="CI1857" s="48"/>
      <c r="CJ1857" s="48"/>
      <c r="CK1857" s="48"/>
    </row>
    <row r="1858" spans="1:89" ht="15.75" customHeight="1" x14ac:dyDescent="0.3">
      <c r="A1858" s="47"/>
      <c r="B1858" s="48"/>
      <c r="C1858" s="47"/>
      <c r="D1858" s="48"/>
      <c r="E1858" s="48"/>
      <c r="F1858" s="48"/>
      <c r="G1858" s="48"/>
      <c r="H1858" s="48"/>
      <c r="I1858" s="49"/>
      <c r="J1858" s="47"/>
      <c r="K1858" s="47"/>
      <c r="L1858" s="47"/>
      <c r="M1858" s="47"/>
      <c r="N1858" s="47"/>
      <c r="O1858" s="47"/>
      <c r="P1858" s="47"/>
      <c r="Q1858" s="47"/>
      <c r="R1858" s="47"/>
      <c r="S1858" s="50"/>
      <c r="T1858" s="47"/>
      <c r="U1858" s="47"/>
      <c r="V1858" s="47"/>
      <c r="W1858" s="51"/>
      <c r="X1858" s="51"/>
      <c r="Y1858" s="47"/>
      <c r="Z1858" s="47"/>
      <c r="AA1858" s="47"/>
      <c r="AB1858" s="47"/>
      <c r="AC1858" s="47"/>
      <c r="AD1858" s="47"/>
      <c r="AE1858" s="54"/>
      <c r="AF1858" s="54"/>
      <c r="AG1858" s="55"/>
      <c r="AH1858" s="54"/>
      <c r="AI1858" s="54"/>
      <c r="AJ1858" s="54"/>
      <c r="AK1858" s="54"/>
      <c r="AL1858" s="54"/>
      <c r="AM1858" s="54"/>
      <c r="AN1858" s="54"/>
      <c r="AO1858" s="54"/>
      <c r="AP1858" s="54"/>
      <c r="AQ1858" s="54"/>
      <c r="AR1858" s="54"/>
      <c r="AS1858" s="54"/>
      <c r="AT1858" s="54"/>
      <c r="AU1858" s="54"/>
      <c r="AV1858" s="54"/>
      <c r="AW1858" s="54"/>
      <c r="AX1858" s="54"/>
      <c r="AY1858" s="54"/>
      <c r="AZ1858" s="54"/>
      <c r="BA1858" s="54"/>
      <c r="BB1858" s="54"/>
      <c r="BC1858" s="56"/>
      <c r="BD1858" s="51"/>
      <c r="BE1858" s="54"/>
      <c r="BF1858" s="54"/>
      <c r="BG1858" s="47"/>
      <c r="BH1858" s="48"/>
      <c r="BI1858" s="48"/>
      <c r="BJ1858" s="48"/>
      <c r="BK1858" s="48"/>
      <c r="BL1858" s="48"/>
      <c r="BM1858" s="48"/>
      <c r="BN1858" s="48"/>
      <c r="BO1858" s="48"/>
      <c r="BP1858" s="48"/>
      <c r="BQ1858" s="48"/>
      <c r="BR1858" s="48"/>
      <c r="BS1858" s="48"/>
      <c r="BT1858" s="48"/>
      <c r="BU1858" s="48"/>
      <c r="BV1858" s="48"/>
      <c r="BW1858" s="48"/>
      <c r="BX1858" s="48"/>
      <c r="BY1858" s="48"/>
      <c r="BZ1858" s="48"/>
      <c r="CA1858" s="48"/>
      <c r="CB1858" s="48"/>
      <c r="CC1858" s="48"/>
      <c r="CD1858" s="48"/>
      <c r="CE1858" s="48"/>
      <c r="CF1858" s="52"/>
      <c r="CG1858" s="52"/>
      <c r="CH1858" s="48"/>
      <c r="CI1858" s="48"/>
      <c r="CJ1858" s="48"/>
      <c r="CK1858" s="48"/>
    </row>
    <row r="1859" spans="1:89" ht="15.75" customHeight="1" x14ac:dyDescent="0.3">
      <c r="A1859" s="47"/>
      <c r="B1859" s="48"/>
      <c r="C1859" s="47"/>
      <c r="D1859" s="48"/>
      <c r="E1859" s="48"/>
      <c r="F1859" s="48"/>
      <c r="G1859" s="48"/>
      <c r="H1859" s="48"/>
      <c r="I1859" s="49"/>
      <c r="J1859" s="47"/>
      <c r="K1859" s="47"/>
      <c r="L1859" s="47"/>
      <c r="M1859" s="47"/>
      <c r="N1859" s="47"/>
      <c r="O1859" s="47"/>
      <c r="P1859" s="47"/>
      <c r="Q1859" s="47"/>
      <c r="R1859" s="47"/>
      <c r="S1859" s="50"/>
      <c r="T1859" s="47"/>
      <c r="U1859" s="47"/>
      <c r="V1859" s="47"/>
      <c r="W1859" s="51"/>
      <c r="X1859" s="51"/>
      <c r="Y1859" s="47"/>
      <c r="Z1859" s="47"/>
      <c r="AA1859" s="47"/>
      <c r="AB1859" s="47"/>
      <c r="AC1859" s="47"/>
      <c r="AD1859" s="47"/>
      <c r="AE1859" s="54"/>
      <c r="AF1859" s="54"/>
      <c r="AG1859" s="55"/>
      <c r="AH1859" s="54"/>
      <c r="AI1859" s="54"/>
      <c r="AJ1859" s="54"/>
      <c r="AK1859" s="54"/>
      <c r="AL1859" s="54"/>
      <c r="AM1859" s="54"/>
      <c r="AN1859" s="54"/>
      <c r="AO1859" s="54"/>
      <c r="AP1859" s="54"/>
      <c r="AQ1859" s="54"/>
      <c r="AR1859" s="54"/>
      <c r="AS1859" s="54"/>
      <c r="AT1859" s="54"/>
      <c r="AU1859" s="54"/>
      <c r="AV1859" s="54"/>
      <c r="AW1859" s="54"/>
      <c r="AX1859" s="54"/>
      <c r="AY1859" s="54"/>
      <c r="AZ1859" s="54"/>
      <c r="BA1859" s="54"/>
      <c r="BB1859" s="54"/>
      <c r="BC1859" s="56"/>
      <c r="BD1859" s="51"/>
      <c r="BE1859" s="54"/>
      <c r="BF1859" s="54"/>
      <c r="BG1859" s="47"/>
      <c r="BH1859" s="48"/>
      <c r="BI1859" s="48"/>
      <c r="BJ1859" s="48"/>
      <c r="BK1859" s="48"/>
      <c r="BL1859" s="48"/>
      <c r="BM1859" s="48"/>
      <c r="BN1859" s="48"/>
      <c r="BO1859" s="48"/>
      <c r="BP1859" s="48"/>
      <c r="BQ1859" s="48"/>
      <c r="BR1859" s="48"/>
      <c r="BS1859" s="48"/>
      <c r="BT1859" s="48"/>
      <c r="BU1859" s="48"/>
      <c r="BV1859" s="48"/>
      <c r="BW1859" s="48"/>
      <c r="BX1859" s="48"/>
      <c r="BY1859" s="48"/>
      <c r="BZ1859" s="48"/>
      <c r="CA1859" s="48"/>
      <c r="CB1859" s="48"/>
      <c r="CC1859" s="48"/>
      <c r="CD1859" s="48"/>
      <c r="CE1859" s="48"/>
      <c r="CF1859" s="52"/>
      <c r="CG1859" s="52"/>
      <c r="CH1859" s="48"/>
      <c r="CI1859" s="48"/>
      <c r="CJ1859" s="48"/>
      <c r="CK1859" s="48"/>
    </row>
    <row r="1860" spans="1:89" ht="15.75" customHeight="1" x14ac:dyDescent="0.3">
      <c r="A1860" s="47"/>
      <c r="B1860" s="48"/>
      <c r="C1860" s="47"/>
      <c r="D1860" s="48"/>
      <c r="E1860" s="48"/>
      <c r="F1860" s="48"/>
      <c r="G1860" s="48"/>
      <c r="H1860" s="48"/>
      <c r="I1860" s="49"/>
      <c r="J1860" s="47"/>
      <c r="K1860" s="47"/>
      <c r="L1860" s="47"/>
      <c r="M1860" s="47"/>
      <c r="N1860" s="47"/>
      <c r="O1860" s="47"/>
      <c r="P1860" s="47"/>
      <c r="Q1860" s="47"/>
      <c r="R1860" s="47"/>
      <c r="S1860" s="50"/>
      <c r="T1860" s="47"/>
      <c r="U1860" s="47"/>
      <c r="V1860" s="47"/>
      <c r="W1860" s="51"/>
      <c r="X1860" s="51"/>
      <c r="Y1860" s="47"/>
      <c r="Z1860" s="47"/>
      <c r="AA1860" s="47"/>
      <c r="AB1860" s="47"/>
      <c r="AC1860" s="47"/>
      <c r="AD1860" s="47"/>
      <c r="AE1860" s="54"/>
      <c r="AF1860" s="54"/>
      <c r="AG1860" s="55"/>
      <c r="AH1860" s="54"/>
      <c r="AI1860" s="54"/>
      <c r="AJ1860" s="54"/>
      <c r="AK1860" s="54"/>
      <c r="AL1860" s="54"/>
      <c r="AM1860" s="54"/>
      <c r="AN1860" s="54"/>
      <c r="AO1860" s="54"/>
      <c r="AP1860" s="54"/>
      <c r="AQ1860" s="54"/>
      <c r="AR1860" s="54"/>
      <c r="AS1860" s="54"/>
      <c r="AT1860" s="54"/>
      <c r="AU1860" s="54"/>
      <c r="AV1860" s="54"/>
      <c r="AW1860" s="54"/>
      <c r="AX1860" s="54"/>
      <c r="AY1860" s="54"/>
      <c r="AZ1860" s="54"/>
      <c r="BA1860" s="54"/>
      <c r="BB1860" s="54"/>
      <c r="BC1860" s="56"/>
      <c r="BD1860" s="51"/>
      <c r="BE1860" s="54"/>
      <c r="BF1860" s="54"/>
      <c r="BG1860" s="47"/>
      <c r="BH1860" s="48"/>
      <c r="BI1860" s="48"/>
      <c r="BJ1860" s="48"/>
      <c r="BK1860" s="48"/>
      <c r="BL1860" s="48"/>
      <c r="BM1860" s="48"/>
      <c r="BN1860" s="48"/>
      <c r="BO1860" s="48"/>
      <c r="BP1860" s="48"/>
      <c r="BQ1860" s="48"/>
      <c r="BR1860" s="48"/>
      <c r="BS1860" s="48"/>
      <c r="BT1860" s="48"/>
      <c r="BU1860" s="48"/>
      <c r="BV1860" s="48"/>
      <c r="BW1860" s="48"/>
      <c r="BX1860" s="48"/>
      <c r="BY1860" s="48"/>
      <c r="BZ1860" s="48"/>
      <c r="CA1860" s="48"/>
      <c r="CB1860" s="48"/>
      <c r="CC1860" s="48"/>
      <c r="CD1860" s="48"/>
      <c r="CE1860" s="48"/>
      <c r="CF1860" s="52"/>
      <c r="CG1860" s="52"/>
      <c r="CH1860" s="48"/>
      <c r="CI1860" s="48"/>
      <c r="CJ1860" s="48"/>
      <c r="CK1860" s="48"/>
    </row>
    <row r="1861" spans="1:89" ht="15.75" customHeight="1" x14ac:dyDescent="0.3">
      <c r="A1861" s="47"/>
      <c r="B1861" s="48"/>
      <c r="C1861" s="47"/>
      <c r="D1861" s="48"/>
      <c r="E1861" s="48"/>
      <c r="F1861" s="48"/>
      <c r="G1861" s="48"/>
      <c r="H1861" s="48"/>
      <c r="I1861" s="49"/>
      <c r="J1861" s="47"/>
      <c r="K1861" s="47"/>
      <c r="L1861" s="47"/>
      <c r="M1861" s="47"/>
      <c r="N1861" s="47"/>
      <c r="O1861" s="47"/>
      <c r="P1861" s="47"/>
      <c r="Q1861" s="47"/>
      <c r="R1861" s="47"/>
      <c r="S1861" s="50"/>
      <c r="T1861" s="47"/>
      <c r="U1861" s="47"/>
      <c r="V1861" s="47"/>
      <c r="W1861" s="51"/>
      <c r="X1861" s="51"/>
      <c r="Y1861" s="47"/>
      <c r="Z1861" s="47"/>
      <c r="AA1861" s="47"/>
      <c r="AB1861" s="47"/>
      <c r="AC1861" s="47"/>
      <c r="AD1861" s="47"/>
      <c r="AE1861" s="54"/>
      <c r="AF1861" s="54"/>
      <c r="AG1861" s="55"/>
      <c r="AH1861" s="54"/>
      <c r="AI1861" s="54"/>
      <c r="AJ1861" s="54"/>
      <c r="AK1861" s="54"/>
      <c r="AL1861" s="54"/>
      <c r="AM1861" s="54"/>
      <c r="AN1861" s="54"/>
      <c r="AO1861" s="54"/>
      <c r="AP1861" s="54"/>
      <c r="AQ1861" s="54"/>
      <c r="AR1861" s="54"/>
      <c r="AS1861" s="54"/>
      <c r="AT1861" s="54"/>
      <c r="AU1861" s="54"/>
      <c r="AV1861" s="54"/>
      <c r="AW1861" s="54"/>
      <c r="AX1861" s="54"/>
      <c r="AY1861" s="54"/>
      <c r="AZ1861" s="54"/>
      <c r="BA1861" s="54"/>
      <c r="BB1861" s="54"/>
      <c r="BC1861" s="56"/>
      <c r="BD1861" s="51"/>
      <c r="BE1861" s="54"/>
      <c r="BF1861" s="54"/>
      <c r="BG1861" s="47"/>
      <c r="BH1861" s="48"/>
      <c r="BI1861" s="48"/>
      <c r="BJ1861" s="48"/>
      <c r="BK1861" s="48"/>
      <c r="BL1861" s="48"/>
      <c r="BM1861" s="48"/>
      <c r="BN1861" s="48"/>
      <c r="BO1861" s="48"/>
      <c r="BP1861" s="48"/>
      <c r="BQ1861" s="48"/>
      <c r="BR1861" s="48"/>
      <c r="BS1861" s="48"/>
      <c r="BT1861" s="48"/>
      <c r="BU1861" s="48"/>
      <c r="BV1861" s="48"/>
      <c r="BW1861" s="48"/>
      <c r="BX1861" s="48"/>
      <c r="BY1861" s="48"/>
      <c r="BZ1861" s="48"/>
      <c r="CA1861" s="48"/>
      <c r="CB1861" s="48"/>
      <c r="CC1861" s="48"/>
      <c r="CD1861" s="48"/>
      <c r="CE1861" s="48"/>
      <c r="CF1861" s="52"/>
      <c r="CG1861" s="52"/>
      <c r="CH1861" s="48"/>
      <c r="CI1861" s="48"/>
      <c r="CJ1861" s="48"/>
      <c r="CK1861" s="48"/>
    </row>
    <row r="1862" spans="1:89" ht="15.75" customHeight="1" x14ac:dyDescent="0.3">
      <c r="A1862" s="47"/>
      <c r="B1862" s="48"/>
      <c r="C1862" s="47"/>
      <c r="D1862" s="48"/>
      <c r="E1862" s="48"/>
      <c r="F1862" s="48"/>
      <c r="G1862" s="48"/>
      <c r="H1862" s="48"/>
      <c r="I1862" s="49"/>
      <c r="J1862" s="47"/>
      <c r="K1862" s="47"/>
      <c r="L1862" s="47"/>
      <c r="M1862" s="47"/>
      <c r="N1862" s="47"/>
      <c r="O1862" s="47"/>
      <c r="P1862" s="47"/>
      <c r="Q1862" s="47"/>
      <c r="R1862" s="47"/>
      <c r="S1862" s="50"/>
      <c r="T1862" s="47"/>
      <c r="U1862" s="47"/>
      <c r="V1862" s="47"/>
      <c r="W1862" s="51"/>
      <c r="X1862" s="51"/>
      <c r="Y1862" s="47"/>
      <c r="Z1862" s="47"/>
      <c r="AA1862" s="47"/>
      <c r="AB1862" s="47"/>
      <c r="AC1862" s="47"/>
      <c r="AD1862" s="47"/>
      <c r="AE1862" s="54"/>
      <c r="AF1862" s="54"/>
      <c r="AG1862" s="55"/>
      <c r="AH1862" s="54"/>
      <c r="AI1862" s="54"/>
      <c r="AJ1862" s="54"/>
      <c r="AK1862" s="54"/>
      <c r="AL1862" s="54"/>
      <c r="AM1862" s="54"/>
      <c r="AN1862" s="54"/>
      <c r="AO1862" s="54"/>
      <c r="AP1862" s="54"/>
      <c r="AQ1862" s="54"/>
      <c r="AR1862" s="54"/>
      <c r="AS1862" s="54"/>
      <c r="AT1862" s="54"/>
      <c r="AU1862" s="54"/>
      <c r="AV1862" s="54"/>
      <c r="AW1862" s="54"/>
      <c r="AX1862" s="54"/>
      <c r="AY1862" s="54"/>
      <c r="AZ1862" s="54"/>
      <c r="BA1862" s="54"/>
      <c r="BB1862" s="54"/>
      <c r="BC1862" s="56"/>
      <c r="BD1862" s="51"/>
      <c r="BE1862" s="54"/>
      <c r="BF1862" s="54"/>
      <c r="BG1862" s="47"/>
      <c r="BH1862" s="48"/>
      <c r="BI1862" s="48"/>
      <c r="BJ1862" s="48"/>
      <c r="BK1862" s="48"/>
      <c r="BL1862" s="48"/>
      <c r="BM1862" s="48"/>
      <c r="BN1862" s="48"/>
      <c r="BO1862" s="48"/>
      <c r="BP1862" s="48"/>
      <c r="BQ1862" s="48"/>
      <c r="BR1862" s="48"/>
      <c r="BS1862" s="48"/>
      <c r="BT1862" s="48"/>
      <c r="BU1862" s="48"/>
      <c r="BV1862" s="48"/>
      <c r="BW1862" s="48"/>
      <c r="BX1862" s="48"/>
      <c r="BY1862" s="48"/>
      <c r="BZ1862" s="48"/>
      <c r="CA1862" s="48"/>
      <c r="CB1862" s="48"/>
      <c r="CC1862" s="48"/>
      <c r="CD1862" s="48"/>
      <c r="CE1862" s="48"/>
      <c r="CF1862" s="52"/>
      <c r="CG1862" s="52"/>
      <c r="CH1862" s="48"/>
      <c r="CI1862" s="48"/>
      <c r="CJ1862" s="48"/>
      <c r="CK1862" s="48"/>
    </row>
    <row r="1863" spans="1:89" ht="15.75" customHeight="1" x14ac:dyDescent="0.3">
      <c r="A1863" s="47"/>
      <c r="B1863" s="48"/>
      <c r="C1863" s="47"/>
      <c r="D1863" s="48"/>
      <c r="E1863" s="48"/>
      <c r="F1863" s="48"/>
      <c r="G1863" s="48"/>
      <c r="H1863" s="48"/>
      <c r="I1863" s="49"/>
      <c r="J1863" s="47"/>
      <c r="K1863" s="47"/>
      <c r="L1863" s="47"/>
      <c r="M1863" s="47"/>
      <c r="N1863" s="47"/>
      <c r="O1863" s="47"/>
      <c r="P1863" s="47"/>
      <c r="Q1863" s="47"/>
      <c r="R1863" s="47"/>
      <c r="S1863" s="50"/>
      <c r="T1863" s="47"/>
      <c r="U1863" s="47"/>
      <c r="V1863" s="47"/>
      <c r="W1863" s="51"/>
      <c r="X1863" s="51"/>
      <c r="Y1863" s="47"/>
      <c r="Z1863" s="47"/>
      <c r="AA1863" s="47"/>
      <c r="AB1863" s="47"/>
      <c r="AC1863" s="47"/>
      <c r="AD1863" s="47"/>
      <c r="AE1863" s="54"/>
      <c r="AF1863" s="54"/>
      <c r="AG1863" s="55"/>
      <c r="AH1863" s="54"/>
      <c r="AI1863" s="54"/>
      <c r="AJ1863" s="54"/>
      <c r="AK1863" s="54"/>
      <c r="AL1863" s="54"/>
      <c r="AM1863" s="54"/>
      <c r="AN1863" s="54"/>
      <c r="AO1863" s="54"/>
      <c r="AP1863" s="54"/>
      <c r="AQ1863" s="54"/>
      <c r="AR1863" s="54"/>
      <c r="AS1863" s="54"/>
      <c r="AT1863" s="54"/>
      <c r="AU1863" s="54"/>
      <c r="AV1863" s="54"/>
      <c r="AW1863" s="54"/>
      <c r="AX1863" s="54"/>
      <c r="AY1863" s="54"/>
      <c r="AZ1863" s="54"/>
      <c r="BA1863" s="54"/>
      <c r="BB1863" s="54"/>
      <c r="BC1863" s="56"/>
      <c r="BD1863" s="51"/>
      <c r="BE1863" s="54"/>
      <c r="BF1863" s="54"/>
      <c r="BG1863" s="47"/>
      <c r="BH1863" s="48"/>
      <c r="BI1863" s="48"/>
      <c r="BJ1863" s="48"/>
      <c r="BK1863" s="48"/>
      <c r="BL1863" s="48"/>
      <c r="BM1863" s="48"/>
      <c r="BN1863" s="48"/>
      <c r="BO1863" s="48"/>
      <c r="BP1863" s="48"/>
      <c r="BQ1863" s="48"/>
      <c r="BR1863" s="48"/>
      <c r="BS1863" s="48"/>
      <c r="BT1863" s="48"/>
      <c r="BU1863" s="48"/>
      <c r="BV1863" s="48"/>
      <c r="BW1863" s="48"/>
      <c r="BX1863" s="48"/>
      <c r="BY1863" s="48"/>
      <c r="BZ1863" s="48"/>
      <c r="CA1863" s="48"/>
      <c r="CB1863" s="48"/>
      <c r="CC1863" s="48"/>
      <c r="CD1863" s="48"/>
      <c r="CE1863" s="48"/>
      <c r="CF1863" s="52"/>
      <c r="CG1863" s="52"/>
      <c r="CH1863" s="48"/>
      <c r="CI1863" s="48"/>
      <c r="CJ1863" s="48"/>
      <c r="CK1863" s="48"/>
    </row>
    <row r="1864" spans="1:89" ht="15.75" customHeight="1" x14ac:dyDescent="0.3">
      <c r="A1864" s="47"/>
      <c r="B1864" s="48"/>
      <c r="C1864" s="47"/>
      <c r="D1864" s="48"/>
      <c r="E1864" s="48"/>
      <c r="F1864" s="48"/>
      <c r="G1864" s="48"/>
      <c r="H1864" s="48"/>
      <c r="I1864" s="49"/>
      <c r="J1864" s="47"/>
      <c r="K1864" s="47"/>
      <c r="L1864" s="47"/>
      <c r="M1864" s="47"/>
      <c r="N1864" s="47"/>
      <c r="O1864" s="47"/>
      <c r="P1864" s="47"/>
      <c r="Q1864" s="47"/>
      <c r="R1864" s="47"/>
      <c r="S1864" s="50"/>
      <c r="T1864" s="47"/>
      <c r="U1864" s="47"/>
      <c r="V1864" s="47"/>
      <c r="W1864" s="51"/>
      <c r="X1864" s="51"/>
      <c r="Y1864" s="47"/>
      <c r="Z1864" s="47"/>
      <c r="AA1864" s="47"/>
      <c r="AB1864" s="47"/>
      <c r="AC1864" s="47"/>
      <c r="AD1864" s="47"/>
      <c r="AE1864" s="54"/>
      <c r="AF1864" s="54"/>
      <c r="AG1864" s="55"/>
      <c r="AH1864" s="54"/>
      <c r="AI1864" s="54"/>
      <c r="AJ1864" s="54"/>
      <c r="AK1864" s="54"/>
      <c r="AL1864" s="54"/>
      <c r="AM1864" s="54"/>
      <c r="AN1864" s="54"/>
      <c r="AO1864" s="54"/>
      <c r="AP1864" s="54"/>
      <c r="AQ1864" s="54"/>
      <c r="AR1864" s="54"/>
      <c r="AS1864" s="54"/>
      <c r="AT1864" s="54"/>
      <c r="AU1864" s="54"/>
      <c r="AV1864" s="54"/>
      <c r="AW1864" s="54"/>
      <c r="AX1864" s="54"/>
      <c r="AY1864" s="54"/>
      <c r="AZ1864" s="54"/>
      <c r="BA1864" s="54"/>
      <c r="BB1864" s="54"/>
      <c r="BC1864" s="56"/>
      <c r="BD1864" s="51"/>
      <c r="BE1864" s="54"/>
      <c r="BF1864" s="54"/>
      <c r="BG1864" s="47"/>
      <c r="BH1864" s="48"/>
      <c r="BI1864" s="48"/>
      <c r="BJ1864" s="48"/>
      <c r="BK1864" s="48"/>
      <c r="BL1864" s="48"/>
      <c r="BM1864" s="48"/>
      <c r="BN1864" s="48"/>
      <c r="BO1864" s="48"/>
      <c r="BP1864" s="48"/>
      <c r="BQ1864" s="48"/>
      <c r="BR1864" s="48"/>
      <c r="BS1864" s="48"/>
      <c r="BT1864" s="48"/>
      <c r="BU1864" s="48"/>
      <c r="BV1864" s="48"/>
      <c r="BW1864" s="48"/>
      <c r="BX1864" s="48"/>
      <c r="BY1864" s="48"/>
      <c r="BZ1864" s="48"/>
      <c r="CA1864" s="48"/>
      <c r="CB1864" s="48"/>
      <c r="CC1864" s="48"/>
      <c r="CD1864" s="48"/>
      <c r="CE1864" s="48"/>
      <c r="CF1864" s="52"/>
      <c r="CG1864" s="52"/>
      <c r="CH1864" s="48"/>
      <c r="CI1864" s="48"/>
      <c r="CJ1864" s="48"/>
      <c r="CK1864" s="48"/>
    </row>
    <row r="1865" spans="1:89" ht="15.75" customHeight="1" x14ac:dyDescent="0.3">
      <c r="A1865" s="47"/>
      <c r="B1865" s="48"/>
      <c r="C1865" s="47"/>
      <c r="D1865" s="48"/>
      <c r="E1865" s="48"/>
      <c r="F1865" s="48"/>
      <c r="G1865" s="48"/>
      <c r="H1865" s="48"/>
      <c r="I1865" s="49"/>
      <c r="J1865" s="47"/>
      <c r="K1865" s="47"/>
      <c r="L1865" s="47"/>
      <c r="M1865" s="47"/>
      <c r="N1865" s="47"/>
      <c r="O1865" s="47"/>
      <c r="P1865" s="47"/>
      <c r="Q1865" s="47"/>
      <c r="R1865" s="47"/>
      <c r="S1865" s="50"/>
      <c r="T1865" s="47"/>
      <c r="U1865" s="47"/>
      <c r="V1865" s="47"/>
      <c r="W1865" s="51"/>
      <c r="X1865" s="51"/>
      <c r="Y1865" s="47"/>
      <c r="Z1865" s="47"/>
      <c r="AA1865" s="47"/>
      <c r="AB1865" s="47"/>
      <c r="AC1865" s="47"/>
      <c r="AD1865" s="47"/>
      <c r="AE1865" s="54"/>
      <c r="AF1865" s="54"/>
      <c r="AG1865" s="55"/>
      <c r="AH1865" s="54"/>
      <c r="AI1865" s="54"/>
      <c r="AJ1865" s="54"/>
      <c r="AK1865" s="54"/>
      <c r="AL1865" s="54"/>
      <c r="AM1865" s="54"/>
      <c r="AN1865" s="54"/>
      <c r="AO1865" s="54"/>
      <c r="AP1865" s="54"/>
      <c r="AQ1865" s="54"/>
      <c r="AR1865" s="54"/>
      <c r="AS1865" s="54"/>
      <c r="AT1865" s="54"/>
      <c r="AU1865" s="54"/>
      <c r="AV1865" s="54"/>
      <c r="AW1865" s="54"/>
      <c r="AX1865" s="54"/>
      <c r="AY1865" s="54"/>
      <c r="AZ1865" s="54"/>
      <c r="BA1865" s="54"/>
      <c r="BB1865" s="54"/>
      <c r="BC1865" s="56"/>
      <c r="BD1865" s="51"/>
      <c r="BE1865" s="54"/>
      <c r="BF1865" s="54"/>
      <c r="BG1865" s="47"/>
      <c r="BH1865" s="48"/>
      <c r="BI1865" s="48"/>
      <c r="BJ1865" s="48"/>
      <c r="BK1865" s="48"/>
      <c r="BL1865" s="48"/>
      <c r="BM1865" s="48"/>
      <c r="BN1865" s="48"/>
      <c r="BO1865" s="48"/>
      <c r="BP1865" s="48"/>
      <c r="BQ1865" s="48"/>
      <c r="BR1865" s="48"/>
      <c r="BS1865" s="48"/>
      <c r="BT1865" s="48"/>
      <c r="BU1865" s="48"/>
      <c r="BV1865" s="48"/>
      <c r="BW1865" s="48"/>
      <c r="BX1865" s="48"/>
      <c r="BY1865" s="48"/>
      <c r="BZ1865" s="48"/>
      <c r="CA1865" s="48"/>
      <c r="CB1865" s="48"/>
      <c r="CC1865" s="48"/>
      <c r="CD1865" s="48"/>
      <c r="CE1865" s="48"/>
      <c r="CF1865" s="52"/>
      <c r="CG1865" s="52"/>
      <c r="CH1865" s="48"/>
      <c r="CI1865" s="48"/>
      <c r="CJ1865" s="48"/>
      <c r="CK1865" s="48"/>
    </row>
    <row r="1866" spans="1:89" ht="15.75" customHeight="1" x14ac:dyDescent="0.3">
      <c r="A1866" s="47"/>
      <c r="B1866" s="48"/>
      <c r="C1866" s="47"/>
      <c r="D1866" s="48"/>
      <c r="E1866" s="48"/>
      <c r="F1866" s="48"/>
      <c r="G1866" s="48"/>
      <c r="H1866" s="48"/>
      <c r="I1866" s="49"/>
      <c r="J1866" s="47"/>
      <c r="K1866" s="47"/>
      <c r="L1866" s="47"/>
      <c r="M1866" s="47"/>
      <c r="N1866" s="47"/>
      <c r="O1866" s="47"/>
      <c r="P1866" s="47"/>
      <c r="Q1866" s="47"/>
      <c r="R1866" s="47"/>
      <c r="S1866" s="50"/>
      <c r="T1866" s="47"/>
      <c r="U1866" s="47"/>
      <c r="V1866" s="47"/>
      <c r="W1866" s="51"/>
      <c r="X1866" s="51"/>
      <c r="Y1866" s="47"/>
      <c r="Z1866" s="47"/>
      <c r="AA1866" s="47"/>
      <c r="AB1866" s="47"/>
      <c r="AC1866" s="47"/>
      <c r="AD1866" s="47"/>
      <c r="AE1866" s="54"/>
      <c r="AF1866" s="54"/>
      <c r="AG1866" s="55"/>
      <c r="AH1866" s="54"/>
      <c r="AI1866" s="54"/>
      <c r="AJ1866" s="54"/>
      <c r="AK1866" s="54"/>
      <c r="AL1866" s="54"/>
      <c r="AM1866" s="54"/>
      <c r="AN1866" s="54"/>
      <c r="AO1866" s="54"/>
      <c r="AP1866" s="54"/>
      <c r="AQ1866" s="54"/>
      <c r="AR1866" s="54"/>
      <c r="AS1866" s="54"/>
      <c r="AT1866" s="54"/>
      <c r="AU1866" s="54"/>
      <c r="AV1866" s="54"/>
      <c r="AW1866" s="54"/>
      <c r="AX1866" s="54"/>
      <c r="AY1866" s="54"/>
      <c r="AZ1866" s="54"/>
      <c r="BA1866" s="54"/>
      <c r="BB1866" s="54"/>
      <c r="BC1866" s="56"/>
      <c r="BD1866" s="51"/>
      <c r="BE1866" s="54"/>
      <c r="BF1866" s="54"/>
      <c r="BG1866" s="47"/>
      <c r="BH1866" s="48"/>
      <c r="BI1866" s="48"/>
      <c r="BJ1866" s="48"/>
      <c r="BK1866" s="48"/>
      <c r="BL1866" s="48"/>
      <c r="BM1866" s="48"/>
      <c r="BN1866" s="48"/>
      <c r="BO1866" s="48"/>
      <c r="BP1866" s="48"/>
      <c r="BQ1866" s="48"/>
      <c r="BR1866" s="48"/>
      <c r="BS1866" s="48"/>
      <c r="BT1866" s="48"/>
      <c r="BU1866" s="48"/>
      <c r="BV1866" s="48"/>
      <c r="BW1866" s="48"/>
      <c r="BX1866" s="48"/>
      <c r="BY1866" s="48"/>
      <c r="BZ1866" s="48"/>
      <c r="CA1866" s="48"/>
      <c r="CB1866" s="48"/>
      <c r="CC1866" s="48"/>
      <c r="CD1866" s="48"/>
      <c r="CE1866" s="48"/>
      <c r="CF1866" s="52"/>
      <c r="CG1866" s="52"/>
      <c r="CH1866" s="48"/>
      <c r="CI1866" s="48"/>
      <c r="CJ1866" s="48"/>
      <c r="CK1866" s="48"/>
    </row>
    <row r="1867" spans="1:89" ht="15.75" customHeight="1" x14ac:dyDescent="0.3">
      <c r="A1867" s="47"/>
      <c r="B1867" s="48"/>
      <c r="C1867" s="47"/>
      <c r="D1867" s="48"/>
      <c r="E1867" s="48"/>
      <c r="F1867" s="48"/>
      <c r="G1867" s="48"/>
      <c r="H1867" s="48"/>
      <c r="I1867" s="49"/>
      <c r="J1867" s="47"/>
      <c r="K1867" s="47"/>
      <c r="L1867" s="47"/>
      <c r="M1867" s="47"/>
      <c r="N1867" s="47"/>
      <c r="O1867" s="47"/>
      <c r="P1867" s="47"/>
      <c r="Q1867" s="47"/>
      <c r="R1867" s="47"/>
      <c r="S1867" s="50"/>
      <c r="T1867" s="47"/>
      <c r="U1867" s="47"/>
      <c r="V1867" s="47"/>
      <c r="W1867" s="51"/>
      <c r="X1867" s="51"/>
      <c r="Y1867" s="47"/>
      <c r="Z1867" s="47"/>
      <c r="AA1867" s="47"/>
      <c r="AB1867" s="47"/>
      <c r="AC1867" s="47"/>
      <c r="AD1867" s="47"/>
      <c r="AE1867" s="54"/>
      <c r="AF1867" s="54"/>
      <c r="AG1867" s="55"/>
      <c r="AH1867" s="54"/>
      <c r="AI1867" s="54"/>
      <c r="AJ1867" s="54"/>
      <c r="AK1867" s="54"/>
      <c r="AL1867" s="54"/>
      <c r="AM1867" s="54"/>
      <c r="AN1867" s="54"/>
      <c r="AO1867" s="54"/>
      <c r="AP1867" s="54"/>
      <c r="AQ1867" s="54"/>
      <c r="AR1867" s="54"/>
      <c r="AS1867" s="54"/>
      <c r="AT1867" s="54"/>
      <c r="AU1867" s="54"/>
      <c r="AV1867" s="54"/>
      <c r="AW1867" s="54"/>
      <c r="AX1867" s="54"/>
      <c r="AY1867" s="54"/>
      <c r="AZ1867" s="54"/>
      <c r="BA1867" s="54"/>
      <c r="BB1867" s="54"/>
      <c r="BC1867" s="56"/>
      <c r="BD1867" s="51"/>
      <c r="BE1867" s="54"/>
      <c r="BF1867" s="54"/>
      <c r="BG1867" s="47"/>
      <c r="BH1867" s="48"/>
      <c r="BI1867" s="48"/>
      <c r="BJ1867" s="48"/>
      <c r="BK1867" s="48"/>
      <c r="BL1867" s="48"/>
      <c r="BM1867" s="48"/>
      <c r="BN1867" s="48"/>
      <c r="BO1867" s="48"/>
      <c r="BP1867" s="48"/>
      <c r="BQ1867" s="48"/>
      <c r="BR1867" s="48"/>
      <c r="BS1867" s="48"/>
      <c r="BT1867" s="48"/>
      <c r="BU1867" s="48"/>
      <c r="BV1867" s="48"/>
      <c r="BW1867" s="48"/>
      <c r="BX1867" s="48"/>
      <c r="BY1867" s="48"/>
      <c r="BZ1867" s="48"/>
      <c r="CA1867" s="48"/>
      <c r="CB1867" s="48"/>
      <c r="CC1867" s="48"/>
      <c r="CD1867" s="48"/>
      <c r="CE1867" s="48"/>
      <c r="CF1867" s="52"/>
      <c r="CG1867" s="52"/>
      <c r="CH1867" s="48"/>
      <c r="CI1867" s="48"/>
      <c r="CJ1867" s="48"/>
      <c r="CK1867" s="48"/>
    </row>
    <row r="1868" spans="1:89" ht="15.75" customHeight="1" x14ac:dyDescent="0.3">
      <c r="A1868" s="47"/>
      <c r="B1868" s="48"/>
      <c r="C1868" s="47"/>
      <c r="D1868" s="48"/>
      <c r="E1868" s="48"/>
      <c r="F1868" s="48"/>
      <c r="G1868" s="48"/>
      <c r="H1868" s="48"/>
      <c r="I1868" s="49"/>
      <c r="J1868" s="47"/>
      <c r="K1868" s="47"/>
      <c r="L1868" s="47"/>
      <c r="M1868" s="47"/>
      <c r="N1868" s="47"/>
      <c r="O1868" s="47"/>
      <c r="P1868" s="47"/>
      <c r="Q1868" s="47"/>
      <c r="R1868" s="47"/>
      <c r="S1868" s="50"/>
      <c r="T1868" s="47"/>
      <c r="U1868" s="47"/>
      <c r="V1868" s="47"/>
      <c r="W1868" s="51"/>
      <c r="X1868" s="51"/>
      <c r="Y1868" s="47"/>
      <c r="Z1868" s="47"/>
      <c r="AA1868" s="47"/>
      <c r="AB1868" s="47"/>
      <c r="AC1868" s="47"/>
      <c r="AD1868" s="47"/>
      <c r="AE1868" s="54"/>
      <c r="AF1868" s="54"/>
      <c r="AG1868" s="55"/>
      <c r="AH1868" s="54"/>
      <c r="AI1868" s="54"/>
      <c r="AJ1868" s="54"/>
      <c r="AK1868" s="54"/>
      <c r="AL1868" s="54"/>
      <c r="AM1868" s="54"/>
      <c r="AN1868" s="54"/>
      <c r="AO1868" s="54"/>
      <c r="AP1868" s="54"/>
      <c r="AQ1868" s="54"/>
      <c r="AR1868" s="54"/>
      <c r="AS1868" s="54"/>
      <c r="AT1868" s="54"/>
      <c r="AU1868" s="54"/>
      <c r="AV1868" s="54"/>
      <c r="AW1868" s="54"/>
      <c r="AX1868" s="54"/>
      <c r="AY1868" s="54"/>
      <c r="AZ1868" s="54"/>
      <c r="BA1868" s="54"/>
      <c r="BB1868" s="54"/>
      <c r="BC1868" s="56"/>
      <c r="BD1868" s="51"/>
      <c r="BE1868" s="54"/>
      <c r="BF1868" s="54"/>
      <c r="BG1868" s="47"/>
      <c r="BH1868" s="48"/>
      <c r="BI1868" s="48"/>
      <c r="BJ1868" s="48"/>
      <c r="BK1868" s="48"/>
      <c r="BL1868" s="48"/>
      <c r="BM1868" s="48"/>
      <c r="BN1868" s="48"/>
      <c r="BO1868" s="48"/>
      <c r="BP1868" s="48"/>
      <c r="BQ1868" s="48"/>
      <c r="BR1868" s="48"/>
      <c r="BS1868" s="48"/>
      <c r="BT1868" s="48"/>
      <c r="BU1868" s="48"/>
      <c r="BV1868" s="48"/>
      <c r="BW1868" s="48"/>
      <c r="BX1868" s="48"/>
      <c r="BY1868" s="48"/>
      <c r="BZ1868" s="48"/>
      <c r="CA1868" s="48"/>
      <c r="CB1868" s="48"/>
      <c r="CC1868" s="48"/>
      <c r="CD1868" s="48"/>
      <c r="CE1868" s="48"/>
      <c r="CF1868" s="52"/>
      <c r="CG1868" s="52"/>
      <c r="CH1868" s="48"/>
      <c r="CI1868" s="48"/>
      <c r="CJ1868" s="48"/>
      <c r="CK1868" s="48"/>
    </row>
    <row r="1869" spans="1:89" ht="15.75" customHeight="1" x14ac:dyDescent="0.3">
      <c r="A1869" s="47"/>
      <c r="B1869" s="48"/>
      <c r="C1869" s="47"/>
      <c r="D1869" s="48"/>
      <c r="E1869" s="48"/>
      <c r="F1869" s="48"/>
      <c r="G1869" s="48"/>
      <c r="H1869" s="48"/>
      <c r="I1869" s="49"/>
      <c r="J1869" s="47"/>
      <c r="K1869" s="47"/>
      <c r="L1869" s="47"/>
      <c r="M1869" s="47"/>
      <c r="N1869" s="47"/>
      <c r="O1869" s="47"/>
      <c r="P1869" s="47"/>
      <c r="Q1869" s="47"/>
      <c r="R1869" s="47"/>
      <c r="S1869" s="50"/>
      <c r="T1869" s="47"/>
      <c r="U1869" s="47"/>
      <c r="V1869" s="47"/>
      <c r="W1869" s="51"/>
      <c r="X1869" s="51"/>
      <c r="Y1869" s="47"/>
      <c r="Z1869" s="47"/>
      <c r="AA1869" s="47"/>
      <c r="AB1869" s="47"/>
      <c r="AC1869" s="47"/>
      <c r="AD1869" s="47"/>
      <c r="AE1869" s="54"/>
      <c r="AF1869" s="54"/>
      <c r="AG1869" s="55"/>
      <c r="AH1869" s="54"/>
      <c r="AI1869" s="54"/>
      <c r="AJ1869" s="54"/>
      <c r="AK1869" s="54"/>
      <c r="AL1869" s="54"/>
      <c r="AM1869" s="54"/>
      <c r="AN1869" s="54"/>
      <c r="AO1869" s="54"/>
      <c r="AP1869" s="54"/>
      <c r="AQ1869" s="54"/>
      <c r="AR1869" s="54"/>
      <c r="AS1869" s="54"/>
      <c r="AT1869" s="54"/>
      <c r="AU1869" s="54"/>
      <c r="AV1869" s="54"/>
      <c r="AW1869" s="54"/>
      <c r="AX1869" s="54"/>
      <c r="AY1869" s="54"/>
      <c r="AZ1869" s="54"/>
      <c r="BA1869" s="54"/>
      <c r="BB1869" s="54"/>
      <c r="BC1869" s="56"/>
      <c r="BD1869" s="51"/>
      <c r="BE1869" s="54"/>
      <c r="BF1869" s="54"/>
      <c r="BG1869" s="47"/>
      <c r="BH1869" s="48"/>
      <c r="BI1869" s="48"/>
      <c r="BJ1869" s="48"/>
      <c r="BK1869" s="48"/>
      <c r="BL1869" s="48"/>
      <c r="BM1869" s="48"/>
      <c r="BN1869" s="48"/>
      <c r="BO1869" s="48"/>
      <c r="BP1869" s="48"/>
      <c r="BQ1869" s="48"/>
      <c r="BR1869" s="48"/>
      <c r="BS1869" s="48"/>
      <c r="BT1869" s="48"/>
      <c r="BU1869" s="48"/>
      <c r="BV1869" s="48"/>
      <c r="BW1869" s="48"/>
      <c r="BX1869" s="48"/>
      <c r="BY1869" s="48"/>
      <c r="BZ1869" s="48"/>
      <c r="CA1869" s="48"/>
      <c r="CB1869" s="48"/>
      <c r="CC1869" s="48"/>
      <c r="CD1869" s="48"/>
      <c r="CE1869" s="48"/>
      <c r="CF1869" s="52"/>
      <c r="CG1869" s="52"/>
      <c r="CH1869" s="48"/>
      <c r="CI1869" s="48"/>
      <c r="CJ1869" s="48"/>
      <c r="CK1869" s="48"/>
    </row>
    <row r="1870" spans="1:89" ht="15.75" customHeight="1" x14ac:dyDescent="0.3">
      <c r="A1870" s="47"/>
      <c r="B1870" s="48"/>
      <c r="C1870" s="47"/>
      <c r="D1870" s="48"/>
      <c r="E1870" s="48"/>
      <c r="F1870" s="48"/>
      <c r="G1870" s="48"/>
      <c r="H1870" s="48"/>
      <c r="I1870" s="49"/>
      <c r="J1870" s="47"/>
      <c r="K1870" s="47"/>
      <c r="L1870" s="47"/>
      <c r="M1870" s="47"/>
      <c r="N1870" s="47"/>
      <c r="O1870" s="47"/>
      <c r="P1870" s="47"/>
      <c r="Q1870" s="47"/>
      <c r="R1870" s="47"/>
      <c r="S1870" s="50"/>
      <c r="T1870" s="47"/>
      <c r="U1870" s="47"/>
      <c r="V1870" s="47"/>
      <c r="W1870" s="51"/>
      <c r="X1870" s="51"/>
      <c r="Y1870" s="47"/>
      <c r="Z1870" s="47"/>
      <c r="AA1870" s="47"/>
      <c r="AB1870" s="47"/>
      <c r="AC1870" s="47"/>
      <c r="AD1870" s="47"/>
      <c r="AE1870" s="54"/>
      <c r="AF1870" s="54"/>
      <c r="AG1870" s="55"/>
      <c r="AH1870" s="54"/>
      <c r="AI1870" s="54"/>
      <c r="AJ1870" s="54"/>
      <c r="AK1870" s="54"/>
      <c r="AL1870" s="54"/>
      <c r="AM1870" s="54"/>
      <c r="AN1870" s="54"/>
      <c r="AO1870" s="54"/>
      <c r="AP1870" s="54"/>
      <c r="AQ1870" s="54"/>
      <c r="AR1870" s="54"/>
      <c r="AS1870" s="54"/>
      <c r="AT1870" s="54"/>
      <c r="AU1870" s="54"/>
      <c r="AV1870" s="54"/>
      <c r="AW1870" s="54"/>
      <c r="AX1870" s="54"/>
      <c r="AY1870" s="54"/>
      <c r="AZ1870" s="54"/>
      <c r="BA1870" s="54"/>
      <c r="BB1870" s="54"/>
      <c r="BC1870" s="56"/>
      <c r="BD1870" s="51"/>
      <c r="BE1870" s="54"/>
      <c r="BF1870" s="54"/>
      <c r="BG1870" s="47"/>
      <c r="BH1870" s="48"/>
      <c r="BI1870" s="48"/>
      <c r="BJ1870" s="48"/>
      <c r="BK1870" s="48"/>
      <c r="BL1870" s="48"/>
      <c r="BM1870" s="48"/>
      <c r="BN1870" s="48"/>
      <c r="BO1870" s="48"/>
      <c r="BP1870" s="48"/>
      <c r="BQ1870" s="48"/>
      <c r="BR1870" s="48"/>
      <c r="BS1870" s="48"/>
      <c r="BT1870" s="48"/>
      <c r="BU1870" s="48"/>
      <c r="BV1870" s="48"/>
      <c r="BW1870" s="48"/>
      <c r="BX1870" s="48"/>
      <c r="BY1870" s="48"/>
      <c r="BZ1870" s="48"/>
      <c r="CA1870" s="48"/>
      <c r="CB1870" s="48"/>
      <c r="CC1870" s="48"/>
      <c r="CD1870" s="48"/>
      <c r="CE1870" s="48"/>
      <c r="CF1870" s="52"/>
      <c r="CG1870" s="52"/>
      <c r="CH1870" s="48"/>
      <c r="CI1870" s="48"/>
      <c r="CJ1870" s="48"/>
      <c r="CK1870" s="48"/>
    </row>
    <row r="1871" spans="1:89" ht="15.75" customHeight="1" x14ac:dyDescent="0.3">
      <c r="A1871" s="47"/>
      <c r="B1871" s="48"/>
      <c r="C1871" s="47"/>
      <c r="D1871" s="48"/>
      <c r="E1871" s="48"/>
      <c r="F1871" s="48"/>
      <c r="G1871" s="48"/>
      <c r="H1871" s="48"/>
      <c r="I1871" s="49"/>
      <c r="J1871" s="47"/>
      <c r="K1871" s="47"/>
      <c r="L1871" s="47"/>
      <c r="M1871" s="47"/>
      <c r="N1871" s="47"/>
      <c r="O1871" s="47"/>
      <c r="P1871" s="47"/>
      <c r="Q1871" s="47"/>
      <c r="R1871" s="47"/>
      <c r="S1871" s="50"/>
      <c r="T1871" s="47"/>
      <c r="U1871" s="47"/>
      <c r="V1871" s="47"/>
      <c r="W1871" s="51"/>
      <c r="X1871" s="51"/>
      <c r="Y1871" s="47"/>
      <c r="Z1871" s="47"/>
      <c r="AA1871" s="47"/>
      <c r="AB1871" s="47"/>
      <c r="AC1871" s="47"/>
      <c r="AD1871" s="47"/>
      <c r="AE1871" s="54"/>
      <c r="AF1871" s="54"/>
      <c r="AG1871" s="55"/>
      <c r="AH1871" s="54"/>
      <c r="AI1871" s="54"/>
      <c r="AJ1871" s="54"/>
      <c r="AK1871" s="54"/>
      <c r="AL1871" s="54"/>
      <c r="AM1871" s="54"/>
      <c r="AN1871" s="54"/>
      <c r="AO1871" s="54"/>
      <c r="AP1871" s="54"/>
      <c r="AQ1871" s="54"/>
      <c r="AR1871" s="54"/>
      <c r="AS1871" s="54"/>
      <c r="AT1871" s="54"/>
      <c r="AU1871" s="54"/>
      <c r="AV1871" s="54"/>
      <c r="AW1871" s="54"/>
      <c r="AX1871" s="54"/>
      <c r="AY1871" s="54"/>
      <c r="AZ1871" s="54"/>
      <c r="BA1871" s="54"/>
      <c r="BB1871" s="54"/>
      <c r="BC1871" s="56"/>
      <c r="BD1871" s="51"/>
      <c r="BE1871" s="54"/>
      <c r="BF1871" s="54"/>
      <c r="BG1871" s="47"/>
      <c r="BH1871" s="48"/>
      <c r="BI1871" s="48"/>
      <c r="BJ1871" s="48"/>
      <c r="BK1871" s="48"/>
      <c r="BL1871" s="48"/>
      <c r="BM1871" s="48"/>
      <c r="BN1871" s="48"/>
      <c r="BO1871" s="48"/>
      <c r="BP1871" s="48"/>
      <c r="BQ1871" s="48"/>
      <c r="BR1871" s="48"/>
      <c r="BS1871" s="48"/>
      <c r="BT1871" s="48"/>
      <c r="BU1871" s="48"/>
      <c r="BV1871" s="48"/>
      <c r="BW1871" s="48"/>
      <c r="BX1871" s="48"/>
      <c r="BY1871" s="48"/>
      <c r="BZ1871" s="48"/>
      <c r="CA1871" s="48"/>
      <c r="CB1871" s="48"/>
      <c r="CC1871" s="48"/>
      <c r="CD1871" s="48"/>
      <c r="CE1871" s="48"/>
      <c r="CF1871" s="52"/>
      <c r="CG1871" s="52"/>
      <c r="CH1871" s="48"/>
      <c r="CI1871" s="48"/>
      <c r="CJ1871" s="48"/>
      <c r="CK1871" s="48"/>
    </row>
    <row r="1872" spans="1:89" ht="15.75" customHeight="1" x14ac:dyDescent="0.3">
      <c r="A1872" s="47"/>
      <c r="B1872" s="48"/>
      <c r="C1872" s="47"/>
      <c r="D1872" s="48"/>
      <c r="E1872" s="48"/>
      <c r="F1872" s="48"/>
      <c r="G1872" s="48"/>
      <c r="H1872" s="48"/>
      <c r="I1872" s="49"/>
      <c r="J1872" s="47"/>
      <c r="K1872" s="47"/>
      <c r="L1872" s="47"/>
      <c r="M1872" s="47"/>
      <c r="N1872" s="47"/>
      <c r="O1872" s="47"/>
      <c r="P1872" s="47"/>
      <c r="Q1872" s="47"/>
      <c r="R1872" s="47"/>
      <c r="S1872" s="50"/>
      <c r="T1872" s="47"/>
      <c r="U1872" s="47"/>
      <c r="V1872" s="47"/>
      <c r="W1872" s="51"/>
      <c r="X1872" s="51"/>
      <c r="Y1872" s="47"/>
      <c r="Z1872" s="47"/>
      <c r="AA1872" s="47"/>
      <c r="AB1872" s="47"/>
      <c r="AC1872" s="47"/>
      <c r="AD1872" s="47"/>
      <c r="AE1872" s="54"/>
      <c r="AF1872" s="54"/>
      <c r="AG1872" s="55"/>
      <c r="AH1872" s="54"/>
      <c r="AI1872" s="54"/>
      <c r="AJ1872" s="54"/>
      <c r="AK1872" s="54"/>
      <c r="AL1872" s="54"/>
      <c r="AM1872" s="54"/>
      <c r="AN1872" s="54"/>
      <c r="AO1872" s="54"/>
      <c r="AP1872" s="54"/>
      <c r="AQ1872" s="54"/>
      <c r="AR1872" s="54"/>
      <c r="AS1872" s="54"/>
      <c r="AT1872" s="54"/>
      <c r="AU1872" s="54"/>
      <c r="AV1872" s="54"/>
      <c r="AW1872" s="54"/>
      <c r="AX1872" s="54"/>
      <c r="AY1872" s="54"/>
      <c r="AZ1872" s="54"/>
      <c r="BA1872" s="54"/>
      <c r="BB1872" s="54"/>
      <c r="BC1872" s="56"/>
      <c r="BD1872" s="51"/>
      <c r="BE1872" s="54"/>
      <c r="BF1872" s="54"/>
      <c r="BG1872" s="47"/>
      <c r="BH1872" s="48"/>
      <c r="BI1872" s="48"/>
      <c r="BJ1872" s="48"/>
      <c r="BK1872" s="48"/>
      <c r="BL1872" s="48"/>
      <c r="BM1872" s="48"/>
      <c r="BN1872" s="48"/>
      <c r="BO1872" s="48"/>
      <c r="BP1872" s="48"/>
      <c r="BQ1872" s="48"/>
      <c r="BR1872" s="48"/>
      <c r="BS1872" s="48"/>
      <c r="BT1872" s="48"/>
      <c r="BU1872" s="48"/>
      <c r="BV1872" s="48"/>
      <c r="BW1872" s="48"/>
      <c r="BX1872" s="48"/>
      <c r="BY1872" s="48"/>
      <c r="BZ1872" s="48"/>
      <c r="CA1872" s="48"/>
      <c r="CB1872" s="48"/>
      <c r="CC1872" s="48"/>
      <c r="CD1872" s="48"/>
      <c r="CE1872" s="48"/>
      <c r="CF1872" s="52"/>
      <c r="CG1872" s="52"/>
      <c r="CH1872" s="48"/>
      <c r="CI1872" s="48"/>
      <c r="CJ1872" s="48"/>
      <c r="CK1872" s="48"/>
    </row>
    <row r="1873" spans="1:89" ht="15.75" customHeight="1" x14ac:dyDescent="0.3">
      <c r="A1873" s="47"/>
      <c r="B1873" s="48"/>
      <c r="C1873" s="47"/>
      <c r="D1873" s="48"/>
      <c r="E1873" s="48"/>
      <c r="F1873" s="48"/>
      <c r="G1873" s="48"/>
      <c r="H1873" s="48"/>
      <c r="I1873" s="49"/>
      <c r="J1873" s="47"/>
      <c r="K1873" s="47"/>
      <c r="L1873" s="47"/>
      <c r="M1873" s="47"/>
      <c r="N1873" s="47"/>
      <c r="O1873" s="47"/>
      <c r="P1873" s="47"/>
      <c r="Q1873" s="47"/>
      <c r="R1873" s="47"/>
      <c r="S1873" s="50"/>
      <c r="T1873" s="47"/>
      <c r="U1873" s="47"/>
      <c r="V1873" s="47"/>
      <c r="W1873" s="51"/>
      <c r="X1873" s="51"/>
      <c r="Y1873" s="47"/>
      <c r="Z1873" s="47"/>
      <c r="AA1873" s="47"/>
      <c r="AB1873" s="47"/>
      <c r="AC1873" s="47"/>
      <c r="AD1873" s="47"/>
      <c r="AE1873" s="54"/>
      <c r="AF1873" s="54"/>
      <c r="AG1873" s="55"/>
      <c r="AH1873" s="54"/>
      <c r="AI1873" s="54"/>
      <c r="AJ1873" s="54"/>
      <c r="AK1873" s="54"/>
      <c r="AL1873" s="54"/>
      <c r="AM1873" s="54"/>
      <c r="AN1873" s="54"/>
      <c r="AO1873" s="54"/>
      <c r="AP1873" s="54"/>
      <c r="AQ1873" s="54"/>
      <c r="AR1873" s="54"/>
      <c r="AS1873" s="54"/>
      <c r="AT1873" s="54"/>
      <c r="AU1873" s="54"/>
      <c r="AV1873" s="54"/>
      <c r="AW1873" s="54"/>
      <c r="AX1873" s="54"/>
      <c r="AY1873" s="54"/>
      <c r="AZ1873" s="54"/>
      <c r="BA1873" s="54"/>
      <c r="BB1873" s="54"/>
      <c r="BC1873" s="56"/>
      <c r="BD1873" s="51"/>
      <c r="BE1873" s="54"/>
      <c r="BF1873" s="54"/>
      <c r="BG1873" s="47"/>
      <c r="BH1873" s="48"/>
      <c r="BI1873" s="48"/>
      <c r="BJ1873" s="48"/>
      <c r="BK1873" s="48"/>
      <c r="BL1873" s="48"/>
      <c r="BM1873" s="48"/>
      <c r="BN1873" s="48"/>
      <c r="BO1873" s="48"/>
      <c r="BP1873" s="48"/>
      <c r="BQ1873" s="48"/>
      <c r="BR1873" s="48"/>
      <c r="BS1873" s="48"/>
      <c r="BT1873" s="48"/>
      <c r="BU1873" s="48"/>
      <c r="BV1873" s="48"/>
      <c r="BW1873" s="48"/>
      <c r="BX1873" s="48"/>
      <c r="BY1873" s="48"/>
      <c r="BZ1873" s="48"/>
      <c r="CA1873" s="48"/>
      <c r="CB1873" s="48"/>
      <c r="CC1873" s="48"/>
      <c r="CD1873" s="48"/>
      <c r="CE1873" s="48"/>
      <c r="CF1873" s="52"/>
      <c r="CG1873" s="52"/>
      <c r="CH1873" s="48"/>
      <c r="CI1873" s="48"/>
      <c r="CJ1873" s="48"/>
      <c r="CK1873" s="48"/>
    </row>
    <row r="1874" spans="1:89" ht="15.75" customHeight="1" x14ac:dyDescent="0.3">
      <c r="A1874" s="47"/>
      <c r="B1874" s="48"/>
      <c r="C1874" s="47"/>
      <c r="D1874" s="48"/>
      <c r="E1874" s="48"/>
      <c r="F1874" s="48"/>
      <c r="G1874" s="48"/>
      <c r="H1874" s="48"/>
      <c r="I1874" s="49"/>
      <c r="J1874" s="47"/>
      <c r="K1874" s="47"/>
      <c r="L1874" s="47"/>
      <c r="M1874" s="47"/>
      <c r="N1874" s="47"/>
      <c r="O1874" s="47"/>
      <c r="P1874" s="47"/>
      <c r="Q1874" s="47"/>
      <c r="R1874" s="47"/>
      <c r="S1874" s="50"/>
      <c r="T1874" s="47"/>
      <c r="U1874" s="47"/>
      <c r="V1874" s="47"/>
      <c r="W1874" s="51"/>
      <c r="X1874" s="51"/>
      <c r="Y1874" s="47"/>
      <c r="Z1874" s="47"/>
      <c r="AA1874" s="47"/>
      <c r="AB1874" s="47"/>
      <c r="AC1874" s="47"/>
      <c r="AD1874" s="47"/>
      <c r="AE1874" s="54"/>
      <c r="AF1874" s="54"/>
      <c r="AG1874" s="55"/>
      <c r="AH1874" s="54"/>
      <c r="AI1874" s="54"/>
      <c r="AJ1874" s="54"/>
      <c r="AK1874" s="54"/>
      <c r="AL1874" s="54"/>
      <c r="AM1874" s="54"/>
      <c r="AN1874" s="54"/>
      <c r="AO1874" s="54"/>
      <c r="AP1874" s="54"/>
      <c r="AQ1874" s="54"/>
      <c r="AR1874" s="54"/>
      <c r="AS1874" s="54"/>
      <c r="AT1874" s="54"/>
      <c r="AU1874" s="54"/>
      <c r="AV1874" s="54"/>
      <c r="AW1874" s="54"/>
      <c r="AX1874" s="54"/>
      <c r="AY1874" s="54"/>
      <c r="AZ1874" s="54"/>
      <c r="BA1874" s="54"/>
      <c r="BB1874" s="54"/>
      <c r="BC1874" s="56"/>
      <c r="BD1874" s="51"/>
      <c r="BE1874" s="54"/>
      <c r="BF1874" s="54"/>
      <c r="BG1874" s="47"/>
      <c r="BH1874" s="48"/>
      <c r="BI1874" s="48"/>
      <c r="BJ1874" s="48"/>
      <c r="BK1874" s="48"/>
      <c r="BL1874" s="48"/>
      <c r="BM1874" s="48"/>
      <c r="BN1874" s="48"/>
      <c r="BO1874" s="48"/>
      <c r="BP1874" s="48"/>
      <c r="BQ1874" s="48"/>
      <c r="BR1874" s="48"/>
      <c r="BS1874" s="48"/>
      <c r="BT1874" s="48"/>
      <c r="BU1874" s="48"/>
      <c r="BV1874" s="48"/>
      <c r="BW1874" s="48"/>
      <c r="BX1874" s="48"/>
      <c r="BY1874" s="48"/>
      <c r="BZ1874" s="48"/>
      <c r="CA1874" s="48"/>
      <c r="CB1874" s="48"/>
      <c r="CC1874" s="48"/>
      <c r="CD1874" s="48"/>
      <c r="CE1874" s="48"/>
      <c r="CF1874" s="52"/>
      <c r="CG1874" s="52"/>
      <c r="CH1874" s="48"/>
      <c r="CI1874" s="48"/>
      <c r="CJ1874" s="48"/>
      <c r="CK1874" s="48"/>
    </row>
    <row r="1875" spans="1:89" ht="15.75" customHeight="1" x14ac:dyDescent="0.3">
      <c r="A1875" s="47"/>
      <c r="B1875" s="48"/>
      <c r="C1875" s="47"/>
      <c r="D1875" s="48"/>
      <c r="E1875" s="48"/>
      <c r="F1875" s="48"/>
      <c r="G1875" s="48"/>
      <c r="H1875" s="48"/>
      <c r="I1875" s="49"/>
      <c r="J1875" s="47"/>
      <c r="K1875" s="47"/>
      <c r="L1875" s="47"/>
      <c r="M1875" s="47"/>
      <c r="N1875" s="47"/>
      <c r="O1875" s="47"/>
      <c r="P1875" s="47"/>
      <c r="Q1875" s="47"/>
      <c r="R1875" s="47"/>
      <c r="S1875" s="50"/>
      <c r="T1875" s="47"/>
      <c r="U1875" s="47"/>
      <c r="V1875" s="47"/>
      <c r="W1875" s="51"/>
      <c r="X1875" s="51"/>
      <c r="Y1875" s="47"/>
      <c r="Z1875" s="47"/>
      <c r="AA1875" s="47"/>
      <c r="AB1875" s="47"/>
      <c r="AC1875" s="47"/>
      <c r="AD1875" s="47"/>
      <c r="AE1875" s="54"/>
      <c r="AF1875" s="54"/>
      <c r="AG1875" s="55"/>
      <c r="AH1875" s="54"/>
      <c r="AI1875" s="54"/>
      <c r="AJ1875" s="54"/>
      <c r="AK1875" s="54"/>
      <c r="AL1875" s="54"/>
      <c r="AM1875" s="54"/>
      <c r="AN1875" s="54"/>
      <c r="AO1875" s="54"/>
      <c r="AP1875" s="54"/>
      <c r="AQ1875" s="54"/>
      <c r="AR1875" s="54"/>
      <c r="AS1875" s="54"/>
      <c r="AT1875" s="54"/>
      <c r="AU1875" s="54"/>
      <c r="AV1875" s="54"/>
      <c r="AW1875" s="54"/>
      <c r="AX1875" s="54"/>
      <c r="AY1875" s="54"/>
      <c r="AZ1875" s="54"/>
      <c r="BA1875" s="54"/>
      <c r="BB1875" s="54"/>
      <c r="BC1875" s="56"/>
      <c r="BD1875" s="51"/>
      <c r="BE1875" s="54"/>
      <c r="BF1875" s="54"/>
      <c r="BG1875" s="47"/>
      <c r="BH1875" s="48"/>
      <c r="BI1875" s="48"/>
      <c r="BJ1875" s="48"/>
      <c r="BK1875" s="48"/>
      <c r="BL1875" s="48"/>
      <c r="BM1875" s="48"/>
      <c r="BN1875" s="48"/>
      <c r="BO1875" s="48"/>
      <c r="BP1875" s="48"/>
      <c r="BQ1875" s="48"/>
      <c r="BR1875" s="48"/>
      <c r="BS1875" s="48"/>
      <c r="BT1875" s="48"/>
      <c r="BU1875" s="48"/>
      <c r="BV1875" s="48"/>
      <c r="BW1875" s="48"/>
      <c r="BX1875" s="48"/>
      <c r="BY1875" s="48"/>
      <c r="BZ1875" s="48"/>
      <c r="CA1875" s="48"/>
      <c r="CB1875" s="48"/>
      <c r="CC1875" s="48"/>
      <c r="CD1875" s="48"/>
      <c r="CE1875" s="48"/>
      <c r="CF1875" s="52"/>
      <c r="CG1875" s="52"/>
      <c r="CH1875" s="48"/>
      <c r="CI1875" s="48"/>
      <c r="CJ1875" s="48"/>
      <c r="CK1875" s="48"/>
    </row>
    <row r="1876" spans="1:89" ht="15.75" customHeight="1" x14ac:dyDescent="0.3">
      <c r="A1876" s="47"/>
      <c r="B1876" s="48"/>
      <c r="C1876" s="47"/>
      <c r="D1876" s="48"/>
      <c r="E1876" s="48"/>
      <c r="F1876" s="48"/>
      <c r="G1876" s="48"/>
      <c r="H1876" s="48"/>
      <c r="I1876" s="49"/>
      <c r="J1876" s="47"/>
      <c r="K1876" s="47"/>
      <c r="L1876" s="47"/>
      <c r="M1876" s="47"/>
      <c r="N1876" s="47"/>
      <c r="O1876" s="47"/>
      <c r="P1876" s="47"/>
      <c r="Q1876" s="47"/>
      <c r="R1876" s="47"/>
      <c r="S1876" s="50"/>
      <c r="T1876" s="47"/>
      <c r="U1876" s="47"/>
      <c r="V1876" s="47"/>
      <c r="W1876" s="51"/>
      <c r="X1876" s="51"/>
      <c r="Y1876" s="47"/>
      <c r="Z1876" s="47"/>
      <c r="AA1876" s="47"/>
      <c r="AB1876" s="47"/>
      <c r="AC1876" s="47"/>
      <c r="AD1876" s="47"/>
      <c r="AE1876" s="54"/>
      <c r="AF1876" s="54"/>
      <c r="AG1876" s="55"/>
      <c r="AH1876" s="54"/>
      <c r="AI1876" s="54"/>
      <c r="AJ1876" s="54"/>
      <c r="AK1876" s="54"/>
      <c r="AL1876" s="54"/>
      <c r="AM1876" s="54"/>
      <c r="AN1876" s="54"/>
      <c r="AO1876" s="54"/>
      <c r="AP1876" s="54"/>
      <c r="AQ1876" s="54"/>
      <c r="AR1876" s="54"/>
      <c r="AS1876" s="54"/>
      <c r="AT1876" s="54"/>
      <c r="AU1876" s="54"/>
      <c r="AV1876" s="54"/>
      <c r="AW1876" s="54"/>
      <c r="AX1876" s="54"/>
      <c r="AY1876" s="54"/>
      <c r="AZ1876" s="54"/>
      <c r="BA1876" s="54"/>
      <c r="BB1876" s="54"/>
      <c r="BC1876" s="56"/>
      <c r="BD1876" s="51"/>
      <c r="BE1876" s="54"/>
      <c r="BF1876" s="54"/>
      <c r="BG1876" s="47"/>
      <c r="BH1876" s="48"/>
      <c r="BI1876" s="48"/>
      <c r="BJ1876" s="48"/>
      <c r="BK1876" s="48"/>
      <c r="BL1876" s="48"/>
      <c r="BM1876" s="48"/>
      <c r="BN1876" s="48"/>
      <c r="BO1876" s="48"/>
      <c r="BP1876" s="48"/>
      <c r="BQ1876" s="48"/>
      <c r="BR1876" s="48"/>
      <c r="BS1876" s="48"/>
      <c r="BT1876" s="48"/>
      <c r="BU1876" s="48"/>
      <c r="BV1876" s="48"/>
      <c r="BW1876" s="48"/>
      <c r="BX1876" s="48"/>
      <c r="BY1876" s="48"/>
      <c r="BZ1876" s="48"/>
      <c r="CA1876" s="48"/>
      <c r="CB1876" s="48"/>
      <c r="CC1876" s="48"/>
      <c r="CD1876" s="48"/>
      <c r="CE1876" s="48"/>
      <c r="CF1876" s="52"/>
      <c r="CG1876" s="52"/>
      <c r="CH1876" s="48"/>
      <c r="CI1876" s="48"/>
      <c r="CJ1876" s="48"/>
      <c r="CK1876" s="48"/>
    </row>
    <row r="1877" spans="1:89" ht="15.75" customHeight="1" x14ac:dyDescent="0.3">
      <c r="A1877" s="47"/>
      <c r="B1877" s="48"/>
      <c r="C1877" s="47"/>
      <c r="D1877" s="48"/>
      <c r="E1877" s="48"/>
      <c r="F1877" s="48"/>
      <c r="G1877" s="48"/>
      <c r="H1877" s="48"/>
      <c r="I1877" s="49"/>
      <c r="J1877" s="47"/>
      <c r="K1877" s="47"/>
      <c r="L1877" s="47"/>
      <c r="M1877" s="47"/>
      <c r="N1877" s="47"/>
      <c r="O1877" s="47"/>
      <c r="P1877" s="47"/>
      <c r="Q1877" s="47"/>
      <c r="R1877" s="47"/>
      <c r="S1877" s="50"/>
      <c r="T1877" s="47"/>
      <c r="U1877" s="47"/>
      <c r="V1877" s="47"/>
      <c r="W1877" s="51"/>
      <c r="X1877" s="51"/>
      <c r="Y1877" s="47"/>
      <c r="Z1877" s="47"/>
      <c r="AA1877" s="47"/>
      <c r="AB1877" s="47"/>
      <c r="AC1877" s="47"/>
      <c r="AD1877" s="47"/>
      <c r="AE1877" s="54"/>
      <c r="AF1877" s="54"/>
      <c r="AG1877" s="55"/>
      <c r="AH1877" s="54"/>
      <c r="AI1877" s="54"/>
      <c r="AJ1877" s="54"/>
      <c r="AK1877" s="54"/>
      <c r="AL1877" s="54"/>
      <c r="AM1877" s="54"/>
      <c r="AN1877" s="54"/>
      <c r="AO1877" s="54"/>
      <c r="AP1877" s="54"/>
      <c r="AQ1877" s="54"/>
      <c r="AR1877" s="54"/>
      <c r="AS1877" s="54"/>
      <c r="AT1877" s="54"/>
      <c r="AU1877" s="54"/>
      <c r="AV1877" s="54"/>
      <c r="AW1877" s="54"/>
      <c r="AX1877" s="54"/>
      <c r="AY1877" s="54"/>
      <c r="AZ1877" s="54"/>
      <c r="BA1877" s="54"/>
      <c r="BB1877" s="54"/>
      <c r="BC1877" s="56"/>
      <c r="BD1877" s="51"/>
      <c r="BE1877" s="54"/>
      <c r="BF1877" s="54"/>
      <c r="BG1877" s="47"/>
      <c r="BH1877" s="48"/>
      <c r="BI1877" s="48"/>
      <c r="BJ1877" s="48"/>
      <c r="BK1877" s="48"/>
      <c r="BL1877" s="48"/>
      <c r="BM1877" s="48"/>
      <c r="BN1877" s="48"/>
      <c r="BO1877" s="48"/>
      <c r="BP1877" s="48"/>
      <c r="BQ1877" s="48"/>
      <c r="BR1877" s="48"/>
      <c r="BS1877" s="48"/>
      <c r="BT1877" s="48"/>
      <c r="BU1877" s="48"/>
      <c r="BV1877" s="48"/>
      <c r="BW1877" s="48"/>
      <c r="BX1877" s="48"/>
      <c r="BY1877" s="48"/>
      <c r="BZ1877" s="48"/>
      <c r="CA1877" s="48"/>
      <c r="CB1877" s="48"/>
      <c r="CC1877" s="48"/>
      <c r="CD1877" s="48"/>
      <c r="CE1877" s="48"/>
      <c r="CF1877" s="52"/>
      <c r="CG1877" s="52"/>
      <c r="CH1877" s="48"/>
      <c r="CI1877" s="48"/>
      <c r="CJ1877" s="48"/>
      <c r="CK1877" s="48"/>
    </row>
    <row r="1878" spans="1:89" ht="15.75" customHeight="1" x14ac:dyDescent="0.3">
      <c r="A1878" s="47"/>
      <c r="B1878" s="48"/>
      <c r="C1878" s="47"/>
      <c r="D1878" s="48"/>
      <c r="E1878" s="48"/>
      <c r="F1878" s="48"/>
      <c r="G1878" s="48"/>
      <c r="H1878" s="48"/>
      <c r="I1878" s="49"/>
      <c r="J1878" s="47"/>
      <c r="K1878" s="47"/>
      <c r="L1878" s="47"/>
      <c r="M1878" s="47"/>
      <c r="N1878" s="47"/>
      <c r="O1878" s="47"/>
      <c r="P1878" s="47"/>
      <c r="Q1878" s="47"/>
      <c r="R1878" s="47"/>
      <c r="S1878" s="50"/>
      <c r="T1878" s="47"/>
      <c r="U1878" s="47"/>
      <c r="V1878" s="47"/>
      <c r="W1878" s="51"/>
      <c r="X1878" s="51"/>
      <c r="Y1878" s="47"/>
      <c r="Z1878" s="47"/>
      <c r="AA1878" s="47"/>
      <c r="AB1878" s="47"/>
      <c r="AC1878" s="47"/>
      <c r="AD1878" s="47"/>
      <c r="AE1878" s="54"/>
      <c r="AF1878" s="54"/>
      <c r="AG1878" s="55"/>
      <c r="AH1878" s="54"/>
      <c r="AI1878" s="54"/>
      <c r="AJ1878" s="54"/>
      <c r="AK1878" s="54"/>
      <c r="AL1878" s="54"/>
      <c r="AM1878" s="54"/>
      <c r="AN1878" s="54"/>
      <c r="AO1878" s="54"/>
      <c r="AP1878" s="54"/>
      <c r="AQ1878" s="54"/>
      <c r="AR1878" s="54"/>
      <c r="AS1878" s="54"/>
      <c r="AT1878" s="54"/>
      <c r="AU1878" s="54"/>
      <c r="AV1878" s="54"/>
      <c r="AW1878" s="54"/>
      <c r="AX1878" s="54"/>
      <c r="AY1878" s="54"/>
      <c r="AZ1878" s="54"/>
      <c r="BA1878" s="54"/>
      <c r="BB1878" s="54"/>
      <c r="BC1878" s="56"/>
      <c r="BD1878" s="51"/>
      <c r="BE1878" s="54"/>
      <c r="BF1878" s="54"/>
      <c r="BG1878" s="47"/>
      <c r="BH1878" s="48"/>
      <c r="BI1878" s="48"/>
      <c r="BJ1878" s="48"/>
      <c r="BK1878" s="48"/>
      <c r="BL1878" s="48"/>
      <c r="BM1878" s="48"/>
      <c r="BN1878" s="48"/>
      <c r="BO1878" s="48"/>
      <c r="BP1878" s="48"/>
      <c r="BQ1878" s="48"/>
      <c r="BR1878" s="48"/>
      <c r="BS1878" s="48"/>
      <c r="BT1878" s="48"/>
      <c r="BU1878" s="48"/>
      <c r="BV1878" s="48"/>
      <c r="BW1878" s="48"/>
      <c r="BX1878" s="48"/>
      <c r="BY1878" s="48"/>
      <c r="BZ1878" s="48"/>
      <c r="CA1878" s="48"/>
      <c r="CB1878" s="48"/>
      <c r="CC1878" s="48"/>
      <c r="CD1878" s="48"/>
      <c r="CE1878" s="48"/>
      <c r="CF1878" s="52"/>
      <c r="CG1878" s="52"/>
      <c r="CH1878" s="48"/>
      <c r="CI1878" s="48"/>
      <c r="CJ1878" s="48"/>
      <c r="CK1878" s="48"/>
    </row>
    <row r="1879" spans="1:89" ht="15.75" customHeight="1" x14ac:dyDescent="0.3">
      <c r="A1879" s="47"/>
      <c r="B1879" s="48"/>
      <c r="C1879" s="47"/>
      <c r="D1879" s="48"/>
      <c r="E1879" s="48"/>
      <c r="F1879" s="48"/>
      <c r="G1879" s="48"/>
      <c r="H1879" s="48"/>
      <c r="I1879" s="49"/>
      <c r="J1879" s="47"/>
      <c r="K1879" s="47"/>
      <c r="L1879" s="47"/>
      <c r="M1879" s="47"/>
      <c r="N1879" s="47"/>
      <c r="O1879" s="47"/>
      <c r="P1879" s="47"/>
      <c r="Q1879" s="47"/>
      <c r="R1879" s="47"/>
      <c r="S1879" s="50"/>
      <c r="T1879" s="47"/>
      <c r="U1879" s="47"/>
      <c r="V1879" s="47"/>
      <c r="W1879" s="51"/>
      <c r="X1879" s="51"/>
      <c r="Y1879" s="47"/>
      <c r="Z1879" s="47"/>
      <c r="AA1879" s="47"/>
      <c r="AB1879" s="47"/>
      <c r="AC1879" s="47"/>
      <c r="AD1879" s="47"/>
      <c r="AE1879" s="54"/>
      <c r="AF1879" s="54"/>
      <c r="AG1879" s="55"/>
      <c r="AH1879" s="54"/>
      <c r="AI1879" s="54"/>
      <c r="AJ1879" s="54"/>
      <c r="AK1879" s="54"/>
      <c r="AL1879" s="54"/>
      <c r="AM1879" s="54"/>
      <c r="AN1879" s="54"/>
      <c r="AO1879" s="54"/>
      <c r="AP1879" s="54"/>
      <c r="AQ1879" s="54"/>
      <c r="AR1879" s="54"/>
      <c r="AS1879" s="54"/>
      <c r="AT1879" s="54"/>
      <c r="AU1879" s="54"/>
      <c r="AV1879" s="54"/>
      <c r="AW1879" s="54"/>
      <c r="AX1879" s="54"/>
      <c r="AY1879" s="54"/>
      <c r="AZ1879" s="54"/>
      <c r="BA1879" s="54"/>
      <c r="BB1879" s="54"/>
      <c r="BC1879" s="56"/>
      <c r="BD1879" s="51"/>
      <c r="BE1879" s="54"/>
      <c r="BF1879" s="54"/>
      <c r="BG1879" s="47"/>
      <c r="BH1879" s="48"/>
      <c r="BI1879" s="48"/>
      <c r="BJ1879" s="48"/>
      <c r="BK1879" s="48"/>
      <c r="BL1879" s="48"/>
      <c r="BM1879" s="48"/>
      <c r="BN1879" s="48"/>
      <c r="BO1879" s="48"/>
      <c r="BP1879" s="48"/>
      <c r="BQ1879" s="48"/>
      <c r="BR1879" s="48"/>
      <c r="BS1879" s="48"/>
      <c r="BT1879" s="48"/>
      <c r="BU1879" s="48"/>
      <c r="BV1879" s="48"/>
      <c r="BW1879" s="48"/>
      <c r="BX1879" s="48"/>
      <c r="BY1879" s="48"/>
      <c r="BZ1879" s="48"/>
      <c r="CA1879" s="48"/>
      <c r="CB1879" s="48"/>
      <c r="CC1879" s="48"/>
      <c r="CD1879" s="48"/>
      <c r="CE1879" s="48"/>
      <c r="CF1879" s="52"/>
      <c r="CG1879" s="52"/>
      <c r="CH1879" s="48"/>
      <c r="CI1879" s="48"/>
      <c r="CJ1879" s="48"/>
      <c r="CK1879" s="48"/>
    </row>
    <row r="1880" spans="1:89" ht="15.75" customHeight="1" x14ac:dyDescent="0.3">
      <c r="A1880" s="47"/>
      <c r="B1880" s="48"/>
      <c r="C1880" s="47"/>
      <c r="D1880" s="48"/>
      <c r="E1880" s="48"/>
      <c r="F1880" s="48"/>
      <c r="G1880" s="48"/>
      <c r="H1880" s="48"/>
      <c r="I1880" s="49"/>
      <c r="J1880" s="47"/>
      <c r="K1880" s="47"/>
      <c r="L1880" s="47"/>
      <c r="M1880" s="47"/>
      <c r="N1880" s="47"/>
      <c r="O1880" s="47"/>
      <c r="P1880" s="47"/>
      <c r="Q1880" s="47"/>
      <c r="R1880" s="47"/>
      <c r="S1880" s="50"/>
      <c r="T1880" s="47"/>
      <c r="U1880" s="47"/>
      <c r="V1880" s="47"/>
      <c r="W1880" s="51"/>
      <c r="X1880" s="51"/>
      <c r="Y1880" s="47"/>
      <c r="Z1880" s="47"/>
      <c r="AA1880" s="47"/>
      <c r="AB1880" s="47"/>
      <c r="AC1880" s="47"/>
      <c r="AD1880" s="47"/>
      <c r="AE1880" s="54"/>
      <c r="AF1880" s="54"/>
      <c r="AG1880" s="55"/>
      <c r="AH1880" s="54"/>
      <c r="AI1880" s="54"/>
      <c r="AJ1880" s="54"/>
      <c r="AK1880" s="54"/>
      <c r="AL1880" s="54"/>
      <c r="AM1880" s="54"/>
      <c r="AN1880" s="54"/>
      <c r="AO1880" s="54"/>
      <c r="AP1880" s="54"/>
      <c r="AQ1880" s="54"/>
      <c r="AR1880" s="54"/>
      <c r="AS1880" s="54"/>
      <c r="AT1880" s="54"/>
      <c r="AU1880" s="54"/>
      <c r="AV1880" s="54"/>
      <c r="AW1880" s="54"/>
      <c r="AX1880" s="54"/>
      <c r="AY1880" s="54"/>
      <c r="AZ1880" s="54"/>
      <c r="BA1880" s="54"/>
      <c r="BB1880" s="54"/>
      <c r="BC1880" s="56"/>
      <c r="BD1880" s="51"/>
      <c r="BE1880" s="54"/>
      <c r="BF1880" s="54"/>
      <c r="BG1880" s="47"/>
      <c r="BH1880" s="48"/>
      <c r="BI1880" s="48"/>
      <c r="BJ1880" s="48"/>
      <c r="BK1880" s="48"/>
      <c r="BL1880" s="48"/>
      <c r="BM1880" s="48"/>
      <c r="BN1880" s="48"/>
      <c r="BO1880" s="48"/>
      <c r="BP1880" s="48"/>
      <c r="BQ1880" s="48"/>
      <c r="BR1880" s="48"/>
      <c r="BS1880" s="48"/>
      <c r="BT1880" s="48"/>
      <c r="BU1880" s="48"/>
      <c r="BV1880" s="48"/>
      <c r="BW1880" s="48"/>
      <c r="BX1880" s="48"/>
      <c r="BY1880" s="48"/>
      <c r="BZ1880" s="48"/>
      <c r="CA1880" s="48"/>
      <c r="CB1880" s="48"/>
      <c r="CC1880" s="48"/>
      <c r="CD1880" s="48"/>
      <c r="CE1880" s="48"/>
      <c r="CF1880" s="52"/>
      <c r="CG1880" s="52"/>
      <c r="CH1880" s="48"/>
      <c r="CI1880" s="48"/>
      <c r="CJ1880" s="48"/>
      <c r="CK1880" s="48"/>
    </row>
    <row r="1881" spans="1:89" ht="15.75" customHeight="1" x14ac:dyDescent="0.3">
      <c r="A1881" s="47"/>
      <c r="B1881" s="48"/>
      <c r="C1881" s="47"/>
      <c r="D1881" s="48"/>
      <c r="E1881" s="48"/>
      <c r="F1881" s="48"/>
      <c r="G1881" s="48"/>
      <c r="H1881" s="48"/>
      <c r="I1881" s="49"/>
      <c r="J1881" s="47"/>
      <c r="K1881" s="47"/>
      <c r="L1881" s="47"/>
      <c r="M1881" s="47"/>
      <c r="N1881" s="47"/>
      <c r="O1881" s="47"/>
      <c r="P1881" s="47"/>
      <c r="Q1881" s="47"/>
      <c r="R1881" s="47"/>
      <c r="S1881" s="50"/>
      <c r="T1881" s="47"/>
      <c r="U1881" s="47"/>
      <c r="V1881" s="47"/>
      <c r="W1881" s="51"/>
      <c r="X1881" s="51"/>
      <c r="Y1881" s="47"/>
      <c r="Z1881" s="47"/>
      <c r="AA1881" s="47"/>
      <c r="AB1881" s="47"/>
      <c r="AC1881" s="47"/>
      <c r="AD1881" s="47"/>
      <c r="AE1881" s="54"/>
      <c r="AF1881" s="54"/>
      <c r="AG1881" s="55"/>
      <c r="AH1881" s="54"/>
      <c r="AI1881" s="54"/>
      <c r="AJ1881" s="54"/>
      <c r="AK1881" s="54"/>
      <c r="AL1881" s="54"/>
      <c r="AM1881" s="54"/>
      <c r="AN1881" s="54"/>
      <c r="AO1881" s="54"/>
      <c r="AP1881" s="54"/>
      <c r="AQ1881" s="54"/>
      <c r="AR1881" s="54"/>
      <c r="AS1881" s="54"/>
      <c r="AT1881" s="54"/>
      <c r="AU1881" s="54"/>
      <c r="AV1881" s="54"/>
      <c r="AW1881" s="54"/>
      <c r="AX1881" s="54"/>
      <c r="AY1881" s="54"/>
      <c r="AZ1881" s="54"/>
      <c r="BA1881" s="54"/>
      <c r="BB1881" s="54"/>
      <c r="BC1881" s="56"/>
      <c r="BD1881" s="51"/>
      <c r="BE1881" s="54"/>
      <c r="BF1881" s="54"/>
      <c r="BG1881" s="47"/>
      <c r="BH1881" s="48"/>
      <c r="BI1881" s="48"/>
      <c r="BJ1881" s="48"/>
      <c r="BK1881" s="48"/>
      <c r="BL1881" s="48"/>
      <c r="BM1881" s="48"/>
      <c r="BN1881" s="48"/>
      <c r="BO1881" s="48"/>
      <c r="BP1881" s="48"/>
      <c r="BQ1881" s="48"/>
      <c r="BR1881" s="48"/>
      <c r="BS1881" s="48"/>
      <c r="BT1881" s="48"/>
      <c r="BU1881" s="48"/>
      <c r="BV1881" s="48"/>
      <c r="BW1881" s="48"/>
      <c r="BX1881" s="48"/>
      <c r="BY1881" s="48"/>
      <c r="BZ1881" s="48"/>
      <c r="CA1881" s="48"/>
      <c r="CB1881" s="48"/>
      <c r="CC1881" s="48"/>
      <c r="CD1881" s="48"/>
      <c r="CE1881" s="48"/>
      <c r="CF1881" s="52"/>
      <c r="CG1881" s="52"/>
      <c r="CH1881" s="48"/>
      <c r="CI1881" s="48"/>
      <c r="CJ1881" s="48"/>
      <c r="CK1881" s="48"/>
    </row>
    <row r="1882" spans="1:89" ht="15.75" customHeight="1" x14ac:dyDescent="0.3">
      <c r="A1882" s="47"/>
      <c r="B1882" s="48"/>
      <c r="C1882" s="47"/>
      <c r="D1882" s="48"/>
      <c r="E1882" s="48"/>
      <c r="F1882" s="48"/>
      <c r="G1882" s="48"/>
      <c r="H1882" s="48"/>
      <c r="I1882" s="49"/>
      <c r="J1882" s="47"/>
      <c r="K1882" s="47"/>
      <c r="L1882" s="47"/>
      <c r="M1882" s="47"/>
      <c r="N1882" s="47"/>
      <c r="O1882" s="47"/>
      <c r="P1882" s="47"/>
      <c r="Q1882" s="47"/>
      <c r="R1882" s="47"/>
      <c r="S1882" s="50"/>
      <c r="T1882" s="47"/>
      <c r="U1882" s="47"/>
      <c r="V1882" s="47"/>
      <c r="W1882" s="51"/>
      <c r="X1882" s="51"/>
      <c r="Y1882" s="47"/>
      <c r="Z1882" s="47"/>
      <c r="AA1882" s="47"/>
      <c r="AB1882" s="47"/>
      <c r="AC1882" s="47"/>
      <c r="AD1882" s="47"/>
      <c r="AE1882" s="54"/>
      <c r="AF1882" s="54"/>
      <c r="AG1882" s="55"/>
      <c r="AH1882" s="54"/>
      <c r="AI1882" s="54"/>
      <c r="AJ1882" s="54"/>
      <c r="AK1882" s="54"/>
      <c r="AL1882" s="54"/>
      <c r="AM1882" s="54"/>
      <c r="AN1882" s="54"/>
      <c r="AO1882" s="54"/>
      <c r="AP1882" s="54"/>
      <c r="AQ1882" s="54"/>
      <c r="AR1882" s="54"/>
      <c r="AS1882" s="54"/>
      <c r="AT1882" s="54"/>
      <c r="AU1882" s="54"/>
      <c r="AV1882" s="54"/>
      <c r="AW1882" s="54"/>
      <c r="AX1882" s="54"/>
      <c r="AY1882" s="54"/>
      <c r="AZ1882" s="54"/>
      <c r="BA1882" s="54"/>
      <c r="BB1882" s="54"/>
      <c r="BC1882" s="56"/>
      <c r="BD1882" s="51"/>
      <c r="BE1882" s="54"/>
      <c r="BF1882" s="54"/>
      <c r="BG1882" s="47"/>
      <c r="BH1882" s="48"/>
      <c r="BI1882" s="48"/>
      <c r="BJ1882" s="48"/>
      <c r="BK1882" s="48"/>
      <c r="BL1882" s="48"/>
      <c r="BM1882" s="48"/>
      <c r="BN1882" s="48"/>
      <c r="BO1882" s="48"/>
      <c r="BP1882" s="48"/>
      <c r="BQ1882" s="48"/>
      <c r="BR1882" s="48"/>
      <c r="BS1882" s="48"/>
      <c r="BT1882" s="48"/>
      <c r="BU1882" s="48"/>
      <c r="BV1882" s="48"/>
      <c r="BW1882" s="48"/>
      <c r="BX1882" s="48"/>
      <c r="BY1882" s="48"/>
      <c r="BZ1882" s="48"/>
      <c r="CA1882" s="48"/>
      <c r="CB1882" s="48"/>
      <c r="CC1882" s="48"/>
      <c r="CD1882" s="48"/>
      <c r="CE1882" s="48"/>
      <c r="CF1882" s="52"/>
      <c r="CG1882" s="52"/>
      <c r="CH1882" s="48"/>
      <c r="CI1882" s="48"/>
      <c r="CJ1882" s="48"/>
      <c r="CK1882" s="48"/>
    </row>
    <row r="1883" spans="1:89" ht="15.75" customHeight="1" x14ac:dyDescent="0.3">
      <c r="A1883" s="47"/>
      <c r="B1883" s="48"/>
      <c r="C1883" s="47"/>
      <c r="D1883" s="48"/>
      <c r="E1883" s="48"/>
      <c r="F1883" s="48"/>
      <c r="G1883" s="48"/>
      <c r="H1883" s="48"/>
      <c r="I1883" s="49"/>
      <c r="J1883" s="47"/>
      <c r="K1883" s="47"/>
      <c r="L1883" s="47"/>
      <c r="M1883" s="47"/>
      <c r="N1883" s="47"/>
      <c r="O1883" s="47"/>
      <c r="P1883" s="47"/>
      <c r="Q1883" s="47"/>
      <c r="R1883" s="47"/>
      <c r="S1883" s="50"/>
      <c r="T1883" s="47"/>
      <c r="U1883" s="47"/>
      <c r="V1883" s="47"/>
      <c r="W1883" s="51"/>
      <c r="X1883" s="51"/>
      <c r="Y1883" s="47"/>
      <c r="Z1883" s="47"/>
      <c r="AA1883" s="47"/>
      <c r="AB1883" s="47"/>
      <c r="AC1883" s="47"/>
      <c r="AD1883" s="47"/>
      <c r="AE1883" s="54"/>
      <c r="AF1883" s="54"/>
      <c r="AG1883" s="55"/>
      <c r="AH1883" s="54"/>
      <c r="AI1883" s="54"/>
      <c r="AJ1883" s="54"/>
      <c r="AK1883" s="54"/>
      <c r="AL1883" s="54"/>
      <c r="AM1883" s="54"/>
      <c r="AN1883" s="54"/>
      <c r="AO1883" s="54"/>
      <c r="AP1883" s="54"/>
      <c r="AQ1883" s="54"/>
      <c r="AR1883" s="54"/>
      <c r="AS1883" s="54"/>
      <c r="AT1883" s="54"/>
      <c r="AU1883" s="54"/>
      <c r="AV1883" s="54"/>
      <c r="AW1883" s="54"/>
      <c r="AX1883" s="54"/>
      <c r="AY1883" s="54"/>
      <c r="AZ1883" s="54"/>
      <c r="BA1883" s="54"/>
      <c r="BB1883" s="54"/>
      <c r="BC1883" s="56"/>
      <c r="BD1883" s="51"/>
      <c r="BE1883" s="54"/>
      <c r="BF1883" s="54"/>
      <c r="BG1883" s="47"/>
      <c r="BH1883" s="48"/>
      <c r="BI1883" s="48"/>
      <c r="BJ1883" s="48"/>
      <c r="BK1883" s="48"/>
      <c r="BL1883" s="48"/>
      <c r="BM1883" s="48"/>
      <c r="BN1883" s="48"/>
      <c r="BO1883" s="48"/>
      <c r="BP1883" s="48"/>
      <c r="BQ1883" s="48"/>
      <c r="BR1883" s="48"/>
      <c r="BS1883" s="48"/>
      <c r="BT1883" s="48"/>
      <c r="BU1883" s="48"/>
      <c r="BV1883" s="48"/>
      <c r="BW1883" s="48"/>
      <c r="BX1883" s="48"/>
      <c r="BY1883" s="48"/>
      <c r="BZ1883" s="48"/>
      <c r="CA1883" s="48"/>
      <c r="CB1883" s="48"/>
      <c r="CC1883" s="48"/>
      <c r="CD1883" s="48"/>
      <c r="CE1883" s="48"/>
      <c r="CF1883" s="52"/>
      <c r="CG1883" s="52"/>
      <c r="CH1883" s="48"/>
      <c r="CI1883" s="48"/>
      <c r="CJ1883" s="48"/>
      <c r="CK1883" s="48"/>
    </row>
    <row r="1884" spans="1:89" ht="15.75" customHeight="1" x14ac:dyDescent="0.3">
      <c r="A1884" s="47"/>
      <c r="B1884" s="48"/>
      <c r="C1884" s="47"/>
      <c r="D1884" s="48"/>
      <c r="E1884" s="48"/>
      <c r="F1884" s="48"/>
      <c r="G1884" s="48"/>
      <c r="H1884" s="48"/>
      <c r="I1884" s="49"/>
      <c r="J1884" s="47"/>
      <c r="K1884" s="47"/>
      <c r="L1884" s="47"/>
      <c r="M1884" s="47"/>
      <c r="N1884" s="47"/>
      <c r="O1884" s="47"/>
      <c r="P1884" s="47"/>
      <c r="Q1884" s="47"/>
      <c r="R1884" s="47"/>
      <c r="S1884" s="50"/>
      <c r="T1884" s="47"/>
      <c r="U1884" s="47"/>
      <c r="V1884" s="47"/>
      <c r="W1884" s="51"/>
      <c r="X1884" s="51"/>
      <c r="Y1884" s="47"/>
      <c r="Z1884" s="47"/>
      <c r="AA1884" s="47"/>
      <c r="AB1884" s="47"/>
      <c r="AC1884" s="47"/>
      <c r="AD1884" s="47"/>
      <c r="AE1884" s="54"/>
      <c r="AF1884" s="54"/>
      <c r="AG1884" s="55"/>
      <c r="AH1884" s="54"/>
      <c r="AI1884" s="54"/>
      <c r="AJ1884" s="54"/>
      <c r="AK1884" s="54"/>
      <c r="AL1884" s="54"/>
      <c r="AM1884" s="54"/>
      <c r="AN1884" s="54"/>
      <c r="AO1884" s="54"/>
      <c r="AP1884" s="54"/>
      <c r="AQ1884" s="54"/>
      <c r="AR1884" s="54"/>
      <c r="AS1884" s="54"/>
      <c r="AT1884" s="54"/>
      <c r="AU1884" s="54"/>
      <c r="AV1884" s="54"/>
      <c r="AW1884" s="54"/>
      <c r="AX1884" s="54"/>
      <c r="AY1884" s="54"/>
      <c r="AZ1884" s="54"/>
      <c r="BA1884" s="54"/>
      <c r="BB1884" s="54"/>
      <c r="BC1884" s="56"/>
      <c r="BD1884" s="51"/>
      <c r="BE1884" s="54"/>
      <c r="BF1884" s="54"/>
      <c r="BG1884" s="47"/>
      <c r="BH1884" s="48"/>
      <c r="BI1884" s="48"/>
      <c r="BJ1884" s="48"/>
      <c r="BK1884" s="48"/>
      <c r="BL1884" s="48"/>
      <c r="BM1884" s="48"/>
      <c r="BN1884" s="48"/>
      <c r="BO1884" s="48"/>
      <c r="BP1884" s="48"/>
      <c r="BQ1884" s="48"/>
      <c r="BR1884" s="48"/>
      <c r="BS1884" s="48"/>
      <c r="BT1884" s="48"/>
      <c r="BU1884" s="48"/>
      <c r="BV1884" s="48"/>
      <c r="BW1884" s="48"/>
      <c r="BX1884" s="48"/>
      <c r="BY1884" s="48"/>
      <c r="BZ1884" s="48"/>
      <c r="CA1884" s="48"/>
      <c r="CB1884" s="48"/>
      <c r="CC1884" s="48"/>
      <c r="CD1884" s="48"/>
      <c r="CE1884" s="48"/>
      <c r="CF1884" s="52"/>
      <c r="CG1884" s="52"/>
      <c r="CH1884" s="48"/>
      <c r="CI1884" s="48"/>
      <c r="CJ1884" s="48"/>
      <c r="CK1884" s="48"/>
    </row>
    <row r="1885" spans="1:89" ht="15.75" customHeight="1" x14ac:dyDescent="0.3">
      <c r="A1885" s="47"/>
      <c r="B1885" s="48"/>
      <c r="C1885" s="47"/>
      <c r="D1885" s="48"/>
      <c r="E1885" s="48"/>
      <c r="F1885" s="48"/>
      <c r="G1885" s="48"/>
      <c r="H1885" s="48"/>
      <c r="I1885" s="49"/>
      <c r="J1885" s="47"/>
      <c r="K1885" s="47"/>
      <c r="L1885" s="47"/>
      <c r="M1885" s="47"/>
      <c r="N1885" s="47"/>
      <c r="O1885" s="47"/>
      <c r="P1885" s="47"/>
      <c r="Q1885" s="47"/>
      <c r="R1885" s="47"/>
      <c r="S1885" s="50"/>
      <c r="T1885" s="47"/>
      <c r="U1885" s="47"/>
      <c r="V1885" s="47"/>
      <c r="W1885" s="51"/>
      <c r="X1885" s="51"/>
      <c r="Y1885" s="47"/>
      <c r="Z1885" s="47"/>
      <c r="AA1885" s="47"/>
      <c r="AB1885" s="47"/>
      <c r="AC1885" s="47"/>
      <c r="AD1885" s="47"/>
      <c r="AE1885" s="54"/>
      <c r="AF1885" s="54"/>
      <c r="AG1885" s="55"/>
      <c r="AH1885" s="54"/>
      <c r="AI1885" s="54"/>
      <c r="AJ1885" s="54"/>
      <c r="AK1885" s="54"/>
      <c r="AL1885" s="54"/>
      <c r="AM1885" s="54"/>
      <c r="AN1885" s="54"/>
      <c r="AO1885" s="54"/>
      <c r="AP1885" s="54"/>
      <c r="AQ1885" s="54"/>
      <c r="AR1885" s="54"/>
      <c r="AS1885" s="54"/>
      <c r="AT1885" s="54"/>
      <c r="AU1885" s="54"/>
      <c r="AV1885" s="54"/>
      <c r="AW1885" s="54"/>
      <c r="AX1885" s="54"/>
      <c r="AY1885" s="54"/>
      <c r="AZ1885" s="54"/>
      <c r="BA1885" s="54"/>
      <c r="BB1885" s="54"/>
      <c r="BC1885" s="56"/>
      <c r="BD1885" s="51"/>
      <c r="BE1885" s="54"/>
      <c r="BF1885" s="54"/>
      <c r="BG1885" s="47"/>
      <c r="BH1885" s="48"/>
      <c r="BI1885" s="48"/>
      <c r="BJ1885" s="48"/>
      <c r="BK1885" s="48"/>
      <c r="BL1885" s="48"/>
      <c r="BM1885" s="48"/>
      <c r="BN1885" s="48"/>
      <c r="BO1885" s="48"/>
      <c r="BP1885" s="48"/>
      <c r="BQ1885" s="48"/>
      <c r="BR1885" s="48"/>
      <c r="BS1885" s="48"/>
      <c r="BT1885" s="48"/>
      <c r="BU1885" s="48"/>
      <c r="BV1885" s="48"/>
      <c r="BW1885" s="48"/>
      <c r="BX1885" s="48"/>
      <c r="BY1885" s="48"/>
      <c r="BZ1885" s="48"/>
      <c r="CA1885" s="48"/>
      <c r="CB1885" s="48"/>
      <c r="CC1885" s="48"/>
      <c r="CD1885" s="48"/>
      <c r="CE1885" s="48"/>
      <c r="CF1885" s="52"/>
      <c r="CG1885" s="52"/>
      <c r="CH1885" s="48"/>
      <c r="CI1885" s="48"/>
      <c r="CJ1885" s="48"/>
      <c r="CK1885" s="48"/>
    </row>
    <row r="1886" spans="1:89" ht="15.75" customHeight="1" x14ac:dyDescent="0.3">
      <c r="A1886" s="47"/>
      <c r="B1886" s="48"/>
      <c r="C1886" s="47"/>
      <c r="D1886" s="48"/>
      <c r="E1886" s="48"/>
      <c r="F1886" s="48"/>
      <c r="G1886" s="48"/>
      <c r="H1886" s="48"/>
      <c r="I1886" s="49"/>
      <c r="J1886" s="47"/>
      <c r="K1886" s="47"/>
      <c r="L1886" s="47"/>
      <c r="M1886" s="47"/>
      <c r="N1886" s="47"/>
      <c r="O1886" s="47"/>
      <c r="P1886" s="47"/>
      <c r="Q1886" s="47"/>
      <c r="R1886" s="47"/>
      <c r="S1886" s="50"/>
      <c r="T1886" s="47"/>
      <c r="U1886" s="47"/>
      <c r="V1886" s="47"/>
      <c r="W1886" s="51"/>
      <c r="X1886" s="51"/>
      <c r="Y1886" s="47"/>
      <c r="Z1886" s="47"/>
      <c r="AA1886" s="47"/>
      <c r="AB1886" s="47"/>
      <c r="AC1886" s="47"/>
      <c r="AD1886" s="47"/>
      <c r="AE1886" s="54"/>
      <c r="AF1886" s="54"/>
      <c r="AG1886" s="55"/>
      <c r="AH1886" s="54"/>
      <c r="AI1886" s="54"/>
      <c r="AJ1886" s="54"/>
      <c r="AK1886" s="54"/>
      <c r="AL1886" s="54"/>
      <c r="AM1886" s="54"/>
      <c r="AN1886" s="54"/>
      <c r="AO1886" s="54"/>
      <c r="AP1886" s="54"/>
      <c r="AQ1886" s="54"/>
      <c r="AR1886" s="54"/>
      <c r="AS1886" s="54"/>
      <c r="AT1886" s="54"/>
      <c r="AU1886" s="54"/>
      <c r="AV1886" s="54"/>
      <c r="AW1886" s="54"/>
      <c r="AX1886" s="54"/>
      <c r="AY1886" s="54"/>
      <c r="AZ1886" s="54"/>
      <c r="BA1886" s="54"/>
      <c r="BB1886" s="54"/>
      <c r="BC1886" s="56"/>
      <c r="BD1886" s="51"/>
      <c r="BE1886" s="54"/>
      <c r="BF1886" s="54"/>
      <c r="BG1886" s="47"/>
      <c r="BH1886" s="48"/>
      <c r="BI1886" s="48"/>
      <c r="BJ1886" s="48"/>
      <c r="BK1886" s="48"/>
      <c r="BL1886" s="48"/>
      <c r="BM1886" s="48"/>
      <c r="BN1886" s="48"/>
      <c r="BO1886" s="48"/>
      <c r="BP1886" s="48"/>
      <c r="BQ1886" s="48"/>
      <c r="BR1886" s="48"/>
      <c r="BS1886" s="48"/>
      <c r="BT1886" s="48"/>
      <c r="BU1886" s="48"/>
      <c r="BV1886" s="48"/>
      <c r="BW1886" s="48"/>
      <c r="BX1886" s="48"/>
      <c r="BY1886" s="48"/>
      <c r="BZ1886" s="48"/>
      <c r="CA1886" s="48"/>
      <c r="CB1886" s="48"/>
      <c r="CC1886" s="48"/>
      <c r="CD1886" s="48"/>
      <c r="CE1886" s="48"/>
      <c r="CF1886" s="52"/>
      <c r="CG1886" s="52"/>
      <c r="CH1886" s="48"/>
      <c r="CI1886" s="48"/>
      <c r="CJ1886" s="48"/>
      <c r="CK1886" s="48"/>
    </row>
    <row r="1887" spans="1:89" ht="15.75" customHeight="1" x14ac:dyDescent="0.3">
      <c r="A1887" s="47"/>
      <c r="B1887" s="48"/>
      <c r="C1887" s="47"/>
      <c r="D1887" s="48"/>
      <c r="E1887" s="48"/>
      <c r="F1887" s="48"/>
      <c r="G1887" s="48"/>
      <c r="H1887" s="48"/>
      <c r="I1887" s="49"/>
      <c r="J1887" s="47"/>
      <c r="K1887" s="47"/>
      <c r="L1887" s="47"/>
      <c r="M1887" s="47"/>
      <c r="N1887" s="47"/>
      <c r="O1887" s="47"/>
      <c r="P1887" s="47"/>
      <c r="Q1887" s="47"/>
      <c r="R1887" s="47"/>
      <c r="S1887" s="50"/>
      <c r="T1887" s="47"/>
      <c r="U1887" s="47"/>
      <c r="V1887" s="47"/>
      <c r="W1887" s="51"/>
      <c r="X1887" s="51"/>
      <c r="Y1887" s="47"/>
      <c r="Z1887" s="47"/>
      <c r="AA1887" s="47"/>
      <c r="AB1887" s="47"/>
      <c r="AC1887" s="47"/>
      <c r="AD1887" s="47"/>
      <c r="AE1887" s="54"/>
      <c r="AF1887" s="54"/>
      <c r="AG1887" s="55"/>
      <c r="AH1887" s="54"/>
      <c r="AI1887" s="54"/>
      <c r="AJ1887" s="54"/>
      <c r="AK1887" s="54"/>
      <c r="AL1887" s="54"/>
      <c r="AM1887" s="54"/>
      <c r="AN1887" s="54"/>
      <c r="AO1887" s="54"/>
      <c r="AP1887" s="54"/>
      <c r="AQ1887" s="54"/>
      <c r="AR1887" s="54"/>
      <c r="AS1887" s="54"/>
      <c r="AT1887" s="54"/>
      <c r="AU1887" s="54"/>
      <c r="AV1887" s="54"/>
      <c r="AW1887" s="54"/>
      <c r="AX1887" s="54"/>
      <c r="AY1887" s="54"/>
      <c r="AZ1887" s="54"/>
      <c r="BA1887" s="54"/>
      <c r="BB1887" s="54"/>
      <c r="BC1887" s="56"/>
      <c r="BD1887" s="51"/>
      <c r="BE1887" s="54"/>
      <c r="BF1887" s="54"/>
      <c r="BG1887" s="47"/>
      <c r="BH1887" s="48"/>
      <c r="BI1887" s="48"/>
      <c r="BJ1887" s="48"/>
      <c r="BK1887" s="48"/>
      <c r="BL1887" s="48"/>
      <c r="BM1887" s="48"/>
      <c r="BN1887" s="48"/>
      <c r="BO1887" s="48"/>
      <c r="BP1887" s="48"/>
      <c r="BQ1887" s="48"/>
      <c r="BR1887" s="48"/>
      <c r="BS1887" s="48"/>
      <c r="BT1887" s="48"/>
      <c r="BU1887" s="48"/>
      <c r="BV1887" s="48"/>
      <c r="BW1887" s="48"/>
      <c r="BX1887" s="48"/>
      <c r="BY1887" s="48"/>
      <c r="BZ1887" s="48"/>
      <c r="CA1887" s="48"/>
      <c r="CB1887" s="48"/>
      <c r="CC1887" s="48"/>
      <c r="CD1887" s="48"/>
      <c r="CE1887" s="48"/>
      <c r="CF1887" s="52"/>
      <c r="CG1887" s="52"/>
      <c r="CH1887" s="48"/>
      <c r="CI1887" s="48"/>
      <c r="CJ1887" s="48"/>
      <c r="CK1887" s="48"/>
    </row>
    <row r="1888" spans="1:89" ht="15.75" customHeight="1" x14ac:dyDescent="0.3">
      <c r="A1888" s="47"/>
      <c r="B1888" s="48"/>
      <c r="C1888" s="47"/>
      <c r="D1888" s="48"/>
      <c r="E1888" s="48"/>
      <c r="F1888" s="48"/>
      <c r="G1888" s="48"/>
      <c r="H1888" s="48"/>
      <c r="I1888" s="49"/>
      <c r="J1888" s="47"/>
      <c r="K1888" s="47"/>
      <c r="L1888" s="47"/>
      <c r="M1888" s="47"/>
      <c r="N1888" s="47"/>
      <c r="O1888" s="47"/>
      <c r="P1888" s="47"/>
      <c r="Q1888" s="47"/>
      <c r="R1888" s="47"/>
      <c r="S1888" s="50"/>
      <c r="T1888" s="47"/>
      <c r="U1888" s="47"/>
      <c r="V1888" s="47"/>
      <c r="W1888" s="51"/>
      <c r="X1888" s="51"/>
      <c r="Y1888" s="47"/>
      <c r="Z1888" s="47"/>
      <c r="AA1888" s="47"/>
      <c r="AB1888" s="47"/>
      <c r="AC1888" s="47"/>
      <c r="AD1888" s="47"/>
      <c r="AE1888" s="54"/>
      <c r="AF1888" s="54"/>
      <c r="AG1888" s="55"/>
      <c r="AH1888" s="54"/>
      <c r="AI1888" s="54"/>
      <c r="AJ1888" s="54"/>
      <c r="AK1888" s="54"/>
      <c r="AL1888" s="54"/>
      <c r="AM1888" s="54"/>
      <c r="AN1888" s="54"/>
      <c r="AO1888" s="54"/>
      <c r="AP1888" s="54"/>
      <c r="AQ1888" s="54"/>
      <c r="AR1888" s="54"/>
      <c r="AS1888" s="54"/>
      <c r="AT1888" s="54"/>
      <c r="AU1888" s="54"/>
      <c r="AV1888" s="54"/>
      <c r="AW1888" s="54"/>
      <c r="AX1888" s="54"/>
      <c r="AY1888" s="54"/>
      <c r="AZ1888" s="54"/>
      <c r="BA1888" s="54"/>
      <c r="BB1888" s="54"/>
      <c r="BC1888" s="56"/>
      <c r="BD1888" s="51"/>
      <c r="BE1888" s="54"/>
      <c r="BF1888" s="54"/>
      <c r="BG1888" s="47"/>
      <c r="BH1888" s="48"/>
      <c r="BI1888" s="48"/>
      <c r="BJ1888" s="48"/>
      <c r="BK1888" s="48"/>
      <c r="BL1888" s="48"/>
      <c r="BM1888" s="48"/>
      <c r="BN1888" s="48"/>
      <c r="BO1888" s="48"/>
      <c r="BP1888" s="48"/>
      <c r="BQ1888" s="48"/>
      <c r="BR1888" s="48"/>
      <c r="BS1888" s="48"/>
      <c r="BT1888" s="48"/>
      <c r="BU1888" s="48"/>
      <c r="BV1888" s="48"/>
      <c r="BW1888" s="48"/>
      <c r="BX1888" s="48"/>
      <c r="BY1888" s="48"/>
      <c r="BZ1888" s="48"/>
      <c r="CA1888" s="48"/>
      <c r="CB1888" s="48"/>
      <c r="CC1888" s="48"/>
      <c r="CD1888" s="48"/>
      <c r="CE1888" s="48"/>
      <c r="CF1888" s="52"/>
      <c r="CG1888" s="52"/>
      <c r="CH1888" s="48"/>
      <c r="CI1888" s="48"/>
      <c r="CJ1888" s="48"/>
      <c r="CK1888" s="48"/>
    </row>
    <row r="1889" spans="1:89" ht="15.75" customHeight="1" x14ac:dyDescent="0.3">
      <c r="A1889" s="47"/>
      <c r="B1889" s="48"/>
      <c r="C1889" s="47"/>
      <c r="D1889" s="48"/>
      <c r="E1889" s="48"/>
      <c r="F1889" s="48"/>
      <c r="G1889" s="48"/>
      <c r="H1889" s="48"/>
      <c r="I1889" s="49"/>
      <c r="J1889" s="47"/>
      <c r="K1889" s="47"/>
      <c r="L1889" s="47"/>
      <c r="M1889" s="47"/>
      <c r="N1889" s="47"/>
      <c r="O1889" s="47"/>
      <c r="P1889" s="47"/>
      <c r="Q1889" s="47"/>
      <c r="R1889" s="47"/>
      <c r="S1889" s="50"/>
      <c r="T1889" s="47"/>
      <c r="U1889" s="47"/>
      <c r="V1889" s="47"/>
      <c r="W1889" s="51"/>
      <c r="X1889" s="51"/>
      <c r="Y1889" s="47"/>
      <c r="Z1889" s="47"/>
      <c r="AA1889" s="47"/>
      <c r="AB1889" s="47"/>
      <c r="AC1889" s="47"/>
      <c r="AD1889" s="47"/>
      <c r="AE1889" s="54"/>
      <c r="AF1889" s="54"/>
      <c r="AG1889" s="55"/>
      <c r="AH1889" s="54"/>
      <c r="AI1889" s="54"/>
      <c r="AJ1889" s="54"/>
      <c r="AK1889" s="54"/>
      <c r="AL1889" s="54"/>
      <c r="AM1889" s="54"/>
      <c r="AN1889" s="54"/>
      <c r="AO1889" s="54"/>
      <c r="AP1889" s="54"/>
      <c r="AQ1889" s="54"/>
      <c r="AR1889" s="54"/>
      <c r="AS1889" s="54"/>
      <c r="AT1889" s="54"/>
      <c r="AU1889" s="54"/>
      <c r="AV1889" s="54"/>
      <c r="AW1889" s="54"/>
      <c r="AX1889" s="54"/>
      <c r="AY1889" s="54"/>
      <c r="AZ1889" s="54"/>
      <c r="BA1889" s="54"/>
      <c r="BB1889" s="54"/>
      <c r="BC1889" s="56"/>
      <c r="BD1889" s="51"/>
      <c r="BE1889" s="54"/>
      <c r="BF1889" s="54"/>
      <c r="BG1889" s="47"/>
      <c r="BH1889" s="48"/>
      <c r="BI1889" s="48"/>
      <c r="BJ1889" s="48"/>
      <c r="BK1889" s="48"/>
      <c r="BL1889" s="48"/>
      <c r="BM1889" s="48"/>
      <c r="BN1889" s="48"/>
      <c r="BO1889" s="48"/>
      <c r="BP1889" s="48"/>
      <c r="BQ1889" s="48"/>
      <c r="BR1889" s="48"/>
      <c r="BS1889" s="48"/>
      <c r="BT1889" s="48"/>
      <c r="BU1889" s="48"/>
      <c r="BV1889" s="48"/>
      <c r="BW1889" s="48"/>
      <c r="BX1889" s="48"/>
      <c r="BY1889" s="48"/>
      <c r="BZ1889" s="48"/>
      <c r="CA1889" s="48"/>
      <c r="CB1889" s="48"/>
      <c r="CC1889" s="48"/>
      <c r="CD1889" s="48"/>
      <c r="CE1889" s="48"/>
      <c r="CF1889" s="52"/>
      <c r="CG1889" s="52"/>
      <c r="CH1889" s="48"/>
      <c r="CI1889" s="48"/>
      <c r="CJ1889" s="48"/>
      <c r="CK1889" s="48"/>
    </row>
    <row r="1890" spans="1:89" ht="15.75" customHeight="1" x14ac:dyDescent="0.3">
      <c r="A1890" s="47"/>
      <c r="B1890" s="48"/>
      <c r="C1890" s="47"/>
      <c r="D1890" s="48"/>
      <c r="E1890" s="48"/>
      <c r="F1890" s="48"/>
      <c r="G1890" s="48"/>
      <c r="H1890" s="48"/>
      <c r="I1890" s="49"/>
      <c r="J1890" s="47"/>
      <c r="K1890" s="47"/>
      <c r="L1890" s="47"/>
      <c r="M1890" s="47"/>
      <c r="N1890" s="47"/>
      <c r="O1890" s="47"/>
      <c r="P1890" s="47"/>
      <c r="Q1890" s="47"/>
      <c r="R1890" s="47"/>
      <c r="S1890" s="50"/>
      <c r="T1890" s="47"/>
      <c r="U1890" s="47"/>
      <c r="V1890" s="47"/>
      <c r="W1890" s="51"/>
      <c r="X1890" s="51"/>
      <c r="Y1890" s="47"/>
      <c r="Z1890" s="47"/>
      <c r="AA1890" s="47"/>
      <c r="AB1890" s="47"/>
      <c r="AC1890" s="47"/>
      <c r="AD1890" s="47"/>
      <c r="AE1890" s="54"/>
      <c r="AF1890" s="54"/>
      <c r="AG1890" s="55"/>
      <c r="AH1890" s="54"/>
      <c r="AI1890" s="54"/>
      <c r="AJ1890" s="54"/>
      <c r="AK1890" s="54"/>
      <c r="AL1890" s="54"/>
      <c r="AM1890" s="54"/>
      <c r="AN1890" s="54"/>
      <c r="AO1890" s="54"/>
      <c r="AP1890" s="54"/>
      <c r="AQ1890" s="54"/>
      <c r="AR1890" s="54"/>
      <c r="AS1890" s="54"/>
      <c r="AT1890" s="54"/>
      <c r="AU1890" s="54"/>
      <c r="AV1890" s="54"/>
      <c r="AW1890" s="54"/>
      <c r="AX1890" s="54"/>
      <c r="AY1890" s="54"/>
      <c r="AZ1890" s="54"/>
      <c r="BA1890" s="54"/>
      <c r="BB1890" s="54"/>
      <c r="BC1890" s="56"/>
      <c r="BD1890" s="51"/>
      <c r="BE1890" s="54"/>
      <c r="BF1890" s="54"/>
      <c r="BG1890" s="47"/>
      <c r="BH1890" s="48"/>
      <c r="BI1890" s="48"/>
      <c r="BJ1890" s="48"/>
      <c r="BK1890" s="48"/>
      <c r="BL1890" s="48"/>
      <c r="BM1890" s="48"/>
      <c r="BN1890" s="48"/>
      <c r="BO1890" s="48"/>
      <c r="BP1890" s="48"/>
      <c r="BQ1890" s="48"/>
      <c r="BR1890" s="48"/>
      <c r="BS1890" s="48"/>
      <c r="BT1890" s="48"/>
      <c r="BU1890" s="48"/>
      <c r="BV1890" s="48"/>
      <c r="BW1890" s="48"/>
      <c r="BX1890" s="48"/>
      <c r="BY1890" s="48"/>
      <c r="BZ1890" s="48"/>
      <c r="CA1890" s="48"/>
      <c r="CB1890" s="48"/>
      <c r="CC1890" s="48"/>
      <c r="CD1890" s="48"/>
      <c r="CE1890" s="48"/>
      <c r="CF1890" s="52"/>
      <c r="CG1890" s="52"/>
      <c r="CH1890" s="48"/>
      <c r="CI1890" s="48"/>
      <c r="CJ1890" s="48"/>
      <c r="CK1890" s="48"/>
    </row>
    <row r="1891" spans="1:89" ht="15.75" customHeight="1" x14ac:dyDescent="0.3">
      <c r="A1891" s="47"/>
      <c r="B1891" s="48"/>
      <c r="C1891" s="47"/>
      <c r="D1891" s="48"/>
      <c r="E1891" s="48"/>
      <c r="F1891" s="48"/>
      <c r="G1891" s="48"/>
      <c r="H1891" s="48"/>
      <c r="I1891" s="49"/>
      <c r="J1891" s="47"/>
      <c r="K1891" s="47"/>
      <c r="L1891" s="47"/>
      <c r="M1891" s="47"/>
      <c r="N1891" s="47"/>
      <c r="O1891" s="47"/>
      <c r="P1891" s="47"/>
      <c r="Q1891" s="47"/>
      <c r="R1891" s="47"/>
      <c r="S1891" s="50"/>
      <c r="T1891" s="47"/>
      <c r="U1891" s="47"/>
      <c r="V1891" s="47"/>
      <c r="W1891" s="51"/>
      <c r="X1891" s="51"/>
      <c r="Y1891" s="47"/>
      <c r="Z1891" s="47"/>
      <c r="AA1891" s="47"/>
      <c r="AB1891" s="47"/>
      <c r="AC1891" s="47"/>
      <c r="AD1891" s="47"/>
      <c r="AE1891" s="54"/>
      <c r="AF1891" s="54"/>
      <c r="AG1891" s="55"/>
      <c r="AH1891" s="54"/>
      <c r="AI1891" s="54"/>
      <c r="AJ1891" s="54"/>
      <c r="AK1891" s="54"/>
      <c r="AL1891" s="54"/>
      <c r="AM1891" s="54"/>
      <c r="AN1891" s="54"/>
      <c r="AO1891" s="54"/>
      <c r="AP1891" s="54"/>
      <c r="AQ1891" s="54"/>
      <c r="AR1891" s="54"/>
      <c r="AS1891" s="54"/>
      <c r="AT1891" s="54"/>
      <c r="AU1891" s="54"/>
      <c r="AV1891" s="54"/>
      <c r="AW1891" s="54"/>
      <c r="AX1891" s="54"/>
      <c r="AY1891" s="54"/>
      <c r="AZ1891" s="54"/>
      <c r="BA1891" s="54"/>
      <c r="BB1891" s="54"/>
      <c r="BC1891" s="56"/>
      <c r="BD1891" s="51"/>
      <c r="BE1891" s="54"/>
      <c r="BF1891" s="54"/>
      <c r="BG1891" s="47"/>
      <c r="BH1891" s="48"/>
      <c r="BI1891" s="48"/>
      <c r="BJ1891" s="48"/>
      <c r="BK1891" s="48"/>
      <c r="BL1891" s="48"/>
      <c r="BM1891" s="48"/>
      <c r="BN1891" s="48"/>
      <c r="BO1891" s="48"/>
      <c r="BP1891" s="48"/>
      <c r="BQ1891" s="48"/>
      <c r="BR1891" s="48"/>
      <c r="BS1891" s="48"/>
      <c r="BT1891" s="48"/>
      <c r="BU1891" s="48"/>
      <c r="BV1891" s="48"/>
      <c r="BW1891" s="48"/>
      <c r="BX1891" s="48"/>
      <c r="BY1891" s="48"/>
      <c r="BZ1891" s="48"/>
      <c r="CA1891" s="48"/>
      <c r="CB1891" s="48"/>
      <c r="CC1891" s="48"/>
      <c r="CD1891" s="48"/>
      <c r="CE1891" s="48"/>
      <c r="CF1891" s="52"/>
      <c r="CG1891" s="52"/>
      <c r="CH1891" s="48"/>
      <c r="CI1891" s="48"/>
      <c r="CJ1891" s="48"/>
      <c r="CK1891" s="48"/>
    </row>
    <row r="1892" spans="1:89" ht="15.75" customHeight="1" x14ac:dyDescent="0.3">
      <c r="A1892" s="47"/>
      <c r="B1892" s="48"/>
      <c r="C1892" s="47"/>
      <c r="D1892" s="48"/>
      <c r="E1892" s="48"/>
      <c r="F1892" s="48"/>
      <c r="G1892" s="48"/>
      <c r="H1892" s="48"/>
      <c r="I1892" s="49"/>
      <c r="J1892" s="47"/>
      <c r="K1892" s="47"/>
      <c r="L1892" s="47"/>
      <c r="M1892" s="47"/>
      <c r="N1892" s="47"/>
      <c r="O1892" s="47"/>
      <c r="P1892" s="47"/>
      <c r="Q1892" s="47"/>
      <c r="R1892" s="47"/>
      <c r="S1892" s="50"/>
      <c r="T1892" s="47"/>
      <c r="U1892" s="47"/>
      <c r="V1892" s="47"/>
      <c r="W1892" s="51"/>
      <c r="X1892" s="51"/>
      <c r="Y1892" s="47"/>
      <c r="Z1892" s="47"/>
      <c r="AA1892" s="47"/>
      <c r="AB1892" s="47"/>
      <c r="AC1892" s="47"/>
      <c r="AD1892" s="47"/>
      <c r="AE1892" s="54"/>
      <c r="AF1892" s="54"/>
      <c r="AG1892" s="55"/>
      <c r="AH1892" s="54"/>
      <c r="AI1892" s="54"/>
      <c r="AJ1892" s="54"/>
      <c r="AK1892" s="54"/>
      <c r="AL1892" s="54"/>
      <c r="AM1892" s="54"/>
      <c r="AN1892" s="54"/>
      <c r="AO1892" s="54"/>
      <c r="AP1892" s="54"/>
      <c r="AQ1892" s="54"/>
      <c r="AR1892" s="54"/>
      <c r="AS1892" s="54"/>
      <c r="AT1892" s="54"/>
      <c r="AU1892" s="54"/>
      <c r="AV1892" s="54"/>
      <c r="AW1892" s="54"/>
      <c r="AX1892" s="54"/>
      <c r="AY1892" s="54"/>
      <c r="AZ1892" s="54"/>
      <c r="BA1892" s="54"/>
      <c r="BB1892" s="54"/>
      <c r="BC1892" s="56"/>
      <c r="BD1892" s="51"/>
      <c r="BE1892" s="54"/>
      <c r="BF1892" s="54"/>
      <c r="BG1892" s="47"/>
      <c r="BH1892" s="48"/>
      <c r="BI1892" s="48"/>
      <c r="BJ1892" s="48"/>
      <c r="BK1892" s="48"/>
      <c r="BL1892" s="48"/>
      <c r="BM1892" s="48"/>
      <c r="BN1892" s="48"/>
      <c r="BO1892" s="48"/>
      <c r="BP1892" s="48"/>
      <c r="BQ1892" s="48"/>
      <c r="BR1892" s="48"/>
      <c r="BS1892" s="48"/>
      <c r="BT1892" s="48"/>
      <c r="BU1892" s="48"/>
      <c r="BV1892" s="48"/>
      <c r="BW1892" s="48"/>
      <c r="BX1892" s="48"/>
      <c r="BY1892" s="48"/>
      <c r="BZ1892" s="48"/>
      <c r="CA1892" s="48"/>
      <c r="CB1892" s="48"/>
      <c r="CC1892" s="48"/>
      <c r="CD1892" s="48"/>
      <c r="CE1892" s="48"/>
      <c r="CF1892" s="52"/>
      <c r="CG1892" s="52"/>
      <c r="CH1892" s="48"/>
      <c r="CI1892" s="48"/>
      <c r="CJ1892" s="48"/>
      <c r="CK1892" s="48"/>
    </row>
    <row r="1893" spans="1:89" ht="15.75" customHeight="1" x14ac:dyDescent="0.3">
      <c r="A1893" s="47"/>
      <c r="B1893" s="48"/>
      <c r="C1893" s="47"/>
      <c r="D1893" s="48"/>
      <c r="E1893" s="48"/>
      <c r="F1893" s="48"/>
      <c r="G1893" s="48"/>
      <c r="H1893" s="48"/>
      <c r="I1893" s="49"/>
      <c r="J1893" s="47"/>
      <c r="K1893" s="47"/>
      <c r="L1893" s="47"/>
      <c r="M1893" s="47"/>
      <c r="N1893" s="47"/>
      <c r="O1893" s="47"/>
      <c r="P1893" s="47"/>
      <c r="Q1893" s="47"/>
      <c r="R1893" s="47"/>
      <c r="S1893" s="50"/>
      <c r="T1893" s="47"/>
      <c r="U1893" s="47"/>
      <c r="V1893" s="47"/>
      <c r="W1893" s="51"/>
      <c r="X1893" s="51"/>
      <c r="Y1893" s="47"/>
      <c r="Z1893" s="47"/>
      <c r="AA1893" s="47"/>
      <c r="AB1893" s="47"/>
      <c r="AC1893" s="47"/>
      <c r="AD1893" s="47"/>
      <c r="AE1893" s="54"/>
      <c r="AF1893" s="54"/>
      <c r="AG1893" s="55"/>
      <c r="AH1893" s="54"/>
      <c r="AI1893" s="54"/>
      <c r="AJ1893" s="54"/>
      <c r="AK1893" s="54"/>
      <c r="AL1893" s="54"/>
      <c r="AM1893" s="54"/>
      <c r="AN1893" s="54"/>
      <c r="AO1893" s="54"/>
      <c r="AP1893" s="54"/>
      <c r="AQ1893" s="54"/>
      <c r="AR1893" s="54"/>
      <c r="AS1893" s="54"/>
      <c r="AT1893" s="54"/>
      <c r="AU1893" s="54"/>
      <c r="AV1893" s="54"/>
      <c r="AW1893" s="54"/>
      <c r="AX1893" s="54"/>
      <c r="AY1893" s="54"/>
      <c r="AZ1893" s="54"/>
      <c r="BA1893" s="54"/>
      <c r="BB1893" s="54"/>
      <c r="BC1893" s="56"/>
      <c r="BD1893" s="51"/>
      <c r="BE1893" s="54"/>
      <c r="BF1893" s="54"/>
      <c r="BG1893" s="47"/>
      <c r="BH1893" s="48"/>
      <c r="BI1893" s="48"/>
      <c r="BJ1893" s="48"/>
      <c r="BK1893" s="48"/>
      <c r="BL1893" s="48"/>
      <c r="BM1893" s="48"/>
      <c r="BN1893" s="48"/>
      <c r="BO1893" s="48"/>
      <c r="BP1893" s="48"/>
      <c r="BQ1893" s="48"/>
      <c r="BR1893" s="48"/>
      <c r="BS1893" s="48"/>
      <c r="BT1893" s="48"/>
      <c r="BU1893" s="48"/>
      <c r="BV1893" s="48"/>
      <c r="BW1893" s="48"/>
      <c r="BX1893" s="48"/>
      <c r="BY1893" s="48"/>
      <c r="BZ1893" s="48"/>
      <c r="CA1893" s="48"/>
      <c r="CB1893" s="48"/>
      <c r="CC1893" s="48"/>
      <c r="CD1893" s="48"/>
      <c r="CE1893" s="48"/>
      <c r="CF1893" s="52"/>
      <c r="CG1893" s="52"/>
      <c r="CH1893" s="48"/>
      <c r="CI1893" s="48"/>
      <c r="CJ1893" s="48"/>
      <c r="CK1893" s="48"/>
    </row>
    <row r="1894" spans="1:89" ht="15.75" customHeight="1" x14ac:dyDescent="0.3">
      <c r="A1894" s="47"/>
      <c r="B1894" s="48"/>
      <c r="C1894" s="47"/>
      <c r="D1894" s="48"/>
      <c r="E1894" s="48"/>
      <c r="F1894" s="48"/>
      <c r="G1894" s="48"/>
      <c r="H1894" s="48"/>
      <c r="I1894" s="49"/>
      <c r="J1894" s="47"/>
      <c r="K1894" s="47"/>
      <c r="L1894" s="47"/>
      <c r="M1894" s="47"/>
      <c r="N1894" s="47"/>
      <c r="O1894" s="47"/>
      <c r="P1894" s="47"/>
      <c r="Q1894" s="47"/>
      <c r="R1894" s="47"/>
      <c r="S1894" s="50"/>
      <c r="T1894" s="47"/>
      <c r="U1894" s="47"/>
      <c r="V1894" s="47"/>
      <c r="W1894" s="51"/>
      <c r="X1894" s="51"/>
      <c r="Y1894" s="47"/>
      <c r="Z1894" s="47"/>
      <c r="AA1894" s="47"/>
      <c r="AB1894" s="47"/>
      <c r="AC1894" s="47"/>
      <c r="AD1894" s="47"/>
      <c r="AE1894" s="54"/>
      <c r="AF1894" s="54"/>
      <c r="AG1894" s="55"/>
      <c r="AH1894" s="54"/>
      <c r="AI1894" s="54"/>
      <c r="AJ1894" s="54"/>
      <c r="AK1894" s="54"/>
      <c r="AL1894" s="54"/>
      <c r="AM1894" s="54"/>
      <c r="AN1894" s="54"/>
      <c r="AO1894" s="54"/>
      <c r="AP1894" s="54"/>
      <c r="AQ1894" s="54"/>
      <c r="AR1894" s="54"/>
      <c r="AS1894" s="54"/>
      <c r="AT1894" s="54"/>
      <c r="AU1894" s="54"/>
      <c r="AV1894" s="54"/>
      <c r="AW1894" s="54"/>
      <c r="AX1894" s="54"/>
      <c r="AY1894" s="54"/>
      <c r="AZ1894" s="54"/>
      <c r="BA1894" s="54"/>
      <c r="BB1894" s="54"/>
      <c r="BC1894" s="56"/>
      <c r="BD1894" s="51"/>
      <c r="BE1894" s="54"/>
      <c r="BF1894" s="54"/>
      <c r="BG1894" s="47"/>
      <c r="BH1894" s="48"/>
      <c r="BI1894" s="48"/>
      <c r="BJ1894" s="48"/>
      <c r="BK1894" s="48"/>
      <c r="BL1894" s="48"/>
      <c r="BM1894" s="48"/>
      <c r="BN1894" s="48"/>
      <c r="BO1894" s="48"/>
      <c r="BP1894" s="48"/>
      <c r="BQ1894" s="48"/>
      <c r="BR1894" s="48"/>
      <c r="BS1894" s="48"/>
      <c r="BT1894" s="48"/>
      <c r="BU1894" s="48"/>
      <c r="BV1894" s="48"/>
      <c r="BW1894" s="48"/>
      <c r="BX1894" s="48"/>
      <c r="BY1894" s="48"/>
      <c r="BZ1894" s="48"/>
      <c r="CA1894" s="48"/>
      <c r="CB1894" s="48"/>
      <c r="CC1894" s="48"/>
      <c r="CD1894" s="48"/>
      <c r="CE1894" s="48"/>
      <c r="CF1894" s="52"/>
      <c r="CG1894" s="52"/>
      <c r="CH1894" s="48"/>
      <c r="CI1894" s="48"/>
      <c r="CJ1894" s="48"/>
      <c r="CK1894" s="48"/>
    </row>
    <row r="1895" spans="1:89" ht="15.75" customHeight="1" x14ac:dyDescent="0.3">
      <c r="A1895" s="47"/>
      <c r="B1895" s="48"/>
      <c r="C1895" s="47"/>
      <c r="D1895" s="48"/>
      <c r="E1895" s="48"/>
      <c r="F1895" s="48"/>
      <c r="G1895" s="48"/>
      <c r="H1895" s="48"/>
      <c r="I1895" s="49"/>
      <c r="J1895" s="47"/>
      <c r="K1895" s="47"/>
      <c r="L1895" s="47"/>
      <c r="M1895" s="47"/>
      <c r="N1895" s="47"/>
      <c r="O1895" s="47"/>
      <c r="P1895" s="47"/>
      <c r="Q1895" s="47"/>
      <c r="R1895" s="47"/>
      <c r="S1895" s="50"/>
      <c r="T1895" s="47"/>
      <c r="U1895" s="47"/>
      <c r="V1895" s="47"/>
      <c r="W1895" s="51"/>
      <c r="X1895" s="51"/>
      <c r="Y1895" s="47"/>
      <c r="Z1895" s="47"/>
      <c r="AA1895" s="47"/>
      <c r="AB1895" s="47"/>
      <c r="AC1895" s="47"/>
      <c r="AD1895" s="47"/>
      <c r="AE1895" s="54"/>
      <c r="AF1895" s="54"/>
      <c r="AG1895" s="55"/>
      <c r="AH1895" s="54"/>
      <c r="AI1895" s="54"/>
      <c r="AJ1895" s="54"/>
      <c r="AK1895" s="54"/>
      <c r="AL1895" s="54"/>
      <c r="AM1895" s="54"/>
      <c r="AN1895" s="54"/>
      <c r="AO1895" s="54"/>
      <c r="AP1895" s="54"/>
      <c r="AQ1895" s="54"/>
      <c r="AR1895" s="54"/>
      <c r="AS1895" s="54"/>
      <c r="AT1895" s="54"/>
      <c r="AU1895" s="54"/>
      <c r="AV1895" s="54"/>
      <c r="AW1895" s="54"/>
      <c r="AX1895" s="54"/>
      <c r="AY1895" s="54"/>
      <c r="AZ1895" s="54"/>
      <c r="BA1895" s="54"/>
      <c r="BB1895" s="54"/>
      <c r="BC1895" s="56"/>
      <c r="BD1895" s="51"/>
      <c r="BE1895" s="54"/>
      <c r="BF1895" s="54"/>
      <c r="BG1895" s="47"/>
      <c r="BH1895" s="48"/>
      <c r="BI1895" s="48"/>
      <c r="BJ1895" s="48"/>
      <c r="BK1895" s="48"/>
      <c r="BL1895" s="48"/>
      <c r="BM1895" s="48"/>
      <c r="BN1895" s="48"/>
      <c r="BO1895" s="48"/>
      <c r="BP1895" s="48"/>
      <c r="BQ1895" s="48"/>
      <c r="BR1895" s="48"/>
      <c r="BS1895" s="48"/>
      <c r="BT1895" s="48"/>
      <c r="BU1895" s="48"/>
      <c r="BV1895" s="48"/>
      <c r="BW1895" s="48"/>
      <c r="BX1895" s="48"/>
      <c r="BY1895" s="48"/>
      <c r="BZ1895" s="48"/>
      <c r="CA1895" s="48"/>
      <c r="CB1895" s="48"/>
      <c r="CC1895" s="48"/>
      <c r="CD1895" s="48"/>
      <c r="CE1895" s="48"/>
      <c r="CF1895" s="52"/>
      <c r="CG1895" s="52"/>
      <c r="CH1895" s="48"/>
      <c r="CI1895" s="48"/>
      <c r="CJ1895" s="48"/>
      <c r="CK1895" s="48"/>
    </row>
    <row r="1896" spans="1:89" ht="15.75" customHeight="1" x14ac:dyDescent="0.3">
      <c r="A1896" s="47"/>
      <c r="B1896" s="48"/>
      <c r="C1896" s="47"/>
      <c r="D1896" s="48"/>
      <c r="E1896" s="48"/>
      <c r="F1896" s="48"/>
      <c r="G1896" s="48"/>
      <c r="H1896" s="48"/>
      <c r="I1896" s="49"/>
      <c r="J1896" s="47"/>
      <c r="K1896" s="47"/>
      <c r="L1896" s="47"/>
      <c r="M1896" s="47"/>
      <c r="N1896" s="47"/>
      <c r="O1896" s="47"/>
      <c r="P1896" s="47"/>
      <c r="Q1896" s="47"/>
      <c r="R1896" s="47"/>
      <c r="S1896" s="50"/>
      <c r="T1896" s="47"/>
      <c r="U1896" s="47"/>
      <c r="V1896" s="47"/>
      <c r="W1896" s="51"/>
      <c r="X1896" s="51"/>
      <c r="Y1896" s="47"/>
      <c r="Z1896" s="47"/>
      <c r="AA1896" s="47"/>
      <c r="AB1896" s="47"/>
      <c r="AC1896" s="47"/>
      <c r="AD1896" s="47"/>
      <c r="AE1896" s="54"/>
      <c r="AF1896" s="54"/>
      <c r="AG1896" s="55"/>
      <c r="AH1896" s="54"/>
      <c r="AI1896" s="54"/>
      <c r="AJ1896" s="54"/>
      <c r="AK1896" s="54"/>
      <c r="AL1896" s="54"/>
      <c r="AM1896" s="54"/>
      <c r="AN1896" s="54"/>
      <c r="AO1896" s="54"/>
      <c r="AP1896" s="54"/>
      <c r="AQ1896" s="54"/>
      <c r="AR1896" s="54"/>
      <c r="AS1896" s="54"/>
      <c r="AT1896" s="54"/>
      <c r="AU1896" s="54"/>
      <c r="AV1896" s="54"/>
      <c r="AW1896" s="54"/>
      <c r="AX1896" s="54"/>
      <c r="AY1896" s="54"/>
      <c r="AZ1896" s="54"/>
      <c r="BA1896" s="54"/>
      <c r="BB1896" s="54"/>
      <c r="BC1896" s="56"/>
      <c r="BD1896" s="51"/>
      <c r="BE1896" s="54"/>
      <c r="BF1896" s="54"/>
      <c r="BG1896" s="47"/>
      <c r="BH1896" s="48"/>
      <c r="BI1896" s="48"/>
      <c r="BJ1896" s="48"/>
      <c r="BK1896" s="48"/>
      <c r="BL1896" s="48"/>
      <c r="BM1896" s="48"/>
      <c r="BN1896" s="48"/>
      <c r="BO1896" s="48"/>
      <c r="BP1896" s="48"/>
      <c r="BQ1896" s="48"/>
      <c r="BR1896" s="48"/>
      <c r="BS1896" s="48"/>
      <c r="BT1896" s="48"/>
      <c r="BU1896" s="48"/>
      <c r="BV1896" s="48"/>
      <c r="BW1896" s="48"/>
      <c r="BX1896" s="48"/>
      <c r="BY1896" s="48"/>
      <c r="BZ1896" s="48"/>
      <c r="CA1896" s="48"/>
      <c r="CB1896" s="48"/>
      <c r="CC1896" s="48"/>
      <c r="CD1896" s="48"/>
      <c r="CE1896" s="48"/>
      <c r="CF1896" s="52"/>
      <c r="CG1896" s="52"/>
      <c r="CH1896" s="48"/>
      <c r="CI1896" s="48"/>
      <c r="CJ1896" s="48"/>
      <c r="CK1896" s="48"/>
    </row>
    <row r="1897" spans="1:89" ht="15.75" customHeight="1" x14ac:dyDescent="0.3">
      <c r="A1897" s="47"/>
      <c r="B1897" s="48"/>
      <c r="C1897" s="47"/>
      <c r="D1897" s="48"/>
      <c r="E1897" s="48"/>
      <c r="F1897" s="48"/>
      <c r="G1897" s="48"/>
      <c r="H1897" s="48"/>
      <c r="I1897" s="49"/>
      <c r="J1897" s="47"/>
      <c r="K1897" s="47"/>
      <c r="L1897" s="47"/>
      <c r="M1897" s="47"/>
      <c r="N1897" s="47"/>
      <c r="O1897" s="47"/>
      <c r="P1897" s="47"/>
      <c r="Q1897" s="47"/>
      <c r="R1897" s="47"/>
      <c r="S1897" s="50"/>
      <c r="T1897" s="47"/>
      <c r="U1897" s="47"/>
      <c r="V1897" s="47"/>
      <c r="W1897" s="51"/>
      <c r="X1897" s="51"/>
      <c r="Y1897" s="47"/>
      <c r="Z1897" s="47"/>
      <c r="AA1897" s="47"/>
      <c r="AB1897" s="47"/>
      <c r="AC1897" s="47"/>
      <c r="AD1897" s="47"/>
      <c r="AE1897" s="54"/>
      <c r="AF1897" s="54"/>
      <c r="AG1897" s="55"/>
      <c r="AH1897" s="54"/>
      <c r="AI1897" s="54"/>
      <c r="AJ1897" s="54"/>
      <c r="AK1897" s="54"/>
      <c r="AL1897" s="54"/>
      <c r="AM1897" s="54"/>
      <c r="AN1897" s="54"/>
      <c r="AO1897" s="54"/>
      <c r="AP1897" s="54"/>
      <c r="AQ1897" s="54"/>
      <c r="AR1897" s="54"/>
      <c r="AS1897" s="54"/>
      <c r="AT1897" s="54"/>
      <c r="AU1897" s="54"/>
      <c r="AV1897" s="54"/>
      <c r="AW1897" s="54"/>
      <c r="AX1897" s="54"/>
      <c r="AY1897" s="54"/>
      <c r="AZ1897" s="54"/>
      <c r="BA1897" s="54"/>
      <c r="BB1897" s="54"/>
      <c r="BC1897" s="56"/>
      <c r="BD1897" s="51"/>
      <c r="BE1897" s="54"/>
      <c r="BF1897" s="54"/>
      <c r="BG1897" s="47"/>
      <c r="BH1897" s="48"/>
      <c r="BI1897" s="48"/>
      <c r="BJ1897" s="48"/>
      <c r="BK1897" s="48"/>
      <c r="BL1897" s="48"/>
      <c r="BM1897" s="48"/>
      <c r="BN1897" s="48"/>
      <c r="BO1897" s="48"/>
      <c r="BP1897" s="48"/>
      <c r="BQ1897" s="48"/>
      <c r="BR1897" s="48"/>
      <c r="BS1897" s="48"/>
      <c r="BT1897" s="48"/>
      <c r="BU1897" s="48"/>
      <c r="BV1897" s="48"/>
      <c r="BW1897" s="48"/>
      <c r="BX1897" s="48"/>
      <c r="BY1897" s="48"/>
      <c r="BZ1897" s="48"/>
      <c r="CA1897" s="48"/>
      <c r="CB1897" s="48"/>
      <c r="CC1897" s="48"/>
      <c r="CD1897" s="48"/>
      <c r="CE1897" s="48"/>
      <c r="CF1897" s="52"/>
      <c r="CG1897" s="52"/>
      <c r="CH1897" s="48"/>
      <c r="CI1897" s="48"/>
      <c r="CJ1897" s="48"/>
      <c r="CK1897" s="48"/>
    </row>
    <row r="1898" spans="1:89" ht="15.75" customHeight="1" x14ac:dyDescent="0.3">
      <c r="A1898" s="47"/>
      <c r="B1898" s="48"/>
      <c r="C1898" s="47"/>
      <c r="D1898" s="48"/>
      <c r="E1898" s="48"/>
      <c r="F1898" s="48"/>
      <c r="G1898" s="48"/>
      <c r="H1898" s="48"/>
      <c r="I1898" s="49"/>
      <c r="J1898" s="47"/>
      <c r="K1898" s="47"/>
      <c r="L1898" s="47"/>
      <c r="M1898" s="47"/>
      <c r="N1898" s="47"/>
      <c r="O1898" s="47"/>
      <c r="P1898" s="47"/>
      <c r="Q1898" s="47"/>
      <c r="R1898" s="47"/>
      <c r="S1898" s="50"/>
      <c r="T1898" s="47"/>
      <c r="U1898" s="47"/>
      <c r="V1898" s="47"/>
      <c r="W1898" s="51"/>
      <c r="X1898" s="51"/>
      <c r="Y1898" s="47"/>
      <c r="Z1898" s="47"/>
      <c r="AA1898" s="47"/>
      <c r="AB1898" s="47"/>
      <c r="AC1898" s="47"/>
      <c r="AD1898" s="47"/>
      <c r="AE1898" s="54"/>
      <c r="AF1898" s="54"/>
      <c r="AG1898" s="55"/>
      <c r="AH1898" s="54"/>
      <c r="AI1898" s="54"/>
      <c r="AJ1898" s="54"/>
      <c r="AK1898" s="54"/>
      <c r="AL1898" s="54"/>
      <c r="AM1898" s="54"/>
      <c r="AN1898" s="54"/>
      <c r="AO1898" s="54"/>
      <c r="AP1898" s="54"/>
      <c r="AQ1898" s="54"/>
      <c r="AR1898" s="54"/>
      <c r="AS1898" s="54"/>
      <c r="AT1898" s="54"/>
      <c r="AU1898" s="54"/>
      <c r="AV1898" s="54"/>
      <c r="AW1898" s="54"/>
      <c r="AX1898" s="54"/>
      <c r="AY1898" s="54"/>
      <c r="AZ1898" s="54"/>
      <c r="BA1898" s="54"/>
      <c r="BB1898" s="54"/>
      <c r="BC1898" s="56"/>
      <c r="BD1898" s="51"/>
      <c r="BE1898" s="54"/>
      <c r="BF1898" s="54"/>
      <c r="BG1898" s="47"/>
      <c r="BH1898" s="48"/>
      <c r="BI1898" s="48"/>
      <c r="BJ1898" s="48"/>
      <c r="BK1898" s="48"/>
      <c r="BL1898" s="48"/>
      <c r="BM1898" s="48"/>
      <c r="BN1898" s="48"/>
      <c r="BO1898" s="48"/>
      <c r="BP1898" s="48"/>
      <c r="BQ1898" s="48"/>
      <c r="BR1898" s="48"/>
      <c r="BS1898" s="48"/>
      <c r="BT1898" s="48"/>
      <c r="BU1898" s="48"/>
      <c r="BV1898" s="48"/>
      <c r="BW1898" s="48"/>
      <c r="BX1898" s="48"/>
      <c r="BY1898" s="48"/>
      <c r="BZ1898" s="48"/>
      <c r="CA1898" s="48"/>
      <c r="CB1898" s="48"/>
      <c r="CC1898" s="48"/>
      <c r="CD1898" s="48"/>
      <c r="CE1898" s="48"/>
      <c r="CF1898" s="52"/>
      <c r="CG1898" s="52"/>
      <c r="CH1898" s="48"/>
      <c r="CI1898" s="48"/>
      <c r="CJ1898" s="48"/>
      <c r="CK1898" s="48"/>
    </row>
    <row r="1899" spans="1:89" ht="15.75" customHeight="1" x14ac:dyDescent="0.3">
      <c r="A1899" s="47"/>
      <c r="B1899" s="48"/>
      <c r="C1899" s="47"/>
      <c r="D1899" s="48"/>
      <c r="E1899" s="48"/>
      <c r="F1899" s="48"/>
      <c r="G1899" s="48"/>
      <c r="H1899" s="48"/>
      <c r="I1899" s="49"/>
      <c r="J1899" s="47"/>
      <c r="K1899" s="47"/>
      <c r="L1899" s="47"/>
      <c r="M1899" s="47"/>
      <c r="N1899" s="47"/>
      <c r="O1899" s="47"/>
      <c r="P1899" s="47"/>
      <c r="Q1899" s="47"/>
      <c r="R1899" s="47"/>
      <c r="S1899" s="50"/>
      <c r="T1899" s="47"/>
      <c r="U1899" s="47"/>
      <c r="V1899" s="47"/>
      <c r="W1899" s="51"/>
      <c r="X1899" s="51"/>
      <c r="Y1899" s="47"/>
      <c r="Z1899" s="47"/>
      <c r="AA1899" s="47"/>
      <c r="AB1899" s="47"/>
      <c r="AC1899" s="47"/>
      <c r="AD1899" s="47"/>
      <c r="AE1899" s="54"/>
      <c r="AF1899" s="54"/>
      <c r="AG1899" s="55"/>
      <c r="AH1899" s="54"/>
      <c r="AI1899" s="54"/>
      <c r="AJ1899" s="54"/>
      <c r="AK1899" s="54"/>
      <c r="AL1899" s="54"/>
      <c r="AM1899" s="54"/>
      <c r="AN1899" s="54"/>
      <c r="AO1899" s="54"/>
      <c r="AP1899" s="54"/>
      <c r="AQ1899" s="54"/>
      <c r="AR1899" s="54"/>
      <c r="AS1899" s="54"/>
      <c r="AT1899" s="54"/>
      <c r="AU1899" s="54"/>
      <c r="AV1899" s="54"/>
      <c r="AW1899" s="54"/>
      <c r="AX1899" s="54"/>
      <c r="AY1899" s="54"/>
      <c r="AZ1899" s="54"/>
      <c r="BA1899" s="54"/>
      <c r="BB1899" s="54"/>
      <c r="BC1899" s="56"/>
      <c r="BD1899" s="51"/>
      <c r="BE1899" s="54"/>
      <c r="BF1899" s="54"/>
      <c r="BG1899" s="47"/>
      <c r="BH1899" s="48"/>
      <c r="BI1899" s="48"/>
      <c r="BJ1899" s="48"/>
      <c r="BK1899" s="48"/>
      <c r="BL1899" s="48"/>
      <c r="BM1899" s="48"/>
      <c r="BN1899" s="48"/>
      <c r="BO1899" s="48"/>
      <c r="BP1899" s="48"/>
      <c r="BQ1899" s="48"/>
      <c r="BR1899" s="48"/>
      <c r="BS1899" s="48"/>
      <c r="BT1899" s="48"/>
      <c r="BU1899" s="48"/>
      <c r="BV1899" s="48"/>
      <c r="BW1899" s="48"/>
      <c r="BX1899" s="48"/>
      <c r="BY1899" s="48"/>
      <c r="BZ1899" s="48"/>
      <c r="CA1899" s="48"/>
      <c r="CB1899" s="48"/>
      <c r="CC1899" s="48"/>
      <c r="CD1899" s="48"/>
      <c r="CE1899" s="48"/>
      <c r="CF1899" s="52"/>
      <c r="CG1899" s="52"/>
      <c r="CH1899" s="48"/>
      <c r="CI1899" s="48"/>
      <c r="CJ1899" s="48"/>
      <c r="CK1899" s="48"/>
    </row>
    <row r="1900" spans="1:89" ht="15.75" customHeight="1" x14ac:dyDescent="0.3">
      <c r="A1900" s="47"/>
      <c r="B1900" s="48"/>
      <c r="C1900" s="47"/>
      <c r="D1900" s="48"/>
      <c r="E1900" s="48"/>
      <c r="F1900" s="48"/>
      <c r="G1900" s="48"/>
      <c r="H1900" s="48"/>
      <c r="I1900" s="49"/>
      <c r="J1900" s="47"/>
      <c r="K1900" s="47"/>
      <c r="L1900" s="47"/>
      <c r="M1900" s="47"/>
      <c r="N1900" s="47"/>
      <c r="O1900" s="47"/>
      <c r="P1900" s="47"/>
      <c r="Q1900" s="47"/>
      <c r="R1900" s="47"/>
      <c r="S1900" s="50"/>
      <c r="T1900" s="47"/>
      <c r="U1900" s="47"/>
      <c r="V1900" s="47"/>
      <c r="W1900" s="51"/>
      <c r="X1900" s="51"/>
      <c r="Y1900" s="47"/>
      <c r="Z1900" s="47"/>
      <c r="AA1900" s="47"/>
      <c r="AB1900" s="47"/>
      <c r="AC1900" s="47"/>
      <c r="AD1900" s="47"/>
      <c r="AE1900" s="54"/>
      <c r="AF1900" s="54"/>
      <c r="AG1900" s="55"/>
      <c r="AH1900" s="54"/>
      <c r="AI1900" s="54"/>
      <c r="AJ1900" s="54"/>
      <c r="AK1900" s="54"/>
      <c r="AL1900" s="54"/>
      <c r="AM1900" s="54"/>
      <c r="AN1900" s="54"/>
      <c r="AO1900" s="54"/>
      <c r="AP1900" s="54"/>
      <c r="AQ1900" s="54"/>
      <c r="AR1900" s="54"/>
      <c r="AS1900" s="54"/>
      <c r="AT1900" s="54"/>
      <c r="AU1900" s="54"/>
      <c r="AV1900" s="54"/>
      <c r="AW1900" s="54"/>
      <c r="AX1900" s="54"/>
      <c r="AY1900" s="54"/>
      <c r="AZ1900" s="54"/>
      <c r="BA1900" s="54"/>
      <c r="BB1900" s="54"/>
      <c r="BC1900" s="56"/>
      <c r="BD1900" s="51"/>
      <c r="BE1900" s="54"/>
      <c r="BF1900" s="54"/>
      <c r="BG1900" s="47"/>
      <c r="BH1900" s="48"/>
      <c r="BI1900" s="48"/>
      <c r="BJ1900" s="48"/>
      <c r="BK1900" s="48"/>
      <c r="BL1900" s="48"/>
      <c r="BM1900" s="48"/>
      <c r="BN1900" s="48"/>
      <c r="BO1900" s="48"/>
      <c r="BP1900" s="48"/>
      <c r="BQ1900" s="48"/>
      <c r="BR1900" s="48"/>
      <c r="BS1900" s="48"/>
      <c r="BT1900" s="48"/>
      <c r="BU1900" s="48"/>
      <c r="BV1900" s="48"/>
      <c r="BW1900" s="48"/>
      <c r="BX1900" s="48"/>
      <c r="BY1900" s="48"/>
      <c r="BZ1900" s="48"/>
      <c r="CA1900" s="48"/>
      <c r="CB1900" s="48"/>
      <c r="CC1900" s="48"/>
      <c r="CD1900" s="48"/>
      <c r="CE1900" s="48"/>
      <c r="CF1900" s="52"/>
      <c r="CG1900" s="52"/>
      <c r="CH1900" s="48"/>
      <c r="CI1900" s="48"/>
      <c r="CJ1900" s="48"/>
      <c r="CK1900" s="48"/>
    </row>
    <row r="1901" spans="1:89" ht="15.75" customHeight="1" x14ac:dyDescent="0.3">
      <c r="A1901" s="47"/>
      <c r="B1901" s="48"/>
      <c r="C1901" s="47"/>
      <c r="D1901" s="48"/>
      <c r="E1901" s="48"/>
      <c r="F1901" s="48"/>
      <c r="G1901" s="48"/>
      <c r="H1901" s="48"/>
      <c r="I1901" s="49"/>
      <c r="J1901" s="47"/>
      <c r="K1901" s="47"/>
      <c r="L1901" s="47"/>
      <c r="M1901" s="47"/>
      <c r="N1901" s="47"/>
      <c r="O1901" s="47"/>
      <c r="P1901" s="47"/>
      <c r="Q1901" s="47"/>
      <c r="R1901" s="47"/>
      <c r="S1901" s="50"/>
      <c r="T1901" s="47"/>
      <c r="U1901" s="47"/>
      <c r="V1901" s="47"/>
      <c r="W1901" s="51"/>
      <c r="X1901" s="51"/>
      <c r="Y1901" s="47"/>
      <c r="Z1901" s="47"/>
      <c r="AA1901" s="47"/>
      <c r="AB1901" s="47"/>
      <c r="AC1901" s="47"/>
      <c r="AD1901" s="47"/>
      <c r="AE1901" s="54"/>
      <c r="AF1901" s="54"/>
      <c r="AG1901" s="55"/>
      <c r="AH1901" s="54"/>
      <c r="AI1901" s="54"/>
      <c r="AJ1901" s="54"/>
      <c r="AK1901" s="54"/>
      <c r="AL1901" s="54"/>
      <c r="AM1901" s="54"/>
      <c r="AN1901" s="54"/>
      <c r="AO1901" s="54"/>
      <c r="AP1901" s="54"/>
      <c r="AQ1901" s="54"/>
      <c r="AR1901" s="54"/>
      <c r="AS1901" s="54"/>
      <c r="AT1901" s="54"/>
      <c r="AU1901" s="54"/>
      <c r="AV1901" s="54"/>
      <c r="AW1901" s="54"/>
      <c r="AX1901" s="54"/>
      <c r="AY1901" s="54"/>
      <c r="AZ1901" s="54"/>
      <c r="BA1901" s="54"/>
      <c r="BB1901" s="54"/>
      <c r="BC1901" s="56"/>
      <c r="BD1901" s="51"/>
      <c r="BE1901" s="54"/>
      <c r="BF1901" s="54"/>
      <c r="BG1901" s="47"/>
      <c r="BH1901" s="48"/>
      <c r="BI1901" s="48"/>
      <c r="BJ1901" s="48"/>
      <c r="BK1901" s="48"/>
      <c r="BL1901" s="48"/>
      <c r="BM1901" s="48"/>
      <c r="BN1901" s="48"/>
      <c r="BO1901" s="48"/>
      <c r="BP1901" s="48"/>
      <c r="BQ1901" s="48"/>
      <c r="BR1901" s="48"/>
      <c r="BS1901" s="48"/>
      <c r="BT1901" s="48"/>
      <c r="BU1901" s="48"/>
      <c r="BV1901" s="48"/>
      <c r="BW1901" s="48"/>
      <c r="BX1901" s="48"/>
      <c r="BY1901" s="48"/>
      <c r="BZ1901" s="48"/>
      <c r="CA1901" s="48"/>
      <c r="CB1901" s="48"/>
      <c r="CC1901" s="48"/>
      <c r="CD1901" s="48"/>
      <c r="CE1901" s="48"/>
      <c r="CF1901" s="52"/>
      <c r="CG1901" s="52"/>
      <c r="CH1901" s="48"/>
      <c r="CI1901" s="48"/>
      <c r="CJ1901" s="48"/>
      <c r="CK1901" s="48"/>
    </row>
    <row r="1902" spans="1:89" ht="15.75" customHeight="1" x14ac:dyDescent="0.3">
      <c r="A1902" s="47"/>
      <c r="B1902" s="48"/>
      <c r="C1902" s="47"/>
      <c r="D1902" s="48"/>
      <c r="E1902" s="48"/>
      <c r="F1902" s="48"/>
      <c r="G1902" s="48"/>
      <c r="H1902" s="48"/>
      <c r="I1902" s="49"/>
      <c r="J1902" s="47"/>
      <c r="K1902" s="47"/>
      <c r="L1902" s="47"/>
      <c r="M1902" s="47"/>
      <c r="N1902" s="47"/>
      <c r="O1902" s="47"/>
      <c r="P1902" s="47"/>
      <c r="Q1902" s="47"/>
      <c r="R1902" s="47"/>
      <c r="S1902" s="50"/>
      <c r="T1902" s="47"/>
      <c r="U1902" s="47"/>
      <c r="V1902" s="47"/>
      <c r="W1902" s="51"/>
      <c r="X1902" s="51"/>
      <c r="Y1902" s="47"/>
      <c r="Z1902" s="47"/>
      <c r="AA1902" s="47"/>
      <c r="AB1902" s="47"/>
      <c r="AC1902" s="47"/>
      <c r="AD1902" s="47"/>
      <c r="AE1902" s="54"/>
      <c r="AF1902" s="54"/>
      <c r="AG1902" s="55"/>
      <c r="AH1902" s="54"/>
      <c r="AI1902" s="54"/>
      <c r="AJ1902" s="54"/>
      <c r="AK1902" s="54"/>
      <c r="AL1902" s="54"/>
      <c r="AM1902" s="54"/>
      <c r="AN1902" s="54"/>
      <c r="AO1902" s="54"/>
      <c r="AP1902" s="54"/>
      <c r="AQ1902" s="54"/>
      <c r="AR1902" s="54"/>
      <c r="AS1902" s="54"/>
      <c r="AT1902" s="54"/>
      <c r="AU1902" s="54"/>
      <c r="AV1902" s="54"/>
      <c r="AW1902" s="54"/>
      <c r="AX1902" s="54"/>
      <c r="AY1902" s="54"/>
      <c r="AZ1902" s="54"/>
      <c r="BA1902" s="54"/>
      <c r="BB1902" s="54"/>
      <c r="BC1902" s="56"/>
      <c r="BD1902" s="51"/>
      <c r="BE1902" s="54"/>
      <c r="BF1902" s="54"/>
      <c r="BG1902" s="47"/>
      <c r="BH1902" s="48"/>
      <c r="BI1902" s="48"/>
      <c r="BJ1902" s="48"/>
      <c r="BK1902" s="48"/>
      <c r="BL1902" s="48"/>
      <c r="BM1902" s="48"/>
      <c r="BN1902" s="48"/>
      <c r="BO1902" s="48"/>
      <c r="BP1902" s="48"/>
      <c r="BQ1902" s="48"/>
      <c r="BR1902" s="48"/>
      <c r="BS1902" s="48"/>
      <c r="BT1902" s="48"/>
      <c r="BU1902" s="48"/>
      <c r="BV1902" s="48"/>
      <c r="BW1902" s="48"/>
      <c r="BX1902" s="48"/>
      <c r="BY1902" s="48"/>
      <c r="BZ1902" s="48"/>
      <c r="CA1902" s="48"/>
      <c r="CB1902" s="48"/>
      <c r="CC1902" s="48"/>
      <c r="CD1902" s="48"/>
      <c r="CE1902" s="48"/>
      <c r="CF1902" s="52"/>
      <c r="CG1902" s="52"/>
      <c r="CH1902" s="48"/>
      <c r="CI1902" s="48"/>
      <c r="CJ1902" s="48"/>
      <c r="CK1902" s="48"/>
    </row>
    <row r="1903" spans="1:89" ht="15.75" customHeight="1" x14ac:dyDescent="0.3">
      <c r="A1903" s="47"/>
      <c r="B1903" s="48"/>
      <c r="C1903" s="47"/>
      <c r="D1903" s="48"/>
      <c r="E1903" s="48"/>
      <c r="F1903" s="48"/>
      <c r="G1903" s="48"/>
      <c r="H1903" s="48"/>
      <c r="I1903" s="49"/>
      <c r="J1903" s="47"/>
      <c r="K1903" s="47"/>
      <c r="L1903" s="47"/>
      <c r="M1903" s="47"/>
      <c r="N1903" s="47"/>
      <c r="O1903" s="47"/>
      <c r="P1903" s="47"/>
      <c r="Q1903" s="47"/>
      <c r="R1903" s="47"/>
      <c r="S1903" s="50"/>
      <c r="T1903" s="47"/>
      <c r="U1903" s="47"/>
      <c r="V1903" s="47"/>
      <c r="W1903" s="51"/>
      <c r="X1903" s="51"/>
      <c r="Y1903" s="47"/>
      <c r="Z1903" s="47"/>
      <c r="AA1903" s="47"/>
      <c r="AB1903" s="47"/>
      <c r="AC1903" s="47"/>
      <c r="AD1903" s="47"/>
      <c r="AE1903" s="54"/>
      <c r="AF1903" s="54"/>
      <c r="AG1903" s="55"/>
      <c r="AH1903" s="54"/>
      <c r="AI1903" s="54"/>
      <c r="AJ1903" s="54"/>
      <c r="AK1903" s="54"/>
      <c r="AL1903" s="54"/>
      <c r="AM1903" s="54"/>
      <c r="AN1903" s="54"/>
      <c r="AO1903" s="54"/>
      <c r="AP1903" s="54"/>
      <c r="AQ1903" s="54"/>
      <c r="AR1903" s="54"/>
      <c r="AS1903" s="54"/>
      <c r="AT1903" s="54"/>
      <c r="AU1903" s="54"/>
      <c r="AV1903" s="54"/>
      <c r="AW1903" s="54"/>
      <c r="AX1903" s="54"/>
      <c r="AY1903" s="54"/>
      <c r="AZ1903" s="54"/>
      <c r="BA1903" s="54"/>
      <c r="BB1903" s="54"/>
      <c r="BC1903" s="56"/>
      <c r="BD1903" s="51"/>
      <c r="BE1903" s="54"/>
      <c r="BF1903" s="54"/>
      <c r="BG1903" s="47"/>
      <c r="BH1903" s="48"/>
      <c r="BI1903" s="48"/>
      <c r="BJ1903" s="48"/>
      <c r="BK1903" s="48"/>
      <c r="BL1903" s="48"/>
      <c r="BM1903" s="48"/>
      <c r="BN1903" s="48"/>
      <c r="BO1903" s="48"/>
      <c r="BP1903" s="48"/>
      <c r="BQ1903" s="48"/>
      <c r="BR1903" s="48"/>
      <c r="BS1903" s="48"/>
      <c r="BT1903" s="48"/>
      <c r="BU1903" s="48"/>
      <c r="BV1903" s="48"/>
      <c r="BW1903" s="48"/>
      <c r="BX1903" s="48"/>
      <c r="BY1903" s="48"/>
      <c r="BZ1903" s="48"/>
      <c r="CA1903" s="48"/>
      <c r="CB1903" s="48"/>
      <c r="CC1903" s="48"/>
      <c r="CD1903" s="48"/>
      <c r="CE1903" s="48"/>
      <c r="CF1903" s="52"/>
      <c r="CG1903" s="52"/>
      <c r="CH1903" s="48"/>
      <c r="CI1903" s="48"/>
      <c r="CJ1903" s="48"/>
      <c r="CK1903" s="48"/>
    </row>
    <row r="1904" spans="1:89" ht="15.75" customHeight="1" x14ac:dyDescent="0.3">
      <c r="A1904" s="47"/>
      <c r="B1904" s="48"/>
      <c r="C1904" s="47"/>
      <c r="D1904" s="48"/>
      <c r="E1904" s="48"/>
      <c r="F1904" s="48"/>
      <c r="G1904" s="48"/>
      <c r="H1904" s="48"/>
      <c r="I1904" s="49"/>
      <c r="J1904" s="47"/>
      <c r="K1904" s="47"/>
      <c r="L1904" s="47"/>
      <c r="M1904" s="47"/>
      <c r="N1904" s="47"/>
      <c r="O1904" s="47"/>
      <c r="P1904" s="47"/>
      <c r="Q1904" s="47"/>
      <c r="R1904" s="47"/>
      <c r="S1904" s="50"/>
      <c r="T1904" s="47"/>
      <c r="U1904" s="47"/>
      <c r="V1904" s="47"/>
      <c r="W1904" s="51"/>
      <c r="X1904" s="51"/>
      <c r="Y1904" s="47"/>
      <c r="Z1904" s="47"/>
      <c r="AA1904" s="47"/>
      <c r="AB1904" s="47"/>
      <c r="AC1904" s="47"/>
      <c r="AD1904" s="47"/>
      <c r="AE1904" s="54"/>
      <c r="AF1904" s="54"/>
      <c r="AG1904" s="55"/>
      <c r="AH1904" s="54"/>
      <c r="AI1904" s="54"/>
      <c r="AJ1904" s="54"/>
      <c r="AK1904" s="54"/>
      <c r="AL1904" s="54"/>
      <c r="AM1904" s="54"/>
      <c r="AN1904" s="54"/>
      <c r="AO1904" s="54"/>
      <c r="AP1904" s="54"/>
      <c r="AQ1904" s="54"/>
      <c r="AR1904" s="54"/>
      <c r="AS1904" s="54"/>
      <c r="AT1904" s="54"/>
      <c r="AU1904" s="54"/>
      <c r="AV1904" s="54"/>
      <c r="AW1904" s="54"/>
      <c r="AX1904" s="54"/>
      <c r="AY1904" s="54"/>
      <c r="AZ1904" s="54"/>
      <c r="BA1904" s="54"/>
      <c r="BB1904" s="54"/>
      <c r="BC1904" s="56"/>
      <c r="BD1904" s="51"/>
      <c r="BE1904" s="54"/>
      <c r="BF1904" s="54"/>
      <c r="BG1904" s="47"/>
      <c r="BH1904" s="48"/>
      <c r="BI1904" s="48"/>
      <c r="BJ1904" s="48"/>
      <c r="BK1904" s="48"/>
      <c r="BL1904" s="48"/>
      <c r="BM1904" s="48"/>
      <c r="BN1904" s="48"/>
      <c r="BO1904" s="48"/>
      <c r="BP1904" s="48"/>
      <c r="BQ1904" s="48"/>
      <c r="BR1904" s="48"/>
      <c r="BS1904" s="48"/>
      <c r="BT1904" s="48"/>
      <c r="BU1904" s="48"/>
      <c r="BV1904" s="48"/>
      <c r="BW1904" s="48"/>
      <c r="BX1904" s="48"/>
      <c r="BY1904" s="48"/>
      <c r="BZ1904" s="48"/>
      <c r="CA1904" s="48"/>
      <c r="CB1904" s="48"/>
      <c r="CC1904" s="48"/>
      <c r="CD1904" s="48"/>
      <c r="CE1904" s="48"/>
      <c r="CF1904" s="52"/>
      <c r="CG1904" s="52"/>
      <c r="CH1904" s="48"/>
      <c r="CI1904" s="48"/>
      <c r="CJ1904" s="48"/>
      <c r="CK1904" s="48"/>
    </row>
    <row r="1905" spans="1:89" ht="15.75" customHeight="1" x14ac:dyDescent="0.3">
      <c r="A1905" s="47"/>
      <c r="B1905" s="48"/>
      <c r="C1905" s="47"/>
      <c r="D1905" s="48"/>
      <c r="E1905" s="48"/>
      <c r="F1905" s="48"/>
      <c r="G1905" s="48"/>
      <c r="H1905" s="48"/>
      <c r="I1905" s="49"/>
      <c r="J1905" s="47"/>
      <c r="K1905" s="47"/>
      <c r="L1905" s="47"/>
      <c r="M1905" s="47"/>
      <c r="N1905" s="47"/>
      <c r="O1905" s="47"/>
      <c r="P1905" s="47"/>
      <c r="Q1905" s="47"/>
      <c r="R1905" s="47"/>
      <c r="S1905" s="50"/>
      <c r="T1905" s="47"/>
      <c r="U1905" s="47"/>
      <c r="V1905" s="47"/>
      <c r="W1905" s="51"/>
      <c r="X1905" s="51"/>
      <c r="Y1905" s="47"/>
      <c r="Z1905" s="47"/>
      <c r="AA1905" s="47"/>
      <c r="AB1905" s="47"/>
      <c r="AC1905" s="47"/>
      <c r="AD1905" s="47"/>
      <c r="AE1905" s="54"/>
      <c r="AF1905" s="54"/>
      <c r="AG1905" s="55"/>
      <c r="AH1905" s="54"/>
      <c r="AI1905" s="54"/>
      <c r="AJ1905" s="54"/>
      <c r="AK1905" s="54"/>
      <c r="AL1905" s="54"/>
      <c r="AM1905" s="54"/>
      <c r="AN1905" s="54"/>
      <c r="AO1905" s="54"/>
      <c r="AP1905" s="54"/>
      <c r="AQ1905" s="54"/>
      <c r="AR1905" s="54"/>
      <c r="AS1905" s="54"/>
      <c r="AT1905" s="54"/>
      <c r="AU1905" s="54"/>
      <c r="AV1905" s="54"/>
      <c r="AW1905" s="54"/>
      <c r="AX1905" s="54"/>
      <c r="AY1905" s="54"/>
      <c r="AZ1905" s="54"/>
      <c r="BA1905" s="54"/>
      <c r="BB1905" s="54"/>
      <c r="BC1905" s="56"/>
      <c r="BD1905" s="51"/>
      <c r="BE1905" s="54"/>
      <c r="BF1905" s="54"/>
      <c r="BG1905" s="47"/>
      <c r="BH1905" s="48"/>
      <c r="BI1905" s="48"/>
      <c r="BJ1905" s="48"/>
      <c r="BK1905" s="48"/>
      <c r="BL1905" s="48"/>
      <c r="BM1905" s="48"/>
      <c r="BN1905" s="48"/>
      <c r="BO1905" s="48"/>
      <c r="BP1905" s="48"/>
      <c r="BQ1905" s="48"/>
      <c r="BR1905" s="48"/>
      <c r="BS1905" s="48"/>
      <c r="BT1905" s="48"/>
      <c r="BU1905" s="48"/>
      <c r="BV1905" s="48"/>
      <c r="BW1905" s="48"/>
      <c r="BX1905" s="48"/>
      <c r="BY1905" s="48"/>
      <c r="BZ1905" s="48"/>
      <c r="CA1905" s="48"/>
      <c r="CB1905" s="48"/>
      <c r="CC1905" s="48"/>
      <c r="CD1905" s="48"/>
      <c r="CE1905" s="48"/>
      <c r="CF1905" s="52"/>
      <c r="CG1905" s="52"/>
      <c r="CH1905" s="48"/>
      <c r="CI1905" s="48"/>
      <c r="CJ1905" s="48"/>
      <c r="CK1905" s="48"/>
    </row>
    <row r="1906" spans="1:89" ht="15.75" customHeight="1" x14ac:dyDescent="0.3">
      <c r="A1906" s="47"/>
      <c r="B1906" s="48"/>
      <c r="C1906" s="47"/>
      <c r="D1906" s="48"/>
      <c r="E1906" s="48"/>
      <c r="F1906" s="48"/>
      <c r="G1906" s="48"/>
      <c r="H1906" s="48"/>
      <c r="I1906" s="49"/>
      <c r="J1906" s="47"/>
      <c r="K1906" s="47"/>
      <c r="L1906" s="47"/>
      <c r="M1906" s="47"/>
      <c r="N1906" s="47"/>
      <c r="O1906" s="47"/>
      <c r="P1906" s="47"/>
      <c r="Q1906" s="47"/>
      <c r="R1906" s="47"/>
      <c r="S1906" s="50"/>
      <c r="T1906" s="47"/>
      <c r="U1906" s="47"/>
      <c r="V1906" s="47"/>
      <c r="W1906" s="51"/>
      <c r="X1906" s="51"/>
      <c r="Y1906" s="47"/>
      <c r="Z1906" s="47"/>
      <c r="AA1906" s="47"/>
      <c r="AB1906" s="47"/>
      <c r="AC1906" s="47"/>
      <c r="AD1906" s="47"/>
      <c r="AE1906" s="54"/>
      <c r="AF1906" s="54"/>
      <c r="AG1906" s="55"/>
      <c r="AH1906" s="54"/>
      <c r="AI1906" s="54"/>
      <c r="AJ1906" s="54"/>
      <c r="AK1906" s="54"/>
      <c r="AL1906" s="54"/>
      <c r="AM1906" s="54"/>
      <c r="AN1906" s="54"/>
      <c r="AO1906" s="54"/>
      <c r="AP1906" s="54"/>
      <c r="AQ1906" s="54"/>
      <c r="AR1906" s="54"/>
      <c r="AS1906" s="54"/>
      <c r="AT1906" s="54"/>
      <c r="AU1906" s="54"/>
      <c r="AV1906" s="54"/>
      <c r="AW1906" s="54"/>
      <c r="AX1906" s="54"/>
      <c r="AY1906" s="54"/>
      <c r="AZ1906" s="54"/>
      <c r="BA1906" s="54"/>
      <c r="BB1906" s="54"/>
      <c r="BC1906" s="56"/>
      <c r="BD1906" s="51"/>
      <c r="BE1906" s="54"/>
      <c r="BF1906" s="54"/>
      <c r="BG1906" s="47"/>
      <c r="BH1906" s="48"/>
      <c r="BI1906" s="48"/>
      <c r="BJ1906" s="48"/>
      <c r="BK1906" s="48"/>
      <c r="BL1906" s="48"/>
      <c r="BM1906" s="48"/>
      <c r="BN1906" s="48"/>
      <c r="BO1906" s="48"/>
      <c r="BP1906" s="48"/>
      <c r="BQ1906" s="48"/>
      <c r="BR1906" s="48"/>
      <c r="BS1906" s="48"/>
      <c r="BT1906" s="48"/>
      <c r="BU1906" s="48"/>
      <c r="BV1906" s="48"/>
      <c r="BW1906" s="48"/>
      <c r="BX1906" s="48"/>
      <c r="BY1906" s="48"/>
      <c r="BZ1906" s="48"/>
      <c r="CA1906" s="48"/>
      <c r="CB1906" s="48"/>
      <c r="CC1906" s="48"/>
      <c r="CD1906" s="48"/>
      <c r="CE1906" s="48"/>
      <c r="CF1906" s="52"/>
      <c r="CG1906" s="52"/>
      <c r="CH1906" s="48"/>
      <c r="CI1906" s="48"/>
      <c r="CJ1906" s="48"/>
      <c r="CK1906" s="48"/>
    </row>
    <row r="1907" spans="1:89" ht="15.75" customHeight="1" x14ac:dyDescent="0.3">
      <c r="A1907" s="47"/>
      <c r="B1907" s="48"/>
      <c r="C1907" s="47"/>
      <c r="D1907" s="48"/>
      <c r="E1907" s="48"/>
      <c r="F1907" s="48"/>
      <c r="G1907" s="48"/>
      <c r="H1907" s="48"/>
      <c r="I1907" s="49"/>
      <c r="J1907" s="47"/>
      <c r="K1907" s="47"/>
      <c r="L1907" s="47"/>
      <c r="M1907" s="47"/>
      <c r="N1907" s="47"/>
      <c r="O1907" s="47"/>
      <c r="P1907" s="47"/>
      <c r="Q1907" s="47"/>
      <c r="R1907" s="47"/>
      <c r="S1907" s="50"/>
      <c r="T1907" s="47"/>
      <c r="U1907" s="47"/>
      <c r="V1907" s="47"/>
      <c r="W1907" s="51"/>
      <c r="X1907" s="51"/>
      <c r="Y1907" s="47"/>
      <c r="Z1907" s="47"/>
      <c r="AA1907" s="47"/>
      <c r="AB1907" s="47"/>
      <c r="AC1907" s="47"/>
      <c r="AD1907" s="47"/>
      <c r="AE1907" s="54"/>
      <c r="AF1907" s="54"/>
      <c r="AG1907" s="55"/>
      <c r="AH1907" s="54"/>
      <c r="AI1907" s="54"/>
      <c r="AJ1907" s="54"/>
      <c r="AK1907" s="54"/>
      <c r="AL1907" s="54"/>
      <c r="AM1907" s="54"/>
      <c r="AN1907" s="54"/>
      <c r="AO1907" s="54"/>
      <c r="AP1907" s="54"/>
      <c r="AQ1907" s="54"/>
      <c r="AR1907" s="54"/>
      <c r="AS1907" s="54"/>
      <c r="AT1907" s="54"/>
      <c r="AU1907" s="54"/>
      <c r="AV1907" s="54"/>
      <c r="AW1907" s="54"/>
      <c r="AX1907" s="54"/>
      <c r="AY1907" s="54"/>
      <c r="AZ1907" s="54"/>
      <c r="BA1907" s="54"/>
      <c r="BB1907" s="54"/>
      <c r="BC1907" s="56"/>
      <c r="BD1907" s="51"/>
      <c r="BE1907" s="54"/>
      <c r="BF1907" s="54"/>
      <c r="BG1907" s="47"/>
      <c r="BH1907" s="48"/>
      <c r="BI1907" s="48"/>
      <c r="BJ1907" s="48"/>
      <c r="BK1907" s="48"/>
      <c r="BL1907" s="48"/>
      <c r="BM1907" s="48"/>
      <c r="BN1907" s="48"/>
      <c r="BO1907" s="48"/>
      <c r="BP1907" s="48"/>
      <c r="BQ1907" s="48"/>
      <c r="BR1907" s="48"/>
      <c r="BS1907" s="48"/>
      <c r="BT1907" s="48"/>
      <c r="BU1907" s="48"/>
      <c r="BV1907" s="48"/>
      <c r="BW1907" s="48"/>
      <c r="BX1907" s="48"/>
      <c r="BY1907" s="48"/>
      <c r="BZ1907" s="48"/>
      <c r="CA1907" s="48"/>
      <c r="CB1907" s="48"/>
      <c r="CC1907" s="48"/>
      <c r="CD1907" s="48"/>
      <c r="CE1907" s="48"/>
      <c r="CF1907" s="52"/>
      <c r="CG1907" s="52"/>
      <c r="CH1907" s="48"/>
      <c r="CI1907" s="48"/>
      <c r="CJ1907" s="48"/>
      <c r="CK1907" s="48"/>
    </row>
    <row r="1908" spans="1:89" ht="15.75" customHeight="1" x14ac:dyDescent="0.3">
      <c r="A1908" s="47"/>
      <c r="B1908" s="48"/>
      <c r="C1908" s="47"/>
      <c r="D1908" s="48"/>
      <c r="E1908" s="48"/>
      <c r="F1908" s="48"/>
      <c r="G1908" s="48"/>
      <c r="H1908" s="48"/>
      <c r="I1908" s="49"/>
      <c r="J1908" s="47"/>
      <c r="K1908" s="47"/>
      <c r="L1908" s="47"/>
      <c r="M1908" s="47"/>
      <c r="N1908" s="47"/>
      <c r="O1908" s="47"/>
      <c r="P1908" s="47"/>
      <c r="Q1908" s="47"/>
      <c r="R1908" s="47"/>
      <c r="S1908" s="50"/>
      <c r="T1908" s="47"/>
      <c r="U1908" s="47"/>
      <c r="V1908" s="47"/>
      <c r="W1908" s="51"/>
      <c r="X1908" s="51"/>
      <c r="Y1908" s="47"/>
      <c r="Z1908" s="47"/>
      <c r="AA1908" s="47"/>
      <c r="AB1908" s="47"/>
      <c r="AC1908" s="47"/>
      <c r="AD1908" s="47"/>
      <c r="AE1908" s="54"/>
      <c r="AF1908" s="54"/>
      <c r="AG1908" s="55"/>
      <c r="AH1908" s="54"/>
      <c r="AI1908" s="54"/>
      <c r="AJ1908" s="54"/>
      <c r="AK1908" s="54"/>
      <c r="AL1908" s="54"/>
      <c r="AM1908" s="54"/>
      <c r="AN1908" s="54"/>
      <c r="AO1908" s="54"/>
      <c r="AP1908" s="54"/>
      <c r="AQ1908" s="54"/>
      <c r="AR1908" s="54"/>
      <c r="AS1908" s="54"/>
      <c r="AT1908" s="54"/>
      <c r="AU1908" s="54"/>
      <c r="AV1908" s="54"/>
      <c r="AW1908" s="54"/>
      <c r="AX1908" s="54"/>
      <c r="AY1908" s="54"/>
      <c r="AZ1908" s="54"/>
      <c r="BA1908" s="54"/>
      <c r="BB1908" s="54"/>
      <c r="BC1908" s="56"/>
      <c r="BD1908" s="51"/>
      <c r="BE1908" s="54"/>
      <c r="BF1908" s="54"/>
      <c r="BG1908" s="47"/>
      <c r="BH1908" s="48"/>
      <c r="BI1908" s="48"/>
      <c r="BJ1908" s="48"/>
      <c r="BK1908" s="48"/>
      <c r="BL1908" s="48"/>
      <c r="BM1908" s="48"/>
      <c r="BN1908" s="48"/>
      <c r="BO1908" s="48"/>
      <c r="BP1908" s="48"/>
      <c r="BQ1908" s="48"/>
      <c r="BR1908" s="48"/>
      <c r="BS1908" s="48"/>
      <c r="BT1908" s="48"/>
      <c r="BU1908" s="48"/>
      <c r="BV1908" s="48"/>
      <c r="BW1908" s="48"/>
      <c r="BX1908" s="48"/>
      <c r="BY1908" s="48"/>
      <c r="BZ1908" s="48"/>
      <c r="CA1908" s="48"/>
      <c r="CB1908" s="48"/>
      <c r="CC1908" s="48"/>
      <c r="CD1908" s="48"/>
      <c r="CE1908" s="48"/>
      <c r="CF1908" s="52"/>
      <c r="CG1908" s="52"/>
      <c r="CH1908" s="48"/>
      <c r="CI1908" s="48"/>
      <c r="CJ1908" s="48"/>
      <c r="CK1908" s="48"/>
    </row>
    <row r="1909" spans="1:89" ht="15.75" customHeight="1" x14ac:dyDescent="0.3">
      <c r="A1909" s="47"/>
      <c r="B1909" s="48"/>
      <c r="C1909" s="47"/>
      <c r="D1909" s="48"/>
      <c r="E1909" s="48"/>
      <c r="F1909" s="48"/>
      <c r="G1909" s="48"/>
      <c r="H1909" s="48"/>
      <c r="I1909" s="49"/>
      <c r="J1909" s="47"/>
      <c r="K1909" s="47"/>
      <c r="L1909" s="47"/>
      <c r="M1909" s="47"/>
      <c r="N1909" s="47"/>
      <c r="O1909" s="47"/>
      <c r="P1909" s="47"/>
      <c r="Q1909" s="47"/>
      <c r="R1909" s="47"/>
      <c r="S1909" s="50"/>
      <c r="T1909" s="47"/>
      <c r="U1909" s="47"/>
      <c r="V1909" s="47"/>
      <c r="W1909" s="51"/>
      <c r="X1909" s="51"/>
      <c r="Y1909" s="47"/>
      <c r="Z1909" s="47"/>
      <c r="AA1909" s="47"/>
      <c r="AB1909" s="47"/>
      <c r="AC1909" s="47"/>
      <c r="AD1909" s="47"/>
      <c r="AE1909" s="54"/>
      <c r="AF1909" s="54"/>
      <c r="AG1909" s="55"/>
      <c r="AH1909" s="54"/>
      <c r="AI1909" s="54"/>
      <c r="AJ1909" s="54"/>
      <c r="AK1909" s="54"/>
      <c r="AL1909" s="54"/>
      <c r="AM1909" s="54"/>
      <c r="AN1909" s="54"/>
      <c r="AO1909" s="54"/>
      <c r="AP1909" s="54"/>
      <c r="AQ1909" s="54"/>
      <c r="AR1909" s="54"/>
      <c r="AS1909" s="54"/>
      <c r="AT1909" s="54"/>
      <c r="AU1909" s="54"/>
      <c r="AV1909" s="54"/>
      <c r="AW1909" s="54"/>
      <c r="AX1909" s="54"/>
      <c r="AY1909" s="54"/>
      <c r="AZ1909" s="54"/>
      <c r="BA1909" s="54"/>
      <c r="BB1909" s="54"/>
      <c r="BC1909" s="56"/>
      <c r="BD1909" s="51"/>
      <c r="BE1909" s="54"/>
      <c r="BF1909" s="54"/>
      <c r="BG1909" s="47"/>
      <c r="BH1909" s="48"/>
      <c r="BI1909" s="48"/>
      <c r="BJ1909" s="48"/>
      <c r="BK1909" s="48"/>
      <c r="BL1909" s="48"/>
      <c r="BM1909" s="48"/>
      <c r="BN1909" s="48"/>
      <c r="BO1909" s="48"/>
      <c r="BP1909" s="48"/>
      <c r="BQ1909" s="48"/>
      <c r="BR1909" s="48"/>
      <c r="BS1909" s="48"/>
      <c r="BT1909" s="48"/>
      <c r="BU1909" s="48"/>
      <c r="BV1909" s="48"/>
      <c r="BW1909" s="48"/>
      <c r="BX1909" s="48"/>
      <c r="BY1909" s="48"/>
      <c r="BZ1909" s="48"/>
      <c r="CA1909" s="48"/>
      <c r="CB1909" s="48"/>
      <c r="CC1909" s="48"/>
      <c r="CD1909" s="48"/>
      <c r="CE1909" s="48"/>
      <c r="CF1909" s="52"/>
      <c r="CG1909" s="52"/>
      <c r="CH1909" s="48"/>
      <c r="CI1909" s="48"/>
      <c r="CJ1909" s="48"/>
      <c r="CK1909" s="48"/>
    </row>
    <row r="1910" spans="1:89" ht="15.75" customHeight="1" x14ac:dyDescent="0.3">
      <c r="A1910" s="47"/>
      <c r="B1910" s="48"/>
      <c r="C1910" s="47"/>
      <c r="D1910" s="48"/>
      <c r="E1910" s="48"/>
      <c r="F1910" s="48"/>
      <c r="G1910" s="48"/>
      <c r="H1910" s="48"/>
      <c r="I1910" s="49"/>
      <c r="J1910" s="47"/>
      <c r="K1910" s="47"/>
      <c r="L1910" s="47"/>
      <c r="M1910" s="47"/>
      <c r="N1910" s="47"/>
      <c r="O1910" s="47"/>
      <c r="P1910" s="47"/>
      <c r="Q1910" s="47"/>
      <c r="R1910" s="47"/>
      <c r="S1910" s="50"/>
      <c r="T1910" s="47"/>
      <c r="U1910" s="47"/>
      <c r="V1910" s="47"/>
      <c r="W1910" s="51"/>
      <c r="X1910" s="51"/>
      <c r="Y1910" s="47"/>
      <c r="Z1910" s="47"/>
      <c r="AA1910" s="47"/>
      <c r="AB1910" s="47"/>
      <c r="AC1910" s="47"/>
      <c r="AD1910" s="47"/>
      <c r="AE1910" s="54"/>
      <c r="AF1910" s="54"/>
      <c r="AG1910" s="55"/>
      <c r="AH1910" s="54"/>
      <c r="AI1910" s="54"/>
      <c r="AJ1910" s="54"/>
      <c r="AK1910" s="54"/>
      <c r="AL1910" s="54"/>
      <c r="AM1910" s="54"/>
      <c r="AN1910" s="54"/>
      <c r="AO1910" s="54"/>
      <c r="AP1910" s="54"/>
      <c r="AQ1910" s="54"/>
      <c r="AR1910" s="54"/>
      <c r="AS1910" s="54"/>
      <c r="AT1910" s="54"/>
      <c r="AU1910" s="54"/>
      <c r="AV1910" s="54"/>
      <c r="AW1910" s="54"/>
      <c r="AX1910" s="54"/>
      <c r="AY1910" s="54"/>
      <c r="AZ1910" s="54"/>
      <c r="BA1910" s="54"/>
      <c r="BB1910" s="54"/>
      <c r="BC1910" s="56"/>
      <c r="BD1910" s="51"/>
      <c r="BE1910" s="54"/>
      <c r="BF1910" s="54"/>
      <c r="BG1910" s="47"/>
      <c r="BH1910" s="48"/>
      <c r="BI1910" s="48"/>
      <c r="BJ1910" s="48"/>
      <c r="BK1910" s="48"/>
      <c r="BL1910" s="48"/>
      <c r="BM1910" s="48"/>
      <c r="BN1910" s="48"/>
      <c r="BO1910" s="48"/>
      <c r="BP1910" s="48"/>
      <c r="BQ1910" s="48"/>
      <c r="BR1910" s="48"/>
      <c r="BS1910" s="48"/>
      <c r="BT1910" s="48"/>
      <c r="BU1910" s="48"/>
      <c r="BV1910" s="48"/>
      <c r="BW1910" s="48"/>
      <c r="BX1910" s="48"/>
      <c r="BY1910" s="48"/>
      <c r="BZ1910" s="48"/>
      <c r="CA1910" s="48"/>
      <c r="CB1910" s="48"/>
      <c r="CC1910" s="48"/>
      <c r="CD1910" s="48"/>
      <c r="CE1910" s="48"/>
      <c r="CF1910" s="52"/>
      <c r="CG1910" s="52"/>
      <c r="CH1910" s="48"/>
      <c r="CI1910" s="48"/>
      <c r="CJ1910" s="48"/>
      <c r="CK1910" s="48"/>
    </row>
    <row r="1911" spans="1:89" ht="15.75" customHeight="1" x14ac:dyDescent="0.3">
      <c r="A1911" s="47"/>
      <c r="B1911" s="48"/>
      <c r="C1911" s="47"/>
      <c r="D1911" s="48"/>
      <c r="E1911" s="48"/>
      <c r="F1911" s="48"/>
      <c r="G1911" s="48"/>
      <c r="H1911" s="48"/>
      <c r="I1911" s="49"/>
      <c r="J1911" s="47"/>
      <c r="K1911" s="47"/>
      <c r="L1911" s="47"/>
      <c r="M1911" s="47"/>
      <c r="N1911" s="47"/>
      <c r="O1911" s="47"/>
      <c r="P1911" s="47"/>
      <c r="Q1911" s="47"/>
      <c r="R1911" s="47"/>
      <c r="S1911" s="50"/>
      <c r="T1911" s="47"/>
      <c r="U1911" s="47"/>
      <c r="V1911" s="47"/>
      <c r="W1911" s="51"/>
      <c r="X1911" s="51"/>
      <c r="Y1911" s="47"/>
      <c r="Z1911" s="47"/>
      <c r="AA1911" s="47"/>
      <c r="AB1911" s="47"/>
      <c r="AC1911" s="47"/>
      <c r="AD1911" s="47"/>
      <c r="AE1911" s="54"/>
      <c r="AF1911" s="54"/>
      <c r="AG1911" s="55"/>
      <c r="AH1911" s="54"/>
      <c r="AI1911" s="54"/>
      <c r="AJ1911" s="54"/>
      <c r="AK1911" s="54"/>
      <c r="AL1911" s="54"/>
      <c r="AM1911" s="54"/>
      <c r="AN1911" s="54"/>
      <c r="AO1911" s="54"/>
      <c r="AP1911" s="54"/>
      <c r="AQ1911" s="54"/>
      <c r="AR1911" s="54"/>
      <c r="AS1911" s="54"/>
      <c r="AT1911" s="54"/>
      <c r="AU1911" s="54"/>
      <c r="AV1911" s="54"/>
      <c r="AW1911" s="54"/>
      <c r="AX1911" s="54"/>
      <c r="AY1911" s="54"/>
      <c r="AZ1911" s="54"/>
      <c r="BA1911" s="54"/>
      <c r="BB1911" s="54"/>
      <c r="BC1911" s="56"/>
      <c r="BD1911" s="51"/>
      <c r="BE1911" s="54"/>
      <c r="BF1911" s="54"/>
      <c r="BG1911" s="47"/>
      <c r="BH1911" s="48"/>
      <c r="BI1911" s="48"/>
      <c r="BJ1911" s="48"/>
      <c r="BK1911" s="48"/>
      <c r="BL1911" s="48"/>
      <c r="BM1911" s="48"/>
      <c r="BN1911" s="48"/>
      <c r="BO1911" s="48"/>
      <c r="BP1911" s="48"/>
      <c r="BQ1911" s="48"/>
      <c r="BR1911" s="48"/>
      <c r="BS1911" s="48"/>
      <c r="BT1911" s="48"/>
      <c r="BU1911" s="48"/>
      <c r="BV1911" s="48"/>
      <c r="BW1911" s="48"/>
      <c r="BX1911" s="48"/>
      <c r="BY1911" s="48"/>
      <c r="BZ1911" s="48"/>
      <c r="CA1911" s="48"/>
      <c r="CB1911" s="48"/>
      <c r="CC1911" s="48"/>
      <c r="CD1911" s="48"/>
      <c r="CE1911" s="48"/>
      <c r="CF1911" s="52"/>
      <c r="CG1911" s="52"/>
      <c r="CH1911" s="48"/>
      <c r="CI1911" s="48"/>
      <c r="CJ1911" s="48"/>
      <c r="CK1911" s="48"/>
    </row>
    <row r="1912" spans="1:89" ht="15.75" customHeight="1" x14ac:dyDescent="0.3">
      <c r="A1912" s="47"/>
      <c r="B1912" s="48"/>
      <c r="C1912" s="47"/>
      <c r="D1912" s="48"/>
      <c r="E1912" s="48"/>
      <c r="F1912" s="48"/>
      <c r="G1912" s="48"/>
      <c r="H1912" s="48"/>
      <c r="I1912" s="49"/>
      <c r="J1912" s="47"/>
      <c r="K1912" s="47"/>
      <c r="L1912" s="47"/>
      <c r="M1912" s="47"/>
      <c r="N1912" s="47"/>
      <c r="O1912" s="47"/>
      <c r="P1912" s="47"/>
      <c r="Q1912" s="47"/>
      <c r="R1912" s="47"/>
      <c r="S1912" s="50"/>
      <c r="T1912" s="47"/>
      <c r="U1912" s="47"/>
      <c r="V1912" s="47"/>
      <c r="W1912" s="51"/>
      <c r="X1912" s="51"/>
      <c r="Y1912" s="47"/>
      <c r="Z1912" s="47"/>
      <c r="AA1912" s="47"/>
      <c r="AB1912" s="47"/>
      <c r="AC1912" s="47"/>
      <c r="AD1912" s="47"/>
      <c r="AE1912" s="54"/>
      <c r="AF1912" s="54"/>
      <c r="AG1912" s="55"/>
      <c r="AH1912" s="54"/>
      <c r="AI1912" s="54"/>
      <c r="AJ1912" s="54"/>
      <c r="AK1912" s="54"/>
      <c r="AL1912" s="54"/>
      <c r="AM1912" s="54"/>
      <c r="AN1912" s="54"/>
      <c r="AO1912" s="54"/>
      <c r="AP1912" s="54"/>
      <c r="AQ1912" s="54"/>
      <c r="AR1912" s="54"/>
      <c r="AS1912" s="54"/>
      <c r="AT1912" s="54"/>
      <c r="AU1912" s="54"/>
      <c r="AV1912" s="54"/>
      <c r="AW1912" s="54"/>
      <c r="AX1912" s="54"/>
      <c r="AY1912" s="54"/>
      <c r="AZ1912" s="54"/>
      <c r="BA1912" s="54"/>
      <c r="BB1912" s="54"/>
      <c r="BC1912" s="56"/>
      <c r="BD1912" s="51"/>
      <c r="BE1912" s="54"/>
      <c r="BF1912" s="54"/>
      <c r="BG1912" s="47"/>
      <c r="BH1912" s="48"/>
      <c r="BI1912" s="48"/>
      <c r="BJ1912" s="48"/>
      <c r="BK1912" s="48"/>
      <c r="BL1912" s="48"/>
      <c r="BM1912" s="48"/>
      <c r="BN1912" s="48"/>
      <c r="BO1912" s="48"/>
      <c r="BP1912" s="48"/>
      <c r="BQ1912" s="48"/>
      <c r="BR1912" s="48"/>
      <c r="BS1912" s="48"/>
      <c r="BT1912" s="48"/>
      <c r="BU1912" s="48"/>
      <c r="BV1912" s="48"/>
      <c r="BW1912" s="48"/>
      <c r="BX1912" s="48"/>
      <c r="BY1912" s="48"/>
      <c r="BZ1912" s="48"/>
      <c r="CA1912" s="48"/>
      <c r="CB1912" s="48"/>
      <c r="CC1912" s="48"/>
      <c r="CD1912" s="48"/>
      <c r="CE1912" s="48"/>
      <c r="CF1912" s="52"/>
      <c r="CG1912" s="52"/>
      <c r="CH1912" s="48"/>
      <c r="CI1912" s="48"/>
      <c r="CJ1912" s="48"/>
      <c r="CK1912" s="48"/>
    </row>
    <row r="1913" spans="1:89" ht="15.75" customHeight="1" x14ac:dyDescent="0.3">
      <c r="A1913" s="47"/>
      <c r="B1913" s="48"/>
      <c r="C1913" s="47"/>
      <c r="D1913" s="48"/>
      <c r="E1913" s="48"/>
      <c r="F1913" s="48"/>
      <c r="G1913" s="48"/>
      <c r="H1913" s="48"/>
      <c r="I1913" s="49"/>
      <c r="J1913" s="47"/>
      <c r="K1913" s="47"/>
      <c r="L1913" s="47"/>
      <c r="M1913" s="47"/>
      <c r="N1913" s="47"/>
      <c r="O1913" s="47"/>
      <c r="P1913" s="47"/>
      <c r="Q1913" s="47"/>
      <c r="R1913" s="47"/>
      <c r="S1913" s="50"/>
      <c r="T1913" s="47"/>
      <c r="U1913" s="47"/>
      <c r="V1913" s="47"/>
      <c r="W1913" s="51"/>
      <c r="X1913" s="51"/>
      <c r="Y1913" s="47"/>
      <c r="Z1913" s="47"/>
      <c r="AA1913" s="47"/>
      <c r="AB1913" s="47"/>
      <c r="AC1913" s="47"/>
      <c r="AD1913" s="47"/>
      <c r="AE1913" s="54"/>
      <c r="AF1913" s="54"/>
      <c r="AG1913" s="55"/>
      <c r="AH1913" s="54"/>
      <c r="AI1913" s="54"/>
      <c r="AJ1913" s="54"/>
      <c r="AK1913" s="54"/>
      <c r="AL1913" s="54"/>
      <c r="AM1913" s="54"/>
      <c r="AN1913" s="54"/>
      <c r="AO1913" s="54"/>
      <c r="AP1913" s="54"/>
      <c r="AQ1913" s="54"/>
      <c r="AR1913" s="54"/>
      <c r="AS1913" s="54"/>
      <c r="AT1913" s="54"/>
      <c r="AU1913" s="54"/>
      <c r="AV1913" s="54"/>
      <c r="AW1913" s="54"/>
      <c r="AX1913" s="54"/>
      <c r="AY1913" s="54"/>
      <c r="AZ1913" s="54"/>
      <c r="BA1913" s="54"/>
      <c r="BB1913" s="54"/>
      <c r="BC1913" s="56"/>
      <c r="BD1913" s="51"/>
      <c r="BE1913" s="54"/>
      <c r="BF1913" s="54"/>
      <c r="BG1913" s="47"/>
      <c r="BH1913" s="48"/>
      <c r="BI1913" s="48"/>
      <c r="BJ1913" s="48"/>
      <c r="BK1913" s="48"/>
      <c r="BL1913" s="48"/>
      <c r="BM1913" s="48"/>
      <c r="BN1913" s="48"/>
      <c r="BO1913" s="48"/>
      <c r="BP1913" s="48"/>
      <c r="BQ1913" s="48"/>
      <c r="BR1913" s="48"/>
      <c r="BS1913" s="48"/>
      <c r="BT1913" s="48"/>
      <c r="BU1913" s="48"/>
      <c r="BV1913" s="48"/>
      <c r="BW1913" s="48"/>
      <c r="BX1913" s="48"/>
      <c r="BY1913" s="48"/>
      <c r="BZ1913" s="48"/>
      <c r="CA1913" s="48"/>
      <c r="CB1913" s="48"/>
      <c r="CC1913" s="48"/>
      <c r="CD1913" s="48"/>
      <c r="CE1913" s="48"/>
      <c r="CF1913" s="52"/>
      <c r="CG1913" s="52"/>
      <c r="CH1913" s="48"/>
      <c r="CI1913" s="48"/>
      <c r="CJ1913" s="48"/>
      <c r="CK1913" s="48"/>
    </row>
    <row r="1914" spans="1:89" ht="15.75" customHeight="1" x14ac:dyDescent="0.3">
      <c r="A1914" s="47"/>
      <c r="B1914" s="48"/>
      <c r="C1914" s="47"/>
      <c r="D1914" s="48"/>
      <c r="E1914" s="48"/>
      <c r="F1914" s="48"/>
      <c r="G1914" s="48"/>
      <c r="H1914" s="48"/>
      <c r="I1914" s="49"/>
      <c r="J1914" s="47"/>
      <c r="K1914" s="47"/>
      <c r="L1914" s="47"/>
      <c r="M1914" s="47"/>
      <c r="N1914" s="47"/>
      <c r="O1914" s="47"/>
      <c r="P1914" s="47"/>
      <c r="Q1914" s="47"/>
      <c r="R1914" s="47"/>
      <c r="S1914" s="50"/>
      <c r="T1914" s="47"/>
      <c r="U1914" s="47"/>
      <c r="V1914" s="47"/>
      <c r="W1914" s="51"/>
      <c r="X1914" s="51"/>
      <c r="Y1914" s="47"/>
      <c r="Z1914" s="47"/>
      <c r="AA1914" s="47"/>
      <c r="AB1914" s="47"/>
      <c r="AC1914" s="47"/>
      <c r="AD1914" s="47"/>
      <c r="AE1914" s="54"/>
      <c r="AF1914" s="54"/>
      <c r="AG1914" s="55"/>
      <c r="AH1914" s="54"/>
      <c r="AI1914" s="54"/>
      <c r="AJ1914" s="54"/>
      <c r="AK1914" s="54"/>
      <c r="AL1914" s="54"/>
      <c r="AM1914" s="54"/>
      <c r="AN1914" s="54"/>
      <c r="AO1914" s="54"/>
      <c r="AP1914" s="54"/>
      <c r="AQ1914" s="54"/>
      <c r="AR1914" s="54"/>
      <c r="AS1914" s="54"/>
      <c r="AT1914" s="54"/>
      <c r="AU1914" s="54"/>
      <c r="AV1914" s="54"/>
      <c r="AW1914" s="54"/>
      <c r="AX1914" s="54"/>
      <c r="AY1914" s="54"/>
      <c r="AZ1914" s="54"/>
      <c r="BA1914" s="54"/>
      <c r="BB1914" s="54"/>
      <c r="BC1914" s="56"/>
      <c r="BD1914" s="51"/>
      <c r="BE1914" s="54"/>
      <c r="BF1914" s="54"/>
      <c r="BG1914" s="47"/>
      <c r="BH1914" s="48"/>
      <c r="BI1914" s="48"/>
      <c r="BJ1914" s="48"/>
      <c r="BK1914" s="48"/>
      <c r="BL1914" s="48"/>
      <c r="BM1914" s="48"/>
      <c r="BN1914" s="48"/>
      <c r="BO1914" s="48"/>
      <c r="BP1914" s="48"/>
      <c r="BQ1914" s="48"/>
      <c r="BR1914" s="48"/>
      <c r="BS1914" s="48"/>
      <c r="BT1914" s="48"/>
      <c r="BU1914" s="48"/>
      <c r="BV1914" s="48"/>
      <c r="BW1914" s="48"/>
      <c r="BX1914" s="48"/>
      <c r="BY1914" s="48"/>
      <c r="BZ1914" s="48"/>
      <c r="CA1914" s="48"/>
      <c r="CB1914" s="48"/>
      <c r="CC1914" s="48"/>
      <c r="CD1914" s="48"/>
      <c r="CE1914" s="48"/>
      <c r="CF1914" s="52"/>
      <c r="CG1914" s="52"/>
      <c r="CH1914" s="48"/>
      <c r="CI1914" s="48"/>
      <c r="CJ1914" s="48"/>
      <c r="CK1914" s="48"/>
    </row>
    <row r="1915" spans="1:89" ht="15.75" customHeight="1" x14ac:dyDescent="0.3">
      <c r="A1915" s="47"/>
      <c r="B1915" s="48"/>
      <c r="C1915" s="47"/>
      <c r="D1915" s="48"/>
      <c r="E1915" s="48"/>
      <c r="F1915" s="48"/>
      <c r="G1915" s="48"/>
      <c r="H1915" s="48"/>
      <c r="I1915" s="49"/>
      <c r="J1915" s="47"/>
      <c r="K1915" s="47"/>
      <c r="L1915" s="47"/>
      <c r="M1915" s="47"/>
      <c r="N1915" s="47"/>
      <c r="O1915" s="47"/>
      <c r="P1915" s="47"/>
      <c r="Q1915" s="47"/>
      <c r="R1915" s="47"/>
      <c r="S1915" s="50"/>
      <c r="T1915" s="47"/>
      <c r="U1915" s="47"/>
      <c r="V1915" s="47"/>
      <c r="W1915" s="51"/>
      <c r="X1915" s="51"/>
      <c r="Y1915" s="47"/>
      <c r="Z1915" s="47"/>
      <c r="AA1915" s="47"/>
      <c r="AB1915" s="47"/>
      <c r="AC1915" s="47"/>
      <c r="AD1915" s="47"/>
      <c r="AE1915" s="54"/>
      <c r="AF1915" s="54"/>
      <c r="AG1915" s="55"/>
      <c r="AH1915" s="54"/>
      <c r="AI1915" s="54"/>
      <c r="AJ1915" s="54"/>
      <c r="AK1915" s="54"/>
      <c r="AL1915" s="54"/>
      <c r="AM1915" s="54"/>
      <c r="AN1915" s="54"/>
      <c r="AO1915" s="54"/>
      <c r="AP1915" s="54"/>
      <c r="AQ1915" s="54"/>
      <c r="AR1915" s="54"/>
      <c r="AS1915" s="54"/>
      <c r="AT1915" s="54"/>
      <c r="AU1915" s="54"/>
      <c r="AV1915" s="54"/>
      <c r="AW1915" s="54"/>
      <c r="AX1915" s="54"/>
      <c r="AY1915" s="54"/>
      <c r="AZ1915" s="54"/>
      <c r="BA1915" s="54"/>
      <c r="BB1915" s="54"/>
      <c r="BC1915" s="56"/>
      <c r="BD1915" s="51"/>
      <c r="BE1915" s="54"/>
      <c r="BF1915" s="54"/>
      <c r="BG1915" s="47"/>
      <c r="BH1915" s="48"/>
      <c r="BI1915" s="48"/>
      <c r="BJ1915" s="48"/>
      <c r="BK1915" s="48"/>
      <c r="BL1915" s="48"/>
      <c r="BM1915" s="48"/>
      <c r="BN1915" s="48"/>
      <c r="BO1915" s="48"/>
      <c r="BP1915" s="48"/>
      <c r="BQ1915" s="48"/>
      <c r="BR1915" s="48"/>
      <c r="BS1915" s="48"/>
      <c r="BT1915" s="48"/>
      <c r="BU1915" s="48"/>
      <c r="BV1915" s="48"/>
      <c r="BW1915" s="48"/>
      <c r="BX1915" s="48"/>
      <c r="BY1915" s="48"/>
      <c r="BZ1915" s="48"/>
      <c r="CA1915" s="48"/>
      <c r="CB1915" s="48"/>
      <c r="CC1915" s="48"/>
      <c r="CD1915" s="48"/>
      <c r="CE1915" s="48"/>
      <c r="CF1915" s="52"/>
      <c r="CG1915" s="52"/>
      <c r="CH1915" s="48"/>
      <c r="CI1915" s="48"/>
      <c r="CJ1915" s="48"/>
      <c r="CK1915" s="48"/>
    </row>
    <row r="1916" spans="1:89" ht="15.75" customHeight="1" x14ac:dyDescent="0.3">
      <c r="A1916" s="47"/>
      <c r="B1916" s="48"/>
      <c r="C1916" s="47"/>
      <c r="D1916" s="48"/>
      <c r="E1916" s="48"/>
      <c r="F1916" s="48"/>
      <c r="G1916" s="48"/>
      <c r="H1916" s="48"/>
      <c r="I1916" s="49"/>
      <c r="J1916" s="47"/>
      <c r="K1916" s="47"/>
      <c r="L1916" s="47"/>
      <c r="M1916" s="47"/>
      <c r="N1916" s="47"/>
      <c r="O1916" s="47"/>
      <c r="P1916" s="47"/>
      <c r="Q1916" s="47"/>
      <c r="R1916" s="47"/>
      <c r="S1916" s="50"/>
      <c r="T1916" s="47"/>
      <c r="U1916" s="47"/>
      <c r="V1916" s="47"/>
      <c r="W1916" s="51"/>
      <c r="X1916" s="51"/>
      <c r="Y1916" s="47"/>
      <c r="Z1916" s="47"/>
      <c r="AA1916" s="47"/>
      <c r="AB1916" s="47"/>
      <c r="AC1916" s="47"/>
      <c r="AD1916" s="47"/>
      <c r="AE1916" s="54"/>
      <c r="AF1916" s="54"/>
      <c r="AG1916" s="55"/>
      <c r="AH1916" s="54"/>
      <c r="AI1916" s="54"/>
      <c r="AJ1916" s="54"/>
      <c r="AK1916" s="54"/>
      <c r="AL1916" s="54"/>
      <c r="AM1916" s="54"/>
      <c r="AN1916" s="54"/>
      <c r="AO1916" s="54"/>
      <c r="AP1916" s="54"/>
      <c r="AQ1916" s="54"/>
      <c r="AR1916" s="54"/>
      <c r="AS1916" s="54"/>
      <c r="AT1916" s="54"/>
      <c r="AU1916" s="54"/>
      <c r="AV1916" s="54"/>
      <c r="AW1916" s="54"/>
      <c r="AX1916" s="54"/>
      <c r="AY1916" s="54"/>
      <c r="AZ1916" s="54"/>
      <c r="BA1916" s="54"/>
      <c r="BB1916" s="54"/>
      <c r="BC1916" s="56"/>
      <c r="BD1916" s="51"/>
      <c r="BE1916" s="54"/>
      <c r="BF1916" s="54"/>
      <c r="BG1916" s="47"/>
      <c r="BH1916" s="48"/>
      <c r="BI1916" s="48"/>
      <c r="BJ1916" s="48"/>
      <c r="BK1916" s="48"/>
      <c r="BL1916" s="48"/>
      <c r="BM1916" s="48"/>
      <c r="BN1916" s="48"/>
      <c r="BO1916" s="48"/>
      <c r="BP1916" s="48"/>
      <c r="BQ1916" s="48"/>
      <c r="BR1916" s="48"/>
      <c r="BS1916" s="48"/>
      <c r="BT1916" s="48"/>
      <c r="BU1916" s="48"/>
      <c r="BV1916" s="48"/>
      <c r="BW1916" s="48"/>
      <c r="BX1916" s="48"/>
      <c r="BY1916" s="48"/>
      <c r="BZ1916" s="48"/>
      <c r="CA1916" s="48"/>
      <c r="CB1916" s="48"/>
      <c r="CC1916" s="48"/>
      <c r="CD1916" s="48"/>
      <c r="CE1916" s="48"/>
      <c r="CF1916" s="52"/>
      <c r="CG1916" s="52"/>
      <c r="CH1916" s="48"/>
      <c r="CI1916" s="48"/>
      <c r="CJ1916" s="48"/>
      <c r="CK1916" s="48"/>
    </row>
    <row r="1917" spans="1:89" ht="15.75" customHeight="1" x14ac:dyDescent="0.3">
      <c r="A1917" s="47"/>
      <c r="B1917" s="48"/>
      <c r="C1917" s="47"/>
      <c r="D1917" s="48"/>
      <c r="E1917" s="48"/>
      <c r="F1917" s="48"/>
      <c r="G1917" s="48"/>
      <c r="H1917" s="48"/>
      <c r="I1917" s="49"/>
      <c r="J1917" s="47"/>
      <c r="K1917" s="47"/>
      <c r="L1917" s="47"/>
      <c r="M1917" s="47"/>
      <c r="N1917" s="47"/>
      <c r="O1917" s="47"/>
      <c r="P1917" s="47"/>
      <c r="Q1917" s="47"/>
      <c r="R1917" s="47"/>
      <c r="S1917" s="50"/>
      <c r="T1917" s="47"/>
      <c r="U1917" s="47"/>
      <c r="V1917" s="47"/>
      <c r="W1917" s="51"/>
      <c r="X1917" s="51"/>
      <c r="Y1917" s="47"/>
      <c r="Z1917" s="47"/>
      <c r="AA1917" s="47"/>
      <c r="AB1917" s="47"/>
      <c r="AC1917" s="47"/>
      <c r="AD1917" s="47"/>
      <c r="AE1917" s="54"/>
      <c r="AF1917" s="54"/>
      <c r="AG1917" s="55"/>
      <c r="AH1917" s="54"/>
      <c r="AI1917" s="54"/>
      <c r="AJ1917" s="54"/>
      <c r="AK1917" s="54"/>
      <c r="AL1917" s="54"/>
      <c r="AM1917" s="54"/>
      <c r="AN1917" s="54"/>
      <c r="AO1917" s="54"/>
      <c r="AP1917" s="54"/>
      <c r="AQ1917" s="54"/>
      <c r="AR1917" s="54"/>
      <c r="AS1917" s="54"/>
      <c r="AT1917" s="54"/>
      <c r="AU1917" s="54"/>
      <c r="AV1917" s="54"/>
      <c r="AW1917" s="54"/>
      <c r="AX1917" s="54"/>
      <c r="AY1917" s="54"/>
      <c r="AZ1917" s="54"/>
      <c r="BA1917" s="54"/>
      <c r="BB1917" s="54"/>
      <c r="BC1917" s="56"/>
      <c r="BD1917" s="51"/>
      <c r="BE1917" s="54"/>
      <c r="BF1917" s="54"/>
      <c r="BG1917" s="47"/>
      <c r="BH1917" s="48"/>
      <c r="BI1917" s="48"/>
      <c r="BJ1917" s="48"/>
      <c r="BK1917" s="48"/>
      <c r="BL1917" s="48"/>
      <c r="BM1917" s="48"/>
      <c r="BN1917" s="48"/>
      <c r="BO1917" s="48"/>
      <c r="BP1917" s="48"/>
      <c r="BQ1917" s="48"/>
      <c r="BR1917" s="48"/>
      <c r="BS1917" s="48"/>
      <c r="BT1917" s="48"/>
      <c r="BU1917" s="48"/>
      <c r="BV1917" s="48"/>
      <c r="BW1917" s="48"/>
      <c r="BX1917" s="48"/>
      <c r="BY1917" s="48"/>
      <c r="BZ1917" s="48"/>
      <c r="CA1917" s="48"/>
      <c r="CB1917" s="48"/>
      <c r="CC1917" s="48"/>
      <c r="CD1917" s="48"/>
      <c r="CE1917" s="48"/>
      <c r="CF1917" s="52"/>
      <c r="CG1917" s="52"/>
      <c r="CH1917" s="48"/>
      <c r="CI1917" s="48"/>
      <c r="CJ1917" s="48"/>
      <c r="CK1917" s="48"/>
    </row>
    <row r="1918" spans="1:89" ht="15.75" customHeight="1" x14ac:dyDescent="0.3">
      <c r="A1918" s="47"/>
      <c r="B1918" s="48"/>
      <c r="C1918" s="47"/>
      <c r="D1918" s="48"/>
      <c r="E1918" s="48"/>
      <c r="F1918" s="48"/>
      <c r="G1918" s="48"/>
      <c r="H1918" s="48"/>
      <c r="I1918" s="49"/>
      <c r="J1918" s="47"/>
      <c r="K1918" s="47"/>
      <c r="L1918" s="47"/>
      <c r="M1918" s="47"/>
      <c r="N1918" s="47"/>
      <c r="O1918" s="47"/>
      <c r="P1918" s="47"/>
      <c r="Q1918" s="47"/>
      <c r="R1918" s="47"/>
      <c r="S1918" s="50"/>
      <c r="T1918" s="47"/>
      <c r="U1918" s="47"/>
      <c r="V1918" s="47"/>
      <c r="W1918" s="51"/>
      <c r="X1918" s="51"/>
      <c r="Y1918" s="47"/>
      <c r="Z1918" s="47"/>
      <c r="AA1918" s="47"/>
      <c r="AB1918" s="47"/>
      <c r="AC1918" s="47"/>
      <c r="AD1918" s="47"/>
      <c r="AE1918" s="54"/>
      <c r="AF1918" s="54"/>
      <c r="AG1918" s="55"/>
      <c r="AH1918" s="54"/>
      <c r="AI1918" s="54"/>
      <c r="AJ1918" s="54"/>
      <c r="AK1918" s="54"/>
      <c r="AL1918" s="54"/>
      <c r="AM1918" s="54"/>
      <c r="AN1918" s="54"/>
      <c r="AO1918" s="54"/>
      <c r="AP1918" s="54"/>
      <c r="AQ1918" s="54"/>
      <c r="AR1918" s="54"/>
      <c r="AS1918" s="54"/>
      <c r="AT1918" s="54"/>
      <c r="AU1918" s="54"/>
      <c r="AV1918" s="54"/>
      <c r="AW1918" s="54"/>
      <c r="AX1918" s="54"/>
      <c r="AY1918" s="54"/>
      <c r="AZ1918" s="54"/>
      <c r="BA1918" s="54"/>
      <c r="BB1918" s="54"/>
      <c r="BC1918" s="56"/>
      <c r="BD1918" s="51"/>
      <c r="BE1918" s="54"/>
      <c r="BF1918" s="54"/>
      <c r="BG1918" s="47"/>
      <c r="BH1918" s="48"/>
      <c r="BI1918" s="48"/>
      <c r="BJ1918" s="48"/>
      <c r="BK1918" s="48"/>
      <c r="BL1918" s="48"/>
      <c r="BM1918" s="48"/>
      <c r="BN1918" s="48"/>
      <c r="BO1918" s="48"/>
      <c r="BP1918" s="48"/>
      <c r="BQ1918" s="48"/>
      <c r="BR1918" s="48"/>
      <c r="BS1918" s="48"/>
      <c r="BT1918" s="48"/>
      <c r="BU1918" s="48"/>
      <c r="BV1918" s="48"/>
      <c r="BW1918" s="48"/>
      <c r="BX1918" s="48"/>
      <c r="BY1918" s="48"/>
      <c r="BZ1918" s="48"/>
      <c r="CA1918" s="48"/>
      <c r="CB1918" s="48"/>
      <c r="CC1918" s="48"/>
      <c r="CD1918" s="48"/>
      <c r="CE1918" s="48"/>
      <c r="CF1918" s="52"/>
      <c r="CG1918" s="52"/>
      <c r="CH1918" s="48"/>
      <c r="CI1918" s="48"/>
      <c r="CJ1918" s="48"/>
      <c r="CK1918" s="48"/>
    </row>
    <row r="1919" spans="1:89" ht="15.75" customHeight="1" x14ac:dyDescent="0.3">
      <c r="A1919" s="47"/>
      <c r="B1919" s="48"/>
      <c r="C1919" s="47"/>
      <c r="D1919" s="48"/>
      <c r="E1919" s="48"/>
      <c r="F1919" s="48"/>
      <c r="G1919" s="48"/>
      <c r="H1919" s="48"/>
      <c r="I1919" s="49"/>
      <c r="J1919" s="47"/>
      <c r="K1919" s="47"/>
      <c r="L1919" s="47"/>
      <c r="M1919" s="47"/>
      <c r="N1919" s="47"/>
      <c r="O1919" s="47"/>
      <c r="P1919" s="47"/>
      <c r="Q1919" s="47"/>
      <c r="R1919" s="47"/>
      <c r="S1919" s="50"/>
      <c r="T1919" s="47"/>
      <c r="U1919" s="47"/>
      <c r="V1919" s="47"/>
      <c r="W1919" s="51"/>
      <c r="X1919" s="51"/>
      <c r="Y1919" s="47"/>
      <c r="Z1919" s="47"/>
      <c r="AA1919" s="47"/>
      <c r="AB1919" s="47"/>
      <c r="AC1919" s="47"/>
      <c r="AD1919" s="47"/>
      <c r="AE1919" s="54"/>
      <c r="AF1919" s="54"/>
      <c r="AG1919" s="55"/>
      <c r="AH1919" s="54"/>
      <c r="AI1919" s="54"/>
      <c r="AJ1919" s="54"/>
      <c r="AK1919" s="54"/>
      <c r="AL1919" s="54"/>
      <c r="AM1919" s="54"/>
      <c r="AN1919" s="54"/>
      <c r="AO1919" s="54"/>
      <c r="AP1919" s="54"/>
      <c r="AQ1919" s="54"/>
      <c r="AR1919" s="54"/>
      <c r="AS1919" s="54"/>
      <c r="AT1919" s="54"/>
      <c r="AU1919" s="54"/>
      <c r="AV1919" s="54"/>
      <c r="AW1919" s="54"/>
      <c r="AX1919" s="54"/>
      <c r="AY1919" s="54"/>
      <c r="AZ1919" s="54"/>
      <c r="BA1919" s="54"/>
      <c r="BB1919" s="54"/>
      <c r="BC1919" s="56"/>
      <c r="BD1919" s="51"/>
      <c r="BE1919" s="54"/>
      <c r="BF1919" s="54"/>
      <c r="BG1919" s="47"/>
      <c r="BH1919" s="48"/>
      <c r="BI1919" s="48"/>
      <c r="BJ1919" s="48"/>
      <c r="BK1919" s="48"/>
      <c r="BL1919" s="48"/>
      <c r="BM1919" s="48"/>
      <c r="BN1919" s="48"/>
      <c r="BO1919" s="48"/>
      <c r="BP1919" s="48"/>
      <c r="BQ1919" s="48"/>
      <c r="BR1919" s="48"/>
      <c r="BS1919" s="48"/>
      <c r="BT1919" s="48"/>
      <c r="BU1919" s="48"/>
      <c r="BV1919" s="48"/>
      <c r="BW1919" s="48"/>
      <c r="BX1919" s="48"/>
      <c r="BY1919" s="48"/>
      <c r="BZ1919" s="48"/>
      <c r="CA1919" s="48"/>
      <c r="CB1919" s="48"/>
      <c r="CC1919" s="48"/>
      <c r="CD1919" s="48"/>
      <c r="CE1919" s="48"/>
      <c r="CF1919" s="52"/>
      <c r="CG1919" s="52"/>
      <c r="CH1919" s="48"/>
      <c r="CI1919" s="48"/>
      <c r="CJ1919" s="48"/>
      <c r="CK1919" s="48"/>
    </row>
    <row r="1920" spans="1:89" ht="15.75" customHeight="1" x14ac:dyDescent="0.3">
      <c r="A1920" s="47"/>
      <c r="B1920" s="48"/>
      <c r="C1920" s="47"/>
      <c r="D1920" s="48"/>
      <c r="E1920" s="48"/>
      <c r="F1920" s="48"/>
      <c r="G1920" s="48"/>
      <c r="H1920" s="48"/>
      <c r="I1920" s="49"/>
      <c r="J1920" s="47"/>
      <c r="K1920" s="47"/>
      <c r="L1920" s="47"/>
      <c r="M1920" s="47"/>
      <c r="N1920" s="47"/>
      <c r="O1920" s="47"/>
      <c r="P1920" s="47"/>
      <c r="Q1920" s="47"/>
      <c r="R1920" s="47"/>
      <c r="S1920" s="50"/>
      <c r="T1920" s="47"/>
      <c r="U1920" s="47"/>
      <c r="V1920" s="47"/>
      <c r="W1920" s="51"/>
      <c r="X1920" s="51"/>
      <c r="Y1920" s="47"/>
      <c r="Z1920" s="47"/>
      <c r="AA1920" s="47"/>
      <c r="AB1920" s="47"/>
      <c r="AC1920" s="47"/>
      <c r="AD1920" s="47"/>
      <c r="AE1920" s="54"/>
      <c r="AF1920" s="54"/>
      <c r="AG1920" s="55"/>
      <c r="AH1920" s="54"/>
      <c r="AI1920" s="54"/>
      <c r="AJ1920" s="54"/>
      <c r="AK1920" s="54"/>
      <c r="AL1920" s="54"/>
      <c r="AM1920" s="54"/>
      <c r="AN1920" s="54"/>
      <c r="AO1920" s="54"/>
      <c r="AP1920" s="54"/>
      <c r="AQ1920" s="54"/>
      <c r="AR1920" s="54"/>
      <c r="AS1920" s="54"/>
      <c r="AT1920" s="54"/>
      <c r="AU1920" s="54"/>
      <c r="AV1920" s="54"/>
      <c r="AW1920" s="54"/>
      <c r="AX1920" s="54"/>
      <c r="AY1920" s="54"/>
      <c r="AZ1920" s="54"/>
      <c r="BA1920" s="54"/>
      <c r="BB1920" s="54"/>
      <c r="BC1920" s="56"/>
      <c r="BD1920" s="51"/>
      <c r="BE1920" s="54"/>
      <c r="BF1920" s="54"/>
      <c r="BG1920" s="47"/>
      <c r="BH1920" s="48"/>
      <c r="BI1920" s="48"/>
      <c r="BJ1920" s="48"/>
      <c r="BK1920" s="48"/>
      <c r="BL1920" s="48"/>
      <c r="BM1920" s="48"/>
      <c r="BN1920" s="48"/>
      <c r="BO1920" s="48"/>
      <c r="BP1920" s="48"/>
      <c r="BQ1920" s="48"/>
      <c r="BR1920" s="48"/>
      <c r="BS1920" s="48"/>
      <c r="BT1920" s="48"/>
      <c r="BU1920" s="48"/>
      <c r="BV1920" s="48"/>
      <c r="BW1920" s="48"/>
      <c r="BX1920" s="48"/>
      <c r="BY1920" s="48"/>
      <c r="BZ1920" s="48"/>
      <c r="CA1920" s="48"/>
      <c r="CB1920" s="48"/>
      <c r="CC1920" s="48"/>
      <c r="CD1920" s="48"/>
      <c r="CE1920" s="48"/>
      <c r="CF1920" s="52"/>
      <c r="CG1920" s="52"/>
      <c r="CH1920" s="48"/>
      <c r="CI1920" s="48"/>
      <c r="CJ1920" s="48"/>
      <c r="CK1920" s="48"/>
    </row>
    <row r="1921" spans="1:89" ht="15.75" customHeight="1" x14ac:dyDescent="0.3">
      <c r="A1921" s="47"/>
      <c r="B1921" s="48"/>
      <c r="C1921" s="47"/>
      <c r="D1921" s="48"/>
      <c r="E1921" s="48"/>
      <c r="F1921" s="48"/>
      <c r="G1921" s="48"/>
      <c r="H1921" s="48"/>
      <c r="I1921" s="49"/>
      <c r="J1921" s="47"/>
      <c r="K1921" s="47"/>
      <c r="L1921" s="47"/>
      <c r="M1921" s="47"/>
      <c r="N1921" s="47"/>
      <c r="O1921" s="47"/>
      <c r="P1921" s="47"/>
      <c r="Q1921" s="47"/>
      <c r="R1921" s="47"/>
      <c r="S1921" s="50"/>
      <c r="T1921" s="47"/>
      <c r="U1921" s="47"/>
      <c r="V1921" s="47"/>
      <c r="W1921" s="51"/>
      <c r="X1921" s="51"/>
      <c r="Y1921" s="47"/>
      <c r="Z1921" s="47"/>
      <c r="AA1921" s="47"/>
      <c r="AB1921" s="47"/>
      <c r="AC1921" s="47"/>
      <c r="AD1921" s="47"/>
      <c r="AE1921" s="54"/>
      <c r="AF1921" s="54"/>
      <c r="AG1921" s="55"/>
      <c r="AH1921" s="54"/>
      <c r="AI1921" s="54"/>
      <c r="AJ1921" s="54"/>
      <c r="AK1921" s="54"/>
      <c r="AL1921" s="54"/>
      <c r="AM1921" s="54"/>
      <c r="AN1921" s="54"/>
      <c r="AO1921" s="54"/>
      <c r="AP1921" s="54"/>
      <c r="AQ1921" s="54"/>
      <c r="AR1921" s="54"/>
      <c r="AS1921" s="54"/>
      <c r="AT1921" s="54"/>
      <c r="AU1921" s="54"/>
      <c r="AV1921" s="54"/>
      <c r="AW1921" s="54"/>
      <c r="AX1921" s="54"/>
      <c r="AY1921" s="54"/>
      <c r="AZ1921" s="54"/>
      <c r="BA1921" s="54"/>
      <c r="BB1921" s="54"/>
      <c r="BC1921" s="56"/>
      <c r="BD1921" s="51"/>
      <c r="BE1921" s="54"/>
      <c r="BF1921" s="54"/>
      <c r="BG1921" s="47"/>
      <c r="BH1921" s="48"/>
      <c r="BI1921" s="48"/>
      <c r="BJ1921" s="48"/>
      <c r="BK1921" s="48"/>
      <c r="BL1921" s="48"/>
      <c r="BM1921" s="48"/>
      <c r="BN1921" s="48"/>
      <c r="BO1921" s="48"/>
      <c r="BP1921" s="48"/>
      <c r="BQ1921" s="48"/>
      <c r="BR1921" s="48"/>
      <c r="BS1921" s="48"/>
      <c r="BT1921" s="48"/>
      <c r="BU1921" s="48"/>
      <c r="BV1921" s="48"/>
      <c r="BW1921" s="48"/>
      <c r="BX1921" s="48"/>
      <c r="BY1921" s="48"/>
      <c r="BZ1921" s="48"/>
      <c r="CA1921" s="48"/>
      <c r="CB1921" s="48"/>
      <c r="CC1921" s="48"/>
      <c r="CD1921" s="48"/>
      <c r="CE1921" s="48"/>
      <c r="CF1921" s="52"/>
      <c r="CG1921" s="52"/>
      <c r="CH1921" s="48"/>
      <c r="CI1921" s="48"/>
      <c r="CJ1921" s="48"/>
      <c r="CK1921" s="48"/>
    </row>
    <row r="1922" spans="1:89" ht="15.75" customHeight="1" x14ac:dyDescent="0.3">
      <c r="A1922" s="47"/>
      <c r="B1922" s="48"/>
      <c r="C1922" s="47"/>
      <c r="D1922" s="48"/>
      <c r="E1922" s="48"/>
      <c r="F1922" s="48"/>
      <c r="G1922" s="48"/>
      <c r="H1922" s="48"/>
      <c r="I1922" s="49"/>
      <c r="J1922" s="47"/>
      <c r="K1922" s="47"/>
      <c r="L1922" s="47"/>
      <c r="M1922" s="47"/>
      <c r="N1922" s="47"/>
      <c r="O1922" s="47"/>
      <c r="P1922" s="47"/>
      <c r="Q1922" s="47"/>
      <c r="R1922" s="47"/>
      <c r="S1922" s="50"/>
      <c r="T1922" s="47"/>
      <c r="U1922" s="47"/>
      <c r="V1922" s="47"/>
      <c r="W1922" s="51"/>
      <c r="X1922" s="51"/>
      <c r="Y1922" s="47"/>
      <c r="Z1922" s="47"/>
      <c r="AA1922" s="47"/>
      <c r="AB1922" s="47"/>
      <c r="AC1922" s="47"/>
      <c r="AD1922" s="47"/>
      <c r="AE1922" s="54"/>
      <c r="AF1922" s="54"/>
      <c r="AG1922" s="55"/>
      <c r="AH1922" s="54"/>
      <c r="AI1922" s="54"/>
      <c r="AJ1922" s="54"/>
      <c r="AK1922" s="54"/>
      <c r="AL1922" s="54"/>
      <c r="AM1922" s="54"/>
      <c r="AN1922" s="54"/>
      <c r="AO1922" s="54"/>
      <c r="AP1922" s="54"/>
      <c r="AQ1922" s="54"/>
      <c r="AR1922" s="54"/>
      <c r="AS1922" s="54"/>
      <c r="AT1922" s="54"/>
      <c r="AU1922" s="54"/>
      <c r="AV1922" s="54"/>
      <c r="AW1922" s="54"/>
      <c r="AX1922" s="54"/>
      <c r="AY1922" s="54"/>
      <c r="AZ1922" s="54"/>
      <c r="BA1922" s="54"/>
      <c r="BB1922" s="54"/>
      <c r="BC1922" s="56"/>
      <c r="BD1922" s="51"/>
      <c r="BE1922" s="54"/>
      <c r="BF1922" s="54"/>
      <c r="BG1922" s="47"/>
      <c r="BH1922" s="48"/>
      <c r="BI1922" s="48"/>
      <c r="BJ1922" s="48"/>
      <c r="BK1922" s="48"/>
      <c r="BL1922" s="48"/>
      <c r="BM1922" s="48"/>
      <c r="BN1922" s="48"/>
      <c r="BO1922" s="48"/>
      <c r="BP1922" s="48"/>
      <c r="BQ1922" s="48"/>
      <c r="BR1922" s="48"/>
      <c r="BS1922" s="48"/>
      <c r="BT1922" s="48"/>
      <c r="BU1922" s="48"/>
      <c r="BV1922" s="48"/>
      <c r="BW1922" s="48"/>
      <c r="BX1922" s="48"/>
      <c r="BY1922" s="48"/>
      <c r="BZ1922" s="48"/>
      <c r="CA1922" s="48"/>
      <c r="CB1922" s="48"/>
      <c r="CC1922" s="48"/>
      <c r="CD1922" s="48"/>
      <c r="CE1922" s="48"/>
      <c r="CF1922" s="52"/>
      <c r="CG1922" s="52"/>
      <c r="CH1922" s="48"/>
      <c r="CI1922" s="48"/>
      <c r="CJ1922" s="48"/>
      <c r="CK1922" s="48"/>
    </row>
    <row r="1923" spans="1:89" ht="15.75" customHeight="1" x14ac:dyDescent="0.3">
      <c r="A1923" s="47"/>
      <c r="B1923" s="48"/>
      <c r="C1923" s="47"/>
      <c r="D1923" s="48"/>
      <c r="E1923" s="48"/>
      <c r="F1923" s="48"/>
      <c r="G1923" s="48"/>
      <c r="H1923" s="48"/>
      <c r="I1923" s="49"/>
      <c r="J1923" s="47"/>
      <c r="K1923" s="47"/>
      <c r="L1923" s="47"/>
      <c r="M1923" s="47"/>
      <c r="N1923" s="47"/>
      <c r="O1923" s="47"/>
      <c r="P1923" s="47"/>
      <c r="Q1923" s="47"/>
      <c r="R1923" s="47"/>
      <c r="S1923" s="50"/>
      <c r="T1923" s="47"/>
      <c r="U1923" s="47"/>
      <c r="V1923" s="47"/>
      <c r="W1923" s="51"/>
      <c r="X1923" s="51"/>
      <c r="Y1923" s="47"/>
      <c r="Z1923" s="47"/>
      <c r="AA1923" s="47"/>
      <c r="AB1923" s="47"/>
      <c r="AC1923" s="47"/>
      <c r="AD1923" s="47"/>
      <c r="AE1923" s="54"/>
      <c r="AF1923" s="54"/>
      <c r="AG1923" s="55"/>
      <c r="AH1923" s="54"/>
      <c r="AI1923" s="54"/>
      <c r="AJ1923" s="54"/>
      <c r="AK1923" s="54"/>
      <c r="AL1923" s="54"/>
      <c r="AM1923" s="54"/>
      <c r="AN1923" s="54"/>
      <c r="AO1923" s="54"/>
      <c r="AP1923" s="54"/>
      <c r="AQ1923" s="54"/>
      <c r="AR1923" s="54"/>
      <c r="AS1923" s="54"/>
      <c r="AT1923" s="54"/>
      <c r="AU1923" s="54"/>
      <c r="AV1923" s="54"/>
      <c r="AW1923" s="54"/>
      <c r="AX1923" s="54"/>
      <c r="AY1923" s="54"/>
      <c r="AZ1923" s="54"/>
      <c r="BA1923" s="54"/>
      <c r="BB1923" s="54"/>
      <c r="BC1923" s="56"/>
      <c r="BD1923" s="51"/>
      <c r="BE1923" s="54"/>
      <c r="BF1923" s="54"/>
      <c r="BG1923" s="47"/>
      <c r="BH1923" s="48"/>
      <c r="BI1923" s="48"/>
      <c r="BJ1923" s="48"/>
      <c r="BK1923" s="48"/>
      <c r="BL1923" s="48"/>
      <c r="BM1923" s="48"/>
      <c r="BN1923" s="48"/>
      <c r="BO1923" s="48"/>
      <c r="BP1923" s="48"/>
      <c r="BQ1923" s="48"/>
      <c r="BR1923" s="48"/>
      <c r="BS1923" s="48"/>
      <c r="BT1923" s="48"/>
      <c r="BU1923" s="48"/>
      <c r="BV1923" s="48"/>
      <c r="BW1923" s="48"/>
      <c r="BX1923" s="48"/>
      <c r="BY1923" s="48"/>
      <c r="BZ1923" s="48"/>
      <c r="CA1923" s="48"/>
      <c r="CB1923" s="48"/>
      <c r="CC1923" s="48"/>
      <c r="CD1923" s="48"/>
      <c r="CE1923" s="48"/>
      <c r="CF1923" s="52"/>
      <c r="CG1923" s="52"/>
      <c r="CH1923" s="48"/>
      <c r="CI1923" s="48"/>
      <c r="CJ1923" s="48"/>
      <c r="CK1923" s="48"/>
    </row>
    <row r="1924" spans="1:89" ht="15.75" customHeight="1" x14ac:dyDescent="0.3">
      <c r="A1924" s="47"/>
      <c r="B1924" s="48"/>
      <c r="C1924" s="47"/>
      <c r="D1924" s="48"/>
      <c r="E1924" s="48"/>
      <c r="F1924" s="48"/>
      <c r="G1924" s="48"/>
      <c r="H1924" s="48"/>
      <c r="I1924" s="49"/>
      <c r="J1924" s="47"/>
      <c r="K1924" s="47"/>
      <c r="L1924" s="47"/>
      <c r="M1924" s="47"/>
      <c r="N1924" s="47"/>
      <c r="O1924" s="47"/>
      <c r="P1924" s="47"/>
      <c r="Q1924" s="47"/>
      <c r="R1924" s="47"/>
      <c r="S1924" s="50"/>
      <c r="T1924" s="47"/>
      <c r="U1924" s="47"/>
      <c r="V1924" s="47"/>
      <c r="W1924" s="51"/>
      <c r="X1924" s="51"/>
      <c r="Y1924" s="47"/>
      <c r="Z1924" s="47"/>
      <c r="AA1924" s="47"/>
      <c r="AB1924" s="47"/>
      <c r="AC1924" s="47"/>
      <c r="AD1924" s="47"/>
      <c r="AE1924" s="54"/>
      <c r="AF1924" s="54"/>
      <c r="AG1924" s="55"/>
      <c r="AH1924" s="54"/>
      <c r="AI1924" s="54"/>
      <c r="AJ1924" s="54"/>
      <c r="AK1924" s="54"/>
      <c r="AL1924" s="54"/>
      <c r="AM1924" s="54"/>
      <c r="AN1924" s="54"/>
      <c r="AO1924" s="54"/>
      <c r="AP1924" s="54"/>
      <c r="AQ1924" s="54"/>
      <c r="AR1924" s="54"/>
      <c r="AS1924" s="54"/>
      <c r="AT1924" s="54"/>
      <c r="AU1924" s="54"/>
      <c r="AV1924" s="54"/>
      <c r="AW1924" s="54"/>
      <c r="AX1924" s="54"/>
      <c r="AY1924" s="54"/>
      <c r="AZ1924" s="54"/>
      <c r="BA1924" s="54"/>
      <c r="BB1924" s="54"/>
      <c r="BC1924" s="56"/>
      <c r="BD1924" s="51"/>
      <c r="BE1924" s="54"/>
      <c r="BF1924" s="54"/>
      <c r="BG1924" s="47"/>
      <c r="BH1924" s="48"/>
      <c r="BI1924" s="48"/>
      <c r="BJ1924" s="48"/>
      <c r="BK1924" s="48"/>
      <c r="BL1924" s="48"/>
      <c r="BM1924" s="48"/>
      <c r="BN1924" s="48"/>
      <c r="BO1924" s="48"/>
      <c r="BP1924" s="48"/>
      <c r="BQ1924" s="48"/>
      <c r="BR1924" s="48"/>
      <c r="BS1924" s="48"/>
      <c r="BT1924" s="48"/>
      <c r="BU1924" s="48"/>
      <c r="BV1924" s="48"/>
      <c r="BW1924" s="48"/>
      <c r="BX1924" s="48"/>
      <c r="BY1924" s="48"/>
      <c r="BZ1924" s="48"/>
      <c r="CA1924" s="48"/>
      <c r="CB1924" s="48"/>
      <c r="CC1924" s="48"/>
      <c r="CD1924" s="48"/>
      <c r="CE1924" s="48"/>
      <c r="CF1924" s="52"/>
      <c r="CG1924" s="52"/>
      <c r="CH1924" s="48"/>
      <c r="CI1924" s="48"/>
      <c r="CJ1924" s="48"/>
      <c r="CK1924" s="48"/>
    </row>
    <row r="1925" spans="1:89" ht="15.75" customHeight="1" x14ac:dyDescent="0.3">
      <c r="A1925" s="47"/>
      <c r="B1925" s="48"/>
      <c r="C1925" s="47"/>
      <c r="D1925" s="48"/>
      <c r="E1925" s="48"/>
      <c r="F1925" s="48"/>
      <c r="G1925" s="48"/>
      <c r="H1925" s="48"/>
      <c r="I1925" s="49"/>
      <c r="J1925" s="47"/>
      <c r="K1925" s="47"/>
      <c r="L1925" s="47"/>
      <c r="M1925" s="47"/>
      <c r="N1925" s="47"/>
      <c r="O1925" s="47"/>
      <c r="P1925" s="47"/>
      <c r="Q1925" s="47"/>
      <c r="R1925" s="47"/>
      <c r="S1925" s="50"/>
      <c r="T1925" s="47"/>
      <c r="U1925" s="47"/>
      <c r="V1925" s="47"/>
      <c r="W1925" s="51"/>
      <c r="X1925" s="51"/>
      <c r="Y1925" s="47"/>
      <c r="Z1925" s="47"/>
      <c r="AA1925" s="47"/>
      <c r="AB1925" s="47"/>
      <c r="AC1925" s="47"/>
      <c r="AD1925" s="47"/>
      <c r="AE1925" s="54"/>
      <c r="AF1925" s="54"/>
      <c r="AG1925" s="55"/>
      <c r="AH1925" s="54"/>
      <c r="AI1925" s="54"/>
      <c r="AJ1925" s="54"/>
      <c r="AK1925" s="54"/>
      <c r="AL1925" s="54"/>
      <c r="AM1925" s="54"/>
      <c r="AN1925" s="54"/>
      <c r="AO1925" s="54"/>
      <c r="AP1925" s="54"/>
      <c r="AQ1925" s="54"/>
      <c r="AR1925" s="54"/>
      <c r="AS1925" s="54"/>
      <c r="AT1925" s="54"/>
      <c r="AU1925" s="54"/>
      <c r="AV1925" s="54"/>
      <c r="AW1925" s="54"/>
      <c r="AX1925" s="54"/>
      <c r="AY1925" s="54"/>
      <c r="AZ1925" s="54"/>
      <c r="BA1925" s="54"/>
      <c r="BB1925" s="54"/>
      <c r="BC1925" s="56"/>
      <c r="BD1925" s="51"/>
      <c r="BE1925" s="54"/>
      <c r="BF1925" s="54"/>
      <c r="BG1925" s="47"/>
      <c r="BH1925" s="48"/>
      <c r="BI1925" s="48"/>
      <c r="BJ1925" s="48"/>
      <c r="BK1925" s="48"/>
      <c r="BL1925" s="48"/>
      <c r="BM1925" s="48"/>
      <c r="BN1925" s="48"/>
      <c r="BO1925" s="48"/>
      <c r="BP1925" s="48"/>
      <c r="BQ1925" s="48"/>
      <c r="BR1925" s="48"/>
      <c r="BS1925" s="48"/>
      <c r="BT1925" s="48"/>
      <c r="BU1925" s="48"/>
      <c r="BV1925" s="48"/>
      <c r="BW1925" s="48"/>
      <c r="BX1925" s="48"/>
      <c r="BY1925" s="48"/>
      <c r="BZ1925" s="48"/>
      <c r="CA1925" s="48"/>
      <c r="CB1925" s="48"/>
      <c r="CC1925" s="48"/>
      <c r="CD1925" s="48"/>
      <c r="CE1925" s="48"/>
      <c r="CF1925" s="52"/>
      <c r="CG1925" s="52"/>
      <c r="CH1925" s="48"/>
      <c r="CI1925" s="48"/>
      <c r="CJ1925" s="48"/>
      <c r="CK1925" s="48"/>
    </row>
    <row r="1926" spans="1:89" ht="15.75" customHeight="1" x14ac:dyDescent="0.3">
      <c r="A1926" s="47"/>
      <c r="B1926" s="48"/>
      <c r="C1926" s="47"/>
      <c r="D1926" s="48"/>
      <c r="E1926" s="48"/>
      <c r="F1926" s="48"/>
      <c r="G1926" s="48"/>
      <c r="H1926" s="48"/>
      <c r="I1926" s="49"/>
      <c r="J1926" s="47"/>
      <c r="K1926" s="47"/>
      <c r="L1926" s="47"/>
      <c r="M1926" s="47"/>
      <c r="N1926" s="47"/>
      <c r="O1926" s="47"/>
      <c r="P1926" s="47"/>
      <c r="Q1926" s="47"/>
      <c r="R1926" s="47"/>
      <c r="S1926" s="50"/>
      <c r="T1926" s="47"/>
      <c r="U1926" s="47"/>
      <c r="V1926" s="47"/>
      <c r="W1926" s="51"/>
      <c r="X1926" s="51"/>
      <c r="Y1926" s="47"/>
      <c r="Z1926" s="47"/>
      <c r="AA1926" s="47"/>
      <c r="AB1926" s="47"/>
      <c r="AC1926" s="47"/>
      <c r="AD1926" s="47"/>
      <c r="AE1926" s="54"/>
      <c r="AF1926" s="54"/>
      <c r="AG1926" s="55"/>
      <c r="AH1926" s="54"/>
      <c r="AI1926" s="54"/>
      <c r="AJ1926" s="54"/>
      <c r="AK1926" s="54"/>
      <c r="AL1926" s="54"/>
      <c r="AM1926" s="54"/>
      <c r="AN1926" s="54"/>
      <c r="AO1926" s="54"/>
      <c r="AP1926" s="54"/>
      <c r="AQ1926" s="54"/>
      <c r="AR1926" s="54"/>
      <c r="AS1926" s="54"/>
      <c r="AT1926" s="54"/>
      <c r="AU1926" s="54"/>
      <c r="AV1926" s="54"/>
      <c r="AW1926" s="54"/>
      <c r="AX1926" s="54"/>
      <c r="AY1926" s="54"/>
      <c r="AZ1926" s="54"/>
      <c r="BA1926" s="54"/>
      <c r="BB1926" s="54"/>
      <c r="BC1926" s="56"/>
      <c r="BD1926" s="51"/>
      <c r="BE1926" s="54"/>
      <c r="BF1926" s="54"/>
      <c r="BG1926" s="47"/>
      <c r="BH1926" s="48"/>
      <c r="BI1926" s="48"/>
      <c r="BJ1926" s="48"/>
      <c r="BK1926" s="48"/>
      <c r="BL1926" s="48"/>
      <c r="BM1926" s="48"/>
      <c r="BN1926" s="48"/>
      <c r="BO1926" s="48"/>
      <c r="BP1926" s="48"/>
      <c r="BQ1926" s="48"/>
      <c r="BR1926" s="48"/>
      <c r="BS1926" s="48"/>
      <c r="BT1926" s="48"/>
      <c r="BU1926" s="48"/>
      <c r="BV1926" s="48"/>
      <c r="BW1926" s="48"/>
      <c r="BX1926" s="48"/>
      <c r="BY1926" s="48"/>
      <c r="BZ1926" s="48"/>
      <c r="CA1926" s="48"/>
      <c r="CB1926" s="48"/>
      <c r="CC1926" s="48"/>
      <c r="CD1926" s="48"/>
      <c r="CE1926" s="48"/>
      <c r="CF1926" s="52"/>
      <c r="CG1926" s="52"/>
      <c r="CH1926" s="48"/>
      <c r="CI1926" s="48"/>
      <c r="CJ1926" s="48"/>
      <c r="CK1926" s="48"/>
    </row>
    <row r="1927" spans="1:89" ht="15.75" customHeight="1" x14ac:dyDescent="0.3">
      <c r="A1927" s="47"/>
      <c r="B1927" s="48"/>
      <c r="C1927" s="47"/>
      <c r="D1927" s="48"/>
      <c r="E1927" s="48"/>
      <c r="F1927" s="48"/>
      <c r="G1927" s="48"/>
      <c r="H1927" s="48"/>
      <c r="I1927" s="49"/>
      <c r="J1927" s="47"/>
      <c r="K1927" s="47"/>
      <c r="L1927" s="47"/>
      <c r="M1927" s="47"/>
      <c r="N1927" s="47"/>
      <c r="O1927" s="47"/>
      <c r="P1927" s="47"/>
      <c r="Q1927" s="47"/>
      <c r="R1927" s="47"/>
      <c r="S1927" s="50"/>
      <c r="T1927" s="47"/>
      <c r="U1927" s="47"/>
      <c r="V1927" s="47"/>
      <c r="W1927" s="51"/>
      <c r="X1927" s="51"/>
      <c r="Y1927" s="47"/>
      <c r="Z1927" s="47"/>
      <c r="AA1927" s="47"/>
      <c r="AB1927" s="47"/>
      <c r="AC1927" s="47"/>
      <c r="AD1927" s="47"/>
      <c r="AE1927" s="54"/>
      <c r="AF1927" s="54"/>
      <c r="AG1927" s="55"/>
      <c r="AH1927" s="54"/>
      <c r="AI1927" s="54"/>
      <c r="AJ1927" s="54"/>
      <c r="AK1927" s="54"/>
      <c r="AL1927" s="54"/>
      <c r="AM1927" s="54"/>
      <c r="AN1927" s="54"/>
      <c r="AO1927" s="54"/>
      <c r="AP1927" s="54"/>
      <c r="AQ1927" s="54"/>
      <c r="AR1927" s="54"/>
      <c r="AS1927" s="54"/>
      <c r="AT1927" s="54"/>
      <c r="AU1927" s="54"/>
      <c r="AV1927" s="54"/>
      <c r="AW1927" s="54"/>
      <c r="AX1927" s="54"/>
      <c r="AY1927" s="54"/>
      <c r="AZ1927" s="54"/>
      <c r="BA1927" s="54"/>
      <c r="BB1927" s="54"/>
      <c r="BC1927" s="56"/>
      <c r="BD1927" s="51"/>
      <c r="BE1927" s="54"/>
      <c r="BF1927" s="54"/>
      <c r="BG1927" s="47"/>
      <c r="BH1927" s="48"/>
      <c r="BI1927" s="48"/>
      <c r="BJ1927" s="48"/>
      <c r="BK1927" s="48"/>
      <c r="BL1927" s="48"/>
      <c r="BM1927" s="48"/>
      <c r="BN1927" s="48"/>
      <c r="BO1927" s="48"/>
      <c r="BP1927" s="48"/>
      <c r="BQ1927" s="48"/>
      <c r="BR1927" s="48"/>
      <c r="BS1927" s="48"/>
      <c r="BT1927" s="48"/>
      <c r="BU1927" s="48"/>
      <c r="BV1927" s="48"/>
      <c r="BW1927" s="48"/>
      <c r="BX1927" s="48"/>
      <c r="BY1927" s="48"/>
      <c r="BZ1927" s="48"/>
      <c r="CA1927" s="48"/>
      <c r="CB1927" s="48"/>
      <c r="CC1927" s="48"/>
      <c r="CD1927" s="48"/>
      <c r="CE1927" s="48"/>
      <c r="CF1927" s="52"/>
      <c r="CG1927" s="52"/>
      <c r="CH1927" s="48"/>
      <c r="CI1927" s="48"/>
      <c r="CJ1927" s="48"/>
      <c r="CK1927" s="48"/>
    </row>
    <row r="1928" spans="1:89" ht="15.75" customHeight="1" x14ac:dyDescent="0.3">
      <c r="A1928" s="47"/>
      <c r="B1928" s="48"/>
      <c r="C1928" s="47"/>
      <c r="D1928" s="48"/>
      <c r="E1928" s="48"/>
      <c r="F1928" s="48"/>
      <c r="G1928" s="48"/>
      <c r="H1928" s="48"/>
      <c r="I1928" s="49"/>
      <c r="J1928" s="47"/>
      <c r="K1928" s="47"/>
      <c r="L1928" s="47"/>
      <c r="M1928" s="47"/>
      <c r="N1928" s="47"/>
      <c r="O1928" s="47"/>
      <c r="P1928" s="47"/>
      <c r="Q1928" s="47"/>
      <c r="R1928" s="47"/>
      <c r="S1928" s="50"/>
      <c r="T1928" s="47"/>
      <c r="U1928" s="47"/>
      <c r="V1928" s="47"/>
      <c r="W1928" s="51"/>
      <c r="X1928" s="51"/>
      <c r="Y1928" s="47"/>
      <c r="Z1928" s="47"/>
      <c r="AA1928" s="47"/>
      <c r="AB1928" s="47"/>
      <c r="AC1928" s="47"/>
      <c r="AD1928" s="47"/>
      <c r="AE1928" s="54"/>
      <c r="AF1928" s="54"/>
      <c r="AG1928" s="55"/>
      <c r="AH1928" s="54"/>
      <c r="AI1928" s="54"/>
      <c r="AJ1928" s="54"/>
      <c r="AK1928" s="54"/>
      <c r="AL1928" s="54"/>
      <c r="AM1928" s="54"/>
      <c r="AN1928" s="54"/>
      <c r="AO1928" s="54"/>
      <c r="AP1928" s="54"/>
      <c r="AQ1928" s="54"/>
      <c r="AR1928" s="54"/>
      <c r="AS1928" s="54"/>
      <c r="AT1928" s="54"/>
      <c r="AU1928" s="54"/>
      <c r="AV1928" s="54"/>
      <c r="AW1928" s="54"/>
      <c r="AX1928" s="54"/>
      <c r="AY1928" s="54"/>
      <c r="AZ1928" s="54"/>
      <c r="BA1928" s="54"/>
      <c r="BB1928" s="54"/>
      <c r="BC1928" s="56"/>
      <c r="BD1928" s="51"/>
      <c r="BE1928" s="54"/>
      <c r="BF1928" s="54"/>
      <c r="BG1928" s="47"/>
      <c r="BH1928" s="48"/>
      <c r="BI1928" s="48"/>
      <c r="BJ1928" s="48"/>
      <c r="BK1928" s="48"/>
      <c r="BL1928" s="48"/>
      <c r="BM1928" s="48"/>
      <c r="BN1928" s="48"/>
      <c r="BO1928" s="48"/>
      <c r="BP1928" s="48"/>
      <c r="BQ1928" s="48"/>
      <c r="BR1928" s="48"/>
      <c r="BS1928" s="48"/>
      <c r="BT1928" s="48"/>
      <c r="BU1928" s="48"/>
      <c r="BV1928" s="48"/>
      <c r="BW1928" s="48"/>
      <c r="BX1928" s="48"/>
      <c r="BY1928" s="48"/>
      <c r="BZ1928" s="48"/>
      <c r="CA1928" s="48"/>
      <c r="CB1928" s="48"/>
      <c r="CC1928" s="48"/>
      <c r="CD1928" s="48"/>
      <c r="CE1928" s="48"/>
      <c r="CF1928" s="52"/>
      <c r="CG1928" s="52"/>
      <c r="CH1928" s="48"/>
      <c r="CI1928" s="48"/>
      <c r="CJ1928" s="48"/>
      <c r="CK1928" s="48"/>
    </row>
    <row r="1929" spans="1:89" ht="15.75" customHeight="1" x14ac:dyDescent="0.3">
      <c r="A1929" s="47"/>
      <c r="B1929" s="48"/>
      <c r="C1929" s="47"/>
      <c r="D1929" s="48"/>
      <c r="E1929" s="48"/>
      <c r="F1929" s="48"/>
      <c r="G1929" s="48"/>
      <c r="H1929" s="48"/>
      <c r="I1929" s="49"/>
      <c r="J1929" s="47"/>
      <c r="K1929" s="47"/>
      <c r="L1929" s="47"/>
      <c r="M1929" s="47"/>
      <c r="N1929" s="47"/>
      <c r="O1929" s="47"/>
      <c r="P1929" s="47"/>
      <c r="Q1929" s="47"/>
      <c r="R1929" s="47"/>
      <c r="S1929" s="50"/>
      <c r="T1929" s="47"/>
      <c r="U1929" s="47"/>
      <c r="V1929" s="47"/>
      <c r="W1929" s="51"/>
      <c r="X1929" s="51"/>
      <c r="Y1929" s="47"/>
      <c r="Z1929" s="47"/>
      <c r="AA1929" s="47"/>
      <c r="AB1929" s="47"/>
      <c r="AC1929" s="47"/>
      <c r="AD1929" s="47"/>
      <c r="AE1929" s="54"/>
      <c r="AF1929" s="54"/>
      <c r="AG1929" s="55"/>
      <c r="AH1929" s="54"/>
      <c r="AI1929" s="54"/>
      <c r="AJ1929" s="54"/>
      <c r="AK1929" s="54"/>
      <c r="AL1929" s="54"/>
      <c r="AM1929" s="54"/>
      <c r="AN1929" s="54"/>
      <c r="AO1929" s="54"/>
      <c r="AP1929" s="54"/>
      <c r="AQ1929" s="54"/>
      <c r="AR1929" s="54"/>
      <c r="AS1929" s="54"/>
      <c r="AT1929" s="54"/>
      <c r="AU1929" s="54"/>
      <c r="AV1929" s="54"/>
      <c r="AW1929" s="54"/>
      <c r="AX1929" s="54"/>
      <c r="AY1929" s="54"/>
      <c r="AZ1929" s="54"/>
      <c r="BA1929" s="54"/>
      <c r="BB1929" s="54"/>
      <c r="BC1929" s="56"/>
      <c r="BD1929" s="51"/>
      <c r="BE1929" s="54"/>
      <c r="BF1929" s="54"/>
      <c r="BG1929" s="47"/>
      <c r="BH1929" s="48"/>
      <c r="BI1929" s="48"/>
      <c r="BJ1929" s="48"/>
      <c r="BK1929" s="48"/>
      <c r="BL1929" s="48"/>
      <c r="BM1929" s="48"/>
      <c r="BN1929" s="48"/>
      <c r="BO1929" s="48"/>
      <c r="BP1929" s="48"/>
      <c r="BQ1929" s="48"/>
      <c r="BR1929" s="48"/>
      <c r="BS1929" s="48"/>
      <c r="BT1929" s="48"/>
      <c r="BU1929" s="48"/>
      <c r="BV1929" s="48"/>
      <c r="BW1929" s="48"/>
      <c r="BX1929" s="48"/>
      <c r="BY1929" s="48"/>
      <c r="BZ1929" s="48"/>
      <c r="CA1929" s="48"/>
      <c r="CB1929" s="48"/>
      <c r="CC1929" s="48"/>
      <c r="CD1929" s="48"/>
      <c r="CE1929" s="48"/>
      <c r="CF1929" s="52"/>
      <c r="CG1929" s="52"/>
      <c r="CH1929" s="48"/>
      <c r="CI1929" s="48"/>
      <c r="CJ1929" s="48"/>
      <c r="CK1929" s="48"/>
    </row>
    <row r="1930" spans="1:89" ht="15.75" customHeight="1" x14ac:dyDescent="0.3">
      <c r="A1930" s="47"/>
      <c r="B1930" s="48"/>
      <c r="C1930" s="47"/>
      <c r="D1930" s="48"/>
      <c r="E1930" s="48"/>
      <c r="F1930" s="48"/>
      <c r="G1930" s="48"/>
      <c r="H1930" s="48"/>
      <c r="I1930" s="49"/>
      <c r="J1930" s="47"/>
      <c r="K1930" s="47"/>
      <c r="L1930" s="47"/>
      <c r="M1930" s="47"/>
      <c r="N1930" s="47"/>
      <c r="O1930" s="47"/>
      <c r="P1930" s="47"/>
      <c r="Q1930" s="47"/>
      <c r="R1930" s="47"/>
      <c r="S1930" s="50"/>
      <c r="T1930" s="47"/>
      <c r="U1930" s="47"/>
      <c r="V1930" s="47"/>
      <c r="W1930" s="51"/>
      <c r="X1930" s="51"/>
      <c r="Y1930" s="47"/>
      <c r="Z1930" s="47"/>
      <c r="AA1930" s="47"/>
      <c r="AB1930" s="47"/>
      <c r="AC1930" s="47"/>
      <c r="AD1930" s="47"/>
      <c r="AE1930" s="54"/>
      <c r="AF1930" s="54"/>
      <c r="AG1930" s="55"/>
      <c r="AH1930" s="54"/>
      <c r="AI1930" s="54"/>
      <c r="AJ1930" s="54"/>
      <c r="AK1930" s="54"/>
      <c r="AL1930" s="54"/>
      <c r="AM1930" s="54"/>
      <c r="AN1930" s="54"/>
      <c r="AO1930" s="54"/>
      <c r="AP1930" s="54"/>
      <c r="AQ1930" s="54"/>
      <c r="AR1930" s="54"/>
      <c r="AS1930" s="54"/>
      <c r="AT1930" s="54"/>
      <c r="AU1930" s="54"/>
      <c r="AV1930" s="54"/>
      <c r="AW1930" s="54"/>
      <c r="AX1930" s="54"/>
      <c r="AY1930" s="54"/>
      <c r="AZ1930" s="54"/>
      <c r="BA1930" s="54"/>
      <c r="BB1930" s="54"/>
      <c r="BC1930" s="56"/>
      <c r="BD1930" s="51"/>
      <c r="BE1930" s="54"/>
      <c r="BF1930" s="54"/>
      <c r="BG1930" s="47"/>
      <c r="BH1930" s="48"/>
      <c r="BI1930" s="48"/>
      <c r="BJ1930" s="48"/>
      <c r="BK1930" s="48"/>
      <c r="BL1930" s="48"/>
      <c r="BM1930" s="48"/>
      <c r="BN1930" s="48"/>
      <c r="BO1930" s="48"/>
      <c r="BP1930" s="48"/>
      <c r="BQ1930" s="48"/>
      <c r="BR1930" s="48"/>
      <c r="BS1930" s="48"/>
      <c r="BT1930" s="48"/>
      <c r="BU1930" s="48"/>
      <c r="BV1930" s="48"/>
      <c r="BW1930" s="48"/>
      <c r="BX1930" s="48"/>
      <c r="BY1930" s="48"/>
      <c r="BZ1930" s="48"/>
      <c r="CA1930" s="48"/>
      <c r="CB1930" s="48"/>
      <c r="CC1930" s="48"/>
      <c r="CD1930" s="48"/>
      <c r="CE1930" s="48"/>
      <c r="CF1930" s="52"/>
      <c r="CG1930" s="52"/>
      <c r="CH1930" s="48"/>
      <c r="CI1930" s="48"/>
      <c r="CJ1930" s="48"/>
      <c r="CK1930" s="48"/>
    </row>
    <row r="1931" spans="1:89" ht="15.75" customHeight="1" x14ac:dyDescent="0.3">
      <c r="A1931" s="47"/>
      <c r="B1931" s="48"/>
      <c r="C1931" s="47"/>
      <c r="D1931" s="48"/>
      <c r="E1931" s="48"/>
      <c r="F1931" s="48"/>
      <c r="G1931" s="48"/>
      <c r="H1931" s="48"/>
      <c r="I1931" s="49"/>
      <c r="J1931" s="47"/>
      <c r="K1931" s="47"/>
      <c r="L1931" s="47"/>
      <c r="M1931" s="47"/>
      <c r="N1931" s="47"/>
      <c r="O1931" s="47"/>
      <c r="P1931" s="47"/>
      <c r="Q1931" s="47"/>
      <c r="R1931" s="47"/>
      <c r="S1931" s="50"/>
      <c r="T1931" s="47"/>
      <c r="U1931" s="47"/>
      <c r="V1931" s="47"/>
      <c r="W1931" s="51"/>
      <c r="X1931" s="51"/>
      <c r="Y1931" s="47"/>
      <c r="Z1931" s="47"/>
      <c r="AA1931" s="47"/>
      <c r="AB1931" s="47"/>
      <c r="AC1931" s="47"/>
      <c r="AD1931" s="47"/>
      <c r="AE1931" s="54"/>
      <c r="AF1931" s="54"/>
      <c r="AG1931" s="55"/>
      <c r="AH1931" s="54"/>
      <c r="AI1931" s="54"/>
      <c r="AJ1931" s="54"/>
      <c r="AK1931" s="54"/>
      <c r="AL1931" s="54"/>
      <c r="AM1931" s="54"/>
      <c r="AN1931" s="54"/>
      <c r="AO1931" s="54"/>
      <c r="AP1931" s="54"/>
      <c r="AQ1931" s="54"/>
      <c r="AR1931" s="54"/>
      <c r="AS1931" s="54"/>
      <c r="AT1931" s="54"/>
      <c r="AU1931" s="54"/>
      <c r="AV1931" s="54"/>
      <c r="AW1931" s="54"/>
      <c r="AX1931" s="54"/>
      <c r="AY1931" s="54"/>
      <c r="AZ1931" s="54"/>
      <c r="BA1931" s="54"/>
      <c r="BB1931" s="54"/>
      <c r="BC1931" s="56"/>
      <c r="BD1931" s="51"/>
      <c r="BE1931" s="54"/>
      <c r="BF1931" s="54"/>
      <c r="BG1931" s="47"/>
      <c r="BH1931" s="48"/>
      <c r="BI1931" s="48"/>
      <c r="BJ1931" s="48"/>
      <c r="BK1931" s="48"/>
      <c r="BL1931" s="48"/>
      <c r="BM1931" s="48"/>
      <c r="BN1931" s="48"/>
      <c r="BO1931" s="48"/>
      <c r="BP1931" s="48"/>
      <c r="BQ1931" s="48"/>
      <c r="BR1931" s="48"/>
      <c r="BS1931" s="48"/>
      <c r="BT1931" s="48"/>
      <c r="BU1931" s="48"/>
      <c r="BV1931" s="48"/>
      <c r="BW1931" s="48"/>
      <c r="BX1931" s="48"/>
      <c r="BY1931" s="48"/>
      <c r="BZ1931" s="48"/>
      <c r="CA1931" s="48"/>
      <c r="CB1931" s="48"/>
      <c r="CC1931" s="48"/>
      <c r="CD1931" s="48"/>
      <c r="CE1931" s="48"/>
      <c r="CF1931" s="52"/>
      <c r="CG1931" s="52"/>
      <c r="CH1931" s="48"/>
      <c r="CI1931" s="48"/>
      <c r="CJ1931" s="48"/>
      <c r="CK1931" s="48"/>
    </row>
    <row r="1932" spans="1:89" ht="15.75" customHeight="1" x14ac:dyDescent="0.3">
      <c r="A1932" s="47"/>
      <c r="B1932" s="48"/>
      <c r="C1932" s="47"/>
      <c r="D1932" s="48"/>
      <c r="E1932" s="48"/>
      <c r="F1932" s="48"/>
      <c r="G1932" s="48"/>
      <c r="H1932" s="48"/>
      <c r="I1932" s="49"/>
      <c r="J1932" s="47"/>
      <c r="K1932" s="47"/>
      <c r="L1932" s="47"/>
      <c r="M1932" s="47"/>
      <c r="N1932" s="47"/>
      <c r="O1932" s="47"/>
      <c r="P1932" s="47"/>
      <c r="Q1932" s="47"/>
      <c r="R1932" s="47"/>
      <c r="S1932" s="50"/>
      <c r="T1932" s="47"/>
      <c r="U1932" s="47"/>
      <c r="V1932" s="47"/>
      <c r="W1932" s="51"/>
      <c r="X1932" s="51"/>
      <c r="Y1932" s="47"/>
      <c r="Z1932" s="47"/>
      <c r="AA1932" s="47"/>
      <c r="AB1932" s="47"/>
      <c r="AC1932" s="47"/>
      <c r="AD1932" s="47"/>
      <c r="AE1932" s="54"/>
      <c r="AF1932" s="54"/>
      <c r="AG1932" s="55"/>
      <c r="AH1932" s="54"/>
      <c r="AI1932" s="54"/>
      <c r="AJ1932" s="54"/>
      <c r="AK1932" s="54"/>
      <c r="AL1932" s="54"/>
      <c r="AM1932" s="54"/>
      <c r="AN1932" s="54"/>
      <c r="AO1932" s="54"/>
      <c r="AP1932" s="54"/>
      <c r="AQ1932" s="54"/>
      <c r="AR1932" s="54"/>
      <c r="AS1932" s="54"/>
      <c r="AT1932" s="54"/>
      <c r="AU1932" s="54"/>
      <c r="AV1932" s="54"/>
      <c r="AW1932" s="54"/>
      <c r="AX1932" s="54"/>
      <c r="AY1932" s="54"/>
      <c r="AZ1932" s="54"/>
      <c r="BA1932" s="54"/>
      <c r="BB1932" s="54"/>
      <c r="BC1932" s="56"/>
      <c r="BD1932" s="51"/>
      <c r="BE1932" s="54"/>
      <c r="BF1932" s="54"/>
      <c r="BG1932" s="47"/>
      <c r="BH1932" s="48"/>
      <c r="BI1932" s="48"/>
      <c r="BJ1932" s="48"/>
      <c r="BK1932" s="48"/>
      <c r="BL1932" s="48"/>
      <c r="BM1932" s="48"/>
      <c r="BN1932" s="48"/>
      <c r="BO1932" s="48"/>
      <c r="BP1932" s="48"/>
      <c r="BQ1932" s="48"/>
      <c r="BR1932" s="48"/>
      <c r="BS1932" s="48"/>
      <c r="BT1932" s="48"/>
      <c r="BU1932" s="48"/>
      <c r="BV1932" s="48"/>
      <c r="BW1932" s="48"/>
      <c r="BX1932" s="48"/>
      <c r="BY1932" s="48"/>
      <c r="BZ1932" s="48"/>
      <c r="CA1932" s="48"/>
      <c r="CB1932" s="48"/>
      <c r="CC1932" s="48"/>
      <c r="CD1932" s="48"/>
      <c r="CE1932" s="48"/>
      <c r="CF1932" s="52"/>
      <c r="CG1932" s="52"/>
      <c r="CH1932" s="48"/>
      <c r="CI1932" s="48"/>
      <c r="CJ1932" s="48"/>
      <c r="CK1932" s="48"/>
    </row>
    <row r="1933" spans="1:89" ht="15.75" customHeight="1" x14ac:dyDescent="0.3">
      <c r="A1933" s="47"/>
      <c r="B1933" s="48"/>
      <c r="C1933" s="47"/>
      <c r="D1933" s="48"/>
      <c r="E1933" s="48"/>
      <c r="F1933" s="48"/>
      <c r="G1933" s="48"/>
      <c r="H1933" s="48"/>
      <c r="I1933" s="49"/>
      <c r="J1933" s="47"/>
      <c r="K1933" s="47"/>
      <c r="L1933" s="47"/>
      <c r="M1933" s="47"/>
      <c r="N1933" s="47"/>
      <c r="O1933" s="47"/>
      <c r="P1933" s="47"/>
      <c r="Q1933" s="47"/>
      <c r="R1933" s="47"/>
      <c r="S1933" s="50"/>
      <c r="T1933" s="47"/>
      <c r="U1933" s="47"/>
      <c r="V1933" s="47"/>
      <c r="W1933" s="51"/>
      <c r="X1933" s="51"/>
      <c r="Y1933" s="47"/>
      <c r="Z1933" s="47"/>
      <c r="AA1933" s="47"/>
      <c r="AB1933" s="47"/>
      <c r="AC1933" s="47"/>
      <c r="AD1933" s="47"/>
      <c r="AE1933" s="54"/>
      <c r="AF1933" s="54"/>
      <c r="AG1933" s="55"/>
      <c r="AH1933" s="54"/>
      <c r="AI1933" s="54"/>
      <c r="AJ1933" s="54"/>
      <c r="AK1933" s="54"/>
      <c r="AL1933" s="54"/>
      <c r="AM1933" s="54"/>
      <c r="AN1933" s="54"/>
      <c r="AO1933" s="54"/>
      <c r="AP1933" s="54"/>
      <c r="AQ1933" s="54"/>
      <c r="AR1933" s="54"/>
      <c r="AS1933" s="54"/>
      <c r="AT1933" s="54"/>
      <c r="AU1933" s="54"/>
      <c r="AV1933" s="54"/>
      <c r="AW1933" s="54"/>
      <c r="AX1933" s="54"/>
      <c r="AY1933" s="54"/>
      <c r="AZ1933" s="54"/>
      <c r="BA1933" s="54"/>
      <c r="BB1933" s="54"/>
      <c r="BC1933" s="56"/>
      <c r="BD1933" s="51"/>
      <c r="BE1933" s="54"/>
      <c r="BF1933" s="54"/>
      <c r="BG1933" s="47"/>
      <c r="BH1933" s="48"/>
      <c r="BI1933" s="48"/>
      <c r="BJ1933" s="48"/>
      <c r="BK1933" s="48"/>
      <c r="BL1933" s="48"/>
      <c r="BM1933" s="48"/>
      <c r="BN1933" s="48"/>
      <c r="BO1933" s="48"/>
      <c r="BP1933" s="48"/>
      <c r="BQ1933" s="48"/>
      <c r="BR1933" s="48"/>
      <c r="BS1933" s="48"/>
      <c r="BT1933" s="48"/>
      <c r="BU1933" s="48"/>
      <c r="BV1933" s="48"/>
      <c r="BW1933" s="48"/>
      <c r="BX1933" s="48"/>
      <c r="BY1933" s="48"/>
      <c r="BZ1933" s="48"/>
      <c r="CA1933" s="48"/>
      <c r="CB1933" s="48"/>
      <c r="CC1933" s="48"/>
      <c r="CD1933" s="48"/>
      <c r="CE1933" s="48"/>
      <c r="CF1933" s="52"/>
      <c r="CG1933" s="52"/>
      <c r="CH1933" s="48"/>
      <c r="CI1933" s="48"/>
      <c r="CJ1933" s="48"/>
      <c r="CK1933" s="48"/>
    </row>
    <row r="1934" spans="1:89" ht="15.75" customHeight="1" x14ac:dyDescent="0.3">
      <c r="A1934" s="47"/>
      <c r="B1934" s="48"/>
      <c r="C1934" s="47"/>
      <c r="D1934" s="48"/>
      <c r="E1934" s="48"/>
      <c r="F1934" s="48"/>
      <c r="G1934" s="48"/>
      <c r="H1934" s="48"/>
      <c r="I1934" s="49"/>
      <c r="J1934" s="47"/>
      <c r="K1934" s="47"/>
      <c r="L1934" s="47"/>
      <c r="M1934" s="47"/>
      <c r="N1934" s="47"/>
      <c r="O1934" s="47"/>
      <c r="P1934" s="47"/>
      <c r="Q1934" s="47"/>
      <c r="R1934" s="47"/>
      <c r="S1934" s="50"/>
      <c r="T1934" s="47"/>
      <c r="U1934" s="47"/>
      <c r="V1934" s="47"/>
      <c r="W1934" s="51"/>
      <c r="X1934" s="51"/>
      <c r="Y1934" s="47"/>
      <c r="Z1934" s="47"/>
      <c r="AA1934" s="47"/>
      <c r="AB1934" s="47"/>
      <c r="AC1934" s="47"/>
      <c r="AD1934" s="47"/>
      <c r="AE1934" s="54"/>
      <c r="AF1934" s="54"/>
      <c r="AG1934" s="55"/>
      <c r="AH1934" s="54"/>
      <c r="AI1934" s="54"/>
      <c r="AJ1934" s="54"/>
      <c r="AK1934" s="54"/>
      <c r="AL1934" s="54"/>
      <c r="AM1934" s="54"/>
      <c r="AN1934" s="54"/>
      <c r="AO1934" s="54"/>
      <c r="AP1934" s="54"/>
      <c r="AQ1934" s="54"/>
      <c r="AR1934" s="54"/>
      <c r="AS1934" s="54"/>
      <c r="AT1934" s="54"/>
      <c r="AU1934" s="54"/>
      <c r="AV1934" s="54"/>
      <c r="AW1934" s="54"/>
      <c r="AX1934" s="54"/>
      <c r="AY1934" s="54"/>
      <c r="AZ1934" s="54"/>
      <c r="BA1934" s="54"/>
      <c r="BB1934" s="54"/>
      <c r="BC1934" s="56"/>
      <c r="BD1934" s="51"/>
      <c r="BE1934" s="54"/>
      <c r="BF1934" s="54"/>
      <c r="BG1934" s="47"/>
      <c r="BH1934" s="48"/>
      <c r="BI1934" s="48"/>
      <c r="BJ1934" s="48"/>
      <c r="BK1934" s="48"/>
      <c r="BL1934" s="48"/>
      <c r="BM1934" s="48"/>
      <c r="BN1934" s="48"/>
      <c r="BO1934" s="48"/>
      <c r="BP1934" s="48"/>
      <c r="BQ1934" s="48"/>
      <c r="BR1934" s="48"/>
      <c r="BS1934" s="48"/>
      <c r="BT1934" s="48"/>
      <c r="BU1934" s="48"/>
      <c r="BV1934" s="48"/>
      <c r="BW1934" s="48"/>
      <c r="BX1934" s="48"/>
      <c r="BY1934" s="48"/>
      <c r="BZ1934" s="48"/>
      <c r="CA1934" s="48"/>
      <c r="CB1934" s="48"/>
      <c r="CC1934" s="48"/>
      <c r="CD1934" s="48"/>
      <c r="CE1934" s="48"/>
      <c r="CF1934" s="52"/>
      <c r="CG1934" s="52"/>
      <c r="CH1934" s="48"/>
      <c r="CI1934" s="48"/>
      <c r="CJ1934" s="48"/>
      <c r="CK1934" s="48"/>
    </row>
    <row r="1935" spans="1:89" ht="15.75" customHeight="1" x14ac:dyDescent="0.3">
      <c r="A1935" s="47"/>
      <c r="B1935" s="48"/>
      <c r="C1935" s="47"/>
      <c r="D1935" s="48"/>
      <c r="E1935" s="48"/>
      <c r="F1935" s="48"/>
      <c r="G1935" s="48"/>
      <c r="H1935" s="48"/>
      <c r="I1935" s="49"/>
      <c r="J1935" s="47"/>
      <c r="K1935" s="47"/>
      <c r="L1935" s="47"/>
      <c r="M1935" s="47"/>
      <c r="N1935" s="47"/>
      <c r="O1935" s="47"/>
      <c r="P1935" s="47"/>
      <c r="Q1935" s="47"/>
      <c r="R1935" s="47"/>
      <c r="S1935" s="50"/>
      <c r="T1935" s="47"/>
      <c r="U1935" s="47"/>
      <c r="V1935" s="47"/>
      <c r="W1935" s="51"/>
      <c r="X1935" s="51"/>
      <c r="Y1935" s="47"/>
      <c r="Z1935" s="47"/>
      <c r="AA1935" s="47"/>
      <c r="AB1935" s="47"/>
      <c r="AC1935" s="47"/>
      <c r="AD1935" s="47"/>
      <c r="AE1935" s="54"/>
      <c r="AF1935" s="54"/>
      <c r="AG1935" s="55"/>
      <c r="AH1935" s="54"/>
      <c r="AI1935" s="54"/>
      <c r="AJ1935" s="54"/>
      <c r="AK1935" s="54"/>
      <c r="AL1935" s="54"/>
      <c r="AM1935" s="54"/>
      <c r="AN1935" s="54"/>
      <c r="AO1935" s="54"/>
      <c r="AP1935" s="54"/>
      <c r="AQ1935" s="54"/>
      <c r="AR1935" s="54"/>
      <c r="AS1935" s="54"/>
      <c r="AT1935" s="54"/>
      <c r="AU1935" s="54"/>
      <c r="AV1935" s="54"/>
      <c r="AW1935" s="54"/>
      <c r="AX1935" s="54"/>
      <c r="AY1935" s="54"/>
      <c r="AZ1935" s="54"/>
      <c r="BA1935" s="54"/>
      <c r="BB1935" s="54"/>
      <c r="BC1935" s="56"/>
      <c r="BD1935" s="51"/>
      <c r="BE1935" s="54"/>
      <c r="BF1935" s="54"/>
      <c r="BG1935" s="47"/>
      <c r="BH1935" s="48"/>
      <c r="BI1935" s="48"/>
      <c r="BJ1935" s="48"/>
      <c r="BK1935" s="48"/>
      <c r="BL1935" s="48"/>
      <c r="BM1935" s="48"/>
      <c r="BN1935" s="48"/>
      <c r="BO1935" s="48"/>
      <c r="BP1935" s="48"/>
      <c r="BQ1935" s="48"/>
      <c r="BR1935" s="48"/>
      <c r="BS1935" s="48"/>
      <c r="BT1935" s="48"/>
      <c r="BU1935" s="48"/>
      <c r="BV1935" s="48"/>
      <c r="BW1935" s="48"/>
      <c r="BX1935" s="48"/>
      <c r="BY1935" s="48"/>
      <c r="BZ1935" s="48"/>
      <c r="CA1935" s="48"/>
      <c r="CB1935" s="48"/>
      <c r="CC1935" s="48"/>
      <c r="CD1935" s="48"/>
      <c r="CE1935" s="48"/>
      <c r="CF1935" s="52"/>
      <c r="CG1935" s="52"/>
      <c r="CH1935" s="48"/>
      <c r="CI1935" s="48"/>
      <c r="CJ1935" s="48"/>
      <c r="CK1935" s="48"/>
    </row>
    <row r="1936" spans="1:89" ht="15.75" customHeight="1" x14ac:dyDescent="0.3">
      <c r="A1936" s="47"/>
      <c r="B1936" s="48"/>
      <c r="C1936" s="47"/>
      <c r="D1936" s="48"/>
      <c r="E1936" s="48"/>
      <c r="F1936" s="48"/>
      <c r="G1936" s="48"/>
      <c r="H1936" s="48"/>
      <c r="I1936" s="49"/>
      <c r="J1936" s="47"/>
      <c r="K1936" s="47"/>
      <c r="L1936" s="47"/>
      <c r="M1936" s="47"/>
      <c r="N1936" s="47"/>
      <c r="O1936" s="47"/>
      <c r="P1936" s="47"/>
      <c r="Q1936" s="47"/>
      <c r="R1936" s="47"/>
      <c r="S1936" s="50"/>
      <c r="T1936" s="47"/>
      <c r="U1936" s="47"/>
      <c r="V1936" s="47"/>
      <c r="W1936" s="51"/>
      <c r="X1936" s="51"/>
      <c r="Y1936" s="47"/>
      <c r="Z1936" s="47"/>
      <c r="AA1936" s="47"/>
      <c r="AB1936" s="47"/>
      <c r="AC1936" s="47"/>
      <c r="AD1936" s="47"/>
      <c r="AE1936" s="54"/>
      <c r="AF1936" s="54"/>
      <c r="AG1936" s="55"/>
      <c r="AH1936" s="54"/>
      <c r="AI1936" s="54"/>
      <c r="AJ1936" s="54"/>
      <c r="AK1936" s="54"/>
      <c r="AL1936" s="54"/>
      <c r="AM1936" s="54"/>
      <c r="AN1936" s="54"/>
      <c r="AO1936" s="54"/>
      <c r="AP1936" s="54"/>
      <c r="AQ1936" s="54"/>
      <c r="AR1936" s="54"/>
      <c r="AS1936" s="54"/>
      <c r="AT1936" s="54"/>
      <c r="AU1936" s="54"/>
      <c r="AV1936" s="54"/>
      <c r="AW1936" s="54"/>
      <c r="AX1936" s="54"/>
      <c r="AY1936" s="54"/>
      <c r="AZ1936" s="54"/>
      <c r="BA1936" s="54"/>
      <c r="BB1936" s="54"/>
      <c r="BC1936" s="56"/>
      <c r="BD1936" s="51"/>
      <c r="BE1936" s="54"/>
      <c r="BF1936" s="54"/>
      <c r="BG1936" s="47"/>
      <c r="BH1936" s="48"/>
      <c r="BI1936" s="48"/>
      <c r="BJ1936" s="48"/>
      <c r="BK1936" s="48"/>
      <c r="BL1936" s="48"/>
      <c r="BM1936" s="48"/>
      <c r="BN1936" s="48"/>
      <c r="BO1936" s="48"/>
      <c r="BP1936" s="48"/>
      <c r="BQ1936" s="48"/>
      <c r="BR1936" s="48"/>
      <c r="BS1936" s="48"/>
      <c r="BT1936" s="48"/>
      <c r="BU1936" s="48"/>
      <c r="BV1936" s="48"/>
      <c r="BW1936" s="48"/>
      <c r="BX1936" s="48"/>
      <c r="BY1936" s="48"/>
      <c r="BZ1936" s="48"/>
      <c r="CA1936" s="48"/>
      <c r="CB1936" s="48"/>
      <c r="CC1936" s="48"/>
      <c r="CD1936" s="48"/>
      <c r="CE1936" s="48"/>
      <c r="CF1936" s="52"/>
      <c r="CG1936" s="52"/>
      <c r="CH1936" s="48"/>
      <c r="CI1936" s="48"/>
      <c r="CJ1936" s="48"/>
      <c r="CK1936" s="48"/>
    </row>
    <row r="1937" spans="1:89" ht="15.75" customHeight="1" x14ac:dyDescent="0.3">
      <c r="A1937" s="47"/>
      <c r="B1937" s="48"/>
      <c r="C1937" s="47"/>
      <c r="D1937" s="48"/>
      <c r="E1937" s="48"/>
      <c r="F1937" s="48"/>
      <c r="G1937" s="48"/>
      <c r="H1937" s="48"/>
      <c r="I1937" s="49"/>
      <c r="J1937" s="47"/>
      <c r="K1937" s="47"/>
      <c r="L1937" s="47"/>
      <c r="M1937" s="47"/>
      <c r="N1937" s="47"/>
      <c r="O1937" s="47"/>
      <c r="P1937" s="47"/>
      <c r="Q1937" s="47"/>
      <c r="R1937" s="47"/>
      <c r="S1937" s="50"/>
      <c r="T1937" s="47"/>
      <c r="U1937" s="47"/>
      <c r="V1937" s="47"/>
      <c r="W1937" s="51"/>
      <c r="X1937" s="51"/>
      <c r="Y1937" s="47"/>
      <c r="Z1937" s="47"/>
      <c r="AA1937" s="47"/>
      <c r="AB1937" s="47"/>
      <c r="AC1937" s="47"/>
      <c r="AD1937" s="47"/>
      <c r="AE1937" s="54"/>
      <c r="AF1937" s="54"/>
      <c r="AG1937" s="55"/>
      <c r="AH1937" s="54"/>
      <c r="AI1937" s="54"/>
      <c r="AJ1937" s="54"/>
      <c r="AK1937" s="54"/>
      <c r="AL1937" s="54"/>
      <c r="AM1937" s="54"/>
      <c r="AN1937" s="54"/>
      <c r="AO1937" s="54"/>
      <c r="AP1937" s="54"/>
      <c r="AQ1937" s="54"/>
      <c r="AR1937" s="54"/>
      <c r="AS1937" s="54"/>
      <c r="AT1937" s="54"/>
      <c r="AU1937" s="54"/>
      <c r="AV1937" s="54"/>
      <c r="AW1937" s="54"/>
      <c r="AX1937" s="54"/>
      <c r="AY1937" s="54"/>
      <c r="AZ1937" s="54"/>
      <c r="BA1937" s="54"/>
      <c r="BB1937" s="54"/>
      <c r="BC1937" s="56"/>
      <c r="BD1937" s="51"/>
      <c r="BE1937" s="54"/>
      <c r="BF1937" s="54"/>
      <c r="BG1937" s="47"/>
      <c r="BH1937" s="48"/>
      <c r="BI1937" s="48"/>
      <c r="BJ1937" s="48"/>
      <c r="BK1937" s="48"/>
      <c r="BL1937" s="48"/>
      <c r="BM1937" s="48"/>
      <c r="BN1937" s="48"/>
      <c r="BO1937" s="48"/>
      <c r="BP1937" s="48"/>
      <c r="BQ1937" s="48"/>
      <c r="BR1937" s="48"/>
      <c r="BS1937" s="48"/>
      <c r="BT1937" s="48"/>
      <c r="BU1937" s="48"/>
      <c r="BV1937" s="48"/>
      <c r="BW1937" s="48"/>
      <c r="BX1937" s="48"/>
      <c r="BY1937" s="48"/>
      <c r="BZ1937" s="48"/>
      <c r="CA1937" s="48"/>
      <c r="CB1937" s="48"/>
      <c r="CC1937" s="48"/>
      <c r="CD1937" s="48"/>
      <c r="CE1937" s="48"/>
      <c r="CF1937" s="52"/>
      <c r="CG1937" s="52"/>
      <c r="CH1937" s="48"/>
      <c r="CI1937" s="48"/>
      <c r="CJ1937" s="48"/>
      <c r="CK1937" s="48"/>
    </row>
    <row r="1938" spans="1:89" ht="15.75" customHeight="1" x14ac:dyDescent="0.3">
      <c r="A1938" s="47"/>
      <c r="B1938" s="48"/>
      <c r="C1938" s="47"/>
      <c r="D1938" s="48"/>
      <c r="E1938" s="48"/>
      <c r="F1938" s="48"/>
      <c r="G1938" s="48"/>
      <c r="H1938" s="48"/>
      <c r="I1938" s="49"/>
      <c r="J1938" s="47"/>
      <c r="K1938" s="47"/>
      <c r="L1938" s="47"/>
      <c r="M1938" s="47"/>
      <c r="N1938" s="47"/>
      <c r="O1938" s="47"/>
      <c r="P1938" s="47"/>
      <c r="Q1938" s="47"/>
      <c r="R1938" s="47"/>
      <c r="S1938" s="50"/>
      <c r="T1938" s="47"/>
      <c r="U1938" s="47"/>
      <c r="V1938" s="47"/>
      <c r="W1938" s="51"/>
      <c r="X1938" s="51"/>
      <c r="Y1938" s="47"/>
      <c r="Z1938" s="47"/>
      <c r="AA1938" s="47"/>
      <c r="AB1938" s="47"/>
      <c r="AC1938" s="47"/>
      <c r="AD1938" s="47"/>
      <c r="AE1938" s="54"/>
      <c r="AF1938" s="54"/>
      <c r="AG1938" s="55"/>
      <c r="AH1938" s="54"/>
      <c r="AI1938" s="54"/>
      <c r="AJ1938" s="54"/>
      <c r="AK1938" s="54"/>
      <c r="AL1938" s="54"/>
      <c r="AM1938" s="54"/>
      <c r="AN1938" s="54"/>
      <c r="AO1938" s="54"/>
      <c r="AP1938" s="54"/>
      <c r="AQ1938" s="54"/>
      <c r="AR1938" s="54"/>
      <c r="AS1938" s="54"/>
      <c r="AT1938" s="54"/>
      <c r="AU1938" s="54"/>
      <c r="AV1938" s="54"/>
      <c r="AW1938" s="54"/>
      <c r="AX1938" s="54"/>
      <c r="AY1938" s="54"/>
      <c r="AZ1938" s="54"/>
      <c r="BA1938" s="54"/>
      <c r="BB1938" s="54"/>
      <c r="BC1938" s="56"/>
      <c r="BD1938" s="51"/>
      <c r="BE1938" s="54"/>
      <c r="BF1938" s="54"/>
      <c r="BG1938" s="47"/>
      <c r="BH1938" s="48"/>
      <c r="BI1938" s="48"/>
      <c r="BJ1938" s="48"/>
      <c r="BK1938" s="48"/>
      <c r="BL1938" s="48"/>
      <c r="BM1938" s="48"/>
      <c r="BN1938" s="48"/>
      <c r="BO1938" s="48"/>
      <c r="BP1938" s="48"/>
      <c r="BQ1938" s="48"/>
      <c r="BR1938" s="48"/>
      <c r="BS1938" s="48"/>
      <c r="BT1938" s="48"/>
      <c r="BU1938" s="48"/>
      <c r="BV1938" s="48"/>
      <c r="BW1938" s="48"/>
      <c r="BX1938" s="48"/>
      <c r="BY1938" s="48"/>
      <c r="BZ1938" s="48"/>
      <c r="CA1938" s="48"/>
      <c r="CB1938" s="48"/>
      <c r="CC1938" s="48"/>
      <c r="CD1938" s="48"/>
      <c r="CE1938" s="48"/>
      <c r="CF1938" s="52"/>
      <c r="CG1938" s="52"/>
      <c r="CH1938" s="48"/>
      <c r="CI1938" s="48"/>
      <c r="CJ1938" s="48"/>
      <c r="CK1938" s="48"/>
    </row>
    <row r="1939" spans="1:89" ht="15.75" customHeight="1" x14ac:dyDescent="0.3">
      <c r="A1939" s="47"/>
      <c r="B1939" s="48"/>
      <c r="C1939" s="47"/>
      <c r="D1939" s="48"/>
      <c r="E1939" s="48"/>
      <c r="F1939" s="48"/>
      <c r="G1939" s="48"/>
      <c r="H1939" s="48"/>
      <c r="I1939" s="49"/>
      <c r="J1939" s="47"/>
      <c r="K1939" s="47"/>
      <c r="L1939" s="47"/>
      <c r="M1939" s="47"/>
      <c r="N1939" s="47"/>
      <c r="O1939" s="47"/>
      <c r="P1939" s="47"/>
      <c r="Q1939" s="47"/>
      <c r="R1939" s="47"/>
      <c r="S1939" s="50"/>
      <c r="T1939" s="47"/>
      <c r="U1939" s="47"/>
      <c r="V1939" s="47"/>
      <c r="W1939" s="51"/>
      <c r="X1939" s="51"/>
      <c r="Y1939" s="47"/>
      <c r="Z1939" s="47"/>
      <c r="AA1939" s="47"/>
      <c r="AB1939" s="47"/>
      <c r="AC1939" s="47"/>
      <c r="AD1939" s="47"/>
      <c r="AE1939" s="54"/>
      <c r="AF1939" s="54"/>
      <c r="AG1939" s="55"/>
      <c r="AH1939" s="54"/>
      <c r="AI1939" s="54"/>
      <c r="AJ1939" s="54"/>
      <c r="AK1939" s="54"/>
      <c r="AL1939" s="54"/>
      <c r="AM1939" s="54"/>
      <c r="AN1939" s="54"/>
      <c r="AO1939" s="54"/>
      <c r="AP1939" s="54"/>
      <c r="AQ1939" s="54"/>
      <c r="AR1939" s="54"/>
      <c r="AS1939" s="54"/>
      <c r="AT1939" s="54"/>
      <c r="AU1939" s="54"/>
      <c r="AV1939" s="54"/>
      <c r="AW1939" s="54"/>
      <c r="AX1939" s="54"/>
      <c r="AY1939" s="54"/>
      <c r="AZ1939" s="54"/>
      <c r="BA1939" s="54"/>
      <c r="BB1939" s="54"/>
      <c r="BC1939" s="56"/>
      <c r="BD1939" s="51"/>
      <c r="BE1939" s="54"/>
      <c r="BF1939" s="54"/>
      <c r="BG1939" s="47"/>
      <c r="BH1939" s="48"/>
      <c r="BI1939" s="48"/>
      <c r="BJ1939" s="48"/>
      <c r="BK1939" s="48"/>
      <c r="BL1939" s="48"/>
      <c r="BM1939" s="48"/>
      <c r="BN1939" s="48"/>
      <c r="BO1939" s="48"/>
      <c r="BP1939" s="48"/>
      <c r="BQ1939" s="48"/>
      <c r="BR1939" s="48"/>
      <c r="BS1939" s="48"/>
      <c r="BT1939" s="48"/>
      <c r="BU1939" s="48"/>
      <c r="BV1939" s="48"/>
      <c r="BW1939" s="48"/>
      <c r="BX1939" s="48"/>
      <c r="BY1939" s="48"/>
      <c r="BZ1939" s="48"/>
      <c r="CA1939" s="48"/>
      <c r="CB1939" s="48"/>
      <c r="CC1939" s="48"/>
      <c r="CD1939" s="48"/>
      <c r="CE1939" s="48"/>
      <c r="CF1939" s="52"/>
      <c r="CG1939" s="52"/>
      <c r="CH1939" s="48"/>
      <c r="CI1939" s="48"/>
      <c r="CJ1939" s="48"/>
      <c r="CK1939" s="48"/>
    </row>
    <row r="1940" spans="1:89" ht="15.75" customHeight="1" x14ac:dyDescent="0.3">
      <c r="A1940" s="47"/>
      <c r="B1940" s="48"/>
      <c r="C1940" s="47"/>
      <c r="D1940" s="48"/>
      <c r="E1940" s="48"/>
      <c r="F1940" s="48"/>
      <c r="G1940" s="48"/>
      <c r="H1940" s="48"/>
      <c r="I1940" s="49"/>
      <c r="J1940" s="47"/>
      <c r="K1940" s="47"/>
      <c r="L1940" s="47"/>
      <c r="M1940" s="47"/>
      <c r="N1940" s="47"/>
      <c r="O1940" s="47"/>
      <c r="P1940" s="47"/>
      <c r="Q1940" s="47"/>
      <c r="R1940" s="47"/>
      <c r="S1940" s="50"/>
      <c r="T1940" s="47"/>
      <c r="U1940" s="47"/>
      <c r="V1940" s="47"/>
      <c r="W1940" s="51"/>
      <c r="X1940" s="51"/>
      <c r="Y1940" s="47"/>
      <c r="Z1940" s="47"/>
      <c r="AA1940" s="47"/>
      <c r="AB1940" s="47"/>
      <c r="AC1940" s="47"/>
      <c r="AD1940" s="47"/>
      <c r="AE1940" s="54"/>
      <c r="AF1940" s="54"/>
      <c r="AG1940" s="55"/>
      <c r="AH1940" s="54"/>
      <c r="AI1940" s="54"/>
      <c r="AJ1940" s="54"/>
      <c r="AK1940" s="54"/>
      <c r="AL1940" s="54"/>
      <c r="AM1940" s="54"/>
      <c r="AN1940" s="54"/>
      <c r="AO1940" s="54"/>
      <c r="AP1940" s="54"/>
      <c r="AQ1940" s="54"/>
      <c r="AR1940" s="54"/>
      <c r="AS1940" s="54"/>
      <c r="AT1940" s="54"/>
      <c r="AU1940" s="54"/>
      <c r="AV1940" s="54"/>
      <c r="AW1940" s="54"/>
      <c r="AX1940" s="54"/>
      <c r="AY1940" s="54"/>
      <c r="AZ1940" s="54"/>
      <c r="BA1940" s="54"/>
      <c r="BB1940" s="54"/>
      <c r="BC1940" s="56"/>
      <c r="BD1940" s="51"/>
      <c r="BE1940" s="54"/>
      <c r="BF1940" s="54"/>
      <c r="BG1940" s="47"/>
      <c r="BH1940" s="48"/>
      <c r="BI1940" s="48"/>
      <c r="BJ1940" s="48"/>
      <c r="BK1940" s="48"/>
      <c r="BL1940" s="48"/>
      <c r="BM1940" s="48"/>
      <c r="BN1940" s="48"/>
      <c r="BO1940" s="48"/>
      <c r="BP1940" s="48"/>
      <c r="BQ1940" s="48"/>
      <c r="BR1940" s="48"/>
      <c r="BS1940" s="48"/>
      <c r="BT1940" s="48"/>
      <c r="BU1940" s="48"/>
      <c r="BV1940" s="48"/>
      <c r="BW1940" s="48"/>
      <c r="BX1940" s="48"/>
      <c r="BY1940" s="48"/>
      <c r="BZ1940" s="48"/>
      <c r="CA1940" s="48"/>
      <c r="CB1940" s="48"/>
      <c r="CC1940" s="48"/>
      <c r="CD1940" s="48"/>
      <c r="CE1940" s="48"/>
      <c r="CF1940" s="52"/>
      <c r="CG1940" s="52"/>
      <c r="CH1940" s="48"/>
      <c r="CI1940" s="48"/>
      <c r="CJ1940" s="48"/>
      <c r="CK1940" s="48"/>
    </row>
    <row r="1941" spans="1:89" ht="15.75" customHeight="1" x14ac:dyDescent="0.3">
      <c r="A1941" s="47"/>
      <c r="B1941" s="48"/>
      <c r="C1941" s="47"/>
      <c r="D1941" s="48"/>
      <c r="E1941" s="48"/>
      <c r="F1941" s="48"/>
      <c r="G1941" s="48"/>
      <c r="H1941" s="48"/>
      <c r="I1941" s="49"/>
      <c r="J1941" s="47"/>
      <c r="K1941" s="47"/>
      <c r="L1941" s="47"/>
      <c r="M1941" s="47"/>
      <c r="N1941" s="47"/>
      <c r="O1941" s="47"/>
      <c r="P1941" s="47"/>
      <c r="Q1941" s="47"/>
      <c r="R1941" s="47"/>
      <c r="S1941" s="50"/>
      <c r="T1941" s="47"/>
      <c r="U1941" s="47"/>
      <c r="V1941" s="47"/>
      <c r="W1941" s="51"/>
      <c r="X1941" s="51"/>
      <c r="Y1941" s="47"/>
      <c r="Z1941" s="47"/>
      <c r="AA1941" s="47"/>
      <c r="AB1941" s="47"/>
      <c r="AC1941" s="47"/>
      <c r="AD1941" s="47"/>
      <c r="AE1941" s="54"/>
      <c r="AF1941" s="54"/>
      <c r="AG1941" s="55"/>
      <c r="AH1941" s="54"/>
      <c r="AI1941" s="54"/>
      <c r="AJ1941" s="54"/>
      <c r="AK1941" s="54"/>
      <c r="AL1941" s="54"/>
      <c r="AM1941" s="54"/>
      <c r="AN1941" s="54"/>
      <c r="AO1941" s="54"/>
      <c r="AP1941" s="54"/>
      <c r="AQ1941" s="54"/>
      <c r="AR1941" s="54"/>
      <c r="AS1941" s="54"/>
      <c r="AT1941" s="54"/>
      <c r="AU1941" s="54"/>
      <c r="AV1941" s="54"/>
      <c r="AW1941" s="54"/>
      <c r="AX1941" s="54"/>
      <c r="AY1941" s="54"/>
      <c r="AZ1941" s="54"/>
      <c r="BA1941" s="54"/>
      <c r="BB1941" s="54"/>
      <c r="BC1941" s="56"/>
      <c r="BD1941" s="51"/>
      <c r="BE1941" s="54"/>
      <c r="BF1941" s="54"/>
      <c r="BG1941" s="47"/>
      <c r="BH1941" s="48"/>
      <c r="BI1941" s="48"/>
      <c r="BJ1941" s="48"/>
      <c r="BK1941" s="48"/>
      <c r="BL1941" s="48"/>
      <c r="BM1941" s="48"/>
      <c r="BN1941" s="48"/>
      <c r="BO1941" s="48"/>
      <c r="BP1941" s="48"/>
      <c r="BQ1941" s="48"/>
      <c r="BR1941" s="48"/>
      <c r="BS1941" s="48"/>
      <c r="BT1941" s="48"/>
      <c r="BU1941" s="48"/>
      <c r="BV1941" s="48"/>
      <c r="BW1941" s="48"/>
      <c r="BX1941" s="48"/>
      <c r="BY1941" s="48"/>
      <c r="BZ1941" s="48"/>
      <c r="CA1941" s="48"/>
      <c r="CB1941" s="48"/>
      <c r="CC1941" s="48"/>
      <c r="CD1941" s="48"/>
      <c r="CE1941" s="48"/>
      <c r="CF1941" s="52"/>
      <c r="CG1941" s="52"/>
      <c r="CH1941" s="48"/>
      <c r="CI1941" s="48"/>
      <c r="CJ1941" s="48"/>
      <c r="CK1941" s="48"/>
    </row>
    <row r="1942" spans="1:89" ht="15.75" customHeight="1" x14ac:dyDescent="0.3">
      <c r="A1942" s="47"/>
      <c r="B1942" s="48"/>
      <c r="C1942" s="47"/>
      <c r="D1942" s="48"/>
      <c r="E1942" s="48"/>
      <c r="F1942" s="48"/>
      <c r="G1942" s="48"/>
      <c r="H1942" s="48"/>
      <c r="I1942" s="49"/>
      <c r="J1942" s="47"/>
      <c r="K1942" s="47"/>
      <c r="L1942" s="47"/>
      <c r="M1942" s="47"/>
      <c r="N1942" s="47"/>
      <c r="O1942" s="47"/>
      <c r="P1942" s="47"/>
      <c r="Q1942" s="47"/>
      <c r="R1942" s="47"/>
      <c r="S1942" s="50"/>
      <c r="T1942" s="47"/>
      <c r="U1942" s="47"/>
      <c r="V1942" s="47"/>
      <c r="W1942" s="51"/>
      <c r="X1942" s="51"/>
      <c r="Y1942" s="47"/>
      <c r="Z1942" s="47"/>
      <c r="AA1942" s="47"/>
      <c r="AB1942" s="47"/>
      <c r="AC1942" s="47"/>
      <c r="AD1942" s="47"/>
      <c r="AE1942" s="54"/>
      <c r="AF1942" s="54"/>
      <c r="AG1942" s="55"/>
      <c r="AH1942" s="54"/>
      <c r="AI1942" s="54"/>
      <c r="AJ1942" s="54"/>
      <c r="AK1942" s="54"/>
      <c r="AL1942" s="54"/>
      <c r="AM1942" s="54"/>
      <c r="AN1942" s="54"/>
      <c r="AO1942" s="54"/>
      <c r="AP1942" s="54"/>
      <c r="AQ1942" s="54"/>
      <c r="AR1942" s="54"/>
      <c r="AS1942" s="54"/>
      <c r="AT1942" s="54"/>
      <c r="AU1942" s="54"/>
      <c r="AV1942" s="54"/>
      <c r="AW1942" s="54"/>
      <c r="AX1942" s="54"/>
      <c r="AY1942" s="54"/>
      <c r="AZ1942" s="54"/>
      <c r="BA1942" s="54"/>
      <c r="BB1942" s="54"/>
      <c r="BC1942" s="56"/>
      <c r="BD1942" s="51"/>
      <c r="BE1942" s="54"/>
      <c r="BF1942" s="54"/>
      <c r="BG1942" s="47"/>
      <c r="BH1942" s="48"/>
      <c r="BI1942" s="48"/>
      <c r="BJ1942" s="48"/>
      <c r="BK1942" s="48"/>
      <c r="BL1942" s="48"/>
      <c r="BM1942" s="48"/>
      <c r="BN1942" s="48"/>
      <c r="BO1942" s="48"/>
      <c r="BP1942" s="48"/>
      <c r="BQ1942" s="48"/>
      <c r="BR1942" s="48"/>
      <c r="BS1942" s="48"/>
      <c r="BT1942" s="48"/>
      <c r="BU1942" s="48"/>
      <c r="BV1942" s="48"/>
      <c r="BW1942" s="48"/>
      <c r="BX1942" s="48"/>
      <c r="BY1942" s="48"/>
      <c r="BZ1942" s="48"/>
      <c r="CA1942" s="48"/>
      <c r="CB1942" s="48"/>
      <c r="CC1942" s="48"/>
      <c r="CD1942" s="48"/>
      <c r="CE1942" s="48"/>
      <c r="CF1942" s="52"/>
      <c r="CG1942" s="52"/>
      <c r="CH1942" s="48"/>
      <c r="CI1942" s="48"/>
      <c r="CJ1942" s="48"/>
      <c r="CK1942" s="48"/>
    </row>
    <row r="1943" spans="1:89" ht="15.75" customHeight="1" x14ac:dyDescent="0.3">
      <c r="A1943" s="47"/>
      <c r="B1943" s="48"/>
      <c r="C1943" s="47"/>
      <c r="D1943" s="48"/>
      <c r="E1943" s="48"/>
      <c r="F1943" s="48"/>
      <c r="G1943" s="48"/>
      <c r="H1943" s="48"/>
      <c r="I1943" s="49"/>
      <c r="J1943" s="47"/>
      <c r="K1943" s="47"/>
      <c r="L1943" s="47"/>
      <c r="M1943" s="47"/>
      <c r="N1943" s="47"/>
      <c r="O1943" s="47"/>
      <c r="P1943" s="47"/>
      <c r="Q1943" s="47"/>
      <c r="R1943" s="47"/>
      <c r="S1943" s="50"/>
      <c r="T1943" s="47"/>
      <c r="U1943" s="47"/>
      <c r="V1943" s="47"/>
      <c r="W1943" s="51"/>
      <c r="X1943" s="51"/>
      <c r="Y1943" s="47"/>
      <c r="Z1943" s="47"/>
      <c r="AA1943" s="47"/>
      <c r="AB1943" s="47"/>
      <c r="AC1943" s="47"/>
      <c r="AD1943" s="47"/>
      <c r="AE1943" s="54"/>
      <c r="AF1943" s="54"/>
      <c r="AG1943" s="55"/>
      <c r="AH1943" s="54"/>
      <c r="AI1943" s="54"/>
      <c r="AJ1943" s="54"/>
      <c r="AK1943" s="54"/>
      <c r="AL1943" s="54"/>
      <c r="AM1943" s="54"/>
      <c r="AN1943" s="54"/>
      <c r="AO1943" s="54"/>
      <c r="AP1943" s="54"/>
      <c r="AQ1943" s="54"/>
      <c r="AR1943" s="54"/>
      <c r="AS1943" s="54"/>
      <c r="AT1943" s="54"/>
      <c r="AU1943" s="54"/>
      <c r="AV1943" s="54"/>
      <c r="AW1943" s="54"/>
      <c r="AX1943" s="54"/>
      <c r="AY1943" s="54"/>
      <c r="AZ1943" s="54"/>
      <c r="BA1943" s="54"/>
      <c r="BB1943" s="54"/>
      <c r="BC1943" s="56"/>
      <c r="BD1943" s="51"/>
      <c r="BE1943" s="54"/>
      <c r="BF1943" s="54"/>
      <c r="BG1943" s="47"/>
      <c r="BH1943" s="48"/>
      <c r="BI1943" s="48"/>
      <c r="BJ1943" s="48"/>
      <c r="BK1943" s="48"/>
      <c r="BL1943" s="48"/>
      <c r="BM1943" s="48"/>
      <c r="BN1943" s="48"/>
      <c r="BO1943" s="48"/>
      <c r="BP1943" s="48"/>
      <c r="BQ1943" s="48"/>
      <c r="BR1943" s="48"/>
      <c r="BS1943" s="48"/>
      <c r="BT1943" s="48"/>
      <c r="BU1943" s="48"/>
      <c r="BV1943" s="48"/>
      <c r="BW1943" s="48"/>
      <c r="BX1943" s="48"/>
      <c r="BY1943" s="48"/>
      <c r="BZ1943" s="48"/>
      <c r="CA1943" s="48"/>
      <c r="CB1943" s="48"/>
      <c r="CC1943" s="48"/>
      <c r="CD1943" s="48"/>
      <c r="CE1943" s="48"/>
      <c r="CF1943" s="52"/>
      <c r="CG1943" s="52"/>
      <c r="CH1943" s="48"/>
      <c r="CI1943" s="48"/>
      <c r="CJ1943" s="48"/>
      <c r="CK1943" s="48"/>
    </row>
    <row r="1944" spans="1:89" ht="15.75" customHeight="1" x14ac:dyDescent="0.3">
      <c r="A1944" s="47"/>
      <c r="B1944" s="48"/>
      <c r="C1944" s="47"/>
      <c r="D1944" s="48"/>
      <c r="E1944" s="48"/>
      <c r="F1944" s="48"/>
      <c r="G1944" s="48"/>
      <c r="H1944" s="48"/>
      <c r="I1944" s="49"/>
      <c r="J1944" s="47"/>
      <c r="K1944" s="47"/>
      <c r="L1944" s="47"/>
      <c r="M1944" s="47"/>
      <c r="N1944" s="47"/>
      <c r="O1944" s="47"/>
      <c r="P1944" s="47"/>
      <c r="Q1944" s="47"/>
      <c r="R1944" s="47"/>
      <c r="S1944" s="50"/>
      <c r="T1944" s="47"/>
      <c r="U1944" s="47"/>
      <c r="V1944" s="47"/>
      <c r="W1944" s="51"/>
      <c r="X1944" s="51"/>
      <c r="Y1944" s="47"/>
      <c r="Z1944" s="47"/>
      <c r="AA1944" s="47"/>
      <c r="AB1944" s="47"/>
      <c r="AC1944" s="47"/>
      <c r="AD1944" s="47"/>
      <c r="AE1944" s="54"/>
      <c r="AF1944" s="54"/>
      <c r="AG1944" s="55"/>
      <c r="AH1944" s="54"/>
      <c r="AI1944" s="54"/>
      <c r="AJ1944" s="54"/>
      <c r="AK1944" s="54"/>
      <c r="AL1944" s="54"/>
      <c r="AM1944" s="54"/>
      <c r="AN1944" s="54"/>
      <c r="AO1944" s="54"/>
      <c r="AP1944" s="54"/>
      <c r="AQ1944" s="54"/>
      <c r="AR1944" s="54"/>
      <c r="AS1944" s="54"/>
      <c r="AT1944" s="54"/>
      <c r="AU1944" s="54"/>
      <c r="AV1944" s="54"/>
      <c r="AW1944" s="54"/>
      <c r="AX1944" s="54"/>
      <c r="AY1944" s="54"/>
      <c r="AZ1944" s="54"/>
      <c r="BA1944" s="54"/>
      <c r="BB1944" s="54"/>
      <c r="BC1944" s="56"/>
      <c r="BD1944" s="51"/>
      <c r="BE1944" s="54"/>
      <c r="BF1944" s="54"/>
      <c r="BG1944" s="47"/>
      <c r="BH1944" s="48"/>
      <c r="BI1944" s="48"/>
      <c r="BJ1944" s="48"/>
      <c r="BK1944" s="48"/>
      <c r="BL1944" s="48"/>
      <c r="BM1944" s="48"/>
      <c r="BN1944" s="48"/>
      <c r="BO1944" s="48"/>
      <c r="BP1944" s="48"/>
      <c r="BQ1944" s="48"/>
      <c r="BR1944" s="48"/>
      <c r="BS1944" s="48"/>
      <c r="BT1944" s="48"/>
      <c r="BU1944" s="48"/>
      <c r="BV1944" s="48"/>
      <c r="BW1944" s="48"/>
      <c r="BX1944" s="48"/>
      <c r="BY1944" s="48"/>
      <c r="BZ1944" s="48"/>
      <c r="CA1944" s="48"/>
      <c r="CB1944" s="48"/>
      <c r="CC1944" s="48"/>
      <c r="CD1944" s="48"/>
      <c r="CE1944" s="48"/>
      <c r="CF1944" s="52"/>
      <c r="CG1944" s="52"/>
      <c r="CH1944" s="48"/>
      <c r="CI1944" s="48"/>
      <c r="CJ1944" s="48"/>
      <c r="CK1944" s="48"/>
    </row>
    <row r="1945" spans="1:89" ht="15.75" customHeight="1" x14ac:dyDescent="0.3">
      <c r="A1945" s="47"/>
      <c r="B1945" s="48"/>
      <c r="C1945" s="47"/>
      <c r="D1945" s="48"/>
      <c r="E1945" s="48"/>
      <c r="F1945" s="48"/>
      <c r="G1945" s="48"/>
      <c r="H1945" s="48"/>
      <c r="I1945" s="49"/>
      <c r="J1945" s="47"/>
      <c r="K1945" s="47"/>
      <c r="L1945" s="47"/>
      <c r="M1945" s="47"/>
      <c r="N1945" s="47"/>
      <c r="O1945" s="47"/>
      <c r="P1945" s="47"/>
      <c r="Q1945" s="47"/>
      <c r="R1945" s="47"/>
      <c r="S1945" s="50"/>
      <c r="T1945" s="47"/>
      <c r="U1945" s="47"/>
      <c r="V1945" s="47"/>
      <c r="W1945" s="51"/>
      <c r="X1945" s="51"/>
      <c r="Y1945" s="47"/>
      <c r="Z1945" s="47"/>
      <c r="AA1945" s="47"/>
      <c r="AB1945" s="47"/>
      <c r="AC1945" s="47"/>
      <c r="AD1945" s="47"/>
      <c r="AE1945" s="54"/>
      <c r="AF1945" s="54"/>
      <c r="AG1945" s="55"/>
      <c r="AH1945" s="54"/>
      <c r="AI1945" s="54"/>
      <c r="AJ1945" s="54"/>
      <c r="AK1945" s="54"/>
      <c r="AL1945" s="54"/>
      <c r="AM1945" s="54"/>
      <c r="AN1945" s="54"/>
      <c r="AO1945" s="54"/>
      <c r="AP1945" s="54"/>
      <c r="AQ1945" s="54"/>
      <c r="AR1945" s="54"/>
      <c r="AS1945" s="54"/>
      <c r="AT1945" s="54"/>
      <c r="AU1945" s="54"/>
      <c r="AV1945" s="54"/>
      <c r="AW1945" s="54"/>
      <c r="AX1945" s="54"/>
      <c r="AY1945" s="54"/>
      <c r="AZ1945" s="54"/>
      <c r="BA1945" s="54"/>
      <c r="BB1945" s="54"/>
      <c r="BC1945" s="56"/>
      <c r="BD1945" s="51"/>
      <c r="BE1945" s="54"/>
      <c r="BF1945" s="54"/>
      <c r="BG1945" s="47"/>
      <c r="BH1945" s="48"/>
      <c r="BI1945" s="48"/>
      <c r="BJ1945" s="48"/>
      <c r="BK1945" s="48"/>
      <c r="BL1945" s="48"/>
      <c r="BM1945" s="48"/>
      <c r="BN1945" s="48"/>
      <c r="BO1945" s="48"/>
      <c r="BP1945" s="48"/>
      <c r="BQ1945" s="48"/>
      <c r="BR1945" s="48"/>
      <c r="BS1945" s="48"/>
      <c r="BT1945" s="48"/>
      <c r="BU1945" s="48"/>
      <c r="BV1945" s="48"/>
      <c r="BW1945" s="48"/>
      <c r="BX1945" s="48"/>
      <c r="BY1945" s="48"/>
      <c r="BZ1945" s="48"/>
      <c r="CA1945" s="48"/>
      <c r="CB1945" s="48"/>
      <c r="CC1945" s="48"/>
      <c r="CD1945" s="48"/>
      <c r="CE1945" s="48"/>
      <c r="CF1945" s="52"/>
      <c r="CG1945" s="52"/>
      <c r="CH1945" s="48"/>
      <c r="CI1945" s="48"/>
      <c r="CJ1945" s="48"/>
      <c r="CK1945" s="48"/>
    </row>
    <row r="1946" spans="1:89" ht="15.75" customHeight="1" x14ac:dyDescent="0.3">
      <c r="A1946" s="47"/>
      <c r="B1946" s="48"/>
      <c r="C1946" s="47"/>
      <c r="D1946" s="48"/>
      <c r="E1946" s="48"/>
      <c r="F1946" s="48"/>
      <c r="G1946" s="48"/>
      <c r="H1946" s="48"/>
      <c r="I1946" s="49"/>
      <c r="J1946" s="47"/>
      <c r="K1946" s="47"/>
      <c r="L1946" s="47"/>
      <c r="M1946" s="47"/>
      <c r="N1946" s="47"/>
      <c r="O1946" s="47"/>
      <c r="P1946" s="47"/>
      <c r="Q1946" s="47"/>
      <c r="R1946" s="47"/>
      <c r="S1946" s="50"/>
      <c r="T1946" s="47"/>
      <c r="U1946" s="47"/>
      <c r="V1946" s="47"/>
      <c r="W1946" s="51"/>
      <c r="X1946" s="51"/>
      <c r="Y1946" s="47"/>
      <c r="Z1946" s="47"/>
      <c r="AA1946" s="47"/>
      <c r="AB1946" s="47"/>
      <c r="AC1946" s="47"/>
      <c r="AD1946" s="47"/>
      <c r="AE1946" s="54"/>
      <c r="AF1946" s="54"/>
      <c r="AG1946" s="55"/>
      <c r="AH1946" s="54"/>
      <c r="AI1946" s="54"/>
      <c r="AJ1946" s="54"/>
      <c r="AK1946" s="54"/>
      <c r="AL1946" s="54"/>
      <c r="AM1946" s="54"/>
      <c r="AN1946" s="54"/>
      <c r="AO1946" s="54"/>
      <c r="AP1946" s="54"/>
      <c r="AQ1946" s="54"/>
      <c r="AR1946" s="54"/>
      <c r="AS1946" s="54"/>
      <c r="AT1946" s="54"/>
      <c r="AU1946" s="54"/>
      <c r="AV1946" s="54"/>
      <c r="AW1946" s="54"/>
      <c r="AX1946" s="54"/>
      <c r="AY1946" s="54"/>
      <c r="AZ1946" s="54"/>
      <c r="BA1946" s="54"/>
      <c r="BB1946" s="54"/>
      <c r="BC1946" s="56"/>
      <c r="BD1946" s="51"/>
      <c r="BE1946" s="54"/>
      <c r="BF1946" s="54"/>
      <c r="BG1946" s="47"/>
      <c r="BH1946" s="48"/>
      <c r="BI1946" s="48"/>
      <c r="BJ1946" s="48"/>
      <c r="BK1946" s="48"/>
      <c r="BL1946" s="48"/>
      <c r="BM1946" s="48"/>
      <c r="BN1946" s="48"/>
      <c r="BO1946" s="48"/>
      <c r="BP1946" s="48"/>
      <c r="BQ1946" s="48"/>
      <c r="BR1946" s="48"/>
      <c r="BS1946" s="48"/>
      <c r="BT1946" s="48"/>
      <c r="BU1946" s="48"/>
      <c r="BV1946" s="48"/>
      <c r="BW1946" s="48"/>
      <c r="BX1946" s="48"/>
      <c r="BY1946" s="48"/>
      <c r="BZ1946" s="48"/>
      <c r="CA1946" s="48"/>
      <c r="CB1946" s="48"/>
      <c r="CC1946" s="48"/>
      <c r="CD1946" s="48"/>
      <c r="CE1946" s="48"/>
      <c r="CF1946" s="52"/>
      <c r="CG1946" s="52"/>
      <c r="CH1946" s="48"/>
      <c r="CI1946" s="48"/>
      <c r="CJ1946" s="48"/>
      <c r="CK1946" s="48"/>
    </row>
    <row r="1947" spans="1:89" ht="15.75" customHeight="1" x14ac:dyDescent="0.3">
      <c r="A1947" s="47"/>
      <c r="B1947" s="48"/>
      <c r="C1947" s="47"/>
      <c r="D1947" s="48"/>
      <c r="E1947" s="48"/>
      <c r="F1947" s="48"/>
      <c r="G1947" s="48"/>
      <c r="H1947" s="48"/>
      <c r="I1947" s="49"/>
      <c r="J1947" s="47"/>
      <c r="K1947" s="47"/>
      <c r="L1947" s="47"/>
      <c r="M1947" s="47"/>
      <c r="N1947" s="47"/>
      <c r="O1947" s="47"/>
      <c r="P1947" s="47"/>
      <c r="Q1947" s="47"/>
      <c r="R1947" s="47"/>
      <c r="S1947" s="50"/>
      <c r="T1947" s="47"/>
      <c r="U1947" s="47"/>
      <c r="V1947" s="47"/>
      <c r="W1947" s="51"/>
      <c r="X1947" s="51"/>
      <c r="Y1947" s="47"/>
      <c r="Z1947" s="47"/>
      <c r="AA1947" s="47"/>
      <c r="AB1947" s="47"/>
      <c r="AC1947" s="47"/>
      <c r="AD1947" s="47"/>
      <c r="AE1947" s="54"/>
      <c r="AF1947" s="54"/>
      <c r="AG1947" s="55"/>
      <c r="AH1947" s="54"/>
      <c r="AI1947" s="54"/>
      <c r="AJ1947" s="54"/>
      <c r="AK1947" s="54"/>
      <c r="AL1947" s="54"/>
      <c r="AM1947" s="54"/>
      <c r="AN1947" s="54"/>
      <c r="AO1947" s="54"/>
      <c r="AP1947" s="54"/>
      <c r="AQ1947" s="54"/>
      <c r="AR1947" s="54"/>
      <c r="AS1947" s="54"/>
      <c r="AT1947" s="54"/>
      <c r="AU1947" s="54"/>
      <c r="AV1947" s="54"/>
      <c r="AW1947" s="54"/>
      <c r="AX1947" s="54"/>
      <c r="AY1947" s="54"/>
      <c r="AZ1947" s="54"/>
      <c r="BA1947" s="54"/>
      <c r="BB1947" s="54"/>
      <c r="BC1947" s="56"/>
      <c r="BD1947" s="51"/>
      <c r="BE1947" s="54"/>
      <c r="BF1947" s="54"/>
      <c r="BG1947" s="47"/>
      <c r="BH1947" s="48"/>
      <c r="BI1947" s="48"/>
      <c r="BJ1947" s="48"/>
      <c r="BK1947" s="48"/>
      <c r="BL1947" s="48"/>
      <c r="BM1947" s="48"/>
      <c r="BN1947" s="48"/>
      <c r="BO1947" s="48"/>
      <c r="BP1947" s="48"/>
      <c r="BQ1947" s="48"/>
      <c r="BR1947" s="48"/>
      <c r="BS1947" s="48"/>
      <c r="BT1947" s="48"/>
      <c r="BU1947" s="48"/>
      <c r="BV1947" s="48"/>
      <c r="BW1947" s="48"/>
      <c r="BX1947" s="48"/>
      <c r="BY1947" s="48"/>
      <c r="BZ1947" s="48"/>
      <c r="CA1947" s="48"/>
      <c r="CB1947" s="48"/>
      <c r="CC1947" s="48"/>
      <c r="CD1947" s="48"/>
      <c r="CE1947" s="48"/>
      <c r="CF1947" s="52"/>
      <c r="CG1947" s="52"/>
      <c r="CH1947" s="48"/>
      <c r="CI1947" s="48"/>
      <c r="CJ1947" s="48"/>
      <c r="CK1947" s="48"/>
    </row>
    <row r="1948" spans="1:89" ht="15.75" customHeight="1" x14ac:dyDescent="0.3">
      <c r="A1948" s="47"/>
      <c r="B1948" s="48"/>
      <c r="C1948" s="47"/>
      <c r="D1948" s="48"/>
      <c r="E1948" s="48"/>
      <c r="F1948" s="48"/>
      <c r="G1948" s="48"/>
      <c r="H1948" s="48"/>
      <c r="I1948" s="49"/>
      <c r="J1948" s="47"/>
      <c r="K1948" s="47"/>
      <c r="L1948" s="47"/>
      <c r="M1948" s="47"/>
      <c r="N1948" s="47"/>
      <c r="O1948" s="47"/>
      <c r="P1948" s="47"/>
      <c r="Q1948" s="47"/>
      <c r="R1948" s="47"/>
      <c r="S1948" s="50"/>
      <c r="T1948" s="47"/>
      <c r="U1948" s="47"/>
      <c r="V1948" s="47"/>
      <c r="W1948" s="51"/>
      <c r="X1948" s="51"/>
      <c r="Y1948" s="47"/>
      <c r="Z1948" s="47"/>
      <c r="AA1948" s="47"/>
      <c r="AB1948" s="47"/>
      <c r="AC1948" s="47"/>
      <c r="AD1948" s="47"/>
      <c r="AE1948" s="54"/>
      <c r="AF1948" s="54"/>
      <c r="AG1948" s="55"/>
      <c r="AH1948" s="54"/>
      <c r="AI1948" s="54"/>
      <c r="AJ1948" s="54"/>
      <c r="AK1948" s="54"/>
      <c r="AL1948" s="54"/>
      <c r="AM1948" s="54"/>
      <c r="AN1948" s="54"/>
      <c r="AO1948" s="54"/>
      <c r="AP1948" s="54"/>
      <c r="AQ1948" s="54"/>
      <c r="AR1948" s="54"/>
      <c r="AS1948" s="54"/>
      <c r="AT1948" s="54"/>
      <c r="AU1948" s="54"/>
      <c r="AV1948" s="54"/>
      <c r="AW1948" s="54"/>
      <c r="AX1948" s="54"/>
      <c r="AY1948" s="54"/>
      <c r="AZ1948" s="54"/>
      <c r="BA1948" s="54"/>
      <c r="BB1948" s="54"/>
      <c r="BC1948" s="56"/>
      <c r="BD1948" s="51"/>
      <c r="BE1948" s="54"/>
      <c r="BF1948" s="54"/>
      <c r="BG1948" s="47"/>
      <c r="BH1948" s="48"/>
      <c r="BI1948" s="48"/>
      <c r="BJ1948" s="48"/>
      <c r="BK1948" s="48"/>
      <c r="BL1948" s="48"/>
      <c r="BM1948" s="48"/>
      <c r="BN1948" s="48"/>
      <c r="BO1948" s="48"/>
      <c r="BP1948" s="48"/>
      <c r="BQ1948" s="48"/>
      <c r="BR1948" s="48"/>
      <c r="BS1948" s="48"/>
      <c r="BT1948" s="48"/>
      <c r="BU1948" s="48"/>
      <c r="BV1948" s="48"/>
      <c r="BW1948" s="48"/>
      <c r="BX1948" s="48"/>
      <c r="BY1948" s="48"/>
      <c r="BZ1948" s="48"/>
      <c r="CA1948" s="48"/>
      <c r="CB1948" s="48"/>
      <c r="CC1948" s="48"/>
      <c r="CD1948" s="48"/>
      <c r="CE1948" s="48"/>
      <c r="CF1948" s="52"/>
      <c r="CG1948" s="52"/>
      <c r="CH1948" s="48"/>
      <c r="CI1948" s="48"/>
      <c r="CJ1948" s="48"/>
      <c r="CK1948" s="48"/>
    </row>
    <row r="1949" spans="1:89" ht="15.75" customHeight="1" x14ac:dyDescent="0.3">
      <c r="A1949" s="47"/>
      <c r="B1949" s="48"/>
      <c r="C1949" s="47"/>
      <c r="D1949" s="48"/>
      <c r="E1949" s="48"/>
      <c r="F1949" s="48"/>
      <c r="G1949" s="48"/>
      <c r="H1949" s="48"/>
      <c r="I1949" s="49"/>
      <c r="J1949" s="47"/>
      <c r="K1949" s="47"/>
      <c r="L1949" s="47"/>
      <c r="M1949" s="47"/>
      <c r="N1949" s="47"/>
      <c r="O1949" s="47"/>
      <c r="P1949" s="47"/>
      <c r="Q1949" s="47"/>
      <c r="R1949" s="47"/>
      <c r="S1949" s="50"/>
      <c r="T1949" s="47"/>
      <c r="U1949" s="47"/>
      <c r="V1949" s="47"/>
      <c r="W1949" s="51"/>
      <c r="X1949" s="51"/>
      <c r="Y1949" s="47"/>
      <c r="Z1949" s="47"/>
      <c r="AA1949" s="47"/>
      <c r="AB1949" s="47"/>
      <c r="AC1949" s="47"/>
      <c r="AD1949" s="47"/>
      <c r="AE1949" s="54"/>
      <c r="AF1949" s="54"/>
      <c r="AG1949" s="55"/>
      <c r="AH1949" s="54"/>
      <c r="AI1949" s="54"/>
      <c r="AJ1949" s="54"/>
      <c r="AK1949" s="54"/>
      <c r="AL1949" s="54"/>
      <c r="AM1949" s="54"/>
      <c r="AN1949" s="54"/>
      <c r="AO1949" s="54"/>
      <c r="AP1949" s="54"/>
      <c r="AQ1949" s="54"/>
      <c r="AR1949" s="54"/>
      <c r="AS1949" s="54"/>
      <c r="AT1949" s="54"/>
      <c r="AU1949" s="54"/>
      <c r="AV1949" s="54"/>
      <c r="AW1949" s="54"/>
      <c r="AX1949" s="54"/>
      <c r="AY1949" s="54"/>
      <c r="AZ1949" s="54"/>
      <c r="BA1949" s="54"/>
      <c r="BB1949" s="54"/>
      <c r="BC1949" s="56"/>
      <c r="BD1949" s="51"/>
      <c r="BE1949" s="54"/>
      <c r="BF1949" s="54"/>
      <c r="BG1949" s="47"/>
      <c r="BH1949" s="48"/>
      <c r="BI1949" s="48"/>
      <c r="BJ1949" s="48"/>
      <c r="BK1949" s="48"/>
      <c r="BL1949" s="48"/>
      <c r="BM1949" s="48"/>
      <c r="BN1949" s="48"/>
      <c r="BO1949" s="48"/>
      <c r="BP1949" s="48"/>
      <c r="BQ1949" s="48"/>
      <c r="BR1949" s="48"/>
      <c r="BS1949" s="48"/>
      <c r="BT1949" s="48"/>
      <c r="BU1949" s="48"/>
      <c r="BV1949" s="48"/>
      <c r="BW1949" s="48"/>
      <c r="BX1949" s="48"/>
      <c r="BY1949" s="48"/>
      <c r="BZ1949" s="48"/>
      <c r="CA1949" s="48"/>
      <c r="CB1949" s="48"/>
      <c r="CC1949" s="48"/>
      <c r="CD1949" s="48"/>
      <c r="CE1949" s="48"/>
      <c r="CF1949" s="52"/>
      <c r="CG1949" s="52"/>
      <c r="CH1949" s="48"/>
      <c r="CI1949" s="48"/>
      <c r="CJ1949" s="48"/>
      <c r="CK1949" s="48"/>
    </row>
    <row r="1950" spans="1:89" ht="15.75" customHeight="1" x14ac:dyDescent="0.3">
      <c r="A1950" s="47"/>
      <c r="B1950" s="48"/>
      <c r="C1950" s="47"/>
      <c r="D1950" s="48"/>
      <c r="E1950" s="48"/>
      <c r="F1950" s="48"/>
      <c r="G1950" s="48"/>
      <c r="H1950" s="48"/>
      <c r="I1950" s="49"/>
      <c r="J1950" s="47"/>
      <c r="K1950" s="47"/>
      <c r="L1950" s="47"/>
      <c r="M1950" s="47"/>
      <c r="N1950" s="47"/>
      <c r="O1950" s="47"/>
      <c r="P1950" s="47"/>
      <c r="Q1950" s="47"/>
      <c r="R1950" s="47"/>
      <c r="S1950" s="50"/>
      <c r="T1950" s="47"/>
      <c r="U1950" s="47"/>
      <c r="V1950" s="47"/>
      <c r="W1950" s="51"/>
      <c r="X1950" s="51"/>
      <c r="Y1950" s="47"/>
      <c r="Z1950" s="47"/>
      <c r="AA1950" s="47"/>
      <c r="AB1950" s="47"/>
      <c r="AC1950" s="47"/>
      <c r="AD1950" s="47"/>
      <c r="AE1950" s="54"/>
      <c r="AF1950" s="54"/>
      <c r="AG1950" s="55"/>
      <c r="AH1950" s="54"/>
      <c r="AI1950" s="54"/>
      <c r="AJ1950" s="54"/>
      <c r="AK1950" s="54"/>
      <c r="AL1950" s="54"/>
      <c r="AM1950" s="54"/>
      <c r="AN1950" s="54"/>
      <c r="AO1950" s="54"/>
      <c r="AP1950" s="54"/>
      <c r="AQ1950" s="54"/>
      <c r="AR1950" s="54"/>
      <c r="AS1950" s="54"/>
      <c r="AT1950" s="54"/>
      <c r="AU1950" s="54"/>
      <c r="AV1950" s="54"/>
      <c r="AW1950" s="54"/>
      <c r="AX1950" s="54"/>
      <c r="AY1950" s="54"/>
      <c r="AZ1950" s="54"/>
      <c r="BA1950" s="54"/>
      <c r="BB1950" s="54"/>
      <c r="BC1950" s="56"/>
      <c r="BD1950" s="51"/>
      <c r="BE1950" s="54"/>
      <c r="BF1950" s="54"/>
      <c r="BG1950" s="47"/>
      <c r="BH1950" s="48"/>
      <c r="BI1950" s="48"/>
      <c r="BJ1950" s="48"/>
      <c r="BK1950" s="48"/>
      <c r="BL1950" s="48"/>
      <c r="BM1950" s="48"/>
      <c r="BN1950" s="48"/>
      <c r="BO1950" s="48"/>
      <c r="BP1950" s="48"/>
      <c r="BQ1950" s="48"/>
      <c r="BR1950" s="48"/>
      <c r="BS1950" s="48"/>
      <c r="BT1950" s="48"/>
      <c r="BU1950" s="48"/>
      <c r="BV1950" s="48"/>
      <c r="BW1950" s="48"/>
      <c r="BX1950" s="48"/>
      <c r="BY1950" s="48"/>
      <c r="BZ1950" s="48"/>
      <c r="CA1950" s="48"/>
      <c r="CB1950" s="48"/>
      <c r="CC1950" s="48"/>
      <c r="CD1950" s="48"/>
      <c r="CE1950" s="48"/>
      <c r="CF1950" s="52"/>
      <c r="CG1950" s="52"/>
      <c r="CH1950" s="48"/>
      <c r="CI1950" s="48"/>
      <c r="CJ1950" s="48"/>
      <c r="CK1950" s="48"/>
    </row>
    <row r="1951" spans="1:89" ht="15.75" customHeight="1" x14ac:dyDescent="0.3">
      <c r="A1951" s="47"/>
      <c r="B1951" s="48"/>
      <c r="C1951" s="47"/>
      <c r="D1951" s="48"/>
      <c r="E1951" s="48"/>
      <c r="F1951" s="48"/>
      <c r="G1951" s="48"/>
      <c r="H1951" s="48"/>
      <c r="I1951" s="49"/>
      <c r="J1951" s="47"/>
      <c r="K1951" s="47"/>
      <c r="L1951" s="47"/>
      <c r="M1951" s="47"/>
      <c r="N1951" s="47"/>
      <c r="O1951" s="47"/>
      <c r="P1951" s="47"/>
      <c r="Q1951" s="47"/>
      <c r="R1951" s="47"/>
      <c r="S1951" s="50"/>
      <c r="T1951" s="47"/>
      <c r="U1951" s="47"/>
      <c r="V1951" s="47"/>
      <c r="W1951" s="51"/>
      <c r="X1951" s="51"/>
      <c r="Y1951" s="47"/>
      <c r="Z1951" s="47"/>
      <c r="AA1951" s="47"/>
      <c r="AB1951" s="47"/>
      <c r="AC1951" s="47"/>
      <c r="AD1951" s="47"/>
      <c r="AE1951" s="54"/>
      <c r="AF1951" s="54"/>
      <c r="AG1951" s="55"/>
      <c r="AH1951" s="54"/>
      <c r="AI1951" s="54"/>
      <c r="AJ1951" s="54"/>
      <c r="AK1951" s="54"/>
      <c r="AL1951" s="54"/>
      <c r="AM1951" s="54"/>
      <c r="AN1951" s="54"/>
      <c r="AO1951" s="54"/>
      <c r="AP1951" s="54"/>
      <c r="AQ1951" s="54"/>
      <c r="AR1951" s="54"/>
      <c r="AS1951" s="54"/>
      <c r="AT1951" s="54"/>
      <c r="AU1951" s="54"/>
      <c r="AV1951" s="54"/>
      <c r="AW1951" s="54"/>
      <c r="AX1951" s="54"/>
      <c r="AY1951" s="54"/>
      <c r="AZ1951" s="54"/>
      <c r="BA1951" s="54"/>
      <c r="BB1951" s="54"/>
      <c r="BC1951" s="56"/>
      <c r="BD1951" s="51"/>
      <c r="BE1951" s="54"/>
      <c r="BF1951" s="54"/>
      <c r="BG1951" s="47"/>
      <c r="BH1951" s="48"/>
      <c r="BI1951" s="48"/>
      <c r="BJ1951" s="48"/>
      <c r="BK1951" s="48"/>
      <c r="BL1951" s="48"/>
      <c r="BM1951" s="48"/>
      <c r="BN1951" s="48"/>
      <c r="BO1951" s="48"/>
      <c r="BP1951" s="48"/>
      <c r="BQ1951" s="48"/>
      <c r="BR1951" s="48"/>
      <c r="BS1951" s="48"/>
      <c r="BT1951" s="48"/>
      <c r="BU1951" s="48"/>
      <c r="BV1951" s="48"/>
      <c r="BW1951" s="48"/>
      <c r="BX1951" s="48"/>
      <c r="BY1951" s="48"/>
      <c r="BZ1951" s="48"/>
      <c r="CA1951" s="48"/>
      <c r="CB1951" s="48"/>
      <c r="CC1951" s="48"/>
      <c r="CD1951" s="48"/>
      <c r="CE1951" s="48"/>
      <c r="CF1951" s="52"/>
      <c r="CG1951" s="52"/>
      <c r="CH1951" s="48"/>
      <c r="CI1951" s="48"/>
      <c r="CJ1951" s="48"/>
      <c r="CK1951" s="48"/>
    </row>
    <row r="1952" spans="1:89" ht="15.75" customHeight="1" x14ac:dyDescent="0.3">
      <c r="A1952" s="47"/>
      <c r="B1952" s="48"/>
      <c r="C1952" s="47"/>
      <c r="D1952" s="48"/>
      <c r="E1952" s="48"/>
      <c r="F1952" s="48"/>
      <c r="G1952" s="48"/>
      <c r="H1952" s="48"/>
      <c r="I1952" s="49"/>
      <c r="J1952" s="47"/>
      <c r="K1952" s="47"/>
      <c r="L1952" s="47"/>
      <c r="M1952" s="47"/>
      <c r="N1952" s="47"/>
      <c r="O1952" s="47"/>
      <c r="P1952" s="47"/>
      <c r="Q1952" s="47"/>
      <c r="R1952" s="47"/>
      <c r="S1952" s="50"/>
      <c r="T1952" s="47"/>
      <c r="U1952" s="47"/>
      <c r="V1952" s="47"/>
      <c r="W1952" s="51"/>
      <c r="X1952" s="51"/>
      <c r="Y1952" s="47"/>
      <c r="Z1952" s="47"/>
      <c r="AA1952" s="47"/>
      <c r="AB1952" s="47"/>
      <c r="AC1952" s="47"/>
      <c r="AD1952" s="47"/>
      <c r="AE1952" s="54"/>
      <c r="AF1952" s="54"/>
      <c r="AG1952" s="55"/>
      <c r="AH1952" s="54"/>
      <c r="AI1952" s="54"/>
      <c r="AJ1952" s="54"/>
      <c r="AK1952" s="54"/>
      <c r="AL1952" s="54"/>
      <c r="AM1952" s="54"/>
      <c r="AN1952" s="54"/>
      <c r="AO1952" s="54"/>
      <c r="AP1952" s="54"/>
      <c r="AQ1952" s="54"/>
      <c r="AR1952" s="54"/>
      <c r="AS1952" s="54"/>
      <c r="AT1952" s="54"/>
      <c r="AU1952" s="54"/>
      <c r="AV1952" s="54"/>
      <c r="AW1952" s="54"/>
      <c r="AX1952" s="54"/>
      <c r="AY1952" s="54"/>
      <c r="AZ1952" s="54"/>
      <c r="BA1952" s="54"/>
      <c r="BB1952" s="54"/>
      <c r="BC1952" s="56"/>
      <c r="BD1952" s="51"/>
      <c r="BE1952" s="54"/>
      <c r="BF1952" s="54"/>
      <c r="BG1952" s="47"/>
      <c r="BH1952" s="48"/>
      <c r="BI1952" s="48"/>
      <c r="BJ1952" s="48"/>
      <c r="BK1952" s="48"/>
      <c r="BL1952" s="48"/>
      <c r="BM1952" s="48"/>
      <c r="BN1952" s="48"/>
      <c r="BO1952" s="48"/>
      <c r="BP1952" s="48"/>
      <c r="BQ1952" s="48"/>
      <c r="BR1952" s="48"/>
      <c r="BS1952" s="48"/>
      <c r="BT1952" s="48"/>
      <c r="BU1952" s="48"/>
      <c r="BV1952" s="48"/>
      <c r="BW1952" s="48"/>
      <c r="BX1952" s="48"/>
      <c r="BY1952" s="48"/>
      <c r="BZ1952" s="48"/>
      <c r="CA1952" s="48"/>
      <c r="CB1952" s="48"/>
      <c r="CC1952" s="48"/>
      <c r="CD1952" s="48"/>
      <c r="CE1952" s="48"/>
      <c r="CF1952" s="52"/>
      <c r="CG1952" s="52"/>
      <c r="CH1952" s="48"/>
      <c r="CI1952" s="48"/>
      <c r="CJ1952" s="48"/>
      <c r="CK1952" s="48"/>
    </row>
    <row r="1953" spans="1:89" ht="15.75" customHeight="1" x14ac:dyDescent="0.3">
      <c r="A1953" s="47"/>
      <c r="B1953" s="48"/>
      <c r="C1953" s="47"/>
      <c r="D1953" s="48"/>
      <c r="E1953" s="48"/>
      <c r="F1953" s="48"/>
      <c r="G1953" s="48"/>
      <c r="H1953" s="48"/>
      <c r="I1953" s="49"/>
      <c r="J1953" s="47"/>
      <c r="K1953" s="47"/>
      <c r="L1953" s="47"/>
      <c r="M1953" s="47"/>
      <c r="N1953" s="47"/>
      <c r="O1953" s="47"/>
      <c r="P1953" s="47"/>
      <c r="Q1953" s="47"/>
      <c r="R1953" s="47"/>
      <c r="S1953" s="50"/>
      <c r="T1953" s="47"/>
      <c r="U1953" s="47"/>
      <c r="V1953" s="47"/>
      <c r="W1953" s="51"/>
      <c r="X1953" s="51"/>
      <c r="Y1953" s="47"/>
      <c r="Z1953" s="47"/>
      <c r="AA1953" s="47"/>
      <c r="AB1953" s="47"/>
      <c r="AC1953" s="47"/>
      <c r="AD1953" s="47"/>
      <c r="AE1953" s="54"/>
      <c r="AF1953" s="54"/>
      <c r="AG1953" s="55"/>
      <c r="AH1953" s="54"/>
      <c r="AI1953" s="54"/>
      <c r="AJ1953" s="54"/>
      <c r="AK1953" s="54"/>
      <c r="AL1953" s="54"/>
      <c r="AM1953" s="54"/>
      <c r="AN1953" s="54"/>
      <c r="AO1953" s="54"/>
      <c r="AP1953" s="54"/>
      <c r="AQ1953" s="54"/>
      <c r="AR1953" s="54"/>
      <c r="AS1953" s="54"/>
      <c r="AT1953" s="54"/>
      <c r="AU1953" s="54"/>
      <c r="AV1953" s="54"/>
      <c r="AW1953" s="54"/>
      <c r="AX1953" s="54"/>
      <c r="AY1953" s="54"/>
      <c r="AZ1953" s="54"/>
      <c r="BA1953" s="54"/>
      <c r="BB1953" s="54"/>
      <c r="BC1953" s="56"/>
      <c r="BD1953" s="51"/>
      <c r="BE1953" s="54"/>
      <c r="BF1953" s="54"/>
      <c r="BG1953" s="47"/>
      <c r="BH1953" s="48"/>
      <c r="BI1953" s="48"/>
      <c r="BJ1953" s="48"/>
      <c r="BK1953" s="48"/>
      <c r="BL1953" s="48"/>
      <c r="BM1953" s="48"/>
      <c r="BN1953" s="48"/>
      <c r="BO1953" s="48"/>
      <c r="BP1953" s="48"/>
      <c r="BQ1953" s="48"/>
      <c r="BR1953" s="48"/>
      <c r="BS1953" s="48"/>
      <c r="BT1953" s="48"/>
      <c r="BU1953" s="48"/>
      <c r="BV1953" s="48"/>
      <c r="BW1953" s="48"/>
      <c r="BX1953" s="48"/>
      <c r="BY1953" s="48"/>
      <c r="BZ1953" s="48"/>
      <c r="CA1953" s="48"/>
      <c r="CB1953" s="48"/>
      <c r="CC1953" s="48"/>
      <c r="CD1953" s="48"/>
      <c r="CE1953" s="48"/>
      <c r="CF1953" s="52"/>
      <c r="CG1953" s="52"/>
      <c r="CH1953" s="48"/>
      <c r="CI1953" s="48"/>
      <c r="CJ1953" s="48"/>
      <c r="CK1953" s="48"/>
    </row>
    <row r="1954" spans="1:89" ht="15.75" customHeight="1" x14ac:dyDescent="0.3">
      <c r="A1954" s="47"/>
      <c r="B1954" s="48"/>
      <c r="C1954" s="47"/>
      <c r="D1954" s="48"/>
      <c r="E1954" s="48"/>
      <c r="F1954" s="48"/>
      <c r="G1954" s="48"/>
      <c r="H1954" s="48"/>
      <c r="I1954" s="49"/>
      <c r="J1954" s="47"/>
      <c r="K1954" s="47"/>
      <c r="L1954" s="47"/>
      <c r="M1954" s="47"/>
      <c r="N1954" s="47"/>
      <c r="O1954" s="47"/>
      <c r="P1954" s="47"/>
      <c r="Q1954" s="47"/>
      <c r="R1954" s="47"/>
      <c r="S1954" s="50"/>
      <c r="T1954" s="47"/>
      <c r="U1954" s="47"/>
      <c r="V1954" s="47"/>
      <c r="W1954" s="51"/>
      <c r="X1954" s="51"/>
      <c r="Y1954" s="47"/>
      <c r="Z1954" s="47"/>
      <c r="AA1954" s="47"/>
      <c r="AB1954" s="47"/>
      <c r="AC1954" s="47"/>
      <c r="AD1954" s="47"/>
      <c r="AE1954" s="54"/>
      <c r="AF1954" s="54"/>
      <c r="AG1954" s="55"/>
      <c r="AH1954" s="54"/>
      <c r="AI1954" s="54"/>
      <c r="AJ1954" s="54"/>
      <c r="AK1954" s="54"/>
      <c r="AL1954" s="54"/>
      <c r="AM1954" s="54"/>
      <c r="AN1954" s="54"/>
      <c r="AO1954" s="54"/>
      <c r="AP1954" s="54"/>
      <c r="AQ1954" s="54"/>
      <c r="AR1954" s="54"/>
      <c r="AS1954" s="54"/>
      <c r="AT1954" s="54"/>
      <c r="AU1954" s="54"/>
      <c r="AV1954" s="54"/>
      <c r="AW1954" s="54"/>
      <c r="AX1954" s="54"/>
      <c r="AY1954" s="54"/>
      <c r="AZ1954" s="54"/>
      <c r="BA1954" s="54"/>
      <c r="BB1954" s="54"/>
      <c r="BC1954" s="56"/>
      <c r="BD1954" s="51"/>
      <c r="BE1954" s="54"/>
      <c r="BF1954" s="54"/>
      <c r="BG1954" s="47"/>
      <c r="BH1954" s="48"/>
      <c r="BI1954" s="48"/>
      <c r="BJ1954" s="48"/>
      <c r="BK1954" s="48"/>
      <c r="BL1954" s="48"/>
      <c r="BM1954" s="48"/>
      <c r="BN1954" s="48"/>
      <c r="BO1954" s="48"/>
      <c r="BP1954" s="48"/>
      <c r="BQ1954" s="48"/>
      <c r="BR1954" s="48"/>
      <c r="BS1954" s="48"/>
      <c r="BT1954" s="48"/>
      <c r="BU1954" s="48"/>
      <c r="BV1954" s="48"/>
      <c r="BW1954" s="48"/>
      <c r="BX1954" s="48"/>
      <c r="BY1954" s="48"/>
      <c r="BZ1954" s="48"/>
      <c r="CA1954" s="48"/>
      <c r="CB1954" s="48"/>
      <c r="CC1954" s="48"/>
      <c r="CD1954" s="48"/>
      <c r="CE1954" s="48"/>
      <c r="CF1954" s="52"/>
      <c r="CG1954" s="52"/>
      <c r="CH1954" s="48"/>
      <c r="CI1954" s="48"/>
      <c r="CJ1954" s="48"/>
      <c r="CK1954" s="48"/>
    </row>
    <row r="1955" spans="1:89" ht="15.75" customHeight="1" x14ac:dyDescent="0.3">
      <c r="A1955" s="47"/>
      <c r="B1955" s="48"/>
      <c r="C1955" s="47"/>
      <c r="D1955" s="48"/>
      <c r="E1955" s="48"/>
      <c r="F1955" s="48"/>
      <c r="G1955" s="48"/>
      <c r="H1955" s="48"/>
      <c r="I1955" s="49"/>
      <c r="J1955" s="47"/>
      <c r="K1955" s="47"/>
      <c r="L1955" s="47"/>
      <c r="M1955" s="47"/>
      <c r="N1955" s="47"/>
      <c r="O1955" s="47"/>
      <c r="P1955" s="47"/>
      <c r="Q1955" s="47"/>
      <c r="R1955" s="47"/>
      <c r="S1955" s="50"/>
      <c r="T1955" s="47"/>
      <c r="U1955" s="47"/>
      <c r="V1955" s="47"/>
      <c r="W1955" s="51"/>
      <c r="X1955" s="51"/>
      <c r="Y1955" s="47"/>
      <c r="Z1955" s="47"/>
      <c r="AA1955" s="47"/>
      <c r="AB1955" s="47"/>
      <c r="AC1955" s="47"/>
      <c r="AD1955" s="47"/>
      <c r="AE1955" s="54"/>
      <c r="AF1955" s="54"/>
      <c r="AG1955" s="55"/>
      <c r="AH1955" s="54"/>
      <c r="AI1955" s="54"/>
      <c r="AJ1955" s="54"/>
      <c r="AK1955" s="54"/>
      <c r="AL1955" s="54"/>
      <c r="AM1955" s="54"/>
      <c r="AN1955" s="54"/>
      <c r="AO1955" s="54"/>
      <c r="AP1955" s="54"/>
      <c r="AQ1955" s="54"/>
      <c r="AR1955" s="54"/>
      <c r="AS1955" s="54"/>
      <c r="AT1955" s="54"/>
      <c r="AU1955" s="54"/>
      <c r="AV1955" s="54"/>
      <c r="AW1955" s="54"/>
      <c r="AX1955" s="54"/>
      <c r="AY1955" s="54"/>
      <c r="AZ1955" s="54"/>
      <c r="BA1955" s="54"/>
      <c r="BB1955" s="54"/>
      <c r="BC1955" s="56"/>
      <c r="BD1955" s="51"/>
      <c r="BE1955" s="54"/>
      <c r="BF1955" s="54"/>
      <c r="BG1955" s="47"/>
      <c r="BH1955" s="48"/>
      <c r="BI1955" s="48"/>
      <c r="BJ1955" s="48"/>
      <c r="BK1955" s="48"/>
      <c r="BL1955" s="48"/>
      <c r="BM1955" s="48"/>
      <c r="BN1955" s="48"/>
      <c r="BO1955" s="48"/>
      <c r="BP1955" s="48"/>
      <c r="BQ1955" s="48"/>
      <c r="BR1955" s="48"/>
      <c r="BS1955" s="48"/>
      <c r="BT1955" s="48"/>
      <c r="BU1955" s="48"/>
      <c r="BV1955" s="48"/>
      <c r="BW1955" s="48"/>
      <c r="BX1955" s="48"/>
      <c r="BY1955" s="48"/>
      <c r="BZ1955" s="48"/>
      <c r="CA1955" s="48"/>
      <c r="CB1955" s="48"/>
      <c r="CC1955" s="48"/>
      <c r="CD1955" s="48"/>
      <c r="CE1955" s="48"/>
      <c r="CF1955" s="52"/>
      <c r="CG1955" s="52"/>
      <c r="CH1955" s="48"/>
      <c r="CI1955" s="48"/>
      <c r="CJ1955" s="48"/>
      <c r="CK1955" s="48"/>
    </row>
    <row r="1956" spans="1:89" ht="15.75" customHeight="1" x14ac:dyDescent="0.3">
      <c r="A1956" s="47"/>
      <c r="B1956" s="48"/>
      <c r="C1956" s="47"/>
      <c r="D1956" s="48"/>
      <c r="E1956" s="48"/>
      <c r="F1956" s="48"/>
      <c r="G1956" s="48"/>
      <c r="H1956" s="48"/>
      <c r="I1956" s="49"/>
      <c r="J1956" s="47"/>
      <c r="K1956" s="47"/>
      <c r="L1956" s="47"/>
      <c r="M1956" s="47"/>
      <c r="N1956" s="47"/>
      <c r="O1956" s="47"/>
      <c r="P1956" s="47"/>
      <c r="Q1956" s="47"/>
      <c r="R1956" s="47"/>
      <c r="S1956" s="50"/>
      <c r="T1956" s="47"/>
      <c r="U1956" s="47"/>
      <c r="V1956" s="47"/>
      <c r="W1956" s="51"/>
      <c r="X1956" s="51"/>
      <c r="Y1956" s="47"/>
      <c r="Z1956" s="47"/>
      <c r="AA1956" s="47"/>
      <c r="AB1956" s="47"/>
      <c r="AC1956" s="47"/>
      <c r="AD1956" s="47"/>
      <c r="AE1956" s="54"/>
      <c r="AF1956" s="54"/>
      <c r="AG1956" s="55"/>
      <c r="AH1956" s="54"/>
      <c r="AI1956" s="54"/>
      <c r="AJ1956" s="54"/>
      <c r="AK1956" s="54"/>
      <c r="AL1956" s="54"/>
      <c r="AM1956" s="54"/>
      <c r="AN1956" s="54"/>
      <c r="AO1956" s="54"/>
      <c r="AP1956" s="54"/>
      <c r="AQ1956" s="54"/>
      <c r="AR1956" s="54"/>
      <c r="AS1956" s="54"/>
      <c r="AT1956" s="54"/>
      <c r="AU1956" s="54"/>
      <c r="AV1956" s="54"/>
      <c r="AW1956" s="54"/>
      <c r="AX1956" s="54"/>
      <c r="AY1956" s="54"/>
      <c r="AZ1956" s="54"/>
      <c r="BA1956" s="54"/>
      <c r="BB1956" s="54"/>
      <c r="BC1956" s="56"/>
      <c r="BD1956" s="51"/>
      <c r="BE1956" s="54"/>
      <c r="BF1956" s="54"/>
      <c r="BG1956" s="47"/>
      <c r="BH1956" s="48"/>
      <c r="BI1956" s="48"/>
      <c r="BJ1956" s="48"/>
      <c r="BK1956" s="48"/>
      <c r="BL1956" s="48"/>
      <c r="BM1956" s="48"/>
      <c r="BN1956" s="48"/>
      <c r="BO1956" s="48"/>
      <c r="BP1956" s="48"/>
      <c r="BQ1956" s="48"/>
      <c r="BR1956" s="48"/>
      <c r="BS1956" s="48"/>
      <c r="BT1956" s="48"/>
      <c r="BU1956" s="48"/>
      <c r="BV1956" s="48"/>
      <c r="BW1956" s="48"/>
      <c r="BX1956" s="48"/>
      <c r="BY1956" s="48"/>
      <c r="BZ1956" s="48"/>
      <c r="CA1956" s="48"/>
      <c r="CB1956" s="48"/>
      <c r="CC1956" s="48"/>
      <c r="CD1956" s="48"/>
      <c r="CE1956" s="48"/>
      <c r="CF1956" s="52"/>
      <c r="CG1956" s="52"/>
      <c r="CH1956" s="48"/>
      <c r="CI1956" s="48"/>
      <c r="CJ1956" s="48"/>
      <c r="CK1956" s="48"/>
    </row>
    <row r="1957" spans="1:89" ht="15.75" customHeight="1" x14ac:dyDescent="0.3">
      <c r="A1957" s="47"/>
      <c r="B1957" s="48"/>
      <c r="C1957" s="47"/>
      <c r="D1957" s="48"/>
      <c r="E1957" s="48"/>
      <c r="F1957" s="48"/>
      <c r="G1957" s="48"/>
      <c r="H1957" s="48"/>
      <c r="I1957" s="49"/>
      <c r="J1957" s="47"/>
      <c r="K1957" s="47"/>
      <c r="L1957" s="47"/>
      <c r="M1957" s="47"/>
      <c r="N1957" s="47"/>
      <c r="O1957" s="47"/>
      <c r="P1957" s="47"/>
      <c r="Q1957" s="47"/>
      <c r="R1957" s="47"/>
      <c r="S1957" s="50"/>
      <c r="T1957" s="47"/>
      <c r="U1957" s="47"/>
      <c r="V1957" s="47"/>
      <c r="W1957" s="51"/>
      <c r="X1957" s="51"/>
      <c r="Y1957" s="47"/>
      <c r="Z1957" s="47"/>
      <c r="AA1957" s="47"/>
      <c r="AB1957" s="47"/>
      <c r="AC1957" s="47"/>
      <c r="AD1957" s="47"/>
      <c r="AE1957" s="54"/>
      <c r="AF1957" s="54"/>
      <c r="AG1957" s="55"/>
      <c r="AH1957" s="54"/>
      <c r="AI1957" s="54"/>
      <c r="AJ1957" s="54"/>
      <c r="AK1957" s="54"/>
      <c r="AL1957" s="54"/>
      <c r="AM1957" s="54"/>
      <c r="AN1957" s="54"/>
      <c r="AO1957" s="54"/>
      <c r="AP1957" s="54"/>
      <c r="AQ1957" s="54"/>
      <c r="AR1957" s="54"/>
      <c r="AS1957" s="54"/>
      <c r="AT1957" s="54"/>
      <c r="AU1957" s="54"/>
      <c r="AV1957" s="54"/>
      <c r="AW1957" s="54"/>
      <c r="AX1957" s="54"/>
      <c r="AY1957" s="54"/>
      <c r="AZ1957" s="54"/>
      <c r="BA1957" s="54"/>
      <c r="BB1957" s="54"/>
      <c r="BC1957" s="56"/>
      <c r="BD1957" s="51"/>
      <c r="BE1957" s="54"/>
      <c r="BF1957" s="54"/>
      <c r="BG1957" s="47"/>
      <c r="BH1957" s="48"/>
      <c r="BI1957" s="48"/>
      <c r="BJ1957" s="48"/>
      <c r="BK1957" s="48"/>
      <c r="BL1957" s="48"/>
      <c r="BM1957" s="48"/>
      <c r="BN1957" s="48"/>
      <c r="BO1957" s="48"/>
      <c r="BP1957" s="48"/>
      <c r="BQ1957" s="48"/>
      <c r="BR1957" s="48"/>
      <c r="BS1957" s="48"/>
      <c r="BT1957" s="48"/>
      <c r="BU1957" s="48"/>
      <c r="BV1957" s="48"/>
      <c r="BW1957" s="48"/>
      <c r="BX1957" s="48"/>
      <c r="BY1957" s="48"/>
      <c r="BZ1957" s="48"/>
      <c r="CA1957" s="48"/>
      <c r="CB1957" s="48"/>
      <c r="CC1957" s="48"/>
      <c r="CD1957" s="48"/>
      <c r="CE1957" s="48"/>
      <c r="CF1957" s="52"/>
      <c r="CG1957" s="52"/>
      <c r="CH1957" s="48"/>
      <c r="CI1957" s="48"/>
      <c r="CJ1957" s="48"/>
      <c r="CK1957" s="48"/>
    </row>
    <row r="1958" spans="1:89" ht="15.75" customHeight="1" x14ac:dyDescent="0.3">
      <c r="A1958" s="47"/>
      <c r="B1958" s="48"/>
      <c r="C1958" s="47"/>
      <c r="D1958" s="48"/>
      <c r="E1958" s="48"/>
      <c r="F1958" s="48"/>
      <c r="G1958" s="48"/>
      <c r="H1958" s="48"/>
      <c r="I1958" s="49"/>
      <c r="J1958" s="47"/>
      <c r="K1958" s="47"/>
      <c r="L1958" s="47"/>
      <c r="M1958" s="47"/>
      <c r="N1958" s="47"/>
      <c r="O1958" s="47"/>
      <c r="P1958" s="47"/>
      <c r="Q1958" s="47"/>
      <c r="R1958" s="47"/>
      <c r="S1958" s="50"/>
      <c r="T1958" s="47"/>
      <c r="U1958" s="47"/>
      <c r="V1958" s="47"/>
      <c r="W1958" s="51"/>
      <c r="X1958" s="51"/>
      <c r="Y1958" s="47"/>
      <c r="Z1958" s="47"/>
      <c r="AA1958" s="47"/>
      <c r="AB1958" s="47"/>
      <c r="AC1958" s="47"/>
      <c r="AD1958" s="47"/>
      <c r="AE1958" s="54"/>
      <c r="AF1958" s="54"/>
      <c r="AG1958" s="55"/>
      <c r="AH1958" s="54"/>
      <c r="AI1958" s="54"/>
      <c r="AJ1958" s="54"/>
      <c r="AK1958" s="54"/>
      <c r="AL1958" s="54"/>
      <c r="AM1958" s="54"/>
      <c r="AN1958" s="54"/>
      <c r="AO1958" s="54"/>
      <c r="AP1958" s="54"/>
      <c r="AQ1958" s="54"/>
      <c r="AR1958" s="54"/>
      <c r="AS1958" s="54"/>
      <c r="AT1958" s="54"/>
      <c r="AU1958" s="54"/>
      <c r="AV1958" s="54"/>
      <c r="AW1958" s="54"/>
      <c r="AX1958" s="54"/>
      <c r="AY1958" s="54"/>
      <c r="AZ1958" s="54"/>
      <c r="BA1958" s="54"/>
      <c r="BB1958" s="54"/>
      <c r="BC1958" s="56"/>
      <c r="BD1958" s="51"/>
      <c r="BE1958" s="54"/>
      <c r="BF1958" s="54"/>
      <c r="BG1958" s="47"/>
      <c r="BH1958" s="48"/>
      <c r="BI1958" s="48"/>
      <c r="BJ1958" s="48"/>
      <c r="BK1958" s="48"/>
      <c r="BL1958" s="48"/>
      <c r="BM1958" s="48"/>
      <c r="BN1958" s="48"/>
      <c r="BO1958" s="48"/>
      <c r="BP1958" s="48"/>
      <c r="BQ1958" s="48"/>
      <c r="BR1958" s="48"/>
      <c r="BS1958" s="48"/>
      <c r="BT1958" s="48"/>
      <c r="BU1958" s="48"/>
      <c r="BV1958" s="48"/>
      <c r="BW1958" s="48"/>
      <c r="BX1958" s="48"/>
      <c r="BY1958" s="48"/>
      <c r="BZ1958" s="48"/>
      <c r="CA1958" s="48"/>
      <c r="CB1958" s="48"/>
      <c r="CC1958" s="48"/>
      <c r="CD1958" s="48"/>
      <c r="CE1958" s="48"/>
      <c r="CF1958" s="52"/>
      <c r="CG1958" s="52"/>
      <c r="CH1958" s="48"/>
      <c r="CI1958" s="48"/>
      <c r="CJ1958" s="48"/>
      <c r="CK1958" s="48"/>
    </row>
    <row r="1959" spans="1:89" ht="15.75" customHeight="1" x14ac:dyDescent="0.3">
      <c r="A1959" s="47"/>
      <c r="B1959" s="48"/>
      <c r="C1959" s="47"/>
      <c r="D1959" s="48"/>
      <c r="E1959" s="48"/>
      <c r="F1959" s="48"/>
      <c r="G1959" s="48"/>
      <c r="H1959" s="48"/>
      <c r="I1959" s="49"/>
      <c r="J1959" s="47"/>
      <c r="K1959" s="47"/>
      <c r="L1959" s="47"/>
      <c r="M1959" s="47"/>
      <c r="N1959" s="47"/>
      <c r="O1959" s="47"/>
      <c r="P1959" s="47"/>
      <c r="Q1959" s="47"/>
      <c r="R1959" s="47"/>
      <c r="S1959" s="50"/>
      <c r="T1959" s="47"/>
      <c r="U1959" s="47"/>
      <c r="V1959" s="47"/>
      <c r="W1959" s="51"/>
      <c r="X1959" s="51"/>
      <c r="Y1959" s="47"/>
      <c r="Z1959" s="47"/>
      <c r="AA1959" s="47"/>
      <c r="AB1959" s="47"/>
      <c r="AC1959" s="47"/>
      <c r="AD1959" s="47"/>
      <c r="AE1959" s="54"/>
      <c r="AF1959" s="54"/>
      <c r="AG1959" s="55"/>
      <c r="AH1959" s="54"/>
      <c r="AI1959" s="54"/>
      <c r="AJ1959" s="54"/>
      <c r="AK1959" s="54"/>
      <c r="AL1959" s="54"/>
      <c r="AM1959" s="54"/>
      <c r="AN1959" s="54"/>
      <c r="AO1959" s="54"/>
      <c r="AP1959" s="54"/>
      <c r="AQ1959" s="54"/>
      <c r="AR1959" s="54"/>
      <c r="AS1959" s="54"/>
      <c r="AT1959" s="54"/>
      <c r="AU1959" s="54"/>
      <c r="AV1959" s="54"/>
      <c r="AW1959" s="54"/>
      <c r="AX1959" s="54"/>
      <c r="AY1959" s="54"/>
      <c r="AZ1959" s="54"/>
      <c r="BA1959" s="54"/>
      <c r="BB1959" s="54"/>
      <c r="BC1959" s="56"/>
      <c r="BD1959" s="51"/>
      <c r="BE1959" s="54"/>
      <c r="BF1959" s="54"/>
      <c r="BG1959" s="47"/>
      <c r="BH1959" s="48"/>
      <c r="BI1959" s="48"/>
      <c r="BJ1959" s="48"/>
      <c r="BK1959" s="48"/>
      <c r="BL1959" s="48"/>
      <c r="BM1959" s="48"/>
      <c r="BN1959" s="48"/>
      <c r="BO1959" s="48"/>
      <c r="BP1959" s="48"/>
      <c r="BQ1959" s="48"/>
      <c r="BR1959" s="48"/>
      <c r="BS1959" s="48"/>
      <c r="BT1959" s="48"/>
      <c r="BU1959" s="48"/>
      <c r="BV1959" s="48"/>
      <c r="BW1959" s="48"/>
      <c r="BX1959" s="48"/>
      <c r="BY1959" s="48"/>
      <c r="BZ1959" s="48"/>
      <c r="CA1959" s="48"/>
      <c r="CB1959" s="48"/>
      <c r="CC1959" s="48"/>
      <c r="CD1959" s="48"/>
      <c r="CE1959" s="48"/>
      <c r="CF1959" s="52"/>
      <c r="CG1959" s="52"/>
      <c r="CH1959" s="48"/>
      <c r="CI1959" s="48"/>
      <c r="CJ1959" s="48"/>
      <c r="CK1959" s="48"/>
    </row>
    <row r="1960" spans="1:89" ht="15.75" customHeight="1" x14ac:dyDescent="0.3">
      <c r="A1960" s="47"/>
      <c r="B1960" s="48"/>
      <c r="C1960" s="47"/>
      <c r="D1960" s="48"/>
      <c r="E1960" s="48"/>
      <c r="F1960" s="48"/>
      <c r="G1960" s="48"/>
      <c r="H1960" s="48"/>
      <c r="I1960" s="49"/>
      <c r="J1960" s="47"/>
      <c r="K1960" s="47"/>
      <c r="L1960" s="47"/>
      <c r="M1960" s="47"/>
      <c r="N1960" s="47"/>
      <c r="O1960" s="47"/>
      <c r="P1960" s="47"/>
      <c r="Q1960" s="47"/>
      <c r="R1960" s="47"/>
      <c r="S1960" s="50"/>
      <c r="T1960" s="47"/>
      <c r="U1960" s="47"/>
      <c r="V1960" s="47"/>
      <c r="W1960" s="51"/>
      <c r="X1960" s="51"/>
      <c r="Y1960" s="47"/>
      <c r="Z1960" s="47"/>
      <c r="AA1960" s="47"/>
      <c r="AB1960" s="47"/>
      <c r="AC1960" s="47"/>
      <c r="AD1960" s="47"/>
      <c r="AE1960" s="54"/>
      <c r="AF1960" s="54"/>
      <c r="AG1960" s="55"/>
      <c r="AH1960" s="54"/>
      <c r="AI1960" s="54"/>
      <c r="AJ1960" s="54"/>
      <c r="AK1960" s="54"/>
      <c r="AL1960" s="54"/>
      <c r="AM1960" s="54"/>
      <c r="AN1960" s="54"/>
      <c r="AO1960" s="54"/>
      <c r="AP1960" s="54"/>
      <c r="AQ1960" s="54"/>
      <c r="AR1960" s="54"/>
      <c r="AS1960" s="54"/>
      <c r="AT1960" s="54"/>
      <c r="AU1960" s="54"/>
      <c r="AV1960" s="54"/>
      <c r="AW1960" s="54"/>
      <c r="AX1960" s="54"/>
      <c r="AY1960" s="54"/>
      <c r="AZ1960" s="54"/>
      <c r="BA1960" s="54"/>
      <c r="BB1960" s="54"/>
      <c r="BC1960" s="56"/>
      <c r="BD1960" s="51"/>
      <c r="BE1960" s="54"/>
      <c r="BF1960" s="54"/>
      <c r="BG1960" s="47"/>
      <c r="BH1960" s="48"/>
      <c r="BI1960" s="48"/>
      <c r="BJ1960" s="48"/>
      <c r="BK1960" s="48"/>
      <c r="BL1960" s="48"/>
      <c r="BM1960" s="48"/>
      <c r="BN1960" s="48"/>
      <c r="BO1960" s="48"/>
      <c r="BP1960" s="48"/>
      <c r="BQ1960" s="48"/>
      <c r="BR1960" s="48"/>
      <c r="BS1960" s="48"/>
      <c r="BT1960" s="48"/>
      <c r="BU1960" s="48"/>
      <c r="BV1960" s="48"/>
      <c r="BW1960" s="48"/>
      <c r="BX1960" s="48"/>
      <c r="BY1960" s="48"/>
      <c r="BZ1960" s="48"/>
      <c r="CA1960" s="48"/>
      <c r="CB1960" s="48"/>
      <c r="CC1960" s="48"/>
      <c r="CD1960" s="48"/>
      <c r="CE1960" s="48"/>
      <c r="CF1960" s="52"/>
      <c r="CG1960" s="52"/>
      <c r="CH1960" s="48"/>
      <c r="CI1960" s="48"/>
      <c r="CJ1960" s="48"/>
      <c r="CK1960" s="48"/>
    </row>
    <row r="1961" spans="1:89" ht="15.75" customHeight="1" x14ac:dyDescent="0.3">
      <c r="A1961" s="47"/>
      <c r="B1961" s="48"/>
      <c r="C1961" s="47"/>
      <c r="D1961" s="48"/>
      <c r="E1961" s="48"/>
      <c r="F1961" s="48"/>
      <c r="G1961" s="48"/>
      <c r="H1961" s="48"/>
      <c r="I1961" s="49"/>
      <c r="J1961" s="47"/>
      <c r="K1961" s="47"/>
      <c r="L1961" s="47"/>
      <c r="M1961" s="47"/>
      <c r="N1961" s="47"/>
      <c r="O1961" s="47"/>
      <c r="P1961" s="47"/>
      <c r="Q1961" s="47"/>
      <c r="R1961" s="47"/>
      <c r="S1961" s="50"/>
      <c r="T1961" s="47"/>
      <c r="U1961" s="47"/>
      <c r="V1961" s="47"/>
      <c r="W1961" s="51"/>
      <c r="X1961" s="51"/>
      <c r="Y1961" s="47"/>
      <c r="Z1961" s="47"/>
      <c r="AA1961" s="47"/>
      <c r="AB1961" s="47"/>
      <c r="AC1961" s="47"/>
      <c r="AD1961" s="47"/>
      <c r="AE1961" s="54"/>
      <c r="AF1961" s="54"/>
      <c r="AG1961" s="55"/>
      <c r="AH1961" s="54"/>
      <c r="AI1961" s="54"/>
      <c r="AJ1961" s="54"/>
      <c r="AK1961" s="54"/>
      <c r="AL1961" s="54"/>
      <c r="AM1961" s="54"/>
      <c r="AN1961" s="54"/>
      <c r="AO1961" s="54"/>
      <c r="AP1961" s="54"/>
      <c r="AQ1961" s="54"/>
      <c r="AR1961" s="54"/>
      <c r="AS1961" s="54"/>
      <c r="AT1961" s="54"/>
      <c r="AU1961" s="54"/>
      <c r="AV1961" s="54"/>
      <c r="AW1961" s="54"/>
      <c r="AX1961" s="54"/>
      <c r="AY1961" s="54"/>
      <c r="AZ1961" s="54"/>
      <c r="BA1961" s="54"/>
      <c r="BB1961" s="54"/>
      <c r="BC1961" s="56"/>
      <c r="BD1961" s="51"/>
      <c r="BE1961" s="54"/>
      <c r="BF1961" s="54"/>
      <c r="BG1961" s="47"/>
      <c r="BH1961" s="48"/>
      <c r="BI1961" s="48"/>
      <c r="BJ1961" s="48"/>
      <c r="BK1961" s="48"/>
      <c r="BL1961" s="48"/>
      <c r="BM1961" s="48"/>
      <c r="BN1961" s="48"/>
      <c r="BO1961" s="48"/>
      <c r="BP1961" s="48"/>
      <c r="BQ1961" s="48"/>
      <c r="BR1961" s="48"/>
      <c r="BS1961" s="48"/>
      <c r="BT1961" s="48"/>
      <c r="BU1961" s="48"/>
      <c r="BV1961" s="48"/>
      <c r="BW1961" s="48"/>
      <c r="BX1961" s="48"/>
      <c r="BY1961" s="48"/>
      <c r="BZ1961" s="48"/>
      <c r="CA1961" s="48"/>
      <c r="CB1961" s="48"/>
      <c r="CC1961" s="48"/>
      <c r="CD1961" s="48"/>
      <c r="CE1961" s="48"/>
      <c r="CF1961" s="52"/>
      <c r="CG1961" s="52"/>
      <c r="CH1961" s="48"/>
      <c r="CI1961" s="48"/>
      <c r="CJ1961" s="48"/>
      <c r="CK1961" s="48"/>
    </row>
    <row r="1962" spans="1:89" ht="15.75" customHeight="1" x14ac:dyDescent="0.3">
      <c r="A1962" s="47"/>
      <c r="B1962" s="48"/>
      <c r="C1962" s="47"/>
      <c r="D1962" s="48"/>
      <c r="E1962" s="48"/>
      <c r="F1962" s="48"/>
      <c r="G1962" s="48"/>
      <c r="H1962" s="48"/>
      <c r="I1962" s="49"/>
      <c r="J1962" s="47"/>
      <c r="K1962" s="47"/>
      <c r="L1962" s="47"/>
      <c r="M1962" s="47"/>
      <c r="N1962" s="47"/>
      <c r="O1962" s="47"/>
      <c r="P1962" s="47"/>
      <c r="Q1962" s="47"/>
      <c r="R1962" s="47"/>
      <c r="S1962" s="50"/>
      <c r="T1962" s="47"/>
      <c r="U1962" s="47"/>
      <c r="V1962" s="47"/>
      <c r="W1962" s="51"/>
      <c r="X1962" s="51"/>
      <c r="Y1962" s="47"/>
      <c r="Z1962" s="47"/>
      <c r="AA1962" s="47"/>
      <c r="AB1962" s="47"/>
      <c r="AC1962" s="47"/>
      <c r="AD1962" s="47"/>
      <c r="AE1962" s="54"/>
      <c r="AF1962" s="54"/>
      <c r="AG1962" s="55"/>
      <c r="AH1962" s="54"/>
      <c r="AI1962" s="54"/>
      <c r="AJ1962" s="54"/>
      <c r="AK1962" s="54"/>
      <c r="AL1962" s="54"/>
      <c r="AM1962" s="54"/>
      <c r="AN1962" s="54"/>
      <c r="AO1962" s="54"/>
      <c r="AP1962" s="54"/>
      <c r="AQ1962" s="54"/>
      <c r="AR1962" s="54"/>
      <c r="AS1962" s="54"/>
      <c r="AT1962" s="54"/>
      <c r="AU1962" s="54"/>
      <c r="AV1962" s="54"/>
      <c r="AW1962" s="54"/>
      <c r="AX1962" s="54"/>
      <c r="AY1962" s="54"/>
      <c r="AZ1962" s="54"/>
      <c r="BA1962" s="54"/>
      <c r="BB1962" s="54"/>
      <c r="BC1962" s="56"/>
      <c r="BD1962" s="51"/>
      <c r="BE1962" s="54"/>
      <c r="BF1962" s="54"/>
      <c r="BG1962" s="47"/>
      <c r="BH1962" s="48"/>
      <c r="BI1962" s="48"/>
      <c r="BJ1962" s="48"/>
      <c r="BK1962" s="48"/>
      <c r="BL1962" s="48"/>
      <c r="BM1962" s="48"/>
      <c r="BN1962" s="48"/>
      <c r="BO1962" s="48"/>
      <c r="BP1962" s="48"/>
      <c r="BQ1962" s="48"/>
      <c r="BR1962" s="48"/>
      <c r="BS1962" s="48"/>
      <c r="BT1962" s="48"/>
      <c r="BU1962" s="48"/>
      <c r="BV1962" s="48"/>
      <c r="BW1962" s="48"/>
      <c r="BX1962" s="48"/>
      <c r="BY1962" s="48"/>
      <c r="BZ1962" s="48"/>
      <c r="CA1962" s="48"/>
      <c r="CB1962" s="48"/>
      <c r="CC1962" s="48"/>
      <c r="CD1962" s="48"/>
      <c r="CE1962" s="48"/>
      <c r="CF1962" s="52"/>
      <c r="CG1962" s="52"/>
      <c r="CH1962" s="48"/>
      <c r="CI1962" s="48"/>
      <c r="CJ1962" s="48"/>
      <c r="CK1962" s="48"/>
    </row>
    <row r="1963" spans="1:89" ht="15.75" customHeight="1" x14ac:dyDescent="0.3">
      <c r="A1963" s="47"/>
      <c r="B1963" s="48"/>
      <c r="C1963" s="47"/>
      <c r="D1963" s="48"/>
      <c r="E1963" s="48"/>
      <c r="F1963" s="48"/>
      <c r="G1963" s="48"/>
      <c r="H1963" s="48"/>
      <c r="I1963" s="49"/>
      <c r="J1963" s="47"/>
      <c r="K1963" s="47"/>
      <c r="L1963" s="47"/>
      <c r="M1963" s="47"/>
      <c r="N1963" s="47"/>
      <c r="O1963" s="47"/>
      <c r="P1963" s="47"/>
      <c r="Q1963" s="47"/>
      <c r="R1963" s="47"/>
      <c r="S1963" s="50"/>
      <c r="T1963" s="47"/>
      <c r="U1963" s="47"/>
      <c r="V1963" s="47"/>
      <c r="W1963" s="51"/>
      <c r="X1963" s="51"/>
      <c r="Y1963" s="47"/>
      <c r="Z1963" s="47"/>
      <c r="AA1963" s="47"/>
      <c r="AB1963" s="47"/>
      <c r="AC1963" s="47"/>
      <c r="AD1963" s="47"/>
      <c r="AE1963" s="54"/>
      <c r="AF1963" s="54"/>
      <c r="AG1963" s="55"/>
      <c r="AH1963" s="54"/>
      <c r="AI1963" s="54"/>
      <c r="AJ1963" s="54"/>
      <c r="AK1963" s="54"/>
      <c r="AL1963" s="54"/>
      <c r="AM1963" s="54"/>
      <c r="AN1963" s="54"/>
      <c r="AO1963" s="54"/>
      <c r="AP1963" s="54"/>
      <c r="AQ1963" s="54"/>
      <c r="AR1963" s="54"/>
      <c r="AS1963" s="54"/>
      <c r="AT1963" s="54"/>
      <c r="AU1963" s="54"/>
      <c r="AV1963" s="54"/>
      <c r="AW1963" s="54"/>
      <c r="AX1963" s="54"/>
      <c r="AY1963" s="54"/>
      <c r="AZ1963" s="54"/>
      <c r="BA1963" s="54"/>
      <c r="BB1963" s="54"/>
      <c r="BC1963" s="56"/>
      <c r="BD1963" s="51"/>
      <c r="BE1963" s="54"/>
      <c r="BF1963" s="54"/>
      <c r="BG1963" s="47"/>
      <c r="BH1963" s="48"/>
      <c r="BI1963" s="48"/>
      <c r="BJ1963" s="48"/>
      <c r="BK1963" s="48"/>
      <c r="BL1963" s="48"/>
      <c r="BM1963" s="48"/>
      <c r="BN1963" s="48"/>
      <c r="BO1963" s="48"/>
      <c r="BP1963" s="48"/>
      <c r="BQ1963" s="48"/>
      <c r="BR1963" s="48"/>
      <c r="BS1963" s="48"/>
      <c r="BT1963" s="48"/>
      <c r="BU1963" s="48"/>
      <c r="BV1963" s="48"/>
      <c r="BW1963" s="48"/>
      <c r="BX1963" s="48"/>
      <c r="BY1963" s="48"/>
      <c r="BZ1963" s="48"/>
      <c r="CA1963" s="48"/>
      <c r="CB1963" s="48"/>
      <c r="CC1963" s="48"/>
      <c r="CD1963" s="48"/>
      <c r="CE1963" s="48"/>
      <c r="CF1963" s="52"/>
      <c r="CG1963" s="52"/>
      <c r="CH1963" s="48"/>
      <c r="CI1963" s="48"/>
      <c r="CJ1963" s="48"/>
      <c r="CK1963" s="48"/>
    </row>
    <row r="1964" spans="1:89" ht="15.75" customHeight="1" x14ac:dyDescent="0.3">
      <c r="A1964" s="47"/>
      <c r="B1964" s="48"/>
      <c r="C1964" s="47"/>
      <c r="D1964" s="48"/>
      <c r="E1964" s="48"/>
      <c r="F1964" s="48"/>
      <c r="G1964" s="48"/>
      <c r="H1964" s="48"/>
      <c r="I1964" s="49"/>
      <c r="J1964" s="47"/>
      <c r="K1964" s="47"/>
      <c r="L1964" s="47"/>
      <c r="M1964" s="47"/>
      <c r="N1964" s="47"/>
      <c r="O1964" s="47"/>
      <c r="P1964" s="47"/>
      <c r="Q1964" s="47"/>
      <c r="R1964" s="47"/>
      <c r="S1964" s="50"/>
      <c r="T1964" s="47"/>
      <c r="U1964" s="47"/>
      <c r="V1964" s="47"/>
      <c r="W1964" s="51"/>
      <c r="X1964" s="51"/>
      <c r="Y1964" s="47"/>
      <c r="Z1964" s="47"/>
      <c r="AA1964" s="47"/>
      <c r="AB1964" s="47"/>
      <c r="AC1964" s="47"/>
      <c r="AD1964" s="47"/>
      <c r="AE1964" s="54"/>
      <c r="AF1964" s="54"/>
      <c r="AG1964" s="55"/>
      <c r="AH1964" s="54"/>
      <c r="AI1964" s="54"/>
      <c r="AJ1964" s="54"/>
      <c r="AK1964" s="54"/>
      <c r="AL1964" s="54"/>
      <c r="AM1964" s="54"/>
      <c r="AN1964" s="54"/>
      <c r="AO1964" s="54"/>
      <c r="AP1964" s="54"/>
      <c r="AQ1964" s="54"/>
      <c r="AR1964" s="54"/>
      <c r="AS1964" s="54"/>
      <c r="AT1964" s="54"/>
      <c r="AU1964" s="54"/>
      <c r="AV1964" s="54"/>
      <c r="AW1964" s="54"/>
      <c r="AX1964" s="54"/>
      <c r="AY1964" s="54"/>
      <c r="AZ1964" s="54"/>
      <c r="BA1964" s="54"/>
      <c r="BB1964" s="54"/>
      <c r="BC1964" s="56"/>
      <c r="BD1964" s="51"/>
      <c r="BE1964" s="54"/>
      <c r="BF1964" s="54"/>
      <c r="BG1964" s="47"/>
      <c r="BH1964" s="48"/>
      <c r="BI1964" s="48"/>
      <c r="BJ1964" s="48"/>
      <c r="BK1964" s="48"/>
      <c r="BL1964" s="48"/>
      <c r="BM1964" s="48"/>
      <c r="BN1964" s="48"/>
      <c r="BO1964" s="48"/>
      <c r="BP1964" s="48"/>
      <c r="BQ1964" s="48"/>
      <c r="BR1964" s="48"/>
      <c r="BS1964" s="48"/>
      <c r="BT1964" s="48"/>
      <c r="BU1964" s="48"/>
      <c r="BV1964" s="48"/>
      <c r="BW1964" s="48"/>
      <c r="BX1964" s="48"/>
      <c r="BY1964" s="48"/>
      <c r="BZ1964" s="48"/>
      <c r="CA1964" s="48"/>
      <c r="CB1964" s="48"/>
      <c r="CC1964" s="48"/>
      <c r="CD1964" s="48"/>
      <c r="CE1964" s="48"/>
      <c r="CF1964" s="52"/>
      <c r="CG1964" s="52"/>
      <c r="CH1964" s="48"/>
      <c r="CI1964" s="48"/>
      <c r="CJ1964" s="48"/>
      <c r="CK1964" s="48"/>
    </row>
    <row r="1965" spans="1:89" ht="15.75" customHeight="1" x14ac:dyDescent="0.3">
      <c r="A1965" s="47"/>
      <c r="B1965" s="48"/>
      <c r="C1965" s="47"/>
      <c r="D1965" s="48"/>
      <c r="E1965" s="48"/>
      <c r="F1965" s="48"/>
      <c r="G1965" s="48"/>
      <c r="H1965" s="48"/>
      <c r="I1965" s="49"/>
      <c r="J1965" s="47"/>
      <c r="K1965" s="47"/>
      <c r="L1965" s="47"/>
      <c r="M1965" s="47"/>
      <c r="N1965" s="47"/>
      <c r="O1965" s="47"/>
      <c r="P1965" s="47"/>
      <c r="Q1965" s="47"/>
      <c r="R1965" s="47"/>
      <c r="S1965" s="50"/>
      <c r="T1965" s="47"/>
      <c r="U1965" s="47"/>
      <c r="V1965" s="47"/>
      <c r="W1965" s="51"/>
      <c r="X1965" s="51"/>
      <c r="Y1965" s="47"/>
      <c r="Z1965" s="47"/>
      <c r="AA1965" s="47"/>
      <c r="AB1965" s="47"/>
      <c r="AC1965" s="47"/>
      <c r="AD1965" s="47"/>
      <c r="AE1965" s="54"/>
      <c r="AF1965" s="54"/>
      <c r="AG1965" s="55"/>
      <c r="AH1965" s="54"/>
      <c r="AI1965" s="54"/>
      <c r="AJ1965" s="54"/>
      <c r="AK1965" s="54"/>
      <c r="AL1965" s="54"/>
      <c r="AM1965" s="54"/>
      <c r="AN1965" s="54"/>
      <c r="AO1965" s="54"/>
      <c r="AP1965" s="54"/>
      <c r="AQ1965" s="54"/>
      <c r="AR1965" s="54"/>
      <c r="AS1965" s="54"/>
      <c r="AT1965" s="54"/>
      <c r="AU1965" s="54"/>
      <c r="AV1965" s="54"/>
      <c r="AW1965" s="54"/>
      <c r="AX1965" s="54"/>
      <c r="AY1965" s="54"/>
      <c r="AZ1965" s="54"/>
      <c r="BA1965" s="54"/>
      <c r="BB1965" s="54"/>
      <c r="BC1965" s="56"/>
      <c r="BD1965" s="51"/>
      <c r="BE1965" s="54"/>
      <c r="BF1965" s="54"/>
      <c r="BG1965" s="47"/>
      <c r="BH1965" s="48"/>
      <c r="BI1965" s="48"/>
      <c r="BJ1965" s="48"/>
      <c r="BK1965" s="48"/>
      <c r="BL1965" s="48"/>
      <c r="BM1965" s="48"/>
      <c r="BN1965" s="48"/>
      <c r="BO1965" s="48"/>
      <c r="BP1965" s="48"/>
      <c r="BQ1965" s="48"/>
      <c r="BR1965" s="48"/>
      <c r="BS1965" s="48"/>
      <c r="BT1965" s="48"/>
      <c r="BU1965" s="48"/>
      <c r="BV1965" s="48"/>
      <c r="BW1965" s="48"/>
      <c r="BX1965" s="48"/>
      <c r="BY1965" s="48"/>
      <c r="BZ1965" s="48"/>
      <c r="CA1965" s="48"/>
      <c r="CB1965" s="48"/>
      <c r="CC1965" s="48"/>
      <c r="CD1965" s="48"/>
      <c r="CE1965" s="48"/>
      <c r="CF1965" s="52"/>
      <c r="CG1965" s="52"/>
      <c r="CH1965" s="48"/>
      <c r="CI1965" s="48"/>
      <c r="CJ1965" s="48"/>
      <c r="CK1965" s="48"/>
    </row>
    <row r="1966" spans="1:89" ht="15.75" customHeight="1" x14ac:dyDescent="0.3">
      <c r="A1966" s="47"/>
      <c r="B1966" s="48"/>
      <c r="C1966" s="47"/>
      <c r="D1966" s="48"/>
      <c r="E1966" s="48"/>
      <c r="F1966" s="48"/>
      <c r="G1966" s="48"/>
      <c r="H1966" s="48"/>
      <c r="I1966" s="49"/>
      <c r="J1966" s="47"/>
      <c r="K1966" s="47"/>
      <c r="L1966" s="47"/>
      <c r="M1966" s="47"/>
      <c r="N1966" s="47"/>
      <c r="O1966" s="47"/>
      <c r="P1966" s="47"/>
      <c r="Q1966" s="47"/>
      <c r="R1966" s="47"/>
      <c r="S1966" s="50"/>
      <c r="T1966" s="47"/>
      <c r="U1966" s="47"/>
      <c r="V1966" s="47"/>
      <c r="W1966" s="51"/>
      <c r="X1966" s="51"/>
      <c r="Y1966" s="47"/>
      <c r="Z1966" s="47"/>
      <c r="AA1966" s="47"/>
      <c r="AB1966" s="47"/>
      <c r="AC1966" s="47"/>
      <c r="AD1966" s="47"/>
      <c r="AE1966" s="54"/>
      <c r="AF1966" s="54"/>
      <c r="AG1966" s="55"/>
      <c r="AH1966" s="54"/>
      <c r="AI1966" s="54"/>
      <c r="AJ1966" s="54"/>
      <c r="AK1966" s="54"/>
      <c r="AL1966" s="54"/>
      <c r="AM1966" s="54"/>
      <c r="AN1966" s="54"/>
      <c r="AO1966" s="54"/>
      <c r="AP1966" s="54"/>
      <c r="AQ1966" s="54"/>
      <c r="AR1966" s="54"/>
      <c r="AS1966" s="54"/>
      <c r="AT1966" s="54"/>
      <c r="AU1966" s="54"/>
      <c r="AV1966" s="54"/>
      <c r="AW1966" s="54"/>
      <c r="AX1966" s="54"/>
      <c r="AY1966" s="54"/>
      <c r="AZ1966" s="54"/>
      <c r="BA1966" s="54"/>
      <c r="BB1966" s="54"/>
      <c r="BC1966" s="56"/>
      <c r="BD1966" s="51"/>
      <c r="BE1966" s="54"/>
      <c r="BF1966" s="54"/>
      <c r="BG1966" s="47"/>
      <c r="BH1966" s="48"/>
      <c r="BI1966" s="48"/>
      <c r="BJ1966" s="48"/>
      <c r="BK1966" s="48"/>
      <c r="BL1966" s="48"/>
      <c r="BM1966" s="48"/>
      <c r="BN1966" s="48"/>
      <c r="BO1966" s="48"/>
      <c r="BP1966" s="48"/>
      <c r="BQ1966" s="48"/>
      <c r="BR1966" s="48"/>
      <c r="BS1966" s="48"/>
      <c r="BT1966" s="48"/>
      <c r="BU1966" s="48"/>
      <c r="BV1966" s="48"/>
      <c r="BW1966" s="48"/>
      <c r="BX1966" s="48"/>
      <c r="BY1966" s="48"/>
      <c r="BZ1966" s="48"/>
      <c r="CA1966" s="48"/>
      <c r="CB1966" s="48"/>
      <c r="CC1966" s="48"/>
      <c r="CD1966" s="48"/>
      <c r="CE1966" s="48"/>
      <c r="CF1966" s="52"/>
      <c r="CG1966" s="52"/>
      <c r="CH1966" s="48"/>
      <c r="CI1966" s="48"/>
      <c r="CJ1966" s="48"/>
      <c r="CK1966" s="48"/>
    </row>
    <row r="1967" spans="1:89" ht="15.75" customHeight="1" x14ac:dyDescent="0.3">
      <c r="A1967" s="47"/>
      <c r="B1967" s="48"/>
      <c r="C1967" s="47"/>
      <c r="D1967" s="48"/>
      <c r="E1967" s="48"/>
      <c r="F1967" s="48"/>
      <c r="G1967" s="48"/>
      <c r="H1967" s="48"/>
      <c r="I1967" s="49"/>
      <c r="J1967" s="47"/>
      <c r="K1967" s="47"/>
      <c r="L1967" s="47"/>
      <c r="M1967" s="47"/>
      <c r="N1967" s="47"/>
      <c r="O1967" s="47"/>
      <c r="P1967" s="47"/>
      <c r="Q1967" s="47"/>
      <c r="R1967" s="47"/>
      <c r="S1967" s="50"/>
      <c r="T1967" s="47"/>
      <c r="U1967" s="47"/>
      <c r="V1967" s="47"/>
      <c r="W1967" s="51"/>
      <c r="X1967" s="51"/>
      <c r="Y1967" s="47"/>
      <c r="Z1967" s="47"/>
      <c r="AA1967" s="47"/>
      <c r="AB1967" s="47"/>
      <c r="AC1967" s="47"/>
      <c r="AD1967" s="47"/>
      <c r="AE1967" s="54"/>
      <c r="AF1967" s="54"/>
      <c r="AG1967" s="55"/>
      <c r="AH1967" s="54"/>
      <c r="AI1967" s="54"/>
      <c r="AJ1967" s="54"/>
      <c r="AK1967" s="54"/>
      <c r="AL1967" s="54"/>
      <c r="AM1967" s="54"/>
      <c r="AN1967" s="54"/>
      <c r="AO1967" s="54"/>
      <c r="AP1967" s="54"/>
      <c r="AQ1967" s="54"/>
      <c r="AR1967" s="54"/>
      <c r="AS1967" s="54"/>
      <c r="AT1967" s="54"/>
      <c r="AU1967" s="54"/>
      <c r="AV1967" s="54"/>
      <c r="AW1967" s="54"/>
      <c r="AX1967" s="54"/>
      <c r="AY1967" s="54"/>
      <c r="AZ1967" s="54"/>
      <c r="BA1967" s="54"/>
      <c r="BB1967" s="54"/>
      <c r="BC1967" s="56"/>
      <c r="BD1967" s="51"/>
      <c r="BE1967" s="54"/>
      <c r="BF1967" s="54"/>
      <c r="BG1967" s="47"/>
      <c r="BH1967" s="48"/>
      <c r="BI1967" s="48"/>
      <c r="BJ1967" s="48"/>
      <c r="BK1967" s="48"/>
      <c r="BL1967" s="48"/>
      <c r="BM1967" s="48"/>
      <c r="BN1967" s="48"/>
      <c r="BO1967" s="48"/>
      <c r="BP1967" s="48"/>
      <c r="BQ1967" s="48"/>
      <c r="BR1967" s="48"/>
      <c r="BS1967" s="48"/>
      <c r="BT1967" s="48"/>
      <c r="BU1967" s="48"/>
      <c r="BV1967" s="48"/>
      <c r="BW1967" s="48"/>
      <c r="BX1967" s="48"/>
      <c r="BY1967" s="48"/>
      <c r="BZ1967" s="48"/>
      <c r="CA1967" s="48"/>
      <c r="CB1967" s="48"/>
      <c r="CC1967" s="48"/>
      <c r="CD1967" s="48"/>
      <c r="CE1967" s="48"/>
      <c r="CF1967" s="52"/>
      <c r="CG1967" s="52"/>
      <c r="CH1967" s="48"/>
      <c r="CI1967" s="48"/>
      <c r="CJ1967" s="48"/>
      <c r="CK1967" s="48"/>
    </row>
    <row r="1968" spans="1:89" ht="15.75" customHeight="1" x14ac:dyDescent="0.3">
      <c r="A1968" s="47"/>
      <c r="B1968" s="48"/>
      <c r="C1968" s="47"/>
      <c r="D1968" s="48"/>
      <c r="E1968" s="48"/>
      <c r="F1968" s="48"/>
      <c r="G1968" s="48"/>
      <c r="H1968" s="48"/>
      <c r="I1968" s="49"/>
      <c r="J1968" s="47"/>
      <c r="K1968" s="47"/>
      <c r="L1968" s="47"/>
      <c r="M1968" s="47"/>
      <c r="N1968" s="47"/>
      <c r="O1968" s="47"/>
      <c r="P1968" s="47"/>
      <c r="Q1968" s="47"/>
      <c r="R1968" s="47"/>
      <c r="S1968" s="50"/>
      <c r="T1968" s="47"/>
      <c r="U1968" s="47"/>
      <c r="V1968" s="47"/>
      <c r="W1968" s="51"/>
      <c r="X1968" s="51"/>
      <c r="Y1968" s="47"/>
      <c r="Z1968" s="47"/>
      <c r="AA1968" s="47"/>
      <c r="AB1968" s="47"/>
      <c r="AC1968" s="47"/>
      <c r="AD1968" s="47"/>
      <c r="AE1968" s="54"/>
      <c r="AF1968" s="54"/>
      <c r="AG1968" s="55"/>
      <c r="AH1968" s="54"/>
      <c r="AI1968" s="54"/>
      <c r="AJ1968" s="54"/>
      <c r="AK1968" s="54"/>
      <c r="AL1968" s="54"/>
      <c r="AM1968" s="54"/>
      <c r="AN1968" s="54"/>
      <c r="AO1968" s="54"/>
      <c r="AP1968" s="54"/>
      <c r="AQ1968" s="54"/>
      <c r="AR1968" s="54"/>
      <c r="AS1968" s="54"/>
      <c r="AT1968" s="54"/>
      <c r="AU1968" s="54"/>
      <c r="AV1968" s="54"/>
      <c r="AW1968" s="54"/>
      <c r="AX1968" s="54"/>
      <c r="AY1968" s="54"/>
      <c r="AZ1968" s="54"/>
      <c r="BA1968" s="54"/>
      <c r="BB1968" s="54"/>
      <c r="BC1968" s="56"/>
      <c r="BD1968" s="51"/>
      <c r="BE1968" s="54"/>
      <c r="BF1968" s="54"/>
      <c r="BG1968" s="47"/>
      <c r="BH1968" s="48"/>
      <c r="BI1968" s="48"/>
      <c r="BJ1968" s="48"/>
      <c r="BK1968" s="48"/>
      <c r="BL1968" s="48"/>
      <c r="BM1968" s="48"/>
      <c r="BN1968" s="48"/>
      <c r="BO1968" s="48"/>
      <c r="BP1968" s="48"/>
      <c r="BQ1968" s="48"/>
      <c r="BR1968" s="48"/>
      <c r="BS1968" s="48"/>
      <c r="BT1968" s="48"/>
      <c r="BU1968" s="48"/>
      <c r="BV1968" s="48"/>
      <c r="BW1968" s="48"/>
      <c r="BX1968" s="48"/>
      <c r="BY1968" s="48"/>
      <c r="BZ1968" s="48"/>
      <c r="CA1968" s="48"/>
      <c r="CB1968" s="48"/>
      <c r="CC1968" s="48"/>
      <c r="CD1968" s="48"/>
      <c r="CE1968" s="48"/>
      <c r="CF1968" s="52"/>
      <c r="CG1968" s="52"/>
      <c r="CH1968" s="48"/>
      <c r="CI1968" s="48"/>
      <c r="CJ1968" s="48"/>
      <c r="CK1968" s="48"/>
    </row>
    <row r="1969" spans="1:89" ht="15.75" customHeight="1" x14ac:dyDescent="0.3">
      <c r="A1969" s="47"/>
      <c r="B1969" s="48"/>
      <c r="C1969" s="47"/>
      <c r="D1969" s="48"/>
      <c r="E1969" s="48"/>
      <c r="F1969" s="48"/>
      <c r="G1969" s="48"/>
      <c r="H1969" s="48"/>
      <c r="I1969" s="49"/>
      <c r="J1969" s="47"/>
      <c r="K1969" s="47"/>
      <c r="L1969" s="47"/>
      <c r="M1969" s="47"/>
      <c r="N1969" s="47"/>
      <c r="O1969" s="47"/>
      <c r="P1969" s="47"/>
      <c r="Q1969" s="47"/>
      <c r="R1969" s="47"/>
      <c r="S1969" s="50"/>
      <c r="T1969" s="47"/>
      <c r="U1969" s="47"/>
      <c r="V1969" s="47"/>
      <c r="W1969" s="51"/>
      <c r="X1969" s="51"/>
      <c r="Y1969" s="47"/>
      <c r="Z1969" s="47"/>
      <c r="AA1969" s="47"/>
      <c r="AB1969" s="47"/>
      <c r="AC1969" s="47"/>
      <c r="AD1969" s="47"/>
      <c r="AE1969" s="54"/>
      <c r="AF1969" s="54"/>
      <c r="AG1969" s="55"/>
      <c r="AH1969" s="54"/>
      <c r="AI1969" s="54"/>
      <c r="AJ1969" s="54"/>
      <c r="AK1969" s="54"/>
      <c r="AL1969" s="54"/>
      <c r="AM1969" s="54"/>
      <c r="AN1969" s="54"/>
      <c r="AO1969" s="54"/>
      <c r="AP1969" s="54"/>
      <c r="AQ1969" s="54"/>
      <c r="AR1969" s="54"/>
      <c r="AS1969" s="54"/>
      <c r="AT1969" s="54"/>
      <c r="AU1969" s="54"/>
      <c r="AV1969" s="54"/>
      <c r="AW1969" s="54"/>
      <c r="AX1969" s="54"/>
      <c r="AY1969" s="54"/>
      <c r="AZ1969" s="54"/>
      <c r="BA1969" s="54"/>
      <c r="BB1969" s="54"/>
      <c r="BC1969" s="56"/>
      <c r="BD1969" s="51"/>
      <c r="BE1969" s="54"/>
      <c r="BF1969" s="54"/>
      <c r="BG1969" s="47"/>
      <c r="BH1969" s="48"/>
      <c r="BI1969" s="48"/>
      <c r="BJ1969" s="48"/>
      <c r="BK1969" s="48"/>
      <c r="BL1969" s="48"/>
      <c r="BM1969" s="48"/>
      <c r="BN1969" s="48"/>
      <c r="BO1969" s="48"/>
      <c r="BP1969" s="48"/>
      <c r="BQ1969" s="48"/>
      <c r="BR1969" s="48"/>
      <c r="BS1969" s="48"/>
      <c r="BT1969" s="48"/>
      <c r="BU1969" s="48"/>
      <c r="BV1969" s="48"/>
      <c r="BW1969" s="48"/>
      <c r="BX1969" s="48"/>
      <c r="BY1969" s="48"/>
      <c r="BZ1969" s="48"/>
      <c r="CA1969" s="48"/>
      <c r="CB1969" s="48"/>
      <c r="CC1969" s="48"/>
      <c r="CD1969" s="48"/>
      <c r="CE1969" s="48"/>
      <c r="CF1969" s="52"/>
      <c r="CG1969" s="52"/>
      <c r="CH1969" s="48"/>
      <c r="CI1969" s="48"/>
      <c r="CJ1969" s="48"/>
      <c r="CK1969" s="48"/>
    </row>
    <row r="1970" spans="1:89" ht="15.75" customHeight="1" x14ac:dyDescent="0.3">
      <c r="A1970" s="47"/>
      <c r="B1970" s="48"/>
      <c r="C1970" s="47"/>
      <c r="D1970" s="48"/>
      <c r="E1970" s="48"/>
      <c r="F1970" s="48"/>
      <c r="G1970" s="48"/>
      <c r="H1970" s="48"/>
      <c r="I1970" s="49"/>
      <c r="J1970" s="47"/>
      <c r="K1970" s="47"/>
      <c r="L1970" s="47"/>
      <c r="M1970" s="47"/>
      <c r="N1970" s="47"/>
      <c r="O1970" s="47"/>
      <c r="P1970" s="47"/>
      <c r="Q1970" s="47"/>
      <c r="R1970" s="47"/>
      <c r="S1970" s="50"/>
      <c r="T1970" s="47"/>
      <c r="U1970" s="47"/>
      <c r="V1970" s="47"/>
      <c r="W1970" s="51"/>
      <c r="X1970" s="51"/>
      <c r="Y1970" s="47"/>
      <c r="Z1970" s="47"/>
      <c r="AA1970" s="47"/>
      <c r="AB1970" s="47"/>
      <c r="AC1970" s="47"/>
      <c r="AD1970" s="47"/>
      <c r="AE1970" s="54"/>
      <c r="AF1970" s="54"/>
      <c r="AG1970" s="55"/>
      <c r="AH1970" s="54"/>
      <c r="AI1970" s="54"/>
      <c r="AJ1970" s="54"/>
      <c r="AK1970" s="54"/>
      <c r="AL1970" s="54"/>
      <c r="AM1970" s="54"/>
      <c r="AN1970" s="54"/>
      <c r="AO1970" s="54"/>
      <c r="AP1970" s="54"/>
      <c r="AQ1970" s="54"/>
      <c r="AR1970" s="54"/>
      <c r="AS1970" s="54"/>
      <c r="AT1970" s="54"/>
      <c r="AU1970" s="54"/>
      <c r="AV1970" s="54"/>
      <c r="AW1970" s="54"/>
      <c r="AX1970" s="54"/>
      <c r="AY1970" s="54"/>
      <c r="AZ1970" s="54"/>
      <c r="BA1970" s="54"/>
      <c r="BB1970" s="54"/>
      <c r="BC1970" s="56"/>
      <c r="BD1970" s="51"/>
      <c r="BE1970" s="54"/>
      <c r="BF1970" s="54"/>
      <c r="BG1970" s="47"/>
      <c r="BH1970" s="48"/>
      <c r="BI1970" s="48"/>
      <c r="BJ1970" s="48"/>
      <c r="BK1970" s="48"/>
      <c r="BL1970" s="48"/>
      <c r="BM1970" s="48"/>
      <c r="BN1970" s="48"/>
      <c r="BO1970" s="48"/>
      <c r="BP1970" s="48"/>
      <c r="BQ1970" s="48"/>
      <c r="BR1970" s="48"/>
      <c r="BS1970" s="48"/>
      <c r="BT1970" s="48"/>
      <c r="BU1970" s="48"/>
      <c r="BV1970" s="48"/>
      <c r="BW1970" s="48"/>
      <c r="BX1970" s="48"/>
      <c r="BY1970" s="48"/>
      <c r="BZ1970" s="48"/>
      <c r="CA1970" s="48"/>
      <c r="CB1970" s="48"/>
      <c r="CC1970" s="48"/>
      <c r="CD1970" s="48"/>
      <c r="CE1970" s="48"/>
      <c r="CF1970" s="52"/>
      <c r="CG1970" s="52"/>
      <c r="CH1970" s="48"/>
      <c r="CI1970" s="48"/>
      <c r="CJ1970" s="48"/>
      <c r="CK1970" s="48"/>
    </row>
    <row r="1971" spans="1:89" ht="15.75" customHeight="1" x14ac:dyDescent="0.3">
      <c r="A1971" s="47"/>
      <c r="B1971" s="48"/>
      <c r="C1971" s="47"/>
      <c r="D1971" s="48"/>
      <c r="E1971" s="48"/>
      <c r="F1971" s="48"/>
      <c r="G1971" s="48"/>
      <c r="H1971" s="48"/>
      <c r="I1971" s="49"/>
      <c r="J1971" s="47"/>
      <c r="K1971" s="47"/>
      <c r="L1971" s="47"/>
      <c r="M1971" s="47"/>
      <c r="N1971" s="47"/>
      <c r="O1971" s="47"/>
      <c r="P1971" s="47"/>
      <c r="Q1971" s="47"/>
      <c r="R1971" s="47"/>
      <c r="S1971" s="50"/>
      <c r="T1971" s="47"/>
      <c r="U1971" s="47"/>
      <c r="V1971" s="47"/>
      <c r="W1971" s="51"/>
      <c r="X1971" s="51"/>
      <c r="Y1971" s="47"/>
      <c r="Z1971" s="47"/>
      <c r="AA1971" s="47"/>
      <c r="AB1971" s="47"/>
      <c r="AC1971" s="47"/>
      <c r="AD1971" s="47"/>
      <c r="AE1971" s="54"/>
      <c r="AF1971" s="54"/>
      <c r="AG1971" s="55"/>
      <c r="AH1971" s="54"/>
      <c r="AI1971" s="54"/>
      <c r="AJ1971" s="54"/>
      <c r="AK1971" s="54"/>
      <c r="AL1971" s="54"/>
      <c r="AM1971" s="54"/>
      <c r="AN1971" s="54"/>
      <c r="AO1971" s="54"/>
      <c r="AP1971" s="54"/>
      <c r="AQ1971" s="54"/>
      <c r="AR1971" s="54"/>
      <c r="AS1971" s="54"/>
      <c r="AT1971" s="54"/>
      <c r="AU1971" s="54"/>
      <c r="AV1971" s="54"/>
      <c r="AW1971" s="54"/>
      <c r="AX1971" s="54"/>
      <c r="AY1971" s="54"/>
      <c r="AZ1971" s="54"/>
      <c r="BA1971" s="54"/>
      <c r="BB1971" s="54"/>
      <c r="BC1971" s="56"/>
      <c r="BD1971" s="51"/>
      <c r="BE1971" s="54"/>
      <c r="BF1971" s="54"/>
      <c r="BG1971" s="47"/>
      <c r="BH1971" s="48"/>
      <c r="BI1971" s="48"/>
      <c r="BJ1971" s="48"/>
      <c r="BK1971" s="48"/>
      <c r="BL1971" s="48"/>
      <c r="BM1971" s="48"/>
      <c r="BN1971" s="48"/>
      <c r="BO1971" s="48"/>
      <c r="BP1971" s="48"/>
      <c r="BQ1971" s="48"/>
      <c r="BR1971" s="48"/>
      <c r="BS1971" s="48"/>
      <c r="BT1971" s="48"/>
      <c r="BU1971" s="48"/>
      <c r="BV1971" s="48"/>
      <c r="BW1971" s="48"/>
      <c r="BX1971" s="48"/>
      <c r="BY1971" s="48"/>
      <c r="BZ1971" s="48"/>
      <c r="CA1971" s="48"/>
      <c r="CB1971" s="48"/>
      <c r="CC1971" s="48"/>
      <c r="CD1971" s="48"/>
      <c r="CE1971" s="48"/>
      <c r="CF1971" s="52"/>
      <c r="CG1971" s="52"/>
      <c r="CH1971" s="48"/>
      <c r="CI1971" s="48"/>
      <c r="CJ1971" s="48"/>
      <c r="CK1971" s="48"/>
    </row>
    <row r="1972" spans="1:89" ht="15.75" customHeight="1" x14ac:dyDescent="0.3">
      <c r="A1972" s="47"/>
      <c r="B1972" s="48"/>
      <c r="C1972" s="47"/>
      <c r="D1972" s="48"/>
      <c r="E1972" s="48"/>
      <c r="F1972" s="48"/>
      <c r="G1972" s="48"/>
      <c r="H1972" s="48"/>
      <c r="I1972" s="49"/>
      <c r="J1972" s="47"/>
      <c r="K1972" s="47"/>
      <c r="L1972" s="47"/>
      <c r="M1972" s="47"/>
      <c r="N1972" s="47"/>
      <c r="O1972" s="47"/>
      <c r="P1972" s="47"/>
      <c r="Q1972" s="47"/>
      <c r="R1972" s="47"/>
      <c r="S1972" s="50"/>
      <c r="T1972" s="47"/>
      <c r="U1972" s="47"/>
      <c r="V1972" s="47"/>
      <c r="W1972" s="51"/>
      <c r="X1972" s="51"/>
      <c r="Y1972" s="47"/>
      <c r="Z1972" s="47"/>
      <c r="AA1972" s="47"/>
      <c r="AB1972" s="47"/>
      <c r="AC1972" s="47"/>
      <c r="AD1972" s="47"/>
      <c r="AE1972" s="54"/>
      <c r="AF1972" s="54"/>
      <c r="AG1972" s="55"/>
      <c r="AH1972" s="54"/>
      <c r="AI1972" s="54"/>
      <c r="AJ1972" s="54"/>
      <c r="AK1972" s="54"/>
      <c r="AL1972" s="54"/>
      <c r="AM1972" s="54"/>
      <c r="AN1972" s="54"/>
      <c r="AO1972" s="54"/>
      <c r="AP1972" s="54"/>
      <c r="AQ1972" s="54"/>
      <c r="AR1972" s="54"/>
      <c r="AS1972" s="54"/>
      <c r="AT1972" s="54"/>
      <c r="AU1972" s="54"/>
      <c r="AV1972" s="54"/>
      <c r="AW1972" s="54"/>
      <c r="AX1972" s="54"/>
      <c r="AY1972" s="54"/>
      <c r="AZ1972" s="54"/>
      <c r="BA1972" s="54"/>
      <c r="BB1972" s="54"/>
      <c r="BC1972" s="56"/>
      <c r="BD1972" s="51"/>
      <c r="BE1972" s="54"/>
      <c r="BF1972" s="54"/>
      <c r="BG1972" s="47"/>
      <c r="BH1972" s="48"/>
      <c r="BI1972" s="48"/>
      <c r="BJ1972" s="48"/>
      <c r="BK1972" s="48"/>
      <c r="BL1972" s="48"/>
      <c r="BM1972" s="48"/>
      <c r="BN1972" s="48"/>
      <c r="BO1972" s="48"/>
      <c r="BP1972" s="48"/>
      <c r="BQ1972" s="48"/>
      <c r="BR1972" s="48"/>
      <c r="BS1972" s="48"/>
      <c r="BT1972" s="48"/>
      <c r="BU1972" s="48"/>
      <c r="BV1972" s="48"/>
      <c r="BW1972" s="48"/>
      <c r="BX1972" s="48"/>
      <c r="BY1972" s="48"/>
      <c r="BZ1972" s="48"/>
      <c r="CA1972" s="48"/>
      <c r="CB1972" s="48"/>
      <c r="CC1972" s="48"/>
      <c r="CD1972" s="48"/>
      <c r="CE1972" s="48"/>
      <c r="CF1972" s="52"/>
      <c r="CG1972" s="52"/>
      <c r="CH1972" s="48"/>
      <c r="CI1972" s="48"/>
      <c r="CJ1972" s="48"/>
      <c r="CK1972" s="48"/>
    </row>
    <row r="1973" spans="1:89" ht="15.75" customHeight="1" x14ac:dyDescent="0.3">
      <c r="A1973" s="47"/>
      <c r="B1973" s="48"/>
      <c r="C1973" s="47"/>
      <c r="D1973" s="48"/>
      <c r="E1973" s="48"/>
      <c r="F1973" s="48"/>
      <c r="G1973" s="48"/>
      <c r="H1973" s="48"/>
      <c r="I1973" s="49"/>
      <c r="J1973" s="47"/>
      <c r="K1973" s="47"/>
      <c r="L1973" s="47"/>
      <c r="M1973" s="47"/>
      <c r="N1973" s="47"/>
      <c r="O1973" s="47"/>
      <c r="P1973" s="47"/>
      <c r="Q1973" s="47"/>
      <c r="R1973" s="47"/>
      <c r="S1973" s="50"/>
      <c r="T1973" s="47"/>
      <c r="U1973" s="47"/>
      <c r="V1973" s="47"/>
      <c r="W1973" s="51"/>
      <c r="X1973" s="51"/>
      <c r="Y1973" s="47"/>
      <c r="Z1973" s="47"/>
      <c r="AA1973" s="47"/>
      <c r="AB1973" s="47"/>
      <c r="AC1973" s="47"/>
      <c r="AD1973" s="47"/>
      <c r="AE1973" s="54"/>
      <c r="AF1973" s="54"/>
      <c r="AG1973" s="55"/>
      <c r="AH1973" s="54"/>
      <c r="AI1973" s="54"/>
      <c r="AJ1973" s="54"/>
      <c r="AK1973" s="54"/>
      <c r="AL1973" s="54"/>
      <c r="AM1973" s="54"/>
      <c r="AN1973" s="54"/>
      <c r="AO1973" s="54"/>
      <c r="AP1973" s="54"/>
      <c r="AQ1973" s="54"/>
      <c r="AR1973" s="54"/>
      <c r="AS1973" s="54"/>
      <c r="AT1973" s="54"/>
      <c r="AU1973" s="54"/>
      <c r="AV1973" s="54"/>
      <c r="AW1973" s="54"/>
      <c r="AX1973" s="54"/>
      <c r="AY1973" s="54"/>
      <c r="AZ1973" s="54"/>
      <c r="BA1973" s="54"/>
      <c r="BB1973" s="54"/>
      <c r="BC1973" s="56"/>
      <c r="BD1973" s="51"/>
      <c r="BE1973" s="54"/>
      <c r="BF1973" s="54"/>
      <c r="BG1973" s="47"/>
      <c r="BH1973" s="48"/>
      <c r="BI1973" s="48"/>
      <c r="BJ1973" s="48"/>
      <c r="BK1973" s="48"/>
      <c r="BL1973" s="48"/>
      <c r="BM1973" s="48"/>
      <c r="BN1973" s="48"/>
      <c r="BO1973" s="48"/>
      <c r="BP1973" s="48"/>
      <c r="BQ1973" s="48"/>
      <c r="BR1973" s="48"/>
      <c r="BS1973" s="48"/>
      <c r="BT1973" s="48"/>
      <c r="BU1973" s="48"/>
      <c r="BV1973" s="48"/>
      <c r="BW1973" s="48"/>
      <c r="BX1973" s="48"/>
      <c r="BY1973" s="48"/>
      <c r="BZ1973" s="48"/>
      <c r="CA1973" s="48"/>
      <c r="CB1973" s="48"/>
      <c r="CC1973" s="48"/>
      <c r="CD1973" s="48"/>
      <c r="CE1973" s="48"/>
      <c r="CF1973" s="52"/>
      <c r="CG1973" s="52"/>
      <c r="CH1973" s="48"/>
      <c r="CI1973" s="48"/>
      <c r="CJ1973" s="48"/>
      <c r="CK1973" s="48"/>
    </row>
    <row r="1974" spans="1:89" ht="15.75" customHeight="1" x14ac:dyDescent="0.3">
      <c r="A1974" s="47"/>
      <c r="B1974" s="48"/>
      <c r="C1974" s="47"/>
      <c r="D1974" s="48"/>
      <c r="E1974" s="48"/>
      <c r="F1974" s="48"/>
      <c r="G1974" s="48"/>
      <c r="H1974" s="48"/>
      <c r="I1974" s="49"/>
      <c r="J1974" s="47"/>
      <c r="K1974" s="47"/>
      <c r="L1974" s="47"/>
      <c r="M1974" s="47"/>
      <c r="N1974" s="47"/>
      <c r="O1974" s="47"/>
      <c r="P1974" s="47"/>
      <c r="Q1974" s="47"/>
      <c r="R1974" s="47"/>
      <c r="S1974" s="50"/>
      <c r="T1974" s="47"/>
      <c r="U1974" s="47"/>
      <c r="V1974" s="47"/>
      <c r="W1974" s="51"/>
      <c r="X1974" s="51"/>
      <c r="Y1974" s="47"/>
      <c r="Z1974" s="47"/>
      <c r="AA1974" s="47"/>
      <c r="AB1974" s="47"/>
      <c r="AC1974" s="47"/>
      <c r="AD1974" s="47"/>
      <c r="AE1974" s="54"/>
      <c r="AF1974" s="54"/>
      <c r="AG1974" s="55"/>
      <c r="AH1974" s="54"/>
      <c r="AI1974" s="54"/>
      <c r="AJ1974" s="54"/>
      <c r="AK1974" s="54"/>
      <c r="AL1974" s="54"/>
      <c r="AM1974" s="54"/>
      <c r="AN1974" s="54"/>
      <c r="AO1974" s="54"/>
      <c r="AP1974" s="54"/>
      <c r="AQ1974" s="54"/>
      <c r="AR1974" s="54"/>
      <c r="AS1974" s="54"/>
      <c r="AT1974" s="54"/>
      <c r="AU1974" s="54"/>
      <c r="AV1974" s="54"/>
      <c r="AW1974" s="54"/>
      <c r="AX1974" s="54"/>
      <c r="AY1974" s="54"/>
      <c r="AZ1974" s="54"/>
      <c r="BA1974" s="54"/>
      <c r="BB1974" s="54"/>
      <c r="BC1974" s="56"/>
      <c r="BD1974" s="51"/>
      <c r="BE1974" s="54"/>
      <c r="BF1974" s="54"/>
      <c r="BG1974" s="47"/>
      <c r="BH1974" s="48"/>
      <c r="BI1974" s="48"/>
      <c r="BJ1974" s="48"/>
      <c r="BK1974" s="48"/>
      <c r="BL1974" s="48"/>
      <c r="BM1974" s="48"/>
      <c r="BN1974" s="48"/>
      <c r="BO1974" s="48"/>
      <c r="BP1974" s="48"/>
      <c r="BQ1974" s="48"/>
      <c r="BR1974" s="48"/>
      <c r="BS1974" s="48"/>
      <c r="BT1974" s="48"/>
      <c r="BU1974" s="48"/>
      <c r="BV1974" s="48"/>
      <c r="BW1974" s="48"/>
      <c r="BX1974" s="48"/>
      <c r="BY1974" s="48"/>
      <c r="BZ1974" s="48"/>
      <c r="CA1974" s="48"/>
      <c r="CB1974" s="48"/>
      <c r="CC1974" s="48"/>
      <c r="CD1974" s="48"/>
      <c r="CE1974" s="48"/>
      <c r="CF1974" s="52"/>
      <c r="CG1974" s="52"/>
      <c r="CH1974" s="48"/>
      <c r="CI1974" s="48"/>
      <c r="CJ1974" s="48"/>
      <c r="CK1974" s="48"/>
    </row>
    <row r="1975" spans="1:89" ht="15.75" customHeight="1" x14ac:dyDescent="0.3">
      <c r="A1975" s="47"/>
      <c r="B1975" s="48"/>
      <c r="C1975" s="47"/>
      <c r="D1975" s="48"/>
      <c r="E1975" s="48"/>
      <c r="F1975" s="48"/>
      <c r="G1975" s="48"/>
      <c r="H1975" s="48"/>
      <c r="I1975" s="49"/>
      <c r="J1975" s="47"/>
      <c r="K1975" s="47"/>
      <c r="L1975" s="47"/>
      <c r="M1975" s="47"/>
      <c r="N1975" s="47"/>
      <c r="O1975" s="47"/>
      <c r="P1975" s="47"/>
      <c r="Q1975" s="47"/>
      <c r="R1975" s="47"/>
      <c r="S1975" s="50"/>
      <c r="T1975" s="47"/>
      <c r="U1975" s="47"/>
      <c r="V1975" s="47"/>
      <c r="W1975" s="51"/>
      <c r="X1975" s="51"/>
      <c r="Y1975" s="47"/>
      <c r="Z1975" s="47"/>
      <c r="AA1975" s="47"/>
      <c r="AB1975" s="47"/>
      <c r="AC1975" s="47"/>
      <c r="AD1975" s="47"/>
      <c r="AE1975" s="54"/>
      <c r="AF1975" s="54"/>
      <c r="AG1975" s="55"/>
      <c r="AH1975" s="54"/>
      <c r="AI1975" s="54"/>
      <c r="AJ1975" s="54"/>
      <c r="AK1975" s="54"/>
      <c r="AL1975" s="54"/>
      <c r="AM1975" s="54"/>
      <c r="AN1975" s="54"/>
      <c r="AO1975" s="54"/>
      <c r="AP1975" s="54"/>
      <c r="AQ1975" s="54"/>
      <c r="AR1975" s="54"/>
      <c r="AS1975" s="54"/>
      <c r="AT1975" s="54"/>
      <c r="AU1975" s="54"/>
      <c r="AV1975" s="54"/>
      <c r="AW1975" s="54"/>
      <c r="AX1975" s="54"/>
      <c r="AY1975" s="54"/>
      <c r="AZ1975" s="54"/>
      <c r="BA1975" s="54"/>
      <c r="BB1975" s="54"/>
      <c r="BC1975" s="56"/>
      <c r="BD1975" s="51"/>
      <c r="BE1975" s="54"/>
      <c r="BF1975" s="54"/>
      <c r="BG1975" s="47"/>
      <c r="BH1975" s="48"/>
      <c r="BI1975" s="48"/>
      <c r="BJ1975" s="48"/>
      <c r="BK1975" s="48"/>
      <c r="BL1975" s="48"/>
      <c r="BM1975" s="48"/>
      <c r="BN1975" s="48"/>
      <c r="BO1975" s="48"/>
      <c r="BP1975" s="48"/>
      <c r="BQ1975" s="48"/>
      <c r="BR1975" s="48"/>
      <c r="BS1975" s="48"/>
      <c r="BT1975" s="48"/>
      <c r="BU1975" s="48"/>
      <c r="BV1975" s="48"/>
      <c r="BW1975" s="48"/>
      <c r="BX1975" s="48"/>
      <c r="BY1975" s="48"/>
      <c r="BZ1975" s="48"/>
      <c r="CA1975" s="48"/>
      <c r="CB1975" s="48"/>
      <c r="CC1975" s="48"/>
      <c r="CD1975" s="48"/>
      <c r="CE1975" s="48"/>
      <c r="CF1975" s="52"/>
      <c r="CG1975" s="52"/>
      <c r="CH1975" s="48"/>
      <c r="CI1975" s="48"/>
      <c r="CJ1975" s="48"/>
      <c r="CK1975" s="48"/>
    </row>
    <row r="1976" spans="1:89" ht="15.75" customHeight="1" x14ac:dyDescent="0.3">
      <c r="A1976" s="47"/>
      <c r="B1976" s="48"/>
      <c r="C1976" s="47"/>
      <c r="D1976" s="48"/>
      <c r="E1976" s="48"/>
      <c r="F1976" s="48"/>
      <c r="G1976" s="48"/>
      <c r="H1976" s="48"/>
      <c r="I1976" s="49"/>
      <c r="J1976" s="47"/>
      <c r="K1976" s="47"/>
      <c r="L1976" s="47"/>
      <c r="M1976" s="47"/>
      <c r="N1976" s="47"/>
      <c r="O1976" s="47"/>
      <c r="P1976" s="47"/>
      <c r="Q1976" s="47"/>
      <c r="R1976" s="47"/>
      <c r="S1976" s="50"/>
      <c r="T1976" s="47"/>
      <c r="U1976" s="47"/>
      <c r="V1976" s="47"/>
      <c r="W1976" s="51"/>
      <c r="X1976" s="51"/>
      <c r="Y1976" s="47"/>
      <c r="Z1976" s="47"/>
      <c r="AA1976" s="47"/>
      <c r="AB1976" s="47"/>
      <c r="AC1976" s="47"/>
      <c r="AD1976" s="47"/>
      <c r="AE1976" s="54"/>
      <c r="AF1976" s="54"/>
      <c r="AG1976" s="55"/>
      <c r="AH1976" s="54"/>
      <c r="AI1976" s="54"/>
      <c r="AJ1976" s="54"/>
      <c r="AK1976" s="54"/>
      <c r="AL1976" s="54"/>
      <c r="AM1976" s="54"/>
      <c r="AN1976" s="54"/>
      <c r="AO1976" s="54"/>
      <c r="AP1976" s="54"/>
      <c r="AQ1976" s="54"/>
      <c r="AR1976" s="54"/>
      <c r="AS1976" s="54"/>
      <c r="AT1976" s="54"/>
      <c r="AU1976" s="54"/>
      <c r="AV1976" s="54"/>
      <c r="AW1976" s="54"/>
      <c r="AX1976" s="54"/>
      <c r="AY1976" s="54"/>
      <c r="AZ1976" s="54"/>
      <c r="BA1976" s="54"/>
      <c r="BB1976" s="54"/>
      <c r="BC1976" s="56"/>
      <c r="BD1976" s="51"/>
      <c r="BE1976" s="54"/>
      <c r="BF1976" s="54"/>
      <c r="BG1976" s="47"/>
      <c r="BH1976" s="48"/>
      <c r="BI1976" s="48"/>
      <c r="BJ1976" s="48"/>
      <c r="BK1976" s="48"/>
      <c r="BL1976" s="48"/>
      <c r="BM1976" s="48"/>
      <c r="BN1976" s="48"/>
      <c r="BO1976" s="48"/>
      <c r="BP1976" s="48"/>
      <c r="BQ1976" s="48"/>
      <c r="BR1976" s="48"/>
      <c r="BS1976" s="48"/>
      <c r="BT1976" s="48"/>
      <c r="BU1976" s="48"/>
      <c r="BV1976" s="48"/>
      <c r="BW1976" s="48"/>
      <c r="BX1976" s="48"/>
      <c r="BY1976" s="48"/>
      <c r="BZ1976" s="48"/>
      <c r="CA1976" s="48"/>
      <c r="CB1976" s="48"/>
      <c r="CC1976" s="48"/>
      <c r="CD1976" s="48"/>
      <c r="CE1976" s="48"/>
      <c r="CF1976" s="52"/>
      <c r="CG1976" s="52"/>
      <c r="CH1976" s="48"/>
      <c r="CI1976" s="48"/>
      <c r="CJ1976" s="48"/>
      <c r="CK1976" s="48"/>
    </row>
    <row r="1977" spans="1:89" ht="15.75" customHeight="1" x14ac:dyDescent="0.3">
      <c r="A1977" s="47"/>
      <c r="B1977" s="48"/>
      <c r="C1977" s="47"/>
      <c r="D1977" s="48"/>
      <c r="E1977" s="48"/>
      <c r="F1977" s="48"/>
      <c r="G1977" s="48"/>
      <c r="H1977" s="48"/>
      <c r="I1977" s="49"/>
      <c r="J1977" s="47"/>
      <c r="K1977" s="47"/>
      <c r="L1977" s="47"/>
      <c r="M1977" s="47"/>
      <c r="N1977" s="47"/>
      <c r="O1977" s="47"/>
      <c r="P1977" s="47"/>
      <c r="Q1977" s="47"/>
      <c r="R1977" s="47"/>
      <c r="S1977" s="50"/>
      <c r="T1977" s="47"/>
      <c r="U1977" s="47"/>
      <c r="V1977" s="47"/>
      <c r="W1977" s="51"/>
      <c r="X1977" s="51"/>
      <c r="Y1977" s="47"/>
      <c r="Z1977" s="47"/>
      <c r="AA1977" s="47"/>
      <c r="AB1977" s="47"/>
      <c r="AC1977" s="47"/>
      <c r="AD1977" s="47"/>
      <c r="AE1977" s="54"/>
      <c r="AF1977" s="54"/>
      <c r="AG1977" s="55"/>
      <c r="AH1977" s="54"/>
      <c r="AI1977" s="54"/>
      <c r="AJ1977" s="54"/>
      <c r="AK1977" s="54"/>
      <c r="AL1977" s="54"/>
      <c r="AM1977" s="54"/>
      <c r="AN1977" s="54"/>
      <c r="AO1977" s="54"/>
      <c r="AP1977" s="54"/>
      <c r="AQ1977" s="54"/>
      <c r="AR1977" s="54"/>
      <c r="AS1977" s="54"/>
      <c r="AT1977" s="54"/>
      <c r="AU1977" s="54"/>
      <c r="AV1977" s="54"/>
      <c r="AW1977" s="54"/>
      <c r="AX1977" s="54"/>
      <c r="AY1977" s="54"/>
      <c r="AZ1977" s="54"/>
      <c r="BA1977" s="54"/>
      <c r="BB1977" s="54"/>
      <c r="BC1977" s="56"/>
      <c r="BD1977" s="51"/>
      <c r="BE1977" s="54"/>
      <c r="BF1977" s="54"/>
      <c r="BG1977" s="47"/>
      <c r="BH1977" s="48"/>
      <c r="BI1977" s="48"/>
      <c r="BJ1977" s="48"/>
      <c r="BK1977" s="48"/>
      <c r="BL1977" s="48"/>
      <c r="BM1977" s="48"/>
      <c r="BN1977" s="48"/>
      <c r="BO1977" s="48"/>
      <c r="BP1977" s="48"/>
      <c r="BQ1977" s="48"/>
      <c r="BR1977" s="48"/>
      <c r="BS1977" s="48"/>
      <c r="BT1977" s="48"/>
      <c r="BU1977" s="48"/>
      <c r="BV1977" s="48"/>
      <c r="BW1977" s="48"/>
      <c r="BX1977" s="48"/>
      <c r="BY1977" s="48"/>
      <c r="BZ1977" s="48"/>
      <c r="CA1977" s="48"/>
      <c r="CB1977" s="48"/>
      <c r="CC1977" s="48"/>
      <c r="CD1977" s="48"/>
      <c r="CE1977" s="48"/>
      <c r="CF1977" s="52"/>
      <c r="CG1977" s="52"/>
      <c r="CH1977" s="48"/>
      <c r="CI1977" s="48"/>
      <c r="CJ1977" s="48"/>
      <c r="CK1977" s="48"/>
    </row>
    <row r="1978" spans="1:89" ht="15.75" customHeight="1" x14ac:dyDescent="0.3">
      <c r="A1978" s="47"/>
      <c r="B1978" s="48"/>
      <c r="C1978" s="47"/>
      <c r="D1978" s="48"/>
      <c r="E1978" s="48"/>
      <c r="F1978" s="48"/>
      <c r="G1978" s="48"/>
      <c r="H1978" s="48"/>
      <c r="I1978" s="49"/>
      <c r="J1978" s="47"/>
      <c r="K1978" s="47"/>
      <c r="L1978" s="47"/>
      <c r="M1978" s="47"/>
      <c r="N1978" s="47"/>
      <c r="O1978" s="47"/>
      <c r="P1978" s="47"/>
      <c r="Q1978" s="47"/>
      <c r="R1978" s="47"/>
      <c r="S1978" s="50"/>
      <c r="T1978" s="47"/>
      <c r="U1978" s="47"/>
      <c r="V1978" s="47"/>
      <c r="W1978" s="51"/>
      <c r="X1978" s="51"/>
      <c r="Y1978" s="47"/>
      <c r="Z1978" s="47"/>
      <c r="AA1978" s="47"/>
      <c r="AB1978" s="47"/>
      <c r="AC1978" s="47"/>
      <c r="AD1978" s="47"/>
      <c r="AE1978" s="54"/>
      <c r="AF1978" s="54"/>
      <c r="AG1978" s="55"/>
      <c r="AH1978" s="54"/>
      <c r="AI1978" s="54"/>
      <c r="AJ1978" s="54"/>
      <c r="AK1978" s="54"/>
      <c r="AL1978" s="54"/>
      <c r="AM1978" s="54"/>
      <c r="AN1978" s="54"/>
      <c r="AO1978" s="54"/>
      <c r="AP1978" s="54"/>
      <c r="AQ1978" s="54"/>
      <c r="AR1978" s="54"/>
      <c r="AS1978" s="54"/>
      <c r="AT1978" s="54"/>
      <c r="AU1978" s="54"/>
      <c r="AV1978" s="54"/>
      <c r="AW1978" s="54"/>
      <c r="AX1978" s="54"/>
      <c r="AY1978" s="54"/>
      <c r="AZ1978" s="54"/>
      <c r="BA1978" s="54"/>
      <c r="BB1978" s="54"/>
      <c r="BC1978" s="56"/>
      <c r="BD1978" s="51"/>
      <c r="BE1978" s="54"/>
      <c r="BF1978" s="54"/>
      <c r="BG1978" s="47"/>
      <c r="BH1978" s="48"/>
      <c r="BI1978" s="48"/>
      <c r="BJ1978" s="48"/>
      <c r="BK1978" s="48"/>
      <c r="BL1978" s="48"/>
      <c r="BM1978" s="48"/>
      <c r="BN1978" s="48"/>
      <c r="BO1978" s="48"/>
      <c r="BP1978" s="48"/>
      <c r="BQ1978" s="48"/>
      <c r="BR1978" s="48"/>
      <c r="BS1978" s="48"/>
      <c r="BT1978" s="48"/>
      <c r="BU1978" s="48"/>
      <c r="BV1978" s="48"/>
      <c r="BW1978" s="48"/>
      <c r="BX1978" s="48"/>
      <c r="BY1978" s="48"/>
      <c r="BZ1978" s="48"/>
      <c r="CA1978" s="48"/>
      <c r="CB1978" s="48"/>
      <c r="CC1978" s="48"/>
      <c r="CD1978" s="48"/>
      <c r="CE1978" s="48"/>
      <c r="CF1978" s="52"/>
      <c r="CG1978" s="52"/>
      <c r="CH1978" s="48"/>
      <c r="CI1978" s="48"/>
      <c r="CJ1978" s="48"/>
      <c r="CK1978" s="48"/>
    </row>
    <row r="1979" spans="1:89" ht="15.75" customHeight="1" x14ac:dyDescent="0.3">
      <c r="A1979" s="47"/>
      <c r="B1979" s="48"/>
      <c r="C1979" s="47"/>
      <c r="D1979" s="48"/>
      <c r="E1979" s="48"/>
      <c r="F1979" s="48"/>
      <c r="G1979" s="48"/>
      <c r="H1979" s="48"/>
      <c r="I1979" s="49"/>
      <c r="J1979" s="47"/>
      <c r="K1979" s="47"/>
      <c r="L1979" s="47"/>
      <c r="M1979" s="47"/>
      <c r="N1979" s="47"/>
      <c r="O1979" s="47"/>
      <c r="P1979" s="47"/>
      <c r="Q1979" s="47"/>
      <c r="R1979" s="47"/>
      <c r="S1979" s="50"/>
      <c r="T1979" s="47"/>
      <c r="U1979" s="47"/>
      <c r="V1979" s="47"/>
      <c r="W1979" s="51"/>
      <c r="X1979" s="51"/>
      <c r="Y1979" s="47"/>
      <c r="Z1979" s="47"/>
      <c r="AA1979" s="47"/>
      <c r="AB1979" s="47"/>
      <c r="AC1979" s="47"/>
      <c r="AD1979" s="47"/>
      <c r="AE1979" s="54"/>
      <c r="AF1979" s="54"/>
      <c r="AG1979" s="55"/>
      <c r="AH1979" s="54"/>
      <c r="AI1979" s="54"/>
      <c r="AJ1979" s="54"/>
      <c r="AK1979" s="54"/>
      <c r="AL1979" s="54"/>
      <c r="AM1979" s="54"/>
      <c r="AN1979" s="54"/>
      <c r="AO1979" s="54"/>
      <c r="AP1979" s="54"/>
      <c r="AQ1979" s="54"/>
      <c r="AR1979" s="54"/>
      <c r="AS1979" s="54"/>
      <c r="AT1979" s="54"/>
      <c r="AU1979" s="54"/>
      <c r="AV1979" s="54"/>
      <c r="AW1979" s="54"/>
      <c r="AX1979" s="54"/>
      <c r="AY1979" s="54"/>
      <c r="AZ1979" s="54"/>
      <c r="BA1979" s="54"/>
      <c r="BB1979" s="54"/>
      <c r="BC1979" s="56"/>
      <c r="BD1979" s="51"/>
      <c r="BE1979" s="54"/>
      <c r="BF1979" s="54"/>
      <c r="BG1979" s="47"/>
      <c r="BH1979" s="48"/>
      <c r="BI1979" s="48"/>
      <c r="BJ1979" s="48"/>
      <c r="BK1979" s="48"/>
      <c r="BL1979" s="48"/>
      <c r="BM1979" s="48"/>
      <c r="BN1979" s="48"/>
      <c r="BO1979" s="48"/>
      <c r="BP1979" s="48"/>
      <c r="BQ1979" s="48"/>
      <c r="BR1979" s="48"/>
      <c r="BS1979" s="48"/>
      <c r="BT1979" s="48"/>
      <c r="BU1979" s="48"/>
      <c r="BV1979" s="48"/>
      <c r="BW1979" s="48"/>
      <c r="BX1979" s="48"/>
      <c r="BY1979" s="48"/>
      <c r="BZ1979" s="48"/>
      <c r="CA1979" s="48"/>
      <c r="CB1979" s="48"/>
      <c r="CC1979" s="48"/>
      <c r="CD1979" s="48"/>
      <c r="CE1979" s="48"/>
      <c r="CF1979" s="52"/>
      <c r="CG1979" s="52"/>
      <c r="CH1979" s="48"/>
      <c r="CI1979" s="48"/>
      <c r="CJ1979" s="48"/>
      <c r="CK1979" s="48"/>
    </row>
    <row r="1980" spans="1:89" ht="15.75" customHeight="1" x14ac:dyDescent="0.3">
      <c r="A1980" s="47"/>
      <c r="B1980" s="48"/>
      <c r="C1980" s="47"/>
      <c r="D1980" s="48"/>
      <c r="E1980" s="48"/>
      <c r="F1980" s="48"/>
      <c r="G1980" s="48"/>
      <c r="H1980" s="48"/>
      <c r="I1980" s="49"/>
      <c r="J1980" s="47"/>
      <c r="K1980" s="47"/>
      <c r="L1980" s="47"/>
      <c r="M1980" s="47"/>
      <c r="N1980" s="47"/>
      <c r="O1980" s="47"/>
      <c r="P1980" s="47"/>
      <c r="Q1980" s="47"/>
      <c r="R1980" s="47"/>
      <c r="S1980" s="50"/>
      <c r="T1980" s="47"/>
      <c r="U1980" s="47"/>
      <c r="V1980" s="47"/>
      <c r="W1980" s="51"/>
      <c r="X1980" s="51"/>
      <c r="Y1980" s="47"/>
      <c r="Z1980" s="47"/>
      <c r="AA1980" s="47"/>
      <c r="AB1980" s="47"/>
      <c r="AC1980" s="47"/>
      <c r="AD1980" s="47"/>
      <c r="AE1980" s="54"/>
      <c r="AF1980" s="54"/>
      <c r="AG1980" s="55"/>
      <c r="AH1980" s="54"/>
      <c r="AI1980" s="54"/>
      <c r="AJ1980" s="54"/>
      <c r="AK1980" s="54"/>
      <c r="AL1980" s="54"/>
      <c r="AM1980" s="54"/>
      <c r="AN1980" s="54"/>
      <c r="AO1980" s="54"/>
      <c r="AP1980" s="54"/>
      <c r="AQ1980" s="54"/>
      <c r="AR1980" s="54"/>
      <c r="AS1980" s="54"/>
      <c r="AT1980" s="54"/>
      <c r="AU1980" s="54"/>
      <c r="AV1980" s="54"/>
      <c r="AW1980" s="54"/>
      <c r="AX1980" s="54"/>
      <c r="AY1980" s="54"/>
      <c r="AZ1980" s="54"/>
      <c r="BA1980" s="54"/>
      <c r="BB1980" s="54"/>
      <c r="BC1980" s="56"/>
      <c r="BD1980" s="51"/>
      <c r="BE1980" s="54"/>
      <c r="BF1980" s="54"/>
      <c r="BG1980" s="47"/>
      <c r="BH1980" s="48"/>
      <c r="BI1980" s="48"/>
      <c r="BJ1980" s="48"/>
      <c r="BK1980" s="48"/>
      <c r="BL1980" s="48"/>
      <c r="BM1980" s="48"/>
      <c r="BN1980" s="48"/>
      <c r="BO1980" s="48"/>
      <c r="BP1980" s="48"/>
      <c r="BQ1980" s="48"/>
      <c r="BR1980" s="48"/>
      <c r="BS1980" s="48"/>
      <c r="BT1980" s="48"/>
      <c r="BU1980" s="48"/>
      <c r="BV1980" s="48"/>
      <c r="BW1980" s="48"/>
      <c r="BX1980" s="48"/>
      <c r="BY1980" s="48"/>
      <c r="BZ1980" s="48"/>
      <c r="CA1980" s="48"/>
      <c r="CB1980" s="48"/>
      <c r="CC1980" s="48"/>
      <c r="CD1980" s="48"/>
      <c r="CE1980" s="48"/>
      <c r="CF1980" s="52"/>
      <c r="CG1980" s="52"/>
      <c r="CH1980" s="48"/>
      <c r="CI1980" s="48"/>
      <c r="CJ1980" s="48"/>
      <c r="CK1980" s="48"/>
    </row>
    <row r="1981" spans="1:89" ht="15.75" customHeight="1" x14ac:dyDescent="0.3">
      <c r="A1981" s="47"/>
      <c r="B1981" s="48"/>
      <c r="C1981" s="47"/>
      <c r="D1981" s="48"/>
      <c r="E1981" s="48"/>
      <c r="F1981" s="48"/>
      <c r="G1981" s="48"/>
      <c r="H1981" s="48"/>
      <c r="I1981" s="49"/>
      <c r="J1981" s="47"/>
      <c r="K1981" s="47"/>
      <c r="L1981" s="47"/>
      <c r="M1981" s="47"/>
      <c r="N1981" s="47"/>
      <c r="O1981" s="47"/>
      <c r="P1981" s="47"/>
      <c r="Q1981" s="47"/>
      <c r="R1981" s="47"/>
      <c r="S1981" s="50"/>
      <c r="T1981" s="47"/>
      <c r="U1981" s="47"/>
      <c r="V1981" s="47"/>
      <c r="W1981" s="51"/>
      <c r="X1981" s="51"/>
      <c r="Y1981" s="47"/>
      <c r="Z1981" s="47"/>
      <c r="AA1981" s="47"/>
      <c r="AB1981" s="47"/>
      <c r="AC1981" s="47"/>
      <c r="AD1981" s="47"/>
      <c r="AE1981" s="54"/>
      <c r="AF1981" s="54"/>
      <c r="AG1981" s="55"/>
      <c r="AH1981" s="54"/>
      <c r="AI1981" s="54"/>
      <c r="AJ1981" s="54"/>
      <c r="AK1981" s="54"/>
      <c r="AL1981" s="54"/>
      <c r="AM1981" s="54"/>
      <c r="AN1981" s="54"/>
      <c r="AO1981" s="54"/>
      <c r="AP1981" s="54"/>
      <c r="AQ1981" s="54"/>
      <c r="AR1981" s="54"/>
      <c r="AS1981" s="54"/>
      <c r="AT1981" s="54"/>
      <c r="AU1981" s="54"/>
      <c r="AV1981" s="54"/>
      <c r="AW1981" s="54"/>
      <c r="AX1981" s="54"/>
      <c r="AY1981" s="54"/>
      <c r="AZ1981" s="54"/>
      <c r="BA1981" s="54"/>
      <c r="BB1981" s="54"/>
      <c r="BC1981" s="56"/>
      <c r="BD1981" s="51"/>
      <c r="BE1981" s="54"/>
      <c r="BF1981" s="54"/>
      <c r="BG1981" s="47"/>
      <c r="BH1981" s="48"/>
      <c r="BI1981" s="48"/>
      <c r="BJ1981" s="48"/>
      <c r="BK1981" s="48"/>
      <c r="BL1981" s="48"/>
      <c r="BM1981" s="48"/>
      <c r="BN1981" s="48"/>
      <c r="BO1981" s="48"/>
      <c r="BP1981" s="48"/>
      <c r="BQ1981" s="48"/>
      <c r="BR1981" s="48"/>
      <c r="BS1981" s="48"/>
      <c r="BT1981" s="48"/>
      <c r="BU1981" s="48"/>
      <c r="BV1981" s="48"/>
      <c r="BW1981" s="48"/>
      <c r="BX1981" s="48"/>
      <c r="BY1981" s="48"/>
      <c r="BZ1981" s="48"/>
      <c r="CA1981" s="48"/>
      <c r="CB1981" s="48"/>
      <c r="CC1981" s="48"/>
      <c r="CD1981" s="48"/>
      <c r="CE1981" s="48"/>
      <c r="CF1981" s="52"/>
      <c r="CG1981" s="52"/>
      <c r="CH1981" s="48"/>
      <c r="CI1981" s="48"/>
      <c r="CJ1981" s="48"/>
      <c r="CK1981" s="48"/>
    </row>
    <row r="1982" spans="1:89" ht="15.75" customHeight="1" x14ac:dyDescent="0.3">
      <c r="A1982" s="47"/>
      <c r="B1982" s="48"/>
      <c r="C1982" s="47"/>
      <c r="D1982" s="48"/>
      <c r="E1982" s="48"/>
      <c r="F1982" s="48"/>
      <c r="G1982" s="48"/>
      <c r="H1982" s="48"/>
      <c r="I1982" s="49"/>
      <c r="J1982" s="47"/>
      <c r="K1982" s="47"/>
      <c r="L1982" s="47"/>
      <c r="M1982" s="47"/>
      <c r="N1982" s="47"/>
      <c r="O1982" s="47"/>
      <c r="P1982" s="47"/>
      <c r="Q1982" s="47"/>
      <c r="R1982" s="47"/>
      <c r="S1982" s="50"/>
      <c r="T1982" s="47"/>
      <c r="U1982" s="47"/>
      <c r="V1982" s="47"/>
      <c r="W1982" s="51"/>
      <c r="X1982" s="51"/>
      <c r="Y1982" s="47"/>
      <c r="Z1982" s="47"/>
      <c r="AA1982" s="47"/>
      <c r="AB1982" s="47"/>
      <c r="AC1982" s="47"/>
      <c r="AD1982" s="47"/>
      <c r="AE1982" s="54"/>
      <c r="AF1982" s="54"/>
      <c r="AG1982" s="55"/>
      <c r="AH1982" s="54"/>
      <c r="AI1982" s="54"/>
      <c r="AJ1982" s="54"/>
      <c r="AK1982" s="54"/>
      <c r="AL1982" s="54"/>
      <c r="AM1982" s="54"/>
      <c r="AN1982" s="54"/>
      <c r="AO1982" s="54"/>
      <c r="AP1982" s="54"/>
      <c r="AQ1982" s="54"/>
      <c r="AR1982" s="54"/>
      <c r="AS1982" s="54"/>
      <c r="AT1982" s="54"/>
      <c r="AU1982" s="54"/>
      <c r="AV1982" s="54"/>
      <c r="AW1982" s="54"/>
      <c r="AX1982" s="54"/>
      <c r="AY1982" s="54"/>
      <c r="AZ1982" s="54"/>
      <c r="BA1982" s="54"/>
      <c r="BB1982" s="54"/>
      <c r="BC1982" s="56"/>
      <c r="BD1982" s="51"/>
      <c r="BE1982" s="54"/>
      <c r="BF1982" s="54"/>
      <c r="BG1982" s="47"/>
      <c r="BH1982" s="48"/>
      <c r="BI1982" s="48"/>
      <c r="BJ1982" s="48"/>
      <c r="BK1982" s="48"/>
      <c r="BL1982" s="48"/>
      <c r="BM1982" s="48"/>
      <c r="BN1982" s="48"/>
      <c r="BO1982" s="48"/>
      <c r="BP1982" s="48"/>
      <c r="BQ1982" s="48"/>
      <c r="BR1982" s="48"/>
      <c r="BS1982" s="48"/>
      <c r="BT1982" s="48"/>
      <c r="BU1982" s="48"/>
      <c r="BV1982" s="48"/>
      <c r="BW1982" s="48"/>
      <c r="BX1982" s="48"/>
      <c r="BY1982" s="48"/>
      <c r="BZ1982" s="48"/>
      <c r="CA1982" s="48"/>
      <c r="CB1982" s="48"/>
      <c r="CC1982" s="48"/>
      <c r="CD1982" s="48"/>
      <c r="CE1982" s="48"/>
      <c r="CF1982" s="52"/>
      <c r="CG1982" s="52"/>
      <c r="CH1982" s="48"/>
      <c r="CI1982" s="48"/>
      <c r="CJ1982" s="48"/>
      <c r="CK1982" s="48"/>
    </row>
    <row r="1983" spans="1:89" ht="15.75" customHeight="1" x14ac:dyDescent="0.3">
      <c r="A1983" s="47"/>
      <c r="B1983" s="48"/>
      <c r="C1983" s="47"/>
      <c r="D1983" s="48"/>
      <c r="E1983" s="48"/>
      <c r="F1983" s="48"/>
      <c r="G1983" s="48"/>
      <c r="H1983" s="48"/>
      <c r="I1983" s="49"/>
      <c r="J1983" s="47"/>
      <c r="K1983" s="47"/>
      <c r="L1983" s="47"/>
      <c r="M1983" s="47"/>
      <c r="N1983" s="47"/>
      <c r="O1983" s="47"/>
      <c r="P1983" s="47"/>
      <c r="Q1983" s="47"/>
      <c r="R1983" s="47"/>
      <c r="S1983" s="50"/>
      <c r="T1983" s="47"/>
      <c r="U1983" s="47"/>
      <c r="V1983" s="47"/>
      <c r="W1983" s="51"/>
      <c r="X1983" s="51"/>
      <c r="Y1983" s="47"/>
      <c r="Z1983" s="47"/>
      <c r="AA1983" s="47"/>
      <c r="AB1983" s="47"/>
      <c r="AC1983" s="47"/>
      <c r="AD1983" s="47"/>
      <c r="AE1983" s="54"/>
      <c r="AF1983" s="54"/>
      <c r="AG1983" s="55"/>
      <c r="AH1983" s="54"/>
      <c r="AI1983" s="54"/>
      <c r="AJ1983" s="54"/>
      <c r="AK1983" s="54"/>
      <c r="AL1983" s="54"/>
      <c r="AM1983" s="54"/>
      <c r="AN1983" s="54"/>
      <c r="AO1983" s="54"/>
      <c r="AP1983" s="54"/>
      <c r="AQ1983" s="54"/>
      <c r="AR1983" s="54"/>
      <c r="AS1983" s="54"/>
      <c r="AT1983" s="54"/>
      <c r="AU1983" s="54"/>
      <c r="AV1983" s="54"/>
      <c r="AW1983" s="54"/>
      <c r="AX1983" s="54"/>
      <c r="AY1983" s="54"/>
      <c r="AZ1983" s="54"/>
      <c r="BA1983" s="54"/>
      <c r="BB1983" s="54"/>
      <c r="BC1983" s="56"/>
      <c r="BD1983" s="51"/>
      <c r="BE1983" s="54"/>
      <c r="BF1983" s="54"/>
      <c r="BG1983" s="47"/>
      <c r="BH1983" s="48"/>
      <c r="BI1983" s="48"/>
      <c r="BJ1983" s="48"/>
      <c r="BK1983" s="48"/>
      <c r="BL1983" s="48"/>
      <c r="BM1983" s="48"/>
      <c r="BN1983" s="48"/>
      <c r="BO1983" s="48"/>
      <c r="BP1983" s="48"/>
      <c r="BQ1983" s="48"/>
      <c r="BR1983" s="48"/>
      <c r="BS1983" s="48"/>
      <c r="BT1983" s="48"/>
      <c r="BU1983" s="48"/>
      <c r="BV1983" s="48"/>
      <c r="BW1983" s="48"/>
      <c r="BX1983" s="48"/>
      <c r="BY1983" s="48"/>
      <c r="BZ1983" s="48"/>
      <c r="CA1983" s="48"/>
      <c r="CB1983" s="48"/>
      <c r="CC1983" s="48"/>
      <c r="CD1983" s="48"/>
      <c r="CE1983" s="48"/>
      <c r="CF1983" s="52"/>
      <c r="CG1983" s="52"/>
      <c r="CH1983" s="48"/>
      <c r="CI1983" s="48"/>
      <c r="CJ1983" s="48"/>
      <c r="CK1983" s="48"/>
    </row>
    <row r="1984" spans="1:89" ht="15.75" customHeight="1" x14ac:dyDescent="0.3">
      <c r="A1984" s="47"/>
      <c r="B1984" s="48"/>
      <c r="C1984" s="47"/>
      <c r="D1984" s="48"/>
      <c r="E1984" s="48"/>
      <c r="F1984" s="48"/>
      <c r="G1984" s="48"/>
      <c r="H1984" s="48"/>
      <c r="I1984" s="49"/>
      <c r="J1984" s="47"/>
      <c r="K1984" s="47"/>
      <c r="L1984" s="47"/>
      <c r="M1984" s="47"/>
      <c r="N1984" s="47"/>
      <c r="O1984" s="47"/>
      <c r="P1984" s="47"/>
      <c r="Q1984" s="47"/>
      <c r="R1984" s="47"/>
      <c r="S1984" s="50"/>
      <c r="T1984" s="47"/>
      <c r="U1984" s="47"/>
      <c r="V1984" s="47"/>
      <c r="W1984" s="51"/>
      <c r="X1984" s="51"/>
      <c r="Y1984" s="47"/>
      <c r="Z1984" s="47"/>
      <c r="AA1984" s="47"/>
      <c r="AB1984" s="47"/>
      <c r="AC1984" s="47"/>
      <c r="AD1984" s="47"/>
      <c r="AE1984" s="54"/>
      <c r="AF1984" s="54"/>
      <c r="AG1984" s="55"/>
      <c r="AH1984" s="54"/>
      <c r="AI1984" s="54"/>
      <c r="AJ1984" s="54"/>
      <c r="AK1984" s="54"/>
      <c r="AL1984" s="54"/>
      <c r="AM1984" s="54"/>
      <c r="AN1984" s="54"/>
      <c r="AO1984" s="54"/>
      <c r="AP1984" s="54"/>
      <c r="AQ1984" s="54"/>
      <c r="AR1984" s="54"/>
      <c r="AS1984" s="54"/>
      <c r="AT1984" s="54"/>
      <c r="AU1984" s="54"/>
      <c r="AV1984" s="54"/>
      <c r="AW1984" s="54"/>
      <c r="AX1984" s="54"/>
      <c r="AY1984" s="54"/>
      <c r="AZ1984" s="54"/>
      <c r="BA1984" s="54"/>
      <c r="BB1984" s="54"/>
      <c r="BC1984" s="56"/>
      <c r="BD1984" s="51"/>
      <c r="BE1984" s="54"/>
      <c r="BF1984" s="54"/>
      <c r="BG1984" s="47"/>
      <c r="BH1984" s="48"/>
      <c r="BI1984" s="48"/>
      <c r="BJ1984" s="48"/>
      <c r="BK1984" s="48"/>
      <c r="BL1984" s="48"/>
      <c r="BM1984" s="48"/>
      <c r="BN1984" s="48"/>
      <c r="BO1984" s="48"/>
      <c r="BP1984" s="48"/>
      <c r="BQ1984" s="48"/>
      <c r="BR1984" s="48"/>
      <c r="BS1984" s="48"/>
      <c r="BT1984" s="48"/>
      <c r="BU1984" s="48"/>
      <c r="BV1984" s="48"/>
      <c r="BW1984" s="48"/>
      <c r="BX1984" s="48"/>
      <c r="BY1984" s="48"/>
      <c r="BZ1984" s="48"/>
      <c r="CA1984" s="48"/>
      <c r="CB1984" s="48"/>
      <c r="CC1984" s="48"/>
      <c r="CD1984" s="48"/>
      <c r="CE1984" s="48"/>
      <c r="CF1984" s="52"/>
      <c r="CG1984" s="52"/>
      <c r="CH1984" s="48"/>
      <c r="CI1984" s="48"/>
      <c r="CJ1984" s="48"/>
      <c r="CK1984" s="48"/>
    </row>
    <row r="1985" spans="1:89" ht="15.75" customHeight="1" x14ac:dyDescent="0.3">
      <c r="A1985" s="47"/>
      <c r="B1985" s="48"/>
      <c r="C1985" s="47"/>
      <c r="D1985" s="48"/>
      <c r="E1985" s="48"/>
      <c r="F1985" s="48"/>
      <c r="G1985" s="48"/>
      <c r="H1985" s="48"/>
      <c r="I1985" s="49"/>
      <c r="J1985" s="47"/>
      <c r="K1985" s="47"/>
      <c r="L1985" s="47"/>
      <c r="M1985" s="47"/>
      <c r="N1985" s="47"/>
      <c r="O1985" s="47"/>
      <c r="P1985" s="47"/>
      <c r="Q1985" s="47"/>
      <c r="R1985" s="47"/>
      <c r="S1985" s="50"/>
      <c r="T1985" s="47"/>
      <c r="U1985" s="47"/>
      <c r="V1985" s="47"/>
      <c r="W1985" s="51"/>
      <c r="X1985" s="51"/>
      <c r="Y1985" s="47"/>
      <c r="Z1985" s="47"/>
      <c r="AA1985" s="47"/>
      <c r="AB1985" s="47"/>
      <c r="AC1985" s="47"/>
      <c r="AD1985" s="47"/>
      <c r="AE1985" s="54"/>
      <c r="AF1985" s="54"/>
      <c r="AG1985" s="55"/>
      <c r="AH1985" s="54"/>
      <c r="AI1985" s="54"/>
      <c r="AJ1985" s="54"/>
      <c r="AK1985" s="54"/>
      <c r="AL1985" s="54"/>
      <c r="AM1985" s="54"/>
      <c r="AN1985" s="54"/>
      <c r="AO1985" s="54"/>
      <c r="AP1985" s="54"/>
      <c r="AQ1985" s="54"/>
      <c r="AR1985" s="54"/>
      <c r="AS1985" s="54"/>
      <c r="AT1985" s="54"/>
      <c r="AU1985" s="54"/>
      <c r="AV1985" s="54"/>
      <c r="AW1985" s="54"/>
      <c r="AX1985" s="54"/>
      <c r="AY1985" s="54"/>
      <c r="AZ1985" s="54"/>
      <c r="BA1985" s="54"/>
      <c r="BB1985" s="54"/>
      <c r="BC1985" s="56"/>
      <c r="BD1985" s="51"/>
      <c r="BE1985" s="54"/>
      <c r="BF1985" s="54"/>
      <c r="BG1985" s="47"/>
      <c r="BH1985" s="48"/>
      <c r="BI1985" s="48"/>
      <c r="BJ1985" s="48"/>
      <c r="BK1985" s="48"/>
      <c r="BL1985" s="48"/>
      <c r="BM1985" s="48"/>
      <c r="BN1985" s="48"/>
      <c r="BO1985" s="48"/>
      <c r="BP1985" s="48"/>
      <c r="BQ1985" s="48"/>
      <c r="BR1985" s="48"/>
      <c r="BS1985" s="48"/>
      <c r="BT1985" s="48"/>
      <c r="BU1985" s="48"/>
      <c r="BV1985" s="48"/>
      <c r="BW1985" s="48"/>
      <c r="BX1985" s="48"/>
      <c r="BY1985" s="48"/>
      <c r="BZ1985" s="48"/>
      <c r="CA1985" s="48"/>
      <c r="CB1985" s="48"/>
      <c r="CC1985" s="48"/>
      <c r="CD1985" s="48"/>
      <c r="CE1985" s="48"/>
      <c r="CF1985" s="52"/>
      <c r="CG1985" s="52"/>
      <c r="CH1985" s="48"/>
      <c r="CI1985" s="48"/>
      <c r="CJ1985" s="48"/>
      <c r="CK1985" s="48"/>
    </row>
    <row r="1986" spans="1:89" ht="15.75" customHeight="1" x14ac:dyDescent="0.3">
      <c r="A1986" s="47"/>
      <c r="B1986" s="48"/>
      <c r="C1986" s="47"/>
      <c r="D1986" s="48"/>
      <c r="E1986" s="48"/>
      <c r="F1986" s="48"/>
      <c r="G1986" s="48"/>
      <c r="H1986" s="48"/>
      <c r="I1986" s="49"/>
      <c r="J1986" s="47"/>
      <c r="K1986" s="47"/>
      <c r="L1986" s="47"/>
      <c r="M1986" s="47"/>
      <c r="N1986" s="47"/>
      <c r="O1986" s="47"/>
      <c r="P1986" s="47"/>
      <c r="Q1986" s="47"/>
      <c r="R1986" s="47"/>
      <c r="S1986" s="50"/>
      <c r="T1986" s="47"/>
      <c r="U1986" s="47"/>
      <c r="V1986" s="47"/>
      <c r="W1986" s="51"/>
      <c r="X1986" s="51"/>
      <c r="Y1986" s="47"/>
      <c r="Z1986" s="47"/>
      <c r="AA1986" s="47"/>
      <c r="AB1986" s="47"/>
      <c r="AC1986" s="47"/>
      <c r="AD1986" s="47"/>
      <c r="AE1986" s="54"/>
      <c r="AF1986" s="54"/>
      <c r="AG1986" s="55"/>
      <c r="AH1986" s="54"/>
      <c r="AI1986" s="54"/>
      <c r="AJ1986" s="54"/>
      <c r="AK1986" s="54"/>
      <c r="AL1986" s="54"/>
      <c r="AM1986" s="54"/>
      <c r="AN1986" s="54"/>
      <c r="AO1986" s="54"/>
      <c r="AP1986" s="54"/>
      <c r="AQ1986" s="54"/>
      <c r="AR1986" s="54"/>
      <c r="AS1986" s="54"/>
      <c r="AT1986" s="54"/>
      <c r="AU1986" s="54"/>
      <c r="AV1986" s="54"/>
      <c r="AW1986" s="54"/>
      <c r="AX1986" s="54"/>
      <c r="AY1986" s="54"/>
      <c r="AZ1986" s="54"/>
      <c r="BA1986" s="54"/>
      <c r="BB1986" s="54"/>
      <c r="BC1986" s="56"/>
      <c r="BD1986" s="51"/>
      <c r="BE1986" s="54"/>
      <c r="BF1986" s="54"/>
      <c r="BG1986" s="47"/>
      <c r="BH1986" s="48"/>
      <c r="BI1986" s="48"/>
      <c r="BJ1986" s="48"/>
      <c r="BK1986" s="48"/>
      <c r="BL1986" s="48"/>
      <c r="BM1986" s="48"/>
      <c r="BN1986" s="48"/>
      <c r="BO1986" s="48"/>
      <c r="BP1986" s="48"/>
      <c r="BQ1986" s="48"/>
      <c r="BR1986" s="48"/>
      <c r="BS1986" s="48"/>
      <c r="BT1986" s="48"/>
      <c r="BU1986" s="48"/>
      <c r="BV1986" s="48"/>
      <c r="BW1986" s="48"/>
      <c r="BX1986" s="48"/>
      <c r="BY1986" s="48"/>
      <c r="BZ1986" s="48"/>
      <c r="CA1986" s="48"/>
      <c r="CB1986" s="48"/>
      <c r="CC1986" s="48"/>
      <c r="CD1986" s="48"/>
      <c r="CE1986" s="48"/>
      <c r="CF1986" s="52"/>
      <c r="CG1986" s="52"/>
      <c r="CH1986" s="48"/>
      <c r="CI1986" s="48"/>
      <c r="CJ1986" s="48"/>
      <c r="CK1986" s="48"/>
    </row>
    <row r="1987" spans="1:89" ht="15.75" customHeight="1" x14ac:dyDescent="0.3">
      <c r="A1987" s="47"/>
      <c r="B1987" s="48"/>
      <c r="C1987" s="47"/>
      <c r="D1987" s="48"/>
      <c r="E1987" s="48"/>
      <c r="F1987" s="48"/>
      <c r="G1987" s="48"/>
      <c r="H1987" s="48"/>
      <c r="I1987" s="49"/>
      <c r="J1987" s="47"/>
      <c r="K1987" s="47"/>
      <c r="L1987" s="47"/>
      <c r="M1987" s="47"/>
      <c r="N1987" s="47"/>
      <c r="O1987" s="47"/>
      <c r="P1987" s="47"/>
      <c r="Q1987" s="47"/>
      <c r="R1987" s="47"/>
      <c r="S1987" s="50"/>
      <c r="T1987" s="47"/>
      <c r="U1987" s="47"/>
      <c r="V1987" s="47"/>
      <c r="W1987" s="51"/>
      <c r="X1987" s="51"/>
      <c r="Y1987" s="47"/>
      <c r="Z1987" s="47"/>
      <c r="AA1987" s="47"/>
      <c r="AB1987" s="47"/>
      <c r="AC1987" s="47"/>
      <c r="AD1987" s="47"/>
      <c r="AE1987" s="54"/>
      <c r="AF1987" s="54"/>
      <c r="AG1987" s="55"/>
      <c r="AH1987" s="54"/>
      <c r="AI1987" s="54"/>
      <c r="AJ1987" s="54"/>
      <c r="AK1987" s="54"/>
      <c r="AL1987" s="54"/>
      <c r="AM1987" s="54"/>
      <c r="AN1987" s="54"/>
      <c r="AO1987" s="54"/>
      <c r="AP1987" s="54"/>
      <c r="AQ1987" s="54"/>
      <c r="AR1987" s="54"/>
      <c r="AS1987" s="54"/>
      <c r="AT1987" s="54"/>
      <c r="AU1987" s="54"/>
      <c r="AV1987" s="54"/>
      <c r="AW1987" s="54"/>
      <c r="AX1987" s="54"/>
      <c r="AY1987" s="54"/>
      <c r="AZ1987" s="54"/>
      <c r="BA1987" s="54"/>
      <c r="BB1987" s="54"/>
      <c r="BC1987" s="56"/>
      <c r="BD1987" s="51"/>
      <c r="BE1987" s="54"/>
      <c r="BF1987" s="54"/>
      <c r="BG1987" s="47"/>
      <c r="BH1987" s="48"/>
      <c r="BI1987" s="48"/>
      <c r="BJ1987" s="48"/>
      <c r="BK1987" s="48"/>
      <c r="BL1987" s="48"/>
      <c r="BM1987" s="48"/>
      <c r="BN1987" s="48"/>
      <c r="BO1987" s="48"/>
      <c r="BP1987" s="48"/>
      <c r="BQ1987" s="48"/>
      <c r="BR1987" s="48"/>
      <c r="BS1987" s="48"/>
      <c r="BT1987" s="48"/>
      <c r="BU1987" s="48"/>
      <c r="BV1987" s="48"/>
      <c r="BW1987" s="48"/>
      <c r="BX1987" s="48"/>
      <c r="BY1987" s="48"/>
      <c r="BZ1987" s="48"/>
      <c r="CA1987" s="48"/>
      <c r="CB1987" s="48"/>
      <c r="CC1987" s="48"/>
      <c r="CD1987" s="48"/>
      <c r="CE1987" s="48"/>
      <c r="CF1987" s="52"/>
      <c r="CG1987" s="52"/>
      <c r="CH1987" s="48"/>
      <c r="CI1987" s="48"/>
      <c r="CJ1987" s="48"/>
      <c r="CK1987" s="48"/>
    </row>
    <row r="1988" spans="1:89" ht="15.75" customHeight="1" x14ac:dyDescent="0.3">
      <c r="A1988" s="47"/>
      <c r="B1988" s="48"/>
      <c r="C1988" s="47"/>
      <c r="D1988" s="48"/>
      <c r="E1988" s="48"/>
      <c r="F1988" s="48"/>
      <c r="G1988" s="48"/>
      <c r="H1988" s="48"/>
      <c r="I1988" s="49"/>
      <c r="J1988" s="47"/>
      <c r="K1988" s="47"/>
      <c r="L1988" s="47"/>
      <c r="M1988" s="47"/>
      <c r="N1988" s="47"/>
      <c r="O1988" s="47"/>
      <c r="P1988" s="47"/>
      <c r="Q1988" s="47"/>
      <c r="R1988" s="47"/>
      <c r="S1988" s="50"/>
      <c r="T1988" s="47"/>
      <c r="U1988" s="47"/>
      <c r="V1988" s="47"/>
      <c r="W1988" s="51"/>
      <c r="X1988" s="51"/>
      <c r="Y1988" s="47"/>
      <c r="Z1988" s="47"/>
      <c r="AA1988" s="47"/>
      <c r="AB1988" s="47"/>
      <c r="AC1988" s="47"/>
      <c r="AD1988" s="47"/>
      <c r="AE1988" s="54"/>
      <c r="AF1988" s="54"/>
      <c r="AG1988" s="55"/>
      <c r="AH1988" s="54"/>
      <c r="AI1988" s="54"/>
      <c r="AJ1988" s="54"/>
      <c r="AK1988" s="54"/>
      <c r="AL1988" s="54"/>
      <c r="AM1988" s="54"/>
      <c r="AN1988" s="54"/>
      <c r="AO1988" s="54"/>
      <c r="AP1988" s="54"/>
      <c r="AQ1988" s="54"/>
      <c r="AR1988" s="54"/>
      <c r="AS1988" s="54"/>
      <c r="AT1988" s="54"/>
      <c r="AU1988" s="54"/>
      <c r="AV1988" s="54"/>
      <c r="AW1988" s="54"/>
      <c r="AX1988" s="54"/>
      <c r="AY1988" s="54"/>
      <c r="AZ1988" s="54"/>
      <c r="BA1988" s="54"/>
      <c r="BB1988" s="54"/>
      <c r="BC1988" s="56"/>
      <c r="BD1988" s="51"/>
      <c r="BE1988" s="54"/>
      <c r="BF1988" s="54"/>
      <c r="BG1988" s="47"/>
      <c r="BH1988" s="48"/>
      <c r="BI1988" s="48"/>
      <c r="BJ1988" s="48"/>
      <c r="BK1988" s="48"/>
      <c r="BL1988" s="48"/>
      <c r="BM1988" s="48"/>
      <c r="BN1988" s="48"/>
      <c r="BO1988" s="48"/>
      <c r="BP1988" s="48"/>
      <c r="BQ1988" s="48"/>
      <c r="BR1988" s="48"/>
      <c r="BS1988" s="48"/>
      <c r="BT1988" s="48"/>
      <c r="BU1988" s="48"/>
      <c r="BV1988" s="48"/>
      <c r="BW1988" s="48"/>
      <c r="BX1988" s="48"/>
      <c r="BY1988" s="48"/>
      <c r="BZ1988" s="48"/>
      <c r="CA1988" s="48"/>
      <c r="CB1988" s="48"/>
      <c r="CC1988" s="48"/>
      <c r="CD1988" s="48"/>
      <c r="CE1988" s="48"/>
      <c r="CF1988" s="52"/>
      <c r="CG1988" s="52"/>
      <c r="CH1988" s="48"/>
      <c r="CI1988" s="48"/>
      <c r="CJ1988" s="48"/>
      <c r="CK1988" s="48"/>
    </row>
    <row r="1989" spans="1:89" ht="15.75" customHeight="1" x14ac:dyDescent="0.3">
      <c r="A1989" s="47"/>
      <c r="B1989" s="48"/>
      <c r="C1989" s="47"/>
      <c r="D1989" s="48"/>
      <c r="E1989" s="48"/>
      <c r="F1989" s="48"/>
      <c r="G1989" s="48"/>
      <c r="H1989" s="48"/>
      <c r="I1989" s="49"/>
      <c r="J1989" s="47"/>
      <c r="K1989" s="47"/>
      <c r="L1989" s="47"/>
      <c r="M1989" s="47"/>
      <c r="N1989" s="47"/>
      <c r="O1989" s="47"/>
      <c r="P1989" s="47"/>
      <c r="Q1989" s="47"/>
      <c r="R1989" s="47"/>
      <c r="S1989" s="50"/>
      <c r="T1989" s="47"/>
      <c r="U1989" s="47"/>
      <c r="V1989" s="47"/>
      <c r="W1989" s="51"/>
      <c r="X1989" s="51"/>
      <c r="Y1989" s="47"/>
      <c r="Z1989" s="47"/>
      <c r="AA1989" s="47"/>
      <c r="AB1989" s="47"/>
      <c r="AC1989" s="47"/>
      <c r="AD1989" s="47"/>
      <c r="AE1989" s="54"/>
      <c r="AF1989" s="54"/>
      <c r="AG1989" s="55"/>
      <c r="AH1989" s="54"/>
      <c r="AI1989" s="54"/>
      <c r="AJ1989" s="54"/>
      <c r="AK1989" s="54"/>
      <c r="AL1989" s="54"/>
      <c r="AM1989" s="54"/>
      <c r="AN1989" s="54"/>
      <c r="AO1989" s="54"/>
      <c r="AP1989" s="54"/>
      <c r="AQ1989" s="54"/>
      <c r="AR1989" s="54"/>
      <c r="AS1989" s="54"/>
      <c r="AT1989" s="54"/>
      <c r="AU1989" s="54"/>
      <c r="AV1989" s="54"/>
      <c r="AW1989" s="54"/>
      <c r="AX1989" s="54"/>
      <c r="AY1989" s="54"/>
      <c r="AZ1989" s="54"/>
      <c r="BA1989" s="54"/>
      <c r="BB1989" s="54"/>
      <c r="BC1989" s="56"/>
      <c r="BD1989" s="51"/>
      <c r="BE1989" s="54"/>
      <c r="BF1989" s="54"/>
      <c r="BG1989" s="47"/>
      <c r="BH1989" s="48"/>
      <c r="BI1989" s="48"/>
      <c r="BJ1989" s="48"/>
      <c r="BK1989" s="48"/>
      <c r="BL1989" s="48"/>
      <c r="BM1989" s="48"/>
      <c r="BN1989" s="48"/>
      <c r="BO1989" s="48"/>
      <c r="BP1989" s="48"/>
      <c r="BQ1989" s="48"/>
      <c r="BR1989" s="48"/>
      <c r="BS1989" s="48"/>
      <c r="BT1989" s="48"/>
      <c r="BU1989" s="48"/>
      <c r="BV1989" s="48"/>
      <c r="BW1989" s="48"/>
      <c r="BX1989" s="48"/>
      <c r="BY1989" s="48"/>
      <c r="BZ1989" s="48"/>
      <c r="CA1989" s="48"/>
      <c r="CB1989" s="48"/>
      <c r="CC1989" s="48"/>
      <c r="CD1989" s="48"/>
      <c r="CE1989" s="48"/>
      <c r="CF1989" s="52"/>
      <c r="CG1989" s="52"/>
      <c r="CH1989" s="48"/>
      <c r="CI1989" s="48"/>
      <c r="CJ1989" s="48"/>
      <c r="CK1989" s="48"/>
    </row>
    <row r="1990" spans="1:89" ht="15.75" customHeight="1" x14ac:dyDescent="0.3">
      <c r="A1990" s="47"/>
      <c r="B1990" s="48"/>
      <c r="C1990" s="47"/>
      <c r="D1990" s="48"/>
      <c r="E1990" s="48"/>
      <c r="F1990" s="48"/>
      <c r="G1990" s="48"/>
      <c r="H1990" s="48"/>
      <c r="I1990" s="49"/>
      <c r="J1990" s="47"/>
      <c r="K1990" s="47"/>
      <c r="L1990" s="47"/>
      <c r="M1990" s="47"/>
      <c r="N1990" s="47"/>
      <c r="O1990" s="47"/>
      <c r="P1990" s="47"/>
      <c r="Q1990" s="47"/>
      <c r="R1990" s="47"/>
      <c r="S1990" s="50"/>
      <c r="T1990" s="47"/>
      <c r="U1990" s="47"/>
      <c r="V1990" s="47"/>
      <c r="W1990" s="51"/>
      <c r="X1990" s="51"/>
      <c r="Y1990" s="47"/>
      <c r="Z1990" s="47"/>
      <c r="AA1990" s="47"/>
      <c r="AB1990" s="47"/>
      <c r="AC1990" s="47"/>
      <c r="AD1990" s="47"/>
      <c r="AE1990" s="54"/>
      <c r="AF1990" s="54"/>
      <c r="AG1990" s="55"/>
      <c r="AH1990" s="54"/>
      <c r="AI1990" s="54"/>
      <c r="AJ1990" s="54"/>
      <c r="AK1990" s="54"/>
      <c r="AL1990" s="54"/>
      <c r="AM1990" s="54"/>
      <c r="AN1990" s="54"/>
      <c r="AO1990" s="54"/>
      <c r="AP1990" s="54"/>
      <c r="AQ1990" s="54"/>
      <c r="AR1990" s="54"/>
      <c r="AS1990" s="54"/>
      <c r="AT1990" s="54"/>
      <c r="AU1990" s="54"/>
      <c r="AV1990" s="54"/>
      <c r="AW1990" s="54"/>
      <c r="AX1990" s="54"/>
      <c r="AY1990" s="54"/>
      <c r="AZ1990" s="54"/>
      <c r="BA1990" s="54"/>
      <c r="BB1990" s="54"/>
      <c r="BC1990" s="56"/>
      <c r="BD1990" s="51"/>
      <c r="BE1990" s="54"/>
      <c r="BF1990" s="54"/>
      <c r="BG1990" s="47"/>
      <c r="BH1990" s="48"/>
      <c r="BI1990" s="48"/>
      <c r="BJ1990" s="48"/>
      <c r="BK1990" s="48"/>
      <c r="BL1990" s="48"/>
      <c r="BM1990" s="48"/>
      <c r="BN1990" s="48"/>
      <c r="BO1990" s="48"/>
      <c r="BP1990" s="48"/>
      <c r="BQ1990" s="48"/>
      <c r="BR1990" s="48"/>
      <c r="BS1990" s="48"/>
      <c r="BT1990" s="48"/>
      <c r="BU1990" s="48"/>
      <c r="BV1990" s="48"/>
      <c r="BW1990" s="48"/>
      <c r="BX1990" s="48"/>
      <c r="BY1990" s="48"/>
      <c r="BZ1990" s="48"/>
      <c r="CA1990" s="48"/>
      <c r="CB1990" s="48"/>
      <c r="CC1990" s="48"/>
      <c r="CD1990" s="48"/>
      <c r="CE1990" s="48"/>
      <c r="CF1990" s="52"/>
      <c r="CG1990" s="52"/>
      <c r="CH1990" s="48"/>
      <c r="CI1990" s="48"/>
      <c r="CJ1990" s="48"/>
      <c r="CK1990" s="48"/>
    </row>
    <row r="1991" spans="1:89" ht="15.75" customHeight="1" x14ac:dyDescent="0.3">
      <c r="A1991" s="47"/>
      <c r="B1991" s="48"/>
      <c r="C1991" s="47"/>
      <c r="D1991" s="48"/>
      <c r="E1991" s="48"/>
      <c r="F1991" s="48"/>
      <c r="G1991" s="48"/>
      <c r="H1991" s="48"/>
      <c r="I1991" s="49"/>
      <c r="J1991" s="47"/>
      <c r="K1991" s="47"/>
      <c r="L1991" s="47"/>
      <c r="M1991" s="47"/>
      <c r="N1991" s="47"/>
      <c r="O1991" s="47"/>
      <c r="P1991" s="47"/>
      <c r="Q1991" s="47"/>
      <c r="R1991" s="47"/>
      <c r="S1991" s="50"/>
      <c r="T1991" s="47"/>
      <c r="U1991" s="47"/>
      <c r="V1991" s="47"/>
      <c r="W1991" s="51"/>
      <c r="X1991" s="51"/>
      <c r="Y1991" s="47"/>
      <c r="Z1991" s="47"/>
      <c r="AA1991" s="47"/>
      <c r="AB1991" s="47"/>
      <c r="AC1991" s="47"/>
      <c r="AD1991" s="47"/>
      <c r="AE1991" s="54"/>
      <c r="AF1991" s="54"/>
      <c r="AG1991" s="55"/>
      <c r="AH1991" s="54"/>
      <c r="AI1991" s="54"/>
      <c r="AJ1991" s="54"/>
      <c r="AK1991" s="54"/>
      <c r="AL1991" s="54"/>
      <c r="AM1991" s="54"/>
      <c r="AN1991" s="54"/>
      <c r="AO1991" s="54"/>
      <c r="AP1991" s="54"/>
      <c r="AQ1991" s="54"/>
      <c r="AR1991" s="54"/>
      <c r="AS1991" s="54"/>
      <c r="AT1991" s="54"/>
      <c r="AU1991" s="54"/>
      <c r="AV1991" s="54"/>
      <c r="AW1991" s="54"/>
      <c r="AX1991" s="54"/>
      <c r="AY1991" s="54"/>
      <c r="AZ1991" s="54"/>
      <c r="BA1991" s="54"/>
      <c r="BB1991" s="54"/>
      <c r="BC1991" s="56"/>
      <c r="BD1991" s="51"/>
      <c r="BE1991" s="54"/>
      <c r="BF1991" s="54"/>
      <c r="BG1991" s="47"/>
      <c r="BH1991" s="48"/>
      <c r="BI1991" s="48"/>
      <c r="BJ1991" s="48"/>
      <c r="BK1991" s="48"/>
      <c r="BL1991" s="48"/>
      <c r="BM1991" s="48"/>
      <c r="BN1991" s="48"/>
      <c r="BO1991" s="48"/>
      <c r="BP1991" s="48"/>
      <c r="BQ1991" s="48"/>
      <c r="BR1991" s="48"/>
      <c r="BS1991" s="48"/>
      <c r="BT1991" s="48"/>
      <c r="BU1991" s="48"/>
      <c r="BV1991" s="48"/>
      <c r="BW1991" s="48"/>
      <c r="BX1991" s="48"/>
      <c r="BY1991" s="48"/>
      <c r="BZ1991" s="48"/>
      <c r="CA1991" s="48"/>
      <c r="CB1991" s="48"/>
      <c r="CC1991" s="48"/>
      <c r="CD1991" s="48"/>
      <c r="CE1991" s="48"/>
      <c r="CF1991" s="52"/>
      <c r="CG1991" s="52"/>
      <c r="CH1991" s="48"/>
      <c r="CI1991" s="48"/>
      <c r="CJ1991" s="48"/>
      <c r="CK1991" s="48"/>
    </row>
    <row r="1992" spans="1:89" ht="15.75" customHeight="1" x14ac:dyDescent="0.3">
      <c r="A1992" s="47"/>
      <c r="B1992" s="48"/>
      <c r="C1992" s="47"/>
      <c r="D1992" s="48"/>
      <c r="E1992" s="48"/>
      <c r="F1992" s="48"/>
      <c r="G1992" s="48"/>
      <c r="H1992" s="48"/>
      <c r="I1992" s="49"/>
      <c r="J1992" s="47"/>
      <c r="K1992" s="47"/>
      <c r="L1992" s="47"/>
      <c r="M1992" s="47"/>
      <c r="N1992" s="47"/>
      <c r="O1992" s="47"/>
      <c r="P1992" s="47"/>
      <c r="Q1992" s="47"/>
      <c r="R1992" s="47"/>
      <c r="S1992" s="50"/>
      <c r="T1992" s="47"/>
      <c r="U1992" s="47"/>
      <c r="V1992" s="47"/>
      <c r="W1992" s="51"/>
      <c r="X1992" s="51"/>
      <c r="Y1992" s="47"/>
      <c r="Z1992" s="47"/>
      <c r="AA1992" s="47"/>
      <c r="AB1992" s="47"/>
      <c r="AC1992" s="47"/>
      <c r="AD1992" s="47"/>
      <c r="AE1992" s="54"/>
      <c r="AF1992" s="54"/>
      <c r="AG1992" s="55"/>
      <c r="AH1992" s="54"/>
      <c r="AI1992" s="54"/>
      <c r="AJ1992" s="54"/>
      <c r="AK1992" s="54"/>
      <c r="AL1992" s="54"/>
      <c r="AM1992" s="54"/>
      <c r="AN1992" s="54"/>
      <c r="AO1992" s="54"/>
      <c r="AP1992" s="54"/>
      <c r="AQ1992" s="54"/>
      <c r="AR1992" s="54"/>
      <c r="AS1992" s="54"/>
      <c r="AT1992" s="54"/>
      <c r="AU1992" s="54"/>
      <c r="AV1992" s="54"/>
      <c r="AW1992" s="54"/>
      <c r="AX1992" s="54"/>
      <c r="AY1992" s="54"/>
      <c r="AZ1992" s="54"/>
      <c r="BA1992" s="54"/>
      <c r="BB1992" s="54"/>
      <c r="BC1992" s="56"/>
      <c r="BD1992" s="51"/>
      <c r="BE1992" s="54"/>
      <c r="BF1992" s="54"/>
      <c r="BG1992" s="47"/>
      <c r="BH1992" s="48"/>
      <c r="BI1992" s="48"/>
      <c r="BJ1992" s="48"/>
      <c r="BK1992" s="48"/>
      <c r="BL1992" s="48"/>
      <c r="BM1992" s="48"/>
      <c r="BN1992" s="48"/>
      <c r="BO1992" s="48"/>
      <c r="BP1992" s="48"/>
      <c r="BQ1992" s="48"/>
      <c r="BR1992" s="48"/>
      <c r="BS1992" s="48"/>
      <c r="BT1992" s="48"/>
      <c r="BU1992" s="48"/>
      <c r="BV1992" s="48"/>
      <c r="BW1992" s="48"/>
      <c r="BX1992" s="48"/>
      <c r="BY1992" s="48"/>
      <c r="BZ1992" s="48"/>
      <c r="CA1992" s="48"/>
      <c r="CB1992" s="48"/>
      <c r="CC1992" s="48"/>
      <c r="CD1992" s="48"/>
      <c r="CE1992" s="48"/>
      <c r="CF1992" s="52"/>
      <c r="CG1992" s="52"/>
      <c r="CH1992" s="48"/>
      <c r="CI1992" s="48"/>
      <c r="CJ1992" s="48"/>
      <c r="CK1992" s="48"/>
    </row>
    <row r="1993" spans="1:89" ht="15.75" customHeight="1" x14ac:dyDescent="0.3">
      <c r="A1993" s="47"/>
      <c r="B1993" s="48"/>
      <c r="C1993" s="47"/>
      <c r="D1993" s="48"/>
      <c r="E1993" s="48"/>
      <c r="F1993" s="48"/>
      <c r="G1993" s="48"/>
      <c r="H1993" s="48"/>
      <c r="I1993" s="49"/>
      <c r="J1993" s="47"/>
      <c r="K1993" s="47"/>
      <c r="L1993" s="47"/>
      <c r="M1993" s="47"/>
      <c r="N1993" s="47"/>
      <c r="O1993" s="47"/>
      <c r="P1993" s="47"/>
      <c r="Q1993" s="47"/>
      <c r="R1993" s="47"/>
      <c r="S1993" s="50"/>
      <c r="T1993" s="47"/>
      <c r="U1993" s="47"/>
      <c r="V1993" s="47"/>
      <c r="W1993" s="51"/>
      <c r="X1993" s="51"/>
      <c r="Y1993" s="47"/>
      <c r="Z1993" s="47"/>
      <c r="AA1993" s="47"/>
      <c r="AB1993" s="47"/>
      <c r="AC1993" s="47"/>
      <c r="AD1993" s="47"/>
      <c r="AE1993" s="54"/>
      <c r="AF1993" s="54"/>
      <c r="AG1993" s="55"/>
      <c r="AH1993" s="54"/>
      <c r="AI1993" s="54"/>
      <c r="AJ1993" s="54"/>
      <c r="AK1993" s="54"/>
      <c r="AL1993" s="54"/>
      <c r="AM1993" s="54"/>
      <c r="AN1993" s="54"/>
      <c r="AO1993" s="54"/>
      <c r="AP1993" s="54"/>
      <c r="AQ1993" s="54"/>
      <c r="AR1993" s="54"/>
      <c r="AS1993" s="54"/>
      <c r="AT1993" s="54"/>
      <c r="AU1993" s="54"/>
      <c r="AV1993" s="54"/>
      <c r="AW1993" s="54"/>
      <c r="AX1993" s="54"/>
      <c r="AY1993" s="54"/>
      <c r="AZ1993" s="54"/>
      <c r="BA1993" s="54"/>
      <c r="BB1993" s="54"/>
      <c r="BC1993" s="56"/>
      <c r="BD1993" s="51"/>
      <c r="BE1993" s="54"/>
      <c r="BF1993" s="54"/>
      <c r="BG1993" s="47"/>
      <c r="BH1993" s="48"/>
      <c r="BI1993" s="48"/>
      <c r="BJ1993" s="48"/>
      <c r="BK1993" s="48"/>
      <c r="BL1993" s="48"/>
      <c r="BM1993" s="48"/>
      <c r="BN1993" s="48"/>
      <c r="BO1993" s="48"/>
      <c r="BP1993" s="48"/>
      <c r="BQ1993" s="48"/>
      <c r="BR1993" s="48"/>
      <c r="BS1993" s="48"/>
      <c r="BT1993" s="48"/>
      <c r="BU1993" s="48"/>
      <c r="BV1993" s="48"/>
      <c r="BW1993" s="48"/>
      <c r="BX1993" s="48"/>
      <c r="BY1993" s="48"/>
      <c r="BZ1993" s="48"/>
      <c r="CA1993" s="48"/>
      <c r="CB1993" s="48"/>
      <c r="CC1993" s="48"/>
      <c r="CD1993" s="48"/>
      <c r="CE1993" s="48"/>
      <c r="CF1993" s="52"/>
      <c r="CG1993" s="52"/>
      <c r="CH1993" s="48"/>
      <c r="CI1993" s="48"/>
      <c r="CJ1993" s="48"/>
      <c r="CK1993" s="48"/>
    </row>
    <row r="1994" spans="1:89" ht="15.75" customHeight="1" x14ac:dyDescent="0.3">
      <c r="A1994" s="47"/>
      <c r="B1994" s="48"/>
      <c r="C1994" s="47"/>
      <c r="D1994" s="48"/>
      <c r="E1994" s="48"/>
      <c r="F1994" s="48"/>
      <c r="G1994" s="48"/>
      <c r="H1994" s="48"/>
      <c r="I1994" s="49"/>
      <c r="J1994" s="47"/>
      <c r="K1994" s="47"/>
      <c r="L1994" s="47"/>
      <c r="M1994" s="47"/>
      <c r="N1994" s="47"/>
      <c r="O1994" s="47"/>
      <c r="P1994" s="47"/>
      <c r="Q1994" s="47"/>
      <c r="R1994" s="47"/>
      <c r="S1994" s="50"/>
      <c r="T1994" s="47"/>
      <c r="U1994" s="47"/>
      <c r="V1994" s="47"/>
      <c r="W1994" s="51"/>
      <c r="X1994" s="51"/>
      <c r="Y1994" s="47"/>
      <c r="Z1994" s="47"/>
      <c r="AA1994" s="47"/>
      <c r="AB1994" s="47"/>
      <c r="AC1994" s="47"/>
      <c r="AD1994" s="47"/>
      <c r="AE1994" s="54"/>
      <c r="AF1994" s="54"/>
      <c r="AG1994" s="55"/>
      <c r="AH1994" s="54"/>
      <c r="AI1994" s="54"/>
      <c r="AJ1994" s="54"/>
      <c r="AK1994" s="54"/>
      <c r="AL1994" s="54"/>
      <c r="AM1994" s="54"/>
      <c r="AN1994" s="54"/>
      <c r="AO1994" s="54"/>
      <c r="AP1994" s="54"/>
      <c r="AQ1994" s="54"/>
      <c r="AR1994" s="54"/>
      <c r="AS1994" s="54"/>
      <c r="AT1994" s="54"/>
      <c r="AU1994" s="54"/>
      <c r="AV1994" s="54"/>
      <c r="AW1994" s="54"/>
      <c r="AX1994" s="54"/>
      <c r="AY1994" s="54"/>
      <c r="AZ1994" s="54"/>
      <c r="BA1994" s="54"/>
      <c r="BB1994" s="54"/>
      <c r="BC1994" s="56"/>
      <c r="BD1994" s="51"/>
      <c r="BE1994" s="54"/>
      <c r="BF1994" s="54"/>
      <c r="BG1994" s="47"/>
      <c r="BH1994" s="48"/>
      <c r="BI1994" s="48"/>
      <c r="BJ1994" s="48"/>
      <c r="BK1994" s="48"/>
      <c r="BL1994" s="48"/>
      <c r="BM1994" s="48"/>
      <c r="BN1994" s="48"/>
      <c r="BO1994" s="48"/>
      <c r="BP1994" s="48"/>
      <c r="BQ1994" s="48"/>
      <c r="BR1994" s="48"/>
      <c r="BS1994" s="48"/>
      <c r="BT1994" s="48"/>
      <c r="BU1994" s="48"/>
      <c r="BV1994" s="48"/>
      <c r="BW1994" s="48"/>
      <c r="BX1994" s="48"/>
      <c r="BY1994" s="48"/>
      <c r="BZ1994" s="48"/>
      <c r="CA1994" s="48"/>
      <c r="CB1994" s="48"/>
      <c r="CC1994" s="48"/>
      <c r="CD1994" s="48"/>
      <c r="CE1994" s="48"/>
      <c r="CF1994" s="52"/>
      <c r="CG1994" s="52"/>
      <c r="CH1994" s="48"/>
      <c r="CI1994" s="48"/>
      <c r="CJ1994" s="48"/>
      <c r="CK1994" s="48"/>
    </row>
    <row r="1995" spans="1:89" ht="15.75" customHeight="1" x14ac:dyDescent="0.3">
      <c r="A1995" s="47"/>
      <c r="B1995" s="48"/>
      <c r="C1995" s="47"/>
      <c r="D1995" s="48"/>
      <c r="E1995" s="48"/>
      <c r="F1995" s="48"/>
      <c r="G1995" s="48"/>
      <c r="H1995" s="48"/>
      <c r="I1995" s="49"/>
      <c r="J1995" s="47"/>
      <c r="K1995" s="47"/>
      <c r="L1995" s="47"/>
      <c r="M1995" s="47"/>
      <c r="N1995" s="47"/>
      <c r="O1995" s="47"/>
      <c r="P1995" s="47"/>
      <c r="Q1995" s="47"/>
      <c r="R1995" s="47"/>
      <c r="S1995" s="50"/>
      <c r="T1995" s="47"/>
      <c r="U1995" s="47"/>
      <c r="V1995" s="47"/>
      <c r="W1995" s="51"/>
      <c r="X1995" s="51"/>
      <c r="Y1995" s="47"/>
      <c r="Z1995" s="47"/>
      <c r="AA1995" s="47"/>
      <c r="AB1995" s="47"/>
      <c r="AC1995" s="47"/>
      <c r="AD1995" s="47"/>
      <c r="AE1995" s="54"/>
      <c r="AF1995" s="54"/>
      <c r="AG1995" s="55"/>
      <c r="AH1995" s="54"/>
      <c r="AI1995" s="54"/>
      <c r="AJ1995" s="54"/>
      <c r="AK1995" s="54"/>
      <c r="AL1995" s="54"/>
      <c r="AM1995" s="54"/>
      <c r="AN1995" s="54"/>
      <c r="AO1995" s="54"/>
      <c r="AP1995" s="54"/>
      <c r="AQ1995" s="54"/>
      <c r="AR1995" s="54"/>
      <c r="AS1995" s="54"/>
      <c r="AT1995" s="54"/>
      <c r="AU1995" s="54"/>
      <c r="AV1995" s="54"/>
      <c r="AW1995" s="54"/>
      <c r="AX1995" s="54"/>
      <c r="AY1995" s="54"/>
      <c r="AZ1995" s="54"/>
      <c r="BA1995" s="54"/>
      <c r="BB1995" s="54"/>
      <c r="BC1995" s="56"/>
      <c r="BD1995" s="51"/>
      <c r="BE1995" s="54"/>
      <c r="BF1995" s="54"/>
      <c r="BG1995" s="47"/>
      <c r="BH1995" s="48"/>
      <c r="BI1995" s="48"/>
      <c r="BJ1995" s="48"/>
      <c r="BK1995" s="48"/>
      <c r="BL1995" s="48"/>
      <c r="BM1995" s="48"/>
      <c r="BN1995" s="48"/>
      <c r="BO1995" s="48"/>
      <c r="BP1995" s="48"/>
      <c r="BQ1995" s="48"/>
      <c r="BR1995" s="48"/>
      <c r="BS1995" s="48"/>
      <c r="BT1995" s="48"/>
      <c r="BU1995" s="48"/>
      <c r="BV1995" s="48"/>
      <c r="BW1995" s="48"/>
      <c r="BX1995" s="48"/>
      <c r="BY1995" s="48"/>
      <c r="BZ1995" s="48"/>
      <c r="CA1995" s="48"/>
      <c r="CB1995" s="48"/>
      <c r="CC1995" s="48"/>
      <c r="CD1995" s="48"/>
      <c r="CE1995" s="48"/>
      <c r="CF1995" s="52"/>
      <c r="CG1995" s="52"/>
      <c r="CH1995" s="48"/>
      <c r="CI1995" s="48"/>
      <c r="CJ1995" s="48"/>
      <c r="CK1995" s="48"/>
    </row>
    <row r="1996" spans="1:89" ht="15.75" customHeight="1" x14ac:dyDescent="0.3">
      <c r="A1996" s="47"/>
      <c r="B1996" s="48"/>
      <c r="C1996" s="47"/>
      <c r="D1996" s="48"/>
      <c r="E1996" s="48"/>
      <c r="F1996" s="48"/>
      <c r="G1996" s="48"/>
      <c r="H1996" s="48"/>
      <c r="I1996" s="49"/>
      <c r="J1996" s="47"/>
      <c r="K1996" s="47"/>
      <c r="L1996" s="47"/>
      <c r="M1996" s="47"/>
      <c r="N1996" s="47"/>
      <c r="O1996" s="47"/>
      <c r="P1996" s="47"/>
      <c r="Q1996" s="47"/>
      <c r="R1996" s="47"/>
      <c r="S1996" s="50"/>
      <c r="T1996" s="47"/>
      <c r="U1996" s="47"/>
      <c r="V1996" s="47"/>
      <c r="W1996" s="51"/>
      <c r="X1996" s="51"/>
      <c r="Y1996" s="47"/>
      <c r="Z1996" s="47"/>
      <c r="AA1996" s="47"/>
      <c r="AB1996" s="47"/>
      <c r="AC1996" s="47"/>
      <c r="AD1996" s="47"/>
      <c r="AE1996" s="54"/>
      <c r="AF1996" s="54"/>
      <c r="AG1996" s="55"/>
      <c r="AH1996" s="54"/>
      <c r="AI1996" s="54"/>
      <c r="AJ1996" s="54"/>
      <c r="AK1996" s="54"/>
      <c r="AL1996" s="54"/>
      <c r="AM1996" s="54"/>
      <c r="AN1996" s="54"/>
      <c r="AO1996" s="54"/>
      <c r="AP1996" s="54"/>
      <c r="AQ1996" s="54"/>
      <c r="AR1996" s="54"/>
      <c r="AS1996" s="54"/>
      <c r="AT1996" s="54"/>
      <c r="AU1996" s="54"/>
      <c r="AV1996" s="54"/>
      <c r="AW1996" s="54"/>
      <c r="AX1996" s="54"/>
      <c r="AY1996" s="54"/>
      <c r="AZ1996" s="54"/>
      <c r="BA1996" s="54"/>
      <c r="BB1996" s="54"/>
      <c r="BC1996" s="56"/>
      <c r="BD1996" s="51"/>
      <c r="BE1996" s="54"/>
      <c r="BF1996" s="54"/>
      <c r="BG1996" s="47"/>
      <c r="BH1996" s="48"/>
      <c r="BI1996" s="48"/>
      <c r="BJ1996" s="48"/>
      <c r="BK1996" s="48"/>
      <c r="BL1996" s="48"/>
      <c r="BM1996" s="48"/>
      <c r="BN1996" s="48"/>
      <c r="BO1996" s="48"/>
      <c r="BP1996" s="48"/>
      <c r="BQ1996" s="48"/>
      <c r="BR1996" s="48"/>
      <c r="BS1996" s="48"/>
      <c r="BT1996" s="48"/>
      <c r="BU1996" s="48"/>
      <c r="BV1996" s="48"/>
      <c r="BW1996" s="48"/>
      <c r="BX1996" s="48"/>
      <c r="BY1996" s="48"/>
      <c r="BZ1996" s="48"/>
      <c r="CA1996" s="48"/>
      <c r="CB1996" s="48"/>
      <c r="CC1996" s="48"/>
      <c r="CD1996" s="48"/>
      <c r="CE1996" s="48"/>
      <c r="CF1996" s="52"/>
      <c r="CG1996" s="52"/>
      <c r="CH1996" s="48"/>
      <c r="CI1996" s="48"/>
      <c r="CJ1996" s="48"/>
      <c r="CK1996" s="48"/>
    </row>
    <row r="1997" spans="1:89" ht="15.75" customHeight="1" x14ac:dyDescent="0.3">
      <c r="A1997" s="47"/>
      <c r="B1997" s="48"/>
      <c r="C1997" s="47"/>
      <c r="D1997" s="48"/>
      <c r="E1997" s="48"/>
      <c r="F1997" s="48"/>
      <c r="G1997" s="48"/>
      <c r="H1997" s="48"/>
      <c r="I1997" s="49"/>
      <c r="J1997" s="47"/>
      <c r="K1997" s="47"/>
      <c r="L1997" s="47"/>
      <c r="M1997" s="47"/>
      <c r="N1997" s="47"/>
      <c r="O1997" s="47"/>
      <c r="P1997" s="47"/>
      <c r="Q1997" s="47"/>
      <c r="R1997" s="47"/>
      <c r="S1997" s="50"/>
      <c r="T1997" s="47"/>
      <c r="U1997" s="47"/>
      <c r="V1997" s="47"/>
      <c r="W1997" s="51"/>
      <c r="X1997" s="51"/>
      <c r="Y1997" s="47"/>
      <c r="Z1997" s="47"/>
      <c r="AA1997" s="47"/>
      <c r="AB1997" s="47"/>
      <c r="AC1997" s="47"/>
      <c r="AD1997" s="47"/>
      <c r="AE1997" s="54"/>
      <c r="AF1997" s="54"/>
      <c r="AG1997" s="55"/>
      <c r="AH1997" s="54"/>
      <c r="AI1997" s="54"/>
      <c r="AJ1997" s="54"/>
      <c r="AK1997" s="54"/>
      <c r="AL1997" s="54"/>
      <c r="AM1997" s="54"/>
      <c r="AN1997" s="54"/>
      <c r="AO1997" s="54"/>
      <c r="AP1997" s="54"/>
      <c r="AQ1997" s="54"/>
      <c r="AR1997" s="54"/>
      <c r="AS1997" s="54"/>
      <c r="AT1997" s="54"/>
      <c r="AU1997" s="54"/>
      <c r="AV1997" s="54"/>
      <c r="AW1997" s="54"/>
      <c r="AX1997" s="54"/>
      <c r="AY1997" s="54"/>
      <c r="AZ1997" s="54"/>
      <c r="BA1997" s="54"/>
      <c r="BB1997" s="54"/>
      <c r="BC1997" s="56"/>
      <c r="BD1997" s="51"/>
      <c r="BE1997" s="54"/>
      <c r="BF1997" s="54"/>
      <c r="BG1997" s="47"/>
      <c r="BH1997" s="48"/>
      <c r="BI1997" s="48"/>
      <c r="BJ1997" s="48"/>
      <c r="BK1997" s="48"/>
      <c r="BL1997" s="48"/>
      <c r="BM1997" s="48"/>
      <c r="BN1997" s="48"/>
      <c r="BO1997" s="48"/>
      <c r="BP1997" s="48"/>
      <c r="BQ1997" s="48"/>
      <c r="BR1997" s="48"/>
      <c r="BS1997" s="48"/>
      <c r="BT1997" s="48"/>
      <c r="BU1997" s="48"/>
      <c r="BV1997" s="48"/>
      <c r="BW1997" s="48"/>
      <c r="BX1997" s="48"/>
      <c r="BY1997" s="48"/>
      <c r="BZ1997" s="48"/>
      <c r="CA1997" s="48"/>
      <c r="CB1997" s="48"/>
      <c r="CC1997" s="48"/>
      <c r="CD1997" s="48"/>
      <c r="CE1997" s="48"/>
      <c r="CF1997" s="52"/>
      <c r="CG1997" s="52"/>
      <c r="CH1997" s="48"/>
      <c r="CI1997" s="48"/>
      <c r="CJ1997" s="48"/>
      <c r="CK1997" s="48"/>
    </row>
    <row r="1998" spans="1:89" ht="15.75" customHeight="1" x14ac:dyDescent="0.3">
      <c r="A1998" s="47"/>
      <c r="B1998" s="48"/>
      <c r="C1998" s="47"/>
      <c r="D1998" s="48"/>
      <c r="E1998" s="48"/>
      <c r="F1998" s="48"/>
      <c r="G1998" s="48"/>
      <c r="H1998" s="48"/>
      <c r="I1998" s="49"/>
      <c r="J1998" s="47"/>
      <c r="K1998" s="47"/>
      <c r="L1998" s="47"/>
      <c r="M1998" s="47"/>
      <c r="N1998" s="47"/>
      <c r="O1998" s="47"/>
      <c r="P1998" s="47"/>
      <c r="Q1998" s="47"/>
      <c r="R1998" s="47"/>
      <c r="S1998" s="50"/>
      <c r="T1998" s="47"/>
      <c r="U1998" s="47"/>
      <c r="V1998" s="47"/>
      <c r="W1998" s="51"/>
      <c r="X1998" s="51"/>
      <c r="Y1998" s="47"/>
      <c r="Z1998" s="47"/>
      <c r="AA1998" s="47"/>
      <c r="AB1998" s="47"/>
      <c r="AC1998" s="47"/>
      <c r="AD1998" s="47"/>
      <c r="AE1998" s="54"/>
      <c r="AF1998" s="54"/>
      <c r="AG1998" s="55"/>
      <c r="AH1998" s="54"/>
      <c r="AI1998" s="54"/>
      <c r="AJ1998" s="54"/>
      <c r="AK1998" s="54"/>
      <c r="AL1998" s="54"/>
      <c r="AM1998" s="54"/>
      <c r="AN1998" s="54"/>
      <c r="AO1998" s="54"/>
      <c r="AP1998" s="54"/>
      <c r="AQ1998" s="54"/>
      <c r="AR1998" s="54"/>
      <c r="AS1998" s="54"/>
      <c r="AT1998" s="54"/>
      <c r="AU1998" s="54"/>
      <c r="AV1998" s="54"/>
      <c r="AW1998" s="54"/>
      <c r="AX1998" s="54"/>
      <c r="AY1998" s="54"/>
      <c r="AZ1998" s="54"/>
      <c r="BA1998" s="54"/>
      <c r="BB1998" s="54"/>
      <c r="BC1998" s="56"/>
      <c r="BD1998" s="51"/>
      <c r="BE1998" s="54"/>
      <c r="BF1998" s="54"/>
      <c r="BG1998" s="47"/>
      <c r="BH1998" s="48"/>
      <c r="BI1998" s="48"/>
      <c r="BJ1998" s="48"/>
      <c r="BK1998" s="48"/>
      <c r="BL1998" s="48"/>
      <c r="BM1998" s="48"/>
      <c r="BN1998" s="48"/>
      <c r="BO1998" s="48"/>
      <c r="BP1998" s="48"/>
      <c r="BQ1998" s="48"/>
      <c r="BR1998" s="48"/>
      <c r="BS1998" s="48"/>
      <c r="BT1998" s="48"/>
      <c r="BU1998" s="48"/>
      <c r="BV1998" s="48"/>
      <c r="BW1998" s="48"/>
      <c r="BX1998" s="48"/>
      <c r="BY1998" s="48"/>
      <c r="BZ1998" s="48"/>
      <c r="CA1998" s="48"/>
      <c r="CB1998" s="48"/>
      <c r="CC1998" s="48"/>
      <c r="CD1998" s="48"/>
      <c r="CE1998" s="48"/>
      <c r="CF1998" s="52"/>
      <c r="CG1998" s="52"/>
      <c r="CH1998" s="48"/>
      <c r="CI1998" s="48"/>
      <c r="CJ1998" s="48"/>
      <c r="CK1998" s="48"/>
    </row>
    <row r="1999" spans="1:89" ht="15.75" customHeight="1" x14ac:dyDescent="0.3">
      <c r="A1999" s="47"/>
      <c r="B1999" s="48"/>
      <c r="C1999" s="47"/>
      <c r="D1999" s="48"/>
      <c r="E1999" s="48"/>
      <c r="F1999" s="48"/>
      <c r="G1999" s="48"/>
      <c r="H1999" s="48"/>
      <c r="I1999" s="49"/>
      <c r="J1999" s="47"/>
      <c r="K1999" s="47"/>
      <c r="L1999" s="47"/>
      <c r="M1999" s="47"/>
      <c r="N1999" s="47"/>
      <c r="O1999" s="47"/>
      <c r="P1999" s="47"/>
      <c r="Q1999" s="47"/>
      <c r="R1999" s="47"/>
      <c r="S1999" s="50"/>
      <c r="T1999" s="47"/>
      <c r="U1999" s="47"/>
      <c r="V1999" s="47"/>
      <c r="W1999" s="51"/>
      <c r="X1999" s="51"/>
      <c r="Y1999" s="47"/>
      <c r="Z1999" s="47"/>
      <c r="AA1999" s="47"/>
      <c r="AB1999" s="47"/>
      <c r="AC1999" s="47"/>
      <c r="AD1999" s="47"/>
      <c r="AE1999" s="54"/>
      <c r="AF1999" s="54"/>
      <c r="AG1999" s="55"/>
      <c r="AH1999" s="54"/>
      <c r="AI1999" s="54"/>
      <c r="AJ1999" s="54"/>
      <c r="AK1999" s="54"/>
      <c r="AL1999" s="54"/>
      <c r="AM1999" s="54"/>
      <c r="AN1999" s="54"/>
      <c r="AO1999" s="54"/>
      <c r="AP1999" s="54"/>
      <c r="AQ1999" s="54"/>
      <c r="AR1999" s="54"/>
      <c r="AS1999" s="54"/>
      <c r="AT1999" s="54"/>
      <c r="AU1999" s="54"/>
      <c r="AV1999" s="54"/>
      <c r="AW1999" s="54"/>
      <c r="AX1999" s="54"/>
      <c r="AY1999" s="54"/>
      <c r="AZ1999" s="54"/>
      <c r="BA1999" s="54"/>
      <c r="BB1999" s="54"/>
      <c r="BC1999" s="56"/>
      <c r="BD1999" s="51"/>
      <c r="BE1999" s="54"/>
      <c r="BF1999" s="54"/>
      <c r="BG1999" s="47"/>
      <c r="BH1999" s="48"/>
      <c r="BI1999" s="48"/>
      <c r="BJ1999" s="48"/>
      <c r="BK1999" s="48"/>
      <c r="BL1999" s="48"/>
      <c r="BM1999" s="48"/>
      <c r="BN1999" s="48"/>
      <c r="BO1999" s="48"/>
      <c r="BP1999" s="48"/>
      <c r="BQ1999" s="48"/>
      <c r="BR1999" s="48"/>
      <c r="BS1999" s="48"/>
      <c r="BT1999" s="48"/>
      <c r="BU1999" s="48"/>
      <c r="BV1999" s="48"/>
      <c r="BW1999" s="48"/>
      <c r="BX1999" s="48"/>
      <c r="BY1999" s="48"/>
      <c r="BZ1999" s="48"/>
      <c r="CA1999" s="48"/>
      <c r="CB1999" s="48"/>
      <c r="CC1999" s="48"/>
      <c r="CD1999" s="48"/>
      <c r="CE1999" s="48"/>
      <c r="CF1999" s="52"/>
      <c r="CG1999" s="52"/>
      <c r="CH1999" s="48"/>
      <c r="CI1999" s="48"/>
      <c r="CJ1999" s="48"/>
      <c r="CK1999" s="48"/>
    </row>
    <row r="2000" spans="1:89" ht="15.75" customHeight="1" x14ac:dyDescent="0.3">
      <c r="A2000" s="47"/>
      <c r="B2000" s="48"/>
      <c r="C2000" s="47"/>
      <c r="D2000" s="48"/>
      <c r="E2000" s="48"/>
      <c r="F2000" s="48"/>
      <c r="G2000" s="48"/>
      <c r="H2000" s="48"/>
      <c r="I2000" s="49"/>
      <c r="J2000" s="47"/>
      <c r="K2000" s="47"/>
      <c r="L2000" s="47"/>
      <c r="M2000" s="47"/>
      <c r="N2000" s="47"/>
      <c r="O2000" s="47"/>
      <c r="P2000" s="47"/>
      <c r="Q2000" s="47"/>
      <c r="R2000" s="47"/>
      <c r="S2000" s="50"/>
      <c r="T2000" s="47"/>
      <c r="U2000" s="47"/>
      <c r="V2000" s="47"/>
      <c r="W2000" s="51"/>
      <c r="X2000" s="51"/>
      <c r="Y2000" s="47"/>
      <c r="Z2000" s="47"/>
      <c r="AA2000" s="47"/>
      <c r="AB2000" s="47"/>
      <c r="AC2000" s="47"/>
      <c r="AD2000" s="47"/>
      <c r="AE2000" s="54"/>
      <c r="AF2000" s="54"/>
      <c r="AG2000" s="55"/>
      <c r="AH2000" s="54"/>
      <c r="AI2000" s="54"/>
      <c r="AJ2000" s="54"/>
      <c r="AK2000" s="54"/>
      <c r="AL2000" s="54"/>
      <c r="AM2000" s="54"/>
      <c r="AN2000" s="54"/>
      <c r="AO2000" s="54"/>
      <c r="AP2000" s="54"/>
      <c r="AQ2000" s="54"/>
      <c r="AR2000" s="54"/>
      <c r="AS2000" s="54"/>
      <c r="AT2000" s="54"/>
      <c r="AU2000" s="54"/>
      <c r="AV2000" s="54"/>
      <c r="AW2000" s="54"/>
      <c r="AX2000" s="54"/>
      <c r="AY2000" s="54"/>
      <c r="AZ2000" s="54"/>
      <c r="BA2000" s="54"/>
      <c r="BB2000" s="54"/>
      <c r="BC2000" s="56"/>
      <c r="BD2000" s="51"/>
      <c r="BE2000" s="54"/>
      <c r="BF2000" s="54"/>
      <c r="BG2000" s="47"/>
      <c r="BH2000" s="48"/>
      <c r="BI2000" s="48"/>
      <c r="BJ2000" s="48"/>
      <c r="BK2000" s="48"/>
      <c r="BL2000" s="48"/>
      <c r="BM2000" s="48"/>
      <c r="BN2000" s="48"/>
      <c r="BO2000" s="48"/>
      <c r="BP2000" s="48"/>
      <c r="BQ2000" s="48"/>
      <c r="BR2000" s="48"/>
      <c r="BS2000" s="48"/>
      <c r="BT2000" s="48"/>
      <c r="BU2000" s="48"/>
      <c r="BV2000" s="48"/>
      <c r="BW2000" s="48"/>
      <c r="BX2000" s="48"/>
      <c r="BY2000" s="48"/>
      <c r="BZ2000" s="48"/>
      <c r="CA2000" s="48"/>
      <c r="CB2000" s="48"/>
      <c r="CC2000" s="48"/>
      <c r="CD2000" s="48"/>
      <c r="CE2000" s="48"/>
      <c r="CF2000" s="52"/>
      <c r="CG2000" s="52"/>
      <c r="CH2000" s="48"/>
      <c r="CI2000" s="48"/>
      <c r="CJ2000" s="48"/>
      <c r="CK2000" s="48"/>
    </row>
    <row r="2001" spans="1:89" ht="15.75" customHeight="1" x14ac:dyDescent="0.3">
      <c r="A2001" s="47"/>
      <c r="B2001" s="48"/>
      <c r="C2001" s="47"/>
      <c r="D2001" s="48"/>
      <c r="E2001" s="48"/>
      <c r="F2001" s="48"/>
      <c r="G2001" s="48"/>
      <c r="H2001" s="48"/>
      <c r="I2001" s="49"/>
      <c r="J2001" s="47"/>
      <c r="K2001" s="47"/>
      <c r="L2001" s="47"/>
      <c r="M2001" s="47"/>
      <c r="N2001" s="47"/>
      <c r="O2001" s="47"/>
      <c r="P2001" s="47"/>
      <c r="Q2001" s="47"/>
      <c r="R2001" s="47"/>
      <c r="S2001" s="50"/>
      <c r="T2001" s="47"/>
      <c r="U2001" s="47"/>
      <c r="V2001" s="47"/>
      <c r="W2001" s="51"/>
      <c r="X2001" s="51"/>
      <c r="Y2001" s="47"/>
      <c r="Z2001" s="47"/>
      <c r="AA2001" s="47"/>
      <c r="AB2001" s="47"/>
      <c r="AC2001" s="47"/>
      <c r="AD2001" s="47"/>
      <c r="AE2001" s="54"/>
      <c r="AF2001" s="54"/>
      <c r="AG2001" s="55"/>
      <c r="AH2001" s="54"/>
      <c r="AI2001" s="54"/>
      <c r="AJ2001" s="54"/>
      <c r="AK2001" s="54"/>
      <c r="AL2001" s="54"/>
      <c r="AM2001" s="54"/>
      <c r="AN2001" s="54"/>
      <c r="AO2001" s="54"/>
      <c r="AP2001" s="54"/>
      <c r="AQ2001" s="54"/>
      <c r="AR2001" s="54"/>
      <c r="AS2001" s="54"/>
      <c r="AT2001" s="54"/>
      <c r="AU2001" s="54"/>
      <c r="AV2001" s="54"/>
      <c r="AW2001" s="54"/>
      <c r="AX2001" s="54"/>
      <c r="AY2001" s="54"/>
      <c r="AZ2001" s="54"/>
      <c r="BA2001" s="54"/>
      <c r="BB2001" s="54"/>
      <c r="BC2001" s="56"/>
      <c r="BD2001" s="51"/>
      <c r="BE2001" s="54"/>
      <c r="BF2001" s="54"/>
      <c r="BG2001" s="47"/>
      <c r="BH2001" s="48"/>
      <c r="BI2001" s="48"/>
      <c r="BJ2001" s="48"/>
      <c r="BK2001" s="48"/>
      <c r="BL2001" s="48"/>
      <c r="BM2001" s="48"/>
      <c r="BN2001" s="48"/>
      <c r="BO2001" s="48"/>
      <c r="BP2001" s="48"/>
      <c r="BQ2001" s="48"/>
      <c r="BR2001" s="48"/>
      <c r="BS2001" s="48"/>
      <c r="BT2001" s="48"/>
      <c r="BU2001" s="48"/>
      <c r="BV2001" s="48"/>
      <c r="BW2001" s="48"/>
      <c r="BX2001" s="48"/>
      <c r="BY2001" s="48"/>
      <c r="BZ2001" s="48"/>
      <c r="CA2001" s="48"/>
      <c r="CB2001" s="48"/>
      <c r="CC2001" s="48"/>
      <c r="CD2001" s="48"/>
      <c r="CE2001" s="48"/>
      <c r="CF2001" s="52"/>
      <c r="CG2001" s="52"/>
      <c r="CH2001" s="48"/>
      <c r="CI2001" s="48"/>
      <c r="CJ2001" s="48"/>
      <c r="CK2001" s="48"/>
    </row>
    <row r="2002" spans="1:89" ht="15.75" customHeight="1" x14ac:dyDescent="0.3">
      <c r="A2002" s="47"/>
      <c r="B2002" s="48"/>
      <c r="C2002" s="47"/>
      <c r="D2002" s="48"/>
      <c r="E2002" s="48"/>
      <c r="F2002" s="48"/>
      <c r="G2002" s="48"/>
      <c r="H2002" s="48"/>
      <c r="I2002" s="49"/>
      <c r="J2002" s="47"/>
      <c r="K2002" s="47"/>
      <c r="L2002" s="47"/>
      <c r="M2002" s="47"/>
      <c r="N2002" s="47"/>
      <c r="O2002" s="47"/>
      <c r="P2002" s="47"/>
      <c r="Q2002" s="47"/>
      <c r="R2002" s="47"/>
      <c r="S2002" s="50"/>
      <c r="T2002" s="47"/>
      <c r="U2002" s="47"/>
      <c r="V2002" s="47"/>
      <c r="W2002" s="51"/>
      <c r="X2002" s="51"/>
      <c r="Y2002" s="47"/>
      <c r="Z2002" s="47"/>
      <c r="AA2002" s="47"/>
      <c r="AB2002" s="47"/>
      <c r="AC2002" s="47"/>
      <c r="AD2002" s="47"/>
      <c r="AE2002" s="54"/>
      <c r="AF2002" s="54"/>
      <c r="AG2002" s="55"/>
      <c r="AH2002" s="54"/>
      <c r="AI2002" s="54"/>
      <c r="AJ2002" s="54"/>
      <c r="AK2002" s="54"/>
      <c r="AL2002" s="54"/>
      <c r="AM2002" s="54"/>
      <c r="AN2002" s="54"/>
      <c r="AO2002" s="54"/>
      <c r="AP2002" s="54"/>
      <c r="AQ2002" s="54"/>
      <c r="AR2002" s="54"/>
      <c r="AS2002" s="54"/>
      <c r="AT2002" s="54"/>
      <c r="AU2002" s="54"/>
      <c r="AV2002" s="54"/>
      <c r="AW2002" s="54"/>
      <c r="AX2002" s="54"/>
      <c r="AY2002" s="54"/>
      <c r="AZ2002" s="54"/>
      <c r="BA2002" s="54"/>
      <c r="BB2002" s="54"/>
      <c r="BC2002" s="56"/>
      <c r="BD2002" s="51"/>
      <c r="BE2002" s="54"/>
      <c r="BF2002" s="54"/>
      <c r="BG2002" s="47"/>
      <c r="BH2002" s="48"/>
      <c r="BI2002" s="48"/>
      <c r="BJ2002" s="48"/>
      <c r="BK2002" s="48"/>
      <c r="BL2002" s="48"/>
      <c r="BM2002" s="48"/>
      <c r="BN2002" s="48"/>
      <c r="BO2002" s="48"/>
      <c r="BP2002" s="48"/>
      <c r="BQ2002" s="48"/>
      <c r="BR2002" s="48"/>
      <c r="BS2002" s="48"/>
      <c r="BT2002" s="48"/>
      <c r="BU2002" s="48"/>
      <c r="BV2002" s="48"/>
      <c r="BW2002" s="48"/>
      <c r="BX2002" s="48"/>
      <c r="BY2002" s="48"/>
      <c r="BZ2002" s="48"/>
      <c r="CA2002" s="48"/>
      <c r="CB2002" s="48"/>
      <c r="CC2002" s="48"/>
      <c r="CD2002" s="48"/>
      <c r="CE2002" s="48"/>
      <c r="CF2002" s="52"/>
      <c r="CG2002" s="52"/>
      <c r="CH2002" s="48"/>
      <c r="CI2002" s="48"/>
      <c r="CJ2002" s="48"/>
      <c r="CK2002" s="48"/>
    </row>
    <row r="2003" spans="1:89" ht="15.75" customHeight="1" x14ac:dyDescent="0.3">
      <c r="A2003" s="47"/>
      <c r="B2003" s="48"/>
      <c r="C2003" s="47"/>
      <c r="D2003" s="48"/>
      <c r="E2003" s="48"/>
      <c r="F2003" s="48"/>
      <c r="G2003" s="48"/>
      <c r="H2003" s="48"/>
      <c r="I2003" s="49"/>
      <c r="J2003" s="47"/>
      <c r="K2003" s="47"/>
      <c r="L2003" s="47"/>
      <c r="M2003" s="47"/>
      <c r="N2003" s="47"/>
      <c r="O2003" s="47"/>
      <c r="P2003" s="47"/>
      <c r="Q2003" s="47"/>
      <c r="R2003" s="47"/>
      <c r="S2003" s="50"/>
      <c r="T2003" s="47"/>
      <c r="U2003" s="47"/>
      <c r="V2003" s="47"/>
      <c r="W2003" s="51"/>
      <c r="X2003" s="51"/>
      <c r="Y2003" s="47"/>
      <c r="Z2003" s="47"/>
      <c r="AA2003" s="47"/>
      <c r="AB2003" s="47"/>
      <c r="AC2003" s="47"/>
      <c r="AD2003" s="47"/>
      <c r="AE2003" s="54"/>
      <c r="AF2003" s="54"/>
      <c r="AG2003" s="55"/>
      <c r="AH2003" s="54"/>
      <c r="AI2003" s="54"/>
      <c r="AJ2003" s="54"/>
      <c r="AK2003" s="54"/>
      <c r="AL2003" s="54"/>
      <c r="AM2003" s="54"/>
      <c r="AN2003" s="54"/>
      <c r="AO2003" s="54"/>
      <c r="AP2003" s="54"/>
      <c r="AQ2003" s="54"/>
      <c r="AR2003" s="54"/>
      <c r="AS2003" s="54"/>
      <c r="AT2003" s="54"/>
      <c r="AU2003" s="54"/>
      <c r="AV2003" s="54"/>
      <c r="AW2003" s="54"/>
      <c r="AX2003" s="54"/>
      <c r="AY2003" s="54"/>
      <c r="AZ2003" s="54"/>
      <c r="BA2003" s="54"/>
      <c r="BB2003" s="54"/>
      <c r="BC2003" s="56"/>
      <c r="BD2003" s="51"/>
      <c r="BE2003" s="54"/>
      <c r="BF2003" s="54"/>
      <c r="BG2003" s="47"/>
      <c r="BH2003" s="48"/>
      <c r="BI2003" s="48"/>
      <c r="BJ2003" s="48"/>
      <c r="BK2003" s="48"/>
      <c r="BL2003" s="48"/>
      <c r="BM2003" s="48"/>
      <c r="BN2003" s="48"/>
      <c r="BO2003" s="48"/>
      <c r="BP2003" s="48"/>
      <c r="BQ2003" s="48"/>
      <c r="BR2003" s="48"/>
      <c r="BS2003" s="48"/>
      <c r="BT2003" s="48"/>
      <c r="BU2003" s="48"/>
      <c r="BV2003" s="48"/>
      <c r="BW2003" s="48"/>
      <c r="BX2003" s="48"/>
      <c r="BY2003" s="48"/>
      <c r="BZ2003" s="48"/>
      <c r="CA2003" s="48"/>
      <c r="CB2003" s="48"/>
      <c r="CC2003" s="48"/>
      <c r="CD2003" s="48"/>
      <c r="CE2003" s="48"/>
      <c r="CF2003" s="52"/>
      <c r="CG2003" s="52"/>
      <c r="CH2003" s="48"/>
      <c r="CI2003" s="48"/>
      <c r="CJ2003" s="48"/>
      <c r="CK2003" s="48"/>
    </row>
    <row r="2004" spans="1:89" ht="15.75" customHeight="1" x14ac:dyDescent="0.3">
      <c r="A2004" s="47"/>
      <c r="B2004" s="48"/>
      <c r="C2004" s="47"/>
      <c r="D2004" s="48"/>
      <c r="E2004" s="48"/>
      <c r="F2004" s="48"/>
      <c r="G2004" s="48"/>
      <c r="H2004" s="48"/>
      <c r="I2004" s="49"/>
      <c r="J2004" s="47"/>
      <c r="K2004" s="47"/>
      <c r="L2004" s="47"/>
      <c r="M2004" s="47"/>
      <c r="N2004" s="47"/>
      <c r="O2004" s="47"/>
      <c r="P2004" s="47"/>
      <c r="Q2004" s="47"/>
      <c r="R2004" s="47"/>
      <c r="S2004" s="50"/>
      <c r="T2004" s="47"/>
      <c r="U2004" s="47"/>
      <c r="V2004" s="47"/>
      <c r="W2004" s="51"/>
      <c r="X2004" s="51"/>
      <c r="Y2004" s="47"/>
      <c r="Z2004" s="47"/>
      <c r="AA2004" s="47"/>
      <c r="AB2004" s="47"/>
      <c r="AC2004" s="47"/>
      <c r="AD2004" s="47"/>
      <c r="AE2004" s="54"/>
      <c r="AF2004" s="54"/>
      <c r="AG2004" s="55"/>
      <c r="AH2004" s="54"/>
      <c r="AI2004" s="54"/>
      <c r="AJ2004" s="54"/>
      <c r="AK2004" s="54"/>
      <c r="AL2004" s="54"/>
      <c r="AM2004" s="54"/>
      <c r="AN2004" s="54"/>
      <c r="AO2004" s="54"/>
      <c r="AP2004" s="54"/>
      <c r="AQ2004" s="54"/>
      <c r="AR2004" s="54"/>
      <c r="AS2004" s="54"/>
      <c r="AT2004" s="54"/>
      <c r="AU2004" s="54"/>
      <c r="AV2004" s="54"/>
      <c r="AW2004" s="54"/>
      <c r="AX2004" s="54"/>
      <c r="AY2004" s="54"/>
      <c r="AZ2004" s="54"/>
      <c r="BA2004" s="54"/>
      <c r="BB2004" s="54"/>
      <c r="BC2004" s="56"/>
      <c r="BD2004" s="51"/>
      <c r="BE2004" s="54"/>
      <c r="BF2004" s="54"/>
      <c r="BG2004" s="47"/>
      <c r="BH2004" s="48"/>
      <c r="BI2004" s="48"/>
      <c r="BJ2004" s="48"/>
      <c r="BK2004" s="48"/>
      <c r="BL2004" s="48"/>
      <c r="BM2004" s="48"/>
      <c r="BN2004" s="48"/>
      <c r="BO2004" s="48"/>
      <c r="BP2004" s="48"/>
      <c r="BQ2004" s="48"/>
      <c r="BR2004" s="48"/>
      <c r="BS2004" s="48"/>
      <c r="BT2004" s="48"/>
      <c r="BU2004" s="48"/>
      <c r="BV2004" s="48"/>
      <c r="BW2004" s="48"/>
      <c r="BX2004" s="48"/>
      <c r="BY2004" s="48"/>
      <c r="BZ2004" s="48"/>
      <c r="CA2004" s="48"/>
      <c r="CB2004" s="48"/>
      <c r="CC2004" s="48"/>
      <c r="CD2004" s="48"/>
      <c r="CE2004" s="48"/>
      <c r="CF2004" s="52"/>
      <c r="CG2004" s="52"/>
      <c r="CH2004" s="48"/>
      <c r="CI2004" s="48"/>
      <c r="CJ2004" s="48"/>
      <c r="CK2004" s="48"/>
    </row>
    <row r="2005" spans="1:89" ht="15.75" customHeight="1" x14ac:dyDescent="0.3">
      <c r="A2005" s="47"/>
      <c r="B2005" s="48"/>
      <c r="C2005" s="47"/>
      <c r="D2005" s="48"/>
      <c r="E2005" s="48"/>
      <c r="F2005" s="48"/>
      <c r="G2005" s="48"/>
      <c r="H2005" s="48"/>
      <c r="I2005" s="49"/>
      <c r="J2005" s="47"/>
      <c r="K2005" s="47"/>
      <c r="L2005" s="47"/>
      <c r="M2005" s="47"/>
      <c r="N2005" s="47"/>
      <c r="O2005" s="47"/>
      <c r="P2005" s="47"/>
      <c r="Q2005" s="47"/>
      <c r="R2005" s="47"/>
      <c r="S2005" s="50"/>
      <c r="T2005" s="47"/>
      <c r="U2005" s="47"/>
      <c r="V2005" s="47"/>
      <c r="W2005" s="51"/>
      <c r="X2005" s="51"/>
      <c r="Y2005" s="47"/>
      <c r="Z2005" s="47"/>
      <c r="AA2005" s="47"/>
      <c r="AB2005" s="47"/>
      <c r="AC2005" s="47"/>
      <c r="AD2005" s="47"/>
      <c r="AE2005" s="54"/>
      <c r="AF2005" s="54"/>
      <c r="AG2005" s="55"/>
      <c r="AH2005" s="54"/>
      <c r="AI2005" s="54"/>
      <c r="AJ2005" s="54"/>
      <c r="AK2005" s="54"/>
      <c r="AL2005" s="54"/>
      <c r="AM2005" s="54"/>
      <c r="AN2005" s="54"/>
      <c r="AO2005" s="54"/>
      <c r="AP2005" s="54"/>
      <c r="AQ2005" s="54"/>
      <c r="AR2005" s="54"/>
      <c r="AS2005" s="54"/>
      <c r="AT2005" s="54"/>
      <c r="AU2005" s="54"/>
      <c r="AV2005" s="54"/>
      <c r="AW2005" s="54"/>
      <c r="AX2005" s="54"/>
      <c r="AY2005" s="54"/>
      <c r="AZ2005" s="54"/>
      <c r="BA2005" s="54"/>
      <c r="BB2005" s="54"/>
      <c r="BC2005" s="56"/>
      <c r="BD2005" s="51"/>
      <c r="BE2005" s="54"/>
      <c r="BF2005" s="54"/>
      <c r="BG2005" s="47"/>
      <c r="BH2005" s="48"/>
      <c r="BI2005" s="48"/>
      <c r="BJ2005" s="48"/>
      <c r="BK2005" s="48"/>
      <c r="BL2005" s="48"/>
      <c r="BM2005" s="48"/>
      <c r="BN2005" s="48"/>
      <c r="BO2005" s="48"/>
      <c r="BP2005" s="48"/>
      <c r="BQ2005" s="48"/>
      <c r="BR2005" s="48"/>
      <c r="BS2005" s="48"/>
      <c r="BT2005" s="48"/>
      <c r="BU2005" s="48"/>
      <c r="BV2005" s="48"/>
      <c r="BW2005" s="48"/>
      <c r="BX2005" s="48"/>
      <c r="BY2005" s="48"/>
      <c r="BZ2005" s="48"/>
      <c r="CA2005" s="48"/>
      <c r="CB2005" s="48"/>
      <c r="CC2005" s="48"/>
      <c r="CD2005" s="48"/>
      <c r="CE2005" s="48"/>
      <c r="CF2005" s="52"/>
      <c r="CG2005" s="52"/>
      <c r="CH2005" s="48"/>
      <c r="CI2005" s="48"/>
      <c r="CJ2005" s="48"/>
      <c r="CK2005" s="48"/>
    </row>
    <row r="2006" spans="1:89" ht="15.75" customHeight="1" x14ac:dyDescent="0.3">
      <c r="A2006" s="47"/>
      <c r="B2006" s="48"/>
      <c r="C2006" s="47"/>
      <c r="D2006" s="48"/>
      <c r="E2006" s="48"/>
      <c r="F2006" s="48"/>
      <c r="G2006" s="48"/>
      <c r="H2006" s="48"/>
      <c r="I2006" s="49"/>
      <c r="J2006" s="47"/>
      <c r="K2006" s="47"/>
      <c r="L2006" s="47"/>
      <c r="M2006" s="47"/>
      <c r="N2006" s="47"/>
      <c r="O2006" s="47"/>
      <c r="P2006" s="47"/>
      <c r="Q2006" s="47"/>
      <c r="R2006" s="47"/>
      <c r="S2006" s="50"/>
      <c r="T2006" s="47"/>
      <c r="U2006" s="47"/>
      <c r="V2006" s="47"/>
      <c r="W2006" s="51"/>
      <c r="X2006" s="51"/>
      <c r="Y2006" s="47"/>
      <c r="Z2006" s="47"/>
      <c r="AA2006" s="47"/>
      <c r="AB2006" s="47"/>
      <c r="AC2006" s="47"/>
      <c r="AD2006" s="47"/>
      <c r="AE2006" s="54"/>
      <c r="AF2006" s="54"/>
      <c r="AG2006" s="55"/>
      <c r="AH2006" s="54"/>
      <c r="AI2006" s="54"/>
      <c r="AJ2006" s="54"/>
      <c r="AK2006" s="54"/>
      <c r="AL2006" s="54"/>
      <c r="AM2006" s="54"/>
      <c r="AN2006" s="54"/>
      <c r="AO2006" s="54"/>
      <c r="AP2006" s="54"/>
      <c r="AQ2006" s="54"/>
      <c r="AR2006" s="54"/>
      <c r="AS2006" s="54"/>
      <c r="AT2006" s="54"/>
      <c r="AU2006" s="54"/>
      <c r="AV2006" s="54"/>
      <c r="AW2006" s="54"/>
      <c r="AX2006" s="54"/>
      <c r="AY2006" s="54"/>
      <c r="AZ2006" s="54"/>
      <c r="BA2006" s="54"/>
      <c r="BB2006" s="54"/>
      <c r="BC2006" s="56"/>
      <c r="BD2006" s="51"/>
      <c r="BE2006" s="54"/>
      <c r="BF2006" s="54"/>
      <c r="BG2006" s="47"/>
      <c r="BH2006" s="48"/>
      <c r="BI2006" s="48"/>
      <c r="BJ2006" s="48"/>
      <c r="BK2006" s="48"/>
      <c r="BL2006" s="48"/>
      <c r="BM2006" s="48"/>
      <c r="BN2006" s="48"/>
      <c r="BO2006" s="48"/>
      <c r="BP2006" s="48"/>
      <c r="BQ2006" s="48"/>
      <c r="BR2006" s="48"/>
      <c r="BS2006" s="48"/>
      <c r="BT2006" s="48"/>
      <c r="BU2006" s="48"/>
      <c r="BV2006" s="48"/>
      <c r="BW2006" s="48"/>
      <c r="BX2006" s="48"/>
      <c r="BY2006" s="48"/>
      <c r="BZ2006" s="48"/>
      <c r="CA2006" s="48"/>
      <c r="CB2006" s="48"/>
      <c r="CC2006" s="48"/>
      <c r="CD2006" s="48"/>
      <c r="CE2006" s="48"/>
      <c r="CF2006" s="52"/>
      <c r="CG2006" s="52"/>
      <c r="CH2006" s="48"/>
      <c r="CI2006" s="48"/>
      <c r="CJ2006" s="48"/>
      <c r="CK2006" s="48"/>
    </row>
    <row r="2007" spans="1:89" ht="15.75" customHeight="1" x14ac:dyDescent="0.3">
      <c r="A2007" s="47"/>
      <c r="B2007" s="48"/>
      <c r="C2007" s="47"/>
      <c r="D2007" s="48"/>
      <c r="E2007" s="48"/>
      <c r="F2007" s="48"/>
      <c r="G2007" s="48"/>
      <c r="H2007" s="48"/>
      <c r="I2007" s="49"/>
      <c r="J2007" s="47"/>
      <c r="K2007" s="47"/>
      <c r="L2007" s="47"/>
      <c r="M2007" s="47"/>
      <c r="N2007" s="47"/>
      <c r="O2007" s="47"/>
      <c r="P2007" s="47"/>
      <c r="Q2007" s="47"/>
      <c r="R2007" s="47"/>
      <c r="S2007" s="50"/>
      <c r="T2007" s="47"/>
      <c r="U2007" s="47"/>
      <c r="V2007" s="47"/>
      <c r="W2007" s="51"/>
      <c r="X2007" s="51"/>
      <c r="Y2007" s="47"/>
      <c r="Z2007" s="47"/>
      <c r="AA2007" s="47"/>
      <c r="AB2007" s="47"/>
      <c r="AC2007" s="47"/>
      <c r="AD2007" s="47"/>
      <c r="AE2007" s="54"/>
      <c r="AF2007" s="54"/>
      <c r="AG2007" s="55"/>
      <c r="AH2007" s="54"/>
      <c r="AI2007" s="54"/>
      <c r="AJ2007" s="54"/>
      <c r="AK2007" s="54"/>
      <c r="AL2007" s="54"/>
      <c r="AM2007" s="54"/>
      <c r="AN2007" s="54"/>
      <c r="AO2007" s="54"/>
      <c r="AP2007" s="54"/>
      <c r="AQ2007" s="54"/>
      <c r="AR2007" s="54"/>
      <c r="AS2007" s="54"/>
      <c r="AT2007" s="54"/>
      <c r="AU2007" s="54"/>
      <c r="AV2007" s="54"/>
      <c r="AW2007" s="54"/>
      <c r="AX2007" s="54"/>
      <c r="AY2007" s="54"/>
      <c r="AZ2007" s="54"/>
      <c r="BA2007" s="54"/>
      <c r="BB2007" s="54"/>
      <c r="BC2007" s="56"/>
      <c r="BD2007" s="51"/>
      <c r="BE2007" s="54"/>
      <c r="BF2007" s="54"/>
      <c r="BG2007" s="47"/>
      <c r="BH2007" s="48"/>
      <c r="BI2007" s="48"/>
      <c r="BJ2007" s="48"/>
      <c r="BK2007" s="48"/>
      <c r="BL2007" s="48"/>
      <c r="BM2007" s="48"/>
      <c r="BN2007" s="48"/>
      <c r="BO2007" s="48"/>
      <c r="BP2007" s="48"/>
      <c r="BQ2007" s="48"/>
      <c r="BR2007" s="48"/>
      <c r="BS2007" s="48"/>
      <c r="BT2007" s="48"/>
      <c r="BU2007" s="48"/>
      <c r="BV2007" s="48"/>
      <c r="BW2007" s="48"/>
      <c r="BX2007" s="48"/>
      <c r="BY2007" s="48"/>
      <c r="BZ2007" s="48"/>
      <c r="CA2007" s="48"/>
      <c r="CB2007" s="48"/>
      <c r="CC2007" s="48"/>
      <c r="CD2007" s="48"/>
      <c r="CE2007" s="48"/>
      <c r="CF2007" s="52"/>
      <c r="CG2007" s="52"/>
      <c r="CH2007" s="48"/>
      <c r="CI2007" s="48"/>
      <c r="CJ2007" s="48"/>
      <c r="CK2007" s="48"/>
    </row>
    <row r="2008" spans="1:89" ht="15.75" customHeight="1" x14ac:dyDescent="0.3">
      <c r="A2008" s="47"/>
      <c r="B2008" s="48"/>
      <c r="C2008" s="47"/>
      <c r="D2008" s="48"/>
      <c r="E2008" s="48"/>
      <c r="F2008" s="48"/>
      <c r="G2008" s="48"/>
      <c r="H2008" s="48"/>
      <c r="I2008" s="49"/>
      <c r="J2008" s="47"/>
      <c r="K2008" s="47"/>
      <c r="L2008" s="47"/>
      <c r="M2008" s="47"/>
      <c r="N2008" s="47"/>
      <c r="O2008" s="47"/>
      <c r="P2008" s="47"/>
      <c r="Q2008" s="47"/>
      <c r="R2008" s="47"/>
      <c r="S2008" s="50"/>
      <c r="T2008" s="47"/>
      <c r="U2008" s="47"/>
      <c r="V2008" s="47"/>
      <c r="W2008" s="51"/>
      <c r="X2008" s="51"/>
      <c r="Y2008" s="47"/>
      <c r="Z2008" s="47"/>
      <c r="AA2008" s="47"/>
      <c r="AB2008" s="47"/>
      <c r="AC2008" s="47"/>
      <c r="AD2008" s="47"/>
      <c r="AE2008" s="54"/>
      <c r="AF2008" s="54"/>
      <c r="AG2008" s="55"/>
      <c r="AH2008" s="54"/>
      <c r="AI2008" s="54"/>
      <c r="AJ2008" s="54"/>
      <c r="AK2008" s="54"/>
      <c r="AL2008" s="54"/>
      <c r="AM2008" s="54"/>
      <c r="AN2008" s="54"/>
      <c r="AO2008" s="54"/>
      <c r="AP2008" s="54"/>
      <c r="AQ2008" s="54"/>
      <c r="AR2008" s="54"/>
      <c r="AS2008" s="54"/>
      <c r="AT2008" s="54"/>
      <c r="AU2008" s="54"/>
      <c r="AV2008" s="54"/>
      <c r="AW2008" s="54"/>
      <c r="AX2008" s="54"/>
      <c r="AY2008" s="54"/>
      <c r="AZ2008" s="54"/>
      <c r="BA2008" s="54"/>
      <c r="BB2008" s="54"/>
      <c r="BC2008" s="56"/>
      <c r="BD2008" s="51"/>
      <c r="BE2008" s="54"/>
      <c r="BF2008" s="54"/>
      <c r="BG2008" s="47"/>
      <c r="BH2008" s="48"/>
      <c r="BI2008" s="48"/>
      <c r="BJ2008" s="48"/>
      <c r="BK2008" s="48"/>
      <c r="BL2008" s="48"/>
      <c r="BM2008" s="48"/>
      <c r="BN2008" s="48"/>
      <c r="BO2008" s="48"/>
      <c r="BP2008" s="48"/>
      <c r="BQ2008" s="48"/>
      <c r="BR2008" s="48"/>
      <c r="BS2008" s="48"/>
      <c r="BT2008" s="48"/>
      <c r="BU2008" s="48"/>
      <c r="BV2008" s="48"/>
      <c r="BW2008" s="48"/>
      <c r="BX2008" s="48"/>
      <c r="BY2008" s="48"/>
      <c r="BZ2008" s="48"/>
      <c r="CA2008" s="48"/>
      <c r="CB2008" s="48"/>
      <c r="CC2008" s="48"/>
      <c r="CD2008" s="48"/>
      <c r="CE2008" s="48"/>
      <c r="CF2008" s="52"/>
      <c r="CG2008" s="52"/>
      <c r="CH2008" s="48"/>
      <c r="CI2008" s="48"/>
      <c r="CJ2008" s="48"/>
      <c r="CK2008" s="48"/>
    </row>
    <row r="2009" spans="1:89" ht="15.75" customHeight="1" x14ac:dyDescent="0.3">
      <c r="A2009" s="47"/>
      <c r="B2009" s="48"/>
      <c r="C2009" s="47"/>
      <c r="D2009" s="48"/>
      <c r="E2009" s="48"/>
      <c r="F2009" s="48"/>
      <c r="G2009" s="48"/>
      <c r="H2009" s="48"/>
      <c r="I2009" s="49"/>
      <c r="J2009" s="47"/>
      <c r="K2009" s="47"/>
      <c r="L2009" s="47"/>
      <c r="M2009" s="47"/>
      <c r="N2009" s="47"/>
      <c r="O2009" s="47"/>
      <c r="P2009" s="47"/>
      <c r="Q2009" s="47"/>
      <c r="R2009" s="47"/>
      <c r="S2009" s="50"/>
      <c r="T2009" s="47"/>
      <c r="U2009" s="47"/>
      <c r="V2009" s="47"/>
      <c r="W2009" s="51"/>
      <c r="X2009" s="51"/>
      <c r="Y2009" s="47"/>
      <c r="Z2009" s="47"/>
      <c r="AA2009" s="47"/>
      <c r="AB2009" s="47"/>
      <c r="AC2009" s="47"/>
      <c r="AD2009" s="47"/>
      <c r="AE2009" s="54"/>
      <c r="AF2009" s="54"/>
      <c r="AG2009" s="55"/>
      <c r="AH2009" s="54"/>
      <c r="AI2009" s="54"/>
      <c r="AJ2009" s="54"/>
      <c r="AK2009" s="54"/>
      <c r="AL2009" s="54"/>
      <c r="AM2009" s="54"/>
      <c r="AN2009" s="54"/>
      <c r="AO2009" s="54"/>
      <c r="AP2009" s="54"/>
      <c r="AQ2009" s="54"/>
      <c r="AR2009" s="54"/>
      <c r="AS2009" s="54"/>
      <c r="AT2009" s="54"/>
      <c r="AU2009" s="54"/>
      <c r="AV2009" s="54"/>
      <c r="AW2009" s="54"/>
      <c r="AX2009" s="54"/>
      <c r="AY2009" s="54"/>
      <c r="AZ2009" s="54"/>
      <c r="BA2009" s="54"/>
      <c r="BB2009" s="54"/>
      <c r="BC2009" s="56"/>
      <c r="BD2009" s="51"/>
      <c r="BE2009" s="54"/>
      <c r="BF2009" s="54"/>
      <c r="BG2009" s="47"/>
      <c r="BH2009" s="48"/>
      <c r="BI2009" s="48"/>
      <c r="BJ2009" s="48"/>
      <c r="BK2009" s="48"/>
      <c r="BL2009" s="48"/>
      <c r="BM2009" s="48"/>
      <c r="BN2009" s="48"/>
      <c r="BO2009" s="48"/>
      <c r="BP2009" s="48"/>
      <c r="BQ2009" s="48"/>
      <c r="BR2009" s="48"/>
      <c r="BS2009" s="48"/>
      <c r="BT2009" s="48"/>
      <c r="BU2009" s="48"/>
      <c r="BV2009" s="48"/>
      <c r="BW2009" s="48"/>
      <c r="BX2009" s="48"/>
      <c r="BY2009" s="48"/>
      <c r="BZ2009" s="48"/>
      <c r="CA2009" s="48"/>
      <c r="CB2009" s="48"/>
      <c r="CC2009" s="48"/>
      <c r="CD2009" s="48"/>
      <c r="CE2009" s="48"/>
      <c r="CF2009" s="52"/>
      <c r="CG2009" s="52"/>
      <c r="CH2009" s="48"/>
      <c r="CI2009" s="48"/>
      <c r="CJ2009" s="48"/>
      <c r="CK2009" s="48"/>
    </row>
    <row r="2010" spans="1:89" ht="15.75" customHeight="1" x14ac:dyDescent="0.3">
      <c r="A2010" s="47"/>
      <c r="B2010" s="48"/>
      <c r="C2010" s="47"/>
      <c r="D2010" s="48"/>
      <c r="E2010" s="48"/>
      <c r="F2010" s="48"/>
      <c r="G2010" s="48"/>
      <c r="H2010" s="48"/>
      <c r="I2010" s="49"/>
      <c r="J2010" s="47"/>
      <c r="K2010" s="47"/>
      <c r="L2010" s="47"/>
      <c r="M2010" s="47"/>
      <c r="N2010" s="47"/>
      <c r="O2010" s="47"/>
      <c r="P2010" s="47"/>
      <c r="Q2010" s="47"/>
      <c r="R2010" s="47"/>
      <c r="S2010" s="50"/>
      <c r="T2010" s="47"/>
      <c r="U2010" s="47"/>
      <c r="V2010" s="47"/>
      <c r="W2010" s="51"/>
      <c r="X2010" s="51"/>
      <c r="Y2010" s="47"/>
      <c r="Z2010" s="47"/>
      <c r="AA2010" s="47"/>
      <c r="AB2010" s="47"/>
      <c r="AC2010" s="47"/>
      <c r="AD2010" s="47"/>
      <c r="AE2010" s="54"/>
      <c r="AF2010" s="54"/>
      <c r="AG2010" s="55"/>
      <c r="AH2010" s="54"/>
      <c r="AI2010" s="54"/>
      <c r="AJ2010" s="54"/>
      <c r="AK2010" s="54"/>
      <c r="AL2010" s="54"/>
      <c r="AM2010" s="54"/>
      <c r="AN2010" s="54"/>
      <c r="AO2010" s="54"/>
      <c r="AP2010" s="54"/>
      <c r="AQ2010" s="54"/>
      <c r="AR2010" s="54"/>
      <c r="AS2010" s="54"/>
      <c r="AT2010" s="54"/>
      <c r="AU2010" s="54"/>
      <c r="AV2010" s="54"/>
      <c r="AW2010" s="54"/>
      <c r="AX2010" s="54"/>
      <c r="AY2010" s="54"/>
      <c r="AZ2010" s="54"/>
      <c r="BA2010" s="54"/>
      <c r="BB2010" s="54"/>
      <c r="BC2010" s="56"/>
      <c r="BD2010" s="51"/>
      <c r="BE2010" s="54"/>
      <c r="BF2010" s="54"/>
      <c r="BG2010" s="47"/>
      <c r="BH2010" s="48"/>
      <c r="BI2010" s="48"/>
      <c r="BJ2010" s="48"/>
      <c r="BK2010" s="48"/>
      <c r="BL2010" s="48"/>
      <c r="BM2010" s="48"/>
      <c r="BN2010" s="48"/>
      <c r="BO2010" s="48"/>
      <c r="BP2010" s="48"/>
      <c r="BQ2010" s="48"/>
      <c r="BR2010" s="48"/>
      <c r="BS2010" s="48"/>
      <c r="BT2010" s="48"/>
      <c r="BU2010" s="48"/>
      <c r="BV2010" s="48"/>
      <c r="BW2010" s="48"/>
      <c r="BX2010" s="48"/>
      <c r="BY2010" s="48"/>
      <c r="BZ2010" s="48"/>
      <c r="CA2010" s="48"/>
      <c r="CB2010" s="48"/>
      <c r="CC2010" s="48"/>
      <c r="CD2010" s="48"/>
      <c r="CE2010" s="48"/>
      <c r="CF2010" s="52"/>
      <c r="CG2010" s="52"/>
      <c r="CH2010" s="48"/>
      <c r="CI2010" s="48"/>
      <c r="CJ2010" s="48"/>
      <c r="CK2010" s="48"/>
    </row>
    <row r="2011" spans="1:89" ht="15.75" customHeight="1" x14ac:dyDescent="0.3">
      <c r="A2011" s="47"/>
      <c r="B2011" s="48"/>
      <c r="C2011" s="47"/>
      <c r="D2011" s="48"/>
      <c r="E2011" s="48"/>
      <c r="F2011" s="48"/>
      <c r="G2011" s="48"/>
      <c r="H2011" s="48"/>
      <c r="I2011" s="49"/>
      <c r="J2011" s="47"/>
      <c r="K2011" s="47"/>
      <c r="L2011" s="47"/>
      <c r="M2011" s="47"/>
      <c r="N2011" s="47"/>
      <c r="O2011" s="47"/>
      <c r="P2011" s="47"/>
      <c r="Q2011" s="47"/>
      <c r="R2011" s="47"/>
      <c r="S2011" s="50"/>
      <c r="T2011" s="47"/>
      <c r="U2011" s="47"/>
      <c r="V2011" s="47"/>
      <c r="W2011" s="51"/>
      <c r="X2011" s="51"/>
      <c r="Y2011" s="47"/>
      <c r="Z2011" s="47"/>
      <c r="AA2011" s="47"/>
      <c r="AB2011" s="47"/>
      <c r="AC2011" s="47"/>
      <c r="AD2011" s="47"/>
      <c r="AE2011" s="54"/>
      <c r="AF2011" s="54"/>
      <c r="AG2011" s="55"/>
      <c r="AH2011" s="54"/>
      <c r="AI2011" s="54"/>
      <c r="AJ2011" s="54"/>
      <c r="AK2011" s="54"/>
      <c r="AL2011" s="54"/>
      <c r="AM2011" s="54"/>
      <c r="AN2011" s="54"/>
      <c r="AO2011" s="54"/>
      <c r="AP2011" s="54"/>
      <c r="AQ2011" s="54"/>
      <c r="AR2011" s="54"/>
      <c r="AS2011" s="54"/>
      <c r="AT2011" s="54"/>
      <c r="AU2011" s="54"/>
      <c r="AV2011" s="54"/>
      <c r="AW2011" s="54"/>
      <c r="AX2011" s="54"/>
      <c r="AY2011" s="54"/>
      <c r="AZ2011" s="54"/>
      <c r="BA2011" s="54"/>
      <c r="BB2011" s="54"/>
      <c r="BC2011" s="56"/>
      <c r="BD2011" s="51"/>
      <c r="BE2011" s="54"/>
      <c r="BF2011" s="54"/>
      <c r="BG2011" s="47"/>
      <c r="BH2011" s="48"/>
      <c r="BI2011" s="48"/>
      <c r="BJ2011" s="48"/>
      <c r="BK2011" s="48"/>
      <c r="BL2011" s="48"/>
      <c r="BM2011" s="48"/>
      <c r="BN2011" s="48"/>
      <c r="BO2011" s="48"/>
      <c r="BP2011" s="48"/>
      <c r="BQ2011" s="48"/>
      <c r="BR2011" s="48"/>
      <c r="BS2011" s="48"/>
      <c r="BT2011" s="48"/>
      <c r="BU2011" s="48"/>
      <c r="BV2011" s="48"/>
      <c r="BW2011" s="48"/>
      <c r="BX2011" s="48"/>
      <c r="BY2011" s="48"/>
      <c r="BZ2011" s="48"/>
      <c r="CA2011" s="48"/>
      <c r="CB2011" s="48"/>
      <c r="CC2011" s="48"/>
      <c r="CD2011" s="48"/>
      <c r="CE2011" s="48"/>
      <c r="CF2011" s="52"/>
      <c r="CG2011" s="52"/>
      <c r="CH2011" s="48"/>
      <c r="CI2011" s="48"/>
      <c r="CJ2011" s="48"/>
      <c r="CK2011" s="48"/>
    </row>
    <row r="2012" spans="1:89" ht="15.75" customHeight="1" x14ac:dyDescent="0.3">
      <c r="A2012" s="47"/>
      <c r="B2012" s="48"/>
      <c r="C2012" s="47"/>
      <c r="D2012" s="48"/>
      <c r="E2012" s="48"/>
      <c r="F2012" s="48"/>
      <c r="G2012" s="48"/>
      <c r="H2012" s="48"/>
      <c r="I2012" s="49"/>
      <c r="J2012" s="47"/>
      <c r="K2012" s="47"/>
      <c r="L2012" s="47"/>
      <c r="M2012" s="47"/>
      <c r="N2012" s="47"/>
      <c r="O2012" s="47"/>
      <c r="P2012" s="47"/>
      <c r="Q2012" s="47"/>
      <c r="R2012" s="47"/>
      <c r="S2012" s="50"/>
      <c r="T2012" s="47"/>
      <c r="U2012" s="47"/>
      <c r="V2012" s="47"/>
      <c r="W2012" s="51"/>
      <c r="X2012" s="51"/>
      <c r="Y2012" s="47"/>
      <c r="Z2012" s="47"/>
      <c r="AA2012" s="47"/>
      <c r="AB2012" s="47"/>
      <c r="AC2012" s="47"/>
      <c r="AD2012" s="47"/>
      <c r="AE2012" s="54"/>
      <c r="AF2012" s="54"/>
      <c r="AG2012" s="55"/>
      <c r="AH2012" s="54"/>
      <c r="AI2012" s="54"/>
      <c r="AJ2012" s="54"/>
      <c r="AK2012" s="54"/>
      <c r="AL2012" s="54"/>
      <c r="AM2012" s="54"/>
      <c r="AN2012" s="54"/>
      <c r="AO2012" s="54"/>
      <c r="AP2012" s="54"/>
      <c r="AQ2012" s="54"/>
      <c r="AR2012" s="54"/>
      <c r="AS2012" s="54"/>
      <c r="AT2012" s="54"/>
      <c r="AU2012" s="54"/>
      <c r="AV2012" s="54"/>
      <c r="AW2012" s="54"/>
      <c r="AX2012" s="54"/>
      <c r="AY2012" s="54"/>
      <c r="AZ2012" s="54"/>
      <c r="BA2012" s="54"/>
      <c r="BB2012" s="54"/>
      <c r="BC2012" s="56"/>
      <c r="BD2012" s="51"/>
      <c r="BE2012" s="54"/>
      <c r="BF2012" s="54"/>
      <c r="BG2012" s="47"/>
      <c r="BH2012" s="48"/>
      <c r="BI2012" s="48"/>
      <c r="BJ2012" s="48"/>
      <c r="BK2012" s="48"/>
      <c r="BL2012" s="48"/>
      <c r="BM2012" s="48"/>
      <c r="BN2012" s="48"/>
      <c r="BO2012" s="48"/>
      <c r="BP2012" s="48"/>
      <c r="BQ2012" s="48"/>
      <c r="BR2012" s="48"/>
      <c r="BS2012" s="48"/>
      <c r="BT2012" s="48"/>
      <c r="BU2012" s="48"/>
      <c r="BV2012" s="48"/>
      <c r="BW2012" s="48"/>
      <c r="BX2012" s="48"/>
      <c r="BY2012" s="48"/>
      <c r="BZ2012" s="48"/>
      <c r="CA2012" s="48"/>
      <c r="CB2012" s="48"/>
      <c r="CC2012" s="48"/>
      <c r="CD2012" s="48"/>
      <c r="CE2012" s="48"/>
      <c r="CF2012" s="52"/>
      <c r="CG2012" s="52"/>
      <c r="CH2012" s="48"/>
      <c r="CI2012" s="48"/>
      <c r="CJ2012" s="48"/>
      <c r="CK2012" s="48"/>
    </row>
    <row r="2013" spans="1:89" ht="15.75" customHeight="1" x14ac:dyDescent="0.3">
      <c r="A2013" s="47"/>
      <c r="B2013" s="48"/>
      <c r="C2013" s="47"/>
      <c r="D2013" s="48"/>
      <c r="E2013" s="48"/>
      <c r="F2013" s="48"/>
      <c r="G2013" s="48"/>
      <c r="H2013" s="48"/>
      <c r="I2013" s="49"/>
      <c r="J2013" s="47"/>
      <c r="K2013" s="47"/>
      <c r="L2013" s="47"/>
      <c r="M2013" s="47"/>
      <c r="N2013" s="47"/>
      <c r="O2013" s="47"/>
      <c r="P2013" s="47"/>
      <c r="Q2013" s="47"/>
      <c r="R2013" s="47"/>
      <c r="S2013" s="50"/>
      <c r="T2013" s="47"/>
      <c r="U2013" s="47"/>
      <c r="V2013" s="47"/>
      <c r="W2013" s="51"/>
      <c r="X2013" s="51"/>
      <c r="Y2013" s="47"/>
      <c r="Z2013" s="47"/>
      <c r="AA2013" s="47"/>
      <c r="AB2013" s="47"/>
      <c r="AC2013" s="47"/>
      <c r="AD2013" s="47"/>
      <c r="AE2013" s="54"/>
      <c r="AF2013" s="54"/>
      <c r="AG2013" s="55"/>
      <c r="AH2013" s="54"/>
      <c r="AI2013" s="54"/>
      <c r="AJ2013" s="54"/>
      <c r="AK2013" s="54"/>
      <c r="AL2013" s="54"/>
      <c r="AM2013" s="54"/>
      <c r="AN2013" s="54"/>
      <c r="AO2013" s="54"/>
      <c r="AP2013" s="54"/>
      <c r="AQ2013" s="54"/>
      <c r="AR2013" s="54"/>
      <c r="AS2013" s="54"/>
      <c r="AT2013" s="54"/>
      <c r="AU2013" s="54"/>
      <c r="AV2013" s="54"/>
      <c r="AW2013" s="54"/>
      <c r="AX2013" s="54"/>
      <c r="AY2013" s="54"/>
      <c r="AZ2013" s="54"/>
      <c r="BA2013" s="54"/>
      <c r="BB2013" s="54"/>
      <c r="BC2013" s="56"/>
      <c r="BD2013" s="51"/>
      <c r="BE2013" s="54"/>
      <c r="BF2013" s="54"/>
      <c r="BG2013" s="47"/>
      <c r="BH2013" s="48"/>
      <c r="BI2013" s="48"/>
      <c r="BJ2013" s="48"/>
      <c r="BK2013" s="48"/>
      <c r="BL2013" s="48"/>
      <c r="BM2013" s="48"/>
      <c r="BN2013" s="48"/>
      <c r="BO2013" s="48"/>
      <c r="BP2013" s="48"/>
      <c r="BQ2013" s="48"/>
      <c r="BR2013" s="48"/>
      <c r="BS2013" s="48"/>
      <c r="BT2013" s="48"/>
      <c r="BU2013" s="48"/>
      <c r="BV2013" s="48"/>
      <c r="BW2013" s="48"/>
      <c r="BX2013" s="48"/>
      <c r="BY2013" s="48"/>
      <c r="BZ2013" s="48"/>
      <c r="CA2013" s="48"/>
      <c r="CB2013" s="48"/>
      <c r="CC2013" s="48"/>
      <c r="CD2013" s="48"/>
      <c r="CE2013" s="48"/>
      <c r="CF2013" s="52"/>
      <c r="CG2013" s="52"/>
      <c r="CH2013" s="48"/>
      <c r="CI2013" s="48"/>
      <c r="CJ2013" s="48"/>
      <c r="CK2013" s="48"/>
    </row>
    <row r="2014" spans="1:89" ht="15.75" customHeight="1" x14ac:dyDescent="0.3">
      <c r="A2014" s="47"/>
      <c r="B2014" s="48"/>
      <c r="C2014" s="47"/>
      <c r="D2014" s="48"/>
      <c r="E2014" s="48"/>
      <c r="F2014" s="48"/>
      <c r="G2014" s="48"/>
      <c r="H2014" s="48"/>
      <c r="I2014" s="49"/>
      <c r="J2014" s="47"/>
      <c r="K2014" s="47"/>
      <c r="L2014" s="47"/>
      <c r="M2014" s="47"/>
      <c r="N2014" s="47"/>
      <c r="O2014" s="47"/>
      <c r="P2014" s="47"/>
      <c r="Q2014" s="47"/>
      <c r="R2014" s="47"/>
      <c r="S2014" s="50"/>
      <c r="T2014" s="47"/>
      <c r="U2014" s="47"/>
      <c r="V2014" s="47"/>
      <c r="W2014" s="51"/>
      <c r="X2014" s="51"/>
      <c r="Y2014" s="47"/>
      <c r="Z2014" s="47"/>
      <c r="AA2014" s="47"/>
      <c r="AB2014" s="47"/>
      <c r="AC2014" s="47"/>
      <c r="AD2014" s="47"/>
      <c r="AE2014" s="54"/>
      <c r="AF2014" s="54"/>
      <c r="AG2014" s="55"/>
      <c r="AH2014" s="54"/>
      <c r="AI2014" s="54"/>
      <c r="AJ2014" s="54"/>
      <c r="AK2014" s="54"/>
      <c r="AL2014" s="54"/>
      <c r="AM2014" s="54"/>
      <c r="AN2014" s="54"/>
      <c r="AO2014" s="54"/>
      <c r="AP2014" s="54"/>
      <c r="AQ2014" s="54"/>
      <c r="AR2014" s="54"/>
      <c r="AS2014" s="54"/>
      <c r="AT2014" s="54"/>
      <c r="AU2014" s="54"/>
      <c r="AV2014" s="54"/>
      <c r="AW2014" s="54"/>
      <c r="AX2014" s="54"/>
      <c r="AY2014" s="54"/>
      <c r="AZ2014" s="54"/>
      <c r="BA2014" s="54"/>
      <c r="BB2014" s="54"/>
      <c r="BC2014" s="56"/>
      <c r="BD2014" s="51"/>
      <c r="BE2014" s="54"/>
      <c r="BF2014" s="54"/>
      <c r="BG2014" s="47"/>
      <c r="BH2014" s="48"/>
      <c r="BI2014" s="48"/>
      <c r="BJ2014" s="48"/>
      <c r="BK2014" s="48"/>
      <c r="BL2014" s="48"/>
      <c r="BM2014" s="48"/>
      <c r="BN2014" s="48"/>
      <c r="BO2014" s="48"/>
      <c r="BP2014" s="48"/>
      <c r="BQ2014" s="48"/>
      <c r="BR2014" s="48"/>
      <c r="BS2014" s="48"/>
      <c r="BT2014" s="48"/>
      <c r="BU2014" s="48"/>
      <c r="BV2014" s="48"/>
      <c r="BW2014" s="48"/>
      <c r="BX2014" s="48"/>
      <c r="BY2014" s="48"/>
      <c r="BZ2014" s="48"/>
      <c r="CA2014" s="48"/>
      <c r="CB2014" s="48"/>
      <c r="CC2014" s="48"/>
      <c r="CD2014" s="48"/>
      <c r="CE2014" s="48"/>
      <c r="CF2014" s="52"/>
      <c r="CG2014" s="52"/>
      <c r="CH2014" s="48"/>
      <c r="CI2014" s="48"/>
      <c r="CJ2014" s="48"/>
      <c r="CK2014" s="48"/>
    </row>
    <row r="2015" spans="1:89" ht="15.75" customHeight="1" x14ac:dyDescent="0.3">
      <c r="A2015" s="47"/>
      <c r="B2015" s="48"/>
      <c r="C2015" s="47"/>
      <c r="D2015" s="48"/>
      <c r="E2015" s="48"/>
      <c r="F2015" s="48"/>
      <c r="G2015" s="48"/>
      <c r="H2015" s="48"/>
      <c r="I2015" s="49"/>
      <c r="J2015" s="47"/>
      <c r="K2015" s="47"/>
      <c r="L2015" s="47"/>
      <c r="M2015" s="47"/>
      <c r="N2015" s="47"/>
      <c r="O2015" s="47"/>
      <c r="P2015" s="47"/>
      <c r="Q2015" s="47"/>
      <c r="R2015" s="47"/>
      <c r="S2015" s="50"/>
      <c r="T2015" s="47"/>
      <c r="U2015" s="47"/>
      <c r="V2015" s="47"/>
      <c r="W2015" s="51"/>
      <c r="X2015" s="51"/>
      <c r="Y2015" s="47"/>
      <c r="Z2015" s="47"/>
      <c r="AA2015" s="47"/>
      <c r="AB2015" s="47"/>
      <c r="AC2015" s="47"/>
      <c r="AD2015" s="47"/>
      <c r="AE2015" s="54"/>
      <c r="AF2015" s="54"/>
      <c r="AG2015" s="55"/>
      <c r="AH2015" s="54"/>
      <c r="AI2015" s="54"/>
      <c r="AJ2015" s="54"/>
      <c r="AK2015" s="54"/>
      <c r="AL2015" s="54"/>
      <c r="AM2015" s="54"/>
      <c r="AN2015" s="54"/>
      <c r="AO2015" s="54"/>
      <c r="AP2015" s="54"/>
      <c r="AQ2015" s="54"/>
      <c r="AR2015" s="54"/>
      <c r="AS2015" s="54"/>
      <c r="AT2015" s="54"/>
      <c r="AU2015" s="54"/>
      <c r="AV2015" s="54"/>
      <c r="AW2015" s="54"/>
      <c r="AX2015" s="54"/>
      <c r="AY2015" s="54"/>
      <c r="AZ2015" s="54"/>
      <c r="BA2015" s="54"/>
      <c r="BB2015" s="54"/>
      <c r="BC2015" s="56"/>
      <c r="BD2015" s="51"/>
      <c r="BE2015" s="54"/>
      <c r="BF2015" s="54"/>
      <c r="BG2015" s="47"/>
      <c r="BH2015" s="48"/>
      <c r="BI2015" s="48"/>
      <c r="BJ2015" s="48"/>
      <c r="BK2015" s="48"/>
      <c r="BL2015" s="48"/>
      <c r="BM2015" s="48"/>
      <c r="BN2015" s="48"/>
      <c r="BO2015" s="48"/>
      <c r="BP2015" s="48"/>
      <c r="BQ2015" s="48"/>
      <c r="BR2015" s="48"/>
      <c r="BS2015" s="48"/>
      <c r="BT2015" s="48"/>
      <c r="BU2015" s="48"/>
      <c r="BV2015" s="48"/>
      <c r="BW2015" s="48"/>
      <c r="BX2015" s="48"/>
      <c r="BY2015" s="48"/>
      <c r="BZ2015" s="48"/>
      <c r="CA2015" s="48"/>
      <c r="CB2015" s="48"/>
      <c r="CC2015" s="48"/>
      <c r="CD2015" s="48"/>
      <c r="CE2015" s="48"/>
      <c r="CF2015" s="52"/>
      <c r="CG2015" s="52"/>
      <c r="CH2015" s="48"/>
      <c r="CI2015" s="48"/>
      <c r="CJ2015" s="48"/>
      <c r="CK2015" s="48"/>
    </row>
    <row r="2016" spans="1:89" ht="15.75" customHeight="1" x14ac:dyDescent="0.3">
      <c r="A2016" s="47"/>
      <c r="B2016" s="48"/>
      <c r="C2016" s="47"/>
      <c r="D2016" s="48"/>
      <c r="E2016" s="48"/>
      <c r="F2016" s="48"/>
      <c r="G2016" s="48"/>
      <c r="H2016" s="48"/>
      <c r="I2016" s="49"/>
      <c r="J2016" s="47"/>
      <c r="K2016" s="47"/>
      <c r="L2016" s="47"/>
      <c r="M2016" s="47"/>
      <c r="N2016" s="47"/>
      <c r="O2016" s="47"/>
      <c r="P2016" s="47"/>
      <c r="Q2016" s="47"/>
      <c r="R2016" s="47"/>
      <c r="S2016" s="50"/>
      <c r="T2016" s="47"/>
      <c r="U2016" s="47"/>
      <c r="V2016" s="47"/>
      <c r="W2016" s="51"/>
      <c r="X2016" s="51"/>
      <c r="Y2016" s="47"/>
      <c r="Z2016" s="47"/>
      <c r="AA2016" s="47"/>
      <c r="AB2016" s="47"/>
      <c r="AC2016" s="47"/>
      <c r="AD2016" s="47"/>
      <c r="AE2016" s="54"/>
      <c r="AF2016" s="54"/>
      <c r="AG2016" s="55"/>
      <c r="AH2016" s="54"/>
      <c r="AI2016" s="54"/>
      <c r="AJ2016" s="54"/>
      <c r="AK2016" s="54"/>
      <c r="AL2016" s="54"/>
      <c r="AM2016" s="54"/>
      <c r="AN2016" s="54"/>
      <c r="AO2016" s="54"/>
      <c r="AP2016" s="54"/>
      <c r="AQ2016" s="54"/>
      <c r="AR2016" s="54"/>
      <c r="AS2016" s="54"/>
      <c r="AT2016" s="54"/>
      <c r="AU2016" s="54"/>
      <c r="AV2016" s="54"/>
      <c r="AW2016" s="54"/>
      <c r="AX2016" s="54"/>
      <c r="AY2016" s="54"/>
      <c r="AZ2016" s="54"/>
      <c r="BA2016" s="54"/>
      <c r="BB2016" s="54"/>
      <c r="BC2016" s="56"/>
      <c r="BD2016" s="51"/>
      <c r="BE2016" s="54"/>
      <c r="BF2016" s="54"/>
      <c r="BG2016" s="47"/>
      <c r="BH2016" s="48"/>
      <c r="BI2016" s="48"/>
      <c r="BJ2016" s="48"/>
      <c r="BK2016" s="48"/>
      <c r="BL2016" s="48"/>
      <c r="BM2016" s="48"/>
      <c r="BN2016" s="48"/>
      <c r="BO2016" s="48"/>
      <c r="BP2016" s="48"/>
      <c r="BQ2016" s="48"/>
      <c r="BR2016" s="48"/>
      <c r="BS2016" s="48"/>
      <c r="BT2016" s="48"/>
      <c r="BU2016" s="48"/>
      <c r="BV2016" s="48"/>
      <c r="BW2016" s="48"/>
      <c r="BX2016" s="48"/>
      <c r="BY2016" s="48"/>
      <c r="BZ2016" s="48"/>
      <c r="CA2016" s="48"/>
      <c r="CB2016" s="48"/>
      <c r="CC2016" s="48"/>
      <c r="CD2016" s="48"/>
      <c r="CE2016" s="48"/>
      <c r="CF2016" s="52"/>
      <c r="CG2016" s="52"/>
      <c r="CH2016" s="48"/>
      <c r="CI2016" s="48"/>
      <c r="CJ2016" s="48"/>
      <c r="CK2016" s="48"/>
    </row>
    <row r="2017" spans="1:89" ht="15.75" customHeight="1" x14ac:dyDescent="0.3">
      <c r="A2017" s="47"/>
      <c r="B2017" s="48"/>
      <c r="C2017" s="47"/>
      <c r="D2017" s="48"/>
      <c r="E2017" s="48"/>
      <c r="F2017" s="48"/>
      <c r="G2017" s="48"/>
      <c r="H2017" s="48"/>
      <c r="I2017" s="49"/>
      <c r="J2017" s="47"/>
      <c r="K2017" s="47"/>
      <c r="L2017" s="47"/>
      <c r="M2017" s="47"/>
      <c r="N2017" s="47"/>
      <c r="O2017" s="47"/>
      <c r="P2017" s="47"/>
      <c r="Q2017" s="47"/>
      <c r="R2017" s="47"/>
      <c r="S2017" s="50"/>
      <c r="T2017" s="47"/>
      <c r="U2017" s="47"/>
      <c r="V2017" s="47"/>
      <c r="W2017" s="51"/>
      <c r="X2017" s="51"/>
      <c r="Y2017" s="47"/>
      <c r="Z2017" s="47"/>
      <c r="AA2017" s="47"/>
      <c r="AB2017" s="47"/>
      <c r="AC2017" s="47"/>
      <c r="AD2017" s="47"/>
      <c r="AE2017" s="54"/>
      <c r="AF2017" s="54"/>
      <c r="AG2017" s="55"/>
      <c r="AH2017" s="54"/>
      <c r="AI2017" s="54"/>
      <c r="AJ2017" s="54"/>
      <c r="AK2017" s="54"/>
      <c r="AL2017" s="54"/>
      <c r="AM2017" s="54"/>
      <c r="AN2017" s="54"/>
      <c r="AO2017" s="54"/>
      <c r="AP2017" s="54"/>
      <c r="AQ2017" s="54"/>
      <c r="AR2017" s="54"/>
      <c r="AS2017" s="54"/>
      <c r="AT2017" s="54"/>
      <c r="AU2017" s="54"/>
      <c r="AV2017" s="54"/>
      <c r="AW2017" s="54"/>
      <c r="AX2017" s="54"/>
      <c r="AY2017" s="54"/>
      <c r="AZ2017" s="54"/>
      <c r="BA2017" s="54"/>
      <c r="BB2017" s="54"/>
      <c r="BC2017" s="56"/>
      <c r="BD2017" s="51"/>
      <c r="BE2017" s="54"/>
      <c r="BF2017" s="54"/>
      <c r="BG2017" s="47"/>
      <c r="BH2017" s="48"/>
      <c r="BI2017" s="48"/>
      <c r="BJ2017" s="48"/>
      <c r="BK2017" s="48"/>
      <c r="BL2017" s="48"/>
      <c r="BM2017" s="48"/>
      <c r="BN2017" s="48"/>
      <c r="BO2017" s="48"/>
      <c r="BP2017" s="48"/>
      <c r="BQ2017" s="48"/>
      <c r="BR2017" s="48"/>
      <c r="BS2017" s="48"/>
      <c r="BT2017" s="48"/>
      <c r="BU2017" s="48"/>
      <c r="BV2017" s="48"/>
      <c r="BW2017" s="48"/>
      <c r="BX2017" s="48"/>
      <c r="BY2017" s="48"/>
      <c r="BZ2017" s="48"/>
      <c r="CA2017" s="48"/>
      <c r="CB2017" s="48"/>
      <c r="CC2017" s="48"/>
      <c r="CD2017" s="48"/>
      <c r="CE2017" s="48"/>
      <c r="CF2017" s="52"/>
      <c r="CG2017" s="52"/>
      <c r="CH2017" s="48"/>
      <c r="CI2017" s="48"/>
      <c r="CJ2017" s="48"/>
      <c r="CK2017" s="48"/>
    </row>
    <row r="2018" spans="1:89" ht="15.75" customHeight="1" x14ac:dyDescent="0.3">
      <c r="A2018" s="47"/>
      <c r="B2018" s="48"/>
      <c r="C2018" s="47"/>
      <c r="D2018" s="48"/>
      <c r="E2018" s="48"/>
      <c r="F2018" s="48"/>
      <c r="G2018" s="48"/>
      <c r="H2018" s="48"/>
      <c r="I2018" s="49"/>
      <c r="J2018" s="47"/>
      <c r="K2018" s="47"/>
      <c r="L2018" s="47"/>
      <c r="M2018" s="47"/>
      <c r="N2018" s="47"/>
      <c r="O2018" s="47"/>
      <c r="P2018" s="47"/>
      <c r="Q2018" s="47"/>
      <c r="R2018" s="47"/>
      <c r="S2018" s="50"/>
      <c r="T2018" s="47"/>
      <c r="U2018" s="47"/>
      <c r="V2018" s="47"/>
      <c r="W2018" s="51"/>
      <c r="X2018" s="51"/>
      <c r="Y2018" s="47"/>
      <c r="Z2018" s="47"/>
      <c r="AA2018" s="47"/>
      <c r="AB2018" s="47"/>
      <c r="AC2018" s="47"/>
      <c r="AD2018" s="47"/>
      <c r="AE2018" s="54"/>
      <c r="AF2018" s="54"/>
      <c r="AG2018" s="55"/>
      <c r="AH2018" s="54"/>
      <c r="AI2018" s="54"/>
      <c r="AJ2018" s="54"/>
      <c r="AK2018" s="54"/>
      <c r="AL2018" s="54"/>
      <c r="AM2018" s="54"/>
      <c r="AN2018" s="54"/>
      <c r="AO2018" s="54"/>
      <c r="AP2018" s="54"/>
      <c r="AQ2018" s="54"/>
      <c r="AR2018" s="54"/>
      <c r="AS2018" s="54"/>
      <c r="AT2018" s="54"/>
      <c r="AU2018" s="54"/>
      <c r="AV2018" s="54"/>
      <c r="AW2018" s="54"/>
      <c r="AX2018" s="54"/>
      <c r="AY2018" s="54"/>
      <c r="AZ2018" s="54"/>
      <c r="BA2018" s="54"/>
      <c r="BB2018" s="54"/>
      <c r="BC2018" s="56"/>
      <c r="BD2018" s="51"/>
      <c r="BE2018" s="54"/>
      <c r="BF2018" s="54"/>
      <c r="BG2018" s="47"/>
      <c r="BH2018" s="48"/>
      <c r="BI2018" s="48"/>
      <c r="BJ2018" s="48"/>
      <c r="BK2018" s="48"/>
      <c r="BL2018" s="48"/>
      <c r="BM2018" s="48"/>
      <c r="BN2018" s="48"/>
      <c r="BO2018" s="48"/>
      <c r="BP2018" s="48"/>
      <c r="BQ2018" s="48"/>
      <c r="BR2018" s="48"/>
      <c r="BS2018" s="48"/>
      <c r="BT2018" s="48"/>
      <c r="BU2018" s="48"/>
      <c r="BV2018" s="48"/>
      <c r="BW2018" s="48"/>
      <c r="BX2018" s="48"/>
      <c r="BY2018" s="48"/>
      <c r="BZ2018" s="48"/>
      <c r="CA2018" s="48"/>
      <c r="CB2018" s="48"/>
      <c r="CC2018" s="48"/>
      <c r="CD2018" s="48"/>
      <c r="CE2018" s="48"/>
      <c r="CF2018" s="52"/>
      <c r="CG2018" s="52"/>
      <c r="CH2018" s="48"/>
      <c r="CI2018" s="48"/>
      <c r="CJ2018" s="48"/>
      <c r="CK2018" s="48"/>
    </row>
    <row r="2019" spans="1:89" ht="15.75" customHeight="1" x14ac:dyDescent="0.3">
      <c r="A2019" s="47"/>
      <c r="B2019" s="48"/>
      <c r="C2019" s="47"/>
      <c r="D2019" s="48"/>
      <c r="E2019" s="48"/>
      <c r="F2019" s="48"/>
      <c r="G2019" s="48"/>
      <c r="H2019" s="48"/>
      <c r="I2019" s="49"/>
      <c r="J2019" s="47"/>
      <c r="K2019" s="47"/>
      <c r="L2019" s="47"/>
      <c r="M2019" s="47"/>
      <c r="N2019" s="47"/>
      <c r="O2019" s="47"/>
      <c r="P2019" s="47"/>
      <c r="Q2019" s="47"/>
      <c r="R2019" s="47"/>
      <c r="S2019" s="50"/>
      <c r="T2019" s="47"/>
      <c r="U2019" s="47"/>
      <c r="V2019" s="47"/>
      <c r="W2019" s="51"/>
      <c r="X2019" s="51"/>
      <c r="Y2019" s="47"/>
      <c r="Z2019" s="47"/>
      <c r="AA2019" s="47"/>
      <c r="AB2019" s="47"/>
      <c r="AC2019" s="47"/>
      <c r="AD2019" s="47"/>
      <c r="AE2019" s="54"/>
      <c r="AF2019" s="54"/>
      <c r="AG2019" s="55"/>
      <c r="AH2019" s="54"/>
      <c r="AI2019" s="54"/>
      <c r="AJ2019" s="54"/>
      <c r="AK2019" s="54"/>
      <c r="AL2019" s="54"/>
      <c r="AM2019" s="54"/>
      <c r="AN2019" s="54"/>
      <c r="AO2019" s="54"/>
      <c r="AP2019" s="54"/>
      <c r="AQ2019" s="54"/>
      <c r="AR2019" s="54"/>
      <c r="AS2019" s="54"/>
      <c r="AT2019" s="54"/>
      <c r="AU2019" s="54"/>
      <c r="AV2019" s="54"/>
      <c r="AW2019" s="54"/>
      <c r="AX2019" s="54"/>
      <c r="AY2019" s="54"/>
      <c r="AZ2019" s="54"/>
      <c r="BA2019" s="54"/>
      <c r="BB2019" s="54"/>
      <c r="BC2019" s="56"/>
      <c r="BD2019" s="51"/>
      <c r="BE2019" s="54"/>
      <c r="BF2019" s="54"/>
      <c r="BG2019" s="47"/>
      <c r="BH2019" s="48"/>
      <c r="BI2019" s="48"/>
      <c r="BJ2019" s="48"/>
      <c r="BK2019" s="48"/>
      <c r="BL2019" s="48"/>
      <c r="BM2019" s="48"/>
      <c r="BN2019" s="48"/>
      <c r="BO2019" s="48"/>
      <c r="BP2019" s="48"/>
      <c r="BQ2019" s="48"/>
      <c r="BR2019" s="48"/>
      <c r="BS2019" s="48"/>
      <c r="BT2019" s="48"/>
      <c r="BU2019" s="48"/>
      <c r="BV2019" s="48"/>
      <c r="BW2019" s="48"/>
      <c r="BX2019" s="48"/>
      <c r="BY2019" s="48"/>
      <c r="BZ2019" s="48"/>
      <c r="CA2019" s="48"/>
      <c r="CB2019" s="48"/>
      <c r="CC2019" s="48"/>
      <c r="CD2019" s="48"/>
      <c r="CE2019" s="48"/>
      <c r="CF2019" s="52"/>
      <c r="CG2019" s="52"/>
      <c r="CH2019" s="48"/>
      <c r="CI2019" s="48"/>
      <c r="CJ2019" s="48"/>
      <c r="CK2019" s="48"/>
    </row>
    <row r="2020" spans="1:89" ht="15.75" customHeight="1" x14ac:dyDescent="0.3">
      <c r="A2020" s="47"/>
      <c r="B2020" s="48"/>
      <c r="C2020" s="47"/>
      <c r="D2020" s="48"/>
      <c r="E2020" s="48"/>
      <c r="F2020" s="48"/>
      <c r="G2020" s="48"/>
      <c r="H2020" s="48"/>
      <c r="I2020" s="49"/>
      <c r="J2020" s="47"/>
      <c r="K2020" s="47"/>
      <c r="L2020" s="47"/>
      <c r="M2020" s="47"/>
      <c r="N2020" s="47"/>
      <c r="O2020" s="47"/>
      <c r="P2020" s="47"/>
      <c r="Q2020" s="47"/>
      <c r="R2020" s="47"/>
      <c r="S2020" s="50"/>
      <c r="T2020" s="47"/>
      <c r="U2020" s="47"/>
      <c r="V2020" s="47"/>
      <c r="W2020" s="51"/>
      <c r="X2020" s="51"/>
      <c r="Y2020" s="47"/>
      <c r="Z2020" s="47"/>
      <c r="AA2020" s="47"/>
      <c r="AB2020" s="47"/>
      <c r="AC2020" s="47"/>
      <c r="AD2020" s="47"/>
      <c r="AE2020" s="54"/>
      <c r="AF2020" s="54"/>
      <c r="AG2020" s="55"/>
      <c r="AH2020" s="54"/>
      <c r="AI2020" s="54"/>
      <c r="AJ2020" s="54"/>
      <c r="AK2020" s="54"/>
      <c r="AL2020" s="54"/>
      <c r="AM2020" s="54"/>
      <c r="AN2020" s="54"/>
      <c r="AO2020" s="54"/>
      <c r="AP2020" s="54"/>
      <c r="AQ2020" s="54"/>
      <c r="AR2020" s="54"/>
      <c r="AS2020" s="54"/>
      <c r="AT2020" s="54"/>
      <c r="AU2020" s="54"/>
      <c r="AV2020" s="54"/>
      <c r="AW2020" s="54"/>
      <c r="AX2020" s="54"/>
      <c r="AY2020" s="54"/>
      <c r="AZ2020" s="54"/>
      <c r="BA2020" s="54"/>
      <c r="BB2020" s="54"/>
      <c r="BC2020" s="56"/>
      <c r="BD2020" s="51"/>
      <c r="BE2020" s="54"/>
      <c r="BF2020" s="54"/>
      <c r="BG2020" s="47"/>
      <c r="BH2020" s="48"/>
      <c r="BI2020" s="48"/>
      <c r="BJ2020" s="48"/>
      <c r="BK2020" s="48"/>
      <c r="BL2020" s="48"/>
      <c r="BM2020" s="48"/>
      <c r="BN2020" s="48"/>
      <c r="BO2020" s="48"/>
      <c r="BP2020" s="48"/>
      <c r="BQ2020" s="48"/>
      <c r="BR2020" s="48"/>
      <c r="BS2020" s="48"/>
      <c r="BT2020" s="48"/>
      <c r="BU2020" s="48"/>
      <c r="BV2020" s="48"/>
      <c r="BW2020" s="48"/>
      <c r="BX2020" s="48"/>
      <c r="BY2020" s="48"/>
      <c r="BZ2020" s="48"/>
      <c r="CA2020" s="48"/>
      <c r="CB2020" s="48"/>
      <c r="CC2020" s="48"/>
      <c r="CD2020" s="48"/>
      <c r="CE2020" s="48"/>
      <c r="CF2020" s="52"/>
      <c r="CG2020" s="52"/>
      <c r="CH2020" s="48"/>
      <c r="CI2020" s="48"/>
      <c r="CJ2020" s="48"/>
      <c r="CK2020" s="48"/>
    </row>
    <row r="2021" spans="1:89" ht="15.75" customHeight="1" x14ac:dyDescent="0.3">
      <c r="A2021" s="47"/>
      <c r="B2021" s="48"/>
      <c r="C2021" s="47"/>
      <c r="D2021" s="48"/>
      <c r="E2021" s="48"/>
      <c r="F2021" s="48"/>
      <c r="G2021" s="48"/>
      <c r="H2021" s="48"/>
      <c r="I2021" s="49"/>
      <c r="J2021" s="47"/>
      <c r="K2021" s="47"/>
      <c r="L2021" s="47"/>
      <c r="M2021" s="47"/>
      <c r="N2021" s="47"/>
      <c r="O2021" s="47"/>
      <c r="P2021" s="47"/>
      <c r="Q2021" s="47"/>
      <c r="R2021" s="47"/>
      <c r="S2021" s="50"/>
      <c r="T2021" s="47"/>
      <c r="U2021" s="47"/>
      <c r="V2021" s="47"/>
      <c r="W2021" s="51"/>
      <c r="X2021" s="51"/>
      <c r="Y2021" s="47"/>
      <c r="Z2021" s="47"/>
      <c r="AA2021" s="47"/>
      <c r="AB2021" s="47"/>
      <c r="AC2021" s="47"/>
      <c r="AD2021" s="47"/>
      <c r="AE2021" s="54"/>
      <c r="AF2021" s="54"/>
      <c r="AG2021" s="55"/>
      <c r="AH2021" s="54"/>
      <c r="AI2021" s="54"/>
      <c r="AJ2021" s="54"/>
      <c r="AK2021" s="54"/>
      <c r="AL2021" s="54"/>
      <c r="AM2021" s="54"/>
      <c r="AN2021" s="54"/>
      <c r="AO2021" s="54"/>
      <c r="AP2021" s="54"/>
      <c r="AQ2021" s="54"/>
      <c r="AR2021" s="54"/>
      <c r="AS2021" s="54"/>
      <c r="AT2021" s="54"/>
      <c r="AU2021" s="54"/>
      <c r="AV2021" s="54"/>
      <c r="AW2021" s="54"/>
      <c r="AX2021" s="54"/>
      <c r="AY2021" s="54"/>
      <c r="AZ2021" s="54"/>
      <c r="BA2021" s="54"/>
      <c r="BB2021" s="54"/>
      <c r="BC2021" s="56"/>
      <c r="BD2021" s="51"/>
      <c r="BE2021" s="54"/>
      <c r="BF2021" s="54"/>
      <c r="BG2021" s="47"/>
      <c r="BH2021" s="48"/>
      <c r="BI2021" s="48"/>
      <c r="BJ2021" s="48"/>
      <c r="BK2021" s="48"/>
      <c r="BL2021" s="48"/>
      <c r="BM2021" s="48"/>
      <c r="BN2021" s="48"/>
      <c r="BO2021" s="48"/>
      <c r="BP2021" s="48"/>
      <c r="BQ2021" s="48"/>
      <c r="BR2021" s="48"/>
      <c r="BS2021" s="48"/>
      <c r="BT2021" s="48"/>
      <c r="BU2021" s="48"/>
      <c r="BV2021" s="48"/>
      <c r="BW2021" s="48"/>
      <c r="BX2021" s="48"/>
      <c r="BY2021" s="48"/>
      <c r="BZ2021" s="48"/>
      <c r="CA2021" s="48"/>
      <c r="CB2021" s="48"/>
      <c r="CC2021" s="48"/>
      <c r="CD2021" s="48"/>
      <c r="CE2021" s="48"/>
      <c r="CF2021" s="52"/>
      <c r="CG2021" s="52"/>
      <c r="CH2021" s="48"/>
      <c r="CI2021" s="48"/>
      <c r="CJ2021" s="48"/>
      <c r="CK2021" s="48"/>
    </row>
    <row r="2022" spans="1:89" ht="15.75" customHeight="1" x14ac:dyDescent="0.3">
      <c r="A2022" s="47"/>
      <c r="B2022" s="48"/>
      <c r="C2022" s="47"/>
      <c r="D2022" s="48"/>
      <c r="E2022" s="48"/>
      <c r="F2022" s="48"/>
      <c r="G2022" s="48"/>
      <c r="H2022" s="48"/>
      <c r="I2022" s="49"/>
      <c r="J2022" s="47"/>
      <c r="K2022" s="47"/>
      <c r="L2022" s="47"/>
      <c r="M2022" s="47"/>
      <c r="N2022" s="47"/>
      <c r="O2022" s="47"/>
      <c r="P2022" s="47"/>
      <c r="Q2022" s="47"/>
      <c r="R2022" s="47"/>
      <c r="S2022" s="50"/>
      <c r="T2022" s="47"/>
      <c r="U2022" s="47"/>
      <c r="V2022" s="47"/>
      <c r="W2022" s="51"/>
      <c r="X2022" s="51"/>
      <c r="Y2022" s="47"/>
      <c r="Z2022" s="47"/>
      <c r="AA2022" s="47"/>
      <c r="AB2022" s="47"/>
      <c r="AC2022" s="47"/>
      <c r="AD2022" s="47"/>
      <c r="AE2022" s="54"/>
      <c r="AF2022" s="54"/>
      <c r="AG2022" s="55"/>
      <c r="AH2022" s="54"/>
      <c r="AI2022" s="54"/>
      <c r="AJ2022" s="54"/>
      <c r="AK2022" s="54"/>
      <c r="AL2022" s="54"/>
      <c r="AM2022" s="54"/>
      <c r="AN2022" s="54"/>
      <c r="AO2022" s="54"/>
      <c r="AP2022" s="54"/>
      <c r="AQ2022" s="54"/>
      <c r="AR2022" s="54"/>
      <c r="AS2022" s="54"/>
      <c r="AT2022" s="54"/>
      <c r="AU2022" s="54"/>
      <c r="AV2022" s="54"/>
      <c r="AW2022" s="54"/>
      <c r="AX2022" s="54"/>
      <c r="AY2022" s="54"/>
      <c r="AZ2022" s="54"/>
      <c r="BA2022" s="54"/>
      <c r="BB2022" s="54"/>
      <c r="BC2022" s="56"/>
      <c r="BD2022" s="51"/>
      <c r="BE2022" s="54"/>
      <c r="BF2022" s="54"/>
      <c r="BG2022" s="47"/>
      <c r="BH2022" s="48"/>
      <c r="BI2022" s="48"/>
      <c r="BJ2022" s="48"/>
      <c r="BK2022" s="48"/>
      <c r="BL2022" s="48"/>
      <c r="BM2022" s="48"/>
      <c r="BN2022" s="48"/>
      <c r="BO2022" s="48"/>
      <c r="BP2022" s="48"/>
      <c r="BQ2022" s="48"/>
      <c r="BR2022" s="48"/>
      <c r="BS2022" s="48"/>
      <c r="BT2022" s="48"/>
      <c r="BU2022" s="48"/>
      <c r="BV2022" s="48"/>
      <c r="BW2022" s="48"/>
      <c r="BX2022" s="48"/>
      <c r="BY2022" s="48"/>
      <c r="BZ2022" s="48"/>
      <c r="CA2022" s="48"/>
      <c r="CB2022" s="48"/>
      <c r="CC2022" s="48"/>
      <c r="CD2022" s="48"/>
      <c r="CE2022" s="48"/>
      <c r="CF2022" s="52"/>
      <c r="CG2022" s="52"/>
      <c r="CH2022" s="48"/>
      <c r="CI2022" s="48"/>
      <c r="CJ2022" s="48"/>
      <c r="CK2022" s="48"/>
    </row>
    <row r="2023" spans="1:89" ht="15.75" customHeight="1" x14ac:dyDescent="0.3">
      <c r="A2023" s="47"/>
      <c r="B2023" s="48"/>
      <c r="C2023" s="47"/>
      <c r="D2023" s="48"/>
      <c r="E2023" s="48"/>
      <c r="F2023" s="48"/>
      <c r="G2023" s="48"/>
      <c r="H2023" s="48"/>
      <c r="I2023" s="49"/>
      <c r="J2023" s="47"/>
      <c r="K2023" s="47"/>
      <c r="L2023" s="47"/>
      <c r="M2023" s="47"/>
      <c r="N2023" s="47"/>
      <c r="O2023" s="47"/>
      <c r="P2023" s="47"/>
      <c r="Q2023" s="47"/>
      <c r="R2023" s="47"/>
      <c r="S2023" s="50"/>
      <c r="T2023" s="47"/>
      <c r="U2023" s="47"/>
      <c r="V2023" s="47"/>
      <c r="W2023" s="51"/>
      <c r="X2023" s="51"/>
      <c r="Y2023" s="47"/>
      <c r="Z2023" s="47"/>
      <c r="AA2023" s="47"/>
      <c r="AB2023" s="47"/>
      <c r="AC2023" s="47"/>
      <c r="AD2023" s="47"/>
      <c r="AE2023" s="54"/>
      <c r="AF2023" s="54"/>
      <c r="AG2023" s="55"/>
      <c r="AH2023" s="54"/>
      <c r="AI2023" s="54"/>
      <c r="AJ2023" s="54"/>
      <c r="AK2023" s="54"/>
      <c r="AL2023" s="54"/>
      <c r="AM2023" s="54"/>
      <c r="AN2023" s="54"/>
      <c r="AO2023" s="54"/>
      <c r="AP2023" s="54"/>
      <c r="AQ2023" s="54"/>
      <c r="AR2023" s="54"/>
      <c r="AS2023" s="54"/>
      <c r="AT2023" s="54"/>
      <c r="AU2023" s="54"/>
      <c r="AV2023" s="54"/>
      <c r="AW2023" s="54"/>
      <c r="AX2023" s="54"/>
      <c r="AY2023" s="54"/>
      <c r="AZ2023" s="54"/>
      <c r="BA2023" s="54"/>
      <c r="BB2023" s="54"/>
      <c r="BC2023" s="56"/>
      <c r="BD2023" s="51"/>
      <c r="BE2023" s="54"/>
      <c r="BF2023" s="54"/>
      <c r="BG2023" s="47"/>
      <c r="BH2023" s="48"/>
      <c r="BI2023" s="48"/>
      <c r="BJ2023" s="48"/>
      <c r="BK2023" s="48"/>
      <c r="BL2023" s="48"/>
      <c r="BM2023" s="48"/>
      <c r="BN2023" s="48"/>
      <c r="BO2023" s="48"/>
      <c r="BP2023" s="48"/>
      <c r="BQ2023" s="48"/>
      <c r="BR2023" s="48"/>
      <c r="BS2023" s="48"/>
      <c r="BT2023" s="48"/>
      <c r="BU2023" s="48"/>
      <c r="BV2023" s="48"/>
      <c r="BW2023" s="48"/>
      <c r="BX2023" s="48"/>
      <c r="BY2023" s="48"/>
      <c r="BZ2023" s="48"/>
      <c r="CA2023" s="48"/>
      <c r="CB2023" s="48"/>
      <c r="CC2023" s="48"/>
      <c r="CD2023" s="48"/>
      <c r="CE2023" s="48"/>
      <c r="CF2023" s="52"/>
      <c r="CG2023" s="52"/>
      <c r="CH2023" s="48"/>
      <c r="CI2023" s="48"/>
      <c r="CJ2023" s="48"/>
      <c r="CK2023" s="48"/>
    </row>
    <row r="2024" spans="1:89" ht="15.75" customHeight="1" x14ac:dyDescent="0.3">
      <c r="A2024" s="47"/>
      <c r="B2024" s="48"/>
      <c r="C2024" s="47"/>
      <c r="D2024" s="48"/>
      <c r="E2024" s="48"/>
      <c r="F2024" s="48"/>
      <c r="G2024" s="48"/>
      <c r="H2024" s="48"/>
      <c r="I2024" s="49"/>
      <c r="J2024" s="47"/>
      <c r="K2024" s="47"/>
      <c r="L2024" s="47"/>
      <c r="M2024" s="47"/>
      <c r="N2024" s="47"/>
      <c r="O2024" s="47"/>
      <c r="P2024" s="47"/>
      <c r="Q2024" s="47"/>
      <c r="R2024" s="47"/>
      <c r="S2024" s="50"/>
      <c r="T2024" s="47"/>
      <c r="U2024" s="47"/>
      <c r="V2024" s="47"/>
      <c r="W2024" s="51"/>
      <c r="X2024" s="51"/>
      <c r="Y2024" s="47"/>
      <c r="Z2024" s="47"/>
      <c r="AA2024" s="47"/>
      <c r="AB2024" s="47"/>
      <c r="AC2024" s="47"/>
      <c r="AD2024" s="47"/>
      <c r="AE2024" s="54"/>
      <c r="AF2024" s="54"/>
      <c r="AG2024" s="55"/>
      <c r="AH2024" s="54"/>
      <c r="AI2024" s="54"/>
      <c r="AJ2024" s="54"/>
      <c r="AK2024" s="54"/>
      <c r="AL2024" s="54"/>
      <c r="AM2024" s="54"/>
      <c r="AN2024" s="54"/>
      <c r="AO2024" s="54"/>
      <c r="AP2024" s="54"/>
      <c r="AQ2024" s="54"/>
      <c r="AR2024" s="54"/>
      <c r="AS2024" s="54"/>
      <c r="AT2024" s="54"/>
      <c r="AU2024" s="54"/>
      <c r="AV2024" s="54"/>
      <c r="AW2024" s="54"/>
      <c r="AX2024" s="54"/>
      <c r="AY2024" s="54"/>
      <c r="AZ2024" s="54"/>
      <c r="BA2024" s="54"/>
      <c r="BB2024" s="54"/>
      <c r="BC2024" s="56"/>
      <c r="BD2024" s="51"/>
      <c r="BE2024" s="54"/>
      <c r="BF2024" s="54"/>
      <c r="BG2024" s="47"/>
      <c r="BH2024" s="48"/>
      <c r="BI2024" s="48"/>
      <c r="BJ2024" s="48"/>
      <c r="BK2024" s="48"/>
      <c r="BL2024" s="48"/>
      <c r="BM2024" s="48"/>
      <c r="BN2024" s="48"/>
      <c r="BO2024" s="48"/>
      <c r="BP2024" s="48"/>
      <c r="BQ2024" s="48"/>
      <c r="BR2024" s="48"/>
      <c r="BS2024" s="48"/>
      <c r="BT2024" s="48"/>
      <c r="BU2024" s="48"/>
      <c r="BV2024" s="48"/>
      <c r="BW2024" s="48"/>
      <c r="BX2024" s="48"/>
      <c r="BY2024" s="48"/>
      <c r="BZ2024" s="48"/>
      <c r="CA2024" s="48"/>
      <c r="CB2024" s="48"/>
      <c r="CC2024" s="48"/>
      <c r="CD2024" s="48"/>
      <c r="CE2024" s="48"/>
      <c r="CF2024" s="52"/>
      <c r="CG2024" s="52"/>
      <c r="CH2024" s="48"/>
      <c r="CI2024" s="48"/>
      <c r="CJ2024" s="48"/>
      <c r="CK2024" s="48"/>
    </row>
    <row r="2025" spans="1:89" ht="15.75" customHeight="1" x14ac:dyDescent="0.3">
      <c r="A2025" s="47"/>
      <c r="B2025" s="48"/>
      <c r="C2025" s="47"/>
      <c r="D2025" s="48"/>
      <c r="E2025" s="48"/>
      <c r="F2025" s="48"/>
      <c r="G2025" s="48"/>
      <c r="H2025" s="48"/>
      <c r="I2025" s="49"/>
      <c r="J2025" s="47"/>
      <c r="K2025" s="47"/>
      <c r="L2025" s="47"/>
      <c r="M2025" s="47"/>
      <c r="N2025" s="47"/>
      <c r="O2025" s="47"/>
      <c r="P2025" s="47"/>
      <c r="Q2025" s="47"/>
      <c r="R2025" s="47"/>
      <c r="S2025" s="50"/>
      <c r="T2025" s="47"/>
      <c r="U2025" s="47"/>
      <c r="V2025" s="47"/>
      <c r="W2025" s="51"/>
      <c r="X2025" s="51"/>
      <c r="Y2025" s="47"/>
      <c r="Z2025" s="47"/>
      <c r="AA2025" s="47"/>
      <c r="AB2025" s="47"/>
      <c r="AC2025" s="47"/>
      <c r="AD2025" s="47"/>
      <c r="AE2025" s="54"/>
      <c r="AF2025" s="54"/>
      <c r="AG2025" s="55"/>
      <c r="AH2025" s="54"/>
      <c r="AI2025" s="54"/>
      <c r="AJ2025" s="54"/>
      <c r="AK2025" s="54"/>
      <c r="AL2025" s="54"/>
      <c r="AM2025" s="54"/>
      <c r="AN2025" s="54"/>
      <c r="AO2025" s="54"/>
      <c r="AP2025" s="54"/>
      <c r="AQ2025" s="54"/>
      <c r="AR2025" s="54"/>
      <c r="AS2025" s="54"/>
      <c r="AT2025" s="54"/>
      <c r="AU2025" s="54"/>
      <c r="AV2025" s="54"/>
      <c r="AW2025" s="54"/>
      <c r="AX2025" s="54"/>
      <c r="AY2025" s="54"/>
      <c r="AZ2025" s="54"/>
      <c r="BA2025" s="54"/>
      <c r="BB2025" s="54"/>
      <c r="BC2025" s="56"/>
      <c r="BD2025" s="51"/>
      <c r="BE2025" s="54"/>
      <c r="BF2025" s="54"/>
      <c r="BG2025" s="47"/>
      <c r="BH2025" s="48"/>
      <c r="BI2025" s="48"/>
      <c r="BJ2025" s="48"/>
      <c r="BK2025" s="48"/>
      <c r="BL2025" s="48"/>
      <c r="BM2025" s="48"/>
      <c r="BN2025" s="48"/>
      <c r="BO2025" s="48"/>
      <c r="BP2025" s="48"/>
      <c r="BQ2025" s="48"/>
      <c r="BR2025" s="48"/>
      <c r="BS2025" s="48"/>
      <c r="BT2025" s="48"/>
      <c r="BU2025" s="48"/>
      <c r="BV2025" s="48"/>
      <c r="BW2025" s="48"/>
      <c r="BX2025" s="48"/>
      <c r="BY2025" s="48"/>
      <c r="BZ2025" s="48"/>
      <c r="CA2025" s="48"/>
      <c r="CB2025" s="48"/>
      <c r="CC2025" s="48"/>
      <c r="CD2025" s="48"/>
      <c r="CE2025" s="48"/>
      <c r="CF2025" s="52"/>
      <c r="CG2025" s="52"/>
      <c r="CH2025" s="48"/>
      <c r="CI2025" s="48"/>
      <c r="CJ2025" s="48"/>
      <c r="CK2025" s="48"/>
    </row>
    <row r="2026" spans="1:89" ht="15.75" customHeight="1" x14ac:dyDescent="0.3">
      <c r="A2026" s="47"/>
      <c r="B2026" s="48"/>
      <c r="C2026" s="47"/>
      <c r="D2026" s="48"/>
      <c r="E2026" s="48"/>
      <c r="F2026" s="48"/>
      <c r="G2026" s="48"/>
      <c r="H2026" s="48"/>
      <c r="I2026" s="49"/>
      <c r="J2026" s="47"/>
      <c r="K2026" s="47"/>
      <c r="L2026" s="47"/>
      <c r="M2026" s="47"/>
      <c r="N2026" s="47"/>
      <c r="O2026" s="47"/>
      <c r="P2026" s="47"/>
      <c r="Q2026" s="47"/>
      <c r="R2026" s="47"/>
      <c r="S2026" s="50"/>
      <c r="T2026" s="47"/>
      <c r="U2026" s="47"/>
      <c r="V2026" s="47"/>
      <c r="W2026" s="51"/>
      <c r="X2026" s="51"/>
      <c r="Y2026" s="47"/>
      <c r="Z2026" s="47"/>
      <c r="AA2026" s="47"/>
      <c r="AB2026" s="47"/>
      <c r="AC2026" s="47"/>
      <c r="AD2026" s="47"/>
      <c r="AE2026" s="54"/>
      <c r="AF2026" s="54"/>
      <c r="AG2026" s="55"/>
      <c r="AH2026" s="54"/>
      <c r="AI2026" s="54"/>
      <c r="AJ2026" s="54"/>
      <c r="AK2026" s="54"/>
      <c r="AL2026" s="54"/>
      <c r="AM2026" s="54"/>
      <c r="AN2026" s="54"/>
      <c r="AO2026" s="54"/>
      <c r="AP2026" s="54"/>
      <c r="AQ2026" s="54"/>
      <c r="AR2026" s="54"/>
      <c r="AS2026" s="54"/>
      <c r="AT2026" s="54"/>
      <c r="AU2026" s="54"/>
      <c r="AV2026" s="54"/>
      <c r="AW2026" s="54"/>
      <c r="AX2026" s="54"/>
      <c r="AY2026" s="54"/>
      <c r="AZ2026" s="54"/>
      <c r="BA2026" s="54"/>
      <c r="BB2026" s="54"/>
      <c r="BC2026" s="56"/>
      <c r="BD2026" s="51"/>
      <c r="BE2026" s="54"/>
      <c r="BF2026" s="54"/>
      <c r="BG2026" s="47"/>
      <c r="BH2026" s="48"/>
      <c r="BI2026" s="48"/>
      <c r="BJ2026" s="48"/>
      <c r="BK2026" s="48"/>
      <c r="BL2026" s="48"/>
      <c r="BM2026" s="48"/>
      <c r="BN2026" s="48"/>
      <c r="BO2026" s="48"/>
      <c r="BP2026" s="48"/>
      <c r="BQ2026" s="48"/>
      <c r="BR2026" s="48"/>
      <c r="BS2026" s="48"/>
      <c r="BT2026" s="48"/>
      <c r="BU2026" s="48"/>
      <c r="BV2026" s="48"/>
      <c r="BW2026" s="48"/>
      <c r="BX2026" s="48"/>
      <c r="BY2026" s="48"/>
      <c r="BZ2026" s="48"/>
      <c r="CA2026" s="48"/>
      <c r="CB2026" s="48"/>
      <c r="CC2026" s="48"/>
      <c r="CD2026" s="48"/>
      <c r="CE2026" s="48"/>
      <c r="CF2026" s="52"/>
      <c r="CG2026" s="52"/>
      <c r="CH2026" s="48"/>
      <c r="CI2026" s="48"/>
      <c r="CJ2026" s="48"/>
      <c r="CK2026" s="48"/>
    </row>
    <row r="2027" spans="1:89" ht="15.75" customHeight="1" x14ac:dyDescent="0.3">
      <c r="A2027" s="47"/>
      <c r="B2027" s="48"/>
      <c r="C2027" s="47"/>
      <c r="D2027" s="48"/>
      <c r="E2027" s="48"/>
      <c r="F2027" s="48"/>
      <c r="G2027" s="48"/>
      <c r="H2027" s="48"/>
      <c r="I2027" s="49"/>
      <c r="J2027" s="47"/>
      <c r="K2027" s="47"/>
      <c r="L2027" s="47"/>
      <c r="M2027" s="47"/>
      <c r="N2027" s="47"/>
      <c r="O2027" s="47"/>
      <c r="P2027" s="47"/>
      <c r="Q2027" s="47"/>
      <c r="R2027" s="47"/>
      <c r="S2027" s="50"/>
      <c r="T2027" s="47"/>
      <c r="U2027" s="47"/>
      <c r="V2027" s="47"/>
      <c r="W2027" s="51"/>
      <c r="X2027" s="51"/>
      <c r="Y2027" s="47"/>
      <c r="Z2027" s="47"/>
      <c r="AA2027" s="47"/>
      <c r="AB2027" s="47"/>
      <c r="AC2027" s="47"/>
      <c r="AD2027" s="47"/>
      <c r="AE2027" s="54"/>
      <c r="AF2027" s="54"/>
      <c r="AG2027" s="55"/>
      <c r="AH2027" s="54"/>
      <c r="AI2027" s="54"/>
      <c r="AJ2027" s="54"/>
      <c r="AK2027" s="54"/>
      <c r="AL2027" s="54"/>
      <c r="AM2027" s="54"/>
      <c r="AN2027" s="54"/>
      <c r="AO2027" s="54"/>
      <c r="AP2027" s="54"/>
      <c r="AQ2027" s="54"/>
      <c r="AR2027" s="54"/>
      <c r="AS2027" s="54"/>
      <c r="AT2027" s="54"/>
      <c r="AU2027" s="54"/>
      <c r="AV2027" s="54"/>
      <c r="AW2027" s="54"/>
      <c r="AX2027" s="54"/>
      <c r="AY2027" s="54"/>
      <c r="AZ2027" s="54"/>
      <c r="BA2027" s="54"/>
      <c r="BB2027" s="54"/>
      <c r="BC2027" s="56"/>
      <c r="BD2027" s="51"/>
      <c r="BE2027" s="54"/>
      <c r="BF2027" s="54"/>
      <c r="BG2027" s="47"/>
      <c r="BH2027" s="48"/>
      <c r="BI2027" s="48"/>
      <c r="BJ2027" s="48"/>
      <c r="BK2027" s="48"/>
      <c r="BL2027" s="48"/>
      <c r="BM2027" s="48"/>
      <c r="BN2027" s="48"/>
      <c r="BO2027" s="48"/>
      <c r="BP2027" s="48"/>
      <c r="BQ2027" s="48"/>
      <c r="BR2027" s="48"/>
      <c r="BS2027" s="48"/>
      <c r="BT2027" s="48"/>
      <c r="BU2027" s="48"/>
      <c r="BV2027" s="48"/>
      <c r="BW2027" s="48"/>
      <c r="BX2027" s="48"/>
      <c r="BY2027" s="48"/>
      <c r="BZ2027" s="48"/>
      <c r="CA2027" s="48"/>
      <c r="CB2027" s="48"/>
      <c r="CC2027" s="48"/>
      <c r="CD2027" s="48"/>
      <c r="CE2027" s="48"/>
      <c r="CF2027" s="52"/>
      <c r="CG2027" s="52"/>
      <c r="CH2027" s="48"/>
      <c r="CI2027" s="48"/>
      <c r="CJ2027" s="48"/>
      <c r="CK2027" s="48"/>
    </row>
    <row r="2028" spans="1:89" ht="15.75" customHeight="1" x14ac:dyDescent="0.3">
      <c r="A2028" s="47"/>
      <c r="B2028" s="48"/>
      <c r="C2028" s="47"/>
      <c r="D2028" s="48"/>
      <c r="E2028" s="48"/>
      <c r="F2028" s="48"/>
      <c r="G2028" s="48"/>
      <c r="H2028" s="48"/>
      <c r="I2028" s="49"/>
      <c r="J2028" s="47"/>
      <c r="K2028" s="47"/>
      <c r="L2028" s="47"/>
      <c r="M2028" s="47"/>
      <c r="N2028" s="47"/>
      <c r="O2028" s="47"/>
      <c r="P2028" s="47"/>
      <c r="Q2028" s="47"/>
      <c r="R2028" s="47"/>
      <c r="S2028" s="50"/>
      <c r="T2028" s="47"/>
      <c r="U2028" s="47"/>
      <c r="V2028" s="47"/>
      <c r="W2028" s="51"/>
      <c r="X2028" s="51"/>
      <c r="Y2028" s="47"/>
      <c r="Z2028" s="47"/>
      <c r="AA2028" s="47"/>
      <c r="AB2028" s="47"/>
      <c r="AC2028" s="47"/>
      <c r="AD2028" s="47"/>
      <c r="AE2028" s="54"/>
      <c r="AF2028" s="54"/>
      <c r="AG2028" s="55"/>
      <c r="AH2028" s="54"/>
      <c r="AI2028" s="54"/>
      <c r="AJ2028" s="54"/>
      <c r="AK2028" s="54"/>
      <c r="AL2028" s="54"/>
      <c r="AM2028" s="54"/>
      <c r="AN2028" s="54"/>
      <c r="AO2028" s="54"/>
      <c r="AP2028" s="54"/>
      <c r="AQ2028" s="54"/>
      <c r="AR2028" s="54"/>
      <c r="AS2028" s="54"/>
      <c r="AT2028" s="54"/>
      <c r="AU2028" s="54"/>
      <c r="AV2028" s="54"/>
      <c r="AW2028" s="54"/>
      <c r="AX2028" s="54"/>
      <c r="AY2028" s="54"/>
      <c r="AZ2028" s="54"/>
      <c r="BA2028" s="54"/>
      <c r="BB2028" s="54"/>
      <c r="BC2028" s="56"/>
      <c r="BD2028" s="51"/>
      <c r="BE2028" s="54"/>
      <c r="BF2028" s="54"/>
      <c r="BG2028" s="47"/>
      <c r="BH2028" s="48"/>
      <c r="BI2028" s="48"/>
      <c r="BJ2028" s="48"/>
      <c r="BK2028" s="48"/>
      <c r="BL2028" s="48"/>
      <c r="BM2028" s="48"/>
      <c r="BN2028" s="48"/>
      <c r="BO2028" s="48"/>
      <c r="BP2028" s="48"/>
      <c r="BQ2028" s="48"/>
      <c r="BR2028" s="48"/>
      <c r="BS2028" s="48"/>
      <c r="BT2028" s="48"/>
      <c r="BU2028" s="48"/>
      <c r="BV2028" s="48"/>
      <c r="BW2028" s="48"/>
      <c r="BX2028" s="48"/>
      <c r="BY2028" s="48"/>
      <c r="BZ2028" s="48"/>
      <c r="CA2028" s="48"/>
      <c r="CB2028" s="48"/>
      <c r="CC2028" s="48"/>
      <c r="CD2028" s="48"/>
      <c r="CE2028" s="48"/>
      <c r="CF2028" s="52"/>
      <c r="CG2028" s="52"/>
      <c r="CH2028" s="48"/>
      <c r="CI2028" s="48"/>
      <c r="CJ2028" s="48"/>
      <c r="CK2028" s="48"/>
    </row>
    <row r="2029" spans="1:89" ht="15.75" customHeight="1" x14ac:dyDescent="0.3">
      <c r="A2029" s="47"/>
      <c r="B2029" s="48"/>
      <c r="C2029" s="47"/>
      <c r="D2029" s="48"/>
      <c r="E2029" s="48"/>
      <c r="F2029" s="48"/>
      <c r="G2029" s="48"/>
      <c r="H2029" s="48"/>
      <c r="I2029" s="49"/>
      <c r="J2029" s="47"/>
      <c r="K2029" s="47"/>
      <c r="L2029" s="47"/>
      <c r="M2029" s="47"/>
      <c r="N2029" s="47"/>
      <c r="O2029" s="47"/>
      <c r="P2029" s="47"/>
      <c r="Q2029" s="47"/>
      <c r="R2029" s="47"/>
      <c r="S2029" s="50"/>
      <c r="T2029" s="47"/>
      <c r="U2029" s="47"/>
      <c r="V2029" s="47"/>
      <c r="W2029" s="51"/>
      <c r="X2029" s="51"/>
      <c r="Y2029" s="47"/>
      <c r="Z2029" s="47"/>
      <c r="AA2029" s="47"/>
      <c r="AB2029" s="47"/>
      <c r="AC2029" s="47"/>
      <c r="AD2029" s="47"/>
      <c r="AE2029" s="54"/>
      <c r="AF2029" s="54"/>
      <c r="AG2029" s="55"/>
      <c r="AH2029" s="54"/>
      <c r="AI2029" s="54"/>
      <c r="AJ2029" s="54"/>
      <c r="AK2029" s="54"/>
      <c r="AL2029" s="54"/>
      <c r="AM2029" s="54"/>
      <c r="AN2029" s="54"/>
      <c r="AO2029" s="54"/>
      <c r="AP2029" s="54"/>
      <c r="AQ2029" s="54"/>
      <c r="AR2029" s="54"/>
      <c r="AS2029" s="54"/>
      <c r="AT2029" s="54"/>
      <c r="AU2029" s="54"/>
      <c r="AV2029" s="54"/>
      <c r="AW2029" s="54"/>
      <c r="AX2029" s="54"/>
      <c r="AY2029" s="54"/>
      <c r="AZ2029" s="54"/>
      <c r="BA2029" s="54"/>
      <c r="BB2029" s="54"/>
      <c r="BC2029" s="56"/>
      <c r="BD2029" s="51"/>
      <c r="BE2029" s="54"/>
      <c r="BF2029" s="54"/>
      <c r="BG2029" s="47"/>
      <c r="BH2029" s="48"/>
      <c r="BI2029" s="48"/>
      <c r="BJ2029" s="48"/>
      <c r="BK2029" s="48"/>
      <c r="BL2029" s="48"/>
      <c r="BM2029" s="48"/>
      <c r="BN2029" s="48"/>
      <c r="BO2029" s="48"/>
      <c r="BP2029" s="48"/>
      <c r="BQ2029" s="48"/>
      <c r="BR2029" s="48"/>
      <c r="BS2029" s="48"/>
      <c r="BT2029" s="48"/>
      <c r="BU2029" s="48"/>
      <c r="BV2029" s="48"/>
      <c r="BW2029" s="48"/>
      <c r="BX2029" s="48"/>
      <c r="BY2029" s="48"/>
      <c r="BZ2029" s="48"/>
      <c r="CA2029" s="48"/>
      <c r="CB2029" s="48"/>
      <c r="CC2029" s="48"/>
      <c r="CD2029" s="48"/>
      <c r="CE2029" s="48"/>
      <c r="CF2029" s="52"/>
      <c r="CG2029" s="52"/>
      <c r="CH2029" s="48"/>
      <c r="CI2029" s="48"/>
      <c r="CJ2029" s="48"/>
      <c r="CK2029" s="48"/>
    </row>
    <row r="2030" spans="1:89" ht="15.75" customHeight="1" x14ac:dyDescent="0.3">
      <c r="A2030" s="47"/>
      <c r="B2030" s="48"/>
      <c r="C2030" s="47"/>
      <c r="D2030" s="48"/>
      <c r="E2030" s="48"/>
      <c r="F2030" s="48"/>
      <c r="G2030" s="48"/>
      <c r="H2030" s="48"/>
      <c r="I2030" s="49"/>
      <c r="J2030" s="47"/>
      <c r="K2030" s="47"/>
      <c r="L2030" s="47"/>
      <c r="M2030" s="47"/>
      <c r="N2030" s="47"/>
      <c r="O2030" s="47"/>
      <c r="P2030" s="47"/>
      <c r="Q2030" s="47"/>
      <c r="R2030" s="47"/>
      <c r="S2030" s="50"/>
      <c r="T2030" s="47"/>
      <c r="U2030" s="47"/>
      <c r="V2030" s="47"/>
      <c r="W2030" s="51"/>
      <c r="X2030" s="51"/>
      <c r="Y2030" s="47"/>
      <c r="Z2030" s="47"/>
      <c r="AA2030" s="47"/>
      <c r="AB2030" s="47"/>
      <c r="AC2030" s="47"/>
      <c r="AD2030" s="47"/>
      <c r="AE2030" s="54"/>
      <c r="AF2030" s="54"/>
      <c r="AG2030" s="55"/>
      <c r="AH2030" s="54"/>
      <c r="AI2030" s="54"/>
      <c r="AJ2030" s="54"/>
      <c r="AK2030" s="54"/>
      <c r="AL2030" s="54"/>
      <c r="AM2030" s="54"/>
      <c r="AN2030" s="54"/>
      <c r="AO2030" s="54"/>
      <c r="AP2030" s="54"/>
      <c r="AQ2030" s="54"/>
      <c r="AR2030" s="54"/>
      <c r="AS2030" s="54"/>
      <c r="AT2030" s="54"/>
      <c r="AU2030" s="54"/>
      <c r="AV2030" s="54"/>
      <c r="AW2030" s="54"/>
      <c r="AX2030" s="54"/>
      <c r="AY2030" s="54"/>
      <c r="AZ2030" s="54"/>
      <c r="BA2030" s="54"/>
      <c r="BB2030" s="54"/>
      <c r="BC2030" s="56"/>
      <c r="BD2030" s="51"/>
      <c r="BE2030" s="54"/>
      <c r="BF2030" s="54"/>
      <c r="BG2030" s="47"/>
      <c r="BH2030" s="48"/>
      <c r="BI2030" s="48"/>
      <c r="BJ2030" s="48"/>
      <c r="BK2030" s="48"/>
      <c r="BL2030" s="48"/>
      <c r="BM2030" s="48"/>
      <c r="BN2030" s="48"/>
      <c r="BO2030" s="48"/>
      <c r="BP2030" s="48"/>
      <c r="BQ2030" s="48"/>
      <c r="BR2030" s="48"/>
      <c r="BS2030" s="48"/>
      <c r="BT2030" s="48"/>
      <c r="BU2030" s="48"/>
      <c r="BV2030" s="48"/>
      <c r="BW2030" s="48"/>
      <c r="BX2030" s="48"/>
      <c r="BY2030" s="48"/>
      <c r="BZ2030" s="48"/>
      <c r="CA2030" s="48"/>
      <c r="CB2030" s="48"/>
      <c r="CC2030" s="48"/>
      <c r="CD2030" s="48"/>
      <c r="CE2030" s="48"/>
      <c r="CF2030" s="52"/>
      <c r="CG2030" s="52"/>
      <c r="CH2030" s="48"/>
      <c r="CI2030" s="48"/>
      <c r="CJ2030" s="48"/>
      <c r="CK2030" s="48"/>
    </row>
    <row r="2031" spans="1:89" ht="15.75" customHeight="1" x14ac:dyDescent="0.3">
      <c r="A2031" s="47"/>
      <c r="B2031" s="48"/>
      <c r="C2031" s="47"/>
      <c r="D2031" s="48"/>
      <c r="E2031" s="48"/>
      <c r="F2031" s="48"/>
      <c r="G2031" s="48"/>
      <c r="H2031" s="48"/>
      <c r="I2031" s="49"/>
      <c r="J2031" s="47"/>
      <c r="K2031" s="47"/>
      <c r="L2031" s="47"/>
      <c r="M2031" s="47"/>
      <c r="N2031" s="47"/>
      <c r="O2031" s="47"/>
      <c r="P2031" s="47"/>
      <c r="Q2031" s="47"/>
      <c r="R2031" s="47"/>
      <c r="S2031" s="50"/>
      <c r="T2031" s="47"/>
      <c r="U2031" s="47"/>
      <c r="V2031" s="47"/>
      <c r="W2031" s="51"/>
      <c r="X2031" s="51"/>
      <c r="Y2031" s="47"/>
      <c r="Z2031" s="47"/>
      <c r="AA2031" s="47"/>
      <c r="AB2031" s="47"/>
      <c r="AC2031" s="47"/>
      <c r="AD2031" s="47"/>
      <c r="AE2031" s="54"/>
      <c r="AF2031" s="54"/>
      <c r="AG2031" s="55"/>
      <c r="AH2031" s="54"/>
      <c r="AI2031" s="54"/>
      <c r="AJ2031" s="54"/>
      <c r="AK2031" s="54"/>
      <c r="AL2031" s="54"/>
      <c r="AM2031" s="54"/>
      <c r="AN2031" s="54"/>
      <c r="AO2031" s="54"/>
      <c r="AP2031" s="54"/>
      <c r="AQ2031" s="54"/>
      <c r="AR2031" s="54"/>
      <c r="AS2031" s="54"/>
      <c r="AT2031" s="54"/>
      <c r="AU2031" s="54"/>
      <c r="AV2031" s="54"/>
      <c r="AW2031" s="54"/>
      <c r="AX2031" s="54"/>
      <c r="AY2031" s="54"/>
      <c r="AZ2031" s="54"/>
      <c r="BA2031" s="54"/>
      <c r="BB2031" s="54"/>
      <c r="BC2031" s="56"/>
      <c r="BD2031" s="51"/>
      <c r="BE2031" s="54"/>
      <c r="BF2031" s="54"/>
      <c r="BG2031" s="47"/>
      <c r="BH2031" s="48"/>
      <c r="BI2031" s="48"/>
      <c r="BJ2031" s="48"/>
      <c r="BK2031" s="48"/>
      <c r="BL2031" s="48"/>
      <c r="BM2031" s="48"/>
      <c r="BN2031" s="48"/>
      <c r="BO2031" s="48"/>
      <c r="BP2031" s="48"/>
      <c r="BQ2031" s="48"/>
      <c r="BR2031" s="48"/>
      <c r="BS2031" s="48"/>
      <c r="BT2031" s="48"/>
      <c r="BU2031" s="48"/>
      <c r="BV2031" s="48"/>
      <c r="BW2031" s="48"/>
      <c r="BX2031" s="48"/>
      <c r="BY2031" s="48"/>
      <c r="BZ2031" s="48"/>
      <c r="CA2031" s="48"/>
      <c r="CB2031" s="48"/>
      <c r="CC2031" s="48"/>
      <c r="CD2031" s="48"/>
      <c r="CE2031" s="48"/>
      <c r="CF2031" s="52"/>
      <c r="CG2031" s="52"/>
      <c r="CH2031" s="48"/>
      <c r="CI2031" s="48"/>
      <c r="CJ2031" s="48"/>
      <c r="CK2031" s="48"/>
    </row>
    <row r="2032" spans="1:89" ht="15.75" customHeight="1" x14ac:dyDescent="0.3">
      <c r="A2032" s="47"/>
      <c r="B2032" s="48"/>
      <c r="C2032" s="47"/>
      <c r="D2032" s="48"/>
      <c r="E2032" s="48"/>
      <c r="F2032" s="48"/>
      <c r="G2032" s="48"/>
      <c r="H2032" s="48"/>
      <c r="I2032" s="49"/>
      <c r="J2032" s="47"/>
      <c r="K2032" s="47"/>
      <c r="L2032" s="47"/>
      <c r="M2032" s="47"/>
      <c r="N2032" s="47"/>
      <c r="O2032" s="47"/>
      <c r="P2032" s="47"/>
      <c r="Q2032" s="47"/>
      <c r="R2032" s="47"/>
      <c r="S2032" s="50"/>
      <c r="T2032" s="47"/>
      <c r="U2032" s="47"/>
      <c r="V2032" s="47"/>
      <c r="W2032" s="51"/>
      <c r="X2032" s="51"/>
      <c r="Y2032" s="47"/>
      <c r="Z2032" s="47"/>
      <c r="AA2032" s="47"/>
      <c r="AB2032" s="47"/>
      <c r="AC2032" s="47"/>
      <c r="AD2032" s="47"/>
      <c r="AE2032" s="54"/>
      <c r="AF2032" s="54"/>
      <c r="AG2032" s="55"/>
      <c r="AH2032" s="54"/>
      <c r="AI2032" s="54"/>
      <c r="AJ2032" s="54"/>
      <c r="AK2032" s="54"/>
      <c r="AL2032" s="54"/>
      <c r="AM2032" s="54"/>
      <c r="AN2032" s="54"/>
      <c r="AO2032" s="54"/>
      <c r="AP2032" s="54"/>
      <c r="AQ2032" s="54"/>
      <c r="AR2032" s="54"/>
      <c r="AS2032" s="54"/>
      <c r="AT2032" s="54"/>
      <c r="AU2032" s="54"/>
      <c r="AV2032" s="54"/>
      <c r="AW2032" s="54"/>
      <c r="AX2032" s="54"/>
      <c r="AY2032" s="54"/>
      <c r="AZ2032" s="54"/>
      <c r="BA2032" s="54"/>
      <c r="BB2032" s="54"/>
      <c r="BC2032" s="56"/>
      <c r="BD2032" s="51"/>
      <c r="BE2032" s="54"/>
      <c r="BF2032" s="54"/>
      <c r="BG2032" s="47"/>
      <c r="BH2032" s="48"/>
      <c r="BI2032" s="48"/>
      <c r="BJ2032" s="48"/>
      <c r="BK2032" s="48"/>
      <c r="BL2032" s="48"/>
      <c r="BM2032" s="48"/>
      <c r="BN2032" s="48"/>
      <c r="BO2032" s="48"/>
      <c r="BP2032" s="48"/>
      <c r="BQ2032" s="48"/>
      <c r="BR2032" s="48"/>
      <c r="BS2032" s="48"/>
      <c r="BT2032" s="48"/>
      <c r="BU2032" s="48"/>
      <c r="BV2032" s="48"/>
      <c r="BW2032" s="48"/>
      <c r="BX2032" s="48"/>
      <c r="BY2032" s="48"/>
      <c r="BZ2032" s="48"/>
      <c r="CA2032" s="48"/>
      <c r="CB2032" s="48"/>
      <c r="CC2032" s="48"/>
      <c r="CD2032" s="48"/>
      <c r="CE2032" s="48"/>
      <c r="CF2032" s="52"/>
      <c r="CG2032" s="52"/>
      <c r="CH2032" s="48"/>
      <c r="CI2032" s="48"/>
      <c r="CJ2032" s="48"/>
      <c r="CK2032" s="48"/>
    </row>
    <row r="2033" spans="1:89" ht="15.75" customHeight="1" x14ac:dyDescent="0.3">
      <c r="A2033" s="47"/>
      <c r="B2033" s="48"/>
      <c r="C2033" s="47"/>
      <c r="D2033" s="48"/>
      <c r="E2033" s="48"/>
      <c r="F2033" s="48"/>
      <c r="G2033" s="48"/>
      <c r="H2033" s="48"/>
      <c r="I2033" s="49"/>
      <c r="J2033" s="47"/>
      <c r="K2033" s="47"/>
      <c r="L2033" s="47"/>
      <c r="M2033" s="47"/>
      <c r="N2033" s="47"/>
      <c r="O2033" s="47"/>
      <c r="P2033" s="47"/>
      <c r="Q2033" s="47"/>
      <c r="R2033" s="47"/>
      <c r="S2033" s="50"/>
      <c r="T2033" s="47"/>
      <c r="U2033" s="47"/>
      <c r="V2033" s="47"/>
      <c r="W2033" s="51"/>
      <c r="X2033" s="51"/>
      <c r="Y2033" s="47"/>
      <c r="Z2033" s="47"/>
      <c r="AA2033" s="47"/>
      <c r="AB2033" s="47"/>
      <c r="AC2033" s="47"/>
      <c r="AD2033" s="47"/>
      <c r="AE2033" s="54"/>
      <c r="AF2033" s="54"/>
      <c r="AG2033" s="55"/>
      <c r="AH2033" s="54"/>
      <c r="AI2033" s="54"/>
      <c r="AJ2033" s="54"/>
      <c r="AK2033" s="54"/>
      <c r="AL2033" s="54"/>
      <c r="AM2033" s="54"/>
      <c r="AN2033" s="54"/>
      <c r="AO2033" s="54"/>
      <c r="AP2033" s="54"/>
      <c r="AQ2033" s="54"/>
      <c r="AR2033" s="54"/>
      <c r="AS2033" s="54"/>
      <c r="AT2033" s="54"/>
      <c r="AU2033" s="54"/>
      <c r="AV2033" s="54"/>
      <c r="AW2033" s="54"/>
      <c r="AX2033" s="54"/>
      <c r="AY2033" s="54"/>
      <c r="AZ2033" s="54"/>
      <c r="BA2033" s="54"/>
      <c r="BB2033" s="54"/>
      <c r="BC2033" s="56"/>
      <c r="BD2033" s="51"/>
      <c r="BE2033" s="54"/>
      <c r="BF2033" s="54"/>
      <c r="BG2033" s="47"/>
      <c r="BH2033" s="48"/>
      <c r="BI2033" s="48"/>
      <c r="BJ2033" s="48"/>
      <c r="BK2033" s="48"/>
      <c r="BL2033" s="48"/>
      <c r="BM2033" s="48"/>
      <c r="BN2033" s="48"/>
      <c r="BO2033" s="48"/>
      <c r="BP2033" s="48"/>
      <c r="BQ2033" s="48"/>
      <c r="BR2033" s="48"/>
      <c r="BS2033" s="48"/>
      <c r="BT2033" s="48"/>
      <c r="BU2033" s="48"/>
      <c r="BV2033" s="48"/>
      <c r="BW2033" s="48"/>
      <c r="BX2033" s="48"/>
      <c r="BY2033" s="48"/>
      <c r="BZ2033" s="48"/>
      <c r="CA2033" s="48"/>
      <c r="CB2033" s="48"/>
      <c r="CC2033" s="48"/>
      <c r="CD2033" s="48"/>
      <c r="CE2033" s="48"/>
      <c r="CF2033" s="52"/>
      <c r="CG2033" s="52"/>
      <c r="CH2033" s="48"/>
      <c r="CI2033" s="48"/>
      <c r="CJ2033" s="48"/>
      <c r="CK2033" s="48"/>
    </row>
    <row r="2034" spans="1:89" ht="15.75" customHeight="1" x14ac:dyDescent="0.3">
      <c r="A2034" s="47"/>
      <c r="B2034" s="48"/>
      <c r="C2034" s="47"/>
      <c r="D2034" s="48"/>
      <c r="E2034" s="48"/>
      <c r="F2034" s="48"/>
      <c r="G2034" s="48"/>
      <c r="H2034" s="48"/>
      <c r="I2034" s="49"/>
      <c r="J2034" s="47"/>
      <c r="K2034" s="47"/>
      <c r="L2034" s="47"/>
      <c r="M2034" s="47"/>
      <c r="N2034" s="47"/>
      <c r="O2034" s="47"/>
      <c r="P2034" s="47"/>
      <c r="Q2034" s="47"/>
      <c r="R2034" s="47"/>
      <c r="S2034" s="50"/>
      <c r="T2034" s="47"/>
      <c r="U2034" s="47"/>
      <c r="V2034" s="47"/>
      <c r="W2034" s="51"/>
      <c r="X2034" s="51"/>
      <c r="Y2034" s="47"/>
      <c r="Z2034" s="47"/>
      <c r="AA2034" s="47"/>
      <c r="AB2034" s="47"/>
      <c r="AC2034" s="47"/>
      <c r="AD2034" s="47"/>
      <c r="AE2034" s="54"/>
      <c r="AF2034" s="54"/>
      <c r="AG2034" s="55"/>
      <c r="AH2034" s="54"/>
      <c r="AI2034" s="54"/>
      <c r="AJ2034" s="54"/>
      <c r="AK2034" s="54"/>
      <c r="AL2034" s="54"/>
      <c r="AM2034" s="54"/>
      <c r="AN2034" s="54"/>
      <c r="AO2034" s="54"/>
      <c r="AP2034" s="54"/>
      <c r="AQ2034" s="54"/>
      <c r="AR2034" s="54"/>
      <c r="AS2034" s="54"/>
      <c r="AT2034" s="54"/>
      <c r="AU2034" s="54"/>
      <c r="AV2034" s="54"/>
      <c r="AW2034" s="54"/>
      <c r="AX2034" s="54"/>
      <c r="AY2034" s="54"/>
      <c r="AZ2034" s="54"/>
      <c r="BA2034" s="54"/>
      <c r="BB2034" s="54"/>
      <c r="BC2034" s="56"/>
      <c r="BD2034" s="51"/>
      <c r="BE2034" s="54"/>
      <c r="BF2034" s="54"/>
      <c r="BG2034" s="47"/>
      <c r="BH2034" s="48"/>
      <c r="BI2034" s="48"/>
      <c r="BJ2034" s="48"/>
      <c r="BK2034" s="48"/>
      <c r="BL2034" s="48"/>
      <c r="BM2034" s="48"/>
      <c r="BN2034" s="48"/>
      <c r="BO2034" s="48"/>
      <c r="BP2034" s="48"/>
      <c r="BQ2034" s="48"/>
      <c r="BR2034" s="48"/>
      <c r="BS2034" s="48"/>
      <c r="BT2034" s="48"/>
      <c r="BU2034" s="48"/>
      <c r="BV2034" s="48"/>
      <c r="BW2034" s="48"/>
      <c r="BX2034" s="48"/>
      <c r="BY2034" s="48"/>
      <c r="BZ2034" s="48"/>
      <c r="CA2034" s="48"/>
      <c r="CB2034" s="48"/>
      <c r="CC2034" s="48"/>
      <c r="CD2034" s="48"/>
      <c r="CE2034" s="48"/>
      <c r="CF2034" s="52"/>
      <c r="CG2034" s="52"/>
      <c r="CH2034" s="48"/>
      <c r="CI2034" s="48"/>
      <c r="CJ2034" s="48"/>
      <c r="CK2034" s="48"/>
    </row>
    <row r="2035" spans="1:89" ht="15.75" customHeight="1" x14ac:dyDescent="0.3">
      <c r="A2035" s="47"/>
      <c r="B2035" s="48"/>
      <c r="C2035" s="47"/>
      <c r="D2035" s="48"/>
      <c r="E2035" s="48"/>
      <c r="F2035" s="48"/>
      <c r="G2035" s="48"/>
      <c r="H2035" s="48"/>
      <c r="I2035" s="49"/>
      <c r="J2035" s="47"/>
      <c r="K2035" s="47"/>
      <c r="L2035" s="47"/>
      <c r="M2035" s="47"/>
      <c r="N2035" s="47"/>
      <c r="O2035" s="47"/>
      <c r="P2035" s="47"/>
      <c r="Q2035" s="47"/>
      <c r="R2035" s="47"/>
      <c r="S2035" s="50"/>
      <c r="T2035" s="47"/>
      <c r="U2035" s="47"/>
      <c r="V2035" s="47"/>
      <c r="W2035" s="51"/>
      <c r="X2035" s="51"/>
      <c r="Y2035" s="47"/>
      <c r="Z2035" s="47"/>
      <c r="AA2035" s="47"/>
      <c r="AB2035" s="47"/>
      <c r="AC2035" s="47"/>
      <c r="AD2035" s="47"/>
      <c r="AE2035" s="54"/>
      <c r="AF2035" s="54"/>
      <c r="AG2035" s="55"/>
      <c r="AH2035" s="54"/>
      <c r="AI2035" s="54"/>
      <c r="AJ2035" s="54"/>
      <c r="AK2035" s="54"/>
      <c r="AL2035" s="54"/>
      <c r="AM2035" s="54"/>
      <c r="AN2035" s="54"/>
      <c r="AO2035" s="54"/>
      <c r="AP2035" s="54"/>
      <c r="AQ2035" s="54"/>
      <c r="AR2035" s="54"/>
      <c r="AS2035" s="54"/>
      <c r="AT2035" s="54"/>
      <c r="AU2035" s="54"/>
      <c r="AV2035" s="54"/>
      <c r="AW2035" s="54"/>
      <c r="AX2035" s="54"/>
      <c r="AY2035" s="54"/>
      <c r="AZ2035" s="54"/>
      <c r="BA2035" s="54"/>
      <c r="BB2035" s="54"/>
      <c r="BC2035" s="56"/>
      <c r="BD2035" s="51"/>
      <c r="BE2035" s="54"/>
      <c r="BF2035" s="54"/>
      <c r="BG2035" s="47"/>
      <c r="BH2035" s="48"/>
      <c r="BI2035" s="48"/>
      <c r="BJ2035" s="48"/>
      <c r="BK2035" s="48"/>
      <c r="BL2035" s="48"/>
      <c r="BM2035" s="48"/>
      <c r="BN2035" s="48"/>
      <c r="BO2035" s="48"/>
      <c r="BP2035" s="48"/>
      <c r="BQ2035" s="48"/>
      <c r="BR2035" s="48"/>
      <c r="BS2035" s="48"/>
      <c r="BT2035" s="48"/>
      <c r="BU2035" s="48"/>
      <c r="BV2035" s="48"/>
      <c r="BW2035" s="48"/>
      <c r="BX2035" s="48"/>
      <c r="BY2035" s="48"/>
      <c r="BZ2035" s="48"/>
      <c r="CA2035" s="48"/>
      <c r="CB2035" s="48"/>
      <c r="CC2035" s="48"/>
      <c r="CD2035" s="48"/>
      <c r="CE2035" s="48"/>
      <c r="CF2035" s="52"/>
      <c r="CG2035" s="52"/>
      <c r="CH2035" s="48"/>
      <c r="CI2035" s="48"/>
      <c r="CJ2035" s="48"/>
      <c r="CK2035" s="48"/>
    </row>
    <row r="2036" spans="1:89" ht="15.75" customHeight="1" x14ac:dyDescent="0.3">
      <c r="A2036" s="47"/>
      <c r="B2036" s="48"/>
      <c r="C2036" s="47"/>
      <c r="D2036" s="48"/>
      <c r="E2036" s="48"/>
      <c r="F2036" s="48"/>
      <c r="G2036" s="48"/>
      <c r="H2036" s="48"/>
      <c r="I2036" s="49"/>
      <c r="J2036" s="47"/>
      <c r="K2036" s="47"/>
      <c r="L2036" s="47"/>
      <c r="M2036" s="47"/>
      <c r="N2036" s="47"/>
      <c r="O2036" s="47"/>
      <c r="P2036" s="47"/>
      <c r="Q2036" s="47"/>
      <c r="R2036" s="47"/>
      <c r="S2036" s="50"/>
      <c r="T2036" s="47"/>
      <c r="U2036" s="47"/>
      <c r="V2036" s="47"/>
      <c r="W2036" s="51"/>
      <c r="X2036" s="51"/>
      <c r="Y2036" s="47"/>
      <c r="Z2036" s="47"/>
      <c r="AA2036" s="47"/>
      <c r="AB2036" s="47"/>
      <c r="AC2036" s="47"/>
      <c r="AD2036" s="47"/>
      <c r="AE2036" s="54"/>
      <c r="AF2036" s="54"/>
      <c r="AG2036" s="55"/>
      <c r="AH2036" s="54"/>
      <c r="AI2036" s="54"/>
      <c r="AJ2036" s="54"/>
      <c r="AK2036" s="54"/>
      <c r="AL2036" s="54"/>
      <c r="AM2036" s="54"/>
      <c r="AN2036" s="54"/>
      <c r="AO2036" s="54"/>
      <c r="AP2036" s="54"/>
      <c r="AQ2036" s="54"/>
      <c r="AR2036" s="54"/>
      <c r="AS2036" s="54"/>
      <c r="AT2036" s="54"/>
      <c r="AU2036" s="54"/>
      <c r="AV2036" s="54"/>
      <c r="AW2036" s="54"/>
      <c r="AX2036" s="54"/>
      <c r="AY2036" s="54"/>
      <c r="AZ2036" s="54"/>
      <c r="BA2036" s="54"/>
      <c r="BB2036" s="54"/>
      <c r="BC2036" s="56"/>
      <c r="BD2036" s="51"/>
      <c r="BE2036" s="54"/>
      <c r="BF2036" s="54"/>
      <c r="BG2036" s="47"/>
      <c r="BH2036" s="48"/>
      <c r="BI2036" s="48"/>
      <c r="BJ2036" s="48"/>
      <c r="BK2036" s="48"/>
      <c r="BL2036" s="48"/>
      <c r="BM2036" s="48"/>
      <c r="BN2036" s="48"/>
      <c r="BO2036" s="48"/>
      <c r="BP2036" s="48"/>
      <c r="BQ2036" s="48"/>
      <c r="BR2036" s="48"/>
      <c r="BS2036" s="48"/>
      <c r="BT2036" s="48"/>
      <c r="BU2036" s="48"/>
      <c r="BV2036" s="48"/>
      <c r="BW2036" s="48"/>
      <c r="BX2036" s="48"/>
      <c r="BY2036" s="48"/>
      <c r="BZ2036" s="48"/>
      <c r="CA2036" s="48"/>
      <c r="CB2036" s="48"/>
      <c r="CC2036" s="48"/>
      <c r="CD2036" s="48"/>
      <c r="CE2036" s="48"/>
      <c r="CF2036" s="52"/>
      <c r="CG2036" s="52"/>
      <c r="CH2036" s="48"/>
      <c r="CI2036" s="48"/>
      <c r="CJ2036" s="48"/>
      <c r="CK2036" s="48"/>
    </row>
    <row r="2037" spans="1:89" ht="15.75" customHeight="1" x14ac:dyDescent="0.3">
      <c r="A2037" s="47"/>
      <c r="B2037" s="48"/>
      <c r="C2037" s="47"/>
      <c r="D2037" s="48"/>
      <c r="E2037" s="48"/>
      <c r="F2037" s="48"/>
      <c r="G2037" s="48"/>
      <c r="H2037" s="48"/>
      <c r="I2037" s="49"/>
      <c r="J2037" s="47"/>
      <c r="K2037" s="47"/>
      <c r="L2037" s="47"/>
      <c r="M2037" s="47"/>
      <c r="N2037" s="47"/>
      <c r="O2037" s="47"/>
      <c r="P2037" s="47"/>
      <c r="Q2037" s="47"/>
      <c r="R2037" s="47"/>
      <c r="S2037" s="50"/>
      <c r="T2037" s="47"/>
      <c r="U2037" s="47"/>
      <c r="V2037" s="47"/>
      <c r="W2037" s="51"/>
      <c r="X2037" s="51"/>
      <c r="Y2037" s="47"/>
      <c r="Z2037" s="47"/>
      <c r="AA2037" s="47"/>
      <c r="AB2037" s="47"/>
      <c r="AC2037" s="47"/>
      <c r="AD2037" s="47"/>
      <c r="AE2037" s="54"/>
      <c r="AF2037" s="54"/>
      <c r="AG2037" s="55"/>
      <c r="AH2037" s="54"/>
      <c r="AI2037" s="54"/>
      <c r="AJ2037" s="54"/>
      <c r="AK2037" s="54"/>
      <c r="AL2037" s="54"/>
      <c r="AM2037" s="54"/>
      <c r="AN2037" s="54"/>
      <c r="AO2037" s="54"/>
      <c r="AP2037" s="54"/>
      <c r="AQ2037" s="54"/>
      <c r="AR2037" s="54"/>
      <c r="AS2037" s="54"/>
      <c r="AT2037" s="54"/>
      <c r="AU2037" s="54"/>
      <c r="AV2037" s="54"/>
      <c r="AW2037" s="54"/>
      <c r="AX2037" s="54"/>
      <c r="AY2037" s="54"/>
      <c r="AZ2037" s="54"/>
      <c r="BA2037" s="54"/>
      <c r="BB2037" s="54"/>
      <c r="BC2037" s="56"/>
      <c r="BD2037" s="51"/>
      <c r="BE2037" s="54"/>
      <c r="BF2037" s="54"/>
      <c r="BG2037" s="47"/>
      <c r="BH2037" s="48"/>
      <c r="BI2037" s="48"/>
      <c r="BJ2037" s="48"/>
      <c r="BK2037" s="48"/>
      <c r="BL2037" s="48"/>
      <c r="BM2037" s="48"/>
      <c r="BN2037" s="48"/>
      <c r="BO2037" s="48"/>
      <c r="BP2037" s="48"/>
      <c r="BQ2037" s="48"/>
      <c r="BR2037" s="48"/>
      <c r="BS2037" s="48"/>
      <c r="BT2037" s="48"/>
      <c r="BU2037" s="48"/>
      <c r="BV2037" s="48"/>
      <c r="BW2037" s="48"/>
      <c r="BX2037" s="48"/>
      <c r="BY2037" s="48"/>
      <c r="BZ2037" s="48"/>
      <c r="CA2037" s="48"/>
      <c r="CB2037" s="48"/>
      <c r="CC2037" s="48"/>
      <c r="CD2037" s="48"/>
      <c r="CE2037" s="48"/>
      <c r="CF2037" s="52"/>
      <c r="CG2037" s="52"/>
      <c r="CH2037" s="48"/>
      <c r="CI2037" s="48"/>
      <c r="CJ2037" s="48"/>
      <c r="CK2037" s="48"/>
    </row>
    <row r="2038" spans="1:89" ht="15.75" customHeight="1" x14ac:dyDescent="0.3">
      <c r="A2038" s="47"/>
      <c r="B2038" s="48"/>
      <c r="C2038" s="47"/>
      <c r="D2038" s="48"/>
      <c r="E2038" s="48"/>
      <c r="F2038" s="48"/>
      <c r="G2038" s="48"/>
      <c r="H2038" s="48"/>
      <c r="I2038" s="49"/>
      <c r="J2038" s="47"/>
      <c r="K2038" s="47"/>
      <c r="L2038" s="47"/>
      <c r="M2038" s="47"/>
      <c r="N2038" s="47"/>
      <c r="O2038" s="47"/>
      <c r="P2038" s="47"/>
      <c r="Q2038" s="47"/>
      <c r="R2038" s="47"/>
      <c r="S2038" s="50"/>
      <c r="T2038" s="47"/>
      <c r="U2038" s="47"/>
      <c r="V2038" s="47"/>
      <c r="W2038" s="51"/>
      <c r="X2038" s="51"/>
      <c r="Y2038" s="47"/>
      <c r="Z2038" s="47"/>
      <c r="AA2038" s="47"/>
      <c r="AB2038" s="47"/>
      <c r="AC2038" s="47"/>
      <c r="AD2038" s="47"/>
      <c r="AE2038" s="54"/>
      <c r="AF2038" s="54"/>
      <c r="AG2038" s="55"/>
      <c r="AH2038" s="54"/>
      <c r="AI2038" s="54"/>
      <c r="AJ2038" s="54"/>
      <c r="AK2038" s="54"/>
      <c r="AL2038" s="54"/>
      <c r="AM2038" s="54"/>
      <c r="AN2038" s="54"/>
      <c r="AO2038" s="54"/>
      <c r="AP2038" s="54"/>
      <c r="AQ2038" s="54"/>
      <c r="AR2038" s="54"/>
      <c r="AS2038" s="54"/>
      <c r="AT2038" s="54"/>
      <c r="AU2038" s="54"/>
      <c r="AV2038" s="54"/>
      <c r="AW2038" s="54"/>
      <c r="AX2038" s="54"/>
      <c r="AY2038" s="54"/>
      <c r="AZ2038" s="54"/>
      <c r="BA2038" s="54"/>
      <c r="BB2038" s="54"/>
      <c r="BC2038" s="56"/>
      <c r="BD2038" s="51"/>
      <c r="BE2038" s="54"/>
      <c r="BF2038" s="54"/>
      <c r="BG2038" s="47"/>
      <c r="BH2038" s="48"/>
      <c r="BI2038" s="48"/>
      <c r="BJ2038" s="48"/>
      <c r="BK2038" s="48"/>
      <c r="BL2038" s="48"/>
      <c r="BM2038" s="48"/>
      <c r="BN2038" s="48"/>
      <c r="BO2038" s="48"/>
      <c r="BP2038" s="48"/>
      <c r="BQ2038" s="48"/>
      <c r="BR2038" s="48"/>
      <c r="BS2038" s="48"/>
      <c r="BT2038" s="48"/>
      <c r="BU2038" s="48"/>
      <c r="BV2038" s="48"/>
      <c r="BW2038" s="48"/>
      <c r="BX2038" s="48"/>
      <c r="BY2038" s="48"/>
      <c r="BZ2038" s="48"/>
      <c r="CA2038" s="48"/>
      <c r="CB2038" s="48"/>
      <c r="CC2038" s="48"/>
      <c r="CD2038" s="48"/>
      <c r="CE2038" s="48"/>
      <c r="CF2038" s="52"/>
      <c r="CG2038" s="52"/>
      <c r="CH2038" s="48"/>
      <c r="CI2038" s="48"/>
      <c r="CJ2038" s="48"/>
      <c r="CK2038" s="48"/>
    </row>
    <row r="2039" spans="1:89" ht="15.75" customHeight="1" x14ac:dyDescent="0.3">
      <c r="A2039" s="47"/>
      <c r="B2039" s="48"/>
      <c r="C2039" s="47"/>
      <c r="D2039" s="48"/>
      <c r="E2039" s="48"/>
      <c r="F2039" s="48"/>
      <c r="G2039" s="48"/>
      <c r="H2039" s="48"/>
      <c r="I2039" s="49"/>
      <c r="J2039" s="47"/>
      <c r="K2039" s="47"/>
      <c r="L2039" s="47"/>
      <c r="M2039" s="47"/>
      <c r="N2039" s="47"/>
      <c r="O2039" s="47"/>
      <c r="P2039" s="47"/>
      <c r="Q2039" s="47"/>
      <c r="R2039" s="47"/>
      <c r="S2039" s="50"/>
      <c r="T2039" s="47"/>
      <c r="U2039" s="47"/>
      <c r="V2039" s="47"/>
      <c r="W2039" s="51"/>
      <c r="X2039" s="51"/>
      <c r="Y2039" s="47"/>
      <c r="Z2039" s="47"/>
      <c r="AA2039" s="47"/>
      <c r="AB2039" s="47"/>
      <c r="AC2039" s="47"/>
      <c r="AD2039" s="47"/>
      <c r="AE2039" s="54"/>
      <c r="AF2039" s="54"/>
      <c r="AG2039" s="55"/>
      <c r="AH2039" s="54"/>
      <c r="AI2039" s="54"/>
      <c r="AJ2039" s="54"/>
      <c r="AK2039" s="54"/>
      <c r="AL2039" s="54"/>
      <c r="AM2039" s="54"/>
      <c r="AN2039" s="54"/>
      <c r="AO2039" s="54"/>
      <c r="AP2039" s="54"/>
      <c r="AQ2039" s="54"/>
      <c r="AR2039" s="54"/>
      <c r="AS2039" s="54"/>
      <c r="AT2039" s="54"/>
      <c r="AU2039" s="54"/>
      <c r="AV2039" s="54"/>
      <c r="AW2039" s="54"/>
      <c r="AX2039" s="54"/>
      <c r="AY2039" s="54"/>
      <c r="AZ2039" s="54"/>
      <c r="BA2039" s="54"/>
      <c r="BB2039" s="54"/>
      <c r="BC2039" s="56"/>
      <c r="BD2039" s="51"/>
      <c r="BE2039" s="54"/>
      <c r="BF2039" s="54"/>
      <c r="BG2039" s="47"/>
      <c r="BH2039" s="48"/>
      <c r="BI2039" s="48"/>
      <c r="BJ2039" s="48"/>
      <c r="BK2039" s="48"/>
      <c r="BL2039" s="48"/>
      <c r="BM2039" s="48"/>
      <c r="BN2039" s="48"/>
      <c r="BO2039" s="48"/>
      <c r="BP2039" s="48"/>
      <c r="BQ2039" s="48"/>
      <c r="BR2039" s="48"/>
      <c r="BS2039" s="48"/>
      <c r="BT2039" s="48"/>
      <c r="BU2039" s="48"/>
      <c r="BV2039" s="48"/>
      <c r="BW2039" s="48"/>
      <c r="BX2039" s="48"/>
      <c r="BY2039" s="48"/>
      <c r="BZ2039" s="48"/>
      <c r="CA2039" s="48"/>
      <c r="CB2039" s="48"/>
      <c r="CC2039" s="48"/>
      <c r="CD2039" s="48"/>
      <c r="CE2039" s="48"/>
      <c r="CF2039" s="52"/>
      <c r="CG2039" s="52"/>
      <c r="CH2039" s="48"/>
      <c r="CI2039" s="48"/>
      <c r="CJ2039" s="48"/>
      <c r="CK2039" s="48"/>
    </row>
    <row r="2040" spans="1:89" ht="15.75" customHeight="1" x14ac:dyDescent="0.3">
      <c r="A2040" s="47"/>
      <c r="B2040" s="48"/>
      <c r="C2040" s="47"/>
      <c r="D2040" s="48"/>
      <c r="E2040" s="48"/>
      <c r="F2040" s="48"/>
      <c r="G2040" s="48"/>
      <c r="H2040" s="48"/>
      <c r="I2040" s="49"/>
      <c r="J2040" s="47"/>
      <c r="K2040" s="47"/>
      <c r="L2040" s="47"/>
      <c r="M2040" s="47"/>
      <c r="N2040" s="47"/>
      <c r="O2040" s="47"/>
      <c r="P2040" s="47"/>
      <c r="Q2040" s="47"/>
      <c r="R2040" s="47"/>
      <c r="S2040" s="50"/>
      <c r="T2040" s="47"/>
      <c r="U2040" s="47"/>
      <c r="V2040" s="47"/>
      <c r="W2040" s="51"/>
      <c r="X2040" s="51"/>
      <c r="Y2040" s="47"/>
      <c r="Z2040" s="47"/>
      <c r="AA2040" s="47"/>
      <c r="AB2040" s="47"/>
      <c r="AC2040" s="47"/>
      <c r="AD2040" s="47"/>
      <c r="AE2040" s="54"/>
      <c r="AF2040" s="54"/>
      <c r="AG2040" s="55"/>
      <c r="AH2040" s="54"/>
      <c r="AI2040" s="54"/>
      <c r="AJ2040" s="54"/>
      <c r="AK2040" s="54"/>
      <c r="AL2040" s="54"/>
      <c r="AM2040" s="54"/>
      <c r="AN2040" s="54"/>
      <c r="AO2040" s="54"/>
      <c r="AP2040" s="54"/>
      <c r="AQ2040" s="54"/>
      <c r="AR2040" s="54"/>
      <c r="AS2040" s="54"/>
      <c r="AT2040" s="54"/>
      <c r="AU2040" s="54"/>
      <c r="AV2040" s="54"/>
      <c r="AW2040" s="54"/>
      <c r="AX2040" s="54"/>
      <c r="AY2040" s="54"/>
      <c r="AZ2040" s="54"/>
      <c r="BA2040" s="54"/>
      <c r="BB2040" s="54"/>
      <c r="BC2040" s="56"/>
      <c r="BD2040" s="51"/>
      <c r="BE2040" s="54"/>
      <c r="BF2040" s="54"/>
      <c r="BG2040" s="47"/>
      <c r="BH2040" s="48"/>
      <c r="BI2040" s="48"/>
      <c r="BJ2040" s="48"/>
      <c r="BK2040" s="48"/>
      <c r="BL2040" s="48"/>
      <c r="BM2040" s="48"/>
      <c r="BN2040" s="48"/>
      <c r="BO2040" s="48"/>
      <c r="BP2040" s="48"/>
      <c r="BQ2040" s="48"/>
      <c r="BR2040" s="48"/>
      <c r="BS2040" s="48"/>
      <c r="BT2040" s="48"/>
      <c r="BU2040" s="48"/>
      <c r="BV2040" s="48"/>
      <c r="BW2040" s="48"/>
      <c r="BX2040" s="48"/>
      <c r="BY2040" s="48"/>
      <c r="BZ2040" s="48"/>
      <c r="CA2040" s="48"/>
      <c r="CB2040" s="48"/>
      <c r="CC2040" s="48"/>
      <c r="CD2040" s="48"/>
      <c r="CE2040" s="48"/>
      <c r="CF2040" s="52"/>
      <c r="CG2040" s="52"/>
      <c r="CH2040" s="48"/>
      <c r="CI2040" s="48"/>
      <c r="CJ2040" s="48"/>
      <c r="CK2040" s="48"/>
    </row>
    <row r="2041" spans="1:89" ht="15.75" customHeight="1" x14ac:dyDescent="0.3">
      <c r="A2041" s="47"/>
      <c r="B2041" s="48"/>
      <c r="C2041" s="47"/>
      <c r="D2041" s="48"/>
      <c r="E2041" s="48"/>
      <c r="F2041" s="48"/>
      <c r="G2041" s="48"/>
      <c r="H2041" s="48"/>
      <c r="I2041" s="49"/>
      <c r="J2041" s="47"/>
      <c r="K2041" s="47"/>
      <c r="L2041" s="47"/>
      <c r="M2041" s="47"/>
      <c r="N2041" s="47"/>
      <c r="O2041" s="47"/>
      <c r="P2041" s="47"/>
      <c r="Q2041" s="47"/>
      <c r="R2041" s="47"/>
      <c r="S2041" s="50"/>
      <c r="T2041" s="47"/>
      <c r="U2041" s="47"/>
      <c r="V2041" s="47"/>
      <c r="W2041" s="51"/>
      <c r="X2041" s="51"/>
      <c r="Y2041" s="47"/>
      <c r="Z2041" s="47"/>
      <c r="AA2041" s="47"/>
      <c r="AB2041" s="47"/>
      <c r="AC2041" s="47"/>
      <c r="AD2041" s="47"/>
      <c r="AE2041" s="54"/>
      <c r="AF2041" s="54"/>
      <c r="AG2041" s="55"/>
      <c r="AH2041" s="54"/>
      <c r="AI2041" s="54"/>
      <c r="AJ2041" s="54"/>
      <c r="AK2041" s="54"/>
      <c r="AL2041" s="54"/>
      <c r="AM2041" s="54"/>
      <c r="AN2041" s="54"/>
      <c r="AO2041" s="54"/>
      <c r="AP2041" s="54"/>
      <c r="AQ2041" s="54"/>
      <c r="AR2041" s="54"/>
      <c r="AS2041" s="54"/>
      <c r="AT2041" s="54"/>
      <c r="AU2041" s="54"/>
      <c r="AV2041" s="54"/>
      <c r="AW2041" s="54"/>
      <c r="AX2041" s="54"/>
      <c r="AY2041" s="54"/>
      <c r="AZ2041" s="54"/>
      <c r="BA2041" s="54"/>
      <c r="BB2041" s="54"/>
      <c r="BC2041" s="56"/>
      <c r="BD2041" s="51"/>
      <c r="BE2041" s="54"/>
      <c r="BF2041" s="54"/>
      <c r="BG2041" s="47"/>
      <c r="BH2041" s="48"/>
      <c r="BI2041" s="48"/>
      <c r="BJ2041" s="48"/>
      <c r="BK2041" s="48"/>
      <c r="BL2041" s="48"/>
      <c r="BM2041" s="48"/>
      <c r="BN2041" s="48"/>
      <c r="BO2041" s="48"/>
      <c r="BP2041" s="48"/>
      <c r="BQ2041" s="48"/>
      <c r="BR2041" s="48"/>
      <c r="BS2041" s="48"/>
      <c r="BT2041" s="48"/>
      <c r="BU2041" s="48"/>
      <c r="BV2041" s="48"/>
      <c r="BW2041" s="48"/>
      <c r="BX2041" s="48"/>
      <c r="BY2041" s="48"/>
      <c r="BZ2041" s="48"/>
      <c r="CA2041" s="48"/>
      <c r="CB2041" s="48"/>
      <c r="CC2041" s="48"/>
      <c r="CD2041" s="48"/>
      <c r="CE2041" s="48"/>
      <c r="CF2041" s="52"/>
      <c r="CG2041" s="52"/>
      <c r="CH2041" s="48"/>
      <c r="CI2041" s="48"/>
      <c r="CJ2041" s="48"/>
      <c r="CK2041" s="48"/>
    </row>
    <row r="2042" spans="1:89" ht="15.75" customHeight="1" x14ac:dyDescent="0.3">
      <c r="A2042" s="47"/>
      <c r="B2042" s="48"/>
      <c r="C2042" s="47"/>
      <c r="D2042" s="48"/>
      <c r="E2042" s="48"/>
      <c r="F2042" s="48"/>
      <c r="G2042" s="48"/>
      <c r="H2042" s="48"/>
      <c r="I2042" s="49"/>
      <c r="J2042" s="47"/>
      <c r="K2042" s="47"/>
      <c r="L2042" s="47"/>
      <c r="M2042" s="47"/>
      <c r="N2042" s="47"/>
      <c r="O2042" s="47"/>
      <c r="P2042" s="47"/>
      <c r="Q2042" s="47"/>
      <c r="R2042" s="47"/>
      <c r="S2042" s="50"/>
      <c r="T2042" s="47"/>
      <c r="U2042" s="47"/>
      <c r="V2042" s="47"/>
      <c r="W2042" s="51"/>
      <c r="X2042" s="51"/>
      <c r="Y2042" s="47"/>
      <c r="Z2042" s="47"/>
      <c r="AA2042" s="47"/>
      <c r="AB2042" s="47"/>
      <c r="AC2042" s="47"/>
      <c r="AD2042" s="47"/>
      <c r="AE2042" s="54"/>
      <c r="AF2042" s="54"/>
      <c r="AG2042" s="55"/>
      <c r="AH2042" s="54"/>
      <c r="AI2042" s="54"/>
      <c r="AJ2042" s="54"/>
      <c r="AK2042" s="54"/>
      <c r="AL2042" s="54"/>
      <c r="AM2042" s="54"/>
      <c r="AN2042" s="54"/>
      <c r="AO2042" s="54"/>
      <c r="AP2042" s="54"/>
      <c r="AQ2042" s="54"/>
      <c r="AR2042" s="54"/>
      <c r="AS2042" s="54"/>
      <c r="AT2042" s="54"/>
      <c r="AU2042" s="54"/>
      <c r="AV2042" s="54"/>
      <c r="AW2042" s="54"/>
      <c r="AX2042" s="54"/>
      <c r="AY2042" s="54"/>
      <c r="AZ2042" s="54"/>
      <c r="BA2042" s="54"/>
      <c r="BB2042" s="54"/>
      <c r="BC2042" s="56"/>
      <c r="BD2042" s="51"/>
      <c r="BE2042" s="54"/>
      <c r="BF2042" s="54"/>
      <c r="BG2042" s="47"/>
      <c r="BH2042" s="48"/>
      <c r="BI2042" s="48"/>
      <c r="BJ2042" s="48"/>
      <c r="BK2042" s="48"/>
      <c r="BL2042" s="48"/>
      <c r="BM2042" s="48"/>
      <c r="BN2042" s="48"/>
      <c r="BO2042" s="48"/>
      <c r="BP2042" s="48"/>
      <c r="BQ2042" s="48"/>
      <c r="BR2042" s="48"/>
      <c r="BS2042" s="48"/>
      <c r="BT2042" s="48"/>
      <c r="BU2042" s="48"/>
      <c r="BV2042" s="48"/>
      <c r="BW2042" s="48"/>
      <c r="BX2042" s="48"/>
      <c r="BY2042" s="48"/>
      <c r="BZ2042" s="48"/>
      <c r="CA2042" s="48"/>
      <c r="CB2042" s="48"/>
      <c r="CC2042" s="48"/>
      <c r="CD2042" s="48"/>
      <c r="CE2042" s="48"/>
      <c r="CF2042" s="52"/>
      <c r="CG2042" s="52"/>
      <c r="CH2042" s="48"/>
      <c r="CI2042" s="48"/>
      <c r="CJ2042" s="48"/>
      <c r="CK2042" s="48"/>
    </row>
    <row r="2043" spans="1:89" ht="15.75" customHeight="1" x14ac:dyDescent="0.3">
      <c r="A2043" s="47"/>
      <c r="B2043" s="48"/>
      <c r="C2043" s="47"/>
      <c r="D2043" s="48"/>
      <c r="E2043" s="48"/>
      <c r="F2043" s="48"/>
      <c r="G2043" s="48"/>
      <c r="H2043" s="48"/>
      <c r="I2043" s="49"/>
      <c r="J2043" s="47"/>
      <c r="K2043" s="47"/>
      <c r="L2043" s="47"/>
      <c r="M2043" s="47"/>
      <c r="N2043" s="47"/>
      <c r="O2043" s="47"/>
      <c r="P2043" s="47"/>
      <c r="Q2043" s="47"/>
      <c r="R2043" s="47"/>
      <c r="S2043" s="50"/>
      <c r="T2043" s="47"/>
      <c r="U2043" s="47"/>
      <c r="V2043" s="47"/>
      <c r="W2043" s="51"/>
      <c r="X2043" s="51"/>
      <c r="Y2043" s="47"/>
      <c r="Z2043" s="47"/>
      <c r="AA2043" s="47"/>
      <c r="AB2043" s="47"/>
      <c r="AC2043" s="47"/>
      <c r="AD2043" s="47"/>
      <c r="AE2043" s="54"/>
      <c r="AF2043" s="54"/>
      <c r="AG2043" s="55"/>
      <c r="AH2043" s="54"/>
      <c r="AI2043" s="54"/>
      <c r="AJ2043" s="54"/>
      <c r="AK2043" s="54"/>
      <c r="AL2043" s="54"/>
      <c r="AM2043" s="54"/>
      <c r="AN2043" s="54"/>
      <c r="AO2043" s="54"/>
      <c r="AP2043" s="54"/>
      <c r="AQ2043" s="54"/>
      <c r="AR2043" s="54"/>
      <c r="AS2043" s="54"/>
      <c r="AT2043" s="54"/>
      <c r="AU2043" s="54"/>
      <c r="AV2043" s="54"/>
      <c r="AW2043" s="54"/>
      <c r="AX2043" s="54"/>
      <c r="AY2043" s="54"/>
      <c r="AZ2043" s="54"/>
      <c r="BA2043" s="54"/>
      <c r="BB2043" s="54"/>
      <c r="BC2043" s="56"/>
      <c r="BD2043" s="51"/>
      <c r="BE2043" s="54"/>
      <c r="BF2043" s="54"/>
      <c r="BG2043" s="47"/>
      <c r="BH2043" s="48"/>
      <c r="BI2043" s="48"/>
      <c r="BJ2043" s="48"/>
      <c r="BK2043" s="48"/>
      <c r="BL2043" s="48"/>
      <c r="BM2043" s="48"/>
      <c r="BN2043" s="48"/>
      <c r="BO2043" s="48"/>
      <c r="BP2043" s="48"/>
      <c r="BQ2043" s="48"/>
      <c r="BR2043" s="48"/>
      <c r="BS2043" s="48"/>
      <c r="BT2043" s="48"/>
      <c r="BU2043" s="48"/>
      <c r="BV2043" s="48"/>
      <c r="BW2043" s="48"/>
      <c r="BX2043" s="48"/>
      <c r="BY2043" s="48"/>
      <c r="BZ2043" s="48"/>
      <c r="CA2043" s="48"/>
      <c r="CB2043" s="48"/>
      <c r="CC2043" s="48"/>
      <c r="CD2043" s="48"/>
      <c r="CE2043" s="48"/>
      <c r="CF2043" s="52"/>
      <c r="CG2043" s="52"/>
      <c r="CH2043" s="48"/>
      <c r="CI2043" s="48"/>
      <c r="CJ2043" s="48"/>
      <c r="CK2043" s="48"/>
    </row>
    <row r="2044" spans="1:89" ht="15.75" customHeight="1" x14ac:dyDescent="0.3">
      <c r="A2044" s="47"/>
      <c r="B2044" s="48"/>
      <c r="C2044" s="47"/>
      <c r="D2044" s="48"/>
      <c r="E2044" s="48"/>
      <c r="F2044" s="48"/>
      <c r="G2044" s="48"/>
      <c r="H2044" s="48"/>
      <c r="I2044" s="49"/>
      <c r="J2044" s="47"/>
      <c r="K2044" s="47"/>
      <c r="L2044" s="47"/>
      <c r="M2044" s="47"/>
      <c r="N2044" s="47"/>
      <c r="O2044" s="47"/>
      <c r="P2044" s="47"/>
      <c r="Q2044" s="47"/>
      <c r="R2044" s="47"/>
      <c r="S2044" s="50"/>
      <c r="T2044" s="47"/>
      <c r="U2044" s="47"/>
      <c r="V2044" s="47"/>
      <c r="W2044" s="51"/>
      <c r="X2044" s="51"/>
      <c r="Y2044" s="47"/>
      <c r="Z2044" s="47"/>
      <c r="AA2044" s="47"/>
      <c r="AB2044" s="47"/>
      <c r="AC2044" s="47"/>
      <c r="AD2044" s="47"/>
      <c r="AE2044" s="54"/>
      <c r="AF2044" s="54"/>
      <c r="AG2044" s="55"/>
      <c r="AH2044" s="54"/>
      <c r="AI2044" s="54"/>
      <c r="AJ2044" s="54"/>
      <c r="AK2044" s="54"/>
      <c r="AL2044" s="54"/>
      <c r="AM2044" s="54"/>
      <c r="AN2044" s="54"/>
      <c r="AO2044" s="54"/>
      <c r="AP2044" s="54"/>
      <c r="AQ2044" s="54"/>
      <c r="AR2044" s="54"/>
      <c r="AS2044" s="54"/>
      <c r="AT2044" s="54"/>
      <c r="AU2044" s="54"/>
      <c r="AV2044" s="54"/>
      <c r="AW2044" s="54"/>
      <c r="AX2044" s="54"/>
      <c r="AY2044" s="54"/>
      <c r="AZ2044" s="54"/>
      <c r="BA2044" s="54"/>
      <c r="BB2044" s="54"/>
      <c r="BC2044" s="56"/>
      <c r="BD2044" s="51"/>
      <c r="BE2044" s="54"/>
      <c r="BF2044" s="54"/>
      <c r="BG2044" s="47"/>
      <c r="BH2044" s="48"/>
      <c r="BI2044" s="48"/>
      <c r="BJ2044" s="48"/>
      <c r="BK2044" s="48"/>
      <c r="BL2044" s="48"/>
      <c r="BM2044" s="48"/>
      <c r="BN2044" s="48"/>
      <c r="BO2044" s="48"/>
      <c r="BP2044" s="48"/>
      <c r="BQ2044" s="48"/>
      <c r="BR2044" s="48"/>
      <c r="BS2044" s="48"/>
      <c r="BT2044" s="48"/>
      <c r="BU2044" s="48"/>
      <c r="BV2044" s="48"/>
      <c r="BW2044" s="48"/>
      <c r="BX2044" s="48"/>
      <c r="BY2044" s="48"/>
      <c r="BZ2044" s="48"/>
      <c r="CA2044" s="48"/>
      <c r="CB2044" s="48"/>
      <c r="CC2044" s="48"/>
      <c r="CD2044" s="48"/>
      <c r="CE2044" s="48"/>
      <c r="CF2044" s="52"/>
      <c r="CG2044" s="52"/>
      <c r="CH2044" s="48"/>
      <c r="CI2044" s="48"/>
      <c r="CJ2044" s="48"/>
      <c r="CK2044" s="48"/>
    </row>
    <row r="2045" spans="1:89" ht="15.75" customHeight="1" x14ac:dyDescent="0.3">
      <c r="A2045" s="47"/>
      <c r="B2045" s="48"/>
      <c r="C2045" s="47"/>
      <c r="D2045" s="48"/>
      <c r="E2045" s="48"/>
      <c r="F2045" s="48"/>
      <c r="G2045" s="48"/>
      <c r="H2045" s="48"/>
      <c r="I2045" s="49"/>
      <c r="J2045" s="47"/>
      <c r="K2045" s="47"/>
      <c r="L2045" s="47"/>
      <c r="M2045" s="47"/>
      <c r="N2045" s="47"/>
      <c r="O2045" s="47"/>
      <c r="P2045" s="47"/>
      <c r="Q2045" s="47"/>
      <c r="R2045" s="47"/>
      <c r="S2045" s="50"/>
      <c r="T2045" s="47"/>
      <c r="U2045" s="47"/>
      <c r="V2045" s="47"/>
      <c r="W2045" s="51"/>
      <c r="X2045" s="51"/>
      <c r="Y2045" s="47"/>
      <c r="Z2045" s="47"/>
      <c r="AA2045" s="47"/>
      <c r="AB2045" s="47"/>
      <c r="AC2045" s="47"/>
      <c r="AD2045" s="47"/>
      <c r="AE2045" s="54"/>
      <c r="AF2045" s="54"/>
      <c r="AG2045" s="55"/>
      <c r="AH2045" s="54"/>
      <c r="AI2045" s="54"/>
      <c r="AJ2045" s="54"/>
      <c r="AK2045" s="54"/>
      <c r="AL2045" s="54"/>
      <c r="AM2045" s="54"/>
      <c r="AN2045" s="54"/>
      <c r="AO2045" s="54"/>
      <c r="AP2045" s="54"/>
      <c r="AQ2045" s="54"/>
      <c r="AR2045" s="54"/>
      <c r="AS2045" s="54"/>
      <c r="AT2045" s="54"/>
      <c r="AU2045" s="54"/>
      <c r="AV2045" s="54"/>
      <c r="AW2045" s="54"/>
      <c r="AX2045" s="54"/>
      <c r="AY2045" s="54"/>
      <c r="AZ2045" s="54"/>
      <c r="BA2045" s="54"/>
      <c r="BB2045" s="54"/>
      <c r="BC2045" s="56"/>
      <c r="BD2045" s="51"/>
      <c r="BE2045" s="54"/>
      <c r="BF2045" s="54"/>
      <c r="BG2045" s="47"/>
      <c r="BH2045" s="48"/>
      <c r="BI2045" s="48"/>
      <c r="BJ2045" s="48"/>
      <c r="BK2045" s="48"/>
      <c r="BL2045" s="48"/>
      <c r="BM2045" s="48"/>
      <c r="BN2045" s="48"/>
      <c r="BO2045" s="48"/>
      <c r="BP2045" s="48"/>
      <c r="BQ2045" s="48"/>
      <c r="BR2045" s="48"/>
      <c r="BS2045" s="48"/>
      <c r="BT2045" s="48"/>
      <c r="BU2045" s="48"/>
      <c r="BV2045" s="48"/>
      <c r="BW2045" s="48"/>
      <c r="BX2045" s="48"/>
      <c r="BY2045" s="48"/>
      <c r="BZ2045" s="48"/>
      <c r="CA2045" s="48"/>
      <c r="CB2045" s="48"/>
      <c r="CC2045" s="48"/>
      <c r="CD2045" s="48"/>
      <c r="CE2045" s="48"/>
      <c r="CF2045" s="52"/>
      <c r="CG2045" s="52"/>
      <c r="CH2045" s="48"/>
      <c r="CI2045" s="48"/>
      <c r="CJ2045" s="48"/>
      <c r="CK2045" s="48"/>
    </row>
    <row r="2046" spans="1:89" ht="15.75" customHeight="1" x14ac:dyDescent="0.3">
      <c r="A2046" s="47"/>
      <c r="B2046" s="48"/>
      <c r="C2046" s="47"/>
      <c r="D2046" s="48"/>
      <c r="E2046" s="48"/>
      <c r="F2046" s="48"/>
      <c r="G2046" s="48"/>
      <c r="H2046" s="48"/>
      <c r="I2046" s="49"/>
      <c r="J2046" s="47"/>
      <c r="K2046" s="47"/>
      <c r="L2046" s="47"/>
      <c r="M2046" s="47"/>
      <c r="N2046" s="47"/>
      <c r="O2046" s="47"/>
      <c r="P2046" s="47"/>
      <c r="Q2046" s="47"/>
      <c r="R2046" s="47"/>
      <c r="S2046" s="50"/>
      <c r="T2046" s="47"/>
      <c r="U2046" s="47"/>
      <c r="V2046" s="47"/>
      <c r="W2046" s="51"/>
      <c r="X2046" s="51"/>
      <c r="Y2046" s="47"/>
      <c r="Z2046" s="47"/>
      <c r="AA2046" s="47"/>
      <c r="AB2046" s="47"/>
      <c r="AC2046" s="47"/>
      <c r="AD2046" s="47"/>
      <c r="AE2046" s="54"/>
      <c r="AF2046" s="54"/>
      <c r="AG2046" s="55"/>
      <c r="AH2046" s="54"/>
      <c r="AI2046" s="54"/>
      <c r="AJ2046" s="54"/>
      <c r="AK2046" s="54"/>
      <c r="AL2046" s="54"/>
      <c r="AM2046" s="54"/>
      <c r="AN2046" s="54"/>
      <c r="AO2046" s="54"/>
      <c r="AP2046" s="54"/>
      <c r="AQ2046" s="54"/>
      <c r="AR2046" s="54"/>
      <c r="AS2046" s="54"/>
      <c r="AT2046" s="54"/>
      <c r="AU2046" s="54"/>
      <c r="AV2046" s="54"/>
      <c r="AW2046" s="54"/>
      <c r="AX2046" s="54"/>
      <c r="AY2046" s="54"/>
      <c r="AZ2046" s="54"/>
      <c r="BA2046" s="54"/>
      <c r="BB2046" s="54"/>
      <c r="BC2046" s="56"/>
      <c r="BD2046" s="51"/>
      <c r="BE2046" s="54"/>
      <c r="BF2046" s="54"/>
      <c r="BG2046" s="47"/>
      <c r="BH2046" s="48"/>
      <c r="BI2046" s="48"/>
      <c r="BJ2046" s="48"/>
      <c r="BK2046" s="48"/>
      <c r="BL2046" s="48"/>
      <c r="BM2046" s="48"/>
      <c r="BN2046" s="48"/>
      <c r="BO2046" s="48"/>
      <c r="BP2046" s="48"/>
      <c r="BQ2046" s="48"/>
      <c r="BR2046" s="48"/>
      <c r="BS2046" s="48"/>
      <c r="BT2046" s="48"/>
      <c r="BU2046" s="48"/>
      <c r="BV2046" s="48"/>
      <c r="BW2046" s="48"/>
      <c r="BX2046" s="48"/>
      <c r="BY2046" s="48"/>
      <c r="BZ2046" s="48"/>
      <c r="CA2046" s="48"/>
      <c r="CB2046" s="48"/>
      <c r="CC2046" s="48"/>
      <c r="CD2046" s="48"/>
      <c r="CE2046" s="48"/>
      <c r="CF2046" s="52"/>
      <c r="CG2046" s="52"/>
      <c r="CH2046" s="48"/>
      <c r="CI2046" s="48"/>
      <c r="CJ2046" s="48"/>
      <c r="CK2046" s="48"/>
    </row>
    <row r="2047" spans="1:89" ht="15.75" customHeight="1" x14ac:dyDescent="0.3">
      <c r="A2047" s="47"/>
      <c r="B2047" s="48"/>
      <c r="C2047" s="47"/>
      <c r="D2047" s="48"/>
      <c r="E2047" s="48"/>
      <c r="F2047" s="48"/>
      <c r="G2047" s="48"/>
      <c r="H2047" s="48"/>
      <c r="I2047" s="49"/>
      <c r="J2047" s="47"/>
      <c r="K2047" s="47"/>
      <c r="L2047" s="47"/>
      <c r="M2047" s="47"/>
      <c r="N2047" s="47"/>
      <c r="O2047" s="47"/>
      <c r="P2047" s="47"/>
      <c r="Q2047" s="47"/>
      <c r="R2047" s="47"/>
      <c r="S2047" s="50"/>
      <c r="T2047" s="47"/>
      <c r="U2047" s="47"/>
      <c r="V2047" s="47"/>
      <c r="W2047" s="51"/>
      <c r="X2047" s="51"/>
      <c r="Y2047" s="47"/>
      <c r="Z2047" s="47"/>
      <c r="AA2047" s="47"/>
      <c r="AB2047" s="47"/>
      <c r="AC2047" s="47"/>
      <c r="AD2047" s="47"/>
      <c r="AE2047" s="54"/>
      <c r="AF2047" s="54"/>
      <c r="AG2047" s="55"/>
      <c r="AH2047" s="54"/>
      <c r="AI2047" s="54"/>
      <c r="AJ2047" s="54"/>
      <c r="AK2047" s="54"/>
      <c r="AL2047" s="54"/>
      <c r="AM2047" s="54"/>
      <c r="AN2047" s="54"/>
      <c r="AO2047" s="54"/>
      <c r="AP2047" s="54"/>
      <c r="AQ2047" s="54"/>
      <c r="AR2047" s="54"/>
      <c r="AS2047" s="54"/>
      <c r="AT2047" s="54"/>
      <c r="AU2047" s="54"/>
      <c r="AV2047" s="54"/>
      <c r="AW2047" s="54"/>
      <c r="AX2047" s="54"/>
      <c r="AY2047" s="54"/>
      <c r="AZ2047" s="54"/>
      <c r="BA2047" s="54"/>
      <c r="BB2047" s="54"/>
      <c r="BC2047" s="56"/>
      <c r="BD2047" s="51"/>
      <c r="BE2047" s="54"/>
      <c r="BF2047" s="54"/>
      <c r="BG2047" s="47"/>
      <c r="BH2047" s="48"/>
      <c r="BI2047" s="48"/>
      <c r="BJ2047" s="48"/>
      <c r="BK2047" s="48"/>
      <c r="BL2047" s="48"/>
      <c r="BM2047" s="48"/>
      <c r="BN2047" s="48"/>
      <c r="BO2047" s="48"/>
      <c r="BP2047" s="48"/>
      <c r="BQ2047" s="48"/>
      <c r="BR2047" s="48"/>
      <c r="BS2047" s="48"/>
      <c r="BT2047" s="48"/>
      <c r="BU2047" s="48"/>
      <c r="BV2047" s="48"/>
      <c r="BW2047" s="48"/>
      <c r="BX2047" s="48"/>
      <c r="BY2047" s="48"/>
      <c r="BZ2047" s="48"/>
      <c r="CA2047" s="48"/>
      <c r="CB2047" s="48"/>
      <c r="CC2047" s="48"/>
      <c r="CD2047" s="48"/>
      <c r="CE2047" s="48"/>
      <c r="CF2047" s="52"/>
      <c r="CG2047" s="52"/>
      <c r="CH2047" s="48"/>
      <c r="CI2047" s="48"/>
      <c r="CJ2047" s="48"/>
      <c r="CK2047" s="48"/>
    </row>
    <row r="2048" spans="1:89" ht="15.75" customHeight="1" x14ac:dyDescent="0.3">
      <c r="A2048" s="47"/>
      <c r="B2048" s="48"/>
      <c r="C2048" s="47"/>
      <c r="D2048" s="48"/>
      <c r="E2048" s="48"/>
      <c r="F2048" s="48"/>
      <c r="G2048" s="48"/>
      <c r="H2048" s="48"/>
      <c r="I2048" s="49"/>
      <c r="J2048" s="47"/>
      <c r="K2048" s="47"/>
      <c r="L2048" s="47"/>
      <c r="M2048" s="47"/>
      <c r="N2048" s="47"/>
      <c r="O2048" s="47"/>
      <c r="P2048" s="47"/>
      <c r="Q2048" s="47"/>
      <c r="R2048" s="47"/>
      <c r="S2048" s="50"/>
      <c r="T2048" s="47"/>
      <c r="U2048" s="47"/>
      <c r="V2048" s="47"/>
      <c r="W2048" s="51"/>
      <c r="X2048" s="51"/>
      <c r="Y2048" s="47"/>
      <c r="Z2048" s="47"/>
      <c r="AA2048" s="47"/>
      <c r="AB2048" s="47"/>
      <c r="AC2048" s="47"/>
      <c r="AD2048" s="47"/>
      <c r="AE2048" s="54"/>
      <c r="AF2048" s="54"/>
      <c r="AG2048" s="55"/>
      <c r="AH2048" s="54"/>
      <c r="AI2048" s="54"/>
      <c r="AJ2048" s="54"/>
      <c r="AK2048" s="54"/>
      <c r="AL2048" s="54"/>
      <c r="AM2048" s="54"/>
      <c r="AN2048" s="54"/>
      <c r="AO2048" s="54"/>
      <c r="AP2048" s="54"/>
      <c r="AQ2048" s="54"/>
      <c r="AR2048" s="54"/>
      <c r="AS2048" s="54"/>
      <c r="AT2048" s="54"/>
      <c r="AU2048" s="54"/>
      <c r="AV2048" s="54"/>
      <c r="AW2048" s="54"/>
      <c r="AX2048" s="54"/>
      <c r="AY2048" s="54"/>
      <c r="AZ2048" s="54"/>
      <c r="BA2048" s="54"/>
      <c r="BB2048" s="54"/>
      <c r="BC2048" s="56"/>
      <c r="BD2048" s="51"/>
      <c r="BE2048" s="54"/>
      <c r="BF2048" s="54"/>
      <c r="BG2048" s="47"/>
      <c r="BH2048" s="48"/>
      <c r="BI2048" s="48"/>
      <c r="BJ2048" s="48"/>
      <c r="BK2048" s="48"/>
      <c r="BL2048" s="48"/>
      <c r="BM2048" s="48"/>
      <c r="BN2048" s="48"/>
      <c r="BO2048" s="48"/>
      <c r="BP2048" s="48"/>
      <c r="BQ2048" s="48"/>
      <c r="BR2048" s="48"/>
      <c r="BS2048" s="48"/>
      <c r="BT2048" s="48"/>
      <c r="BU2048" s="48"/>
      <c r="BV2048" s="48"/>
      <c r="BW2048" s="48"/>
      <c r="BX2048" s="48"/>
      <c r="BY2048" s="48"/>
      <c r="BZ2048" s="48"/>
      <c r="CA2048" s="48"/>
      <c r="CB2048" s="48"/>
      <c r="CC2048" s="48"/>
      <c r="CD2048" s="48"/>
      <c r="CE2048" s="48"/>
      <c r="CF2048" s="52"/>
      <c r="CG2048" s="52"/>
      <c r="CH2048" s="48"/>
      <c r="CI2048" s="48"/>
      <c r="CJ2048" s="48"/>
      <c r="CK2048" s="48"/>
    </row>
    <row r="2049" spans="1:89" ht="15.75" customHeight="1" x14ac:dyDescent="0.3">
      <c r="A2049" s="47"/>
      <c r="B2049" s="48"/>
      <c r="C2049" s="47"/>
      <c r="D2049" s="48"/>
      <c r="E2049" s="48"/>
      <c r="F2049" s="48"/>
      <c r="G2049" s="48"/>
      <c r="H2049" s="48"/>
      <c r="I2049" s="49"/>
      <c r="J2049" s="47"/>
      <c r="K2049" s="47"/>
      <c r="L2049" s="47"/>
      <c r="M2049" s="47"/>
      <c r="N2049" s="47"/>
      <c r="O2049" s="47"/>
      <c r="P2049" s="47"/>
      <c r="Q2049" s="47"/>
      <c r="R2049" s="47"/>
      <c r="S2049" s="50"/>
      <c r="T2049" s="47"/>
      <c r="U2049" s="47"/>
      <c r="V2049" s="47"/>
      <c r="W2049" s="51"/>
      <c r="X2049" s="51"/>
      <c r="Y2049" s="47"/>
      <c r="Z2049" s="47"/>
      <c r="AA2049" s="47"/>
      <c r="AB2049" s="47"/>
      <c r="AC2049" s="47"/>
      <c r="AD2049" s="47"/>
      <c r="AE2049" s="54"/>
      <c r="AF2049" s="54"/>
      <c r="AG2049" s="55"/>
      <c r="AH2049" s="54"/>
      <c r="AI2049" s="54"/>
      <c r="AJ2049" s="54"/>
      <c r="AK2049" s="54"/>
      <c r="AL2049" s="54"/>
      <c r="AM2049" s="54"/>
      <c r="AN2049" s="54"/>
      <c r="AO2049" s="54"/>
      <c r="AP2049" s="54"/>
      <c r="AQ2049" s="54"/>
      <c r="AR2049" s="54"/>
      <c r="AS2049" s="54"/>
      <c r="AT2049" s="54"/>
      <c r="AU2049" s="54"/>
      <c r="AV2049" s="54"/>
      <c r="AW2049" s="54"/>
      <c r="AX2049" s="54"/>
      <c r="AY2049" s="54"/>
      <c r="AZ2049" s="54"/>
      <c r="BA2049" s="54"/>
      <c r="BB2049" s="54"/>
      <c r="BC2049" s="56"/>
      <c r="BD2049" s="51"/>
      <c r="BE2049" s="54"/>
      <c r="BF2049" s="54"/>
      <c r="BG2049" s="47"/>
      <c r="BH2049" s="48"/>
      <c r="BI2049" s="48"/>
      <c r="BJ2049" s="48"/>
      <c r="BK2049" s="48"/>
      <c r="BL2049" s="48"/>
      <c r="BM2049" s="48"/>
      <c r="BN2049" s="48"/>
      <c r="BO2049" s="48"/>
      <c r="BP2049" s="48"/>
      <c r="BQ2049" s="48"/>
      <c r="BR2049" s="48"/>
      <c r="BS2049" s="48"/>
      <c r="BT2049" s="48"/>
      <c r="BU2049" s="48"/>
      <c r="BV2049" s="48"/>
      <c r="BW2049" s="48"/>
      <c r="BX2049" s="48"/>
      <c r="BY2049" s="48"/>
      <c r="BZ2049" s="48"/>
      <c r="CA2049" s="48"/>
      <c r="CB2049" s="48"/>
      <c r="CC2049" s="48"/>
      <c r="CD2049" s="48"/>
      <c r="CE2049" s="48"/>
      <c r="CF2049" s="52"/>
      <c r="CG2049" s="52"/>
      <c r="CH2049" s="48"/>
      <c r="CI2049" s="48"/>
      <c r="CJ2049" s="48"/>
      <c r="CK2049" s="48"/>
    </row>
    <row r="2050" spans="1:89" ht="15.75" customHeight="1" x14ac:dyDescent="0.3">
      <c r="A2050" s="47"/>
      <c r="B2050" s="48"/>
      <c r="C2050" s="47"/>
      <c r="D2050" s="48"/>
      <c r="E2050" s="48"/>
      <c r="F2050" s="48"/>
      <c r="G2050" s="48"/>
      <c r="H2050" s="48"/>
      <c r="I2050" s="49"/>
      <c r="J2050" s="47"/>
      <c r="K2050" s="47"/>
      <c r="L2050" s="47"/>
      <c r="M2050" s="47"/>
      <c r="N2050" s="47"/>
      <c r="O2050" s="47"/>
      <c r="P2050" s="47"/>
      <c r="Q2050" s="47"/>
      <c r="R2050" s="47"/>
      <c r="S2050" s="50"/>
      <c r="T2050" s="47"/>
      <c r="U2050" s="47"/>
      <c r="V2050" s="47"/>
      <c r="W2050" s="51"/>
      <c r="X2050" s="51"/>
      <c r="Y2050" s="47"/>
      <c r="Z2050" s="47"/>
      <c r="AA2050" s="47"/>
      <c r="AB2050" s="47"/>
      <c r="AC2050" s="47"/>
      <c r="AD2050" s="47"/>
      <c r="AE2050" s="54"/>
      <c r="AF2050" s="54"/>
      <c r="AG2050" s="55"/>
      <c r="AH2050" s="54"/>
      <c r="AI2050" s="54"/>
      <c r="AJ2050" s="54"/>
      <c r="AK2050" s="54"/>
      <c r="AL2050" s="54"/>
      <c r="AM2050" s="54"/>
      <c r="AN2050" s="54"/>
      <c r="AO2050" s="54"/>
      <c r="AP2050" s="54"/>
      <c r="AQ2050" s="54"/>
      <c r="AR2050" s="54"/>
      <c r="AS2050" s="54"/>
      <c r="AT2050" s="54"/>
      <c r="AU2050" s="54"/>
      <c r="AV2050" s="54"/>
      <c r="AW2050" s="54"/>
      <c r="AX2050" s="54"/>
      <c r="AY2050" s="54"/>
      <c r="AZ2050" s="54"/>
      <c r="BA2050" s="54"/>
      <c r="BB2050" s="54"/>
      <c r="BC2050" s="56"/>
      <c r="BD2050" s="51"/>
      <c r="BE2050" s="54"/>
      <c r="BF2050" s="54"/>
      <c r="BG2050" s="47"/>
      <c r="BH2050" s="48"/>
      <c r="BI2050" s="48"/>
      <c r="BJ2050" s="48"/>
      <c r="BK2050" s="48"/>
      <c r="BL2050" s="48"/>
      <c r="BM2050" s="48"/>
      <c r="BN2050" s="48"/>
      <c r="BO2050" s="48"/>
      <c r="BP2050" s="48"/>
      <c r="BQ2050" s="48"/>
      <c r="BR2050" s="48"/>
      <c r="BS2050" s="48"/>
      <c r="BT2050" s="48"/>
      <c r="BU2050" s="48"/>
      <c r="BV2050" s="48"/>
      <c r="BW2050" s="48"/>
      <c r="BX2050" s="48"/>
      <c r="BY2050" s="48"/>
      <c r="BZ2050" s="48"/>
      <c r="CA2050" s="48"/>
      <c r="CB2050" s="48"/>
      <c r="CC2050" s="48"/>
      <c r="CD2050" s="48"/>
      <c r="CE2050" s="48"/>
      <c r="CF2050" s="52"/>
      <c r="CG2050" s="52"/>
      <c r="CH2050" s="48"/>
      <c r="CI2050" s="48"/>
      <c r="CJ2050" s="48"/>
      <c r="CK2050" s="48"/>
    </row>
    <row r="2051" spans="1:89" ht="15.75" customHeight="1" x14ac:dyDescent="0.3">
      <c r="A2051" s="47"/>
      <c r="B2051" s="48"/>
      <c r="C2051" s="47"/>
      <c r="D2051" s="48"/>
      <c r="E2051" s="48"/>
      <c r="F2051" s="48"/>
      <c r="G2051" s="48"/>
      <c r="H2051" s="48"/>
      <c r="I2051" s="49"/>
      <c r="J2051" s="47"/>
      <c r="K2051" s="47"/>
      <c r="L2051" s="47"/>
      <c r="M2051" s="47"/>
      <c r="N2051" s="47"/>
      <c r="O2051" s="47"/>
      <c r="P2051" s="47"/>
      <c r="Q2051" s="47"/>
      <c r="R2051" s="47"/>
      <c r="S2051" s="50"/>
      <c r="T2051" s="47"/>
      <c r="U2051" s="47"/>
      <c r="V2051" s="47"/>
      <c r="W2051" s="51"/>
      <c r="X2051" s="51"/>
      <c r="Y2051" s="47"/>
      <c r="Z2051" s="47"/>
      <c r="AA2051" s="47"/>
      <c r="AB2051" s="47"/>
      <c r="AC2051" s="47"/>
      <c r="AD2051" s="47"/>
      <c r="AE2051" s="54"/>
      <c r="AF2051" s="54"/>
      <c r="AG2051" s="55"/>
      <c r="AH2051" s="54"/>
      <c r="AI2051" s="54"/>
      <c r="AJ2051" s="54"/>
      <c r="AK2051" s="54"/>
      <c r="AL2051" s="54"/>
      <c r="AM2051" s="54"/>
      <c r="AN2051" s="54"/>
      <c r="AO2051" s="54"/>
      <c r="AP2051" s="54"/>
      <c r="AQ2051" s="54"/>
      <c r="AR2051" s="54"/>
      <c r="AS2051" s="54"/>
      <c r="AT2051" s="54"/>
      <c r="AU2051" s="54"/>
      <c r="AV2051" s="54"/>
      <c r="AW2051" s="54"/>
      <c r="AX2051" s="54"/>
      <c r="AY2051" s="54"/>
      <c r="AZ2051" s="54"/>
      <c r="BA2051" s="54"/>
      <c r="BB2051" s="54"/>
      <c r="BC2051" s="56"/>
      <c r="BD2051" s="51"/>
      <c r="BE2051" s="54"/>
      <c r="BF2051" s="54"/>
      <c r="BG2051" s="47"/>
      <c r="BH2051" s="48"/>
      <c r="BI2051" s="48"/>
      <c r="BJ2051" s="48"/>
      <c r="BK2051" s="48"/>
      <c r="BL2051" s="48"/>
      <c r="BM2051" s="48"/>
      <c r="BN2051" s="48"/>
      <c r="BO2051" s="48"/>
      <c r="BP2051" s="48"/>
      <c r="BQ2051" s="48"/>
      <c r="BR2051" s="48"/>
      <c r="BS2051" s="48"/>
      <c r="BT2051" s="48"/>
      <c r="BU2051" s="48"/>
      <c r="BV2051" s="48"/>
      <c r="BW2051" s="48"/>
      <c r="BX2051" s="48"/>
      <c r="BY2051" s="48"/>
      <c r="BZ2051" s="48"/>
      <c r="CA2051" s="48"/>
      <c r="CB2051" s="48"/>
      <c r="CC2051" s="48"/>
      <c r="CD2051" s="48"/>
      <c r="CE2051" s="48"/>
      <c r="CF2051" s="52"/>
      <c r="CG2051" s="52"/>
      <c r="CH2051" s="48"/>
      <c r="CI2051" s="48"/>
      <c r="CJ2051" s="48"/>
      <c r="CK2051" s="48"/>
    </row>
    <row r="2052" spans="1:89" ht="15.75" customHeight="1" x14ac:dyDescent="0.3">
      <c r="A2052" s="47"/>
      <c r="B2052" s="48"/>
      <c r="C2052" s="47"/>
      <c r="D2052" s="48"/>
      <c r="E2052" s="48"/>
      <c r="F2052" s="48"/>
      <c r="G2052" s="48"/>
      <c r="H2052" s="48"/>
      <c r="I2052" s="49"/>
      <c r="J2052" s="47"/>
      <c r="K2052" s="47"/>
      <c r="L2052" s="47"/>
      <c r="M2052" s="47"/>
      <c r="N2052" s="47"/>
      <c r="O2052" s="47"/>
      <c r="P2052" s="47"/>
      <c r="Q2052" s="47"/>
      <c r="R2052" s="47"/>
      <c r="S2052" s="50"/>
      <c r="T2052" s="47"/>
      <c r="U2052" s="47"/>
      <c r="V2052" s="47"/>
      <c r="W2052" s="51"/>
      <c r="X2052" s="51"/>
      <c r="Y2052" s="47"/>
      <c r="Z2052" s="47"/>
      <c r="AA2052" s="47"/>
      <c r="AB2052" s="47"/>
      <c r="AC2052" s="47"/>
      <c r="AD2052" s="47"/>
      <c r="AE2052" s="54"/>
      <c r="AF2052" s="54"/>
      <c r="AG2052" s="55"/>
      <c r="AH2052" s="54"/>
      <c r="AI2052" s="54"/>
      <c r="AJ2052" s="54"/>
      <c r="AK2052" s="54"/>
      <c r="AL2052" s="54"/>
      <c r="AM2052" s="54"/>
      <c r="AN2052" s="54"/>
      <c r="AO2052" s="54"/>
      <c r="AP2052" s="54"/>
      <c r="AQ2052" s="54"/>
      <c r="AR2052" s="54"/>
      <c r="AS2052" s="54"/>
      <c r="AT2052" s="54"/>
      <c r="AU2052" s="54"/>
      <c r="AV2052" s="54"/>
      <c r="AW2052" s="54"/>
      <c r="AX2052" s="54"/>
      <c r="AY2052" s="54"/>
      <c r="AZ2052" s="54"/>
      <c r="BA2052" s="54"/>
      <c r="BB2052" s="54"/>
      <c r="BC2052" s="56"/>
      <c r="BD2052" s="51"/>
      <c r="BE2052" s="54"/>
      <c r="BF2052" s="54"/>
      <c r="BG2052" s="47"/>
      <c r="BH2052" s="48"/>
      <c r="BI2052" s="48"/>
      <c r="BJ2052" s="48"/>
      <c r="BK2052" s="48"/>
      <c r="BL2052" s="48"/>
      <c r="BM2052" s="48"/>
      <c r="BN2052" s="48"/>
      <c r="BO2052" s="48"/>
      <c r="BP2052" s="48"/>
      <c r="BQ2052" s="48"/>
      <c r="BR2052" s="48"/>
      <c r="BS2052" s="48"/>
      <c r="BT2052" s="48"/>
      <c r="BU2052" s="48"/>
      <c r="BV2052" s="48"/>
      <c r="BW2052" s="48"/>
      <c r="BX2052" s="48"/>
      <c r="BY2052" s="48"/>
      <c r="BZ2052" s="48"/>
      <c r="CA2052" s="48"/>
      <c r="CB2052" s="48"/>
      <c r="CC2052" s="48"/>
      <c r="CD2052" s="48"/>
      <c r="CE2052" s="48"/>
      <c r="CF2052" s="52"/>
      <c r="CG2052" s="52"/>
      <c r="CH2052" s="48"/>
      <c r="CI2052" s="48"/>
      <c r="CJ2052" s="48"/>
      <c r="CK2052" s="48"/>
    </row>
    <row r="2053" spans="1:89" ht="15.75" customHeight="1" x14ac:dyDescent="0.3">
      <c r="A2053" s="47"/>
      <c r="B2053" s="48"/>
      <c r="C2053" s="47"/>
      <c r="D2053" s="48"/>
      <c r="E2053" s="48"/>
      <c r="F2053" s="48"/>
      <c r="G2053" s="48"/>
      <c r="H2053" s="48"/>
      <c r="I2053" s="49"/>
      <c r="J2053" s="47"/>
      <c r="K2053" s="47"/>
      <c r="L2053" s="47"/>
      <c r="M2053" s="47"/>
      <c r="N2053" s="47"/>
      <c r="O2053" s="47"/>
      <c r="P2053" s="47"/>
      <c r="Q2053" s="47"/>
      <c r="R2053" s="47"/>
      <c r="S2053" s="50"/>
      <c r="T2053" s="47"/>
      <c r="U2053" s="47"/>
      <c r="V2053" s="47"/>
      <c r="W2053" s="51"/>
      <c r="X2053" s="51"/>
      <c r="Y2053" s="47"/>
      <c r="Z2053" s="47"/>
      <c r="AA2053" s="47"/>
      <c r="AB2053" s="47"/>
      <c r="AC2053" s="47"/>
      <c r="AD2053" s="47"/>
      <c r="AE2053" s="54"/>
      <c r="AF2053" s="54"/>
      <c r="AG2053" s="55"/>
      <c r="AH2053" s="54"/>
      <c r="AI2053" s="54"/>
      <c r="AJ2053" s="54"/>
      <c r="AK2053" s="54"/>
      <c r="AL2053" s="54"/>
      <c r="AM2053" s="54"/>
      <c r="AN2053" s="54"/>
      <c r="AO2053" s="54"/>
      <c r="AP2053" s="54"/>
      <c r="AQ2053" s="54"/>
      <c r="AR2053" s="54"/>
      <c r="AS2053" s="54"/>
      <c r="AT2053" s="54"/>
      <c r="AU2053" s="54"/>
      <c r="AV2053" s="54"/>
      <c r="AW2053" s="54"/>
      <c r="AX2053" s="54"/>
      <c r="AY2053" s="54"/>
      <c r="AZ2053" s="54"/>
      <c r="BA2053" s="54"/>
      <c r="BB2053" s="54"/>
      <c r="BC2053" s="56"/>
      <c r="BD2053" s="51"/>
      <c r="BE2053" s="54"/>
      <c r="BF2053" s="54"/>
      <c r="BG2053" s="47"/>
      <c r="BH2053" s="48"/>
      <c r="BI2053" s="48"/>
      <c r="BJ2053" s="48"/>
      <c r="BK2053" s="48"/>
      <c r="BL2053" s="48"/>
      <c r="BM2053" s="48"/>
      <c r="BN2053" s="48"/>
      <c r="BO2053" s="48"/>
      <c r="BP2053" s="48"/>
      <c r="BQ2053" s="48"/>
      <c r="BR2053" s="48"/>
      <c r="BS2053" s="48"/>
      <c r="BT2053" s="48"/>
      <c r="BU2053" s="48"/>
      <c r="BV2053" s="48"/>
      <c r="BW2053" s="48"/>
      <c r="BX2053" s="48"/>
      <c r="BY2053" s="48"/>
      <c r="BZ2053" s="48"/>
      <c r="CA2053" s="48"/>
      <c r="CB2053" s="48"/>
      <c r="CC2053" s="48"/>
      <c r="CD2053" s="48"/>
      <c r="CE2053" s="48"/>
      <c r="CF2053" s="52"/>
      <c r="CG2053" s="52"/>
      <c r="CH2053" s="48"/>
      <c r="CI2053" s="48"/>
      <c r="CJ2053" s="48"/>
      <c r="CK2053" s="48"/>
    </row>
    <row r="2054" spans="1:89" ht="15.75" customHeight="1" x14ac:dyDescent="0.3">
      <c r="A2054" s="47"/>
      <c r="B2054" s="48"/>
      <c r="C2054" s="47"/>
      <c r="D2054" s="48"/>
      <c r="E2054" s="48"/>
      <c r="F2054" s="48"/>
      <c r="G2054" s="48"/>
      <c r="H2054" s="48"/>
      <c r="I2054" s="49"/>
      <c r="J2054" s="47"/>
      <c r="K2054" s="47"/>
      <c r="L2054" s="47"/>
      <c r="M2054" s="47"/>
      <c r="N2054" s="47"/>
      <c r="O2054" s="47"/>
      <c r="P2054" s="47"/>
      <c r="Q2054" s="47"/>
      <c r="R2054" s="47"/>
      <c r="S2054" s="50"/>
      <c r="T2054" s="47"/>
      <c r="U2054" s="47"/>
      <c r="V2054" s="47"/>
      <c r="W2054" s="51"/>
      <c r="X2054" s="51"/>
      <c r="Y2054" s="47"/>
      <c r="Z2054" s="47"/>
      <c r="AA2054" s="47"/>
      <c r="AB2054" s="47"/>
      <c r="AC2054" s="47"/>
      <c r="AD2054" s="47"/>
      <c r="AE2054" s="54"/>
      <c r="AF2054" s="54"/>
      <c r="AG2054" s="55"/>
      <c r="AH2054" s="54"/>
      <c r="AI2054" s="54"/>
      <c r="AJ2054" s="54"/>
      <c r="AK2054" s="54"/>
      <c r="AL2054" s="54"/>
      <c r="AM2054" s="54"/>
      <c r="AN2054" s="54"/>
      <c r="AO2054" s="54"/>
      <c r="AP2054" s="54"/>
      <c r="AQ2054" s="54"/>
      <c r="AR2054" s="54"/>
      <c r="AS2054" s="54"/>
      <c r="AT2054" s="54"/>
      <c r="AU2054" s="54"/>
      <c r="AV2054" s="54"/>
      <c r="AW2054" s="54"/>
      <c r="AX2054" s="54"/>
      <c r="AY2054" s="54"/>
      <c r="AZ2054" s="54"/>
      <c r="BA2054" s="54"/>
      <c r="BB2054" s="54"/>
      <c r="BC2054" s="56"/>
      <c r="BD2054" s="51"/>
      <c r="BE2054" s="54"/>
      <c r="BF2054" s="54"/>
      <c r="BG2054" s="47"/>
      <c r="BH2054" s="48"/>
      <c r="BI2054" s="48"/>
      <c r="BJ2054" s="48"/>
      <c r="BK2054" s="48"/>
      <c r="BL2054" s="48"/>
      <c r="BM2054" s="48"/>
      <c r="BN2054" s="48"/>
      <c r="BO2054" s="48"/>
      <c r="BP2054" s="48"/>
      <c r="BQ2054" s="48"/>
      <c r="BR2054" s="48"/>
      <c r="BS2054" s="48"/>
      <c r="BT2054" s="48"/>
      <c r="BU2054" s="48"/>
      <c r="BV2054" s="48"/>
      <c r="BW2054" s="48"/>
      <c r="BX2054" s="48"/>
      <c r="BY2054" s="48"/>
      <c r="BZ2054" s="48"/>
      <c r="CA2054" s="48"/>
      <c r="CB2054" s="48"/>
      <c r="CC2054" s="48"/>
      <c r="CD2054" s="48"/>
      <c r="CE2054" s="48"/>
      <c r="CF2054" s="52"/>
      <c r="CG2054" s="52"/>
      <c r="CH2054" s="48"/>
      <c r="CI2054" s="48"/>
      <c r="CJ2054" s="48"/>
      <c r="CK2054" s="48"/>
    </row>
    <row r="2055" spans="1:89" ht="15.75" customHeight="1" x14ac:dyDescent="0.3">
      <c r="A2055" s="47"/>
      <c r="B2055" s="48"/>
      <c r="C2055" s="47"/>
      <c r="D2055" s="48"/>
      <c r="E2055" s="48"/>
      <c r="F2055" s="48"/>
      <c r="G2055" s="48"/>
      <c r="H2055" s="48"/>
      <c r="I2055" s="49"/>
      <c r="J2055" s="47"/>
      <c r="K2055" s="47"/>
      <c r="L2055" s="47"/>
      <c r="M2055" s="47"/>
      <c r="N2055" s="47"/>
      <c r="O2055" s="47"/>
      <c r="P2055" s="47"/>
      <c r="Q2055" s="47"/>
      <c r="R2055" s="47"/>
      <c r="S2055" s="50"/>
      <c r="T2055" s="47"/>
      <c r="U2055" s="47"/>
      <c r="V2055" s="47"/>
      <c r="W2055" s="51"/>
      <c r="X2055" s="51"/>
      <c r="Y2055" s="47"/>
      <c r="Z2055" s="47"/>
      <c r="AA2055" s="47"/>
      <c r="AB2055" s="47"/>
      <c r="AC2055" s="47"/>
      <c r="AD2055" s="47"/>
      <c r="AE2055" s="54"/>
      <c r="AF2055" s="54"/>
      <c r="AG2055" s="55"/>
      <c r="AH2055" s="54"/>
      <c r="AI2055" s="54"/>
      <c r="AJ2055" s="54"/>
      <c r="AK2055" s="54"/>
      <c r="AL2055" s="54"/>
      <c r="AM2055" s="54"/>
      <c r="AN2055" s="54"/>
      <c r="AO2055" s="54"/>
      <c r="AP2055" s="54"/>
      <c r="AQ2055" s="54"/>
      <c r="AR2055" s="54"/>
      <c r="AS2055" s="54"/>
      <c r="AT2055" s="54"/>
      <c r="AU2055" s="54"/>
      <c r="AV2055" s="54"/>
      <c r="AW2055" s="54"/>
      <c r="AX2055" s="54"/>
      <c r="AY2055" s="54"/>
      <c r="AZ2055" s="54"/>
      <c r="BA2055" s="54"/>
      <c r="BB2055" s="54"/>
      <c r="BC2055" s="56"/>
      <c r="BD2055" s="51"/>
      <c r="BE2055" s="54"/>
      <c r="BF2055" s="54"/>
      <c r="BG2055" s="47"/>
      <c r="BH2055" s="48"/>
      <c r="BI2055" s="48"/>
      <c r="BJ2055" s="48"/>
      <c r="BK2055" s="48"/>
      <c r="BL2055" s="48"/>
      <c r="BM2055" s="48"/>
      <c r="BN2055" s="48"/>
      <c r="BO2055" s="48"/>
      <c r="BP2055" s="48"/>
      <c r="BQ2055" s="48"/>
      <c r="BR2055" s="48"/>
      <c r="BS2055" s="48"/>
      <c r="BT2055" s="48"/>
      <c r="BU2055" s="48"/>
      <c r="BV2055" s="48"/>
      <c r="BW2055" s="48"/>
      <c r="BX2055" s="48"/>
      <c r="BY2055" s="48"/>
      <c r="BZ2055" s="48"/>
      <c r="CA2055" s="48"/>
      <c r="CB2055" s="48"/>
      <c r="CC2055" s="48"/>
      <c r="CD2055" s="48"/>
      <c r="CE2055" s="48"/>
      <c r="CF2055" s="52"/>
      <c r="CG2055" s="52"/>
      <c r="CH2055" s="48"/>
      <c r="CI2055" s="48"/>
      <c r="CJ2055" s="48"/>
      <c r="CK2055" s="48"/>
    </row>
    <row r="2056" spans="1:89" ht="15.75" customHeight="1" x14ac:dyDescent="0.3">
      <c r="A2056" s="47"/>
      <c r="B2056" s="48"/>
      <c r="C2056" s="47"/>
      <c r="D2056" s="48"/>
      <c r="E2056" s="48"/>
      <c r="F2056" s="48"/>
      <c r="G2056" s="48"/>
      <c r="H2056" s="48"/>
      <c r="I2056" s="49"/>
      <c r="J2056" s="47"/>
      <c r="K2056" s="47"/>
      <c r="L2056" s="47"/>
      <c r="M2056" s="47"/>
      <c r="N2056" s="47"/>
      <c r="O2056" s="47"/>
      <c r="P2056" s="47"/>
      <c r="Q2056" s="47"/>
      <c r="R2056" s="47"/>
      <c r="S2056" s="50"/>
      <c r="T2056" s="47"/>
      <c r="U2056" s="47"/>
      <c r="V2056" s="47"/>
      <c r="W2056" s="51"/>
      <c r="X2056" s="51"/>
      <c r="Y2056" s="47"/>
      <c r="Z2056" s="47"/>
      <c r="AA2056" s="47"/>
      <c r="AB2056" s="47"/>
      <c r="AC2056" s="47"/>
      <c r="AD2056" s="47"/>
      <c r="AE2056" s="54"/>
      <c r="AF2056" s="54"/>
      <c r="AG2056" s="55"/>
      <c r="AH2056" s="54"/>
      <c r="AI2056" s="54"/>
      <c r="AJ2056" s="54"/>
      <c r="AK2056" s="54"/>
      <c r="AL2056" s="54"/>
      <c r="AM2056" s="54"/>
      <c r="AN2056" s="54"/>
      <c r="AO2056" s="54"/>
      <c r="AP2056" s="54"/>
      <c r="AQ2056" s="54"/>
      <c r="AR2056" s="54"/>
      <c r="AS2056" s="54"/>
      <c r="AT2056" s="54"/>
      <c r="AU2056" s="54"/>
      <c r="AV2056" s="54"/>
      <c r="AW2056" s="54"/>
      <c r="AX2056" s="54"/>
      <c r="AY2056" s="54"/>
      <c r="AZ2056" s="54"/>
      <c r="BA2056" s="54"/>
      <c r="BB2056" s="54"/>
      <c r="BC2056" s="56"/>
      <c r="BD2056" s="51"/>
      <c r="BE2056" s="54"/>
      <c r="BF2056" s="54"/>
      <c r="BG2056" s="47"/>
      <c r="BH2056" s="48"/>
      <c r="BI2056" s="48"/>
      <c r="BJ2056" s="48"/>
      <c r="BK2056" s="48"/>
      <c r="BL2056" s="48"/>
      <c r="BM2056" s="48"/>
      <c r="BN2056" s="48"/>
      <c r="BO2056" s="48"/>
      <c r="BP2056" s="48"/>
      <c r="BQ2056" s="48"/>
      <c r="BR2056" s="48"/>
      <c r="BS2056" s="48"/>
      <c r="BT2056" s="48"/>
      <c r="BU2056" s="48"/>
      <c r="BV2056" s="48"/>
      <c r="BW2056" s="48"/>
      <c r="BX2056" s="48"/>
      <c r="BY2056" s="48"/>
      <c r="BZ2056" s="48"/>
      <c r="CA2056" s="48"/>
      <c r="CB2056" s="48"/>
      <c r="CC2056" s="48"/>
      <c r="CD2056" s="48"/>
      <c r="CE2056" s="48"/>
      <c r="CF2056" s="52"/>
      <c r="CG2056" s="52"/>
      <c r="CH2056" s="48"/>
      <c r="CI2056" s="48"/>
      <c r="CJ2056" s="48"/>
      <c r="CK2056" s="48"/>
    </row>
    <row r="2057" spans="1:89" ht="15.75" customHeight="1" x14ac:dyDescent="0.3">
      <c r="A2057" s="47"/>
      <c r="B2057" s="48"/>
      <c r="C2057" s="47"/>
      <c r="D2057" s="48"/>
      <c r="E2057" s="48"/>
      <c r="F2057" s="48"/>
      <c r="G2057" s="48"/>
      <c r="H2057" s="48"/>
      <c r="I2057" s="49"/>
      <c r="J2057" s="47"/>
      <c r="K2057" s="47"/>
      <c r="L2057" s="47"/>
      <c r="M2057" s="47"/>
      <c r="N2057" s="47"/>
      <c r="O2057" s="47"/>
      <c r="P2057" s="47"/>
      <c r="Q2057" s="47"/>
      <c r="R2057" s="47"/>
      <c r="S2057" s="50"/>
      <c r="T2057" s="47"/>
      <c r="U2057" s="47"/>
      <c r="V2057" s="47"/>
      <c r="W2057" s="51"/>
      <c r="X2057" s="51"/>
      <c r="Y2057" s="47"/>
      <c r="Z2057" s="47"/>
      <c r="AA2057" s="47"/>
      <c r="AB2057" s="47"/>
      <c r="AC2057" s="47"/>
      <c r="AD2057" s="47"/>
      <c r="AE2057" s="54"/>
      <c r="AF2057" s="54"/>
      <c r="AG2057" s="55"/>
      <c r="AH2057" s="54"/>
      <c r="AI2057" s="54"/>
      <c r="AJ2057" s="54"/>
      <c r="AK2057" s="54"/>
      <c r="AL2057" s="54"/>
      <c r="AM2057" s="54"/>
      <c r="AN2057" s="54"/>
      <c r="AO2057" s="54"/>
      <c r="AP2057" s="54"/>
      <c r="AQ2057" s="54"/>
      <c r="AR2057" s="54"/>
      <c r="AS2057" s="54"/>
      <c r="AT2057" s="54"/>
      <c r="AU2057" s="54"/>
      <c r="AV2057" s="54"/>
      <c r="AW2057" s="54"/>
      <c r="AX2057" s="54"/>
      <c r="AY2057" s="54"/>
      <c r="AZ2057" s="54"/>
      <c r="BA2057" s="54"/>
      <c r="BB2057" s="54"/>
      <c r="BC2057" s="56"/>
      <c r="BD2057" s="51"/>
      <c r="BE2057" s="54"/>
      <c r="BF2057" s="54"/>
      <c r="BG2057" s="47"/>
      <c r="BH2057" s="48"/>
      <c r="BI2057" s="48"/>
      <c r="BJ2057" s="48"/>
      <c r="BK2057" s="48"/>
      <c r="BL2057" s="48"/>
      <c r="BM2057" s="48"/>
      <c r="BN2057" s="48"/>
      <c r="BO2057" s="48"/>
      <c r="BP2057" s="48"/>
      <c r="BQ2057" s="48"/>
      <c r="BR2057" s="48"/>
      <c r="BS2057" s="48"/>
      <c r="BT2057" s="48"/>
      <c r="BU2057" s="48"/>
      <c r="BV2057" s="48"/>
      <c r="BW2057" s="48"/>
      <c r="BX2057" s="48"/>
      <c r="BY2057" s="48"/>
      <c r="BZ2057" s="48"/>
      <c r="CA2057" s="48"/>
      <c r="CB2057" s="48"/>
      <c r="CC2057" s="48"/>
      <c r="CD2057" s="48"/>
      <c r="CE2057" s="48"/>
      <c r="CF2057" s="52"/>
      <c r="CG2057" s="52"/>
      <c r="CH2057" s="48"/>
      <c r="CI2057" s="48"/>
      <c r="CJ2057" s="48"/>
      <c r="CK2057" s="48"/>
    </row>
    <row r="2058" spans="1:89" ht="15.75" customHeight="1" x14ac:dyDescent="0.3">
      <c r="A2058" s="47"/>
      <c r="B2058" s="48"/>
      <c r="C2058" s="47"/>
      <c r="D2058" s="48"/>
      <c r="E2058" s="48"/>
      <c r="F2058" s="48"/>
      <c r="G2058" s="48"/>
      <c r="H2058" s="48"/>
      <c r="I2058" s="49"/>
      <c r="J2058" s="47"/>
      <c r="K2058" s="47"/>
      <c r="L2058" s="47"/>
      <c r="M2058" s="47"/>
      <c r="N2058" s="47"/>
      <c r="O2058" s="47"/>
      <c r="P2058" s="47"/>
      <c r="Q2058" s="47"/>
      <c r="R2058" s="47"/>
      <c r="S2058" s="50"/>
      <c r="T2058" s="47"/>
      <c r="U2058" s="47"/>
      <c r="V2058" s="47"/>
      <c r="W2058" s="51"/>
      <c r="X2058" s="51"/>
      <c r="Y2058" s="47"/>
      <c r="Z2058" s="47"/>
      <c r="AA2058" s="47"/>
      <c r="AB2058" s="47"/>
      <c r="AC2058" s="47"/>
      <c r="AD2058" s="47"/>
      <c r="AE2058" s="54"/>
      <c r="AF2058" s="54"/>
      <c r="AG2058" s="55"/>
      <c r="AH2058" s="54"/>
      <c r="AI2058" s="54"/>
      <c r="AJ2058" s="54"/>
      <c r="AK2058" s="54"/>
      <c r="AL2058" s="54"/>
      <c r="AM2058" s="54"/>
      <c r="AN2058" s="54"/>
      <c r="AO2058" s="54"/>
      <c r="AP2058" s="54"/>
      <c r="AQ2058" s="54"/>
      <c r="AR2058" s="54"/>
      <c r="AS2058" s="54"/>
      <c r="AT2058" s="54"/>
      <c r="AU2058" s="54"/>
      <c r="AV2058" s="54"/>
      <c r="AW2058" s="54"/>
      <c r="AX2058" s="54"/>
      <c r="AY2058" s="54"/>
      <c r="AZ2058" s="54"/>
      <c r="BA2058" s="54"/>
      <c r="BB2058" s="54"/>
      <c r="BC2058" s="56"/>
      <c r="BD2058" s="51"/>
      <c r="BE2058" s="54"/>
      <c r="BF2058" s="54"/>
      <c r="BG2058" s="47"/>
      <c r="BH2058" s="48"/>
      <c r="BI2058" s="48"/>
      <c r="BJ2058" s="48"/>
      <c r="BK2058" s="48"/>
      <c r="BL2058" s="48"/>
      <c r="BM2058" s="48"/>
      <c r="BN2058" s="48"/>
      <c r="BO2058" s="48"/>
      <c r="BP2058" s="48"/>
      <c r="BQ2058" s="48"/>
      <c r="BR2058" s="48"/>
      <c r="BS2058" s="48"/>
      <c r="BT2058" s="48"/>
      <c r="BU2058" s="48"/>
      <c r="BV2058" s="48"/>
      <c r="BW2058" s="48"/>
      <c r="BX2058" s="48"/>
      <c r="BY2058" s="48"/>
      <c r="BZ2058" s="48"/>
      <c r="CA2058" s="48"/>
      <c r="CB2058" s="48"/>
      <c r="CC2058" s="48"/>
      <c r="CD2058" s="48"/>
      <c r="CE2058" s="48"/>
      <c r="CF2058" s="52"/>
      <c r="CG2058" s="52"/>
      <c r="CH2058" s="48"/>
      <c r="CI2058" s="48"/>
      <c r="CJ2058" s="48"/>
      <c r="CK2058" s="48"/>
    </row>
    <row r="2059" spans="1:89" ht="15.75" customHeight="1" x14ac:dyDescent="0.3">
      <c r="A2059" s="47"/>
      <c r="B2059" s="48"/>
      <c r="C2059" s="47"/>
      <c r="D2059" s="48"/>
      <c r="E2059" s="48"/>
      <c r="F2059" s="48"/>
      <c r="G2059" s="48"/>
      <c r="H2059" s="48"/>
      <c r="I2059" s="49"/>
      <c r="J2059" s="47"/>
      <c r="K2059" s="47"/>
      <c r="L2059" s="47"/>
      <c r="M2059" s="47"/>
      <c r="N2059" s="47"/>
      <c r="O2059" s="47"/>
      <c r="P2059" s="47"/>
      <c r="Q2059" s="47"/>
      <c r="R2059" s="47"/>
      <c r="S2059" s="50"/>
      <c r="T2059" s="47"/>
      <c r="U2059" s="47"/>
      <c r="V2059" s="47"/>
      <c r="W2059" s="51"/>
      <c r="X2059" s="51"/>
      <c r="Y2059" s="47"/>
      <c r="Z2059" s="47"/>
      <c r="AA2059" s="47"/>
      <c r="AB2059" s="47"/>
      <c r="AC2059" s="47"/>
      <c r="AD2059" s="47"/>
      <c r="AE2059" s="54"/>
      <c r="AF2059" s="54"/>
      <c r="AG2059" s="55"/>
      <c r="AH2059" s="54"/>
      <c r="AI2059" s="54"/>
      <c r="AJ2059" s="54"/>
      <c r="AK2059" s="54"/>
      <c r="AL2059" s="54"/>
      <c r="AM2059" s="54"/>
      <c r="AN2059" s="54"/>
      <c r="AO2059" s="54"/>
      <c r="AP2059" s="54"/>
      <c r="AQ2059" s="54"/>
      <c r="AR2059" s="54"/>
      <c r="AS2059" s="54"/>
      <c r="AT2059" s="54"/>
      <c r="AU2059" s="54"/>
      <c r="AV2059" s="54"/>
      <c r="AW2059" s="54"/>
      <c r="AX2059" s="54"/>
      <c r="AY2059" s="54"/>
      <c r="AZ2059" s="54"/>
      <c r="BA2059" s="54"/>
      <c r="BB2059" s="54"/>
      <c r="BC2059" s="56"/>
      <c r="BD2059" s="51"/>
      <c r="BE2059" s="54"/>
      <c r="BF2059" s="54"/>
      <c r="BG2059" s="47"/>
      <c r="BH2059" s="48"/>
      <c r="BI2059" s="48"/>
      <c r="BJ2059" s="48"/>
      <c r="BK2059" s="48"/>
      <c r="BL2059" s="48"/>
      <c r="BM2059" s="48"/>
      <c r="BN2059" s="48"/>
      <c r="BO2059" s="48"/>
      <c r="BP2059" s="48"/>
      <c r="BQ2059" s="48"/>
      <c r="BR2059" s="48"/>
      <c r="BS2059" s="48"/>
      <c r="BT2059" s="48"/>
      <c r="BU2059" s="48"/>
      <c r="BV2059" s="48"/>
      <c r="BW2059" s="48"/>
      <c r="BX2059" s="48"/>
      <c r="BY2059" s="48"/>
      <c r="BZ2059" s="48"/>
      <c r="CA2059" s="48"/>
      <c r="CB2059" s="48"/>
      <c r="CC2059" s="48"/>
      <c r="CD2059" s="48"/>
      <c r="CE2059" s="48"/>
      <c r="CF2059" s="52"/>
      <c r="CG2059" s="52"/>
      <c r="CH2059" s="48"/>
      <c r="CI2059" s="48"/>
      <c r="CJ2059" s="48"/>
      <c r="CK2059" s="48"/>
    </row>
    <row r="2060" spans="1:89" ht="15.75" customHeight="1" x14ac:dyDescent="0.3">
      <c r="A2060" s="47"/>
      <c r="B2060" s="48"/>
      <c r="C2060" s="47"/>
      <c r="D2060" s="48"/>
      <c r="E2060" s="48"/>
      <c r="F2060" s="48"/>
      <c r="G2060" s="48"/>
      <c r="H2060" s="48"/>
      <c r="I2060" s="49"/>
      <c r="J2060" s="47"/>
      <c r="K2060" s="47"/>
      <c r="L2060" s="47"/>
      <c r="M2060" s="47"/>
      <c r="N2060" s="47"/>
      <c r="O2060" s="47"/>
      <c r="P2060" s="47"/>
      <c r="Q2060" s="47"/>
      <c r="R2060" s="47"/>
      <c r="S2060" s="50"/>
      <c r="T2060" s="47"/>
      <c r="U2060" s="47"/>
      <c r="V2060" s="47"/>
      <c r="W2060" s="51"/>
      <c r="X2060" s="51"/>
      <c r="Y2060" s="47"/>
      <c r="Z2060" s="47"/>
      <c r="AA2060" s="47"/>
      <c r="AB2060" s="47"/>
      <c r="AC2060" s="47"/>
      <c r="AD2060" s="47"/>
      <c r="AE2060" s="54"/>
      <c r="AF2060" s="54"/>
      <c r="AG2060" s="55"/>
      <c r="AH2060" s="54"/>
      <c r="AI2060" s="54"/>
      <c r="AJ2060" s="54"/>
      <c r="AK2060" s="54"/>
      <c r="AL2060" s="54"/>
      <c r="AM2060" s="54"/>
      <c r="AN2060" s="54"/>
      <c r="AO2060" s="54"/>
      <c r="AP2060" s="54"/>
      <c r="AQ2060" s="54"/>
      <c r="AR2060" s="54"/>
      <c r="AS2060" s="54"/>
      <c r="AT2060" s="54"/>
      <c r="AU2060" s="54"/>
      <c r="AV2060" s="54"/>
      <c r="AW2060" s="54"/>
      <c r="AX2060" s="54"/>
      <c r="AY2060" s="54"/>
      <c r="AZ2060" s="54"/>
      <c r="BA2060" s="54"/>
      <c r="BB2060" s="54"/>
      <c r="BC2060" s="56"/>
      <c r="BD2060" s="51"/>
      <c r="BE2060" s="54"/>
      <c r="BF2060" s="54"/>
      <c r="BG2060" s="47"/>
      <c r="BH2060" s="48"/>
      <c r="BI2060" s="48"/>
      <c r="BJ2060" s="48"/>
      <c r="BK2060" s="48"/>
      <c r="BL2060" s="48"/>
      <c r="BM2060" s="48"/>
      <c r="BN2060" s="48"/>
      <c r="BO2060" s="48"/>
      <c r="BP2060" s="48"/>
      <c r="BQ2060" s="48"/>
      <c r="BR2060" s="48"/>
      <c r="BS2060" s="48"/>
      <c r="BT2060" s="48"/>
      <c r="BU2060" s="48"/>
      <c r="BV2060" s="48"/>
      <c r="BW2060" s="48"/>
      <c r="BX2060" s="48"/>
      <c r="BY2060" s="48"/>
      <c r="BZ2060" s="48"/>
      <c r="CA2060" s="48"/>
      <c r="CB2060" s="48"/>
      <c r="CC2060" s="48"/>
      <c r="CD2060" s="48"/>
      <c r="CE2060" s="48"/>
      <c r="CF2060" s="52"/>
      <c r="CG2060" s="52"/>
      <c r="CH2060" s="48"/>
      <c r="CI2060" s="48"/>
      <c r="CJ2060" s="48"/>
      <c r="CK2060" s="48"/>
    </row>
    <row r="2061" spans="1:89" ht="15.75" customHeight="1" x14ac:dyDescent="0.3">
      <c r="A2061" s="47"/>
      <c r="B2061" s="48"/>
      <c r="C2061" s="47"/>
      <c r="D2061" s="48"/>
      <c r="E2061" s="48"/>
      <c r="F2061" s="48"/>
      <c r="G2061" s="48"/>
      <c r="H2061" s="48"/>
      <c r="I2061" s="49"/>
      <c r="J2061" s="47"/>
      <c r="K2061" s="47"/>
      <c r="L2061" s="47"/>
      <c r="M2061" s="47"/>
      <c r="N2061" s="47"/>
      <c r="O2061" s="47"/>
      <c r="P2061" s="47"/>
      <c r="Q2061" s="47"/>
      <c r="R2061" s="47"/>
      <c r="S2061" s="50"/>
      <c r="T2061" s="47"/>
      <c r="U2061" s="47"/>
      <c r="V2061" s="47"/>
      <c r="W2061" s="51"/>
      <c r="X2061" s="51"/>
      <c r="Y2061" s="47"/>
      <c r="Z2061" s="47"/>
      <c r="AA2061" s="47"/>
      <c r="AB2061" s="47"/>
      <c r="AC2061" s="47"/>
      <c r="AD2061" s="47"/>
      <c r="AE2061" s="54"/>
      <c r="AF2061" s="54"/>
      <c r="AG2061" s="55"/>
      <c r="AH2061" s="54"/>
      <c r="AI2061" s="54"/>
      <c r="AJ2061" s="54"/>
      <c r="AK2061" s="54"/>
      <c r="AL2061" s="54"/>
      <c r="AM2061" s="54"/>
      <c r="AN2061" s="54"/>
      <c r="AO2061" s="54"/>
      <c r="AP2061" s="54"/>
      <c r="AQ2061" s="54"/>
      <c r="AR2061" s="54"/>
      <c r="AS2061" s="54"/>
      <c r="AT2061" s="54"/>
      <c r="AU2061" s="54"/>
      <c r="AV2061" s="54"/>
      <c r="AW2061" s="54"/>
      <c r="AX2061" s="54"/>
      <c r="AY2061" s="54"/>
      <c r="AZ2061" s="54"/>
      <c r="BA2061" s="54"/>
      <c r="BB2061" s="54"/>
      <c r="BC2061" s="56"/>
      <c r="BD2061" s="51"/>
      <c r="BE2061" s="54"/>
      <c r="BF2061" s="54"/>
      <c r="BG2061" s="47"/>
      <c r="BH2061" s="48"/>
      <c r="BI2061" s="48"/>
      <c r="BJ2061" s="48"/>
      <c r="BK2061" s="48"/>
      <c r="BL2061" s="48"/>
      <c r="BM2061" s="48"/>
      <c r="BN2061" s="48"/>
      <c r="BO2061" s="48"/>
      <c r="BP2061" s="48"/>
      <c r="BQ2061" s="48"/>
      <c r="BR2061" s="48"/>
      <c r="BS2061" s="48"/>
      <c r="BT2061" s="48"/>
      <c r="BU2061" s="48"/>
      <c r="BV2061" s="48"/>
      <c r="BW2061" s="48"/>
      <c r="BX2061" s="48"/>
      <c r="BY2061" s="48"/>
      <c r="BZ2061" s="48"/>
      <c r="CA2061" s="48"/>
      <c r="CB2061" s="48"/>
      <c r="CC2061" s="48"/>
      <c r="CD2061" s="48"/>
      <c r="CE2061" s="48"/>
      <c r="CF2061" s="52"/>
      <c r="CG2061" s="52"/>
      <c r="CH2061" s="48"/>
      <c r="CI2061" s="48"/>
      <c r="CJ2061" s="48"/>
      <c r="CK2061" s="48"/>
    </row>
    <row r="2062" spans="1:89" ht="15.75" customHeight="1" x14ac:dyDescent="0.3">
      <c r="A2062" s="47"/>
      <c r="B2062" s="48"/>
      <c r="C2062" s="47"/>
      <c r="D2062" s="48"/>
      <c r="E2062" s="48"/>
      <c r="F2062" s="48"/>
      <c r="G2062" s="48"/>
      <c r="H2062" s="48"/>
      <c r="I2062" s="49"/>
      <c r="J2062" s="47"/>
      <c r="K2062" s="47"/>
      <c r="L2062" s="47"/>
      <c r="M2062" s="47"/>
      <c r="N2062" s="47"/>
      <c r="O2062" s="47"/>
      <c r="P2062" s="47"/>
      <c r="Q2062" s="47"/>
      <c r="R2062" s="47"/>
      <c r="S2062" s="50"/>
      <c r="T2062" s="47"/>
      <c r="U2062" s="47"/>
      <c r="V2062" s="47"/>
      <c r="W2062" s="51"/>
      <c r="X2062" s="51"/>
      <c r="Y2062" s="47"/>
      <c r="Z2062" s="47"/>
      <c r="AA2062" s="47"/>
      <c r="AB2062" s="47"/>
      <c r="AC2062" s="47"/>
      <c r="AD2062" s="47"/>
      <c r="AE2062" s="54"/>
      <c r="AF2062" s="54"/>
      <c r="AG2062" s="55"/>
      <c r="AH2062" s="54"/>
      <c r="AI2062" s="54"/>
      <c r="AJ2062" s="54"/>
      <c r="AK2062" s="54"/>
      <c r="AL2062" s="54"/>
      <c r="AM2062" s="54"/>
      <c r="AN2062" s="54"/>
      <c r="AO2062" s="54"/>
      <c r="AP2062" s="54"/>
      <c r="AQ2062" s="54"/>
      <c r="AR2062" s="54"/>
      <c r="AS2062" s="54"/>
      <c r="AT2062" s="54"/>
      <c r="AU2062" s="54"/>
      <c r="AV2062" s="54"/>
      <c r="AW2062" s="54"/>
      <c r="AX2062" s="54"/>
      <c r="AY2062" s="54"/>
      <c r="AZ2062" s="54"/>
      <c r="BA2062" s="54"/>
      <c r="BB2062" s="54"/>
      <c r="BC2062" s="56"/>
      <c r="BD2062" s="51"/>
      <c r="BE2062" s="54"/>
      <c r="BF2062" s="54"/>
      <c r="BG2062" s="47"/>
      <c r="BH2062" s="48"/>
      <c r="BI2062" s="48"/>
      <c r="BJ2062" s="48"/>
      <c r="BK2062" s="48"/>
      <c r="BL2062" s="48"/>
      <c r="BM2062" s="48"/>
      <c r="BN2062" s="48"/>
      <c r="BO2062" s="48"/>
      <c r="BP2062" s="48"/>
      <c r="BQ2062" s="48"/>
      <c r="BR2062" s="48"/>
      <c r="BS2062" s="48"/>
      <c r="BT2062" s="48"/>
      <c r="BU2062" s="48"/>
      <c r="BV2062" s="48"/>
      <c r="BW2062" s="48"/>
      <c r="BX2062" s="48"/>
      <c r="BY2062" s="48"/>
      <c r="BZ2062" s="48"/>
      <c r="CA2062" s="48"/>
      <c r="CB2062" s="48"/>
      <c r="CC2062" s="48"/>
      <c r="CD2062" s="48"/>
      <c r="CE2062" s="48"/>
      <c r="CF2062" s="52"/>
      <c r="CG2062" s="52"/>
      <c r="CH2062" s="48"/>
      <c r="CI2062" s="48"/>
      <c r="CJ2062" s="48"/>
      <c r="CK2062" s="48"/>
    </row>
    <row r="2063" spans="1:89" ht="15.75" customHeight="1" x14ac:dyDescent="0.3">
      <c r="A2063" s="47"/>
      <c r="B2063" s="48"/>
      <c r="C2063" s="47"/>
      <c r="D2063" s="48"/>
      <c r="E2063" s="48"/>
      <c r="F2063" s="48"/>
      <c r="G2063" s="48"/>
      <c r="H2063" s="48"/>
      <c r="I2063" s="49"/>
      <c r="J2063" s="47"/>
      <c r="K2063" s="47"/>
      <c r="L2063" s="47"/>
      <c r="M2063" s="47"/>
      <c r="N2063" s="47"/>
      <c r="O2063" s="47"/>
      <c r="P2063" s="47"/>
      <c r="Q2063" s="47"/>
      <c r="R2063" s="47"/>
      <c r="S2063" s="50"/>
      <c r="T2063" s="47"/>
      <c r="U2063" s="47"/>
      <c r="V2063" s="47"/>
      <c r="W2063" s="51"/>
      <c r="X2063" s="51"/>
      <c r="Y2063" s="47"/>
      <c r="Z2063" s="47"/>
      <c r="AA2063" s="47"/>
      <c r="AB2063" s="47"/>
      <c r="AC2063" s="47"/>
      <c r="AD2063" s="47"/>
      <c r="AE2063" s="54"/>
      <c r="AF2063" s="54"/>
      <c r="AG2063" s="55"/>
      <c r="AH2063" s="54"/>
      <c r="AI2063" s="54"/>
      <c r="AJ2063" s="54"/>
      <c r="AK2063" s="54"/>
      <c r="AL2063" s="54"/>
      <c r="AM2063" s="54"/>
      <c r="AN2063" s="54"/>
      <c r="AO2063" s="54"/>
      <c r="AP2063" s="54"/>
      <c r="AQ2063" s="54"/>
      <c r="AR2063" s="54"/>
      <c r="AS2063" s="54"/>
      <c r="AT2063" s="54"/>
      <c r="AU2063" s="54"/>
      <c r="AV2063" s="54"/>
      <c r="AW2063" s="54"/>
      <c r="AX2063" s="54"/>
      <c r="AY2063" s="54"/>
      <c r="AZ2063" s="54"/>
      <c r="BA2063" s="54"/>
      <c r="BB2063" s="54"/>
      <c r="BC2063" s="56"/>
      <c r="BD2063" s="51"/>
      <c r="BE2063" s="54"/>
      <c r="BF2063" s="54"/>
      <c r="BG2063" s="47"/>
      <c r="BH2063" s="48"/>
      <c r="BI2063" s="48"/>
      <c r="BJ2063" s="48"/>
      <c r="BK2063" s="48"/>
      <c r="BL2063" s="48"/>
      <c r="BM2063" s="48"/>
      <c r="BN2063" s="48"/>
      <c r="BO2063" s="48"/>
      <c r="BP2063" s="48"/>
      <c r="BQ2063" s="48"/>
      <c r="BR2063" s="48"/>
      <c r="BS2063" s="48"/>
      <c r="BT2063" s="48"/>
      <c r="BU2063" s="48"/>
      <c r="BV2063" s="48"/>
      <c r="BW2063" s="48"/>
      <c r="BX2063" s="48"/>
      <c r="BY2063" s="48"/>
      <c r="BZ2063" s="48"/>
      <c r="CA2063" s="48"/>
      <c r="CB2063" s="48"/>
      <c r="CC2063" s="48"/>
      <c r="CD2063" s="48"/>
      <c r="CE2063" s="48"/>
      <c r="CF2063" s="52"/>
      <c r="CG2063" s="52"/>
      <c r="CH2063" s="48"/>
      <c r="CI2063" s="48"/>
      <c r="CJ2063" s="48"/>
      <c r="CK2063" s="48"/>
    </row>
    <row r="2064" spans="1:89" ht="15.75" customHeight="1" x14ac:dyDescent="0.3">
      <c r="A2064" s="47"/>
      <c r="B2064" s="48"/>
      <c r="C2064" s="47"/>
      <c r="D2064" s="48"/>
      <c r="E2064" s="48"/>
      <c r="F2064" s="48"/>
      <c r="G2064" s="48"/>
      <c r="H2064" s="48"/>
      <c r="I2064" s="49"/>
      <c r="J2064" s="47"/>
      <c r="K2064" s="47"/>
      <c r="L2064" s="47"/>
      <c r="M2064" s="47"/>
      <c r="N2064" s="47"/>
      <c r="O2064" s="47"/>
      <c r="P2064" s="47"/>
      <c r="Q2064" s="47"/>
      <c r="R2064" s="47"/>
      <c r="S2064" s="50"/>
      <c r="T2064" s="47"/>
      <c r="U2064" s="47"/>
      <c r="V2064" s="47"/>
      <c r="W2064" s="51"/>
      <c r="X2064" s="51"/>
      <c r="Y2064" s="47"/>
      <c r="Z2064" s="47"/>
      <c r="AA2064" s="47"/>
      <c r="AB2064" s="47"/>
      <c r="AC2064" s="47"/>
      <c r="AD2064" s="47"/>
      <c r="AE2064" s="54"/>
      <c r="AF2064" s="54"/>
      <c r="AG2064" s="55"/>
      <c r="AH2064" s="54"/>
      <c r="AI2064" s="54"/>
      <c r="AJ2064" s="54"/>
      <c r="AK2064" s="54"/>
      <c r="AL2064" s="54"/>
      <c r="AM2064" s="54"/>
      <c r="AN2064" s="54"/>
      <c r="AO2064" s="54"/>
      <c r="AP2064" s="54"/>
      <c r="AQ2064" s="54"/>
      <c r="AR2064" s="54"/>
      <c r="AS2064" s="54"/>
      <c r="AT2064" s="54"/>
      <c r="AU2064" s="54"/>
      <c r="AV2064" s="54"/>
      <c r="AW2064" s="54"/>
      <c r="AX2064" s="54"/>
      <c r="AY2064" s="54"/>
      <c r="AZ2064" s="54"/>
      <c r="BA2064" s="54"/>
      <c r="BB2064" s="54"/>
      <c r="BC2064" s="56"/>
      <c r="BD2064" s="51"/>
      <c r="BE2064" s="54"/>
      <c r="BF2064" s="54"/>
      <c r="BG2064" s="47"/>
      <c r="BH2064" s="48"/>
      <c r="BI2064" s="48"/>
      <c r="BJ2064" s="48"/>
      <c r="BK2064" s="48"/>
      <c r="BL2064" s="48"/>
      <c r="BM2064" s="48"/>
      <c r="BN2064" s="48"/>
      <c r="BO2064" s="48"/>
      <c r="BP2064" s="48"/>
      <c r="BQ2064" s="48"/>
      <c r="BR2064" s="48"/>
      <c r="BS2064" s="48"/>
      <c r="BT2064" s="48"/>
      <c r="BU2064" s="48"/>
      <c r="BV2064" s="48"/>
      <c r="BW2064" s="48"/>
      <c r="BX2064" s="48"/>
      <c r="BY2064" s="48"/>
      <c r="BZ2064" s="48"/>
      <c r="CA2064" s="48"/>
      <c r="CB2064" s="48"/>
      <c r="CC2064" s="48"/>
      <c r="CD2064" s="48"/>
      <c r="CE2064" s="48"/>
      <c r="CF2064" s="52"/>
      <c r="CG2064" s="52"/>
      <c r="CH2064" s="48"/>
      <c r="CI2064" s="48"/>
      <c r="CJ2064" s="48"/>
      <c r="CK2064" s="48"/>
    </row>
    <row r="2065" spans="1:89" ht="15.75" customHeight="1" x14ac:dyDescent="0.3">
      <c r="A2065" s="47"/>
      <c r="B2065" s="48"/>
      <c r="C2065" s="47"/>
      <c r="D2065" s="48"/>
      <c r="E2065" s="48"/>
      <c r="F2065" s="48"/>
      <c r="G2065" s="48"/>
      <c r="H2065" s="48"/>
      <c r="I2065" s="49"/>
      <c r="J2065" s="47"/>
      <c r="K2065" s="47"/>
      <c r="L2065" s="47"/>
      <c r="M2065" s="47"/>
      <c r="N2065" s="47"/>
      <c r="O2065" s="47"/>
      <c r="P2065" s="47"/>
      <c r="Q2065" s="47"/>
      <c r="R2065" s="47"/>
      <c r="S2065" s="50"/>
      <c r="T2065" s="47"/>
      <c r="U2065" s="47"/>
      <c r="V2065" s="47"/>
      <c r="W2065" s="51"/>
      <c r="X2065" s="51"/>
      <c r="Y2065" s="47"/>
      <c r="Z2065" s="47"/>
      <c r="AA2065" s="47"/>
      <c r="AB2065" s="47"/>
      <c r="AC2065" s="47"/>
      <c r="AD2065" s="47"/>
      <c r="AE2065" s="54"/>
      <c r="AF2065" s="54"/>
      <c r="AG2065" s="55"/>
      <c r="AH2065" s="54"/>
      <c r="AI2065" s="54"/>
      <c r="AJ2065" s="54"/>
      <c r="AK2065" s="54"/>
      <c r="AL2065" s="54"/>
      <c r="AM2065" s="54"/>
      <c r="AN2065" s="54"/>
      <c r="AO2065" s="54"/>
      <c r="AP2065" s="54"/>
      <c r="AQ2065" s="54"/>
      <c r="AR2065" s="54"/>
      <c r="AS2065" s="54"/>
      <c r="AT2065" s="54"/>
      <c r="AU2065" s="54"/>
      <c r="AV2065" s="54"/>
      <c r="AW2065" s="54"/>
      <c r="AX2065" s="54"/>
      <c r="AY2065" s="54"/>
      <c r="AZ2065" s="54"/>
      <c r="BA2065" s="54"/>
      <c r="BB2065" s="54"/>
      <c r="BC2065" s="56"/>
      <c r="BD2065" s="51"/>
      <c r="BE2065" s="54"/>
      <c r="BF2065" s="54"/>
      <c r="BG2065" s="47"/>
      <c r="BH2065" s="48"/>
      <c r="BI2065" s="48"/>
      <c r="BJ2065" s="48"/>
      <c r="BK2065" s="48"/>
      <c r="BL2065" s="48"/>
      <c r="BM2065" s="48"/>
      <c r="BN2065" s="48"/>
      <c r="BO2065" s="48"/>
      <c r="BP2065" s="48"/>
      <c r="BQ2065" s="48"/>
      <c r="BR2065" s="48"/>
      <c r="BS2065" s="48"/>
      <c r="BT2065" s="48"/>
      <c r="BU2065" s="48"/>
      <c r="BV2065" s="48"/>
      <c r="BW2065" s="48"/>
      <c r="BX2065" s="48"/>
      <c r="BY2065" s="48"/>
      <c r="BZ2065" s="48"/>
      <c r="CA2065" s="48"/>
      <c r="CB2065" s="48"/>
      <c r="CC2065" s="48"/>
      <c r="CD2065" s="48"/>
      <c r="CE2065" s="48"/>
      <c r="CF2065" s="52"/>
      <c r="CG2065" s="52"/>
      <c r="CH2065" s="48"/>
      <c r="CI2065" s="48"/>
      <c r="CJ2065" s="48"/>
      <c r="CK2065" s="48"/>
    </row>
    <row r="2066" spans="1:89" ht="15.75" customHeight="1" x14ac:dyDescent="0.3">
      <c r="A2066" s="47"/>
      <c r="B2066" s="48"/>
      <c r="C2066" s="47"/>
      <c r="D2066" s="48"/>
      <c r="E2066" s="48"/>
      <c r="F2066" s="48"/>
      <c r="G2066" s="48"/>
      <c r="H2066" s="48"/>
      <c r="I2066" s="49"/>
      <c r="J2066" s="47"/>
      <c r="K2066" s="47"/>
      <c r="L2066" s="47"/>
      <c r="M2066" s="47"/>
      <c r="N2066" s="47"/>
      <c r="O2066" s="47"/>
      <c r="P2066" s="47"/>
      <c r="Q2066" s="47"/>
      <c r="R2066" s="47"/>
      <c r="S2066" s="50"/>
      <c r="T2066" s="47"/>
      <c r="U2066" s="47"/>
      <c r="V2066" s="47"/>
      <c r="W2066" s="51"/>
      <c r="X2066" s="51"/>
      <c r="Y2066" s="47"/>
      <c r="Z2066" s="47"/>
      <c r="AA2066" s="47"/>
      <c r="AB2066" s="47"/>
      <c r="AC2066" s="47"/>
      <c r="AD2066" s="47"/>
      <c r="AE2066" s="54"/>
      <c r="AF2066" s="54"/>
      <c r="AG2066" s="55"/>
      <c r="AH2066" s="54"/>
      <c r="AI2066" s="54"/>
      <c r="AJ2066" s="54"/>
      <c r="AK2066" s="54"/>
      <c r="AL2066" s="54"/>
      <c r="AM2066" s="54"/>
      <c r="AN2066" s="54"/>
      <c r="AO2066" s="54"/>
      <c r="AP2066" s="54"/>
      <c r="AQ2066" s="54"/>
      <c r="AR2066" s="54"/>
      <c r="AS2066" s="54"/>
      <c r="AT2066" s="54"/>
      <c r="AU2066" s="54"/>
      <c r="AV2066" s="54"/>
      <c r="AW2066" s="54"/>
      <c r="AX2066" s="54"/>
      <c r="AY2066" s="54"/>
      <c r="AZ2066" s="54"/>
      <c r="BA2066" s="54"/>
      <c r="BB2066" s="54"/>
      <c r="BC2066" s="56"/>
      <c r="BD2066" s="51"/>
      <c r="BE2066" s="54"/>
      <c r="BF2066" s="54"/>
      <c r="BG2066" s="47"/>
      <c r="BH2066" s="48"/>
      <c r="BI2066" s="48"/>
      <c r="BJ2066" s="48"/>
      <c r="BK2066" s="48"/>
      <c r="BL2066" s="48"/>
      <c r="BM2066" s="48"/>
      <c r="BN2066" s="48"/>
      <c r="BO2066" s="48"/>
      <c r="BP2066" s="48"/>
      <c r="BQ2066" s="48"/>
      <c r="BR2066" s="48"/>
      <c r="BS2066" s="48"/>
      <c r="BT2066" s="48"/>
      <c r="BU2066" s="48"/>
      <c r="BV2066" s="48"/>
      <c r="BW2066" s="48"/>
      <c r="BX2066" s="48"/>
      <c r="BY2066" s="48"/>
      <c r="BZ2066" s="48"/>
      <c r="CA2066" s="48"/>
      <c r="CB2066" s="48"/>
      <c r="CC2066" s="48"/>
      <c r="CD2066" s="48"/>
      <c r="CE2066" s="48"/>
      <c r="CF2066" s="52"/>
      <c r="CG2066" s="52"/>
      <c r="CH2066" s="48"/>
      <c r="CI2066" s="48"/>
      <c r="CJ2066" s="48"/>
      <c r="CK2066" s="48"/>
    </row>
    <row r="2067" spans="1:89" ht="15.75" customHeight="1" x14ac:dyDescent="0.3">
      <c r="A2067" s="47"/>
      <c r="B2067" s="48"/>
      <c r="C2067" s="47"/>
      <c r="D2067" s="48"/>
      <c r="E2067" s="48"/>
      <c r="F2067" s="48"/>
      <c r="G2067" s="48"/>
      <c r="H2067" s="48"/>
      <c r="I2067" s="49"/>
      <c r="J2067" s="47"/>
      <c r="K2067" s="47"/>
      <c r="L2067" s="47"/>
      <c r="M2067" s="47"/>
      <c r="N2067" s="47"/>
      <c r="O2067" s="47"/>
      <c r="P2067" s="47"/>
      <c r="Q2067" s="47"/>
      <c r="R2067" s="47"/>
      <c r="S2067" s="50"/>
      <c r="T2067" s="47"/>
      <c r="U2067" s="47"/>
      <c r="V2067" s="47"/>
      <c r="W2067" s="51"/>
      <c r="X2067" s="51"/>
      <c r="Y2067" s="47"/>
      <c r="Z2067" s="47"/>
      <c r="AA2067" s="47"/>
      <c r="AB2067" s="47"/>
      <c r="AC2067" s="47"/>
      <c r="AD2067" s="47"/>
      <c r="AE2067" s="54"/>
      <c r="AF2067" s="54"/>
      <c r="AG2067" s="55"/>
      <c r="AH2067" s="54"/>
      <c r="AI2067" s="54"/>
      <c r="AJ2067" s="54"/>
      <c r="AK2067" s="54"/>
      <c r="AL2067" s="54"/>
      <c r="AM2067" s="54"/>
      <c r="AN2067" s="54"/>
      <c r="AO2067" s="54"/>
      <c r="AP2067" s="54"/>
      <c r="AQ2067" s="54"/>
      <c r="AR2067" s="54"/>
      <c r="AS2067" s="54"/>
      <c r="AT2067" s="54"/>
      <c r="AU2067" s="54"/>
      <c r="AV2067" s="54"/>
      <c r="AW2067" s="54"/>
      <c r="AX2067" s="54"/>
      <c r="AY2067" s="54"/>
      <c r="AZ2067" s="54"/>
      <c r="BA2067" s="54"/>
      <c r="BB2067" s="54"/>
      <c r="BC2067" s="56"/>
      <c r="BD2067" s="51"/>
      <c r="BE2067" s="54"/>
      <c r="BF2067" s="54"/>
      <c r="BG2067" s="47"/>
      <c r="BH2067" s="48"/>
      <c r="BI2067" s="48"/>
      <c r="BJ2067" s="48"/>
      <c r="BK2067" s="48"/>
      <c r="BL2067" s="48"/>
      <c r="BM2067" s="48"/>
      <c r="BN2067" s="48"/>
      <c r="BO2067" s="48"/>
      <c r="BP2067" s="48"/>
      <c r="BQ2067" s="48"/>
      <c r="BR2067" s="48"/>
      <c r="BS2067" s="48"/>
      <c r="BT2067" s="48"/>
      <c r="BU2067" s="48"/>
      <c r="BV2067" s="48"/>
      <c r="BW2067" s="48"/>
      <c r="BX2067" s="48"/>
      <c r="BY2067" s="48"/>
      <c r="BZ2067" s="48"/>
      <c r="CA2067" s="48"/>
      <c r="CB2067" s="48"/>
      <c r="CC2067" s="48"/>
      <c r="CD2067" s="48"/>
      <c r="CE2067" s="48"/>
      <c r="CF2067" s="52"/>
      <c r="CG2067" s="52"/>
      <c r="CH2067" s="48"/>
      <c r="CI2067" s="48"/>
      <c r="CJ2067" s="48"/>
      <c r="CK2067" s="48"/>
    </row>
    <row r="2068" spans="1:89" ht="15.75" customHeight="1" x14ac:dyDescent="0.3">
      <c r="A2068" s="47"/>
      <c r="B2068" s="48"/>
      <c r="C2068" s="47"/>
      <c r="D2068" s="48"/>
      <c r="E2068" s="48"/>
      <c r="F2068" s="48"/>
      <c r="G2068" s="48"/>
      <c r="H2068" s="48"/>
      <c r="I2068" s="49"/>
      <c r="J2068" s="47"/>
      <c r="K2068" s="47"/>
      <c r="L2068" s="47"/>
      <c r="M2068" s="47"/>
      <c r="N2068" s="47"/>
      <c r="O2068" s="47"/>
      <c r="P2068" s="47"/>
      <c r="Q2068" s="47"/>
      <c r="R2068" s="47"/>
      <c r="S2068" s="50"/>
      <c r="T2068" s="47"/>
      <c r="U2068" s="47"/>
      <c r="V2068" s="47"/>
      <c r="W2068" s="51"/>
      <c r="X2068" s="51"/>
      <c r="Y2068" s="47"/>
      <c r="Z2068" s="47"/>
      <c r="AA2068" s="47"/>
      <c r="AB2068" s="47"/>
      <c r="AC2068" s="47"/>
      <c r="AD2068" s="47"/>
      <c r="AE2068" s="54"/>
      <c r="AF2068" s="54"/>
      <c r="AG2068" s="55"/>
      <c r="AH2068" s="54"/>
      <c r="AI2068" s="54"/>
      <c r="AJ2068" s="54"/>
      <c r="AK2068" s="54"/>
      <c r="AL2068" s="54"/>
      <c r="AM2068" s="54"/>
      <c r="AN2068" s="54"/>
      <c r="AO2068" s="54"/>
      <c r="AP2068" s="54"/>
      <c r="AQ2068" s="54"/>
      <c r="AR2068" s="54"/>
      <c r="AS2068" s="54"/>
      <c r="AT2068" s="54"/>
      <c r="AU2068" s="54"/>
      <c r="AV2068" s="54"/>
      <c r="AW2068" s="54"/>
      <c r="AX2068" s="54"/>
      <c r="AY2068" s="54"/>
      <c r="AZ2068" s="54"/>
      <c r="BA2068" s="54"/>
      <c r="BB2068" s="54"/>
      <c r="BC2068" s="56"/>
      <c r="BD2068" s="51"/>
      <c r="BE2068" s="54"/>
      <c r="BF2068" s="54"/>
      <c r="BG2068" s="47"/>
      <c r="BH2068" s="48"/>
      <c r="BI2068" s="48"/>
      <c r="BJ2068" s="48"/>
      <c r="BK2068" s="48"/>
      <c r="BL2068" s="48"/>
      <c r="BM2068" s="48"/>
      <c r="BN2068" s="48"/>
      <c r="BO2068" s="48"/>
      <c r="BP2068" s="48"/>
      <c r="BQ2068" s="48"/>
      <c r="BR2068" s="48"/>
      <c r="BS2068" s="48"/>
      <c r="BT2068" s="48"/>
      <c r="BU2068" s="48"/>
      <c r="BV2068" s="48"/>
      <c r="BW2068" s="48"/>
      <c r="BX2068" s="48"/>
      <c r="BY2068" s="48"/>
      <c r="BZ2068" s="48"/>
      <c r="CA2068" s="48"/>
      <c r="CB2068" s="48"/>
      <c r="CC2068" s="48"/>
      <c r="CD2068" s="48"/>
      <c r="CE2068" s="48"/>
      <c r="CF2068" s="52"/>
      <c r="CG2068" s="52"/>
      <c r="CH2068" s="48"/>
      <c r="CI2068" s="48"/>
      <c r="CJ2068" s="48"/>
      <c r="CK2068" s="48"/>
    </row>
    <row r="2069" spans="1:89" ht="15.75" customHeight="1" x14ac:dyDescent="0.3">
      <c r="A2069" s="47"/>
      <c r="B2069" s="48"/>
      <c r="C2069" s="47"/>
      <c r="D2069" s="48"/>
      <c r="E2069" s="48"/>
      <c r="F2069" s="48"/>
      <c r="G2069" s="48"/>
      <c r="H2069" s="48"/>
      <c r="I2069" s="49"/>
      <c r="J2069" s="47"/>
      <c r="K2069" s="47"/>
      <c r="L2069" s="47"/>
      <c r="M2069" s="47"/>
      <c r="N2069" s="47"/>
      <c r="O2069" s="47"/>
      <c r="P2069" s="47"/>
      <c r="Q2069" s="47"/>
      <c r="R2069" s="47"/>
      <c r="S2069" s="50"/>
      <c r="T2069" s="47"/>
      <c r="U2069" s="47"/>
      <c r="V2069" s="47"/>
      <c r="W2069" s="51"/>
      <c r="X2069" s="51"/>
      <c r="Y2069" s="47"/>
      <c r="Z2069" s="47"/>
      <c r="AA2069" s="47"/>
      <c r="AB2069" s="47"/>
      <c r="AC2069" s="47"/>
      <c r="AD2069" s="47"/>
      <c r="AE2069" s="54"/>
      <c r="AF2069" s="54"/>
      <c r="AG2069" s="55"/>
      <c r="AH2069" s="54"/>
      <c r="AI2069" s="54"/>
      <c r="AJ2069" s="54"/>
      <c r="AK2069" s="54"/>
      <c r="AL2069" s="54"/>
      <c r="AM2069" s="54"/>
      <c r="AN2069" s="54"/>
      <c r="AO2069" s="54"/>
      <c r="AP2069" s="54"/>
      <c r="AQ2069" s="54"/>
      <c r="AR2069" s="54"/>
      <c r="AS2069" s="54"/>
      <c r="AT2069" s="54"/>
      <c r="AU2069" s="54"/>
      <c r="AV2069" s="54"/>
      <c r="AW2069" s="54"/>
      <c r="AX2069" s="54"/>
      <c r="AY2069" s="54"/>
      <c r="AZ2069" s="54"/>
      <c r="BA2069" s="54"/>
      <c r="BB2069" s="54"/>
      <c r="BC2069" s="56"/>
      <c r="BD2069" s="51"/>
      <c r="BE2069" s="54"/>
      <c r="BF2069" s="54"/>
      <c r="BG2069" s="47"/>
      <c r="BH2069" s="48"/>
      <c r="BI2069" s="48"/>
      <c r="BJ2069" s="48"/>
      <c r="BK2069" s="48"/>
      <c r="BL2069" s="48"/>
      <c r="BM2069" s="48"/>
      <c r="BN2069" s="48"/>
      <c r="BO2069" s="48"/>
      <c r="BP2069" s="48"/>
      <c r="BQ2069" s="48"/>
      <c r="BR2069" s="48"/>
      <c r="BS2069" s="48"/>
      <c r="BT2069" s="48"/>
      <c r="BU2069" s="48"/>
      <c r="BV2069" s="48"/>
      <c r="BW2069" s="48"/>
      <c r="BX2069" s="48"/>
      <c r="BY2069" s="48"/>
      <c r="BZ2069" s="48"/>
      <c r="CA2069" s="48"/>
      <c r="CB2069" s="48"/>
      <c r="CC2069" s="48"/>
      <c r="CD2069" s="48"/>
      <c r="CE2069" s="48"/>
      <c r="CF2069" s="52"/>
      <c r="CG2069" s="52"/>
      <c r="CH2069" s="48"/>
      <c r="CI2069" s="48"/>
      <c r="CJ2069" s="48"/>
      <c r="CK2069" s="48"/>
    </row>
    <row r="2070" spans="1:89" ht="15.75" customHeight="1" x14ac:dyDescent="0.3">
      <c r="A2070" s="47"/>
      <c r="B2070" s="48"/>
      <c r="C2070" s="47"/>
      <c r="D2070" s="48"/>
      <c r="E2070" s="48"/>
      <c r="F2070" s="48"/>
      <c r="G2070" s="48"/>
      <c r="H2070" s="48"/>
      <c r="I2070" s="49"/>
      <c r="J2070" s="47"/>
      <c r="K2070" s="47"/>
      <c r="L2070" s="47"/>
      <c r="M2070" s="47"/>
      <c r="N2070" s="47"/>
      <c r="O2070" s="47"/>
      <c r="P2070" s="47"/>
      <c r="Q2070" s="47"/>
      <c r="R2070" s="47"/>
      <c r="S2070" s="50"/>
      <c r="T2070" s="47"/>
      <c r="U2070" s="47"/>
      <c r="V2070" s="47"/>
      <c r="W2070" s="51"/>
      <c r="X2070" s="51"/>
      <c r="Y2070" s="47"/>
      <c r="Z2070" s="47"/>
      <c r="AA2070" s="47"/>
      <c r="AB2070" s="47"/>
      <c r="AC2070" s="47"/>
      <c r="AD2070" s="47"/>
      <c r="AE2070" s="54"/>
      <c r="AF2070" s="54"/>
      <c r="AG2070" s="55"/>
      <c r="AH2070" s="54"/>
      <c r="AI2070" s="54"/>
      <c r="AJ2070" s="54"/>
      <c r="AK2070" s="54"/>
      <c r="AL2070" s="54"/>
      <c r="AM2070" s="54"/>
      <c r="AN2070" s="54"/>
      <c r="AO2070" s="54"/>
      <c r="AP2070" s="54"/>
      <c r="AQ2070" s="54"/>
      <c r="AR2070" s="54"/>
      <c r="AS2070" s="54"/>
      <c r="AT2070" s="54"/>
      <c r="AU2070" s="54"/>
      <c r="AV2070" s="54"/>
      <c r="AW2070" s="54"/>
      <c r="AX2070" s="54"/>
      <c r="AY2070" s="54"/>
      <c r="AZ2070" s="54"/>
      <c r="BA2070" s="54"/>
      <c r="BB2070" s="54"/>
      <c r="BC2070" s="56"/>
      <c r="BD2070" s="51"/>
      <c r="BE2070" s="54"/>
      <c r="BF2070" s="54"/>
      <c r="BG2070" s="47"/>
      <c r="BH2070" s="48"/>
      <c r="BI2070" s="48"/>
      <c r="BJ2070" s="48"/>
      <c r="BK2070" s="48"/>
      <c r="BL2070" s="48"/>
      <c r="BM2070" s="48"/>
      <c r="BN2070" s="48"/>
      <c r="BO2070" s="48"/>
      <c r="BP2070" s="48"/>
      <c r="BQ2070" s="48"/>
      <c r="BR2070" s="48"/>
      <c r="BS2070" s="48"/>
      <c r="BT2070" s="48"/>
      <c r="BU2070" s="48"/>
      <c r="BV2070" s="48"/>
      <c r="BW2070" s="48"/>
      <c r="BX2070" s="48"/>
      <c r="BY2070" s="48"/>
      <c r="BZ2070" s="48"/>
      <c r="CA2070" s="48"/>
      <c r="CB2070" s="48"/>
      <c r="CC2070" s="48"/>
      <c r="CD2070" s="48"/>
      <c r="CE2070" s="48"/>
      <c r="CF2070" s="52"/>
      <c r="CG2070" s="52"/>
      <c r="CH2070" s="48"/>
      <c r="CI2070" s="48"/>
      <c r="CJ2070" s="48"/>
      <c r="CK2070" s="48"/>
    </row>
    <row r="2071" spans="1:89" ht="15.75" customHeight="1" x14ac:dyDescent="0.3">
      <c r="A2071" s="47"/>
      <c r="B2071" s="48"/>
      <c r="C2071" s="47"/>
      <c r="D2071" s="48"/>
      <c r="E2071" s="48"/>
      <c r="F2071" s="48"/>
      <c r="G2071" s="48"/>
      <c r="H2071" s="48"/>
      <c r="I2071" s="49"/>
      <c r="J2071" s="47"/>
      <c r="K2071" s="47"/>
      <c r="L2071" s="47"/>
      <c r="M2071" s="47"/>
      <c r="N2071" s="47"/>
      <c r="O2071" s="47"/>
      <c r="P2071" s="47"/>
      <c r="Q2071" s="47"/>
      <c r="R2071" s="47"/>
      <c r="S2071" s="50"/>
      <c r="T2071" s="47"/>
      <c r="U2071" s="47"/>
      <c r="V2071" s="47"/>
      <c r="W2071" s="51"/>
      <c r="X2071" s="51"/>
      <c r="Y2071" s="47"/>
      <c r="Z2071" s="47"/>
      <c r="AA2071" s="47"/>
      <c r="AB2071" s="47"/>
      <c r="AC2071" s="47"/>
      <c r="AD2071" s="47"/>
      <c r="AE2071" s="54"/>
      <c r="AF2071" s="54"/>
      <c r="AG2071" s="55"/>
      <c r="AH2071" s="54"/>
      <c r="AI2071" s="54"/>
      <c r="AJ2071" s="54"/>
      <c r="AK2071" s="54"/>
      <c r="AL2071" s="54"/>
      <c r="AM2071" s="54"/>
      <c r="AN2071" s="54"/>
      <c r="AO2071" s="54"/>
      <c r="AP2071" s="54"/>
      <c r="AQ2071" s="54"/>
      <c r="AR2071" s="54"/>
      <c r="AS2071" s="54"/>
      <c r="AT2071" s="54"/>
      <c r="AU2071" s="54"/>
      <c r="AV2071" s="54"/>
      <c r="AW2071" s="54"/>
      <c r="AX2071" s="54"/>
      <c r="AY2071" s="54"/>
      <c r="AZ2071" s="54"/>
      <c r="BA2071" s="54"/>
      <c r="BB2071" s="54"/>
      <c r="BC2071" s="56"/>
      <c r="BD2071" s="51"/>
      <c r="BE2071" s="54"/>
      <c r="BF2071" s="54"/>
      <c r="BG2071" s="47"/>
      <c r="BH2071" s="48"/>
      <c r="BI2071" s="48"/>
      <c r="BJ2071" s="48"/>
      <c r="BK2071" s="48"/>
      <c r="BL2071" s="48"/>
      <c r="BM2071" s="48"/>
      <c r="BN2071" s="48"/>
      <c r="BO2071" s="48"/>
      <c r="BP2071" s="48"/>
      <c r="BQ2071" s="48"/>
      <c r="BR2071" s="48"/>
      <c r="BS2071" s="48"/>
      <c r="BT2071" s="48"/>
      <c r="BU2071" s="48"/>
      <c r="BV2071" s="48"/>
      <c r="BW2071" s="48"/>
      <c r="BX2071" s="48"/>
      <c r="BY2071" s="48"/>
      <c r="BZ2071" s="48"/>
      <c r="CA2071" s="48"/>
      <c r="CB2071" s="48"/>
      <c r="CC2071" s="48"/>
      <c r="CD2071" s="48"/>
      <c r="CE2071" s="48"/>
      <c r="CF2071" s="52"/>
      <c r="CG2071" s="52"/>
      <c r="CH2071" s="48"/>
      <c r="CI2071" s="48"/>
      <c r="CJ2071" s="48"/>
      <c r="CK2071" s="48"/>
    </row>
    <row r="2072" spans="1:89" ht="15.75" customHeight="1" x14ac:dyDescent="0.3">
      <c r="A2072" s="47"/>
      <c r="B2072" s="48"/>
      <c r="C2072" s="47"/>
      <c r="D2072" s="48"/>
      <c r="E2072" s="48"/>
      <c r="F2072" s="48"/>
      <c r="G2072" s="48"/>
      <c r="H2072" s="48"/>
      <c r="I2072" s="49"/>
      <c r="J2072" s="47"/>
      <c r="K2072" s="47"/>
      <c r="L2072" s="47"/>
      <c r="M2072" s="47"/>
      <c r="N2072" s="47"/>
      <c r="O2072" s="47"/>
      <c r="P2072" s="47"/>
      <c r="Q2072" s="47"/>
      <c r="R2072" s="47"/>
      <c r="S2072" s="50"/>
      <c r="T2072" s="47"/>
      <c r="U2072" s="47"/>
      <c r="V2072" s="47"/>
      <c r="W2072" s="51"/>
      <c r="X2072" s="51"/>
      <c r="Y2072" s="47"/>
      <c r="Z2072" s="47"/>
      <c r="AA2072" s="47"/>
      <c r="AB2072" s="47"/>
      <c r="AC2072" s="47"/>
      <c r="AD2072" s="47"/>
      <c r="AE2072" s="54"/>
      <c r="AF2072" s="54"/>
      <c r="AG2072" s="55"/>
      <c r="AH2072" s="54"/>
      <c r="AI2072" s="54"/>
      <c r="AJ2072" s="54"/>
      <c r="AK2072" s="54"/>
      <c r="AL2072" s="54"/>
      <c r="AM2072" s="54"/>
      <c r="AN2072" s="54"/>
      <c r="AO2072" s="54"/>
      <c r="AP2072" s="54"/>
      <c r="AQ2072" s="54"/>
      <c r="AR2072" s="54"/>
      <c r="AS2072" s="54"/>
      <c r="AT2072" s="54"/>
      <c r="AU2072" s="54"/>
      <c r="AV2072" s="54"/>
      <c r="AW2072" s="54"/>
      <c r="AX2072" s="54"/>
      <c r="AY2072" s="54"/>
      <c r="AZ2072" s="54"/>
      <c r="BA2072" s="54"/>
      <c r="BB2072" s="54"/>
      <c r="BC2072" s="56"/>
      <c r="BD2072" s="51"/>
      <c r="BE2072" s="54"/>
      <c r="BF2072" s="54"/>
      <c r="BG2072" s="47"/>
      <c r="BH2072" s="48"/>
      <c r="BI2072" s="48"/>
      <c r="BJ2072" s="48"/>
      <c r="BK2072" s="48"/>
      <c r="BL2072" s="48"/>
      <c r="BM2072" s="48"/>
      <c r="BN2072" s="48"/>
      <c r="BO2072" s="48"/>
      <c r="BP2072" s="48"/>
      <c r="BQ2072" s="48"/>
      <c r="BR2072" s="48"/>
      <c r="BS2072" s="48"/>
      <c r="BT2072" s="48"/>
      <c r="BU2072" s="48"/>
      <c r="BV2072" s="48"/>
      <c r="BW2072" s="48"/>
      <c r="BX2072" s="48"/>
      <c r="BY2072" s="48"/>
      <c r="BZ2072" s="48"/>
      <c r="CA2072" s="48"/>
      <c r="CB2072" s="48"/>
      <c r="CC2072" s="48"/>
      <c r="CD2072" s="48"/>
      <c r="CE2072" s="48"/>
      <c r="CF2072" s="52"/>
      <c r="CG2072" s="52"/>
      <c r="CH2072" s="48"/>
      <c r="CI2072" s="48"/>
      <c r="CJ2072" s="48"/>
      <c r="CK2072" s="48"/>
    </row>
    <row r="2073" spans="1:89" ht="15.75" customHeight="1" x14ac:dyDescent="0.3">
      <c r="A2073" s="47"/>
      <c r="B2073" s="48"/>
      <c r="C2073" s="47"/>
      <c r="D2073" s="48"/>
      <c r="E2073" s="48"/>
      <c r="F2073" s="48"/>
      <c r="G2073" s="48"/>
      <c r="H2073" s="48"/>
      <c r="I2073" s="49"/>
      <c r="J2073" s="47"/>
      <c r="K2073" s="47"/>
      <c r="L2073" s="47"/>
      <c r="M2073" s="47"/>
      <c r="N2073" s="47"/>
      <c r="O2073" s="47"/>
      <c r="P2073" s="47"/>
      <c r="Q2073" s="47"/>
      <c r="R2073" s="47"/>
      <c r="S2073" s="50"/>
      <c r="T2073" s="47"/>
      <c r="U2073" s="47"/>
      <c r="V2073" s="47"/>
      <c r="W2073" s="51"/>
      <c r="X2073" s="51"/>
      <c r="Y2073" s="47"/>
      <c r="Z2073" s="47"/>
      <c r="AA2073" s="47"/>
      <c r="AB2073" s="47"/>
      <c r="AC2073" s="47"/>
      <c r="AD2073" s="47"/>
      <c r="AE2073" s="54"/>
      <c r="AF2073" s="54"/>
      <c r="AG2073" s="55"/>
      <c r="AH2073" s="54"/>
      <c r="AI2073" s="54"/>
      <c r="AJ2073" s="54"/>
      <c r="AK2073" s="54"/>
      <c r="AL2073" s="54"/>
      <c r="AM2073" s="54"/>
      <c r="AN2073" s="54"/>
      <c r="AO2073" s="54"/>
      <c r="AP2073" s="54"/>
      <c r="AQ2073" s="54"/>
      <c r="AR2073" s="54"/>
      <c r="AS2073" s="54"/>
      <c r="AT2073" s="54"/>
      <c r="AU2073" s="54"/>
      <c r="AV2073" s="54"/>
      <c r="AW2073" s="54"/>
      <c r="AX2073" s="54"/>
      <c r="AY2073" s="54"/>
      <c r="AZ2073" s="54"/>
      <c r="BA2073" s="54"/>
      <c r="BB2073" s="54"/>
      <c r="BC2073" s="56"/>
      <c r="BD2073" s="51"/>
      <c r="BE2073" s="54"/>
      <c r="BF2073" s="54"/>
      <c r="BG2073" s="47"/>
      <c r="BH2073" s="48"/>
      <c r="BI2073" s="48"/>
      <c r="BJ2073" s="48"/>
      <c r="BK2073" s="48"/>
      <c r="BL2073" s="48"/>
      <c r="BM2073" s="48"/>
      <c r="BN2073" s="48"/>
      <c r="BO2073" s="48"/>
      <c r="BP2073" s="48"/>
      <c r="BQ2073" s="48"/>
      <c r="BR2073" s="48"/>
      <c r="BS2073" s="48"/>
      <c r="BT2073" s="48"/>
      <c r="BU2073" s="48"/>
      <c r="BV2073" s="48"/>
      <c r="BW2073" s="48"/>
      <c r="BX2073" s="48"/>
      <c r="BY2073" s="48"/>
      <c r="BZ2073" s="48"/>
      <c r="CA2073" s="48"/>
      <c r="CB2073" s="48"/>
      <c r="CC2073" s="48"/>
      <c r="CD2073" s="48"/>
      <c r="CE2073" s="48"/>
      <c r="CF2073" s="52"/>
      <c r="CG2073" s="52"/>
      <c r="CH2073" s="48"/>
      <c r="CI2073" s="48"/>
      <c r="CJ2073" s="48"/>
      <c r="CK2073" s="48"/>
    </row>
    <row r="2074" spans="1:89" ht="15.75" customHeight="1" x14ac:dyDescent="0.3">
      <c r="A2074" s="47"/>
      <c r="B2074" s="48"/>
      <c r="C2074" s="47"/>
      <c r="D2074" s="48"/>
      <c r="E2074" s="48"/>
      <c r="F2074" s="48"/>
      <c r="G2074" s="48"/>
      <c r="H2074" s="48"/>
      <c r="I2074" s="49"/>
      <c r="J2074" s="47"/>
      <c r="K2074" s="47"/>
      <c r="L2074" s="47"/>
      <c r="M2074" s="47"/>
      <c r="N2074" s="47"/>
      <c r="O2074" s="47"/>
      <c r="P2074" s="47"/>
      <c r="Q2074" s="47"/>
      <c r="R2074" s="47"/>
      <c r="S2074" s="50"/>
      <c r="T2074" s="47"/>
      <c r="U2074" s="47"/>
      <c r="V2074" s="47"/>
      <c r="W2074" s="51"/>
      <c r="X2074" s="51"/>
      <c r="Y2074" s="47"/>
      <c r="Z2074" s="47"/>
      <c r="AA2074" s="47"/>
      <c r="AB2074" s="47"/>
      <c r="AC2074" s="47"/>
      <c r="AD2074" s="47"/>
      <c r="AE2074" s="54"/>
      <c r="AF2074" s="54"/>
      <c r="AG2074" s="55"/>
      <c r="AH2074" s="54"/>
      <c r="AI2074" s="54"/>
      <c r="AJ2074" s="54"/>
      <c r="AK2074" s="54"/>
      <c r="AL2074" s="54"/>
      <c r="AM2074" s="54"/>
      <c r="AN2074" s="54"/>
      <c r="AO2074" s="54"/>
      <c r="AP2074" s="54"/>
      <c r="AQ2074" s="54"/>
      <c r="AR2074" s="54"/>
      <c r="AS2074" s="54"/>
      <c r="AT2074" s="54"/>
      <c r="AU2074" s="54"/>
      <c r="AV2074" s="54"/>
      <c r="AW2074" s="54"/>
      <c r="AX2074" s="54"/>
      <c r="AY2074" s="54"/>
      <c r="AZ2074" s="54"/>
      <c r="BA2074" s="54"/>
      <c r="BB2074" s="54"/>
      <c r="BC2074" s="56"/>
      <c r="BD2074" s="51"/>
      <c r="BE2074" s="54"/>
      <c r="BF2074" s="54"/>
      <c r="BG2074" s="47"/>
      <c r="BH2074" s="48"/>
      <c r="BI2074" s="48"/>
      <c r="BJ2074" s="48"/>
      <c r="BK2074" s="48"/>
      <c r="BL2074" s="48"/>
      <c r="BM2074" s="48"/>
      <c r="BN2074" s="48"/>
      <c r="BO2074" s="48"/>
      <c r="BP2074" s="48"/>
      <c r="BQ2074" s="48"/>
      <c r="BR2074" s="48"/>
      <c r="BS2074" s="48"/>
      <c r="BT2074" s="48"/>
      <c r="BU2074" s="48"/>
      <c r="BV2074" s="48"/>
      <c r="BW2074" s="48"/>
      <c r="BX2074" s="48"/>
      <c r="BY2074" s="48"/>
      <c r="BZ2074" s="48"/>
      <c r="CA2074" s="48"/>
      <c r="CB2074" s="48"/>
      <c r="CC2074" s="48"/>
      <c r="CD2074" s="48"/>
      <c r="CE2074" s="48"/>
      <c r="CF2074" s="52"/>
      <c r="CG2074" s="52"/>
      <c r="CH2074" s="48"/>
      <c r="CI2074" s="48"/>
      <c r="CJ2074" s="48"/>
      <c r="CK2074" s="48"/>
    </row>
    <row r="2075" spans="1:89" ht="15.75" customHeight="1" x14ac:dyDescent="0.3">
      <c r="A2075" s="47"/>
      <c r="B2075" s="48"/>
      <c r="C2075" s="47"/>
      <c r="D2075" s="48"/>
      <c r="E2075" s="48"/>
      <c r="F2075" s="48"/>
      <c r="G2075" s="48"/>
      <c r="H2075" s="48"/>
      <c r="I2075" s="49"/>
      <c r="J2075" s="47"/>
      <c r="K2075" s="47"/>
      <c r="L2075" s="47"/>
      <c r="M2075" s="47"/>
      <c r="N2075" s="47"/>
      <c r="O2075" s="47"/>
      <c r="P2075" s="47"/>
      <c r="Q2075" s="47"/>
      <c r="R2075" s="47"/>
      <c r="S2075" s="50"/>
      <c r="T2075" s="47"/>
      <c r="U2075" s="47"/>
      <c r="V2075" s="47"/>
      <c r="W2075" s="51"/>
      <c r="X2075" s="51"/>
      <c r="Y2075" s="47"/>
      <c r="Z2075" s="47"/>
      <c r="AA2075" s="47"/>
      <c r="AB2075" s="47"/>
      <c r="AC2075" s="47"/>
      <c r="AD2075" s="47"/>
      <c r="AE2075" s="54"/>
      <c r="AF2075" s="54"/>
      <c r="AG2075" s="55"/>
      <c r="AH2075" s="54"/>
      <c r="AI2075" s="54"/>
      <c r="AJ2075" s="54"/>
      <c r="AK2075" s="54"/>
      <c r="AL2075" s="54"/>
      <c r="AM2075" s="54"/>
      <c r="AN2075" s="54"/>
      <c r="AO2075" s="54"/>
      <c r="AP2075" s="54"/>
      <c r="AQ2075" s="54"/>
      <c r="AR2075" s="54"/>
      <c r="AS2075" s="54"/>
      <c r="AT2075" s="54"/>
      <c r="AU2075" s="54"/>
      <c r="AV2075" s="54"/>
      <c r="AW2075" s="54"/>
      <c r="AX2075" s="54"/>
      <c r="AY2075" s="54"/>
      <c r="AZ2075" s="54"/>
      <c r="BA2075" s="54"/>
      <c r="BB2075" s="54"/>
      <c r="BC2075" s="56"/>
      <c r="BD2075" s="51"/>
      <c r="BE2075" s="54"/>
      <c r="BF2075" s="54"/>
      <c r="BG2075" s="47"/>
      <c r="BH2075" s="48"/>
      <c r="BI2075" s="48"/>
      <c r="BJ2075" s="48"/>
      <c r="BK2075" s="48"/>
      <c r="BL2075" s="48"/>
      <c r="BM2075" s="48"/>
      <c r="BN2075" s="48"/>
      <c r="BO2075" s="48"/>
      <c r="BP2075" s="48"/>
      <c r="BQ2075" s="48"/>
      <c r="BR2075" s="48"/>
      <c r="BS2075" s="48"/>
      <c r="BT2075" s="48"/>
      <c r="BU2075" s="48"/>
      <c r="BV2075" s="48"/>
      <c r="BW2075" s="48"/>
      <c r="BX2075" s="48"/>
      <c r="BY2075" s="48"/>
      <c r="BZ2075" s="48"/>
      <c r="CA2075" s="48"/>
      <c r="CB2075" s="48"/>
      <c r="CC2075" s="48"/>
      <c r="CD2075" s="48"/>
      <c r="CE2075" s="48"/>
      <c r="CF2075" s="52"/>
      <c r="CG2075" s="52"/>
      <c r="CH2075" s="48"/>
      <c r="CI2075" s="48"/>
      <c r="CJ2075" s="48"/>
      <c r="CK2075" s="48"/>
    </row>
    <row r="2076" spans="1:89" ht="15.75" customHeight="1" x14ac:dyDescent="0.3">
      <c r="A2076" s="47"/>
      <c r="B2076" s="48"/>
      <c r="C2076" s="47"/>
      <c r="D2076" s="48"/>
      <c r="E2076" s="48"/>
      <c r="F2076" s="48"/>
      <c r="G2076" s="48"/>
      <c r="H2076" s="48"/>
      <c r="I2076" s="49"/>
      <c r="J2076" s="47"/>
      <c r="K2076" s="47"/>
      <c r="L2076" s="47"/>
      <c r="M2076" s="47"/>
      <c r="N2076" s="47"/>
      <c r="O2076" s="47"/>
      <c r="P2076" s="47"/>
      <c r="Q2076" s="47"/>
      <c r="R2076" s="47"/>
      <c r="S2076" s="50"/>
      <c r="T2076" s="47"/>
      <c r="U2076" s="47"/>
      <c r="V2076" s="47"/>
      <c r="W2076" s="51"/>
      <c r="X2076" s="51"/>
      <c r="Y2076" s="47"/>
      <c r="Z2076" s="47"/>
      <c r="AA2076" s="47"/>
      <c r="AB2076" s="47"/>
      <c r="AC2076" s="47"/>
      <c r="AD2076" s="47"/>
      <c r="AE2076" s="54"/>
      <c r="AF2076" s="54"/>
      <c r="AG2076" s="55"/>
      <c r="AH2076" s="54"/>
      <c r="AI2076" s="54"/>
      <c r="AJ2076" s="54"/>
      <c r="AK2076" s="54"/>
      <c r="AL2076" s="54"/>
      <c r="AM2076" s="54"/>
      <c r="AN2076" s="54"/>
      <c r="AO2076" s="54"/>
      <c r="AP2076" s="54"/>
      <c r="AQ2076" s="54"/>
      <c r="AR2076" s="54"/>
      <c r="AS2076" s="54"/>
      <c r="AT2076" s="54"/>
      <c r="AU2076" s="54"/>
      <c r="AV2076" s="54"/>
      <c r="AW2076" s="54"/>
      <c r="AX2076" s="54"/>
      <c r="AY2076" s="54"/>
      <c r="AZ2076" s="54"/>
      <c r="BA2076" s="54"/>
      <c r="BB2076" s="54"/>
      <c r="BC2076" s="56"/>
      <c r="BD2076" s="51"/>
      <c r="BE2076" s="54"/>
      <c r="BF2076" s="54"/>
      <c r="BG2076" s="47"/>
      <c r="BH2076" s="48"/>
      <c r="BI2076" s="48"/>
      <c r="BJ2076" s="48"/>
      <c r="BK2076" s="48"/>
      <c r="BL2076" s="48"/>
      <c r="BM2076" s="48"/>
      <c r="BN2076" s="48"/>
      <c r="BO2076" s="48"/>
      <c r="BP2076" s="48"/>
      <c r="BQ2076" s="48"/>
      <c r="BR2076" s="48"/>
      <c r="BS2076" s="48"/>
      <c r="BT2076" s="48"/>
      <c r="BU2076" s="48"/>
      <c r="BV2076" s="48"/>
      <c r="BW2076" s="48"/>
      <c r="BX2076" s="48"/>
      <c r="BY2076" s="48"/>
      <c r="BZ2076" s="48"/>
      <c r="CA2076" s="48"/>
      <c r="CB2076" s="48"/>
      <c r="CC2076" s="48"/>
      <c r="CD2076" s="48"/>
      <c r="CE2076" s="48"/>
      <c r="CF2076" s="52"/>
      <c r="CG2076" s="52"/>
      <c r="CH2076" s="48"/>
      <c r="CI2076" s="48"/>
      <c r="CJ2076" s="48"/>
      <c r="CK2076" s="48"/>
    </row>
    <row r="2077" spans="1:89" ht="15.75" customHeight="1" x14ac:dyDescent="0.3">
      <c r="A2077" s="47"/>
      <c r="B2077" s="48"/>
      <c r="C2077" s="47"/>
      <c r="D2077" s="48"/>
      <c r="E2077" s="48"/>
      <c r="F2077" s="48"/>
      <c r="G2077" s="48"/>
      <c r="H2077" s="48"/>
      <c r="I2077" s="49"/>
      <c r="J2077" s="47"/>
      <c r="K2077" s="47"/>
      <c r="L2077" s="47"/>
      <c r="M2077" s="47"/>
      <c r="N2077" s="47"/>
      <c r="O2077" s="47"/>
      <c r="P2077" s="47"/>
      <c r="Q2077" s="47"/>
      <c r="R2077" s="47"/>
      <c r="S2077" s="50"/>
      <c r="T2077" s="47"/>
      <c r="U2077" s="47"/>
      <c r="V2077" s="47"/>
      <c r="W2077" s="51"/>
      <c r="X2077" s="51"/>
      <c r="Y2077" s="47"/>
      <c r="Z2077" s="47"/>
      <c r="AA2077" s="47"/>
      <c r="AB2077" s="47"/>
      <c r="AC2077" s="47"/>
      <c r="AD2077" s="47"/>
      <c r="AE2077" s="54"/>
      <c r="AF2077" s="54"/>
      <c r="AG2077" s="55"/>
      <c r="AH2077" s="54"/>
      <c r="AI2077" s="54"/>
      <c r="AJ2077" s="54"/>
      <c r="AK2077" s="54"/>
      <c r="AL2077" s="54"/>
      <c r="AM2077" s="54"/>
      <c r="AN2077" s="54"/>
      <c r="AO2077" s="54"/>
      <c r="AP2077" s="54"/>
      <c r="AQ2077" s="54"/>
      <c r="AR2077" s="54"/>
      <c r="AS2077" s="54"/>
      <c r="AT2077" s="54"/>
      <c r="AU2077" s="54"/>
      <c r="AV2077" s="54"/>
      <c r="AW2077" s="54"/>
      <c r="AX2077" s="54"/>
      <c r="AY2077" s="54"/>
      <c r="AZ2077" s="54"/>
      <c r="BA2077" s="54"/>
      <c r="BB2077" s="54"/>
      <c r="BC2077" s="56"/>
      <c r="BD2077" s="51"/>
      <c r="BE2077" s="54"/>
      <c r="BF2077" s="54"/>
      <c r="BG2077" s="47"/>
      <c r="BH2077" s="48"/>
      <c r="BI2077" s="48"/>
      <c r="BJ2077" s="48"/>
      <c r="BK2077" s="48"/>
      <c r="BL2077" s="48"/>
      <c r="BM2077" s="48"/>
      <c r="BN2077" s="48"/>
      <c r="BO2077" s="48"/>
      <c r="BP2077" s="48"/>
      <c r="BQ2077" s="48"/>
      <c r="BR2077" s="48"/>
      <c r="BS2077" s="48"/>
      <c r="BT2077" s="48"/>
      <c r="BU2077" s="48"/>
      <c r="BV2077" s="48"/>
      <c r="BW2077" s="48"/>
      <c r="BX2077" s="48"/>
      <c r="BY2077" s="48"/>
      <c r="BZ2077" s="48"/>
      <c r="CA2077" s="48"/>
      <c r="CB2077" s="48"/>
      <c r="CC2077" s="48"/>
      <c r="CD2077" s="48"/>
      <c r="CE2077" s="48"/>
      <c r="CF2077" s="52"/>
      <c r="CG2077" s="52"/>
      <c r="CH2077" s="48"/>
      <c r="CI2077" s="48"/>
      <c r="CJ2077" s="48"/>
      <c r="CK2077" s="48"/>
    </row>
    <row r="2078" spans="1:89" ht="15.75" customHeight="1" x14ac:dyDescent="0.3">
      <c r="A2078" s="47"/>
      <c r="B2078" s="48"/>
      <c r="C2078" s="47"/>
      <c r="D2078" s="48"/>
      <c r="E2078" s="48"/>
      <c r="F2078" s="48"/>
      <c r="G2078" s="48"/>
      <c r="H2078" s="48"/>
      <c r="I2078" s="49"/>
      <c r="J2078" s="47"/>
      <c r="K2078" s="47"/>
      <c r="L2078" s="47"/>
      <c r="M2078" s="47"/>
      <c r="N2078" s="47"/>
      <c r="O2078" s="47"/>
      <c r="P2078" s="47"/>
      <c r="Q2078" s="47"/>
      <c r="R2078" s="47"/>
      <c r="S2078" s="50"/>
      <c r="T2078" s="47"/>
      <c r="U2078" s="47"/>
      <c r="V2078" s="47"/>
      <c r="W2078" s="51"/>
      <c r="X2078" s="51"/>
      <c r="Y2078" s="47"/>
      <c r="Z2078" s="47"/>
      <c r="AA2078" s="47"/>
      <c r="AB2078" s="47"/>
      <c r="AC2078" s="47"/>
      <c r="AD2078" s="47"/>
      <c r="AE2078" s="54"/>
      <c r="AF2078" s="54"/>
      <c r="AG2078" s="55"/>
      <c r="AH2078" s="54"/>
      <c r="AI2078" s="54"/>
      <c r="AJ2078" s="54"/>
      <c r="AK2078" s="54"/>
      <c r="AL2078" s="54"/>
      <c r="AM2078" s="54"/>
      <c r="AN2078" s="54"/>
      <c r="AO2078" s="54"/>
      <c r="AP2078" s="54"/>
      <c r="AQ2078" s="54"/>
      <c r="AR2078" s="54"/>
      <c r="AS2078" s="54"/>
      <c r="AT2078" s="54"/>
      <c r="AU2078" s="54"/>
      <c r="AV2078" s="54"/>
      <c r="AW2078" s="54"/>
      <c r="AX2078" s="54"/>
      <c r="AY2078" s="54"/>
      <c r="AZ2078" s="54"/>
      <c r="BA2078" s="54"/>
      <c r="BB2078" s="54"/>
      <c r="BC2078" s="56"/>
      <c r="BD2078" s="51"/>
      <c r="BE2078" s="54"/>
      <c r="BF2078" s="54"/>
      <c r="BG2078" s="47"/>
      <c r="BH2078" s="48"/>
      <c r="BI2078" s="48"/>
      <c r="BJ2078" s="48"/>
      <c r="BK2078" s="48"/>
      <c r="BL2078" s="48"/>
      <c r="BM2078" s="48"/>
      <c r="BN2078" s="48"/>
      <c r="BO2078" s="48"/>
      <c r="BP2078" s="48"/>
      <c r="BQ2078" s="48"/>
      <c r="BR2078" s="48"/>
      <c r="BS2078" s="48"/>
      <c r="BT2078" s="48"/>
      <c r="BU2078" s="48"/>
      <c r="BV2078" s="48"/>
      <c r="BW2078" s="48"/>
      <c r="BX2078" s="48"/>
      <c r="BY2078" s="48"/>
      <c r="BZ2078" s="48"/>
      <c r="CA2078" s="48"/>
      <c r="CB2078" s="48"/>
      <c r="CC2078" s="48"/>
      <c r="CD2078" s="48"/>
      <c r="CE2078" s="48"/>
      <c r="CF2078" s="52"/>
      <c r="CG2078" s="52"/>
      <c r="CH2078" s="48"/>
      <c r="CI2078" s="48"/>
      <c r="CJ2078" s="48"/>
      <c r="CK2078" s="48"/>
    </row>
    <row r="2079" spans="1:89" ht="15.75" customHeight="1" x14ac:dyDescent="0.3">
      <c r="A2079" s="47"/>
      <c r="B2079" s="48"/>
      <c r="C2079" s="47"/>
      <c r="D2079" s="48"/>
      <c r="E2079" s="48"/>
      <c r="F2079" s="48"/>
      <c r="G2079" s="48"/>
      <c r="H2079" s="48"/>
      <c r="I2079" s="49"/>
      <c r="J2079" s="47"/>
      <c r="K2079" s="47"/>
      <c r="L2079" s="47"/>
      <c r="M2079" s="47"/>
      <c r="N2079" s="47"/>
      <c r="O2079" s="47"/>
      <c r="P2079" s="47"/>
      <c r="Q2079" s="47"/>
      <c r="R2079" s="47"/>
      <c r="S2079" s="50"/>
      <c r="T2079" s="47"/>
      <c r="U2079" s="47"/>
      <c r="V2079" s="47"/>
      <c r="W2079" s="51"/>
      <c r="X2079" s="51"/>
      <c r="Y2079" s="47"/>
      <c r="Z2079" s="47"/>
      <c r="AA2079" s="47"/>
      <c r="AB2079" s="47"/>
      <c r="AC2079" s="47"/>
      <c r="AD2079" s="47"/>
      <c r="AE2079" s="54"/>
      <c r="AF2079" s="54"/>
      <c r="AG2079" s="55"/>
      <c r="AH2079" s="54"/>
      <c r="AI2079" s="54"/>
      <c r="AJ2079" s="54"/>
      <c r="AK2079" s="54"/>
      <c r="AL2079" s="54"/>
      <c r="AM2079" s="54"/>
      <c r="AN2079" s="54"/>
      <c r="AO2079" s="54"/>
      <c r="AP2079" s="54"/>
      <c r="AQ2079" s="54"/>
      <c r="AR2079" s="54"/>
      <c r="AS2079" s="54"/>
      <c r="AT2079" s="54"/>
      <c r="AU2079" s="54"/>
      <c r="AV2079" s="54"/>
      <c r="AW2079" s="54"/>
      <c r="AX2079" s="54"/>
      <c r="AY2079" s="54"/>
      <c r="AZ2079" s="54"/>
      <c r="BA2079" s="54"/>
      <c r="BB2079" s="54"/>
      <c r="BC2079" s="56"/>
      <c r="BD2079" s="51"/>
      <c r="BE2079" s="54"/>
      <c r="BF2079" s="54"/>
      <c r="BG2079" s="47"/>
      <c r="BH2079" s="48"/>
      <c r="BI2079" s="48"/>
      <c r="BJ2079" s="48"/>
      <c r="BK2079" s="48"/>
      <c r="BL2079" s="48"/>
      <c r="BM2079" s="48"/>
      <c r="BN2079" s="48"/>
      <c r="BO2079" s="48"/>
      <c r="BP2079" s="48"/>
      <c r="BQ2079" s="48"/>
      <c r="BR2079" s="48"/>
      <c r="BS2079" s="48"/>
      <c r="BT2079" s="48"/>
      <c r="BU2079" s="48"/>
      <c r="BV2079" s="48"/>
      <c r="BW2079" s="48"/>
      <c r="BX2079" s="48"/>
      <c r="BY2079" s="48"/>
      <c r="BZ2079" s="48"/>
      <c r="CA2079" s="48"/>
      <c r="CB2079" s="48"/>
      <c r="CC2079" s="48"/>
      <c r="CD2079" s="48"/>
      <c r="CE2079" s="48"/>
      <c r="CF2079" s="52"/>
      <c r="CG2079" s="52"/>
      <c r="CH2079" s="48"/>
      <c r="CI2079" s="48"/>
      <c r="CJ2079" s="48"/>
      <c r="CK2079" s="48"/>
    </row>
    <row r="2080" spans="1:89" ht="15.75" customHeight="1" x14ac:dyDescent="0.3">
      <c r="A2080" s="47"/>
      <c r="B2080" s="48"/>
      <c r="C2080" s="47"/>
      <c r="D2080" s="48"/>
      <c r="E2080" s="48"/>
      <c r="F2080" s="48"/>
      <c r="G2080" s="48"/>
      <c r="H2080" s="48"/>
      <c r="I2080" s="49"/>
      <c r="J2080" s="47"/>
      <c r="K2080" s="47"/>
      <c r="L2080" s="47"/>
      <c r="M2080" s="47"/>
      <c r="N2080" s="47"/>
      <c r="O2080" s="47"/>
      <c r="P2080" s="47"/>
      <c r="Q2080" s="47"/>
      <c r="R2080" s="47"/>
      <c r="S2080" s="50"/>
      <c r="T2080" s="47"/>
      <c r="U2080" s="47"/>
      <c r="V2080" s="47"/>
      <c r="W2080" s="51"/>
      <c r="X2080" s="51"/>
      <c r="Y2080" s="47"/>
      <c r="Z2080" s="47"/>
      <c r="AA2080" s="47"/>
      <c r="AB2080" s="47"/>
      <c r="AC2080" s="47"/>
      <c r="AD2080" s="47"/>
      <c r="AE2080" s="54"/>
      <c r="AF2080" s="54"/>
      <c r="AG2080" s="55"/>
      <c r="AH2080" s="54"/>
      <c r="AI2080" s="54"/>
      <c r="AJ2080" s="54"/>
      <c r="AK2080" s="54"/>
      <c r="AL2080" s="54"/>
      <c r="AM2080" s="54"/>
      <c r="AN2080" s="54"/>
      <c r="AO2080" s="54"/>
      <c r="AP2080" s="54"/>
      <c r="AQ2080" s="54"/>
      <c r="AR2080" s="54"/>
      <c r="AS2080" s="54"/>
      <c r="AT2080" s="54"/>
      <c r="AU2080" s="54"/>
      <c r="AV2080" s="54"/>
      <c r="AW2080" s="54"/>
      <c r="AX2080" s="54"/>
      <c r="AY2080" s="54"/>
      <c r="AZ2080" s="54"/>
      <c r="BA2080" s="54"/>
      <c r="BB2080" s="54"/>
      <c r="BC2080" s="56"/>
      <c r="BD2080" s="51"/>
      <c r="BE2080" s="54"/>
      <c r="BF2080" s="54"/>
      <c r="BG2080" s="47"/>
      <c r="BH2080" s="48"/>
      <c r="BI2080" s="48"/>
      <c r="BJ2080" s="48"/>
      <c r="BK2080" s="48"/>
      <c r="BL2080" s="48"/>
      <c r="BM2080" s="48"/>
      <c r="BN2080" s="48"/>
      <c r="BO2080" s="48"/>
      <c r="BP2080" s="48"/>
      <c r="BQ2080" s="48"/>
      <c r="BR2080" s="48"/>
      <c r="BS2080" s="48"/>
      <c r="BT2080" s="48"/>
      <c r="BU2080" s="48"/>
      <c r="BV2080" s="48"/>
      <c r="BW2080" s="48"/>
      <c r="BX2080" s="48"/>
      <c r="BY2080" s="48"/>
      <c r="BZ2080" s="48"/>
      <c r="CA2080" s="48"/>
      <c r="CB2080" s="48"/>
      <c r="CC2080" s="48"/>
      <c r="CD2080" s="48"/>
      <c r="CE2080" s="48"/>
      <c r="CF2080" s="52"/>
      <c r="CG2080" s="52"/>
      <c r="CH2080" s="48"/>
      <c r="CI2080" s="48"/>
      <c r="CJ2080" s="48"/>
      <c r="CK2080" s="48"/>
    </row>
    <row r="2081" spans="1:89" ht="15.75" customHeight="1" x14ac:dyDescent="0.3">
      <c r="A2081" s="47"/>
      <c r="B2081" s="48"/>
      <c r="C2081" s="47"/>
      <c r="D2081" s="48"/>
      <c r="E2081" s="48"/>
      <c r="F2081" s="48"/>
      <c r="G2081" s="48"/>
      <c r="H2081" s="48"/>
      <c r="I2081" s="49"/>
      <c r="J2081" s="47"/>
      <c r="K2081" s="47"/>
      <c r="L2081" s="47"/>
      <c r="M2081" s="47"/>
      <c r="N2081" s="47"/>
      <c r="O2081" s="47"/>
      <c r="P2081" s="47"/>
      <c r="Q2081" s="47"/>
      <c r="R2081" s="47"/>
      <c r="S2081" s="50"/>
      <c r="T2081" s="47"/>
      <c r="U2081" s="47"/>
      <c r="V2081" s="47"/>
      <c r="W2081" s="51"/>
      <c r="X2081" s="51"/>
      <c r="Y2081" s="47"/>
      <c r="Z2081" s="47"/>
      <c r="AA2081" s="47"/>
      <c r="AB2081" s="47"/>
      <c r="AC2081" s="47"/>
      <c r="AD2081" s="47"/>
      <c r="AE2081" s="54"/>
      <c r="AF2081" s="54"/>
      <c r="AG2081" s="55"/>
      <c r="AH2081" s="54"/>
      <c r="AI2081" s="54"/>
      <c r="AJ2081" s="54"/>
      <c r="AK2081" s="54"/>
      <c r="AL2081" s="54"/>
      <c r="AM2081" s="54"/>
      <c r="AN2081" s="54"/>
      <c r="AO2081" s="54"/>
      <c r="AP2081" s="54"/>
      <c r="AQ2081" s="54"/>
      <c r="AR2081" s="54"/>
      <c r="AS2081" s="54"/>
      <c r="AT2081" s="54"/>
      <c r="AU2081" s="54"/>
      <c r="AV2081" s="54"/>
      <c r="AW2081" s="54"/>
      <c r="AX2081" s="54"/>
      <c r="AY2081" s="54"/>
      <c r="AZ2081" s="54"/>
      <c r="BA2081" s="54"/>
      <c r="BB2081" s="54"/>
      <c r="BC2081" s="56"/>
      <c r="BD2081" s="51"/>
      <c r="BE2081" s="54"/>
      <c r="BF2081" s="54"/>
      <c r="BG2081" s="47"/>
      <c r="BH2081" s="48"/>
      <c r="BI2081" s="48"/>
      <c r="BJ2081" s="48"/>
      <c r="BK2081" s="48"/>
      <c r="BL2081" s="48"/>
      <c r="BM2081" s="48"/>
      <c r="BN2081" s="48"/>
      <c r="BO2081" s="48"/>
      <c r="BP2081" s="48"/>
      <c r="BQ2081" s="48"/>
      <c r="BR2081" s="48"/>
      <c r="BS2081" s="48"/>
      <c r="BT2081" s="48"/>
      <c r="BU2081" s="48"/>
      <c r="BV2081" s="48"/>
      <c r="BW2081" s="48"/>
      <c r="BX2081" s="48"/>
      <c r="BY2081" s="48"/>
      <c r="BZ2081" s="48"/>
      <c r="CA2081" s="48"/>
      <c r="CB2081" s="48"/>
      <c r="CC2081" s="48"/>
      <c r="CD2081" s="48"/>
      <c r="CE2081" s="48"/>
      <c r="CF2081" s="52"/>
      <c r="CG2081" s="52"/>
      <c r="CH2081" s="48"/>
      <c r="CI2081" s="48"/>
      <c r="CJ2081" s="48"/>
      <c r="CK2081" s="48"/>
    </row>
    <row r="2082" spans="1:89" ht="15.75" customHeight="1" x14ac:dyDescent="0.3">
      <c r="A2082" s="47"/>
      <c r="B2082" s="48"/>
      <c r="C2082" s="47"/>
      <c r="D2082" s="48"/>
      <c r="E2082" s="48"/>
      <c r="F2082" s="48"/>
      <c r="G2082" s="48"/>
      <c r="H2082" s="48"/>
      <c r="I2082" s="49"/>
      <c r="J2082" s="47"/>
      <c r="K2082" s="47"/>
      <c r="L2082" s="47"/>
      <c r="M2082" s="47"/>
      <c r="N2082" s="47"/>
      <c r="O2082" s="47"/>
      <c r="P2082" s="47"/>
      <c r="Q2082" s="47"/>
      <c r="R2082" s="47"/>
      <c r="S2082" s="50"/>
      <c r="T2082" s="47"/>
      <c r="U2082" s="47"/>
      <c r="V2082" s="47"/>
      <c r="W2082" s="51"/>
      <c r="X2082" s="51"/>
      <c r="Y2082" s="47"/>
      <c r="Z2082" s="47"/>
      <c r="AA2082" s="47"/>
      <c r="AB2082" s="47"/>
      <c r="AC2082" s="47"/>
      <c r="AD2082" s="47"/>
      <c r="AE2082" s="54"/>
      <c r="AF2082" s="54"/>
      <c r="AG2082" s="55"/>
      <c r="AH2082" s="54"/>
      <c r="AI2082" s="54"/>
      <c r="AJ2082" s="54"/>
      <c r="AK2082" s="54"/>
      <c r="AL2082" s="54"/>
      <c r="AM2082" s="54"/>
      <c r="AN2082" s="54"/>
      <c r="AO2082" s="54"/>
      <c r="AP2082" s="54"/>
      <c r="AQ2082" s="54"/>
      <c r="AR2082" s="54"/>
      <c r="AS2082" s="54"/>
      <c r="AT2082" s="54"/>
      <c r="AU2082" s="54"/>
      <c r="AV2082" s="54"/>
      <c r="AW2082" s="54"/>
      <c r="AX2082" s="54"/>
      <c r="AY2082" s="54"/>
      <c r="AZ2082" s="54"/>
      <c r="BA2082" s="54"/>
      <c r="BB2082" s="54"/>
      <c r="BC2082" s="56"/>
      <c r="BD2082" s="51"/>
      <c r="BE2082" s="54"/>
      <c r="BF2082" s="54"/>
      <c r="BG2082" s="47"/>
      <c r="BH2082" s="48"/>
      <c r="BI2082" s="48"/>
      <c r="BJ2082" s="48"/>
      <c r="BK2082" s="48"/>
      <c r="BL2082" s="48"/>
      <c r="BM2082" s="48"/>
      <c r="BN2082" s="48"/>
      <c r="BO2082" s="48"/>
      <c r="BP2082" s="48"/>
      <c r="BQ2082" s="48"/>
      <c r="BR2082" s="48"/>
      <c r="BS2082" s="48"/>
      <c r="BT2082" s="48"/>
      <c r="BU2082" s="48"/>
      <c r="BV2082" s="48"/>
      <c r="BW2082" s="48"/>
      <c r="BX2082" s="48"/>
      <c r="BY2082" s="48"/>
      <c r="BZ2082" s="48"/>
      <c r="CA2082" s="48"/>
      <c r="CB2082" s="48"/>
      <c r="CC2082" s="48"/>
      <c r="CD2082" s="48"/>
      <c r="CE2082" s="48"/>
      <c r="CF2082" s="52"/>
      <c r="CG2082" s="52"/>
      <c r="CH2082" s="48"/>
      <c r="CI2082" s="48"/>
      <c r="CJ2082" s="48"/>
      <c r="CK2082" s="48"/>
    </row>
    <row r="2083" spans="1:89" ht="15.75" customHeight="1" x14ac:dyDescent="0.3">
      <c r="A2083" s="47"/>
      <c r="B2083" s="48"/>
      <c r="C2083" s="47"/>
      <c r="D2083" s="48"/>
      <c r="E2083" s="48"/>
      <c r="F2083" s="48"/>
      <c r="G2083" s="48"/>
      <c r="H2083" s="48"/>
      <c r="I2083" s="49"/>
      <c r="J2083" s="47"/>
      <c r="K2083" s="47"/>
      <c r="L2083" s="47"/>
      <c r="M2083" s="47"/>
      <c r="N2083" s="47"/>
      <c r="O2083" s="47"/>
      <c r="P2083" s="47"/>
      <c r="Q2083" s="47"/>
      <c r="R2083" s="47"/>
      <c r="S2083" s="50"/>
      <c r="T2083" s="47"/>
      <c r="U2083" s="47"/>
      <c r="V2083" s="47"/>
      <c r="W2083" s="51"/>
      <c r="X2083" s="51"/>
      <c r="Y2083" s="47"/>
      <c r="Z2083" s="47"/>
      <c r="AA2083" s="47"/>
      <c r="AB2083" s="47"/>
      <c r="AC2083" s="47"/>
      <c r="AD2083" s="47"/>
      <c r="AE2083" s="54"/>
      <c r="AF2083" s="54"/>
      <c r="AG2083" s="55"/>
      <c r="AH2083" s="54"/>
      <c r="AI2083" s="54"/>
      <c r="AJ2083" s="54"/>
      <c r="AK2083" s="54"/>
      <c r="AL2083" s="54"/>
      <c r="AM2083" s="54"/>
      <c r="AN2083" s="54"/>
      <c r="AO2083" s="54"/>
      <c r="AP2083" s="54"/>
      <c r="AQ2083" s="54"/>
      <c r="AR2083" s="54"/>
      <c r="AS2083" s="54"/>
      <c r="AT2083" s="54"/>
      <c r="AU2083" s="54"/>
      <c r="AV2083" s="54"/>
      <c r="AW2083" s="54"/>
      <c r="AX2083" s="54"/>
      <c r="AY2083" s="54"/>
      <c r="AZ2083" s="54"/>
      <c r="BA2083" s="54"/>
      <c r="BB2083" s="54"/>
      <c r="BC2083" s="56"/>
      <c r="BD2083" s="51"/>
      <c r="BE2083" s="54"/>
      <c r="BF2083" s="54"/>
      <c r="BG2083" s="47"/>
      <c r="BH2083" s="48"/>
      <c r="BI2083" s="48"/>
      <c r="BJ2083" s="48"/>
      <c r="BK2083" s="48"/>
      <c r="BL2083" s="48"/>
      <c r="BM2083" s="48"/>
      <c r="BN2083" s="48"/>
      <c r="BO2083" s="48"/>
      <c r="BP2083" s="48"/>
      <c r="BQ2083" s="48"/>
      <c r="BR2083" s="48"/>
      <c r="BS2083" s="48"/>
      <c r="BT2083" s="48"/>
      <c r="BU2083" s="48"/>
      <c r="BV2083" s="48"/>
      <c r="BW2083" s="48"/>
      <c r="BX2083" s="48"/>
      <c r="BY2083" s="48"/>
      <c r="BZ2083" s="48"/>
      <c r="CA2083" s="48"/>
      <c r="CB2083" s="48"/>
      <c r="CC2083" s="48"/>
      <c r="CD2083" s="48"/>
      <c r="CE2083" s="48"/>
      <c r="CF2083" s="52"/>
      <c r="CG2083" s="52"/>
      <c r="CH2083" s="48"/>
      <c r="CI2083" s="48"/>
      <c r="CJ2083" s="48"/>
      <c r="CK2083" s="48"/>
    </row>
    <row r="2084" spans="1:89" ht="15.75" customHeight="1" x14ac:dyDescent="0.3">
      <c r="A2084" s="47"/>
      <c r="B2084" s="48"/>
      <c r="C2084" s="47"/>
      <c r="D2084" s="48"/>
      <c r="E2084" s="48"/>
      <c r="F2084" s="48"/>
      <c r="G2084" s="48"/>
      <c r="H2084" s="48"/>
      <c r="I2084" s="49"/>
      <c r="J2084" s="47"/>
      <c r="K2084" s="47"/>
      <c r="L2084" s="47"/>
      <c r="M2084" s="47"/>
      <c r="N2084" s="47"/>
      <c r="O2084" s="47"/>
      <c r="P2084" s="47"/>
      <c r="Q2084" s="47"/>
      <c r="R2084" s="47"/>
      <c r="S2084" s="50"/>
      <c r="T2084" s="47"/>
      <c r="U2084" s="47"/>
      <c r="V2084" s="47"/>
      <c r="W2084" s="51"/>
      <c r="X2084" s="51"/>
      <c r="Y2084" s="47"/>
      <c r="Z2084" s="47"/>
      <c r="AA2084" s="47"/>
      <c r="AB2084" s="47"/>
      <c r="AC2084" s="47"/>
      <c r="AD2084" s="47"/>
      <c r="AE2084" s="54"/>
      <c r="AF2084" s="54"/>
      <c r="AG2084" s="55"/>
      <c r="AH2084" s="54"/>
      <c r="AI2084" s="54"/>
      <c r="AJ2084" s="54"/>
      <c r="AK2084" s="54"/>
      <c r="AL2084" s="54"/>
      <c r="AM2084" s="54"/>
      <c r="AN2084" s="54"/>
      <c r="AO2084" s="54"/>
      <c r="AP2084" s="54"/>
      <c r="AQ2084" s="54"/>
      <c r="AR2084" s="54"/>
      <c r="AS2084" s="54"/>
      <c r="AT2084" s="54"/>
      <c r="AU2084" s="54"/>
      <c r="AV2084" s="54"/>
      <c r="AW2084" s="54"/>
      <c r="AX2084" s="54"/>
      <c r="AY2084" s="54"/>
      <c r="AZ2084" s="54"/>
      <c r="BA2084" s="54"/>
      <c r="BB2084" s="54"/>
      <c r="BC2084" s="56"/>
      <c r="BD2084" s="51"/>
      <c r="BE2084" s="54"/>
      <c r="BF2084" s="54"/>
      <c r="BG2084" s="47"/>
      <c r="BH2084" s="48"/>
      <c r="BI2084" s="48"/>
      <c r="BJ2084" s="48"/>
      <c r="BK2084" s="48"/>
      <c r="BL2084" s="48"/>
      <c r="BM2084" s="48"/>
      <c r="BN2084" s="48"/>
      <c r="BO2084" s="48"/>
      <c r="BP2084" s="48"/>
      <c r="BQ2084" s="48"/>
      <c r="BR2084" s="48"/>
      <c r="BS2084" s="48"/>
      <c r="BT2084" s="48"/>
      <c r="BU2084" s="48"/>
      <c r="BV2084" s="48"/>
      <c r="BW2084" s="48"/>
      <c r="BX2084" s="48"/>
      <c r="BY2084" s="48"/>
      <c r="BZ2084" s="48"/>
      <c r="CA2084" s="48"/>
      <c r="CB2084" s="48"/>
      <c r="CC2084" s="48"/>
      <c r="CD2084" s="48"/>
      <c r="CE2084" s="48"/>
      <c r="CF2084" s="52"/>
      <c r="CG2084" s="52"/>
      <c r="CH2084" s="48"/>
      <c r="CI2084" s="48"/>
      <c r="CJ2084" s="48"/>
      <c r="CK2084" s="48"/>
    </row>
    <row r="2085" spans="1:89" ht="15.75" customHeight="1" x14ac:dyDescent="0.3">
      <c r="A2085" s="47"/>
      <c r="B2085" s="48"/>
      <c r="C2085" s="47"/>
      <c r="D2085" s="48"/>
      <c r="E2085" s="48"/>
      <c r="F2085" s="48"/>
      <c r="G2085" s="48"/>
      <c r="H2085" s="48"/>
      <c r="I2085" s="49"/>
      <c r="J2085" s="47"/>
      <c r="K2085" s="47"/>
      <c r="L2085" s="47"/>
      <c r="M2085" s="47"/>
      <c r="N2085" s="47"/>
      <c r="O2085" s="47"/>
      <c r="P2085" s="47"/>
      <c r="Q2085" s="47"/>
      <c r="R2085" s="47"/>
      <c r="S2085" s="50"/>
      <c r="T2085" s="47"/>
      <c r="U2085" s="47"/>
      <c r="V2085" s="47"/>
      <c r="W2085" s="51"/>
      <c r="X2085" s="51"/>
      <c r="Y2085" s="47"/>
      <c r="Z2085" s="47"/>
      <c r="AA2085" s="47"/>
      <c r="AB2085" s="47"/>
      <c r="AC2085" s="47"/>
      <c r="AD2085" s="47"/>
      <c r="AE2085" s="54"/>
      <c r="AF2085" s="54"/>
      <c r="AG2085" s="55"/>
      <c r="AH2085" s="54"/>
      <c r="AI2085" s="54"/>
      <c r="AJ2085" s="54"/>
      <c r="AK2085" s="54"/>
      <c r="AL2085" s="54"/>
      <c r="AM2085" s="54"/>
      <c r="AN2085" s="54"/>
      <c r="AO2085" s="54"/>
      <c r="AP2085" s="54"/>
      <c r="AQ2085" s="54"/>
      <c r="AR2085" s="54"/>
      <c r="AS2085" s="54"/>
      <c r="AT2085" s="54"/>
      <c r="AU2085" s="54"/>
      <c r="AV2085" s="54"/>
      <c r="AW2085" s="54"/>
      <c r="AX2085" s="54"/>
      <c r="AY2085" s="54"/>
      <c r="AZ2085" s="54"/>
      <c r="BA2085" s="54"/>
      <c r="BB2085" s="54"/>
      <c r="BC2085" s="56"/>
      <c r="BD2085" s="51"/>
      <c r="BE2085" s="54"/>
      <c r="BF2085" s="54"/>
      <c r="BG2085" s="47"/>
      <c r="BH2085" s="48"/>
      <c r="BI2085" s="48"/>
      <c r="BJ2085" s="48"/>
      <c r="BK2085" s="48"/>
      <c r="BL2085" s="48"/>
      <c r="BM2085" s="48"/>
      <c r="BN2085" s="48"/>
      <c r="BO2085" s="48"/>
      <c r="BP2085" s="48"/>
      <c r="BQ2085" s="48"/>
      <c r="BR2085" s="48"/>
      <c r="BS2085" s="48"/>
      <c r="BT2085" s="48"/>
      <c r="BU2085" s="48"/>
      <c r="BV2085" s="48"/>
      <c r="BW2085" s="48"/>
      <c r="BX2085" s="48"/>
      <c r="BY2085" s="48"/>
      <c r="BZ2085" s="48"/>
      <c r="CA2085" s="48"/>
      <c r="CB2085" s="48"/>
      <c r="CC2085" s="48"/>
      <c r="CD2085" s="48"/>
      <c r="CE2085" s="48"/>
      <c r="CF2085" s="52"/>
      <c r="CG2085" s="52"/>
      <c r="CH2085" s="48"/>
      <c r="CI2085" s="48"/>
      <c r="CJ2085" s="48"/>
      <c r="CK2085" s="48"/>
    </row>
    <row r="2086" spans="1:89" ht="15.75" customHeight="1" x14ac:dyDescent="0.3">
      <c r="A2086" s="47"/>
      <c r="B2086" s="48"/>
      <c r="C2086" s="47"/>
      <c r="D2086" s="48"/>
      <c r="E2086" s="48"/>
      <c r="F2086" s="48"/>
      <c r="G2086" s="48"/>
      <c r="H2086" s="48"/>
      <c r="I2086" s="49"/>
      <c r="J2086" s="47"/>
      <c r="K2086" s="47"/>
      <c r="L2086" s="47"/>
      <c r="M2086" s="47"/>
      <c r="N2086" s="47"/>
      <c r="O2086" s="47"/>
      <c r="P2086" s="47"/>
      <c r="Q2086" s="47"/>
      <c r="R2086" s="47"/>
      <c r="S2086" s="50"/>
      <c r="T2086" s="47"/>
      <c r="U2086" s="47"/>
      <c r="V2086" s="47"/>
      <c r="W2086" s="51"/>
      <c r="X2086" s="51"/>
      <c r="Y2086" s="47"/>
      <c r="Z2086" s="47"/>
      <c r="AA2086" s="47"/>
      <c r="AB2086" s="47"/>
      <c r="AC2086" s="47"/>
      <c r="AD2086" s="47"/>
      <c r="AE2086" s="54"/>
      <c r="AF2086" s="54"/>
      <c r="AG2086" s="55"/>
      <c r="AH2086" s="54"/>
      <c r="AI2086" s="54"/>
      <c r="AJ2086" s="54"/>
      <c r="AK2086" s="54"/>
      <c r="AL2086" s="54"/>
      <c r="AM2086" s="54"/>
      <c r="AN2086" s="54"/>
      <c r="AO2086" s="54"/>
      <c r="AP2086" s="54"/>
      <c r="AQ2086" s="54"/>
      <c r="AR2086" s="54"/>
      <c r="AS2086" s="54"/>
      <c r="AT2086" s="54"/>
      <c r="AU2086" s="54"/>
      <c r="AV2086" s="54"/>
      <c r="AW2086" s="54"/>
      <c r="AX2086" s="54"/>
      <c r="AY2086" s="54"/>
      <c r="AZ2086" s="54"/>
      <c r="BA2086" s="54"/>
      <c r="BB2086" s="54"/>
      <c r="BC2086" s="56"/>
      <c r="BD2086" s="51"/>
      <c r="BE2086" s="54"/>
      <c r="BF2086" s="54"/>
      <c r="BG2086" s="47"/>
      <c r="BH2086" s="48"/>
      <c r="BI2086" s="48"/>
      <c r="BJ2086" s="48"/>
      <c r="BK2086" s="48"/>
      <c r="BL2086" s="48"/>
      <c r="BM2086" s="48"/>
      <c r="BN2086" s="48"/>
      <c r="BO2086" s="48"/>
      <c r="BP2086" s="48"/>
      <c r="BQ2086" s="48"/>
      <c r="BR2086" s="48"/>
      <c r="BS2086" s="48"/>
      <c r="BT2086" s="48"/>
      <c r="BU2086" s="48"/>
      <c r="BV2086" s="48"/>
      <c r="BW2086" s="48"/>
      <c r="BX2086" s="48"/>
      <c r="BY2086" s="48"/>
      <c r="BZ2086" s="48"/>
      <c r="CA2086" s="48"/>
      <c r="CB2086" s="48"/>
      <c r="CC2086" s="48"/>
      <c r="CD2086" s="48"/>
      <c r="CE2086" s="48"/>
      <c r="CF2086" s="52"/>
      <c r="CG2086" s="52"/>
      <c r="CH2086" s="48"/>
      <c r="CI2086" s="48"/>
      <c r="CJ2086" s="48"/>
      <c r="CK2086" s="48"/>
    </row>
    <row r="2087" spans="1:89" ht="15.75" customHeight="1" x14ac:dyDescent="0.3">
      <c r="A2087" s="47"/>
      <c r="B2087" s="48"/>
      <c r="C2087" s="47"/>
      <c r="D2087" s="48"/>
      <c r="E2087" s="48"/>
      <c r="F2087" s="48"/>
      <c r="G2087" s="48"/>
      <c r="H2087" s="48"/>
      <c r="I2087" s="49"/>
      <c r="J2087" s="47"/>
      <c r="K2087" s="47"/>
      <c r="L2087" s="47"/>
      <c r="M2087" s="47"/>
      <c r="N2087" s="47"/>
      <c r="O2087" s="47"/>
      <c r="P2087" s="47"/>
      <c r="Q2087" s="47"/>
      <c r="R2087" s="47"/>
      <c r="S2087" s="50"/>
      <c r="T2087" s="47"/>
      <c r="U2087" s="47"/>
      <c r="V2087" s="47"/>
      <c r="W2087" s="51"/>
      <c r="X2087" s="51"/>
      <c r="Y2087" s="47"/>
      <c r="Z2087" s="47"/>
      <c r="AA2087" s="47"/>
      <c r="AB2087" s="47"/>
      <c r="AC2087" s="47"/>
      <c r="AD2087" s="47"/>
      <c r="AE2087" s="54"/>
      <c r="AF2087" s="54"/>
      <c r="AG2087" s="55"/>
      <c r="AH2087" s="54"/>
      <c r="AI2087" s="54"/>
      <c r="AJ2087" s="54"/>
      <c r="AK2087" s="54"/>
      <c r="AL2087" s="54"/>
      <c r="AM2087" s="54"/>
      <c r="AN2087" s="54"/>
      <c r="AO2087" s="54"/>
      <c r="AP2087" s="54"/>
      <c r="AQ2087" s="54"/>
      <c r="AR2087" s="54"/>
      <c r="AS2087" s="54"/>
      <c r="AT2087" s="54"/>
      <c r="AU2087" s="54"/>
      <c r="AV2087" s="54"/>
      <c r="AW2087" s="54"/>
      <c r="AX2087" s="54"/>
      <c r="AY2087" s="54"/>
      <c r="AZ2087" s="54"/>
      <c r="BA2087" s="54"/>
      <c r="BB2087" s="54"/>
      <c r="BC2087" s="56"/>
      <c r="BD2087" s="51"/>
      <c r="BE2087" s="54"/>
      <c r="BF2087" s="54"/>
      <c r="BG2087" s="47"/>
      <c r="BH2087" s="48"/>
      <c r="BI2087" s="48"/>
      <c r="BJ2087" s="48"/>
      <c r="BK2087" s="48"/>
      <c r="BL2087" s="48"/>
      <c r="BM2087" s="48"/>
      <c r="BN2087" s="48"/>
      <c r="BO2087" s="48"/>
      <c r="BP2087" s="48"/>
      <c r="BQ2087" s="48"/>
      <c r="BR2087" s="48"/>
      <c r="BS2087" s="48"/>
      <c r="BT2087" s="48"/>
      <c r="BU2087" s="48"/>
      <c r="BV2087" s="48"/>
      <c r="BW2087" s="48"/>
      <c r="BX2087" s="48"/>
      <c r="BY2087" s="48"/>
      <c r="BZ2087" s="48"/>
      <c r="CA2087" s="48"/>
      <c r="CB2087" s="48"/>
      <c r="CC2087" s="48"/>
      <c r="CD2087" s="48"/>
      <c r="CE2087" s="48"/>
      <c r="CF2087" s="52"/>
      <c r="CG2087" s="52"/>
      <c r="CH2087" s="48"/>
      <c r="CI2087" s="48"/>
      <c r="CJ2087" s="48"/>
      <c r="CK2087" s="48"/>
    </row>
    <row r="2088" spans="1:89" ht="15.75" customHeight="1" x14ac:dyDescent="0.3">
      <c r="A2088" s="47"/>
      <c r="B2088" s="48"/>
      <c r="C2088" s="47"/>
      <c r="D2088" s="48"/>
      <c r="E2088" s="48"/>
      <c r="F2088" s="48"/>
      <c r="G2088" s="48"/>
      <c r="H2088" s="48"/>
      <c r="I2088" s="49"/>
      <c r="J2088" s="47"/>
      <c r="K2088" s="47"/>
      <c r="L2088" s="47"/>
      <c r="M2088" s="47"/>
      <c r="N2088" s="47"/>
      <c r="O2088" s="47"/>
      <c r="P2088" s="47"/>
      <c r="Q2088" s="47"/>
      <c r="R2088" s="47"/>
      <c r="S2088" s="50"/>
      <c r="T2088" s="47"/>
      <c r="U2088" s="47"/>
      <c r="V2088" s="47"/>
      <c r="W2088" s="51"/>
      <c r="X2088" s="51"/>
      <c r="Y2088" s="47"/>
      <c r="Z2088" s="47"/>
      <c r="AA2088" s="47"/>
      <c r="AB2088" s="47"/>
      <c r="AC2088" s="47"/>
      <c r="AD2088" s="47"/>
      <c r="AE2088" s="54"/>
      <c r="AF2088" s="54"/>
      <c r="AG2088" s="55"/>
      <c r="AH2088" s="54"/>
      <c r="AI2088" s="54"/>
      <c r="AJ2088" s="54"/>
      <c r="AK2088" s="54"/>
      <c r="AL2088" s="54"/>
      <c r="AM2088" s="54"/>
      <c r="AN2088" s="54"/>
      <c r="AO2088" s="54"/>
      <c r="AP2088" s="54"/>
      <c r="AQ2088" s="54"/>
      <c r="AR2088" s="54"/>
      <c r="AS2088" s="54"/>
      <c r="AT2088" s="54"/>
      <c r="AU2088" s="54"/>
      <c r="AV2088" s="54"/>
      <c r="AW2088" s="54"/>
      <c r="AX2088" s="54"/>
      <c r="AY2088" s="54"/>
      <c r="AZ2088" s="54"/>
      <c r="BA2088" s="54"/>
      <c r="BB2088" s="54"/>
      <c r="BC2088" s="56"/>
      <c r="BD2088" s="51"/>
      <c r="BE2088" s="54"/>
      <c r="BF2088" s="54"/>
      <c r="BG2088" s="47"/>
      <c r="BH2088" s="48"/>
      <c r="BI2088" s="48"/>
      <c r="BJ2088" s="48"/>
      <c r="BK2088" s="48"/>
      <c r="BL2088" s="48"/>
      <c r="BM2088" s="48"/>
      <c r="BN2088" s="48"/>
      <c r="BO2088" s="48"/>
      <c r="BP2088" s="48"/>
      <c r="BQ2088" s="48"/>
      <c r="BR2088" s="48"/>
      <c r="BS2088" s="48"/>
      <c r="BT2088" s="48"/>
      <c r="BU2088" s="48"/>
      <c r="BV2088" s="48"/>
      <c r="BW2088" s="48"/>
      <c r="BX2088" s="48"/>
      <c r="BY2088" s="48"/>
      <c r="BZ2088" s="48"/>
      <c r="CA2088" s="48"/>
      <c r="CB2088" s="48"/>
      <c r="CC2088" s="48"/>
      <c r="CD2088" s="48"/>
      <c r="CE2088" s="48"/>
      <c r="CF2088" s="52"/>
      <c r="CG2088" s="52"/>
      <c r="CH2088" s="48"/>
      <c r="CI2088" s="48"/>
      <c r="CJ2088" s="48"/>
      <c r="CK2088" s="48"/>
    </row>
    <row r="2089" spans="1:89" ht="15.75" customHeight="1" x14ac:dyDescent="0.3">
      <c r="A2089" s="47"/>
      <c r="B2089" s="48"/>
      <c r="C2089" s="47"/>
      <c r="D2089" s="48"/>
      <c r="E2089" s="48"/>
      <c r="F2089" s="48"/>
      <c r="G2089" s="48"/>
      <c r="H2089" s="48"/>
      <c r="I2089" s="49"/>
      <c r="J2089" s="47"/>
      <c r="K2089" s="47"/>
      <c r="L2089" s="47"/>
      <c r="M2089" s="47"/>
      <c r="N2089" s="47"/>
      <c r="O2089" s="47"/>
      <c r="P2089" s="47"/>
      <c r="Q2089" s="47"/>
      <c r="R2089" s="47"/>
      <c r="S2089" s="50"/>
      <c r="T2089" s="47"/>
      <c r="U2089" s="47"/>
      <c r="V2089" s="47"/>
      <c r="W2089" s="51"/>
      <c r="X2089" s="51"/>
      <c r="Y2089" s="47"/>
      <c r="Z2089" s="47"/>
      <c r="AA2089" s="47"/>
      <c r="AB2089" s="47"/>
      <c r="AC2089" s="47"/>
      <c r="AD2089" s="47"/>
      <c r="AE2089" s="54"/>
      <c r="AF2089" s="54"/>
      <c r="AG2089" s="55"/>
      <c r="AH2089" s="54"/>
      <c r="AI2089" s="54"/>
      <c r="AJ2089" s="54"/>
      <c r="AK2089" s="54"/>
      <c r="AL2089" s="54"/>
      <c r="AM2089" s="54"/>
      <c r="AN2089" s="54"/>
      <c r="AO2089" s="54"/>
      <c r="AP2089" s="54"/>
      <c r="AQ2089" s="54"/>
      <c r="AR2089" s="54"/>
      <c r="AS2089" s="54"/>
      <c r="AT2089" s="54"/>
      <c r="AU2089" s="54"/>
      <c r="AV2089" s="54"/>
      <c r="AW2089" s="54"/>
      <c r="AX2089" s="54"/>
      <c r="AY2089" s="54"/>
      <c r="AZ2089" s="54"/>
      <c r="BA2089" s="54"/>
      <c r="BB2089" s="54"/>
      <c r="BC2089" s="56"/>
      <c r="BD2089" s="51"/>
      <c r="BE2089" s="54"/>
      <c r="BF2089" s="54"/>
      <c r="BG2089" s="47"/>
      <c r="BH2089" s="48"/>
      <c r="BI2089" s="48"/>
      <c r="BJ2089" s="48"/>
      <c r="BK2089" s="48"/>
      <c r="BL2089" s="48"/>
      <c r="BM2089" s="48"/>
      <c r="BN2089" s="48"/>
      <c r="BO2089" s="48"/>
      <c r="BP2089" s="48"/>
      <c r="BQ2089" s="48"/>
      <c r="BR2089" s="48"/>
      <c r="BS2089" s="48"/>
      <c r="BT2089" s="48"/>
      <c r="BU2089" s="48"/>
      <c r="BV2089" s="48"/>
      <c r="BW2089" s="48"/>
      <c r="BX2089" s="48"/>
      <c r="BY2089" s="48"/>
      <c r="BZ2089" s="48"/>
      <c r="CA2089" s="48"/>
      <c r="CB2089" s="48"/>
      <c r="CC2089" s="48"/>
      <c r="CD2089" s="48"/>
      <c r="CE2089" s="48"/>
      <c r="CF2089" s="52"/>
      <c r="CG2089" s="52"/>
      <c r="CH2089" s="48"/>
      <c r="CI2089" s="48"/>
      <c r="CJ2089" s="48"/>
      <c r="CK2089" s="48"/>
    </row>
    <row r="2090" spans="1:89" ht="15.75" customHeight="1" x14ac:dyDescent="0.3">
      <c r="A2090" s="47"/>
      <c r="B2090" s="48"/>
      <c r="C2090" s="47"/>
      <c r="D2090" s="48"/>
      <c r="E2090" s="48"/>
      <c r="F2090" s="48"/>
      <c r="G2090" s="48"/>
      <c r="H2090" s="48"/>
      <c r="I2090" s="49"/>
      <c r="J2090" s="47"/>
      <c r="K2090" s="47"/>
      <c r="L2090" s="47"/>
      <c r="M2090" s="47"/>
      <c r="N2090" s="47"/>
      <c r="O2090" s="47"/>
      <c r="P2090" s="47"/>
      <c r="Q2090" s="47"/>
      <c r="R2090" s="47"/>
      <c r="S2090" s="50"/>
      <c r="T2090" s="47"/>
      <c r="U2090" s="47"/>
      <c r="V2090" s="47"/>
      <c r="W2090" s="51"/>
      <c r="X2090" s="51"/>
      <c r="Y2090" s="47"/>
      <c r="Z2090" s="47"/>
      <c r="AA2090" s="47"/>
      <c r="AB2090" s="47"/>
      <c r="AC2090" s="47"/>
      <c r="AD2090" s="47"/>
      <c r="AE2090" s="54"/>
      <c r="AF2090" s="54"/>
      <c r="AG2090" s="55"/>
      <c r="AH2090" s="54"/>
      <c r="AI2090" s="54"/>
      <c r="AJ2090" s="54"/>
      <c r="AK2090" s="54"/>
      <c r="AL2090" s="54"/>
      <c r="AM2090" s="54"/>
      <c r="AN2090" s="54"/>
      <c r="AO2090" s="54"/>
      <c r="AP2090" s="54"/>
      <c r="AQ2090" s="54"/>
      <c r="AR2090" s="54"/>
      <c r="AS2090" s="54"/>
      <c r="AT2090" s="54"/>
      <c r="AU2090" s="54"/>
      <c r="AV2090" s="54"/>
      <c r="AW2090" s="54"/>
      <c r="AX2090" s="54"/>
      <c r="AY2090" s="54"/>
      <c r="AZ2090" s="54"/>
      <c r="BA2090" s="54"/>
      <c r="BB2090" s="54"/>
      <c r="BC2090" s="56"/>
      <c r="BD2090" s="51"/>
      <c r="BE2090" s="54"/>
      <c r="BF2090" s="54"/>
      <c r="BG2090" s="47"/>
      <c r="BH2090" s="48"/>
      <c r="BI2090" s="48"/>
      <c r="BJ2090" s="48"/>
      <c r="BK2090" s="48"/>
      <c r="BL2090" s="48"/>
      <c r="BM2090" s="48"/>
      <c r="BN2090" s="48"/>
      <c r="BO2090" s="48"/>
      <c r="BP2090" s="48"/>
      <c r="BQ2090" s="48"/>
      <c r="BR2090" s="48"/>
      <c r="BS2090" s="48"/>
      <c r="BT2090" s="48"/>
      <c r="BU2090" s="48"/>
      <c r="BV2090" s="48"/>
      <c r="BW2090" s="48"/>
      <c r="BX2090" s="48"/>
      <c r="BY2090" s="48"/>
      <c r="BZ2090" s="48"/>
      <c r="CA2090" s="48"/>
      <c r="CB2090" s="48"/>
      <c r="CC2090" s="48"/>
      <c r="CD2090" s="48"/>
      <c r="CE2090" s="48"/>
      <c r="CF2090" s="52"/>
      <c r="CG2090" s="52"/>
      <c r="CH2090" s="48"/>
      <c r="CI2090" s="48"/>
      <c r="CJ2090" s="48"/>
      <c r="CK2090" s="48"/>
    </row>
    <row r="2091" spans="1:89" ht="15.75" customHeight="1" x14ac:dyDescent="0.3">
      <c r="A2091" s="47"/>
      <c r="B2091" s="48"/>
      <c r="C2091" s="47"/>
      <c r="D2091" s="48"/>
      <c r="E2091" s="48"/>
      <c r="F2091" s="48"/>
      <c r="G2091" s="48"/>
      <c r="H2091" s="48"/>
      <c r="I2091" s="49"/>
      <c r="J2091" s="47"/>
      <c r="K2091" s="47"/>
      <c r="L2091" s="47"/>
      <c r="M2091" s="47"/>
      <c r="N2091" s="47"/>
      <c r="O2091" s="47"/>
      <c r="P2091" s="47"/>
      <c r="Q2091" s="47"/>
      <c r="R2091" s="47"/>
      <c r="S2091" s="50"/>
      <c r="T2091" s="47"/>
      <c r="U2091" s="47"/>
      <c r="V2091" s="47"/>
      <c r="W2091" s="51"/>
      <c r="X2091" s="51"/>
      <c r="Y2091" s="47"/>
      <c r="Z2091" s="47"/>
      <c r="AA2091" s="47"/>
      <c r="AB2091" s="47"/>
      <c r="AC2091" s="47"/>
      <c r="AD2091" s="47"/>
      <c r="AE2091" s="54"/>
      <c r="AF2091" s="54"/>
      <c r="AG2091" s="55"/>
      <c r="AH2091" s="54"/>
      <c r="AI2091" s="54"/>
      <c r="AJ2091" s="54"/>
      <c r="AK2091" s="54"/>
      <c r="AL2091" s="54"/>
      <c r="AM2091" s="54"/>
      <c r="AN2091" s="54"/>
      <c r="AO2091" s="54"/>
      <c r="AP2091" s="54"/>
      <c r="AQ2091" s="54"/>
      <c r="AR2091" s="54"/>
      <c r="AS2091" s="54"/>
      <c r="AT2091" s="54"/>
      <c r="AU2091" s="54"/>
      <c r="AV2091" s="54"/>
      <c r="AW2091" s="54"/>
      <c r="AX2091" s="54"/>
      <c r="AY2091" s="54"/>
      <c r="AZ2091" s="54"/>
      <c r="BA2091" s="54"/>
      <c r="BB2091" s="54"/>
      <c r="BC2091" s="56"/>
      <c r="BD2091" s="51"/>
      <c r="BE2091" s="54"/>
      <c r="BF2091" s="54"/>
      <c r="BG2091" s="47"/>
      <c r="BH2091" s="48"/>
      <c r="BI2091" s="48"/>
      <c r="BJ2091" s="48"/>
      <c r="BK2091" s="48"/>
      <c r="BL2091" s="48"/>
      <c r="BM2091" s="48"/>
      <c r="BN2091" s="48"/>
      <c r="BO2091" s="48"/>
      <c r="BP2091" s="48"/>
      <c r="BQ2091" s="48"/>
      <c r="BR2091" s="48"/>
      <c r="BS2091" s="48"/>
      <c r="BT2091" s="48"/>
      <c r="BU2091" s="48"/>
      <c r="BV2091" s="48"/>
      <c r="BW2091" s="48"/>
      <c r="BX2091" s="48"/>
      <c r="BY2091" s="48"/>
      <c r="BZ2091" s="48"/>
      <c r="CA2091" s="48"/>
      <c r="CB2091" s="48"/>
      <c r="CC2091" s="48"/>
      <c r="CD2091" s="48"/>
      <c r="CE2091" s="48"/>
      <c r="CF2091" s="52"/>
      <c r="CG2091" s="52"/>
      <c r="CH2091" s="48"/>
      <c r="CI2091" s="48"/>
      <c r="CJ2091" s="48"/>
      <c r="CK2091" s="48"/>
    </row>
    <row r="2092" spans="1:89" ht="15.75" customHeight="1" x14ac:dyDescent="0.3">
      <c r="A2092" s="47"/>
      <c r="B2092" s="48"/>
      <c r="C2092" s="47"/>
      <c r="D2092" s="48"/>
      <c r="E2092" s="48"/>
      <c r="F2092" s="48"/>
      <c r="G2092" s="48"/>
      <c r="H2092" s="48"/>
      <c r="I2092" s="49"/>
      <c r="J2092" s="47"/>
      <c r="K2092" s="47"/>
      <c r="L2092" s="47"/>
      <c r="M2092" s="47"/>
      <c r="N2092" s="47"/>
      <c r="O2092" s="47"/>
      <c r="P2092" s="47"/>
      <c r="Q2092" s="47"/>
      <c r="R2092" s="47"/>
      <c r="S2092" s="50"/>
      <c r="T2092" s="47"/>
      <c r="U2092" s="47"/>
      <c r="V2092" s="47"/>
      <c r="W2092" s="51"/>
      <c r="X2092" s="51"/>
      <c r="Y2092" s="47"/>
      <c r="Z2092" s="47"/>
      <c r="AA2092" s="47"/>
      <c r="AB2092" s="47"/>
      <c r="AC2092" s="47"/>
      <c r="AD2092" s="47"/>
      <c r="AE2092" s="54"/>
      <c r="AF2092" s="54"/>
      <c r="AG2092" s="55"/>
      <c r="AH2092" s="54"/>
      <c r="AI2092" s="54"/>
      <c r="AJ2092" s="54"/>
      <c r="AK2092" s="54"/>
      <c r="AL2092" s="54"/>
      <c r="AM2092" s="54"/>
      <c r="AN2092" s="54"/>
      <c r="AO2092" s="54"/>
      <c r="AP2092" s="54"/>
      <c r="AQ2092" s="54"/>
      <c r="AR2092" s="54"/>
      <c r="AS2092" s="54"/>
      <c r="AT2092" s="54"/>
      <c r="AU2092" s="54"/>
      <c r="AV2092" s="54"/>
      <c r="AW2092" s="54"/>
      <c r="AX2092" s="54"/>
      <c r="AY2092" s="54"/>
      <c r="AZ2092" s="54"/>
      <c r="BA2092" s="54"/>
      <c r="BB2092" s="54"/>
      <c r="BC2092" s="56"/>
      <c r="BD2092" s="51"/>
      <c r="BE2092" s="54"/>
      <c r="BF2092" s="54"/>
      <c r="BG2092" s="47"/>
      <c r="BH2092" s="48"/>
      <c r="BI2092" s="48"/>
      <c r="BJ2092" s="48"/>
      <c r="BK2092" s="48"/>
      <c r="BL2092" s="48"/>
      <c r="BM2092" s="48"/>
      <c r="BN2092" s="48"/>
      <c r="BO2092" s="48"/>
      <c r="BP2092" s="48"/>
      <c r="BQ2092" s="48"/>
      <c r="BR2092" s="48"/>
      <c r="BS2092" s="48"/>
      <c r="BT2092" s="48"/>
      <c r="BU2092" s="48"/>
      <c r="BV2092" s="48"/>
      <c r="BW2092" s="48"/>
      <c r="BX2092" s="48"/>
      <c r="BY2092" s="48"/>
      <c r="BZ2092" s="48"/>
      <c r="CA2092" s="48"/>
      <c r="CB2092" s="48"/>
      <c r="CC2092" s="48"/>
      <c r="CD2092" s="48"/>
      <c r="CE2092" s="48"/>
      <c r="CF2092" s="52"/>
      <c r="CG2092" s="52"/>
      <c r="CH2092" s="48"/>
      <c r="CI2092" s="48"/>
      <c r="CJ2092" s="48"/>
      <c r="CK2092" s="48"/>
    </row>
    <row r="2093" spans="1:89" ht="15.75" customHeight="1" x14ac:dyDescent="0.3">
      <c r="A2093" s="47"/>
      <c r="B2093" s="48"/>
      <c r="C2093" s="47"/>
      <c r="D2093" s="48"/>
      <c r="E2093" s="48"/>
      <c r="F2093" s="48"/>
      <c r="G2093" s="48"/>
      <c r="H2093" s="48"/>
      <c r="I2093" s="49"/>
      <c r="J2093" s="47"/>
      <c r="K2093" s="47"/>
      <c r="L2093" s="47"/>
      <c r="M2093" s="47"/>
      <c r="N2093" s="47"/>
      <c r="O2093" s="47"/>
      <c r="P2093" s="47"/>
      <c r="Q2093" s="47"/>
      <c r="R2093" s="47"/>
      <c r="S2093" s="50"/>
      <c r="T2093" s="47"/>
      <c r="U2093" s="47"/>
      <c r="V2093" s="47"/>
      <c r="W2093" s="51"/>
      <c r="X2093" s="51"/>
      <c r="Y2093" s="47"/>
      <c r="Z2093" s="47"/>
      <c r="AA2093" s="47"/>
      <c r="AB2093" s="47"/>
      <c r="AC2093" s="47"/>
      <c r="AD2093" s="47"/>
      <c r="AE2093" s="54"/>
      <c r="AF2093" s="54"/>
      <c r="AG2093" s="55"/>
      <c r="AH2093" s="54"/>
      <c r="AI2093" s="54"/>
      <c r="AJ2093" s="54"/>
      <c r="AK2093" s="54"/>
      <c r="AL2093" s="54"/>
      <c r="AM2093" s="54"/>
      <c r="AN2093" s="54"/>
      <c r="AO2093" s="54"/>
      <c r="AP2093" s="54"/>
      <c r="AQ2093" s="54"/>
      <c r="AR2093" s="54"/>
      <c r="AS2093" s="54"/>
      <c r="AT2093" s="54"/>
      <c r="AU2093" s="54"/>
      <c r="AV2093" s="54"/>
      <c r="AW2093" s="54"/>
      <c r="AX2093" s="54"/>
      <c r="AY2093" s="54"/>
      <c r="AZ2093" s="54"/>
      <c r="BA2093" s="54"/>
      <c r="BB2093" s="54"/>
      <c r="BC2093" s="56"/>
      <c r="BD2093" s="51"/>
      <c r="BE2093" s="54"/>
      <c r="BF2093" s="54"/>
      <c r="BG2093" s="47"/>
      <c r="BH2093" s="48"/>
      <c r="BI2093" s="48"/>
      <c r="BJ2093" s="48"/>
      <c r="BK2093" s="48"/>
      <c r="BL2093" s="48"/>
      <c r="BM2093" s="48"/>
      <c r="BN2093" s="48"/>
      <c r="BO2093" s="48"/>
      <c r="BP2093" s="48"/>
      <c r="BQ2093" s="48"/>
      <c r="BR2093" s="48"/>
      <c r="BS2093" s="48"/>
      <c r="BT2093" s="48"/>
      <c r="BU2093" s="48"/>
      <c r="BV2093" s="48"/>
      <c r="BW2093" s="48"/>
      <c r="BX2093" s="48"/>
      <c r="BY2093" s="48"/>
      <c r="BZ2093" s="48"/>
      <c r="CA2093" s="48"/>
      <c r="CB2093" s="48"/>
      <c r="CC2093" s="48"/>
      <c r="CD2093" s="48"/>
      <c r="CE2093" s="48"/>
      <c r="CF2093" s="52"/>
      <c r="CG2093" s="52"/>
      <c r="CH2093" s="48"/>
      <c r="CI2093" s="48"/>
      <c r="CJ2093" s="48"/>
      <c r="CK2093" s="48"/>
    </row>
    <row r="2094" spans="1:89" ht="15.75" customHeight="1" x14ac:dyDescent="0.3">
      <c r="A2094" s="47"/>
      <c r="B2094" s="48"/>
      <c r="C2094" s="47"/>
      <c r="D2094" s="48"/>
      <c r="E2094" s="48"/>
      <c r="F2094" s="48"/>
      <c r="G2094" s="48"/>
      <c r="H2094" s="48"/>
      <c r="I2094" s="49"/>
      <c r="J2094" s="47"/>
      <c r="K2094" s="47"/>
      <c r="L2094" s="47"/>
      <c r="M2094" s="47"/>
      <c r="N2094" s="47"/>
      <c r="O2094" s="47"/>
      <c r="P2094" s="47"/>
      <c r="Q2094" s="47"/>
      <c r="R2094" s="47"/>
      <c r="S2094" s="50"/>
      <c r="T2094" s="47"/>
      <c r="U2094" s="47"/>
      <c r="V2094" s="47"/>
      <c r="W2094" s="51"/>
      <c r="X2094" s="51"/>
      <c r="Y2094" s="47"/>
      <c r="Z2094" s="47"/>
      <c r="AA2094" s="47"/>
      <c r="AB2094" s="47"/>
      <c r="AC2094" s="47"/>
      <c r="AD2094" s="47"/>
      <c r="AE2094" s="54"/>
      <c r="AF2094" s="54"/>
      <c r="AG2094" s="55"/>
      <c r="AH2094" s="54"/>
      <c r="AI2094" s="54"/>
      <c r="AJ2094" s="54"/>
      <c r="AK2094" s="54"/>
      <c r="AL2094" s="54"/>
      <c r="AM2094" s="54"/>
      <c r="AN2094" s="54"/>
      <c r="AO2094" s="54"/>
      <c r="AP2094" s="54"/>
      <c r="AQ2094" s="54"/>
      <c r="AR2094" s="54"/>
      <c r="AS2094" s="54"/>
      <c r="AT2094" s="54"/>
      <c r="AU2094" s="54"/>
      <c r="AV2094" s="54"/>
      <c r="AW2094" s="54"/>
      <c r="AX2094" s="54"/>
      <c r="AY2094" s="54"/>
      <c r="AZ2094" s="54"/>
      <c r="BA2094" s="54"/>
      <c r="BB2094" s="54"/>
      <c r="BC2094" s="56"/>
      <c r="BD2094" s="51"/>
      <c r="BE2094" s="54"/>
      <c r="BF2094" s="54"/>
      <c r="BG2094" s="47"/>
      <c r="BH2094" s="48"/>
      <c r="BI2094" s="48"/>
      <c r="BJ2094" s="48"/>
      <c r="BK2094" s="48"/>
      <c r="BL2094" s="48"/>
      <c r="BM2094" s="48"/>
      <c r="BN2094" s="48"/>
      <c r="BO2094" s="48"/>
      <c r="BP2094" s="48"/>
      <c r="BQ2094" s="48"/>
      <c r="BR2094" s="48"/>
      <c r="BS2094" s="48"/>
      <c r="BT2094" s="48"/>
      <c r="BU2094" s="48"/>
      <c r="BV2094" s="48"/>
      <c r="BW2094" s="48"/>
      <c r="BX2094" s="48"/>
      <c r="BY2094" s="48"/>
      <c r="BZ2094" s="48"/>
      <c r="CA2094" s="48"/>
      <c r="CB2094" s="48"/>
      <c r="CC2094" s="48"/>
      <c r="CD2094" s="48"/>
      <c r="CE2094" s="48"/>
      <c r="CF2094" s="52"/>
      <c r="CG2094" s="52"/>
      <c r="CH2094" s="48"/>
      <c r="CI2094" s="48"/>
      <c r="CJ2094" s="48"/>
      <c r="CK2094" s="48"/>
    </row>
    <row r="2095" spans="1:89" ht="15.75" customHeight="1" x14ac:dyDescent="0.3">
      <c r="A2095" s="47"/>
      <c r="B2095" s="48"/>
      <c r="C2095" s="47"/>
      <c r="D2095" s="48"/>
      <c r="E2095" s="48"/>
      <c r="F2095" s="48"/>
      <c r="G2095" s="48"/>
      <c r="H2095" s="48"/>
      <c r="I2095" s="49"/>
      <c r="J2095" s="47"/>
      <c r="K2095" s="47"/>
      <c r="L2095" s="47"/>
      <c r="M2095" s="47"/>
      <c r="N2095" s="47"/>
      <c r="O2095" s="47"/>
      <c r="P2095" s="47"/>
      <c r="Q2095" s="47"/>
      <c r="R2095" s="47"/>
      <c r="S2095" s="50"/>
      <c r="T2095" s="47"/>
      <c r="U2095" s="47"/>
      <c r="V2095" s="47"/>
      <c r="W2095" s="51"/>
      <c r="X2095" s="51"/>
      <c r="Y2095" s="47"/>
      <c r="Z2095" s="47"/>
      <c r="AA2095" s="47"/>
      <c r="AB2095" s="47"/>
      <c r="AC2095" s="47"/>
      <c r="AD2095" s="47"/>
      <c r="AE2095" s="54"/>
      <c r="AF2095" s="54"/>
      <c r="AG2095" s="55"/>
      <c r="AH2095" s="54"/>
      <c r="AI2095" s="54"/>
      <c r="AJ2095" s="54"/>
      <c r="AK2095" s="54"/>
      <c r="AL2095" s="54"/>
      <c r="AM2095" s="54"/>
      <c r="AN2095" s="54"/>
      <c r="AO2095" s="54"/>
      <c r="AP2095" s="54"/>
      <c r="AQ2095" s="54"/>
      <c r="AR2095" s="54"/>
      <c r="AS2095" s="54"/>
      <c r="AT2095" s="54"/>
      <c r="AU2095" s="54"/>
      <c r="AV2095" s="54"/>
      <c r="AW2095" s="54"/>
      <c r="AX2095" s="54"/>
      <c r="AY2095" s="54"/>
      <c r="AZ2095" s="54"/>
      <c r="BA2095" s="54"/>
      <c r="BB2095" s="54"/>
      <c r="BC2095" s="56"/>
      <c r="BD2095" s="51"/>
      <c r="BE2095" s="54"/>
      <c r="BF2095" s="54"/>
      <c r="BG2095" s="47"/>
      <c r="BH2095" s="48"/>
      <c r="BI2095" s="48"/>
      <c r="BJ2095" s="48"/>
      <c r="BK2095" s="48"/>
      <c r="BL2095" s="48"/>
      <c r="BM2095" s="48"/>
      <c r="BN2095" s="48"/>
      <c r="BO2095" s="48"/>
      <c r="BP2095" s="48"/>
      <c r="BQ2095" s="48"/>
      <c r="BR2095" s="48"/>
      <c r="BS2095" s="48"/>
      <c r="BT2095" s="48"/>
      <c r="BU2095" s="48"/>
      <c r="BV2095" s="48"/>
      <c r="BW2095" s="48"/>
      <c r="BX2095" s="48"/>
      <c r="BY2095" s="48"/>
      <c r="BZ2095" s="48"/>
      <c r="CA2095" s="48"/>
      <c r="CB2095" s="48"/>
      <c r="CC2095" s="48"/>
      <c r="CD2095" s="48"/>
      <c r="CE2095" s="48"/>
      <c r="CF2095" s="52"/>
      <c r="CG2095" s="52"/>
      <c r="CH2095" s="48"/>
      <c r="CI2095" s="48"/>
      <c r="CJ2095" s="48"/>
      <c r="CK2095" s="48"/>
    </row>
    <row r="2096" spans="1:89" ht="15.75" customHeight="1" x14ac:dyDescent="0.3">
      <c r="A2096" s="47"/>
      <c r="B2096" s="48"/>
      <c r="C2096" s="47"/>
      <c r="D2096" s="48"/>
      <c r="E2096" s="48"/>
      <c r="F2096" s="48"/>
      <c r="G2096" s="48"/>
      <c r="H2096" s="48"/>
      <c r="I2096" s="49"/>
      <c r="J2096" s="47"/>
      <c r="K2096" s="47"/>
      <c r="L2096" s="47"/>
      <c r="M2096" s="47"/>
      <c r="N2096" s="47"/>
      <c r="O2096" s="47"/>
      <c r="P2096" s="47"/>
      <c r="Q2096" s="47"/>
      <c r="R2096" s="47"/>
      <c r="S2096" s="50"/>
      <c r="T2096" s="47"/>
      <c r="U2096" s="47"/>
      <c r="V2096" s="47"/>
      <c r="W2096" s="51"/>
      <c r="X2096" s="51"/>
      <c r="Y2096" s="47"/>
      <c r="Z2096" s="47"/>
      <c r="AA2096" s="47"/>
      <c r="AB2096" s="47"/>
      <c r="AC2096" s="47"/>
      <c r="AD2096" s="47"/>
      <c r="AE2096" s="54"/>
      <c r="AF2096" s="54"/>
      <c r="AG2096" s="55"/>
      <c r="AH2096" s="54"/>
      <c r="AI2096" s="54"/>
      <c r="AJ2096" s="54"/>
      <c r="AK2096" s="54"/>
      <c r="AL2096" s="54"/>
      <c r="AM2096" s="54"/>
      <c r="AN2096" s="54"/>
      <c r="AO2096" s="54"/>
      <c r="AP2096" s="54"/>
      <c r="AQ2096" s="54"/>
      <c r="AR2096" s="54"/>
      <c r="AS2096" s="54"/>
      <c r="AT2096" s="54"/>
      <c r="AU2096" s="54"/>
      <c r="AV2096" s="54"/>
      <c r="AW2096" s="54"/>
      <c r="AX2096" s="54"/>
      <c r="AY2096" s="54"/>
      <c r="AZ2096" s="54"/>
      <c r="BA2096" s="54"/>
      <c r="BB2096" s="54"/>
      <c r="BC2096" s="56"/>
      <c r="BD2096" s="51"/>
      <c r="BE2096" s="54"/>
      <c r="BF2096" s="54"/>
      <c r="BG2096" s="47"/>
      <c r="BH2096" s="48"/>
      <c r="BI2096" s="48"/>
      <c r="BJ2096" s="48"/>
      <c r="BK2096" s="48"/>
      <c r="BL2096" s="48"/>
      <c r="BM2096" s="48"/>
      <c r="BN2096" s="48"/>
      <c r="BO2096" s="48"/>
      <c r="BP2096" s="48"/>
      <c r="BQ2096" s="48"/>
      <c r="BR2096" s="48"/>
      <c r="BS2096" s="48"/>
      <c r="BT2096" s="48"/>
      <c r="BU2096" s="48"/>
      <c r="BV2096" s="48"/>
      <c r="BW2096" s="48"/>
      <c r="BX2096" s="48"/>
      <c r="BY2096" s="48"/>
      <c r="BZ2096" s="48"/>
      <c r="CA2096" s="48"/>
      <c r="CB2096" s="48"/>
      <c r="CC2096" s="48"/>
      <c r="CD2096" s="48"/>
      <c r="CE2096" s="48"/>
      <c r="CF2096" s="52"/>
      <c r="CG2096" s="52"/>
      <c r="CH2096" s="48"/>
      <c r="CI2096" s="48"/>
      <c r="CJ2096" s="48"/>
      <c r="CK2096" s="48"/>
    </row>
    <row r="2097" spans="1:89" ht="15.75" customHeight="1" x14ac:dyDescent="0.3">
      <c r="A2097" s="47"/>
      <c r="B2097" s="48"/>
      <c r="C2097" s="47"/>
      <c r="D2097" s="48"/>
      <c r="E2097" s="48"/>
      <c r="F2097" s="48"/>
      <c r="G2097" s="48"/>
      <c r="H2097" s="48"/>
      <c r="I2097" s="49"/>
      <c r="J2097" s="47"/>
      <c r="K2097" s="47"/>
      <c r="L2097" s="47"/>
      <c r="M2097" s="47"/>
      <c r="N2097" s="47"/>
      <c r="O2097" s="47"/>
      <c r="P2097" s="47"/>
      <c r="Q2097" s="47"/>
      <c r="R2097" s="47"/>
      <c r="S2097" s="50"/>
      <c r="T2097" s="47"/>
      <c r="U2097" s="47"/>
      <c r="V2097" s="47"/>
      <c r="W2097" s="51"/>
      <c r="X2097" s="51"/>
      <c r="Y2097" s="47"/>
      <c r="Z2097" s="47"/>
      <c r="AA2097" s="47"/>
      <c r="AB2097" s="47"/>
      <c r="AC2097" s="47"/>
      <c r="AD2097" s="47"/>
      <c r="AE2097" s="54"/>
      <c r="AF2097" s="54"/>
      <c r="AG2097" s="55"/>
      <c r="AH2097" s="54"/>
      <c r="AI2097" s="54"/>
      <c r="AJ2097" s="54"/>
      <c r="AK2097" s="54"/>
      <c r="AL2097" s="54"/>
      <c r="AM2097" s="54"/>
      <c r="AN2097" s="54"/>
      <c r="AO2097" s="54"/>
      <c r="AP2097" s="54"/>
      <c r="AQ2097" s="54"/>
      <c r="AR2097" s="54"/>
      <c r="AS2097" s="54"/>
      <c r="AT2097" s="54"/>
      <c r="AU2097" s="54"/>
      <c r="AV2097" s="54"/>
      <c r="AW2097" s="54"/>
      <c r="AX2097" s="54"/>
      <c r="AY2097" s="54"/>
      <c r="AZ2097" s="54"/>
      <c r="BA2097" s="54"/>
      <c r="BB2097" s="54"/>
      <c r="BC2097" s="56"/>
      <c r="BD2097" s="51"/>
      <c r="BE2097" s="54"/>
      <c r="BF2097" s="54"/>
      <c r="BG2097" s="47"/>
      <c r="BH2097" s="48"/>
      <c r="BI2097" s="48"/>
      <c r="BJ2097" s="48"/>
      <c r="BK2097" s="48"/>
      <c r="BL2097" s="48"/>
      <c r="BM2097" s="48"/>
      <c r="BN2097" s="48"/>
      <c r="BO2097" s="48"/>
      <c r="BP2097" s="48"/>
      <c r="BQ2097" s="48"/>
      <c r="BR2097" s="48"/>
      <c r="BS2097" s="48"/>
      <c r="BT2097" s="48"/>
      <c r="BU2097" s="48"/>
      <c r="BV2097" s="48"/>
      <c r="BW2097" s="48"/>
      <c r="BX2097" s="48"/>
      <c r="BY2097" s="48"/>
      <c r="BZ2097" s="48"/>
      <c r="CA2097" s="48"/>
      <c r="CB2097" s="48"/>
      <c r="CC2097" s="48"/>
      <c r="CD2097" s="48"/>
      <c r="CE2097" s="48"/>
      <c r="CF2097" s="52"/>
      <c r="CG2097" s="52"/>
      <c r="CH2097" s="48"/>
      <c r="CI2097" s="48"/>
      <c r="CJ2097" s="48"/>
      <c r="CK2097" s="48"/>
    </row>
    <row r="2098" spans="1:89" ht="15.75" customHeight="1" x14ac:dyDescent="0.3">
      <c r="A2098" s="47"/>
      <c r="B2098" s="48"/>
      <c r="C2098" s="47"/>
      <c r="D2098" s="48"/>
      <c r="E2098" s="48"/>
      <c r="F2098" s="48"/>
      <c r="G2098" s="48"/>
      <c r="H2098" s="48"/>
      <c r="I2098" s="49"/>
      <c r="J2098" s="47"/>
      <c r="K2098" s="47"/>
      <c r="L2098" s="47"/>
      <c r="M2098" s="47"/>
      <c r="N2098" s="47"/>
      <c r="O2098" s="47"/>
      <c r="P2098" s="47"/>
      <c r="Q2098" s="47"/>
      <c r="R2098" s="47"/>
      <c r="S2098" s="50"/>
      <c r="T2098" s="47"/>
      <c r="U2098" s="47"/>
      <c r="V2098" s="47"/>
      <c r="W2098" s="51"/>
      <c r="X2098" s="51"/>
      <c r="Y2098" s="47"/>
      <c r="Z2098" s="47"/>
      <c r="AA2098" s="47"/>
      <c r="AB2098" s="47"/>
      <c r="AC2098" s="47"/>
      <c r="AD2098" s="47"/>
      <c r="AE2098" s="54"/>
      <c r="AF2098" s="54"/>
      <c r="AG2098" s="55"/>
      <c r="AH2098" s="54"/>
      <c r="AI2098" s="54"/>
      <c r="AJ2098" s="54"/>
      <c r="AK2098" s="54"/>
      <c r="AL2098" s="54"/>
      <c r="AM2098" s="54"/>
      <c r="AN2098" s="54"/>
      <c r="AO2098" s="54"/>
      <c r="AP2098" s="54"/>
      <c r="AQ2098" s="54"/>
      <c r="AR2098" s="54"/>
      <c r="AS2098" s="54"/>
      <c r="AT2098" s="54"/>
      <c r="AU2098" s="54"/>
      <c r="AV2098" s="54"/>
      <c r="AW2098" s="54"/>
      <c r="AX2098" s="54"/>
      <c r="AY2098" s="54"/>
      <c r="AZ2098" s="54"/>
      <c r="BA2098" s="54"/>
      <c r="BB2098" s="54"/>
      <c r="BC2098" s="56"/>
      <c r="BD2098" s="51"/>
      <c r="BE2098" s="54"/>
      <c r="BF2098" s="54"/>
      <c r="BG2098" s="47"/>
      <c r="BH2098" s="48"/>
      <c r="BI2098" s="48"/>
      <c r="BJ2098" s="48"/>
      <c r="BK2098" s="48"/>
      <c r="BL2098" s="48"/>
      <c r="BM2098" s="48"/>
      <c r="BN2098" s="48"/>
      <c r="BO2098" s="48"/>
      <c r="BP2098" s="48"/>
      <c r="BQ2098" s="48"/>
      <c r="BR2098" s="48"/>
      <c r="BS2098" s="48"/>
      <c r="BT2098" s="48"/>
      <c r="BU2098" s="48"/>
      <c r="BV2098" s="48"/>
      <c r="BW2098" s="48"/>
      <c r="BX2098" s="48"/>
      <c r="BY2098" s="48"/>
      <c r="BZ2098" s="48"/>
      <c r="CA2098" s="48"/>
      <c r="CB2098" s="48"/>
      <c r="CC2098" s="48"/>
      <c r="CD2098" s="48"/>
      <c r="CE2098" s="48"/>
      <c r="CF2098" s="52"/>
      <c r="CG2098" s="52"/>
      <c r="CH2098" s="48"/>
      <c r="CI2098" s="48"/>
      <c r="CJ2098" s="48"/>
      <c r="CK2098" s="48"/>
    </row>
    <row r="2099" spans="1:89" ht="15.75" customHeight="1" x14ac:dyDescent="0.3">
      <c r="A2099" s="47"/>
      <c r="B2099" s="48"/>
      <c r="C2099" s="47"/>
      <c r="D2099" s="48"/>
      <c r="E2099" s="48"/>
      <c r="F2099" s="48"/>
      <c r="G2099" s="48"/>
      <c r="H2099" s="48"/>
      <c r="I2099" s="49"/>
      <c r="J2099" s="47"/>
      <c r="K2099" s="47"/>
      <c r="L2099" s="47"/>
      <c r="M2099" s="47"/>
      <c r="N2099" s="47"/>
      <c r="O2099" s="47"/>
      <c r="P2099" s="47"/>
      <c r="Q2099" s="47"/>
      <c r="R2099" s="47"/>
      <c r="S2099" s="50"/>
      <c r="T2099" s="47"/>
      <c r="U2099" s="47"/>
      <c r="V2099" s="47"/>
      <c r="W2099" s="51"/>
      <c r="X2099" s="51"/>
      <c r="Y2099" s="47"/>
      <c r="Z2099" s="47"/>
      <c r="AA2099" s="47"/>
      <c r="AB2099" s="47"/>
      <c r="AC2099" s="47"/>
      <c r="AD2099" s="47"/>
      <c r="AE2099" s="54"/>
      <c r="AF2099" s="54"/>
      <c r="AG2099" s="55"/>
      <c r="AH2099" s="54"/>
      <c r="AI2099" s="54"/>
      <c r="AJ2099" s="54"/>
      <c r="AK2099" s="54"/>
      <c r="AL2099" s="54"/>
      <c r="AM2099" s="54"/>
      <c r="AN2099" s="54"/>
      <c r="AO2099" s="54"/>
      <c r="AP2099" s="54"/>
      <c r="AQ2099" s="54"/>
      <c r="AR2099" s="54"/>
      <c r="AS2099" s="54"/>
      <c r="AT2099" s="54"/>
      <c r="AU2099" s="54"/>
      <c r="AV2099" s="54"/>
      <c r="AW2099" s="54"/>
      <c r="AX2099" s="54"/>
      <c r="AY2099" s="54"/>
      <c r="AZ2099" s="54"/>
      <c r="BA2099" s="54"/>
      <c r="BB2099" s="54"/>
      <c r="BC2099" s="56"/>
      <c r="BD2099" s="51"/>
      <c r="BE2099" s="54"/>
      <c r="BF2099" s="54"/>
      <c r="BG2099" s="47"/>
      <c r="BH2099" s="48"/>
      <c r="BI2099" s="48"/>
      <c r="BJ2099" s="48"/>
      <c r="BK2099" s="48"/>
      <c r="BL2099" s="48"/>
      <c r="BM2099" s="48"/>
      <c r="BN2099" s="48"/>
      <c r="BO2099" s="48"/>
      <c r="BP2099" s="48"/>
      <c r="BQ2099" s="48"/>
      <c r="BR2099" s="48"/>
      <c r="BS2099" s="48"/>
      <c r="BT2099" s="48"/>
      <c r="BU2099" s="48"/>
      <c r="BV2099" s="48"/>
      <c r="BW2099" s="48"/>
      <c r="BX2099" s="48"/>
      <c r="BY2099" s="48"/>
      <c r="BZ2099" s="48"/>
      <c r="CA2099" s="48"/>
      <c r="CB2099" s="48"/>
      <c r="CC2099" s="48"/>
      <c r="CD2099" s="48"/>
      <c r="CE2099" s="48"/>
      <c r="CF2099" s="52"/>
      <c r="CG2099" s="52"/>
      <c r="CH2099" s="48"/>
      <c r="CI2099" s="48"/>
      <c r="CJ2099" s="48"/>
      <c r="CK2099" s="48"/>
    </row>
    <row r="2100" spans="1:89" ht="15.75" customHeight="1" x14ac:dyDescent="0.3">
      <c r="A2100" s="47"/>
      <c r="B2100" s="48"/>
      <c r="C2100" s="47"/>
      <c r="D2100" s="48"/>
      <c r="E2100" s="48"/>
      <c r="F2100" s="48"/>
      <c r="G2100" s="48"/>
      <c r="H2100" s="48"/>
      <c r="I2100" s="49"/>
      <c r="J2100" s="47"/>
      <c r="K2100" s="47"/>
      <c r="L2100" s="47"/>
      <c r="M2100" s="47"/>
      <c r="N2100" s="47"/>
      <c r="O2100" s="47"/>
      <c r="P2100" s="47"/>
      <c r="Q2100" s="47"/>
      <c r="R2100" s="47"/>
      <c r="S2100" s="50"/>
      <c r="T2100" s="47"/>
      <c r="U2100" s="47"/>
      <c r="V2100" s="47"/>
      <c r="W2100" s="51"/>
      <c r="X2100" s="51"/>
      <c r="Y2100" s="47"/>
      <c r="Z2100" s="47"/>
      <c r="AA2100" s="47"/>
      <c r="AB2100" s="47"/>
      <c r="AC2100" s="47"/>
      <c r="AD2100" s="47"/>
      <c r="AE2100" s="54"/>
      <c r="AF2100" s="54"/>
      <c r="AG2100" s="55"/>
      <c r="AH2100" s="54"/>
      <c r="AI2100" s="54"/>
      <c r="AJ2100" s="54"/>
      <c r="AK2100" s="54"/>
      <c r="AL2100" s="54"/>
      <c r="AM2100" s="54"/>
      <c r="AN2100" s="54"/>
      <c r="AO2100" s="54"/>
      <c r="AP2100" s="54"/>
      <c r="AQ2100" s="54"/>
      <c r="AR2100" s="54"/>
      <c r="AS2100" s="54"/>
      <c r="AT2100" s="54"/>
      <c r="AU2100" s="54"/>
      <c r="AV2100" s="54"/>
      <c r="AW2100" s="54"/>
      <c r="AX2100" s="54"/>
      <c r="AY2100" s="54"/>
      <c r="AZ2100" s="54"/>
      <c r="BA2100" s="54"/>
      <c r="BB2100" s="54"/>
      <c r="BC2100" s="56"/>
      <c r="BD2100" s="51"/>
      <c r="BE2100" s="54"/>
      <c r="BF2100" s="54"/>
      <c r="BG2100" s="47"/>
      <c r="BH2100" s="48"/>
      <c r="BI2100" s="48"/>
      <c r="BJ2100" s="48"/>
      <c r="BK2100" s="48"/>
      <c r="BL2100" s="48"/>
      <c r="BM2100" s="48"/>
      <c r="BN2100" s="48"/>
      <c r="BO2100" s="48"/>
      <c r="BP2100" s="48"/>
      <c r="BQ2100" s="48"/>
      <c r="BR2100" s="48"/>
      <c r="BS2100" s="48"/>
      <c r="BT2100" s="48"/>
      <c r="BU2100" s="48"/>
      <c r="BV2100" s="48"/>
      <c r="BW2100" s="48"/>
      <c r="BX2100" s="48"/>
      <c r="BY2100" s="48"/>
      <c r="BZ2100" s="48"/>
      <c r="CA2100" s="48"/>
      <c r="CB2100" s="48"/>
      <c r="CC2100" s="48"/>
      <c r="CD2100" s="48"/>
      <c r="CE2100" s="48"/>
      <c r="CF2100" s="52"/>
      <c r="CG2100" s="52"/>
      <c r="CH2100" s="48"/>
      <c r="CI2100" s="48"/>
      <c r="CJ2100" s="48"/>
      <c r="CK2100" s="48"/>
    </row>
    <row r="2101" spans="1:89" ht="15.75" customHeight="1" x14ac:dyDescent="0.3">
      <c r="A2101" s="47"/>
      <c r="B2101" s="48"/>
      <c r="C2101" s="47"/>
      <c r="D2101" s="48"/>
      <c r="E2101" s="48"/>
      <c r="F2101" s="48"/>
      <c r="G2101" s="48"/>
      <c r="H2101" s="48"/>
      <c r="I2101" s="49"/>
      <c r="J2101" s="47"/>
      <c r="K2101" s="47"/>
      <c r="L2101" s="47"/>
      <c r="M2101" s="47"/>
      <c r="N2101" s="47"/>
      <c r="O2101" s="47"/>
      <c r="P2101" s="47"/>
      <c r="Q2101" s="47"/>
      <c r="R2101" s="47"/>
      <c r="S2101" s="50"/>
      <c r="T2101" s="47"/>
      <c r="U2101" s="47"/>
      <c r="V2101" s="47"/>
      <c r="W2101" s="51"/>
      <c r="X2101" s="51"/>
      <c r="Y2101" s="47"/>
      <c r="Z2101" s="47"/>
      <c r="AA2101" s="47"/>
      <c r="AB2101" s="47"/>
      <c r="AC2101" s="47"/>
      <c r="AD2101" s="47"/>
      <c r="AE2101" s="54"/>
      <c r="AF2101" s="54"/>
      <c r="AG2101" s="55"/>
      <c r="AH2101" s="54"/>
      <c r="AI2101" s="54"/>
      <c r="AJ2101" s="54"/>
      <c r="AK2101" s="54"/>
      <c r="AL2101" s="54"/>
      <c r="AM2101" s="54"/>
      <c r="AN2101" s="54"/>
      <c r="AO2101" s="54"/>
      <c r="AP2101" s="54"/>
      <c r="AQ2101" s="54"/>
      <c r="AR2101" s="54"/>
      <c r="AS2101" s="54"/>
      <c r="AT2101" s="54"/>
      <c r="AU2101" s="54"/>
      <c r="AV2101" s="54"/>
      <c r="AW2101" s="54"/>
      <c r="AX2101" s="54"/>
      <c r="AY2101" s="54"/>
      <c r="AZ2101" s="54"/>
      <c r="BA2101" s="54"/>
      <c r="BB2101" s="54"/>
      <c r="BC2101" s="56"/>
      <c r="BD2101" s="51"/>
      <c r="BE2101" s="54"/>
      <c r="BF2101" s="54"/>
      <c r="BG2101" s="47"/>
      <c r="BH2101" s="48"/>
      <c r="BI2101" s="48"/>
      <c r="BJ2101" s="48"/>
      <c r="BK2101" s="48"/>
      <c r="BL2101" s="48"/>
      <c r="BM2101" s="48"/>
      <c r="BN2101" s="48"/>
      <c r="BO2101" s="48"/>
      <c r="BP2101" s="48"/>
      <c r="BQ2101" s="48"/>
      <c r="BR2101" s="48"/>
      <c r="BS2101" s="48"/>
      <c r="BT2101" s="48"/>
      <c r="BU2101" s="48"/>
      <c r="BV2101" s="48"/>
      <c r="BW2101" s="48"/>
      <c r="BX2101" s="48"/>
      <c r="BY2101" s="48"/>
      <c r="BZ2101" s="48"/>
      <c r="CA2101" s="48"/>
      <c r="CB2101" s="48"/>
      <c r="CC2101" s="48"/>
      <c r="CD2101" s="48"/>
      <c r="CE2101" s="48"/>
      <c r="CF2101" s="52"/>
      <c r="CG2101" s="52"/>
      <c r="CH2101" s="48"/>
      <c r="CI2101" s="48"/>
      <c r="CJ2101" s="48"/>
      <c r="CK2101" s="48"/>
    </row>
    <row r="2102" spans="1:89" ht="15.75" customHeight="1" x14ac:dyDescent="0.3">
      <c r="A2102" s="47"/>
      <c r="B2102" s="48"/>
      <c r="C2102" s="47"/>
      <c r="D2102" s="48"/>
      <c r="E2102" s="48"/>
      <c r="F2102" s="48"/>
      <c r="G2102" s="48"/>
      <c r="H2102" s="48"/>
      <c r="I2102" s="49"/>
      <c r="J2102" s="47"/>
      <c r="K2102" s="47"/>
      <c r="L2102" s="47"/>
      <c r="M2102" s="47"/>
      <c r="N2102" s="47"/>
      <c r="O2102" s="47"/>
      <c r="P2102" s="47"/>
      <c r="Q2102" s="47"/>
      <c r="R2102" s="47"/>
      <c r="S2102" s="50"/>
      <c r="T2102" s="47"/>
      <c r="U2102" s="47"/>
      <c r="V2102" s="47"/>
      <c r="W2102" s="51"/>
      <c r="X2102" s="51"/>
      <c r="Y2102" s="47"/>
      <c r="Z2102" s="47"/>
      <c r="AA2102" s="47"/>
      <c r="AB2102" s="47"/>
      <c r="AC2102" s="47"/>
      <c r="AD2102" s="47"/>
      <c r="AE2102" s="54"/>
      <c r="AF2102" s="54"/>
      <c r="AG2102" s="55"/>
      <c r="AH2102" s="54"/>
      <c r="AI2102" s="54"/>
      <c r="AJ2102" s="54"/>
      <c r="AK2102" s="54"/>
      <c r="AL2102" s="54"/>
      <c r="AM2102" s="54"/>
      <c r="AN2102" s="54"/>
      <c r="AO2102" s="54"/>
      <c r="AP2102" s="54"/>
      <c r="AQ2102" s="54"/>
      <c r="AR2102" s="54"/>
      <c r="AS2102" s="54"/>
      <c r="AT2102" s="54"/>
      <c r="AU2102" s="54"/>
      <c r="AV2102" s="54"/>
      <c r="AW2102" s="54"/>
      <c r="AX2102" s="54"/>
      <c r="AY2102" s="54"/>
      <c r="AZ2102" s="54"/>
      <c r="BA2102" s="54"/>
      <c r="BB2102" s="54"/>
      <c r="BC2102" s="56"/>
      <c r="BD2102" s="51"/>
      <c r="BE2102" s="54"/>
      <c r="BF2102" s="54"/>
      <c r="BG2102" s="47"/>
      <c r="BH2102" s="48"/>
      <c r="BI2102" s="48"/>
      <c r="BJ2102" s="48"/>
      <c r="BK2102" s="48"/>
      <c r="BL2102" s="48"/>
      <c r="BM2102" s="48"/>
      <c r="BN2102" s="48"/>
      <c r="BO2102" s="48"/>
      <c r="BP2102" s="48"/>
      <c r="BQ2102" s="48"/>
      <c r="BR2102" s="48"/>
      <c r="BS2102" s="48"/>
      <c r="BT2102" s="48"/>
      <c r="BU2102" s="48"/>
      <c r="BV2102" s="48"/>
      <c r="BW2102" s="48"/>
      <c r="BX2102" s="48"/>
      <c r="BY2102" s="48"/>
      <c r="BZ2102" s="48"/>
      <c r="CA2102" s="48"/>
      <c r="CB2102" s="48"/>
      <c r="CC2102" s="48"/>
      <c r="CD2102" s="48"/>
      <c r="CE2102" s="48"/>
      <c r="CF2102" s="52"/>
      <c r="CG2102" s="52"/>
      <c r="CH2102" s="48"/>
      <c r="CI2102" s="48"/>
      <c r="CJ2102" s="48"/>
      <c r="CK2102" s="48"/>
    </row>
    <row r="2103" spans="1:89" ht="15.75" customHeight="1" x14ac:dyDescent="0.3">
      <c r="A2103" s="47"/>
      <c r="B2103" s="48"/>
      <c r="C2103" s="47"/>
      <c r="D2103" s="48"/>
      <c r="E2103" s="48"/>
      <c r="F2103" s="48"/>
      <c r="G2103" s="48"/>
      <c r="H2103" s="48"/>
      <c r="I2103" s="49"/>
      <c r="J2103" s="47"/>
      <c r="K2103" s="47"/>
      <c r="L2103" s="47"/>
      <c r="M2103" s="47"/>
      <c r="N2103" s="47"/>
      <c r="O2103" s="47"/>
      <c r="P2103" s="47"/>
      <c r="Q2103" s="47"/>
      <c r="R2103" s="47"/>
      <c r="S2103" s="50"/>
      <c r="T2103" s="47"/>
      <c r="U2103" s="47"/>
      <c r="V2103" s="47"/>
      <c r="W2103" s="51"/>
      <c r="X2103" s="51"/>
      <c r="Y2103" s="47"/>
      <c r="Z2103" s="47"/>
      <c r="AA2103" s="47"/>
      <c r="AB2103" s="47"/>
      <c r="AC2103" s="47"/>
      <c r="AD2103" s="47"/>
      <c r="AE2103" s="54"/>
      <c r="AF2103" s="54"/>
      <c r="AG2103" s="55"/>
      <c r="AH2103" s="54"/>
      <c r="AI2103" s="54"/>
      <c r="AJ2103" s="54"/>
      <c r="AK2103" s="54"/>
      <c r="AL2103" s="54"/>
      <c r="AM2103" s="54"/>
      <c r="AN2103" s="54"/>
      <c r="AO2103" s="54"/>
      <c r="AP2103" s="54"/>
      <c r="AQ2103" s="54"/>
      <c r="AR2103" s="54"/>
      <c r="AS2103" s="54"/>
      <c r="AT2103" s="54"/>
      <c r="AU2103" s="54"/>
      <c r="AV2103" s="54"/>
      <c r="AW2103" s="54"/>
      <c r="AX2103" s="54"/>
      <c r="AY2103" s="54"/>
      <c r="AZ2103" s="54"/>
      <c r="BA2103" s="54"/>
      <c r="BB2103" s="54"/>
      <c r="BC2103" s="56"/>
      <c r="BD2103" s="51"/>
      <c r="BE2103" s="54"/>
      <c r="BF2103" s="54"/>
      <c r="BG2103" s="47"/>
      <c r="BH2103" s="48"/>
      <c r="BI2103" s="48"/>
      <c r="BJ2103" s="48"/>
      <c r="BK2103" s="48"/>
      <c r="BL2103" s="48"/>
      <c r="BM2103" s="48"/>
      <c r="BN2103" s="48"/>
      <c r="BO2103" s="48"/>
      <c r="BP2103" s="48"/>
      <c r="BQ2103" s="48"/>
      <c r="BR2103" s="48"/>
      <c r="BS2103" s="48"/>
      <c r="BT2103" s="48"/>
      <c r="BU2103" s="48"/>
      <c r="BV2103" s="48"/>
      <c r="BW2103" s="48"/>
      <c r="BX2103" s="48"/>
      <c r="BY2103" s="48"/>
      <c r="BZ2103" s="48"/>
      <c r="CA2103" s="48"/>
      <c r="CB2103" s="48"/>
      <c r="CC2103" s="48"/>
      <c r="CD2103" s="48"/>
      <c r="CE2103" s="48"/>
      <c r="CF2103" s="52"/>
      <c r="CG2103" s="52"/>
      <c r="CH2103" s="48"/>
      <c r="CI2103" s="48"/>
      <c r="CJ2103" s="48"/>
      <c r="CK2103" s="48"/>
    </row>
    <row r="2104" spans="1:89" ht="15.75" customHeight="1" x14ac:dyDescent="0.3">
      <c r="A2104" s="47"/>
      <c r="B2104" s="48"/>
      <c r="C2104" s="47"/>
      <c r="D2104" s="48"/>
      <c r="E2104" s="48"/>
      <c r="F2104" s="48"/>
      <c r="G2104" s="48"/>
      <c r="H2104" s="48"/>
      <c r="I2104" s="49"/>
      <c r="J2104" s="47"/>
      <c r="K2104" s="47"/>
      <c r="L2104" s="47"/>
      <c r="M2104" s="47"/>
      <c r="N2104" s="47"/>
      <c r="O2104" s="47"/>
      <c r="P2104" s="47"/>
      <c r="Q2104" s="47"/>
      <c r="R2104" s="47"/>
      <c r="S2104" s="50"/>
      <c r="T2104" s="47"/>
      <c r="U2104" s="47"/>
      <c r="V2104" s="47"/>
      <c r="W2104" s="51"/>
      <c r="X2104" s="51"/>
      <c r="Y2104" s="47"/>
      <c r="Z2104" s="47"/>
      <c r="AA2104" s="47"/>
      <c r="AB2104" s="47"/>
      <c r="AC2104" s="47"/>
      <c r="AD2104" s="47"/>
      <c r="AE2104" s="54"/>
      <c r="AF2104" s="54"/>
      <c r="AG2104" s="55"/>
      <c r="AH2104" s="54"/>
      <c r="AI2104" s="54"/>
      <c r="AJ2104" s="54"/>
      <c r="AK2104" s="54"/>
      <c r="AL2104" s="54"/>
      <c r="AM2104" s="54"/>
      <c r="AN2104" s="54"/>
      <c r="AO2104" s="54"/>
      <c r="AP2104" s="54"/>
      <c r="AQ2104" s="54"/>
      <c r="AR2104" s="54"/>
      <c r="AS2104" s="54"/>
      <c r="AT2104" s="54"/>
      <c r="AU2104" s="54"/>
      <c r="AV2104" s="54"/>
      <c r="AW2104" s="54"/>
      <c r="AX2104" s="54"/>
      <c r="AY2104" s="54"/>
      <c r="AZ2104" s="54"/>
      <c r="BA2104" s="54"/>
      <c r="BB2104" s="54"/>
      <c r="BC2104" s="56"/>
      <c r="BD2104" s="51"/>
      <c r="BE2104" s="54"/>
      <c r="BF2104" s="54"/>
      <c r="BG2104" s="47"/>
      <c r="BH2104" s="48"/>
      <c r="BI2104" s="48"/>
      <c r="BJ2104" s="48"/>
      <c r="BK2104" s="48"/>
      <c r="BL2104" s="48"/>
      <c r="BM2104" s="48"/>
      <c r="BN2104" s="48"/>
      <c r="BO2104" s="48"/>
      <c r="BP2104" s="48"/>
      <c r="BQ2104" s="48"/>
      <c r="BR2104" s="48"/>
      <c r="BS2104" s="48"/>
      <c r="BT2104" s="48"/>
      <c r="BU2104" s="48"/>
      <c r="BV2104" s="48"/>
      <c r="BW2104" s="48"/>
      <c r="BX2104" s="48"/>
      <c r="BY2104" s="48"/>
      <c r="BZ2104" s="48"/>
      <c r="CA2104" s="48"/>
      <c r="CB2104" s="48"/>
      <c r="CC2104" s="48"/>
      <c r="CD2104" s="48"/>
      <c r="CE2104" s="48"/>
      <c r="CF2104" s="52"/>
      <c r="CG2104" s="52"/>
      <c r="CH2104" s="48"/>
      <c r="CI2104" s="48"/>
      <c r="CJ2104" s="48"/>
      <c r="CK2104" s="48"/>
    </row>
    <row r="2105" spans="1:89" ht="15.75" customHeight="1" x14ac:dyDescent="0.3">
      <c r="A2105" s="47"/>
      <c r="B2105" s="48"/>
      <c r="C2105" s="47"/>
      <c r="D2105" s="48"/>
      <c r="E2105" s="48"/>
      <c r="F2105" s="48"/>
      <c r="G2105" s="48"/>
      <c r="H2105" s="48"/>
      <c r="I2105" s="49"/>
      <c r="J2105" s="47"/>
      <c r="K2105" s="47"/>
      <c r="L2105" s="47"/>
      <c r="M2105" s="47"/>
      <c r="N2105" s="47"/>
      <c r="O2105" s="47"/>
      <c r="P2105" s="47"/>
      <c r="Q2105" s="47"/>
      <c r="R2105" s="47"/>
      <c r="S2105" s="50"/>
      <c r="T2105" s="47"/>
      <c r="U2105" s="47"/>
      <c r="V2105" s="47"/>
      <c r="W2105" s="51"/>
      <c r="X2105" s="51"/>
      <c r="Y2105" s="47"/>
      <c r="Z2105" s="47"/>
      <c r="AA2105" s="47"/>
      <c r="AB2105" s="47"/>
      <c r="AC2105" s="47"/>
      <c r="AD2105" s="47"/>
      <c r="AE2105" s="54"/>
      <c r="AF2105" s="54"/>
      <c r="AG2105" s="55"/>
      <c r="AH2105" s="54"/>
      <c r="AI2105" s="54"/>
      <c r="AJ2105" s="54"/>
      <c r="AK2105" s="54"/>
      <c r="AL2105" s="54"/>
      <c r="AM2105" s="54"/>
      <c r="AN2105" s="54"/>
      <c r="AO2105" s="54"/>
      <c r="AP2105" s="54"/>
      <c r="AQ2105" s="54"/>
      <c r="AR2105" s="54"/>
      <c r="AS2105" s="54"/>
      <c r="AT2105" s="54"/>
      <c r="AU2105" s="54"/>
      <c r="AV2105" s="54"/>
      <c r="AW2105" s="54"/>
      <c r="AX2105" s="54"/>
      <c r="AY2105" s="54"/>
      <c r="AZ2105" s="54"/>
      <c r="BA2105" s="54"/>
      <c r="BB2105" s="54"/>
      <c r="BC2105" s="56"/>
      <c r="BD2105" s="51"/>
      <c r="BE2105" s="54"/>
      <c r="BF2105" s="54"/>
      <c r="BG2105" s="47"/>
      <c r="BH2105" s="48"/>
      <c r="BI2105" s="48"/>
      <c r="BJ2105" s="48"/>
      <c r="BK2105" s="48"/>
      <c r="BL2105" s="48"/>
      <c r="BM2105" s="48"/>
      <c r="BN2105" s="48"/>
      <c r="BO2105" s="48"/>
      <c r="BP2105" s="48"/>
      <c r="BQ2105" s="48"/>
      <c r="BR2105" s="48"/>
      <c r="BS2105" s="48"/>
      <c r="BT2105" s="48"/>
      <c r="BU2105" s="48"/>
      <c r="BV2105" s="48"/>
      <c r="BW2105" s="48"/>
      <c r="BX2105" s="48"/>
      <c r="BY2105" s="48"/>
      <c r="BZ2105" s="48"/>
      <c r="CA2105" s="48"/>
      <c r="CB2105" s="48"/>
      <c r="CC2105" s="48"/>
      <c r="CD2105" s="48"/>
      <c r="CE2105" s="48"/>
      <c r="CF2105" s="52"/>
      <c r="CG2105" s="52"/>
      <c r="CH2105" s="48"/>
      <c r="CI2105" s="48"/>
      <c r="CJ2105" s="48"/>
      <c r="CK2105" s="48"/>
    </row>
    <row r="2106" spans="1:89" ht="15.75" customHeight="1" x14ac:dyDescent="0.3">
      <c r="A2106" s="47"/>
      <c r="B2106" s="48"/>
      <c r="C2106" s="47"/>
      <c r="D2106" s="48"/>
      <c r="E2106" s="48"/>
      <c r="F2106" s="48"/>
      <c r="G2106" s="48"/>
      <c r="H2106" s="48"/>
      <c r="I2106" s="49"/>
      <c r="J2106" s="47"/>
      <c r="K2106" s="47"/>
      <c r="L2106" s="47"/>
      <c r="M2106" s="47"/>
      <c r="N2106" s="47"/>
      <c r="O2106" s="47"/>
      <c r="P2106" s="47"/>
      <c r="Q2106" s="47"/>
      <c r="R2106" s="47"/>
      <c r="S2106" s="50"/>
      <c r="T2106" s="47"/>
      <c r="U2106" s="47"/>
      <c r="V2106" s="47"/>
      <c r="W2106" s="51"/>
      <c r="X2106" s="51"/>
      <c r="Y2106" s="47"/>
      <c r="Z2106" s="47"/>
      <c r="AA2106" s="47"/>
      <c r="AB2106" s="47"/>
      <c r="AC2106" s="47"/>
      <c r="AD2106" s="47"/>
      <c r="AE2106" s="54"/>
      <c r="AF2106" s="54"/>
      <c r="AG2106" s="55"/>
      <c r="AH2106" s="54"/>
      <c r="AI2106" s="54"/>
      <c r="AJ2106" s="54"/>
      <c r="AK2106" s="54"/>
      <c r="AL2106" s="54"/>
      <c r="AM2106" s="54"/>
      <c r="AN2106" s="54"/>
      <c r="AO2106" s="54"/>
      <c r="AP2106" s="54"/>
      <c r="AQ2106" s="54"/>
      <c r="AR2106" s="54"/>
      <c r="AS2106" s="54"/>
      <c r="AT2106" s="54"/>
      <c r="AU2106" s="54"/>
      <c r="AV2106" s="54"/>
      <c r="AW2106" s="54"/>
      <c r="AX2106" s="54"/>
      <c r="AY2106" s="54"/>
      <c r="AZ2106" s="54"/>
      <c r="BA2106" s="54"/>
      <c r="BB2106" s="54"/>
      <c r="BC2106" s="56"/>
      <c r="BD2106" s="51"/>
      <c r="BE2106" s="54"/>
      <c r="BF2106" s="54"/>
      <c r="BG2106" s="47"/>
      <c r="BH2106" s="48"/>
      <c r="BI2106" s="48"/>
      <c r="BJ2106" s="48"/>
      <c r="BK2106" s="48"/>
      <c r="BL2106" s="48"/>
      <c r="BM2106" s="48"/>
      <c r="BN2106" s="48"/>
      <c r="BO2106" s="48"/>
      <c r="BP2106" s="48"/>
      <c r="BQ2106" s="48"/>
      <c r="BR2106" s="48"/>
      <c r="BS2106" s="48"/>
      <c r="BT2106" s="48"/>
      <c r="BU2106" s="48"/>
      <c r="BV2106" s="48"/>
      <c r="BW2106" s="48"/>
      <c r="BX2106" s="48"/>
      <c r="BY2106" s="48"/>
      <c r="BZ2106" s="48"/>
      <c r="CA2106" s="48"/>
      <c r="CB2106" s="48"/>
      <c r="CC2106" s="48"/>
      <c r="CD2106" s="48"/>
      <c r="CE2106" s="48"/>
      <c r="CF2106" s="52"/>
      <c r="CG2106" s="52"/>
      <c r="CH2106" s="48"/>
      <c r="CI2106" s="48"/>
      <c r="CJ2106" s="48"/>
      <c r="CK2106" s="48"/>
    </row>
    <row r="2107" spans="1:89" ht="15.75" customHeight="1" x14ac:dyDescent="0.3">
      <c r="A2107" s="47"/>
      <c r="B2107" s="48"/>
      <c r="C2107" s="47"/>
      <c r="D2107" s="48"/>
      <c r="E2107" s="48"/>
      <c r="F2107" s="48"/>
      <c r="G2107" s="48"/>
      <c r="H2107" s="48"/>
      <c r="I2107" s="49"/>
      <c r="J2107" s="47"/>
      <c r="K2107" s="47"/>
      <c r="L2107" s="47"/>
      <c r="M2107" s="47"/>
      <c r="N2107" s="47"/>
      <c r="O2107" s="47"/>
      <c r="P2107" s="47"/>
      <c r="Q2107" s="47"/>
      <c r="R2107" s="47"/>
      <c r="S2107" s="50"/>
      <c r="T2107" s="47"/>
      <c r="U2107" s="47"/>
      <c r="V2107" s="47"/>
      <c r="W2107" s="51"/>
      <c r="X2107" s="51"/>
      <c r="Y2107" s="47"/>
      <c r="Z2107" s="47"/>
      <c r="AA2107" s="47"/>
      <c r="AB2107" s="47"/>
      <c r="AC2107" s="47"/>
      <c r="AD2107" s="47"/>
      <c r="AE2107" s="54"/>
      <c r="AF2107" s="54"/>
      <c r="AG2107" s="55"/>
      <c r="AH2107" s="54"/>
      <c r="AI2107" s="54"/>
      <c r="AJ2107" s="54"/>
      <c r="AK2107" s="54"/>
      <c r="AL2107" s="54"/>
      <c r="AM2107" s="54"/>
      <c r="AN2107" s="54"/>
      <c r="AO2107" s="54"/>
      <c r="AP2107" s="54"/>
      <c r="AQ2107" s="54"/>
      <c r="AR2107" s="54"/>
      <c r="AS2107" s="54"/>
      <c r="AT2107" s="54"/>
      <c r="AU2107" s="54"/>
      <c r="AV2107" s="54"/>
      <c r="AW2107" s="54"/>
      <c r="AX2107" s="54"/>
      <c r="AY2107" s="54"/>
      <c r="AZ2107" s="54"/>
      <c r="BA2107" s="54"/>
      <c r="BB2107" s="54"/>
      <c r="BC2107" s="56"/>
      <c r="BD2107" s="51"/>
      <c r="BE2107" s="54"/>
      <c r="BF2107" s="54"/>
      <c r="BG2107" s="47"/>
      <c r="BH2107" s="48"/>
      <c r="BI2107" s="48"/>
      <c r="BJ2107" s="48"/>
      <c r="BK2107" s="48"/>
      <c r="BL2107" s="48"/>
      <c r="BM2107" s="48"/>
      <c r="BN2107" s="48"/>
      <c r="BO2107" s="48"/>
      <c r="BP2107" s="48"/>
      <c r="BQ2107" s="48"/>
      <c r="BR2107" s="48"/>
      <c r="BS2107" s="48"/>
      <c r="BT2107" s="48"/>
      <c r="BU2107" s="48"/>
      <c r="BV2107" s="48"/>
      <c r="BW2107" s="48"/>
      <c r="BX2107" s="48"/>
      <c r="BY2107" s="48"/>
      <c r="BZ2107" s="48"/>
      <c r="CA2107" s="48"/>
      <c r="CB2107" s="48"/>
      <c r="CC2107" s="48"/>
      <c r="CD2107" s="48"/>
      <c r="CE2107" s="48"/>
      <c r="CF2107" s="52"/>
      <c r="CG2107" s="52"/>
      <c r="CH2107" s="48"/>
      <c r="CI2107" s="48"/>
      <c r="CJ2107" s="48"/>
      <c r="CK2107" s="48"/>
    </row>
    <row r="2108" spans="1:89" ht="15.75" customHeight="1" x14ac:dyDescent="0.3">
      <c r="A2108" s="47"/>
      <c r="B2108" s="48"/>
      <c r="C2108" s="47"/>
      <c r="D2108" s="48"/>
      <c r="E2108" s="48"/>
      <c r="F2108" s="48"/>
      <c r="G2108" s="48"/>
      <c r="H2108" s="48"/>
      <c r="I2108" s="49"/>
      <c r="J2108" s="47"/>
      <c r="K2108" s="47"/>
      <c r="L2108" s="47"/>
      <c r="M2108" s="47"/>
      <c r="N2108" s="47"/>
      <c r="O2108" s="47"/>
      <c r="P2108" s="47"/>
      <c r="Q2108" s="47"/>
      <c r="R2108" s="47"/>
      <c r="S2108" s="50"/>
      <c r="T2108" s="47"/>
      <c r="U2108" s="47"/>
      <c r="V2108" s="47"/>
      <c r="W2108" s="51"/>
      <c r="X2108" s="51"/>
      <c r="Y2108" s="47"/>
      <c r="Z2108" s="47"/>
      <c r="AA2108" s="47"/>
      <c r="AB2108" s="47"/>
      <c r="AC2108" s="47"/>
      <c r="AD2108" s="47"/>
      <c r="AE2108" s="54"/>
      <c r="AF2108" s="54"/>
      <c r="AG2108" s="55"/>
      <c r="AH2108" s="54"/>
      <c r="AI2108" s="54"/>
      <c r="AJ2108" s="54"/>
      <c r="AK2108" s="54"/>
      <c r="AL2108" s="54"/>
      <c r="AM2108" s="54"/>
      <c r="AN2108" s="54"/>
      <c r="AO2108" s="54"/>
      <c r="AP2108" s="54"/>
      <c r="AQ2108" s="54"/>
      <c r="AR2108" s="54"/>
      <c r="AS2108" s="54"/>
      <c r="AT2108" s="54"/>
      <c r="AU2108" s="54"/>
      <c r="AV2108" s="54"/>
      <c r="AW2108" s="54"/>
      <c r="AX2108" s="54"/>
      <c r="AY2108" s="54"/>
      <c r="AZ2108" s="54"/>
      <c r="BA2108" s="54"/>
      <c r="BB2108" s="54"/>
      <c r="BC2108" s="56"/>
      <c r="BD2108" s="51"/>
      <c r="BE2108" s="54"/>
      <c r="BF2108" s="54"/>
      <c r="BG2108" s="47"/>
      <c r="BH2108" s="48"/>
      <c r="BI2108" s="48"/>
      <c r="BJ2108" s="48"/>
      <c r="BK2108" s="48"/>
      <c r="BL2108" s="48"/>
      <c r="BM2108" s="48"/>
      <c r="BN2108" s="48"/>
      <c r="BO2108" s="48"/>
      <c r="BP2108" s="48"/>
      <c r="BQ2108" s="48"/>
      <c r="BR2108" s="48"/>
      <c r="BS2108" s="48"/>
      <c r="BT2108" s="48"/>
      <c r="BU2108" s="48"/>
      <c r="BV2108" s="48"/>
      <c r="BW2108" s="48"/>
      <c r="BX2108" s="48"/>
      <c r="BY2108" s="48"/>
      <c r="BZ2108" s="48"/>
      <c r="CA2108" s="48"/>
      <c r="CB2108" s="48"/>
      <c r="CC2108" s="48"/>
      <c r="CD2108" s="48"/>
      <c r="CE2108" s="48"/>
      <c r="CF2108" s="52"/>
      <c r="CG2108" s="52"/>
      <c r="CH2108" s="48"/>
      <c r="CI2108" s="48"/>
      <c r="CJ2108" s="48"/>
      <c r="CK2108" s="48"/>
    </row>
  </sheetData>
  <customSheetViews>
    <customSheetView guid="{AF79DD8D-E7B6-48BD-AA5E-00C3DD69357B}" filter="1" showAutoFilter="1">
      <pageMargins left="0.7" right="0.7" top="0.75" bottom="0.75" header="0.3" footer="0.3"/>
      <autoFilter ref="A1:EK1102" xr:uid="{E7D1580B-A7DA-44A2-AF4C-D17E71C4B54A}">
        <filterColumn colId="0">
          <filters blank="1">
            <filter val="Inversión"/>
          </filters>
        </filterColumn>
        <filterColumn colId="14">
          <filters>
            <filter val="100-12 Adquirir el licenciamiento por suscripción para Plataforma de virtualización y almacenamiento en nube incluyendo la adquisición del hardware para Computación y Storage que soporta esta solución de Hiperconvergencia."/>
            <filter val="100-50 Adquirir el licenciamiento por suscripción para Plataforma de virtualización y almacenamiento en nube incluyendo la adquisición del hardware para Computación y Storage que soporta esta solución de Hiperconvergencia."/>
            <filter val="100-71 Adquirir el licenciamiento por suscripción para Plataforma de virtualización y almacenamiento en nube incluyendo la adquisición del hardware para Computación y Storage que soporta esta solución de Hiperconvergencia."/>
            <filter val="100-9 Adquirir el licenciamiento por suscripción para Plataforma de virtualización y almacenamiento en nube incluyendo la adquisición del hardware para Computación y Storage que soporta esta solución de Hiperconvergencia."/>
            <filter val="111-1 Prestar servicios de mantenimiento preventivo, correctivo y de emergencia a los equipos de aire acondicionado ubicados en la sede administrativa de la Upme."/>
            <filter val="111-10 Adquirir el servicio de seguro obligatorio de accidente de tránsito &quot;SOAT&quot; para los dos vehículos oficiales de la Upme."/>
            <filter val="111-11 Suministrar la gasolina requerida a los vehículos oficiales de propiedad de la Upme."/>
            <filter val="111-12 Suministrar el calzado y vestido de labor para la dotación de los servidores de la UPME para la vigencia 2026 mediante la entrega de tarjetas electrónicas canjeables."/>
            <filter val="111-13 Adquirir elementos de oficina y papelería requeridos por los servidores de la Upme."/>
            <filter val="111-14 Prestar el servicio de arrendamiento para la administración integral del archivo central de la Upme y su respectivo bodegaje."/>
            <filter val="111-15 Prestar el servicio de publicación en el diario oficial de los actos administrativos de carácter general emitidos por la UPME."/>
            <filter val="111-16 Brindar apoyo en los procesos administrativos, documentales y de servicio al ciudadano en el marco de la Modernización de Procesos de la Entidad UPME"/>
            <filter val="111-17 Prestar servicios profesionales en el apoyo a la supervisión de contratos, control de pagos y seguimiento a la ejecución del PAA y correcto funcionamiento de bienes y servicios requeridos de la UPME."/>
            <filter val="111-18 Prestar servicios profesionales en la interventoría de la tercera fase de adecuaciones a la infraestructura de la sede administrativa de la Upme."/>
            <filter val="111-19 Prestar los servicios profesionales para apoyar las actividades relacionadas con la gestión administrativa de la Secretaría General de la UPME."/>
            <filter val="111-2 Prestar servicios de mantenimiento preventivo y correctivo en el sistema de protección de red contraincendios en las instalaciones de la UPME."/>
            <filter val="111-20 Prestar servicios profesionales para apoyar la sustanciación y revisión de actos administrativos, respuestas a derechos de petición, conceptos y circulares adelantadas en la Secretaría General de la UPME."/>
            <filter val="111-21 Prestar servicios de intermediación y asesoría en la formulación y manejo de los programas de seguros para la Upme."/>
            <filter val="111-22 Adquirir las pólizas de seguros que amparen los bienes muebles, inmuebles e intereses patrimoniales asegurables de propiedad de la Upme y de aquellos por los que sea o llegase a ser legalmente responsable a nivel nacional."/>
            <filter val="111-24 Prestar el servicio integral de recepción, seguridad privada y vigilancia en la sede de la Upme."/>
            <filter val="111-25 Adelantar la tercera fase de las adecuaciones a la infraestructura de la sede administrativa de la Upme."/>
            <filter val="111-26 Prestar el servicio integral de aseo y cafetería para la Upme incluidos los insumos básicos de aseo y cafetería requeridos."/>
            <filter val="111-27 Adquirir los insumos y elementos necesarios para dotar los botiquines de las brigadas de emergencia y comprar los elementos de bioseguridad para los servidores públicos de la Upme."/>
            <filter val="111-28 Prestar los servicios requeridos para gestionar los exámenes médicos periódicos ocupacionales de la vigencia 2026 para los servidores públicos de la Upme."/>
            <filter val="111-29 Prestar los servicios requeridos para gestionar los exámenes médicos de vinculación y desvinculación de los funcionarios de la Upme."/>
            <filter val="111-3 Prestar servicios de mantenimiento preventivo y correctivo para los dos vehículos oficiales de propiedad de la Upme."/>
            <filter val="111-31 Prestar servicios profesionales de área protegida (SAP) para las personas que se encuentren en las instalaciones de la Upme en caso de presentarse una emergencia y/o urgencia como parte del Plan de Emergencia de la Entidad."/>
            <filter val="111-32 Prestar los servicios logísticos en la organización y ejecución de las actividades programadas en el Plan de bienestar social, estímulos e incentivos para los servidores de la Upme y sus familias durante la vigencia 2026."/>
            <filter val="111-34 Prestar los servicios profesionales al Grupo Interno de Trabajo de Gestión Administrativa y Servicio al Ciudadano en el levantamiento, verificación, consolidación, análisis de información y procesos administrativos a cargo"/>
            <filter val="111-35 Prestar servicios profesionales orientados a fortalecer la apropiación, comprensión y adecuada aplicación del proceso contable de la entidad"/>
            <filter val="111-36 Prestar el servicio de mantenimiento preventivo y correctivo que garantice el correcto funcionamiento de las UPS de propiedad de la Upme."/>
            <filter val="111-37 Prestar el servicio de mantenimiento preventivo y correctivo del sistema de monitoreo ambiental instalado en el centro de cómputo de la Upme."/>
            <filter val="111-38 Prestar el servicio de internet dedicado en la Upme."/>
            <filter val="111-39 Prestar servicios profesionales para brindar apoyo en la presentación de informes, seguimiento plan estratégico institucional, plan anual de adquisiciones y apoyo en documentos especialmente en la Secretaría General y en la Subdirección de Minería"/>
            <filter val="111-4 Prestar servicios de recarga y mantenimiento de extintores de la Upme."/>
            <filter val="111-41 Brindar el servicio de apoyo en todo lo relacionado con la gestión administrativa, la gestión documental, el manejo de la correspondencia y requeridos por la Unidad de Planeación Minero-Energética - UPME"/>
            <filter val="111-43 Prestar el servicio de arrendamiento para bodegaje y administración integral del archivo central de la UPME"/>
            <filter val="111-44 Prestar el servicio de vigilancia, seguridad privada y recepción para la sede administrativa de la Unidad de Planeación Minero Energética. UPME."/>
            <filter val="111-45 Contratar la prestación del servicio integral de Aseo y Cafetería incluídos los insumos básicos de Aseo y Cafetería para la sede de la Unidad de Planeación Minero Energética-UPME."/>
            <filter val="111-5 Prestar servicios de mantenimiento preventivo y correctivo incluidos los repuestos requeridos para las impresoras, escáneres y fotocopiadoras de propiedad de la Upme."/>
            <filter val="111-6 Prestar servicios de mantenimiento preventivo y correctivo del sistema de cámaras de video -CCTV instalados en la Sede de la Upme."/>
            <filter val="111-7 Prestar servicios de arreglos locativos requeridos en la Sede de la Upme."/>
            <filter val="111-8 Adquirir elementos requeridos para impresoras y/o fotocopiadoras (Toners) de la Upme."/>
            <filter val="111-9 Prestar apoyo logístico para atender las reuniones del Consejo Directivo de la Upme o las que determine la Dirección general para apoyar actividades del sector en la vigencia 2026."/>
            <filter val="130-80 Adquirir el licenciamiento por suscripción para Plataforma de virtualización y almacenamiento en nube incluyendo la adquisición del hardware para Computación y Storage que soporta esta solución de Hiperconvergencia."/>
            <filter val="130-81 Adquirir el licenciamiento por suscripción para Plataforma de virtualización y almacenamiento en nube incluyendo la adquisición del hardware para Computación y Storage que soporta esta solución de Hiperconvergencia."/>
            <filter val="130-82 Adquirir el licenciamiento por suscripción para Plataforma de virtualización y almacenamiento en nube incluyendo la adquisición del hardware para Computación y Storage que soporta esta solución de Hiperconvergencia."/>
            <filter val="130-83 Adquirir el licenciamiento por suscripción para Plataforma de virtualización y almacenamiento en nube incluyendo la adquisición del hardware para Computación y Storage que soporta esta solución de Hiperconvergencia."/>
            <filter val="130-84 Adquirir el licenciamiento por suscripción para Plataforma de virtualización y almacenamiento en nube incluyendo la adquisición del hardware para Computación y Storage que soporta esta solución de Hiperconvergencia."/>
            <filter val="130-85 Adquirir el licenciamiento por suscripción para Plataforma de virtualización y almacenamiento en nube incluyendo la adquisición del hardware para Computación y Storage que soporta esta solución de Hiperconvergencia."/>
            <filter val="131-35 Adquirir el licenciamiento por suscripción para Plataforma de virtualización y almacenamiento en nube incluyendo la adquisición del hardware para Computación y Storage que soporta esta solución de Hiperconvergencia."/>
            <filter val="140-11 Adquirir el licenciamiento por suscripción para Plataforma de virtualización y almacenamiento en nube incluyendo la adquisición del hardware para Computación y Storage que soporta esta solución de Hiperconvergencia."/>
            <filter val="150-73 Adquirir el licenciamiento por suscripción para Plataforma de virtualización y almacenamiento en nube incluyendo la adquisición del hardware para Computación y Storage que soporta esta solución de Hiperconvergencia."/>
            <filter val="150-74 Adquirir el licenciamiento por suscripción para Plataforma de virtualización y almacenamiento en nube incluyendo la adquisición del hardware para Computación y Storage que soporta esta solución de Hiperconvergencia."/>
            <filter val="150-94 Adquirir el licenciamiento por suscripción para Plataforma de virtualización y almacenamiento en nube incluyendo la adquisición del hardware para Computación y Storage que soporta esta solución de Hiperconvergencia."/>
            <filter val="160-59 Adquirir el licenciamiento por suscripción para Plataforma de virtualización y almacenamiento en nube incluyendo la adquisición del hardware para Computación y Storage que soporta esta solución de Hiperconvergencia."/>
            <filter val="161-1 Prestar servicios profesionales para la gestión de requerimientos contractuales y demás actividades administrativas requeridas por la Subdirección de Demanda."/>
            <filter val="161-102 Prestación de servicios profesionales de estructuración gráfica de documentos, diseño digital, presentaciones de diversa índole que sean requeridos por el área de comunicaciones"/>
            <filter val="161-103 Prestar servicios profesionales para la creación de contenido, divulgación y socialización de los proyectos, planes y gestión de la UPME."/>
            <filter val="161-104 Prestar servicios de apoyo a la gestión para la UPME en la creación de contenidos audiovisuales destinados a los diferentes canales de comunicación de la entidad, en atención a sus necesidades institucionales."/>
            <filter val="161-105 Prestación de servicios de apoyo a la gestión para contribuir en la realización de contenido multimedia y la consolidación del banco de contenido para los portales interactivos en desarrollo de la entidad"/>
            <filter val="161-109 Prestar servicios profesionales en la ejecución y seguimiento a las acciones de cooperación relacionadas con la implementación y la actualización de la Estrategia Institucional de Cooperación Internacional de la UPME."/>
            <filter val="161-110 Prestar los servicios profesionales para el acompañamiento y seguimiento jurídico a las etapas pre contractual, contractual y pos contractual, así como, reporte de información"/>
            <filter val="161-111 Prestar servicios profesionales para la gestión de las fases contractuales de la entidad, con especial énfasis en los asuntos relativos a la Subdirección de Demanda, en asocio con el GIT de Gestión Contractual."/>
            <filter val="161-115 Prestar los servicios profesionales Para el desarrollo de actividades relacionadas con el seguimiento  analisis y control a la ejecucion presupuestal, Plan anualizado de caja y a los procesos tesorales de la entidad"/>
            <filter val="161-116 Prestar los servicios profesionales para el desarrollo de actividades relacionadas con la gestión y el seguimiento presupuestal en el marco del direccionamiento estratégico de la Entidad."/>
            <filter val="161-117 Prestar los servicios profesionales para el apoyo administrativo relacionados con el contrato de la fiducia mercantil, gestión de tesorería y contable a cargo de GIT de gestión financiera."/>
            <filter val="161-119 Prestación de servicios profesionales para la creación desde la experiencia académica, de estrategias de información que trasciendan a la ciudadanía en el conocimiento de la misionalidad de la UPME"/>
            <filter val="161-12 Prestar los servicios profesionales para la asistencia técnica y atención al ciudadano, así como la evaluación de los requerimientos asociados al trámite de Incentivos Tributarios."/>
            <filter val="161-121 Constituir una Fiducia Mercantil, a través del cual se recibirán y administrarán los recursos provenientes de los terceros que utilicen o soliciten servicios técnicos o de planeación y asesoría a la Unidad de Planeación Minero Energética - UPME."/>
            <filter val="161-122 Prestar servicios profesionales,  para el desarrollo de actividades relacionadas con el seguimiento, análisis y control de la gestión contable  de la Unidad de Planeación Minero Energética – UPME"/>
            <filter val="161-123 Prestar servicios profesionales para el desarrollo de los tramites contractuales requeridos y la proyección de las respuestas a las PQRS de la entidad, en especial las relacionadas con el tramite de Incentivos Tributarios."/>
            <filter val="161-127 Adquisición de equipos de cómputo"/>
            <filter val="161-128 GMF (4x1000)"/>
            <filter val="161-13 Prestar los servicios profesionales para la asistencia técnica y atención al ciudadano, así como la evaluación de los requerimientos asociados al trámite de Incentivos Tributarios."/>
            <filter val="161-131 Prestar servicios de apoyo a la gestión en el desarrollo del Plan Nacional de Bioenergía y la elaboración de documentos de planeación, en el marco de la Transición Energética Justa"/>
            <filter val="161-132 Prestar servicios de apoyo a la gestión, para actividades enmarcadas en el Plan de Bienestar y Seguridad y Salud en el trabajo."/>
            <filter val="161-134 Prestar servicios profesionales al GIT de financiera, específicamente en los procesos de Tesorería y Presupuesto, conforme a la normatividad vigente"/>
            <filter val="161-14 Prestar los servicios profesionales para la asistencia jurídica y atención al ciudadano, así como la respuesta a PQR´s de los requerimientos asociados al trámite de Incentivos Tributarios."/>
            <filter val="161-16 Prestar servicios profesionales para la validación documental, la evaluación técnica y la conceptualización de las medidas de eficiencia energética reportadas para los edificios de las administraciones públicas presentados ante la UPME."/>
            <filter val="161-24 Prestar servicios profesionales para realizar la gestión y análisis de información, construcción de bases de datos, formulación y seguimiento a las estadísticas e indicadores de impacto de los incentivos tributarios, con enfoque territorial."/>
            <filter val="161-30 Prestar servicios profesionales para la evaluación, análisis de la información de los proyectos de Fuentes No Convencionales de Energía y Gestión Eficiente de la Energía."/>
            <filter val="161-31 Prestar servicios profesionales para la evaluación, análisis de la información de los proyectos de Fuentes No Convencionales de Energía y Gestión Eficiente de la Energía."/>
            <filter val="161-32 Prestar servicios profesionales para la evaluación, análisis de la información de los proyectos de Fuentes No Convencionales de Energía y Gestión Eficiente de la Energía."/>
            <filter val="161-33 Prestar servicios profesionales para la evaluación, análisis de la información de los proyectos de Fuentes No Convencionales de Energía y Gestión Eficiente de la Energía."/>
            <filter val="161-34 Prestar servicios profesionales para la evaluación, análisis de la información de los proyectos de Fuentes No Convencionales de Energía y Gestión Eficiente de la Energía."/>
            <filter val="161-35 Prestar servicios profesionales para la evaluación, análisis y actualización de la información de los proyectos de Fuentes No Convencionales de Energía, Gestión Eficiente de la Energía e Hidrógeno presentados a la UPME."/>
            <filter val="161-36 Prestar servicios profesionales para la evaluación y análisis de proyectos de Gestión Eficiente de la Energía, a las solicitudes de incentivos tributarios radicadas en la UPME."/>
            <filter val="161-4 Prestar servicios profesionales para el seguimiento y documentación integral de las actividades de la Subdirección de Demanda, así como para la formulación, seguimiento, reporte y ejecución de instrumentos de planeación y metas institucionales."/>
            <filter val="161-41 Prestar servicios profesionales para la evaluación, análisis de la información de los proyectos de Fuentes No Convencionales de Energía y Gestión Eficiente de la Energía."/>
            <filter val="161-42 Prestar servicios profesionales para la evaluación, análisis de la información de los proyectos de Fuentes No Convencionales de Energía y Gestión Eficiente de la Energía."/>
            <filter val="161-53 Prestar servicios profesionales para la gestión jurídica relacionada con la sustanciación de los recursos de reposición y acciones de tutela contra las decisiones adoptadas en el trámite de incentivos tributarios."/>
            <filter val="161-54 Prestar servicios profesionales para la gestión jurídica relacionada con la sustanciación de los recursos de reposición y acciones de tutela contra las decisiones adoptadas en el trámite de incentivos tributarios."/>
            <filter val="161-57 Prestar servicios profesionales a nivel jurídico y regulatorio a la Subdirección de Demanda para el análisis de información y la evaluación de impactos normativos en el proceso de incentivos tributarios y las funciones misionales de la entidad"/>
            <filter val="161-6 Prestar servicios profesionales para la evaluación, análisis de la información de los proyectos de Fuentes No Convencionales de Energía y Gestión Eficiente de la Energía."/>
            <filter val="161-61 Prestar servicios profesionales para realizar el seguimiento y control de las PQRS radicadas en la Upme asociadas con el trámite de incentivos tributarios, así como la respuesta a las PQRS de la entidad y demás trámites de índole jurídico."/>
            <filter val="161-62 Prestar servicios profesionales en la gestión de respuestas a las PQRS radicadas en la entidad asociadas al trámite de incentivos tributarios, cumpliendo los términos legales."/>
            <filter val="161-63 Prestar servicios profesionales a la Subdirección de Demanda, atendiendo las PQRS y demás requerimientos jurídicos relacionados con la certificación de proyectos de FNCE, GEE e Hidrógeno."/>
            <filter val="161-64 Prestar servicios de apoyo a la gestión para la proyección de las respuestas a las PQRS de la Subdirección de Demanda, estableciendo mecanismos de optimización para el cumplimiento de los términos legal e institucionalmente previstos."/>
            <filter val="161-69 Prestar servicios profesionales en la gestión de respuestas a las PQRS y demás trámites de índole jurídico radicadas en la entidad asociadas al trámite de incentivos tributarios, cumpliendo los términos legales."/>
            <filter val="161-70 Prestar servicios profesionales para la gestión jurídica relacionada con la sustanciación de los recursos de reposición y acciones de tutela contra las decisiones adoptadas en el trámite de incentivos tributarios."/>
            <filter val="161-71 Prestar servicios profesionales para la evaluación, análisis de la información de los proyectos de Fuentes No Convencionales de Energía y Gestión Eficiente de la Energía."/>
            <filter val="161-73 Prestar servicios profesionales para la comunicación , divulgación y socialización de la planeación energética con enfoque en descarbonización, conforme a los lineamientos de la UPME."/>
            <filter val="161-74  Prestar servicios profesionales orientados al fortalecimiento de la Dimensión de Control Interno mediante la ejecución del Plan Anual de Auditorías Internas Independientes, con énfasis en la evaluación de la gestión misional de la UPME."/>
            <filter val="161-8 Prestar servicios profesionales para la gestión contractual y el apoyo administrativo a la Subdirección de Demanda, así como para el análisis jurídico y la proyección de respuestas a las PQRS y demás trámites jurídicos de la entidad."/>
            <filter val="161-81 Prestar servicios profesionales orientados a la evaluación y análisis de la información correspondiente a los proyectos de Fuentes No Convencionales de Energía y de Gestión Eficiente de la Energía"/>
            <filter val="161-83 Prestar servicios profesionales orientados al fortalecimiento de la dimensión de control interno a través de la ejecución del Plan Anual de Auditorías, con énfasis en la Dirección y la Gestión Pública de la Entidad."/>
            <filter val="161-86 Prestar servicios profesionales orientados a los procesos de planeación minero energética mediante el  análisis de la información sectorial para la toma de decisiones estratégicas"/>
            <filter val="161-89 Prestar servicios de apoyo a la gestión en las labores administrativas relacionadas con los procesos y procedimientos a cargo de la Oficina Asesora Jurídica, para el logro de los objetivos institucionales de la UPME."/>
            <filter val="161-9 Prestar servicios profesionales para el análisis de información y documentos de los procesos de la Subdirección de Demanda y los asociados a la planeación energética de largo plazo e incentivos tributarios."/>
            <filter val="161-90 Prestar servicios profesionales de asesoria en los asuntos juridicos de compentencia de la Oficina Asesora Juridica de la UPME y lo que de ello se derive, en el marco de la gestión institucional de la Entidad."/>
            <filter val="161-91 Prestar servicios profesionales en asuntos juridicos relacionados con los procesos y procedimientos de competencia de la Oficina Asesora Juridica de la UPME, en el marco de la gestión institucional de la Entidad."/>
            <filter val="161-93 Prestar servicios profesionales para la proyección de documentos de contenido legal y apoyo de los asuntos de tipo juridico y judicial de competencia de la Oficina Asesora Jurídica de la UPME, en el marco de la gestión institucional de la Entidad"/>
            <filter val="161-94 Prestar servicios ​profesionales en asuntos jurídicos relacionados con las actuaciones administrativas y misionales de la UPME, en el marco de la gestión institucional de la Entidad."/>
            <filter val="161-98 Prestar servicios profesionales orientados al fortalecimiento de la Dimensión de Control Interno mediante la ejecución del Plan Anual de Auditorías Internas Independientes, con énfasis en la evaluación de la gestión administrativa de la UPME"/>
            <filter val="170-41 Adquirir el licenciamiento por suscripción para Plataforma de virtualización y almacenamiento en nube incluyendo la adquisición del hardware para Computación y Storage que soporta esta solución de Hiperconvergencia."/>
            <filter val="170-46 Adquirir el licenciamiento por suscripción para Plataforma de virtualización y almacenamiento en nube incluyendo la adquisición del hardware para Computación y Storage que soporta esta solución de Hiperconvergencia."/>
            <filter val="180-10 Adquirir el licenciamiento por suscripción para Plataforma de virtualización y almacenamiento en nube incluyendo la adquisición del hardware para Computación y Storage que soporta esta solución de Hiperconvergencia."/>
            <filter val="180-11 Adquirir el licenciamiento por suscripción para Plataforma de virtualización y almacenamiento en nube incluyendo la adquisición del hardware para Computación y Storage que soporta esta solución de Hiperconvergencia."/>
          </filters>
        </filterColumn>
      </autoFilter>
    </customSheetView>
    <customSheetView guid="{F27BDD8C-7F03-495B-8D98-FCA0765E4AF6}" filter="1" showAutoFilter="1">
      <pageMargins left="0.7" right="0.7" top="0.75" bottom="0.75" header="0.3" footer="0.3"/>
      <autoFilter ref="A1:EK914" xr:uid="{40C72B35-4DE9-49F9-9005-B0501ED3BC89}">
        <filterColumn colId="3">
          <filters>
            <filter val="Enfoque Territorial"/>
            <filter val="N/A"/>
            <filter val="Transversal"/>
          </filters>
        </filterColumn>
      </autoFilter>
    </customSheetView>
    <customSheetView guid="{D8FF9E55-3BCF-4069-A1A3-79B0C231303C}" filter="1" showAutoFilter="1">
      <pageMargins left="0.7" right="0.7" top="0.75" bottom="0.75" header="0.3" footer="0.3"/>
      <autoFilter ref="A1:EK962" xr:uid="{4B5A507F-7F83-49DB-AB25-A0B04D4537EC}">
        <filterColumn colId="0">
          <filters>
            <filter val="Inversión"/>
          </filters>
        </filterColumn>
        <filterColumn colId="3">
          <filters blank="1">
            <filter val="Minería"/>
            <filter val="N/A"/>
          </filters>
        </filterColumn>
        <filterColumn colId="89">
          <filters>
            <filter val="10026"/>
            <filter val="10126"/>
            <filter val="10826"/>
            <filter val="10926"/>
            <filter val="11126"/>
            <filter val="11226"/>
            <filter val="11326"/>
            <filter val="11426"/>
            <filter val="11526"/>
            <filter val="11626"/>
            <filter val="11726"/>
            <filter val="11826"/>
            <filter val="12126"/>
            <filter val="12226"/>
            <filter val="12326"/>
            <filter val="12426"/>
            <filter val="12526"/>
            <filter val="126"/>
            <filter val="12626"/>
            <filter val="12726"/>
            <filter val="12826"/>
            <filter val="12926"/>
            <filter val="13126"/>
            <filter val="13226"/>
            <filter val="1326"/>
            <filter val="13326"/>
            <filter val="13426"/>
            <filter val="13526"/>
            <filter val="13626"/>
            <filter val="13726"/>
            <filter val="13826"/>
            <filter val="14126"/>
            <filter val="14226"/>
            <filter val="1426"/>
            <filter val="14426"/>
            <filter val="14526"/>
            <filter val="14826"/>
            <filter val="14926"/>
            <filter val="15026"/>
            <filter val="15126"/>
            <filter val="15226"/>
            <filter val="1526"/>
            <filter val="15326"/>
            <filter val="15726"/>
            <filter val="15826"/>
            <filter val="15926"/>
            <filter val="16026"/>
            <filter val="16226"/>
            <filter val="1626"/>
            <filter val="16326"/>
            <filter val="16426"/>
            <filter val="16526"/>
            <filter val="16626"/>
            <filter val="16826"/>
            <filter val="16926"/>
            <filter val="17026"/>
            <filter val="17226"/>
            <filter val="17326"/>
            <filter val="17426"/>
            <filter val="17526"/>
            <filter val="17626"/>
            <filter val="17726"/>
            <filter val="17826"/>
            <filter val="17926"/>
            <filter val="18026"/>
            <filter val="18226"/>
            <filter val="18426"/>
            <filter val="18526"/>
            <filter val="18626"/>
            <filter val="18926"/>
            <filter val="19026"/>
            <filter val="19126"/>
            <filter val="19226"/>
            <filter val="1926"/>
            <filter val="19326"/>
            <filter val="19426"/>
            <filter val="19526"/>
            <filter val="19626"/>
            <filter val="19726"/>
            <filter val="19826"/>
            <filter val="19926"/>
            <filter val="20026"/>
            <filter val="20226"/>
            <filter val="2026"/>
            <filter val="20326"/>
            <filter val="20426"/>
            <filter val="20526"/>
            <filter val="20626"/>
            <filter val="20726"/>
            <filter val="20826"/>
            <filter val="20926"/>
            <filter val="21026"/>
            <filter val="21126"/>
            <filter val="2126"/>
            <filter val="21826"/>
            <filter val="21926"/>
            <filter val="22026"/>
            <filter val="2226"/>
            <filter val="22326"/>
            <filter val="22426"/>
            <filter val="22526"/>
            <filter val="226"/>
            <filter val="22626"/>
            <filter val="22926"/>
            <filter val="23026"/>
            <filter val="23126"/>
            <filter val="2326"/>
            <filter val="23526"/>
            <filter val="23626"/>
            <filter val="23726"/>
            <filter val="23826"/>
            <filter val="23926"/>
            <filter val="24026"/>
            <filter val="24126"/>
            <filter val="24226"/>
            <filter val="2426"/>
            <filter val="24326"/>
            <filter val="24426"/>
            <filter val="24526"/>
            <filter val="24626"/>
            <filter val="24826"/>
            <filter val="24926"/>
            <filter val="25026"/>
            <filter val="25126"/>
            <filter val="25226"/>
            <filter val="2526"/>
            <filter val="25326"/>
            <filter val="25426"/>
            <filter val="25526"/>
            <filter val="25626"/>
            <filter val="25726"/>
            <filter val="25826"/>
            <filter val="25926"/>
            <filter val="26026"/>
            <filter val="26126"/>
            <filter val="26226"/>
            <filter val="2626"/>
            <filter val="26326"/>
            <filter val="26426"/>
            <filter val="26626"/>
            <filter val="26726"/>
            <filter val="26826"/>
            <filter val="26926"/>
            <filter val="27026"/>
            <filter val="27126"/>
            <filter val="27226"/>
            <filter val="2726"/>
            <filter val="27326"/>
            <filter val="27426"/>
            <filter val="27526"/>
            <filter val="27626"/>
            <filter val="27726"/>
            <filter val="27826"/>
            <filter val="27926"/>
            <filter val="28026"/>
            <filter val="28126"/>
            <filter val="28226"/>
            <filter val="2826"/>
            <filter val="28326"/>
            <filter val="28426"/>
            <filter val="28526"/>
            <filter val="28626"/>
            <filter val="28726"/>
            <filter val="28926"/>
            <filter val="29026"/>
            <filter val="29126"/>
            <filter val="29226"/>
            <filter val="2926"/>
            <filter val="29326"/>
            <filter val="29426"/>
            <filter val="29526"/>
            <filter val="29626"/>
            <filter val="29726"/>
            <filter val="29826"/>
            <filter val="29926"/>
            <filter val="30026"/>
            <filter val="30126"/>
            <filter val="30226"/>
            <filter val="3026"/>
            <filter val="30326"/>
            <filter val="30426"/>
            <filter val="30526"/>
            <filter val="30726"/>
            <filter val="30826"/>
            <filter val="30926"/>
            <filter val="31026"/>
            <filter val="31226"/>
            <filter val="31326"/>
            <filter val="31426"/>
            <filter val="31526"/>
            <filter val="31626"/>
            <filter val="31726"/>
            <filter val="31826"/>
            <filter val="31926"/>
            <filter val="32026"/>
            <filter val="32126"/>
            <filter val="32226"/>
            <filter val="3226"/>
            <filter val="32326"/>
            <filter val="32426"/>
            <filter val="32526"/>
            <filter val="326"/>
            <filter val="32626"/>
            <filter val="32726"/>
            <filter val="32826"/>
            <filter val="32926"/>
            <filter val="33026"/>
            <filter val="3326"/>
            <filter val="33426"/>
            <filter val="33526"/>
            <filter val="33626"/>
            <filter val="33726"/>
            <filter val="33826"/>
            <filter val="33926"/>
            <filter val="34026"/>
            <filter val="34126"/>
            <filter val="34226"/>
            <filter val="3426"/>
            <filter val="34326"/>
            <filter val="34426"/>
            <filter val="34526"/>
            <filter val="34626"/>
            <filter val="34826"/>
            <filter val="34926"/>
            <filter val="35026"/>
            <filter val="35126"/>
            <filter val="35226"/>
            <filter val="35326"/>
            <filter val="35426"/>
            <filter val="35526"/>
            <filter val="35726"/>
            <filter val="35826"/>
            <filter val="35926"/>
            <filter val="36026"/>
            <filter val="36126"/>
            <filter val="36226"/>
            <filter val="36326"/>
            <filter val="36426"/>
            <filter val="36526"/>
            <filter val="36626"/>
            <filter val="36726"/>
            <filter val="36826"/>
            <filter val="36926"/>
            <filter val="37026"/>
            <filter val="37126"/>
            <filter val="37226"/>
            <filter val="3726"/>
            <filter val="37326"/>
            <filter val="37426"/>
            <filter val="37526"/>
            <filter val="37626"/>
            <filter val="37726"/>
            <filter val="37826"/>
            <filter val="37926"/>
            <filter val="38026"/>
            <filter val="38126"/>
            <filter val="38226"/>
            <filter val="38326"/>
            <filter val="38426"/>
            <filter val="38526"/>
            <filter val="38626"/>
            <filter val="39226"/>
            <filter val="39326"/>
            <filter val="39426"/>
            <filter val="39626"/>
            <filter val="39726"/>
            <filter val="39826"/>
            <filter val="39926"/>
            <filter val="40026"/>
            <filter val="40126"/>
            <filter val="40226"/>
            <filter val="40326"/>
            <filter val="40426"/>
            <filter val="40526"/>
            <filter val="40826"/>
            <filter val="40926"/>
            <filter val="41026"/>
            <filter val="41126"/>
            <filter val="41226"/>
            <filter val="41326"/>
            <filter val="41426"/>
            <filter val="41526"/>
            <filter val="41626"/>
            <filter val="41726"/>
            <filter val="41826"/>
            <filter val="41926"/>
            <filter val="42026"/>
            <filter val="42126"/>
            <filter val="42226"/>
            <filter val="4226"/>
            <filter val="42326"/>
            <filter val="42426"/>
            <filter val="42526"/>
            <filter val="426"/>
            <filter val="42726"/>
            <filter val="42826"/>
            <filter val="42926"/>
            <filter val="43026"/>
            <filter val="43126"/>
            <filter val="43226"/>
            <filter val="4326"/>
            <filter val="43326"/>
            <filter val="43426"/>
            <filter val="43526"/>
            <filter val="43626"/>
            <filter val="43726"/>
            <filter val="43826"/>
            <filter val="43926"/>
            <filter val="44026"/>
            <filter val="44126"/>
            <filter val="4426"/>
            <filter val="44326"/>
            <filter val="44426"/>
            <filter val="44526"/>
            <filter val="44626"/>
            <filter val="44726"/>
            <filter val="44826"/>
            <filter val="44926"/>
            <filter val="45026"/>
            <filter val="45126"/>
            <filter val="45226"/>
            <filter val="4526"/>
            <filter val="45326"/>
            <filter val="45426"/>
            <filter val="45526"/>
            <filter val="45626"/>
            <filter val="45726"/>
            <filter val="45926"/>
            <filter val="46026"/>
            <filter val="46226"/>
            <filter val="46326"/>
            <filter val="46426"/>
            <filter val="46526"/>
            <filter val="46626"/>
            <filter val="46726"/>
            <filter val="46926"/>
            <filter val="47226"/>
            <filter val="4726"/>
            <filter val="47326"/>
            <filter val="47526"/>
            <filter val="47626"/>
            <filter val="47726"/>
            <filter val="47826"/>
            <filter val="47926"/>
            <filter val="48026"/>
            <filter val="48126"/>
            <filter val="48326"/>
            <filter val="48426"/>
            <filter val="48526"/>
            <filter val="48626"/>
            <filter val="48726"/>
            <filter val="48826"/>
            <filter val="48926"/>
            <filter val="49026"/>
            <filter val="49226"/>
            <filter val="49326"/>
            <filter val="49526"/>
            <filter val="49626"/>
            <filter val="49726"/>
            <filter val="49826"/>
            <filter val="50026"/>
            <filter val="50226"/>
            <filter val="5026"/>
            <filter val="50326"/>
            <filter val="50426"/>
            <filter val="50526"/>
            <filter val="50626"/>
            <filter val="50726"/>
            <filter val="50826"/>
            <filter val="50926"/>
            <filter val="51026"/>
            <filter val="51126"/>
            <filter val="51226"/>
            <filter val="5126"/>
            <filter val="51326"/>
            <filter val="51426"/>
            <filter val="51626"/>
            <filter val="51726"/>
            <filter val="51826"/>
            <filter val="51926"/>
            <filter val="52026"/>
            <filter val="52126"/>
            <filter val="5226"/>
            <filter val="52326"/>
            <filter val="52426"/>
            <filter val="52526"/>
            <filter val="52626"/>
            <filter val="52726"/>
            <filter val="52826"/>
            <filter val="52926"/>
            <filter val="53026"/>
            <filter val="53126"/>
            <filter val="53226"/>
            <filter val="5326"/>
            <filter val="53526"/>
            <filter val="53626"/>
            <filter val="53726"/>
            <filter val="53826"/>
            <filter val="53926"/>
            <filter val="54026"/>
            <filter val="54126"/>
            <filter val="54226"/>
            <filter val="5426"/>
            <filter val="54326"/>
            <filter val="54426"/>
            <filter val="54526"/>
            <filter val="54626"/>
            <filter val="54726"/>
            <filter val="54926"/>
            <filter val="55026"/>
            <filter val="55126"/>
            <filter val="55226"/>
            <filter val="5526"/>
            <filter val="55326"/>
            <filter val="55326.55626"/>
            <filter val="55426"/>
            <filter val="55526"/>
            <filter val="55626"/>
            <filter val="55726"/>
            <filter val="55826"/>
            <filter val="55926"/>
            <filter val="56026"/>
            <filter val="56126"/>
            <filter val="56226"/>
            <filter val="5626"/>
            <filter val="56326"/>
            <filter val="56426"/>
            <filter val="56526"/>
            <filter val="56626"/>
            <filter val="56826"/>
            <filter val="56926"/>
            <filter val="57026"/>
            <filter val="57126"/>
            <filter val="57226"/>
            <filter val="5726"/>
            <filter val="57326"/>
            <filter val="57426"/>
            <filter val="57526"/>
            <filter val="57626"/>
            <filter val="57726"/>
            <filter val="57826"/>
            <filter val="57926"/>
            <filter val="58126"/>
            <filter val="58226"/>
            <filter val="5826"/>
            <filter val="58326"/>
            <filter val="58426"/>
            <filter val="58526"/>
            <filter val="58726"/>
            <filter val="58826"/>
            <filter val="58926"/>
            <filter val="59026"/>
            <filter val="59126"/>
            <filter val="59226"/>
            <filter val="5926"/>
            <filter val="59426"/>
            <filter val="59526"/>
            <filter val="59626"/>
            <filter val="59726"/>
            <filter val="59926"/>
            <filter val="60026"/>
            <filter val="60126"/>
            <filter val="60226"/>
            <filter val="6026"/>
            <filter val="60326"/>
            <filter val="60426"/>
            <filter val="60526"/>
            <filter val="60626"/>
            <filter val="60726"/>
            <filter val="60826"/>
            <filter val="60926"/>
            <filter val="61026"/>
            <filter val="61126"/>
            <filter val="61226"/>
            <filter val="6126"/>
            <filter val="61326"/>
            <filter val="61426"/>
            <filter val="61726"/>
            <filter val="61826"/>
            <filter val="61926"/>
            <filter val="62026"/>
            <filter val="62126"/>
            <filter val="62226"/>
            <filter val="6226"/>
            <filter val="62326"/>
            <filter val="62426"/>
            <filter val="62526"/>
            <filter val="62626"/>
            <filter val="62726"/>
            <filter val="62826"/>
            <filter val="62926"/>
            <filter val="63026"/>
            <filter val="63126"/>
            <filter val="63226"/>
            <filter val="63326"/>
            <filter val="63426"/>
            <filter val="63526"/>
            <filter val="63626"/>
            <filter val="63726"/>
            <filter val="63826"/>
            <filter val="63926"/>
            <filter val="64126"/>
            <filter val="64226"/>
            <filter val="6426"/>
            <filter val="64326"/>
            <filter val="64426"/>
            <filter val="64626"/>
            <filter val="64726"/>
            <filter val="64826"/>
            <filter val="64926"/>
            <filter val="65026"/>
            <filter val="65126"/>
            <filter val="65226"/>
            <filter val="6526"/>
            <filter val="65326"/>
            <filter val="65426"/>
            <filter val="65526"/>
            <filter val="65626"/>
            <filter val="65726"/>
            <filter val="65826"/>
            <filter val="65926"/>
            <filter val="66126"/>
            <filter val="6626"/>
            <filter val="66426.69526"/>
            <filter val="66526"/>
            <filter val="66626"/>
            <filter val="66726"/>
            <filter val="66826"/>
            <filter val="66926"/>
            <filter val="67126"/>
            <filter val="67226"/>
            <filter val="6726"/>
            <filter val="67326"/>
            <filter val="67426"/>
            <filter val="67526"/>
            <filter val="67626"/>
            <filter val="67726"/>
            <filter val="67826"/>
            <filter val="67926"/>
            <filter val="68026"/>
            <filter val="68126"/>
            <filter val="68426"/>
            <filter val="68526"/>
            <filter val="68826"/>
            <filter val="68926.69726"/>
            <filter val="69026"/>
            <filter val="69126"/>
            <filter val="69226"/>
            <filter val="6926"/>
            <filter val="69426"/>
            <filter val="70,026"/>
            <filter val="7026"/>
            <filter val="70526"/>
            <filter val="70726"/>
            <filter val="7126"/>
            <filter val="71426"/>
            <filter val="71526"/>
            <filter val="71626"/>
            <filter val="71926"/>
            <filter val="72126"/>
            <filter val="7326"/>
            <filter val="7426"/>
            <filter val="7526"/>
            <filter val="7626"/>
            <filter val="7726"/>
            <filter val="7826"/>
            <filter val="8026"/>
            <filter val="8126"/>
            <filter val="8226"/>
            <filter val="8426"/>
            <filter val="8626"/>
            <filter val="8726"/>
            <filter val="8826"/>
            <filter val="8926"/>
            <filter val="9026"/>
            <filter val="9126"/>
            <filter val="9226"/>
            <filter val="9326"/>
            <filter val="9426"/>
            <filter val="9526"/>
            <filter val="9626"/>
            <filter val="9826"/>
            <filter val="9926"/>
          </filters>
        </filterColumn>
      </autoFilter>
    </customSheetView>
    <customSheetView guid="{F42701DB-D541-4952-8D8D-FFEF9B4F5C42}" filter="1" showAutoFilter="1">
      <pageMargins left="0.7" right="0.7" top="0.75" bottom="0.75" header="0.3" footer="0.3"/>
      <autoFilter ref="A1:EK962" xr:uid="{437A18A8-7CE5-4B66-B653-073ED3149EB0}">
        <filterColumn colId="89">
          <filters>
            <filter val="55326.55626"/>
            <filter val="66426.69526"/>
            <filter val="68826"/>
            <filter val="68926.69726"/>
            <filter val="70,026"/>
          </filters>
        </filterColumn>
      </autoFilter>
    </customSheetView>
    <customSheetView guid="{5C379220-B143-4FF9-8487-82ADA7CCED97}" filter="1" showAutoFilter="1">
      <pageMargins left="0.7" right="0.7" top="0.75" bottom="0.75" header="0.3" footer="0.3"/>
      <autoFilter ref="A1:EK1102" xr:uid="{48D02CE3-957F-4693-9D0F-E7B783D1E53E}">
        <filterColumn colId="0">
          <filters>
            <filter val="Inversión"/>
          </filters>
        </filterColumn>
        <filterColumn colId="7">
          <filters blank="1">
            <filter val="111-1"/>
            <filter val="111-10"/>
            <filter val="111-11"/>
            <filter val="111-12"/>
            <filter val="111-13"/>
            <filter val="111-14"/>
            <filter val="111-15"/>
            <filter val="111-16"/>
            <filter val="111-17"/>
            <filter val="111-18"/>
            <filter val="111-19"/>
            <filter val="111-2"/>
            <filter val="111-20"/>
            <filter val="111-21"/>
            <filter val="111-22"/>
            <filter val="111-23"/>
            <filter val="111-24"/>
            <filter val="111-25"/>
            <filter val="111-26"/>
            <filter val="111-27"/>
            <filter val="111-28"/>
            <filter val="111-29"/>
            <filter val="111-3"/>
            <filter val="111-30"/>
            <filter val="111-31"/>
            <filter val="111-32"/>
            <filter val="111-33"/>
            <filter val="111-34"/>
            <filter val="111-35"/>
            <filter val="111-36"/>
            <filter val="111-37"/>
            <filter val="111-38"/>
            <filter val="111-39"/>
            <filter val="111-4"/>
            <filter val="111-40"/>
            <filter val="111-41"/>
            <filter val="111-42"/>
            <filter val="111-43"/>
            <filter val="111-44"/>
            <filter val="111-45"/>
            <filter val="111-5"/>
            <filter val="111-6"/>
            <filter val="111-7"/>
            <filter val="111-8"/>
            <filter val="111-9"/>
            <filter val="161-1"/>
            <filter val="161-10"/>
            <filter val="161-100"/>
            <filter val="161-101"/>
            <filter val="161-102"/>
            <filter val="161-103"/>
            <filter val="161-104"/>
            <filter val="161-105"/>
            <filter val="161-106"/>
            <filter val="161-107"/>
            <filter val="161-108"/>
            <filter val="161-109"/>
            <filter val="161-11"/>
            <filter val="161-110"/>
            <filter val="161-111"/>
            <filter val="161-112"/>
            <filter val="161-113"/>
            <filter val="161-114"/>
            <filter val="161-115"/>
            <filter val="161-116"/>
            <filter val="161-117"/>
            <filter val="161-118"/>
            <filter val="161-119"/>
            <filter val="161-12"/>
            <filter val="161-120"/>
            <filter val="161-121"/>
            <filter val="161-122"/>
            <filter val="161-123"/>
            <filter val="161-124"/>
            <filter val="161-125"/>
            <filter val="161-126"/>
            <filter val="161-127"/>
            <filter val="161-128"/>
            <filter val="161-129"/>
            <filter val="161-13"/>
            <filter val="161-130"/>
            <filter val="161-131"/>
            <filter val="161-132"/>
            <filter val="161-133"/>
            <filter val="161-134"/>
            <filter val="161-14"/>
            <filter val="161-15"/>
            <filter val="161-16"/>
            <filter val="161-17"/>
            <filter val="161-18"/>
            <filter val="161-19"/>
            <filter val="161-2"/>
            <filter val="161-20"/>
            <filter val="161-21"/>
            <filter val="161-22"/>
            <filter val="161-23"/>
            <filter val="161-24"/>
            <filter val="161-25"/>
            <filter val="161-26"/>
            <filter val="161-27"/>
            <filter val="161-28"/>
            <filter val="161-29"/>
            <filter val="161-3"/>
            <filter val="161-30"/>
            <filter val="161-31"/>
            <filter val="161-32"/>
            <filter val="161-33"/>
            <filter val="161-34"/>
            <filter val="161-35"/>
            <filter val="161-36"/>
            <filter val="161-37"/>
            <filter val="161-38"/>
            <filter val="161-39"/>
            <filter val="161-4"/>
            <filter val="161-40"/>
            <filter val="161-41"/>
            <filter val="161-42"/>
            <filter val="161-43"/>
            <filter val="161-44"/>
            <filter val="161-45"/>
            <filter val="161-46"/>
            <filter val="161-47"/>
            <filter val="161-48"/>
            <filter val="161-49"/>
            <filter val="161-5"/>
            <filter val="161-50"/>
            <filter val="161-51"/>
            <filter val="161-52"/>
            <filter val="161-53"/>
            <filter val="161-54"/>
            <filter val="161-55"/>
            <filter val="161-56"/>
            <filter val="161-57"/>
            <filter val="161-58"/>
            <filter val="161-59"/>
            <filter val="161-6"/>
            <filter val="161-60"/>
            <filter val="161-61"/>
            <filter val="161-62"/>
            <filter val="161-63"/>
            <filter val="161-64"/>
            <filter val="161-65"/>
            <filter val="161-66"/>
            <filter val="161-67"/>
            <filter val="161-68"/>
            <filter val="161-69"/>
            <filter val="161-7"/>
            <filter val="161-70"/>
            <filter val="161-71"/>
            <filter val="161-72"/>
            <filter val="161-73"/>
            <filter val="161-74"/>
            <filter val="161-75"/>
            <filter val="161-76"/>
            <filter val="161-77"/>
            <filter val="161-78"/>
            <filter val="161-79"/>
            <filter val="161-8"/>
            <filter val="161-80"/>
            <filter val="161-81"/>
            <filter val="161-82"/>
            <filter val="161-83"/>
            <filter val="161-84"/>
            <filter val="161-85"/>
            <filter val="161-86"/>
            <filter val="161-87"/>
            <filter val="161-88"/>
            <filter val="161-89"/>
            <filter val="161-9"/>
            <filter val="161-90"/>
            <filter val="161-91"/>
            <filter val="161-92"/>
            <filter val="161-93"/>
            <filter val="161-94"/>
            <filter val="161-95"/>
            <filter val="161-96"/>
            <filter val="161-97"/>
            <filter val="161-98"/>
            <filter val="161-99"/>
            <filter val="180-35"/>
            <filter val="180-43"/>
          </filters>
        </filterColumn>
      </autoFilter>
    </customSheetView>
    <customSheetView guid="{94DC759F-8A29-4EB7-AAFC-FC1F107D49E4}" filter="1" showAutoFilter="1">
      <pageMargins left="0.7" right="0.7" top="0.75" bottom="0.75" header="0.3" footer="0.3"/>
      <autoFilter ref="A1:EL1102" xr:uid="{4751E2AC-F0DC-4474-9407-C2089EB46C4C}">
        <filterColumn colId="3">
          <filters>
            <filter val="TIC"/>
          </filters>
        </filterColumn>
        <filterColumn colId="10">
          <filters blank="1">
            <filter val="Administrar de manera eficiente el Software a nivel Institucional, de cara a la mejora de los productos y servicios prestados a la ciudadanía."/>
            <filter val="Apropiar insumos para el análisis de Mercado Internacional de minerales y sus tendencias a largo plazo."/>
            <filter val="Apropiar Insumos para el análisis de Mercado Nacional e internacional de minerales y sus encadenamientos productivos."/>
            <filter val="Capacitar interesados en la presentación de proyectos de inversión."/>
            <filter val="Capacitar organizaciones y usuarios en general en las regiones."/>
            <filter val="Configurar entornos de aprendizaje, intercambio y difusión de conocimiento asociados a prácticas clave de la entidad y su información minero energética, entre los servidores públicos y los grupos de valor."/>
            <filter val="Definir e implementar lineamientos articulados de gestión institucional con enfoque territorial ambiental y social."/>
            <filter val="Desarrollar el proceso de divulgación."/>
            <filter val="Desarrollar herramientas para el análisis, proyección y divulgación de la información minera."/>
            <filter val="Desarrollar la gestión del conocimiento mediante la generación, producción y validación de los documentos metodológicos para la toma de decisiones en los procesos y actividades de la entidad, asegurando su alineación con las estrategias institucionales."/>
            <filter val="Desarrollo"/>
            <filter val="Diagnóstico"/>
            <filter val="Diseñar la estrategia de comunicación y participación con actores, territorio y sector, que mejoren el relacionamiento con dichos actores bajo el Enfoque Territorial."/>
            <filter val="Diseñar y ejecutar el plan de fortalecimiento de competencias técnicas especializadas para la planeación minero energética."/>
            <filter val="Diseño técnico y funcional."/>
            <filter val="Divulgación"/>
            <filter val="Documento con el diseño metodológico."/>
            <filter val="Documento con la descripción de procesos, métodos y herramientas."/>
            <filter val="Documento con los resultados de las validaciones."/>
            <filter val="Documento de planeación preliminar."/>
            <filter val="Documento de planeación validado."/>
            <filter val="Documento metodológico preliminar."/>
            <filter val="Documento metodológico validado."/>
            <filter val="Estructurar los documentos técnicos y jurídicos para los procesos de convocatorias y subastas."/>
            <filter val="Identificar e incorporar variables sociales, ambientales y territoriales en los documentos de planeación minero energética."/>
            <filter val="Implementar la estrategia de comunicación y participación con actores, territorio y sector, que mejoren el relacionamiento con dichos actores bajo el Enfoque Territorial."/>
            <filter val="Monitorear los resultados e impactos de los proyectos en ejecución de los procesos de convocatorias y subastas."/>
            <filter val="N.A"/>
            <filter val="Plan de trabajo."/>
            <filter val="Planificar y coordinar la apropiación e implementación del MIPG."/>
            <filter val="Pruebas y aseguramiento de calidad."/>
            <filter val="Realizar acciones que faciliten la articulación de los instrumentos de planeación, de cara a la mejora de los productos y servicios prestados a la ciudadanía."/>
            <filter val="Realizar la formulación de políticas, estrategias, proyectos y planes encaminadas a lograr los objetivos institucionales en desarrollo de su misión."/>
            <filter val="Realizar la implementación de un esquema organizativo y de gobernabilidad para la gestión del conocimiento"/>
            <filter val="Realizar la programación y seguimiento a la ejecución de las políticas, estrategias, los planes y proyectos institucionales."/>
            <filter val="Realizar la recolección y procesamiento de la información."/>
            <filter val="Resultados análisis de información."/>
          </filters>
        </filterColumn>
      </autoFilter>
    </customSheetView>
  </customSheetViews>
  <mergeCells count="4">
    <mergeCell ref="A1:B6"/>
    <mergeCell ref="BG1:BG2"/>
    <mergeCell ref="BG3:BG4"/>
    <mergeCell ref="C1:AD6"/>
  </mergeCells>
  <dataValidations count="1">
    <dataValidation type="decimal" allowBlank="1" showInputMessage="1" showErrorMessage="1" prompt="PAC - Registre solo valores enteros " sqref="AE22:AS22 AU22:BB22 AF36:BA36 AF39:BA39 AF74 AH74:AP74 AR74:BA74 AE75:BB77 AE78:AS78 AU78:BB78 AO108:AT108 AE111:AF112 AH111:BB112 AE113:BB113 AE114:AF116 AH114:BB116 AE119:BB119 AF127 AH127:AQ127 AS127:BB127 AE132:BB132 AE134:BB134 AE139:BB140 AE143:BB143 AE146:BB146 AE159:BB159 AE162:BB174 AE193:BB193 AE205:BB208 AE214:BB214 AY233:BB233 AY236:BB236 AW237:BB237 AG254:AI254 AK254 AP254 AE258:AI258 AK258 AP258 AE260:BB262 AE263:AF264 AH263:BB264 AE265:BB275 AQ276:BB276 AE284:AF284 AH284:BB284 AE285:BB285 AE295:BB295 AE309:BB310 AE311:AF313 AH311:BB313 AE321:BB321 AE324:BB324 AE337:BB337 AE351:BB353 AE363:BB363 AE380:BB389 AE393:BB393 AE394:AF396 AH394:BB396 AE397:BB397 AE398:AF399 AH398:BB399 AE400:AM400 AO400 AQ400:BB400 AE401:BB401 AE403:BB410 AE411:AF412 AH411:BB412 AE491:AF491 AH491:BB491 AE493:BB493 AE594:BB596 AE610:BB612 AE614:BB615 AE644:BB644 AI646:BB646 AI647:AP647 AR647:BB647 AI648:BB648 AE715 AV715:BB715 AQ718:BB718 AE723:BB723 AE736:BB736 AE737:AE745 AX737:BB745 AE821:BB821 AO822:AR822 AE824:BB824 AE826:BB830 AE869:BB869 AE871:BB871 AH881:BB881 AE925:BB931 BG925:BG931" xr:uid="{00000000-0002-0000-0200-000000000000}">
      <formula1>0</formula1>
      <formula2>9.99999999999999E+39</formula2>
    </dataValidation>
  </dataValidations>
  <hyperlinks>
    <hyperlink ref="AD105" r:id="rId1" xr:uid="{00000000-0004-0000-0200-000000000000}"/>
    <hyperlink ref="AD106" r:id="rId2" xr:uid="{00000000-0004-0000-0200-000001000000}"/>
    <hyperlink ref="AD107" r:id="rId3" xr:uid="{00000000-0004-0000-0200-000002000000}"/>
    <hyperlink ref="AD276" r:id="rId4" xr:uid="{00000000-0004-0000-0200-000003000000}"/>
    <hyperlink ref="AD277" r:id="rId5" xr:uid="{00000000-0004-0000-0200-000004000000}"/>
    <hyperlink ref="AD278" r:id="rId6" xr:uid="{00000000-0004-0000-0200-000005000000}"/>
    <hyperlink ref="AD279" r:id="rId7" xr:uid="{00000000-0004-0000-0200-000006000000}"/>
    <hyperlink ref="AD280" r:id="rId8" xr:uid="{00000000-0004-0000-0200-000007000000}"/>
    <hyperlink ref="AD281" r:id="rId9" xr:uid="{00000000-0004-0000-0200-000008000000}"/>
    <hyperlink ref="AD282" r:id="rId10" xr:uid="{00000000-0004-0000-0200-000009000000}"/>
    <hyperlink ref="AD286" r:id="rId11" xr:uid="{00000000-0004-0000-0200-00000A000000}"/>
    <hyperlink ref="AD287" r:id="rId12" xr:uid="{00000000-0004-0000-0200-00000B000000}"/>
    <hyperlink ref="AD288" r:id="rId13" xr:uid="{00000000-0004-0000-0200-00000C000000}"/>
    <hyperlink ref="AD289" r:id="rId14" xr:uid="{00000000-0004-0000-0200-00000D000000}"/>
    <hyperlink ref="AD290" r:id="rId15" xr:uid="{00000000-0004-0000-0200-00000E000000}"/>
    <hyperlink ref="AD291" r:id="rId16" xr:uid="{00000000-0004-0000-0200-00000F000000}"/>
    <hyperlink ref="AD292" r:id="rId17" xr:uid="{00000000-0004-0000-0200-000010000000}"/>
    <hyperlink ref="AD293" r:id="rId18" xr:uid="{00000000-0004-0000-0200-000011000000}"/>
    <hyperlink ref="AD294" r:id="rId19" xr:uid="{00000000-0004-0000-0200-000012000000}"/>
    <hyperlink ref="AD295" r:id="rId20" xr:uid="{00000000-0004-0000-0200-000013000000}"/>
    <hyperlink ref="AD296" r:id="rId21" xr:uid="{00000000-0004-0000-0200-000014000000}"/>
    <hyperlink ref="AD297" r:id="rId22" xr:uid="{00000000-0004-0000-0200-000015000000}"/>
    <hyperlink ref="AD298" r:id="rId23" xr:uid="{00000000-0004-0000-0200-000016000000}"/>
    <hyperlink ref="AD299" r:id="rId24" xr:uid="{00000000-0004-0000-0200-000017000000}"/>
    <hyperlink ref="AD300" r:id="rId25" xr:uid="{00000000-0004-0000-0200-000018000000}"/>
    <hyperlink ref="AD301" r:id="rId26" xr:uid="{00000000-0004-0000-0200-000019000000}"/>
    <hyperlink ref="AD302" r:id="rId27" xr:uid="{00000000-0004-0000-0200-00001A000000}"/>
    <hyperlink ref="AD303" r:id="rId28" xr:uid="{00000000-0004-0000-0200-00001B000000}"/>
    <hyperlink ref="AD304" r:id="rId29" xr:uid="{00000000-0004-0000-0200-00001C000000}"/>
    <hyperlink ref="AD305" r:id="rId30" xr:uid="{00000000-0004-0000-0200-00001D000000}"/>
    <hyperlink ref="AD306" r:id="rId31" xr:uid="{00000000-0004-0000-0200-00001E000000}"/>
    <hyperlink ref="AD307" r:id="rId32" xr:uid="{00000000-0004-0000-0200-00001F000000}"/>
    <hyperlink ref="AD308" r:id="rId33" xr:uid="{00000000-0004-0000-0200-000020000000}"/>
    <hyperlink ref="AD311" r:id="rId34" xr:uid="{00000000-0004-0000-0200-000021000000}"/>
    <hyperlink ref="AD312" r:id="rId35" xr:uid="{00000000-0004-0000-0200-000022000000}"/>
    <hyperlink ref="AD313" r:id="rId36" xr:uid="{00000000-0004-0000-0200-000023000000}"/>
  </hyperlinks>
  <printOptions horizontalCentered="1"/>
  <pageMargins left="0.39370078740157499" right="0.39370078740157499" top="0.39370078740157499" bottom="0.39370078740157499" header="0" footer="0"/>
  <pageSetup paperSize="14" scale="45" orientation="landscape"/>
  <headerFooter>
    <oddFooter>&amp;RDE01 F15 V8 (2020-12-07)</oddFooter>
  </headerFooter>
  <drawing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EK3"/>
  <sheetViews>
    <sheetView workbookViewId="0">
      <pane ySplit="1" topLeftCell="A2" activePane="bottomLeft" state="frozen"/>
      <selection pane="bottomLeft" activeCell="B3" sqref="B3"/>
    </sheetView>
  </sheetViews>
  <sheetFormatPr baseColWidth="10" defaultColWidth="14.44140625" defaultRowHeight="15" customHeight="1" x14ac:dyDescent="0.3"/>
  <sheetData>
    <row r="1" spans="1:141" x14ac:dyDescent="0.3">
      <c r="A1" s="57" t="s">
        <v>114</v>
      </c>
      <c r="B1" s="58" t="s">
        <v>0</v>
      </c>
      <c r="C1" s="58" t="s">
        <v>115</v>
      </c>
      <c r="D1" s="58" t="s">
        <v>59</v>
      </c>
      <c r="E1" s="58" t="s">
        <v>116</v>
      </c>
      <c r="F1" s="58" t="s">
        <v>117</v>
      </c>
      <c r="G1" s="58" t="s">
        <v>118</v>
      </c>
      <c r="H1" s="58" t="s">
        <v>119</v>
      </c>
      <c r="I1" s="58" t="s">
        <v>120</v>
      </c>
      <c r="J1" s="58" t="s">
        <v>1</v>
      </c>
      <c r="K1" s="58" t="s">
        <v>69</v>
      </c>
      <c r="L1" s="58" t="s">
        <v>121</v>
      </c>
      <c r="M1" s="58" t="s">
        <v>2</v>
      </c>
      <c r="N1" s="58" t="s">
        <v>122</v>
      </c>
      <c r="O1" s="58" t="s">
        <v>123</v>
      </c>
      <c r="P1" s="58" t="s">
        <v>124</v>
      </c>
      <c r="Q1" s="58" t="s">
        <v>125</v>
      </c>
      <c r="R1" s="58" t="s">
        <v>126</v>
      </c>
      <c r="S1" s="59" t="s">
        <v>127</v>
      </c>
      <c r="T1" s="58" t="s">
        <v>128</v>
      </c>
      <c r="U1" s="58" t="s">
        <v>129</v>
      </c>
      <c r="V1" s="58" t="s">
        <v>111</v>
      </c>
      <c r="W1" s="60" t="s">
        <v>130</v>
      </c>
      <c r="X1" s="60" t="s">
        <v>131</v>
      </c>
      <c r="Y1" s="58" t="s">
        <v>132</v>
      </c>
      <c r="Z1" s="58" t="s">
        <v>133</v>
      </c>
      <c r="AA1" s="58" t="s">
        <v>134</v>
      </c>
      <c r="AB1" s="58" t="s">
        <v>135</v>
      </c>
      <c r="AC1" s="58" t="s">
        <v>136</v>
      </c>
      <c r="AD1" s="58" t="s">
        <v>137</v>
      </c>
      <c r="AE1" s="60" t="s">
        <v>138</v>
      </c>
      <c r="AF1" s="60" t="s">
        <v>139</v>
      </c>
      <c r="AG1" s="60" t="s">
        <v>140</v>
      </c>
      <c r="AH1" s="60" t="s">
        <v>141</v>
      </c>
      <c r="AI1" s="60" t="s">
        <v>142</v>
      </c>
      <c r="AJ1" s="60" t="s">
        <v>143</v>
      </c>
      <c r="AK1" s="60" t="s">
        <v>144</v>
      </c>
      <c r="AL1" s="60" t="s">
        <v>145</v>
      </c>
      <c r="AM1" s="60" t="s">
        <v>146</v>
      </c>
      <c r="AN1" s="60" t="s">
        <v>147</v>
      </c>
      <c r="AO1" s="60" t="s">
        <v>148</v>
      </c>
      <c r="AP1" s="60" t="s">
        <v>149</v>
      </c>
      <c r="AQ1" s="60" t="s">
        <v>150</v>
      </c>
      <c r="AR1" s="60" t="s">
        <v>151</v>
      </c>
      <c r="AS1" s="60" t="s">
        <v>152</v>
      </c>
      <c r="AT1" s="60" t="s">
        <v>153</v>
      </c>
      <c r="AU1" s="60" t="s">
        <v>154</v>
      </c>
      <c r="AV1" s="60" t="s">
        <v>155</v>
      </c>
      <c r="AW1" s="60" t="s">
        <v>156</v>
      </c>
      <c r="AX1" s="60" t="s">
        <v>157</v>
      </c>
      <c r="AY1" s="60" t="s">
        <v>158</v>
      </c>
      <c r="AZ1" s="60" t="s">
        <v>159</v>
      </c>
      <c r="BA1" s="60" t="s">
        <v>160</v>
      </c>
      <c r="BB1" s="60" t="s">
        <v>161</v>
      </c>
      <c r="BC1" s="60" t="s">
        <v>162</v>
      </c>
      <c r="BD1" s="60" t="s">
        <v>163</v>
      </c>
      <c r="BE1" s="60" t="s">
        <v>164</v>
      </c>
      <c r="BF1" s="60" t="s">
        <v>165</v>
      </c>
      <c r="BG1" s="58" t="s">
        <v>166</v>
      </c>
      <c r="BH1" s="58" t="s">
        <v>167</v>
      </c>
      <c r="BI1" s="58" t="s">
        <v>168</v>
      </c>
      <c r="BJ1" s="60" t="s">
        <v>169</v>
      </c>
      <c r="BK1" s="58" t="s">
        <v>170</v>
      </c>
      <c r="BL1" s="58" t="s">
        <v>171</v>
      </c>
      <c r="BM1" s="58" t="s">
        <v>172</v>
      </c>
      <c r="BN1" s="58" t="s">
        <v>173</v>
      </c>
      <c r="BO1" s="58" t="s">
        <v>174</v>
      </c>
      <c r="BP1" s="58" t="s">
        <v>175</v>
      </c>
      <c r="BQ1" s="58" t="s">
        <v>176</v>
      </c>
      <c r="BR1" s="58" t="s">
        <v>177</v>
      </c>
      <c r="BS1" s="58" t="s">
        <v>178</v>
      </c>
      <c r="BT1" s="58" t="s">
        <v>179</v>
      </c>
      <c r="BU1" s="58" t="s">
        <v>180</v>
      </c>
      <c r="BV1" s="58" t="s">
        <v>181</v>
      </c>
      <c r="BW1" s="58" t="s">
        <v>182</v>
      </c>
      <c r="BX1" s="58" t="s">
        <v>183</v>
      </c>
      <c r="BY1" s="58" t="s">
        <v>184</v>
      </c>
      <c r="BZ1" s="58" t="s">
        <v>185</v>
      </c>
      <c r="CA1" s="58" t="s">
        <v>186</v>
      </c>
      <c r="CB1" s="58" t="s">
        <v>187</v>
      </c>
      <c r="CC1" s="58" t="s">
        <v>188</v>
      </c>
      <c r="CD1" s="58" t="s">
        <v>189</v>
      </c>
      <c r="CE1" s="58" t="s">
        <v>190</v>
      </c>
      <c r="CF1" s="58" t="s">
        <v>191</v>
      </c>
      <c r="CG1" s="58" t="s">
        <v>192</v>
      </c>
      <c r="CH1" s="58" t="s">
        <v>193</v>
      </c>
      <c r="CI1" s="58" t="s">
        <v>194</v>
      </c>
      <c r="CJ1" s="58" t="s">
        <v>195</v>
      </c>
      <c r="CK1" s="58" t="s">
        <v>196</v>
      </c>
      <c r="CL1" s="58" t="s">
        <v>197</v>
      </c>
      <c r="CM1" s="58" t="s">
        <v>198</v>
      </c>
      <c r="CN1" s="60" t="s">
        <v>199</v>
      </c>
      <c r="CO1" s="60" t="s">
        <v>200</v>
      </c>
      <c r="CP1" s="58" t="s">
        <v>201</v>
      </c>
      <c r="CQ1" s="58" t="s">
        <v>202</v>
      </c>
      <c r="CR1" s="60" t="s">
        <v>203</v>
      </c>
      <c r="CS1" s="60" t="s">
        <v>204</v>
      </c>
      <c r="CT1" s="60" t="s">
        <v>205</v>
      </c>
      <c r="CU1" s="58" t="s">
        <v>206</v>
      </c>
      <c r="CV1" s="58" t="s">
        <v>207</v>
      </c>
      <c r="CW1" s="60" t="s">
        <v>208</v>
      </c>
      <c r="CX1" s="60" t="s">
        <v>209</v>
      </c>
      <c r="CY1" s="60" t="s">
        <v>210</v>
      </c>
      <c r="CZ1" s="60" t="s">
        <v>211</v>
      </c>
      <c r="DA1" s="60" t="s">
        <v>212</v>
      </c>
      <c r="DB1" s="60" t="s">
        <v>213</v>
      </c>
      <c r="DC1" s="60" t="s">
        <v>214</v>
      </c>
      <c r="DD1" s="60" t="s">
        <v>215</v>
      </c>
      <c r="DE1" s="60" t="s">
        <v>216</v>
      </c>
      <c r="DF1" s="60" t="s">
        <v>217</v>
      </c>
      <c r="DG1" s="60" t="s">
        <v>218</v>
      </c>
      <c r="DH1" s="60" t="s">
        <v>219</v>
      </c>
      <c r="DI1" s="60" t="s">
        <v>220</v>
      </c>
      <c r="DJ1" s="60" t="s">
        <v>221</v>
      </c>
      <c r="DK1" s="60" t="s">
        <v>222</v>
      </c>
      <c r="DL1" s="60" t="s">
        <v>223</v>
      </c>
      <c r="DM1" s="60" t="s">
        <v>224</v>
      </c>
      <c r="DN1" s="60" t="s">
        <v>225</v>
      </c>
      <c r="DO1" s="60" t="s">
        <v>226</v>
      </c>
      <c r="DP1" s="60" t="s">
        <v>227</v>
      </c>
      <c r="DQ1" s="60" t="s">
        <v>228</v>
      </c>
      <c r="DR1" s="60" t="s">
        <v>229</v>
      </c>
      <c r="DS1" s="60" t="s">
        <v>230</v>
      </c>
      <c r="DT1" s="60" t="s">
        <v>231</v>
      </c>
      <c r="DU1" s="60" t="s">
        <v>232</v>
      </c>
      <c r="DV1" s="60" t="s">
        <v>233</v>
      </c>
      <c r="DW1" s="60" t="s">
        <v>234</v>
      </c>
      <c r="DX1" s="60" t="s">
        <v>235</v>
      </c>
      <c r="DY1" s="60" t="s">
        <v>236</v>
      </c>
      <c r="DZ1" s="60" t="s">
        <v>237</v>
      </c>
      <c r="EA1" s="60" t="s">
        <v>238</v>
      </c>
      <c r="EB1" s="60" t="s">
        <v>239</v>
      </c>
      <c r="EC1" s="60" t="s">
        <v>240</v>
      </c>
      <c r="ED1" s="60" t="s">
        <v>241</v>
      </c>
      <c r="EE1" s="60" t="s">
        <v>242</v>
      </c>
      <c r="EF1" s="60" t="s">
        <v>243</v>
      </c>
      <c r="EG1" s="60" t="s">
        <v>244</v>
      </c>
      <c r="EH1" s="60" t="s">
        <v>245</v>
      </c>
      <c r="EI1" s="60" t="s">
        <v>246</v>
      </c>
      <c r="EJ1" s="60" t="s">
        <v>247</v>
      </c>
      <c r="EK1" s="61" t="s">
        <v>2318</v>
      </c>
    </row>
    <row r="2" spans="1:141" x14ac:dyDescent="0.3">
      <c r="A2" s="62" t="s">
        <v>248</v>
      </c>
      <c r="B2" s="63" t="s">
        <v>53</v>
      </c>
      <c r="C2" s="63" t="s">
        <v>1676</v>
      </c>
      <c r="D2" s="63" t="s">
        <v>66</v>
      </c>
      <c r="E2" s="64" t="s">
        <v>250</v>
      </c>
      <c r="F2" s="64" t="s">
        <v>250</v>
      </c>
      <c r="G2" s="63">
        <v>68</v>
      </c>
      <c r="H2" s="64" t="s">
        <v>1716</v>
      </c>
      <c r="I2" s="63" t="s">
        <v>1678</v>
      </c>
      <c r="J2" s="63" t="s">
        <v>41</v>
      </c>
      <c r="K2" s="63" t="s">
        <v>96</v>
      </c>
      <c r="L2" s="63">
        <v>80101507</v>
      </c>
      <c r="M2" s="63" t="s">
        <v>58</v>
      </c>
      <c r="N2" s="63" t="s">
        <v>612</v>
      </c>
      <c r="O2" s="63" t="s">
        <v>1717</v>
      </c>
      <c r="P2" s="63" t="s">
        <v>281</v>
      </c>
      <c r="Q2" s="63" t="s">
        <v>477</v>
      </c>
      <c r="R2" s="63" t="s">
        <v>614</v>
      </c>
      <c r="S2" s="65">
        <v>5</v>
      </c>
      <c r="T2" s="63" t="s">
        <v>256</v>
      </c>
      <c r="U2" s="63" t="s">
        <v>257</v>
      </c>
      <c r="V2" s="63" t="s">
        <v>113</v>
      </c>
      <c r="W2" s="66">
        <v>79750000</v>
      </c>
      <c r="X2" s="66">
        <v>79750000</v>
      </c>
      <c r="Y2" s="63" t="s">
        <v>339</v>
      </c>
      <c r="Z2" s="63" t="s">
        <v>258</v>
      </c>
      <c r="AA2" s="63" t="s">
        <v>1680</v>
      </c>
      <c r="AB2" s="63" t="s">
        <v>1681</v>
      </c>
      <c r="AC2" s="63">
        <v>6012220601</v>
      </c>
      <c r="AD2" s="63" t="s">
        <v>1682</v>
      </c>
      <c r="AE2" s="66">
        <v>0</v>
      </c>
      <c r="AF2" s="66">
        <v>0</v>
      </c>
      <c r="AG2" s="66">
        <v>0</v>
      </c>
      <c r="AH2" s="66">
        <v>0</v>
      </c>
      <c r="AI2" s="66">
        <v>0</v>
      </c>
      <c r="AJ2" s="66">
        <v>0</v>
      </c>
      <c r="AK2" s="66">
        <v>0</v>
      </c>
      <c r="AL2" s="66">
        <v>0</v>
      </c>
      <c r="AM2" s="66">
        <v>0</v>
      </c>
      <c r="AN2" s="66">
        <v>0</v>
      </c>
      <c r="AO2" s="66">
        <v>0</v>
      </c>
      <c r="AP2" s="66">
        <v>0</v>
      </c>
      <c r="AQ2" s="66">
        <v>79750000</v>
      </c>
      <c r="AR2" s="66">
        <v>0</v>
      </c>
      <c r="AS2" s="66">
        <v>0</v>
      </c>
      <c r="AT2" s="66">
        <v>0</v>
      </c>
      <c r="AU2" s="66">
        <v>0</v>
      </c>
      <c r="AV2" s="66">
        <v>0</v>
      </c>
      <c r="AW2" s="66">
        <v>0</v>
      </c>
      <c r="AX2" s="66">
        <v>0</v>
      </c>
      <c r="AY2" s="66">
        <v>0</v>
      </c>
      <c r="AZ2" s="66">
        <v>50477404</v>
      </c>
      <c r="BA2" s="66">
        <v>0</v>
      </c>
      <c r="BB2" s="66">
        <v>29272596</v>
      </c>
      <c r="BC2" s="66">
        <v>79750000</v>
      </c>
      <c r="BD2" s="66">
        <v>79750000</v>
      </c>
      <c r="BE2" s="66">
        <v>0</v>
      </c>
      <c r="BF2" s="66">
        <v>0</v>
      </c>
      <c r="BG2" s="63" t="s">
        <v>2319</v>
      </c>
      <c r="BH2" s="63"/>
      <c r="BI2" s="63"/>
      <c r="BJ2" s="63"/>
      <c r="BK2" s="63"/>
      <c r="BL2" s="63"/>
      <c r="BM2" s="63"/>
      <c r="BN2" s="63"/>
      <c r="BO2" s="63"/>
      <c r="BP2" s="63"/>
      <c r="BQ2" s="63"/>
      <c r="BR2" s="63"/>
      <c r="BS2" s="63"/>
      <c r="BT2" s="67">
        <v>79750000</v>
      </c>
      <c r="BU2" s="63"/>
      <c r="BV2" s="63"/>
      <c r="BW2" s="63"/>
      <c r="BX2" s="63"/>
      <c r="BY2" s="63"/>
      <c r="BZ2" s="63"/>
      <c r="CA2" s="63"/>
      <c r="CB2" s="63"/>
      <c r="CC2" s="67">
        <v>50477404</v>
      </c>
      <c r="CD2" s="63"/>
      <c r="CE2" s="67">
        <v>29272596</v>
      </c>
      <c r="CF2" s="63"/>
      <c r="CG2" s="63"/>
      <c r="CH2" s="68">
        <v>79750000</v>
      </c>
      <c r="CI2" s="68">
        <v>79750000</v>
      </c>
      <c r="CJ2" s="68">
        <v>0</v>
      </c>
      <c r="CK2" s="68">
        <v>0</v>
      </c>
      <c r="CL2" s="63"/>
      <c r="CM2" s="63"/>
      <c r="CN2" s="63"/>
      <c r="CO2" s="66">
        <v>79750000</v>
      </c>
      <c r="CP2" s="63"/>
      <c r="CQ2" s="63"/>
      <c r="CR2" s="66">
        <v>0</v>
      </c>
      <c r="CS2" s="66">
        <v>79750000</v>
      </c>
      <c r="CT2" s="66">
        <v>0</v>
      </c>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6">
        <v>0</v>
      </c>
      <c r="EH2" s="66">
        <v>0</v>
      </c>
      <c r="EI2" s="66">
        <v>0</v>
      </c>
      <c r="EJ2" s="66">
        <v>0</v>
      </c>
      <c r="EK2" s="69">
        <v>0</v>
      </c>
    </row>
    <row r="3" spans="1:141" x14ac:dyDescent="0.3">
      <c r="A3" s="62" t="s">
        <v>248</v>
      </c>
      <c r="B3" s="63" t="s">
        <v>53</v>
      </c>
      <c r="C3" s="63" t="s">
        <v>1676</v>
      </c>
      <c r="D3" s="63" t="s">
        <v>66</v>
      </c>
      <c r="E3" s="64" t="s">
        <v>250</v>
      </c>
      <c r="F3" s="64" t="s">
        <v>250</v>
      </c>
      <c r="G3" s="63">
        <v>68</v>
      </c>
      <c r="H3" s="64" t="s">
        <v>1718</v>
      </c>
      <c r="I3" s="63" t="s">
        <v>1678</v>
      </c>
      <c r="J3" s="63" t="s">
        <v>41</v>
      </c>
      <c r="K3" s="63" t="s">
        <v>96</v>
      </c>
      <c r="L3" s="63">
        <v>80111620</v>
      </c>
      <c r="M3" s="63" t="s">
        <v>58</v>
      </c>
      <c r="N3" s="63" t="s">
        <v>253</v>
      </c>
      <c r="O3" s="63" t="s">
        <v>1719</v>
      </c>
      <c r="P3" s="63" t="s">
        <v>255</v>
      </c>
      <c r="Q3" s="63" t="s">
        <v>255</v>
      </c>
      <c r="R3" s="63" t="s">
        <v>255</v>
      </c>
      <c r="S3" s="65">
        <v>11</v>
      </c>
      <c r="T3" s="63" t="s">
        <v>256</v>
      </c>
      <c r="U3" s="63" t="s">
        <v>257</v>
      </c>
      <c r="V3" s="63" t="s">
        <v>113</v>
      </c>
      <c r="W3" s="66">
        <v>10250000</v>
      </c>
      <c r="X3" s="66">
        <v>10250000</v>
      </c>
      <c r="Y3" s="63" t="s">
        <v>339</v>
      </c>
      <c r="Z3" s="63" t="s">
        <v>258</v>
      </c>
      <c r="AA3" s="63" t="s">
        <v>1680</v>
      </c>
      <c r="AB3" s="63" t="s">
        <v>1681</v>
      </c>
      <c r="AC3" s="63">
        <v>6012220601</v>
      </c>
      <c r="AD3" s="63" t="s">
        <v>1682</v>
      </c>
      <c r="AE3" s="66">
        <v>10250000</v>
      </c>
      <c r="AF3" s="66">
        <v>0</v>
      </c>
      <c r="AG3" s="66">
        <v>0</v>
      </c>
      <c r="AH3" s="66">
        <v>1444520</v>
      </c>
      <c r="AI3" s="66">
        <v>0</v>
      </c>
      <c r="AJ3" s="66">
        <v>5416950</v>
      </c>
      <c r="AK3" s="66">
        <v>0</v>
      </c>
      <c r="AL3" s="66">
        <v>3388530</v>
      </c>
      <c r="AM3" s="66">
        <v>0</v>
      </c>
      <c r="AN3" s="66">
        <v>0</v>
      </c>
      <c r="AO3" s="66">
        <v>0</v>
      </c>
      <c r="AP3" s="66">
        <v>0</v>
      </c>
      <c r="AQ3" s="66">
        <v>0</v>
      </c>
      <c r="AR3" s="66">
        <v>0</v>
      </c>
      <c r="AS3" s="66">
        <v>0</v>
      </c>
      <c r="AT3" s="66">
        <v>0</v>
      </c>
      <c r="AU3" s="66">
        <v>0</v>
      </c>
      <c r="AV3" s="66">
        <v>0</v>
      </c>
      <c r="AW3" s="66">
        <v>0</v>
      </c>
      <c r="AX3" s="66">
        <v>0</v>
      </c>
      <c r="AY3" s="66">
        <v>0</v>
      </c>
      <c r="AZ3" s="66">
        <v>0</v>
      </c>
      <c r="BA3" s="66">
        <v>0</v>
      </c>
      <c r="BB3" s="66">
        <v>0</v>
      </c>
      <c r="BC3" s="66">
        <v>10250000</v>
      </c>
      <c r="BD3" s="66">
        <v>10250000</v>
      </c>
      <c r="BE3" s="66">
        <v>0</v>
      </c>
      <c r="BF3" s="66">
        <v>0</v>
      </c>
      <c r="BG3" s="63" t="s">
        <v>2320</v>
      </c>
      <c r="BH3" s="67">
        <v>10250000</v>
      </c>
      <c r="BI3" s="63"/>
      <c r="BJ3" s="63"/>
      <c r="BK3" s="67">
        <v>1444520</v>
      </c>
      <c r="BL3" s="63"/>
      <c r="BM3" s="67">
        <v>5416950</v>
      </c>
      <c r="BN3" s="63"/>
      <c r="BO3" s="67">
        <v>3388530</v>
      </c>
      <c r="BP3" s="63"/>
      <c r="BQ3" s="63"/>
      <c r="BR3" s="63"/>
      <c r="BS3" s="63"/>
      <c r="BT3" s="63"/>
      <c r="BU3" s="63"/>
      <c r="BV3" s="63"/>
      <c r="BW3" s="63"/>
      <c r="BX3" s="63"/>
      <c r="BY3" s="63"/>
      <c r="BZ3" s="63"/>
      <c r="CA3" s="63"/>
      <c r="CB3" s="63"/>
      <c r="CC3" s="63"/>
      <c r="CD3" s="63"/>
      <c r="CE3" s="63"/>
      <c r="CF3" s="63"/>
      <c r="CG3" s="63"/>
      <c r="CH3" s="68">
        <v>10250000</v>
      </c>
      <c r="CI3" s="68">
        <v>10250000</v>
      </c>
      <c r="CJ3" s="68">
        <v>0</v>
      </c>
      <c r="CK3" s="68">
        <v>0</v>
      </c>
      <c r="CL3" s="63">
        <v>18726</v>
      </c>
      <c r="CM3" s="70">
        <v>46033</v>
      </c>
      <c r="CN3" s="66">
        <v>10250000</v>
      </c>
      <c r="CO3" s="66">
        <v>0</v>
      </c>
      <c r="CP3" s="63">
        <v>14926</v>
      </c>
      <c r="CQ3" s="70">
        <v>46043</v>
      </c>
      <c r="CR3" s="66">
        <v>10250000</v>
      </c>
      <c r="CS3" s="66">
        <v>0</v>
      </c>
      <c r="CT3" s="66">
        <v>0</v>
      </c>
      <c r="CU3" s="63" t="s">
        <v>1720</v>
      </c>
      <c r="CV3" s="63" t="s">
        <v>1721</v>
      </c>
      <c r="CW3" s="66">
        <v>10250000</v>
      </c>
      <c r="CX3" s="63"/>
      <c r="CY3" s="63"/>
      <c r="CZ3" s="63"/>
      <c r="DA3" s="63"/>
      <c r="DB3" s="63"/>
      <c r="DC3" s="63"/>
      <c r="DD3" s="66">
        <v>5416950</v>
      </c>
      <c r="DE3" s="66">
        <v>5416950</v>
      </c>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6">
        <v>10250000</v>
      </c>
      <c r="EH3" s="66">
        <v>5416950</v>
      </c>
      <c r="EI3" s="66">
        <v>5416950</v>
      </c>
      <c r="EJ3" s="66">
        <v>4833050</v>
      </c>
      <c r="EK3" s="69">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23"/>
  <sheetViews>
    <sheetView showGridLines="0" workbookViewId="0"/>
  </sheetViews>
  <sheetFormatPr baseColWidth="10" defaultColWidth="14.44140625" defaultRowHeight="15" customHeight="1" x14ac:dyDescent="0.3"/>
  <cols>
    <col min="1" max="1" width="38.6640625" customWidth="1"/>
    <col min="2" max="2" width="29.5546875" customWidth="1"/>
  </cols>
  <sheetData>
    <row r="1" spans="1:2" x14ac:dyDescent="0.3">
      <c r="A1" s="78" t="s">
        <v>114</v>
      </c>
      <c r="B1" s="79" t="s">
        <v>248</v>
      </c>
    </row>
    <row r="2" spans="1:2" x14ac:dyDescent="0.3">
      <c r="A2" s="78" t="s">
        <v>122</v>
      </c>
      <c r="B2" s="81" t="s">
        <v>253</v>
      </c>
    </row>
    <row r="3" spans="1:2" x14ac:dyDescent="0.3"/>
    <row r="4" spans="1:2" x14ac:dyDescent="0.3">
      <c r="A4" s="71" t="s">
        <v>0</v>
      </c>
      <c r="B4" s="80" t="s">
        <v>2323</v>
      </c>
    </row>
    <row r="5" spans="1:2" x14ac:dyDescent="0.3">
      <c r="A5" s="72" t="s">
        <v>3</v>
      </c>
      <c r="B5" s="73">
        <v>339445145</v>
      </c>
    </row>
    <row r="6" spans="1:2" x14ac:dyDescent="0.3">
      <c r="A6" s="74" t="s">
        <v>8</v>
      </c>
      <c r="B6" s="75">
        <v>0</v>
      </c>
    </row>
    <row r="7" spans="1:2" x14ac:dyDescent="0.3">
      <c r="A7" s="74" t="s">
        <v>14</v>
      </c>
      <c r="B7" s="75">
        <v>69013400</v>
      </c>
    </row>
    <row r="8" spans="1:2" x14ac:dyDescent="0.3">
      <c r="A8" s="74" t="s">
        <v>20</v>
      </c>
      <c r="B8" s="75">
        <v>41327250</v>
      </c>
    </row>
    <row r="9" spans="1:2" x14ac:dyDescent="0.3">
      <c r="A9" s="74" t="s">
        <v>27</v>
      </c>
      <c r="B9" s="75">
        <v>0</v>
      </c>
    </row>
    <row r="10" spans="1:2" x14ac:dyDescent="0.3">
      <c r="A10" s="74" t="s">
        <v>30</v>
      </c>
      <c r="B10" s="75">
        <v>720409666</v>
      </c>
    </row>
    <row r="11" spans="1:2" x14ac:dyDescent="0.3">
      <c r="A11" s="74" t="s">
        <v>34</v>
      </c>
      <c r="B11" s="75">
        <v>13398052</v>
      </c>
    </row>
    <row r="12" spans="1:2" x14ac:dyDescent="0.3">
      <c r="A12" s="74" t="s">
        <v>37</v>
      </c>
      <c r="B12" s="75">
        <v>1030800</v>
      </c>
    </row>
    <row r="13" spans="1:2" ht="15" customHeight="1" x14ac:dyDescent="0.3">
      <c r="A13" s="74" t="s">
        <v>48</v>
      </c>
      <c r="B13" s="75">
        <v>9892583</v>
      </c>
    </row>
    <row r="14" spans="1:2" ht="15" customHeight="1" x14ac:dyDescent="0.3">
      <c r="A14" s="74" t="s">
        <v>53</v>
      </c>
      <c r="B14" s="75">
        <v>0</v>
      </c>
    </row>
    <row r="15" spans="1:2" ht="15" customHeight="1" x14ac:dyDescent="0.3">
      <c r="A15" s="76" t="s">
        <v>2321</v>
      </c>
      <c r="B15" s="77">
        <v>1194516896</v>
      </c>
    </row>
    <row r="16" spans="1:2" x14ac:dyDescent="0.3">
      <c r="A16" s="71" t="s">
        <v>0</v>
      </c>
      <c r="B16" s="80" t="s">
        <v>2322</v>
      </c>
    </row>
    <row r="17" spans="1:2" x14ac:dyDescent="0.3">
      <c r="A17" s="72" t="s">
        <v>14</v>
      </c>
      <c r="B17" s="73">
        <v>150541383</v>
      </c>
    </row>
    <row r="18" spans="1:2" x14ac:dyDescent="0.3">
      <c r="A18" s="74" t="s">
        <v>20</v>
      </c>
      <c r="B18" s="75">
        <v>1000000000</v>
      </c>
    </row>
    <row r="19" spans="1:2" x14ac:dyDescent="0.3">
      <c r="A19" s="74" t="s">
        <v>30</v>
      </c>
      <c r="B19" s="75">
        <v>500000000</v>
      </c>
    </row>
    <row r="20" spans="1:2" x14ac:dyDescent="0.3">
      <c r="A20" s="74" t="s">
        <v>34</v>
      </c>
      <c r="B20" s="75">
        <v>500000000</v>
      </c>
    </row>
    <row r="21" spans="1:2" x14ac:dyDescent="0.3">
      <c r="A21" s="74" t="s">
        <v>48</v>
      </c>
      <c r="B21" s="75">
        <v>220000000</v>
      </c>
    </row>
    <row r="22" spans="1:2" x14ac:dyDescent="0.3">
      <c r="A22" s="74" t="s">
        <v>53</v>
      </c>
      <c r="B22" s="75">
        <v>120000000</v>
      </c>
    </row>
    <row r="23" spans="1:2" x14ac:dyDescent="0.3">
      <c r="A23" s="76" t="s">
        <v>2321</v>
      </c>
      <c r="B23" s="77">
        <v>2490541383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CONSOLIDADO_FINAL</vt:lpstr>
      <vt:lpstr>Datos4</vt:lpstr>
      <vt:lpstr>Hiperconv. TD Saldos OPS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2026-05-05T14:02:12Z</dcterms:created>
  <dcterms:modified xsi:type="dcterms:W3CDTF">2026-05-05T14:02:13Z</dcterms:modified>
</cp:coreProperties>
</file>